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MIL\Communicatie en Voorlichting\Stikstofdossier\Communicatie\Kamerbrief 24-4\"/>
    </mc:Choice>
  </mc:AlternateContent>
  <xr:revisionPtr revIDLastSave="0" documentId="13_ncr:1_{408BCA38-8D98-4000-A779-95FF7C62EBE1}" xr6:coauthVersionLast="41" xr6:coauthVersionMax="41" xr10:uidLastSave="{00000000-0000-0000-0000-000000000000}"/>
  <bookViews>
    <workbookView xWindow="-120" yWindow="-120" windowWidth="19440" windowHeight="10440" xr2:uid="{4527AB04-7679-4D69-A712-B5017F8D5BBB}"/>
  </bookViews>
  <sheets>
    <sheet name="reducties" sheetId="1" r:id="rId1"/>
  </sheets>
  <definedNames>
    <definedName name="_xlnm._FilterDatabase" localSheetId="0" hidden="1">reducties!$A$8:$G$7854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" i="1" l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F4" i="1"/>
  <c r="F7854" i="1" l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C7854" i="1" l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5" i="1" s="1"/>
  <c r="C6" i="1" s="1"/>
  <c r="C15" i="1"/>
  <c r="C14" i="1"/>
  <c r="C13" i="1"/>
  <c r="C12" i="1"/>
  <c r="C11" i="1"/>
  <c r="C10" i="1"/>
  <c r="C9" i="1"/>
  <c r="D6" i="1"/>
  <c r="E6" i="1"/>
  <c r="G6" i="1"/>
  <c r="H6" i="1"/>
  <c r="I6" i="1"/>
  <c r="J6" i="1"/>
  <c r="K6" i="1"/>
  <c r="L6" i="1"/>
  <c r="M6" i="1"/>
  <c r="N6" i="1"/>
  <c r="O6" i="1"/>
  <c r="P6" i="1"/>
  <c r="Q6" i="1"/>
  <c r="D5" i="1"/>
  <c r="E5" i="1"/>
  <c r="F5" i="1"/>
  <c r="F6" i="1" s="1"/>
  <c r="G5" i="1"/>
  <c r="H5" i="1"/>
  <c r="I5" i="1"/>
  <c r="J5" i="1"/>
  <c r="K5" i="1"/>
  <c r="L5" i="1"/>
  <c r="M5" i="1"/>
  <c r="N5" i="1"/>
  <c r="O5" i="1"/>
  <c r="P5" i="1"/>
  <c r="Q5" i="1"/>
  <c r="S5" i="1"/>
  <c r="T5" i="1"/>
  <c r="T9" i="1"/>
  <c r="S9" i="1"/>
  <c r="E7854" i="1"/>
  <c r="D7854" i="1"/>
  <c r="E7853" i="1"/>
  <c r="D7853" i="1"/>
  <c r="E7852" i="1"/>
  <c r="D7852" i="1"/>
  <c r="E7851" i="1"/>
  <c r="D7851" i="1"/>
  <c r="E7850" i="1"/>
  <c r="D7850" i="1"/>
  <c r="E7849" i="1"/>
  <c r="D7849" i="1"/>
  <c r="E7848" i="1"/>
  <c r="D7848" i="1"/>
  <c r="E7847" i="1"/>
  <c r="D7847" i="1"/>
  <c r="E7846" i="1"/>
  <c r="D7846" i="1"/>
  <c r="E7845" i="1"/>
  <c r="D7845" i="1"/>
  <c r="E7844" i="1"/>
  <c r="D7844" i="1"/>
  <c r="E7843" i="1"/>
  <c r="D7843" i="1"/>
  <c r="E7842" i="1"/>
  <c r="D7842" i="1"/>
  <c r="E7841" i="1"/>
  <c r="D7841" i="1"/>
  <c r="E7840" i="1"/>
  <c r="D7840" i="1"/>
  <c r="E7839" i="1"/>
  <c r="D7839" i="1"/>
  <c r="E7838" i="1"/>
  <c r="D7838" i="1"/>
  <c r="E7837" i="1"/>
  <c r="D7837" i="1"/>
  <c r="E7836" i="1"/>
  <c r="D7836" i="1"/>
  <c r="E7835" i="1"/>
  <c r="D7835" i="1"/>
  <c r="E7834" i="1"/>
  <c r="D7834" i="1"/>
  <c r="E7833" i="1"/>
  <c r="D7833" i="1"/>
  <c r="E7832" i="1"/>
  <c r="D7832" i="1"/>
  <c r="E7831" i="1"/>
  <c r="D7831" i="1"/>
  <c r="E7830" i="1"/>
  <c r="D7830" i="1"/>
  <c r="E7829" i="1"/>
  <c r="D7829" i="1"/>
  <c r="E7828" i="1"/>
  <c r="D7828" i="1"/>
  <c r="E7827" i="1"/>
  <c r="D7827" i="1"/>
  <c r="E7826" i="1"/>
  <c r="D7826" i="1"/>
  <c r="E7825" i="1"/>
  <c r="D7825" i="1"/>
  <c r="E7824" i="1"/>
  <c r="D7824" i="1"/>
  <c r="E7823" i="1"/>
  <c r="D7823" i="1"/>
  <c r="E7822" i="1"/>
  <c r="D7822" i="1"/>
  <c r="E7821" i="1"/>
  <c r="D7821" i="1"/>
  <c r="E7820" i="1"/>
  <c r="D7820" i="1"/>
  <c r="E7819" i="1"/>
  <c r="D7819" i="1"/>
  <c r="E7818" i="1"/>
  <c r="D7818" i="1"/>
  <c r="E7817" i="1"/>
  <c r="D7817" i="1"/>
  <c r="E7816" i="1"/>
  <c r="D7816" i="1"/>
  <c r="E7815" i="1"/>
  <c r="D7815" i="1"/>
  <c r="E7814" i="1"/>
  <c r="D7814" i="1"/>
  <c r="E7813" i="1"/>
  <c r="D7813" i="1"/>
  <c r="E7812" i="1"/>
  <c r="D7812" i="1"/>
  <c r="E7811" i="1"/>
  <c r="D7811" i="1"/>
  <c r="E7810" i="1"/>
  <c r="D7810" i="1"/>
  <c r="E7809" i="1"/>
  <c r="D7809" i="1"/>
  <c r="E7808" i="1"/>
  <c r="D7808" i="1"/>
  <c r="E7807" i="1"/>
  <c r="D7807" i="1"/>
  <c r="E7806" i="1"/>
  <c r="D7806" i="1"/>
  <c r="E7805" i="1"/>
  <c r="D7805" i="1"/>
  <c r="E7804" i="1"/>
  <c r="D7804" i="1"/>
  <c r="E7803" i="1"/>
  <c r="D7803" i="1"/>
  <c r="E7802" i="1"/>
  <c r="D7802" i="1"/>
  <c r="E7801" i="1"/>
  <c r="D7801" i="1"/>
  <c r="E7800" i="1"/>
  <c r="D7800" i="1"/>
  <c r="E7799" i="1"/>
  <c r="D7799" i="1"/>
  <c r="E7798" i="1"/>
  <c r="D7798" i="1"/>
  <c r="E7797" i="1"/>
  <c r="D7797" i="1"/>
  <c r="E7796" i="1"/>
  <c r="D7796" i="1"/>
  <c r="E7795" i="1"/>
  <c r="D7795" i="1"/>
  <c r="E7794" i="1"/>
  <c r="D7794" i="1"/>
  <c r="E7793" i="1"/>
  <c r="D7793" i="1"/>
  <c r="E7792" i="1"/>
  <c r="D7792" i="1"/>
  <c r="E7791" i="1"/>
  <c r="D7791" i="1"/>
  <c r="E7790" i="1"/>
  <c r="D7790" i="1"/>
  <c r="E7789" i="1"/>
  <c r="D7789" i="1"/>
  <c r="E7788" i="1"/>
  <c r="D7788" i="1"/>
  <c r="E7787" i="1"/>
  <c r="D7787" i="1"/>
  <c r="E7786" i="1"/>
  <c r="D7786" i="1"/>
  <c r="E7785" i="1"/>
  <c r="D7785" i="1"/>
  <c r="E7784" i="1"/>
  <c r="D7784" i="1"/>
  <c r="E7783" i="1"/>
  <c r="D7783" i="1"/>
  <c r="E7782" i="1"/>
  <c r="D7782" i="1"/>
  <c r="E7781" i="1"/>
  <c r="D7781" i="1"/>
  <c r="E7780" i="1"/>
  <c r="D7780" i="1"/>
  <c r="E7779" i="1"/>
  <c r="D7779" i="1"/>
  <c r="E7778" i="1"/>
  <c r="D7778" i="1"/>
  <c r="E7777" i="1"/>
  <c r="D7777" i="1"/>
  <c r="E7776" i="1"/>
  <c r="D7776" i="1"/>
  <c r="E7775" i="1"/>
  <c r="D7775" i="1"/>
  <c r="E7774" i="1"/>
  <c r="D7774" i="1"/>
  <c r="E7773" i="1"/>
  <c r="D7773" i="1"/>
  <c r="E7772" i="1"/>
  <c r="D7772" i="1"/>
  <c r="E7771" i="1"/>
  <c r="D7771" i="1"/>
  <c r="E7770" i="1"/>
  <c r="D7770" i="1"/>
  <c r="E7769" i="1"/>
  <c r="D7769" i="1"/>
  <c r="E7768" i="1"/>
  <c r="D7768" i="1"/>
  <c r="E7767" i="1"/>
  <c r="D7767" i="1"/>
  <c r="E7766" i="1"/>
  <c r="D7766" i="1"/>
  <c r="E7765" i="1"/>
  <c r="D7765" i="1"/>
  <c r="E7764" i="1"/>
  <c r="D7764" i="1"/>
  <c r="E7763" i="1"/>
  <c r="D7763" i="1"/>
  <c r="E7762" i="1"/>
  <c r="D7762" i="1"/>
  <c r="E7761" i="1"/>
  <c r="D7761" i="1"/>
  <c r="E7760" i="1"/>
  <c r="D7760" i="1"/>
  <c r="E7759" i="1"/>
  <c r="D7759" i="1"/>
  <c r="E7758" i="1"/>
  <c r="D7758" i="1"/>
  <c r="E7757" i="1"/>
  <c r="D7757" i="1"/>
  <c r="E7756" i="1"/>
  <c r="D7756" i="1"/>
  <c r="E7755" i="1"/>
  <c r="D7755" i="1"/>
  <c r="E7754" i="1"/>
  <c r="D7754" i="1"/>
  <c r="E7753" i="1"/>
  <c r="D7753" i="1"/>
  <c r="E7752" i="1"/>
  <c r="D7752" i="1"/>
  <c r="E7751" i="1"/>
  <c r="D7751" i="1"/>
  <c r="E7750" i="1"/>
  <c r="D7750" i="1"/>
  <c r="E7749" i="1"/>
  <c r="D7749" i="1"/>
  <c r="E7748" i="1"/>
  <c r="D7748" i="1"/>
  <c r="E7747" i="1"/>
  <c r="D7747" i="1"/>
  <c r="E7746" i="1"/>
  <c r="D7746" i="1"/>
  <c r="E7745" i="1"/>
  <c r="D7745" i="1"/>
  <c r="E7744" i="1"/>
  <c r="D7744" i="1"/>
  <c r="E7743" i="1"/>
  <c r="D7743" i="1"/>
  <c r="E7742" i="1"/>
  <c r="D7742" i="1"/>
  <c r="E7741" i="1"/>
  <c r="D7741" i="1"/>
  <c r="E7740" i="1"/>
  <c r="D7740" i="1"/>
  <c r="E7739" i="1"/>
  <c r="D7739" i="1"/>
  <c r="E7738" i="1"/>
  <c r="D7738" i="1"/>
  <c r="E7737" i="1"/>
  <c r="D7737" i="1"/>
  <c r="E7736" i="1"/>
  <c r="D7736" i="1"/>
  <c r="E7735" i="1"/>
  <c r="D7735" i="1"/>
  <c r="E7734" i="1"/>
  <c r="D7734" i="1"/>
  <c r="E7733" i="1"/>
  <c r="D7733" i="1"/>
  <c r="E7732" i="1"/>
  <c r="D7732" i="1"/>
  <c r="E7731" i="1"/>
  <c r="D7731" i="1"/>
  <c r="E7730" i="1"/>
  <c r="D7730" i="1"/>
  <c r="E7729" i="1"/>
  <c r="D7729" i="1"/>
  <c r="E7728" i="1"/>
  <c r="D7728" i="1"/>
  <c r="E7727" i="1"/>
  <c r="D7727" i="1"/>
  <c r="E7726" i="1"/>
  <c r="D7726" i="1"/>
  <c r="E7725" i="1"/>
  <c r="D7725" i="1"/>
  <c r="E7724" i="1"/>
  <c r="D7724" i="1"/>
  <c r="E7723" i="1"/>
  <c r="D7723" i="1"/>
  <c r="E7722" i="1"/>
  <c r="D7722" i="1"/>
  <c r="E7721" i="1"/>
  <c r="D7721" i="1"/>
  <c r="E7720" i="1"/>
  <c r="D7720" i="1"/>
  <c r="E7719" i="1"/>
  <c r="D7719" i="1"/>
  <c r="E7718" i="1"/>
  <c r="D7718" i="1"/>
  <c r="E7717" i="1"/>
  <c r="D7717" i="1"/>
  <c r="E7716" i="1"/>
  <c r="D7716" i="1"/>
  <c r="E7715" i="1"/>
  <c r="D7715" i="1"/>
  <c r="E7714" i="1"/>
  <c r="D7714" i="1"/>
  <c r="E7713" i="1"/>
  <c r="D7713" i="1"/>
  <c r="E7712" i="1"/>
  <c r="D7712" i="1"/>
  <c r="E7711" i="1"/>
  <c r="D7711" i="1"/>
  <c r="E7710" i="1"/>
  <c r="D7710" i="1"/>
  <c r="E7709" i="1"/>
  <c r="D7709" i="1"/>
  <c r="E7708" i="1"/>
  <c r="D7708" i="1"/>
  <c r="E7707" i="1"/>
  <c r="D7707" i="1"/>
  <c r="E7706" i="1"/>
  <c r="D7706" i="1"/>
  <c r="E7705" i="1"/>
  <c r="D7705" i="1"/>
  <c r="E7704" i="1"/>
  <c r="D7704" i="1"/>
  <c r="E7703" i="1"/>
  <c r="D7703" i="1"/>
  <c r="E7702" i="1"/>
  <c r="D7702" i="1"/>
  <c r="E7701" i="1"/>
  <c r="D7701" i="1"/>
  <c r="E7700" i="1"/>
  <c r="D7700" i="1"/>
  <c r="E7699" i="1"/>
  <c r="D7699" i="1"/>
  <c r="E7698" i="1"/>
  <c r="D7698" i="1"/>
  <c r="E7697" i="1"/>
  <c r="D7697" i="1"/>
  <c r="E7696" i="1"/>
  <c r="D7696" i="1"/>
  <c r="E7695" i="1"/>
  <c r="D7695" i="1"/>
  <c r="E7694" i="1"/>
  <c r="D7694" i="1"/>
  <c r="E7693" i="1"/>
  <c r="D7693" i="1"/>
  <c r="E7692" i="1"/>
  <c r="D7692" i="1"/>
  <c r="E7691" i="1"/>
  <c r="D7691" i="1"/>
  <c r="E7690" i="1"/>
  <c r="D7690" i="1"/>
  <c r="E7689" i="1"/>
  <c r="D7689" i="1"/>
  <c r="E7688" i="1"/>
  <c r="D7688" i="1"/>
  <c r="E7687" i="1"/>
  <c r="D7687" i="1"/>
  <c r="E7686" i="1"/>
  <c r="D7686" i="1"/>
  <c r="E7685" i="1"/>
  <c r="D7685" i="1"/>
  <c r="E7684" i="1"/>
  <c r="D7684" i="1"/>
  <c r="E7683" i="1"/>
  <c r="D7683" i="1"/>
  <c r="E7682" i="1"/>
  <c r="D7682" i="1"/>
  <c r="E7681" i="1"/>
  <c r="D7681" i="1"/>
  <c r="E7680" i="1"/>
  <c r="D7680" i="1"/>
  <c r="E7679" i="1"/>
  <c r="D7679" i="1"/>
  <c r="E7678" i="1"/>
  <c r="D7678" i="1"/>
  <c r="E7677" i="1"/>
  <c r="D7677" i="1"/>
  <c r="E7676" i="1"/>
  <c r="D7676" i="1"/>
  <c r="E7675" i="1"/>
  <c r="D7675" i="1"/>
  <c r="E7674" i="1"/>
  <c r="D7674" i="1"/>
  <c r="E7673" i="1"/>
  <c r="D7673" i="1"/>
  <c r="E7672" i="1"/>
  <c r="D7672" i="1"/>
  <c r="E7671" i="1"/>
  <c r="D7671" i="1"/>
  <c r="E7670" i="1"/>
  <c r="D7670" i="1"/>
  <c r="E7669" i="1"/>
  <c r="D7669" i="1"/>
  <c r="E7668" i="1"/>
  <c r="D7668" i="1"/>
  <c r="E7667" i="1"/>
  <c r="D7667" i="1"/>
  <c r="E7666" i="1"/>
  <c r="D7666" i="1"/>
  <c r="E7665" i="1"/>
  <c r="D7665" i="1"/>
  <c r="E7664" i="1"/>
  <c r="D7664" i="1"/>
  <c r="E7663" i="1"/>
  <c r="D7663" i="1"/>
  <c r="E7662" i="1"/>
  <c r="D7662" i="1"/>
  <c r="E7661" i="1"/>
  <c r="D7661" i="1"/>
  <c r="E7660" i="1"/>
  <c r="D7660" i="1"/>
  <c r="E7659" i="1"/>
  <c r="D7659" i="1"/>
  <c r="E7658" i="1"/>
  <c r="D7658" i="1"/>
  <c r="E7657" i="1"/>
  <c r="D7657" i="1"/>
  <c r="E7656" i="1"/>
  <c r="D7656" i="1"/>
  <c r="E7655" i="1"/>
  <c r="D7655" i="1"/>
  <c r="E7654" i="1"/>
  <c r="D7654" i="1"/>
  <c r="E7653" i="1"/>
  <c r="D7653" i="1"/>
  <c r="E7652" i="1"/>
  <c r="D7652" i="1"/>
  <c r="E7651" i="1"/>
  <c r="D7651" i="1"/>
  <c r="E7650" i="1"/>
  <c r="D7650" i="1"/>
  <c r="E7649" i="1"/>
  <c r="D7649" i="1"/>
  <c r="E7648" i="1"/>
  <c r="D7648" i="1"/>
  <c r="E7647" i="1"/>
  <c r="D7647" i="1"/>
  <c r="E7646" i="1"/>
  <c r="D7646" i="1"/>
  <c r="E7645" i="1"/>
  <c r="D7645" i="1"/>
  <c r="E7644" i="1"/>
  <c r="D7644" i="1"/>
  <c r="E7643" i="1"/>
  <c r="D7643" i="1"/>
  <c r="E7642" i="1"/>
  <c r="D7642" i="1"/>
  <c r="E7641" i="1"/>
  <c r="D7641" i="1"/>
  <c r="E7640" i="1"/>
  <c r="D7640" i="1"/>
  <c r="E7639" i="1"/>
  <c r="D7639" i="1"/>
  <c r="E7638" i="1"/>
  <c r="D7638" i="1"/>
  <c r="E7637" i="1"/>
  <c r="D7637" i="1"/>
  <c r="E7636" i="1"/>
  <c r="D7636" i="1"/>
  <c r="E7635" i="1"/>
  <c r="D7635" i="1"/>
  <c r="E7634" i="1"/>
  <c r="D7634" i="1"/>
  <c r="E7633" i="1"/>
  <c r="D7633" i="1"/>
  <c r="E7632" i="1"/>
  <c r="D7632" i="1"/>
  <c r="E7631" i="1"/>
  <c r="D7631" i="1"/>
  <c r="E7630" i="1"/>
  <c r="D7630" i="1"/>
  <c r="E7629" i="1"/>
  <c r="D7629" i="1"/>
  <c r="E7628" i="1"/>
  <c r="D7628" i="1"/>
  <c r="E7627" i="1"/>
  <c r="D7627" i="1"/>
  <c r="E7626" i="1"/>
  <c r="D7626" i="1"/>
  <c r="E7625" i="1"/>
  <c r="D7625" i="1"/>
  <c r="E7624" i="1"/>
  <c r="D7624" i="1"/>
  <c r="E7623" i="1"/>
  <c r="D7623" i="1"/>
  <c r="E7622" i="1"/>
  <c r="D7622" i="1"/>
  <c r="E7621" i="1"/>
  <c r="D7621" i="1"/>
  <c r="E7620" i="1"/>
  <c r="D7620" i="1"/>
  <c r="E7619" i="1"/>
  <c r="D7619" i="1"/>
  <c r="E7618" i="1"/>
  <c r="D7618" i="1"/>
  <c r="E7617" i="1"/>
  <c r="D7617" i="1"/>
  <c r="E7616" i="1"/>
  <c r="D7616" i="1"/>
  <c r="E7615" i="1"/>
  <c r="D7615" i="1"/>
  <c r="E7614" i="1"/>
  <c r="D7614" i="1"/>
  <c r="E7613" i="1"/>
  <c r="D7613" i="1"/>
  <c r="E7612" i="1"/>
  <c r="D7612" i="1"/>
  <c r="E7611" i="1"/>
  <c r="D7611" i="1"/>
  <c r="E7610" i="1"/>
  <c r="D7610" i="1"/>
  <c r="E7609" i="1"/>
  <c r="D7609" i="1"/>
  <c r="E7608" i="1"/>
  <c r="D7608" i="1"/>
  <c r="E7607" i="1"/>
  <c r="D7607" i="1"/>
  <c r="E7606" i="1"/>
  <c r="D7606" i="1"/>
  <c r="E7605" i="1"/>
  <c r="D7605" i="1"/>
  <c r="E7604" i="1"/>
  <c r="D7604" i="1"/>
  <c r="E7603" i="1"/>
  <c r="D7603" i="1"/>
  <c r="E7602" i="1"/>
  <c r="D7602" i="1"/>
  <c r="E7601" i="1"/>
  <c r="D7601" i="1"/>
  <c r="E7600" i="1"/>
  <c r="D7600" i="1"/>
  <c r="E7599" i="1"/>
  <c r="D7599" i="1"/>
  <c r="E7598" i="1"/>
  <c r="D7598" i="1"/>
  <c r="E7597" i="1"/>
  <c r="D7597" i="1"/>
  <c r="E7596" i="1"/>
  <c r="D7596" i="1"/>
  <c r="E7595" i="1"/>
  <c r="D7595" i="1"/>
  <c r="E7594" i="1"/>
  <c r="D7594" i="1"/>
  <c r="E7593" i="1"/>
  <c r="D7593" i="1"/>
  <c r="E7592" i="1"/>
  <c r="D7592" i="1"/>
  <c r="E7591" i="1"/>
  <c r="D7591" i="1"/>
  <c r="E7590" i="1"/>
  <c r="D7590" i="1"/>
  <c r="E7589" i="1"/>
  <c r="D7589" i="1"/>
  <c r="E7588" i="1"/>
  <c r="D7588" i="1"/>
  <c r="E7587" i="1"/>
  <c r="D7587" i="1"/>
  <c r="E7586" i="1"/>
  <c r="D7586" i="1"/>
  <c r="E7585" i="1"/>
  <c r="D7585" i="1"/>
  <c r="E7584" i="1"/>
  <c r="D7584" i="1"/>
  <c r="E7583" i="1"/>
  <c r="D7583" i="1"/>
  <c r="E7582" i="1"/>
  <c r="D7582" i="1"/>
  <c r="E7581" i="1"/>
  <c r="D7581" i="1"/>
  <c r="E7580" i="1"/>
  <c r="D7580" i="1"/>
  <c r="E7579" i="1"/>
  <c r="D7579" i="1"/>
  <c r="E7578" i="1"/>
  <c r="D7578" i="1"/>
  <c r="E7577" i="1"/>
  <c r="D7577" i="1"/>
  <c r="E7576" i="1"/>
  <c r="D7576" i="1"/>
  <c r="E7575" i="1"/>
  <c r="D7575" i="1"/>
  <c r="E7574" i="1"/>
  <c r="D7574" i="1"/>
  <c r="E7573" i="1"/>
  <c r="D7573" i="1"/>
  <c r="E7572" i="1"/>
  <c r="D7572" i="1"/>
  <c r="E7571" i="1"/>
  <c r="D7571" i="1"/>
  <c r="E7570" i="1"/>
  <c r="D7570" i="1"/>
  <c r="E7569" i="1"/>
  <c r="D7569" i="1"/>
  <c r="E7568" i="1"/>
  <c r="D7568" i="1"/>
  <c r="E7567" i="1"/>
  <c r="D7567" i="1"/>
  <c r="E7566" i="1"/>
  <c r="D7566" i="1"/>
  <c r="E7565" i="1"/>
  <c r="D7565" i="1"/>
  <c r="E7564" i="1"/>
  <c r="D7564" i="1"/>
  <c r="E7563" i="1"/>
  <c r="D7563" i="1"/>
  <c r="E7562" i="1"/>
  <c r="D7562" i="1"/>
  <c r="E7561" i="1"/>
  <c r="D7561" i="1"/>
  <c r="E7560" i="1"/>
  <c r="D7560" i="1"/>
  <c r="E7559" i="1"/>
  <c r="D7559" i="1"/>
  <c r="E7558" i="1"/>
  <c r="D7558" i="1"/>
  <c r="E7557" i="1"/>
  <c r="D7557" i="1"/>
  <c r="E7556" i="1"/>
  <c r="D7556" i="1"/>
  <c r="E7555" i="1"/>
  <c r="D7555" i="1"/>
  <c r="E7554" i="1"/>
  <c r="D7554" i="1"/>
  <c r="E7553" i="1"/>
  <c r="D7553" i="1"/>
  <c r="E7552" i="1"/>
  <c r="D7552" i="1"/>
  <c r="E7551" i="1"/>
  <c r="D7551" i="1"/>
  <c r="E7550" i="1"/>
  <c r="D7550" i="1"/>
  <c r="E7549" i="1"/>
  <c r="D7549" i="1"/>
  <c r="E7548" i="1"/>
  <c r="D7548" i="1"/>
  <c r="E7547" i="1"/>
  <c r="D7547" i="1"/>
  <c r="E7546" i="1"/>
  <c r="D7546" i="1"/>
  <c r="E7545" i="1"/>
  <c r="D7545" i="1"/>
  <c r="E7544" i="1"/>
  <c r="D7544" i="1"/>
  <c r="E7543" i="1"/>
  <c r="D7543" i="1"/>
  <c r="E7542" i="1"/>
  <c r="D7542" i="1"/>
  <c r="E7541" i="1"/>
  <c r="D7541" i="1"/>
  <c r="E7540" i="1"/>
  <c r="D7540" i="1"/>
  <c r="E7539" i="1"/>
  <c r="D7539" i="1"/>
  <c r="E7538" i="1"/>
  <c r="D7538" i="1"/>
  <c r="E7537" i="1"/>
  <c r="D7537" i="1"/>
  <c r="E7536" i="1"/>
  <c r="D7536" i="1"/>
  <c r="E7535" i="1"/>
  <c r="D7535" i="1"/>
  <c r="E7534" i="1"/>
  <c r="D7534" i="1"/>
  <c r="E7533" i="1"/>
  <c r="D7533" i="1"/>
  <c r="E7532" i="1"/>
  <c r="D7532" i="1"/>
  <c r="E7531" i="1"/>
  <c r="D7531" i="1"/>
  <c r="E7530" i="1"/>
  <c r="D7530" i="1"/>
  <c r="E7529" i="1"/>
  <c r="D7529" i="1"/>
  <c r="E7528" i="1"/>
  <c r="D7528" i="1"/>
  <c r="E7527" i="1"/>
  <c r="D7527" i="1"/>
  <c r="E7526" i="1"/>
  <c r="D7526" i="1"/>
  <c r="E7525" i="1"/>
  <c r="D7525" i="1"/>
  <c r="E7524" i="1"/>
  <c r="D7524" i="1"/>
  <c r="E7523" i="1"/>
  <c r="D7523" i="1"/>
  <c r="E7522" i="1"/>
  <c r="D7522" i="1"/>
  <c r="E7521" i="1"/>
  <c r="D7521" i="1"/>
  <c r="E7520" i="1"/>
  <c r="D7520" i="1"/>
  <c r="E7519" i="1"/>
  <c r="D7519" i="1"/>
  <c r="E7518" i="1"/>
  <c r="D7518" i="1"/>
  <c r="E7517" i="1"/>
  <c r="D7517" i="1"/>
  <c r="E7516" i="1"/>
  <c r="D7516" i="1"/>
  <c r="E7515" i="1"/>
  <c r="D7515" i="1"/>
  <c r="E7514" i="1"/>
  <c r="D7514" i="1"/>
  <c r="E7513" i="1"/>
  <c r="D7513" i="1"/>
  <c r="E7512" i="1"/>
  <c r="D7512" i="1"/>
  <c r="E7511" i="1"/>
  <c r="D7511" i="1"/>
  <c r="E7510" i="1"/>
  <c r="D7510" i="1"/>
  <c r="E7509" i="1"/>
  <c r="D7509" i="1"/>
  <c r="E7508" i="1"/>
  <c r="D7508" i="1"/>
  <c r="E7507" i="1"/>
  <c r="D7507" i="1"/>
  <c r="E7506" i="1"/>
  <c r="D7506" i="1"/>
  <c r="E7505" i="1"/>
  <c r="D7505" i="1"/>
  <c r="E7504" i="1"/>
  <c r="D7504" i="1"/>
  <c r="E7503" i="1"/>
  <c r="D7503" i="1"/>
  <c r="E7502" i="1"/>
  <c r="D7502" i="1"/>
  <c r="E7501" i="1"/>
  <c r="D7501" i="1"/>
  <c r="E7500" i="1"/>
  <c r="D7500" i="1"/>
  <c r="E7499" i="1"/>
  <c r="D7499" i="1"/>
  <c r="E7498" i="1"/>
  <c r="D7498" i="1"/>
  <c r="E7497" i="1"/>
  <c r="D7497" i="1"/>
  <c r="E7496" i="1"/>
  <c r="D7496" i="1"/>
  <c r="E7495" i="1"/>
  <c r="D7495" i="1"/>
  <c r="E7494" i="1"/>
  <c r="D7494" i="1"/>
  <c r="E7493" i="1"/>
  <c r="D7493" i="1"/>
  <c r="E7492" i="1"/>
  <c r="D7492" i="1"/>
  <c r="E7491" i="1"/>
  <c r="D7491" i="1"/>
  <c r="E7490" i="1"/>
  <c r="D7490" i="1"/>
  <c r="E7489" i="1"/>
  <c r="D7489" i="1"/>
  <c r="E7488" i="1"/>
  <c r="D7488" i="1"/>
  <c r="E7487" i="1"/>
  <c r="D7487" i="1"/>
  <c r="E7486" i="1"/>
  <c r="D7486" i="1"/>
  <c r="E7485" i="1"/>
  <c r="D7485" i="1"/>
  <c r="E7484" i="1"/>
  <c r="D7484" i="1"/>
  <c r="E7483" i="1"/>
  <c r="D7483" i="1"/>
  <c r="E7482" i="1"/>
  <c r="D7482" i="1"/>
  <c r="E7481" i="1"/>
  <c r="D7481" i="1"/>
  <c r="E7480" i="1"/>
  <c r="D7480" i="1"/>
  <c r="E7479" i="1"/>
  <c r="D7479" i="1"/>
  <c r="E7478" i="1"/>
  <c r="D7478" i="1"/>
  <c r="E7477" i="1"/>
  <c r="D7477" i="1"/>
  <c r="E7476" i="1"/>
  <c r="D7476" i="1"/>
  <c r="E7475" i="1"/>
  <c r="D7475" i="1"/>
  <c r="E7474" i="1"/>
  <c r="D7474" i="1"/>
  <c r="E7473" i="1"/>
  <c r="D7473" i="1"/>
  <c r="E7472" i="1"/>
  <c r="D7472" i="1"/>
  <c r="E7471" i="1"/>
  <c r="D7471" i="1"/>
  <c r="E7470" i="1"/>
  <c r="D7470" i="1"/>
  <c r="E7469" i="1"/>
  <c r="D7469" i="1"/>
  <c r="E7468" i="1"/>
  <c r="D7468" i="1"/>
  <c r="E7467" i="1"/>
  <c r="D7467" i="1"/>
  <c r="E7466" i="1"/>
  <c r="D7466" i="1"/>
  <c r="E7465" i="1"/>
  <c r="D7465" i="1"/>
  <c r="E7464" i="1"/>
  <c r="D7464" i="1"/>
  <c r="E7463" i="1"/>
  <c r="D7463" i="1"/>
  <c r="E7462" i="1"/>
  <c r="D7462" i="1"/>
  <c r="E7461" i="1"/>
  <c r="D7461" i="1"/>
  <c r="E7460" i="1"/>
  <c r="D7460" i="1"/>
  <c r="E7459" i="1"/>
  <c r="D7459" i="1"/>
  <c r="E7458" i="1"/>
  <c r="D7458" i="1"/>
  <c r="E7457" i="1"/>
  <c r="D7457" i="1"/>
  <c r="E7456" i="1"/>
  <c r="D7456" i="1"/>
  <c r="E7455" i="1"/>
  <c r="D7455" i="1"/>
  <c r="E7454" i="1"/>
  <c r="D7454" i="1"/>
  <c r="E7453" i="1"/>
  <c r="D7453" i="1"/>
  <c r="E7452" i="1"/>
  <c r="D7452" i="1"/>
  <c r="E7451" i="1"/>
  <c r="D7451" i="1"/>
  <c r="E7450" i="1"/>
  <c r="D7450" i="1"/>
  <c r="E7449" i="1"/>
  <c r="D7449" i="1"/>
  <c r="E7448" i="1"/>
  <c r="D7448" i="1"/>
  <c r="E7447" i="1"/>
  <c r="D7447" i="1"/>
  <c r="E7446" i="1"/>
  <c r="D7446" i="1"/>
  <c r="E7445" i="1"/>
  <c r="D7445" i="1"/>
  <c r="E7444" i="1"/>
  <c r="D7444" i="1"/>
  <c r="E7443" i="1"/>
  <c r="D7443" i="1"/>
  <c r="E7442" i="1"/>
  <c r="D7442" i="1"/>
  <c r="E7441" i="1"/>
  <c r="D7441" i="1"/>
  <c r="E7440" i="1"/>
  <c r="D7440" i="1"/>
  <c r="E7439" i="1"/>
  <c r="D7439" i="1"/>
  <c r="E7438" i="1"/>
  <c r="D7438" i="1"/>
  <c r="E7437" i="1"/>
  <c r="D7437" i="1"/>
  <c r="E7436" i="1"/>
  <c r="D7436" i="1"/>
  <c r="E7435" i="1"/>
  <c r="D7435" i="1"/>
  <c r="E7434" i="1"/>
  <c r="D7434" i="1"/>
  <c r="E7433" i="1"/>
  <c r="D7433" i="1"/>
  <c r="E7432" i="1"/>
  <c r="D7432" i="1"/>
  <c r="E7431" i="1"/>
  <c r="D7431" i="1"/>
  <c r="E7430" i="1"/>
  <c r="D7430" i="1"/>
  <c r="E7429" i="1"/>
  <c r="D7429" i="1"/>
  <c r="E7428" i="1"/>
  <c r="D7428" i="1"/>
  <c r="E7427" i="1"/>
  <c r="D7427" i="1"/>
  <c r="E7426" i="1"/>
  <c r="D7426" i="1"/>
  <c r="E7425" i="1"/>
  <c r="D7425" i="1"/>
  <c r="E7424" i="1"/>
  <c r="D7424" i="1"/>
  <c r="E7423" i="1"/>
  <c r="D7423" i="1"/>
  <c r="E7422" i="1"/>
  <c r="D7422" i="1"/>
  <c r="E7421" i="1"/>
  <c r="D7421" i="1"/>
  <c r="E7420" i="1"/>
  <c r="D7420" i="1"/>
  <c r="E7419" i="1"/>
  <c r="D7419" i="1"/>
  <c r="E7418" i="1"/>
  <c r="D7418" i="1"/>
  <c r="E7417" i="1"/>
  <c r="D7417" i="1"/>
  <c r="E7416" i="1"/>
  <c r="D7416" i="1"/>
  <c r="E7415" i="1"/>
  <c r="D7415" i="1"/>
  <c r="E7414" i="1"/>
  <c r="D7414" i="1"/>
  <c r="E7413" i="1"/>
  <c r="D7413" i="1"/>
  <c r="E7412" i="1"/>
  <c r="D7412" i="1"/>
  <c r="E7411" i="1"/>
  <c r="D7411" i="1"/>
  <c r="E7410" i="1"/>
  <c r="D7410" i="1"/>
  <c r="E7409" i="1"/>
  <c r="D7409" i="1"/>
  <c r="E7408" i="1"/>
  <c r="D7408" i="1"/>
  <c r="E7407" i="1"/>
  <c r="D7407" i="1"/>
  <c r="E7406" i="1"/>
  <c r="D7406" i="1"/>
  <c r="E7405" i="1"/>
  <c r="D7405" i="1"/>
  <c r="E7404" i="1"/>
  <c r="D7404" i="1"/>
  <c r="E7403" i="1"/>
  <c r="D7403" i="1"/>
  <c r="E7402" i="1"/>
  <c r="D7402" i="1"/>
  <c r="E7401" i="1"/>
  <c r="D7401" i="1"/>
  <c r="E7400" i="1"/>
  <c r="D7400" i="1"/>
  <c r="E7399" i="1"/>
  <c r="D7399" i="1"/>
  <c r="E7398" i="1"/>
  <c r="D7398" i="1"/>
  <c r="E7397" i="1"/>
  <c r="D7397" i="1"/>
  <c r="E7396" i="1"/>
  <c r="D7396" i="1"/>
  <c r="E7395" i="1"/>
  <c r="D7395" i="1"/>
  <c r="E7394" i="1"/>
  <c r="D7394" i="1"/>
  <c r="E7393" i="1"/>
  <c r="D7393" i="1"/>
  <c r="E7392" i="1"/>
  <c r="D7392" i="1"/>
  <c r="E7391" i="1"/>
  <c r="D7391" i="1"/>
  <c r="E7390" i="1"/>
  <c r="D7390" i="1"/>
  <c r="E7389" i="1"/>
  <c r="D7389" i="1"/>
  <c r="E7388" i="1"/>
  <c r="D7388" i="1"/>
  <c r="E7387" i="1"/>
  <c r="D7387" i="1"/>
  <c r="E7386" i="1"/>
  <c r="D7386" i="1"/>
  <c r="E7385" i="1"/>
  <c r="D7385" i="1"/>
  <c r="E7384" i="1"/>
  <c r="D7384" i="1"/>
  <c r="E7383" i="1"/>
  <c r="D7383" i="1"/>
  <c r="E7382" i="1"/>
  <c r="D7382" i="1"/>
  <c r="E7381" i="1"/>
  <c r="D7381" i="1"/>
  <c r="E7380" i="1"/>
  <c r="D7380" i="1"/>
  <c r="E7379" i="1"/>
  <c r="D7379" i="1"/>
  <c r="E7378" i="1"/>
  <c r="D7378" i="1"/>
  <c r="E7377" i="1"/>
  <c r="D7377" i="1"/>
  <c r="E7376" i="1"/>
  <c r="D7376" i="1"/>
  <c r="E7375" i="1"/>
  <c r="D7375" i="1"/>
  <c r="E7374" i="1"/>
  <c r="D7374" i="1"/>
  <c r="E7373" i="1"/>
  <c r="D7373" i="1"/>
  <c r="E7372" i="1"/>
  <c r="D7372" i="1"/>
  <c r="E7371" i="1"/>
  <c r="D7371" i="1"/>
  <c r="E7370" i="1"/>
  <c r="D7370" i="1"/>
  <c r="E7369" i="1"/>
  <c r="D7369" i="1"/>
  <c r="E7368" i="1"/>
  <c r="D7368" i="1"/>
  <c r="E7367" i="1"/>
  <c r="D7367" i="1"/>
  <c r="E7366" i="1"/>
  <c r="D7366" i="1"/>
  <c r="E7365" i="1"/>
  <c r="D7365" i="1"/>
  <c r="E7364" i="1"/>
  <c r="D7364" i="1"/>
  <c r="E7363" i="1"/>
  <c r="D7363" i="1"/>
  <c r="E7362" i="1"/>
  <c r="D7362" i="1"/>
  <c r="E7361" i="1"/>
  <c r="D7361" i="1"/>
  <c r="E7360" i="1"/>
  <c r="D7360" i="1"/>
  <c r="E7359" i="1"/>
  <c r="D7359" i="1"/>
  <c r="E7358" i="1"/>
  <c r="D7358" i="1"/>
  <c r="E7357" i="1"/>
  <c r="D7357" i="1"/>
  <c r="E7356" i="1"/>
  <c r="D7356" i="1"/>
  <c r="E7355" i="1"/>
  <c r="D7355" i="1"/>
  <c r="E7354" i="1"/>
  <c r="D7354" i="1"/>
  <c r="E7353" i="1"/>
  <c r="D7353" i="1"/>
  <c r="E7352" i="1"/>
  <c r="D7352" i="1"/>
  <c r="E7351" i="1"/>
  <c r="D7351" i="1"/>
  <c r="E7350" i="1"/>
  <c r="D7350" i="1"/>
  <c r="E7349" i="1"/>
  <c r="D7349" i="1"/>
  <c r="E7348" i="1"/>
  <c r="D7348" i="1"/>
  <c r="E7347" i="1"/>
  <c r="D7347" i="1"/>
  <c r="E7346" i="1"/>
  <c r="D7346" i="1"/>
  <c r="E7345" i="1"/>
  <c r="D7345" i="1"/>
  <c r="E7344" i="1"/>
  <c r="D7344" i="1"/>
  <c r="E7343" i="1"/>
  <c r="D7343" i="1"/>
  <c r="E7342" i="1"/>
  <c r="D7342" i="1"/>
  <c r="E7341" i="1"/>
  <c r="D7341" i="1"/>
  <c r="E7340" i="1"/>
  <c r="D7340" i="1"/>
  <c r="E7339" i="1"/>
  <c r="D7339" i="1"/>
  <c r="E7338" i="1"/>
  <c r="D7338" i="1"/>
  <c r="E7337" i="1"/>
  <c r="D7337" i="1"/>
  <c r="E7336" i="1"/>
  <c r="D7336" i="1"/>
  <c r="E7335" i="1"/>
  <c r="D7335" i="1"/>
  <c r="E7334" i="1"/>
  <c r="D7334" i="1"/>
  <c r="E7333" i="1"/>
  <c r="D7333" i="1"/>
  <c r="E7332" i="1"/>
  <c r="D7332" i="1"/>
  <c r="E7331" i="1"/>
  <c r="D7331" i="1"/>
  <c r="E7330" i="1"/>
  <c r="D7330" i="1"/>
  <c r="E7329" i="1"/>
  <c r="D7329" i="1"/>
  <c r="E7328" i="1"/>
  <c r="D7328" i="1"/>
  <c r="E7327" i="1"/>
  <c r="D7327" i="1"/>
  <c r="E7326" i="1"/>
  <c r="D7326" i="1"/>
  <c r="E7325" i="1"/>
  <c r="D7325" i="1"/>
  <c r="E7324" i="1"/>
  <c r="D7324" i="1"/>
  <c r="E7323" i="1"/>
  <c r="D7323" i="1"/>
  <c r="E7322" i="1"/>
  <c r="D7322" i="1"/>
  <c r="E7321" i="1"/>
  <c r="D7321" i="1"/>
  <c r="E7320" i="1"/>
  <c r="D7320" i="1"/>
  <c r="E7319" i="1"/>
  <c r="D7319" i="1"/>
  <c r="E7318" i="1"/>
  <c r="D7318" i="1"/>
  <c r="E7317" i="1"/>
  <c r="D7317" i="1"/>
  <c r="E7316" i="1"/>
  <c r="D7316" i="1"/>
  <c r="E7315" i="1"/>
  <c r="D7315" i="1"/>
  <c r="E7314" i="1"/>
  <c r="D7314" i="1"/>
  <c r="E7313" i="1"/>
  <c r="D7313" i="1"/>
  <c r="E7312" i="1"/>
  <c r="D7312" i="1"/>
  <c r="E7311" i="1"/>
  <c r="D7311" i="1"/>
  <c r="E7310" i="1"/>
  <c r="D7310" i="1"/>
  <c r="E7309" i="1"/>
  <c r="D7309" i="1"/>
  <c r="E7308" i="1"/>
  <c r="D7308" i="1"/>
  <c r="E7307" i="1"/>
  <c r="D7307" i="1"/>
  <c r="E7306" i="1"/>
  <c r="D7306" i="1"/>
  <c r="E7305" i="1"/>
  <c r="D7305" i="1"/>
  <c r="E7304" i="1"/>
  <c r="D7304" i="1"/>
  <c r="E7303" i="1"/>
  <c r="D7303" i="1"/>
  <c r="E7302" i="1"/>
  <c r="D7302" i="1"/>
  <c r="E7301" i="1"/>
  <c r="D7301" i="1"/>
  <c r="E7300" i="1"/>
  <c r="D7300" i="1"/>
  <c r="E7299" i="1"/>
  <c r="D7299" i="1"/>
  <c r="E7298" i="1"/>
  <c r="D7298" i="1"/>
  <c r="E7297" i="1"/>
  <c r="D7297" i="1"/>
  <c r="E7296" i="1"/>
  <c r="D7296" i="1"/>
  <c r="E7295" i="1"/>
  <c r="D7295" i="1"/>
  <c r="E7294" i="1"/>
  <c r="D7294" i="1"/>
  <c r="E7293" i="1"/>
  <c r="D7293" i="1"/>
  <c r="E7292" i="1"/>
  <c r="D7292" i="1"/>
  <c r="E7291" i="1"/>
  <c r="D7291" i="1"/>
  <c r="E7290" i="1"/>
  <c r="D7290" i="1"/>
  <c r="E7289" i="1"/>
  <c r="D7289" i="1"/>
  <c r="E7288" i="1"/>
  <c r="D7288" i="1"/>
  <c r="E7287" i="1"/>
  <c r="D7287" i="1"/>
  <c r="E7286" i="1"/>
  <c r="D7286" i="1"/>
  <c r="E7285" i="1"/>
  <c r="D7285" i="1"/>
  <c r="E7284" i="1"/>
  <c r="D7284" i="1"/>
  <c r="E7283" i="1"/>
  <c r="D7283" i="1"/>
  <c r="E7282" i="1"/>
  <c r="D7282" i="1"/>
  <c r="E7281" i="1"/>
  <c r="D7281" i="1"/>
  <c r="E7280" i="1"/>
  <c r="D7280" i="1"/>
  <c r="E7279" i="1"/>
  <c r="D7279" i="1"/>
  <c r="E7278" i="1"/>
  <c r="D7278" i="1"/>
  <c r="E7277" i="1"/>
  <c r="D7277" i="1"/>
  <c r="E7276" i="1"/>
  <c r="D7276" i="1"/>
  <c r="E7275" i="1"/>
  <c r="D7275" i="1"/>
  <c r="E7274" i="1"/>
  <c r="D7274" i="1"/>
  <c r="E7273" i="1"/>
  <c r="D7273" i="1"/>
  <c r="E7272" i="1"/>
  <c r="D7272" i="1"/>
  <c r="E7271" i="1"/>
  <c r="D7271" i="1"/>
  <c r="E7270" i="1"/>
  <c r="D7270" i="1"/>
  <c r="E7269" i="1"/>
  <c r="D7269" i="1"/>
  <c r="E7268" i="1"/>
  <c r="D7268" i="1"/>
  <c r="E7267" i="1"/>
  <c r="D7267" i="1"/>
  <c r="E7266" i="1"/>
  <c r="D7266" i="1"/>
  <c r="E7265" i="1"/>
  <c r="D7265" i="1"/>
  <c r="E7264" i="1"/>
  <c r="D7264" i="1"/>
  <c r="E7263" i="1"/>
  <c r="D7263" i="1"/>
  <c r="E7262" i="1"/>
  <c r="D7262" i="1"/>
  <c r="E7261" i="1"/>
  <c r="D7261" i="1"/>
  <c r="E7260" i="1"/>
  <c r="D7260" i="1"/>
  <c r="E7259" i="1"/>
  <c r="D7259" i="1"/>
  <c r="E7258" i="1"/>
  <c r="D7258" i="1"/>
  <c r="E7257" i="1"/>
  <c r="D7257" i="1"/>
  <c r="E7256" i="1"/>
  <c r="D7256" i="1"/>
  <c r="E7255" i="1"/>
  <c r="D7255" i="1"/>
  <c r="E7254" i="1"/>
  <c r="D7254" i="1"/>
  <c r="E7253" i="1"/>
  <c r="D7253" i="1"/>
  <c r="E7252" i="1"/>
  <c r="D7252" i="1"/>
  <c r="E7251" i="1"/>
  <c r="D7251" i="1"/>
  <c r="E7250" i="1"/>
  <c r="D7250" i="1"/>
  <c r="E7249" i="1"/>
  <c r="D7249" i="1"/>
  <c r="E7248" i="1"/>
  <c r="D7248" i="1"/>
  <c r="E7247" i="1"/>
  <c r="D7247" i="1"/>
  <c r="E7246" i="1"/>
  <c r="D7246" i="1"/>
  <c r="E7245" i="1"/>
  <c r="D7245" i="1"/>
  <c r="E7244" i="1"/>
  <c r="D7244" i="1"/>
  <c r="E7243" i="1"/>
  <c r="D7243" i="1"/>
  <c r="E7242" i="1"/>
  <c r="D7242" i="1"/>
  <c r="E7241" i="1"/>
  <c r="D7241" i="1"/>
  <c r="E7240" i="1"/>
  <c r="D7240" i="1"/>
  <c r="E7239" i="1"/>
  <c r="D7239" i="1"/>
  <c r="E7238" i="1"/>
  <c r="D7238" i="1"/>
  <c r="E7237" i="1"/>
  <c r="D7237" i="1"/>
  <c r="E7236" i="1"/>
  <c r="D7236" i="1"/>
  <c r="E7235" i="1"/>
  <c r="D7235" i="1"/>
  <c r="E7234" i="1"/>
  <c r="D7234" i="1"/>
  <c r="E7233" i="1"/>
  <c r="D7233" i="1"/>
  <c r="E7232" i="1"/>
  <c r="D7232" i="1"/>
  <c r="E7231" i="1"/>
  <c r="D7231" i="1"/>
  <c r="E7230" i="1"/>
  <c r="D7230" i="1"/>
  <c r="E7229" i="1"/>
  <c r="D7229" i="1"/>
  <c r="E7228" i="1"/>
  <c r="D7228" i="1"/>
  <c r="E7227" i="1"/>
  <c r="D7227" i="1"/>
  <c r="E7226" i="1"/>
  <c r="D7226" i="1"/>
  <c r="E7225" i="1"/>
  <c r="D7225" i="1"/>
  <c r="E7224" i="1"/>
  <c r="D7224" i="1"/>
  <c r="E7223" i="1"/>
  <c r="D7223" i="1"/>
  <c r="E7222" i="1"/>
  <c r="D7222" i="1"/>
  <c r="E7221" i="1"/>
  <c r="D7221" i="1"/>
  <c r="E7220" i="1"/>
  <c r="D7220" i="1"/>
  <c r="E7219" i="1"/>
  <c r="D7219" i="1"/>
  <c r="E7218" i="1"/>
  <c r="D7218" i="1"/>
  <c r="E7217" i="1"/>
  <c r="D7217" i="1"/>
  <c r="E7216" i="1"/>
  <c r="D7216" i="1"/>
  <c r="E7215" i="1"/>
  <c r="D7215" i="1"/>
  <c r="E7214" i="1"/>
  <c r="D7214" i="1"/>
  <c r="E7213" i="1"/>
  <c r="D7213" i="1"/>
  <c r="E7212" i="1"/>
  <c r="D7212" i="1"/>
  <c r="E7211" i="1"/>
  <c r="D7211" i="1"/>
  <c r="E7210" i="1"/>
  <c r="D7210" i="1"/>
  <c r="E7209" i="1"/>
  <c r="D7209" i="1"/>
  <c r="E7208" i="1"/>
  <c r="D7208" i="1"/>
  <c r="E7207" i="1"/>
  <c r="D7207" i="1"/>
  <c r="E7206" i="1"/>
  <c r="D7206" i="1"/>
  <c r="E7205" i="1"/>
  <c r="D7205" i="1"/>
  <c r="E7204" i="1"/>
  <c r="D7204" i="1"/>
  <c r="E7203" i="1"/>
  <c r="D7203" i="1"/>
  <c r="E7202" i="1"/>
  <c r="D7202" i="1"/>
  <c r="E7201" i="1"/>
  <c r="D7201" i="1"/>
  <c r="E7200" i="1"/>
  <c r="D7200" i="1"/>
  <c r="E7199" i="1"/>
  <c r="D7199" i="1"/>
  <c r="E7198" i="1"/>
  <c r="D7198" i="1"/>
  <c r="E7197" i="1"/>
  <c r="D7197" i="1"/>
  <c r="E7196" i="1"/>
  <c r="D7196" i="1"/>
  <c r="E7195" i="1"/>
  <c r="D7195" i="1"/>
  <c r="E7194" i="1"/>
  <c r="D7194" i="1"/>
  <c r="E7193" i="1"/>
  <c r="D7193" i="1"/>
  <c r="E7192" i="1"/>
  <c r="D7192" i="1"/>
  <c r="E7191" i="1"/>
  <c r="D7191" i="1"/>
  <c r="E7190" i="1"/>
  <c r="D7190" i="1"/>
  <c r="E7189" i="1"/>
  <c r="D7189" i="1"/>
  <c r="E7188" i="1"/>
  <c r="D7188" i="1"/>
  <c r="E7187" i="1"/>
  <c r="D7187" i="1"/>
  <c r="E7186" i="1"/>
  <c r="D7186" i="1"/>
  <c r="E7185" i="1"/>
  <c r="D7185" i="1"/>
  <c r="E7184" i="1"/>
  <c r="D7184" i="1"/>
  <c r="E7183" i="1"/>
  <c r="D7183" i="1"/>
  <c r="E7182" i="1"/>
  <c r="D7182" i="1"/>
  <c r="E7181" i="1"/>
  <c r="D7181" i="1"/>
  <c r="E7180" i="1"/>
  <c r="D7180" i="1"/>
  <c r="E7179" i="1"/>
  <c r="D7179" i="1"/>
  <c r="E7178" i="1"/>
  <c r="D7178" i="1"/>
  <c r="E7177" i="1"/>
  <c r="D7177" i="1"/>
  <c r="E7176" i="1"/>
  <c r="D7176" i="1"/>
  <c r="E7175" i="1"/>
  <c r="D7175" i="1"/>
  <c r="E7174" i="1"/>
  <c r="D7174" i="1"/>
  <c r="E7173" i="1"/>
  <c r="D7173" i="1"/>
  <c r="E7172" i="1"/>
  <c r="D7172" i="1"/>
  <c r="E7171" i="1"/>
  <c r="D7171" i="1"/>
  <c r="E7170" i="1"/>
  <c r="D7170" i="1"/>
  <c r="E7169" i="1"/>
  <c r="D7169" i="1"/>
  <c r="E7168" i="1"/>
  <c r="D7168" i="1"/>
  <c r="E7167" i="1"/>
  <c r="D7167" i="1"/>
  <c r="E7166" i="1"/>
  <c r="D7166" i="1"/>
  <c r="E7165" i="1"/>
  <c r="D7165" i="1"/>
  <c r="E7164" i="1"/>
  <c r="D7164" i="1"/>
  <c r="E7163" i="1"/>
  <c r="D7163" i="1"/>
  <c r="E7162" i="1"/>
  <c r="D7162" i="1"/>
  <c r="E7161" i="1"/>
  <c r="D7161" i="1"/>
  <c r="E7160" i="1"/>
  <c r="D7160" i="1"/>
  <c r="E7159" i="1"/>
  <c r="D7159" i="1"/>
  <c r="E7158" i="1"/>
  <c r="D7158" i="1"/>
  <c r="E7157" i="1"/>
  <c r="D7157" i="1"/>
  <c r="E7156" i="1"/>
  <c r="D7156" i="1"/>
  <c r="E7155" i="1"/>
  <c r="D7155" i="1"/>
  <c r="E7154" i="1"/>
  <c r="D7154" i="1"/>
  <c r="E7153" i="1"/>
  <c r="D7153" i="1"/>
  <c r="E7152" i="1"/>
  <c r="D7152" i="1"/>
  <c r="E7151" i="1"/>
  <c r="D7151" i="1"/>
  <c r="E7150" i="1"/>
  <c r="D7150" i="1"/>
  <c r="E7149" i="1"/>
  <c r="D7149" i="1"/>
  <c r="E7148" i="1"/>
  <c r="D7148" i="1"/>
  <c r="E7147" i="1"/>
  <c r="D7147" i="1"/>
  <c r="E7146" i="1"/>
  <c r="D7146" i="1"/>
  <c r="E7145" i="1"/>
  <c r="D7145" i="1"/>
  <c r="E7144" i="1"/>
  <c r="D7144" i="1"/>
  <c r="E7143" i="1"/>
  <c r="D7143" i="1"/>
  <c r="E7142" i="1"/>
  <c r="D7142" i="1"/>
  <c r="E7141" i="1"/>
  <c r="D7141" i="1"/>
  <c r="E7140" i="1"/>
  <c r="D7140" i="1"/>
  <c r="E7139" i="1"/>
  <c r="D7139" i="1"/>
  <c r="E7138" i="1"/>
  <c r="D7138" i="1"/>
  <c r="E7137" i="1"/>
  <c r="D7137" i="1"/>
  <c r="E7136" i="1"/>
  <c r="D7136" i="1"/>
  <c r="E7135" i="1"/>
  <c r="D7135" i="1"/>
  <c r="E7134" i="1"/>
  <c r="D7134" i="1"/>
  <c r="E7133" i="1"/>
  <c r="D7133" i="1"/>
  <c r="E7132" i="1"/>
  <c r="D7132" i="1"/>
  <c r="E7131" i="1"/>
  <c r="D7131" i="1"/>
  <c r="E7130" i="1"/>
  <c r="D7130" i="1"/>
  <c r="E7129" i="1"/>
  <c r="D7129" i="1"/>
  <c r="E7128" i="1"/>
  <c r="D7128" i="1"/>
  <c r="E7127" i="1"/>
  <c r="D7127" i="1"/>
  <c r="E7126" i="1"/>
  <c r="D7126" i="1"/>
  <c r="E7125" i="1"/>
  <c r="D7125" i="1"/>
  <c r="E7124" i="1"/>
  <c r="D7124" i="1"/>
  <c r="E7123" i="1"/>
  <c r="D7123" i="1"/>
  <c r="E7122" i="1"/>
  <c r="D7122" i="1"/>
  <c r="E7121" i="1"/>
  <c r="D7121" i="1"/>
  <c r="E7120" i="1"/>
  <c r="D7120" i="1"/>
  <c r="E7119" i="1"/>
  <c r="D7119" i="1"/>
  <c r="E7118" i="1"/>
  <c r="D7118" i="1"/>
  <c r="E7117" i="1"/>
  <c r="D7117" i="1"/>
  <c r="E7116" i="1"/>
  <c r="D7116" i="1"/>
  <c r="E7115" i="1"/>
  <c r="D7115" i="1"/>
  <c r="E7114" i="1"/>
  <c r="D7114" i="1"/>
  <c r="E7113" i="1"/>
  <c r="D7113" i="1"/>
  <c r="E7112" i="1"/>
  <c r="D7112" i="1"/>
  <c r="E7111" i="1"/>
  <c r="D7111" i="1"/>
  <c r="E7110" i="1"/>
  <c r="D7110" i="1"/>
  <c r="E7109" i="1"/>
  <c r="D7109" i="1"/>
  <c r="E7108" i="1"/>
  <c r="D7108" i="1"/>
  <c r="E7107" i="1"/>
  <c r="D7107" i="1"/>
  <c r="E7106" i="1"/>
  <c r="D7106" i="1"/>
  <c r="E7105" i="1"/>
  <c r="D7105" i="1"/>
  <c r="E7104" i="1"/>
  <c r="D7104" i="1"/>
  <c r="E7103" i="1"/>
  <c r="D7103" i="1"/>
  <c r="E7102" i="1"/>
  <c r="D7102" i="1"/>
  <c r="E7101" i="1"/>
  <c r="D7101" i="1"/>
  <c r="E7100" i="1"/>
  <c r="D7100" i="1"/>
  <c r="E7099" i="1"/>
  <c r="D7099" i="1"/>
  <c r="E7098" i="1"/>
  <c r="D7098" i="1"/>
  <c r="E7097" i="1"/>
  <c r="D7097" i="1"/>
  <c r="E7096" i="1"/>
  <c r="D7096" i="1"/>
  <c r="E7095" i="1"/>
  <c r="D7095" i="1"/>
  <c r="E7094" i="1"/>
  <c r="D7094" i="1"/>
  <c r="E7093" i="1"/>
  <c r="D7093" i="1"/>
  <c r="E7092" i="1"/>
  <c r="D7092" i="1"/>
  <c r="E7091" i="1"/>
  <c r="D7091" i="1"/>
  <c r="E7090" i="1"/>
  <c r="D7090" i="1"/>
  <c r="E7089" i="1"/>
  <c r="D7089" i="1"/>
  <c r="E7088" i="1"/>
  <c r="D7088" i="1"/>
  <c r="E7087" i="1"/>
  <c r="D7087" i="1"/>
  <c r="E7086" i="1"/>
  <c r="D7086" i="1"/>
  <c r="E7085" i="1"/>
  <c r="D7085" i="1"/>
  <c r="E7084" i="1"/>
  <c r="D7084" i="1"/>
  <c r="E7083" i="1"/>
  <c r="D7083" i="1"/>
  <c r="E7082" i="1"/>
  <c r="D7082" i="1"/>
  <c r="E7081" i="1"/>
  <c r="D7081" i="1"/>
  <c r="E7080" i="1"/>
  <c r="D7080" i="1"/>
  <c r="E7079" i="1"/>
  <c r="D7079" i="1"/>
  <c r="E7078" i="1"/>
  <c r="D7078" i="1"/>
  <c r="E7077" i="1"/>
  <c r="D7077" i="1"/>
  <c r="E7076" i="1"/>
  <c r="D7076" i="1"/>
  <c r="E7075" i="1"/>
  <c r="D7075" i="1"/>
  <c r="E7074" i="1"/>
  <c r="D7074" i="1"/>
  <c r="E7073" i="1"/>
  <c r="D7073" i="1"/>
  <c r="E7072" i="1"/>
  <c r="D7072" i="1"/>
  <c r="E7071" i="1"/>
  <c r="D7071" i="1"/>
  <c r="E7070" i="1"/>
  <c r="D7070" i="1"/>
  <c r="E7069" i="1"/>
  <c r="D7069" i="1"/>
  <c r="E7068" i="1"/>
  <c r="D7068" i="1"/>
  <c r="E7067" i="1"/>
  <c r="D7067" i="1"/>
  <c r="E7066" i="1"/>
  <c r="D7066" i="1"/>
  <c r="E7065" i="1"/>
  <c r="D7065" i="1"/>
  <c r="E7064" i="1"/>
  <c r="D7064" i="1"/>
  <c r="E7063" i="1"/>
  <c r="D7063" i="1"/>
  <c r="E7062" i="1"/>
  <c r="D7062" i="1"/>
  <c r="E7061" i="1"/>
  <c r="D7061" i="1"/>
  <c r="E7060" i="1"/>
  <c r="D7060" i="1"/>
  <c r="E7059" i="1"/>
  <c r="D7059" i="1"/>
  <c r="E7058" i="1"/>
  <c r="D7058" i="1"/>
  <c r="E7057" i="1"/>
  <c r="D7057" i="1"/>
  <c r="E7056" i="1"/>
  <c r="D7056" i="1"/>
  <c r="E7055" i="1"/>
  <c r="D7055" i="1"/>
  <c r="E7054" i="1"/>
  <c r="D7054" i="1"/>
  <c r="E7053" i="1"/>
  <c r="D7053" i="1"/>
  <c r="E7052" i="1"/>
  <c r="D7052" i="1"/>
  <c r="E7051" i="1"/>
  <c r="D7051" i="1"/>
  <c r="E7050" i="1"/>
  <c r="D7050" i="1"/>
  <c r="E7049" i="1"/>
  <c r="D7049" i="1"/>
  <c r="E7048" i="1"/>
  <c r="D7048" i="1"/>
  <c r="E7047" i="1"/>
  <c r="D7047" i="1"/>
  <c r="E7046" i="1"/>
  <c r="D7046" i="1"/>
  <c r="E7045" i="1"/>
  <c r="D7045" i="1"/>
  <c r="E7044" i="1"/>
  <c r="D7044" i="1"/>
  <c r="E7043" i="1"/>
  <c r="D7043" i="1"/>
  <c r="E7042" i="1"/>
  <c r="D7042" i="1"/>
  <c r="E7041" i="1"/>
  <c r="D7041" i="1"/>
  <c r="E7040" i="1"/>
  <c r="D7040" i="1"/>
  <c r="E7039" i="1"/>
  <c r="D7039" i="1"/>
  <c r="E7038" i="1"/>
  <c r="D7038" i="1"/>
  <c r="E7037" i="1"/>
  <c r="D7037" i="1"/>
  <c r="E7036" i="1"/>
  <c r="D7036" i="1"/>
  <c r="E7035" i="1"/>
  <c r="D7035" i="1"/>
  <c r="E7034" i="1"/>
  <c r="D7034" i="1"/>
  <c r="E7033" i="1"/>
  <c r="D7033" i="1"/>
  <c r="E7032" i="1"/>
  <c r="D7032" i="1"/>
  <c r="E7031" i="1"/>
  <c r="D7031" i="1"/>
  <c r="E7030" i="1"/>
  <c r="D7030" i="1"/>
  <c r="E7029" i="1"/>
  <c r="D7029" i="1"/>
  <c r="E7028" i="1"/>
  <c r="D7028" i="1"/>
  <c r="E7027" i="1"/>
  <c r="D7027" i="1"/>
  <c r="E7026" i="1"/>
  <c r="D7026" i="1"/>
  <c r="E7025" i="1"/>
  <c r="D7025" i="1"/>
  <c r="E7024" i="1"/>
  <c r="D7024" i="1"/>
  <c r="E7023" i="1"/>
  <c r="D7023" i="1"/>
  <c r="E7022" i="1"/>
  <c r="D7022" i="1"/>
  <c r="E7021" i="1"/>
  <c r="D7021" i="1"/>
  <c r="E7020" i="1"/>
  <c r="D7020" i="1"/>
  <c r="E7019" i="1"/>
  <c r="D7019" i="1"/>
  <c r="E7018" i="1"/>
  <c r="D7018" i="1"/>
  <c r="E7017" i="1"/>
  <c r="D7017" i="1"/>
  <c r="E7016" i="1"/>
  <c r="D7016" i="1"/>
  <c r="E7015" i="1"/>
  <c r="D7015" i="1"/>
  <c r="E7014" i="1"/>
  <c r="D7014" i="1"/>
  <c r="E7013" i="1"/>
  <c r="D7013" i="1"/>
  <c r="E7012" i="1"/>
  <c r="D7012" i="1"/>
  <c r="E7011" i="1"/>
  <c r="D7011" i="1"/>
  <c r="E7010" i="1"/>
  <c r="D7010" i="1"/>
  <c r="E7009" i="1"/>
  <c r="D7009" i="1"/>
  <c r="E7008" i="1"/>
  <c r="D7008" i="1"/>
  <c r="E7007" i="1"/>
  <c r="D7007" i="1"/>
  <c r="E7006" i="1"/>
  <c r="D7006" i="1"/>
  <c r="E7005" i="1"/>
  <c r="D7005" i="1"/>
  <c r="E7004" i="1"/>
  <c r="D7004" i="1"/>
  <c r="E7003" i="1"/>
  <c r="D7003" i="1"/>
  <c r="E7002" i="1"/>
  <c r="D7002" i="1"/>
  <c r="E7001" i="1"/>
  <c r="D7001" i="1"/>
  <c r="E7000" i="1"/>
  <c r="D7000" i="1"/>
  <c r="E6999" i="1"/>
  <c r="D6999" i="1"/>
  <c r="E6998" i="1"/>
  <c r="D6998" i="1"/>
  <c r="E6997" i="1"/>
  <c r="D6997" i="1"/>
  <c r="E6996" i="1"/>
  <c r="D6996" i="1"/>
  <c r="E6995" i="1"/>
  <c r="D6995" i="1"/>
  <c r="E6994" i="1"/>
  <c r="D6994" i="1"/>
  <c r="E6993" i="1"/>
  <c r="D6993" i="1"/>
  <c r="E6992" i="1"/>
  <c r="D6992" i="1"/>
  <c r="E6991" i="1"/>
  <c r="D6991" i="1"/>
  <c r="E6990" i="1"/>
  <c r="D6990" i="1"/>
  <c r="E6989" i="1"/>
  <c r="D6989" i="1"/>
  <c r="E6988" i="1"/>
  <c r="D6988" i="1"/>
  <c r="E6987" i="1"/>
  <c r="D6987" i="1"/>
  <c r="E6986" i="1"/>
  <c r="D6986" i="1"/>
  <c r="E6985" i="1"/>
  <c r="D6985" i="1"/>
  <c r="E6984" i="1"/>
  <c r="D6984" i="1"/>
  <c r="E6983" i="1"/>
  <c r="D6983" i="1"/>
  <c r="E6982" i="1"/>
  <c r="D6982" i="1"/>
  <c r="E6981" i="1"/>
  <c r="D6981" i="1"/>
  <c r="E6980" i="1"/>
  <c r="D6980" i="1"/>
  <c r="E6979" i="1"/>
  <c r="D6979" i="1"/>
  <c r="E6978" i="1"/>
  <c r="D6978" i="1"/>
  <c r="E6977" i="1"/>
  <c r="D6977" i="1"/>
  <c r="E6976" i="1"/>
  <c r="D6976" i="1"/>
  <c r="E6975" i="1"/>
  <c r="D6975" i="1"/>
  <c r="E6974" i="1"/>
  <c r="D6974" i="1"/>
  <c r="E6973" i="1"/>
  <c r="D6973" i="1"/>
  <c r="E6972" i="1"/>
  <c r="D6972" i="1"/>
  <c r="E6971" i="1"/>
  <c r="D6971" i="1"/>
  <c r="E6970" i="1"/>
  <c r="D6970" i="1"/>
  <c r="E6969" i="1"/>
  <c r="D6969" i="1"/>
  <c r="E6968" i="1"/>
  <c r="D6968" i="1"/>
  <c r="E6967" i="1"/>
  <c r="D6967" i="1"/>
  <c r="E6966" i="1"/>
  <c r="D6966" i="1"/>
  <c r="E6965" i="1"/>
  <c r="D6965" i="1"/>
  <c r="E6964" i="1"/>
  <c r="D6964" i="1"/>
  <c r="E6963" i="1"/>
  <c r="D6963" i="1"/>
  <c r="E6962" i="1"/>
  <c r="D6962" i="1"/>
  <c r="E6961" i="1"/>
  <c r="D6961" i="1"/>
  <c r="E6960" i="1"/>
  <c r="D6960" i="1"/>
  <c r="E6959" i="1"/>
  <c r="D6959" i="1"/>
  <c r="E6958" i="1"/>
  <c r="D6958" i="1"/>
  <c r="E6957" i="1"/>
  <c r="D6957" i="1"/>
  <c r="E6956" i="1"/>
  <c r="D6956" i="1"/>
  <c r="E6955" i="1"/>
  <c r="D6955" i="1"/>
  <c r="E6954" i="1"/>
  <c r="D6954" i="1"/>
  <c r="E6953" i="1"/>
  <c r="D6953" i="1"/>
  <c r="E6952" i="1"/>
  <c r="D6952" i="1"/>
  <c r="E6951" i="1"/>
  <c r="D6951" i="1"/>
  <c r="E6950" i="1"/>
  <c r="D6950" i="1"/>
  <c r="E6949" i="1"/>
  <c r="D6949" i="1"/>
  <c r="E6948" i="1"/>
  <c r="D6948" i="1"/>
  <c r="E6947" i="1"/>
  <c r="D6947" i="1"/>
  <c r="E6946" i="1"/>
  <c r="D6946" i="1"/>
  <c r="E6945" i="1"/>
  <c r="D6945" i="1"/>
  <c r="E6944" i="1"/>
  <c r="D6944" i="1"/>
  <c r="E6943" i="1"/>
  <c r="D6943" i="1"/>
  <c r="E6942" i="1"/>
  <c r="D6942" i="1"/>
  <c r="E6941" i="1"/>
  <c r="D6941" i="1"/>
  <c r="E6940" i="1"/>
  <c r="D6940" i="1"/>
  <c r="E6939" i="1"/>
  <c r="D6939" i="1"/>
  <c r="E6938" i="1"/>
  <c r="D6938" i="1"/>
  <c r="E6937" i="1"/>
  <c r="D6937" i="1"/>
  <c r="E6936" i="1"/>
  <c r="D6936" i="1"/>
  <c r="E6935" i="1"/>
  <c r="D6935" i="1"/>
  <c r="E6934" i="1"/>
  <c r="D6934" i="1"/>
  <c r="E6933" i="1"/>
  <c r="D6933" i="1"/>
  <c r="E6932" i="1"/>
  <c r="D6932" i="1"/>
  <c r="E6931" i="1"/>
  <c r="D6931" i="1"/>
  <c r="E6930" i="1"/>
  <c r="D6930" i="1"/>
  <c r="E6929" i="1"/>
  <c r="D6929" i="1"/>
  <c r="E6928" i="1"/>
  <c r="D6928" i="1"/>
  <c r="E6927" i="1"/>
  <c r="D6927" i="1"/>
  <c r="E6926" i="1"/>
  <c r="D6926" i="1"/>
  <c r="E6925" i="1"/>
  <c r="D6925" i="1"/>
  <c r="E6924" i="1"/>
  <c r="D6924" i="1"/>
  <c r="E6923" i="1"/>
  <c r="D6923" i="1"/>
  <c r="E6922" i="1"/>
  <c r="D6922" i="1"/>
  <c r="E6921" i="1"/>
  <c r="D6921" i="1"/>
  <c r="E6920" i="1"/>
  <c r="D6920" i="1"/>
  <c r="E6919" i="1"/>
  <c r="D6919" i="1"/>
  <c r="E6918" i="1"/>
  <c r="D6918" i="1"/>
  <c r="E6917" i="1"/>
  <c r="D6917" i="1"/>
  <c r="E6916" i="1"/>
  <c r="D6916" i="1"/>
  <c r="E6915" i="1"/>
  <c r="D6915" i="1"/>
  <c r="E6914" i="1"/>
  <c r="D6914" i="1"/>
  <c r="E6913" i="1"/>
  <c r="D6913" i="1"/>
  <c r="E6912" i="1"/>
  <c r="D6912" i="1"/>
  <c r="E6911" i="1"/>
  <c r="D6911" i="1"/>
  <c r="E6910" i="1"/>
  <c r="D6910" i="1"/>
  <c r="E6909" i="1"/>
  <c r="D6909" i="1"/>
  <c r="E6908" i="1"/>
  <c r="D6908" i="1"/>
  <c r="E6907" i="1"/>
  <c r="D6907" i="1"/>
  <c r="E6906" i="1"/>
  <c r="D6906" i="1"/>
  <c r="E6905" i="1"/>
  <c r="D6905" i="1"/>
  <c r="E6904" i="1"/>
  <c r="D6904" i="1"/>
  <c r="E6903" i="1"/>
  <c r="D6903" i="1"/>
  <c r="E6902" i="1"/>
  <c r="D6902" i="1"/>
  <c r="E6901" i="1"/>
  <c r="D6901" i="1"/>
  <c r="E6900" i="1"/>
  <c r="D6900" i="1"/>
  <c r="E6899" i="1"/>
  <c r="D6899" i="1"/>
  <c r="E6898" i="1"/>
  <c r="D6898" i="1"/>
  <c r="E6897" i="1"/>
  <c r="D6897" i="1"/>
  <c r="E6896" i="1"/>
  <c r="D6896" i="1"/>
  <c r="E6895" i="1"/>
  <c r="D6895" i="1"/>
  <c r="E6894" i="1"/>
  <c r="D6894" i="1"/>
  <c r="E6893" i="1"/>
  <c r="D6893" i="1"/>
  <c r="E6892" i="1"/>
  <c r="D6892" i="1"/>
  <c r="E6891" i="1"/>
  <c r="D6891" i="1"/>
  <c r="E6890" i="1"/>
  <c r="D6890" i="1"/>
  <c r="E6889" i="1"/>
  <c r="D6889" i="1"/>
  <c r="E6888" i="1"/>
  <c r="D6888" i="1"/>
  <c r="E6887" i="1"/>
  <c r="D6887" i="1"/>
  <c r="E6886" i="1"/>
  <c r="D6886" i="1"/>
  <c r="E6885" i="1"/>
  <c r="D6885" i="1"/>
  <c r="E6884" i="1"/>
  <c r="D6884" i="1"/>
  <c r="E6883" i="1"/>
  <c r="D6883" i="1"/>
  <c r="E6882" i="1"/>
  <c r="D6882" i="1"/>
  <c r="E6881" i="1"/>
  <c r="D6881" i="1"/>
  <c r="E6880" i="1"/>
  <c r="D6880" i="1"/>
  <c r="E6879" i="1"/>
  <c r="D6879" i="1"/>
  <c r="E6878" i="1"/>
  <c r="D6878" i="1"/>
  <c r="E6877" i="1"/>
  <c r="D6877" i="1"/>
  <c r="E6876" i="1"/>
  <c r="D6876" i="1"/>
  <c r="E6875" i="1"/>
  <c r="D6875" i="1"/>
  <c r="E6874" i="1"/>
  <c r="D6874" i="1"/>
  <c r="E6873" i="1"/>
  <c r="D6873" i="1"/>
  <c r="E6872" i="1"/>
  <c r="D6872" i="1"/>
  <c r="E6871" i="1"/>
  <c r="D6871" i="1"/>
  <c r="E6870" i="1"/>
  <c r="D6870" i="1"/>
  <c r="E6869" i="1"/>
  <c r="D6869" i="1"/>
  <c r="E6868" i="1"/>
  <c r="D6868" i="1"/>
  <c r="E6867" i="1"/>
  <c r="D6867" i="1"/>
  <c r="E6866" i="1"/>
  <c r="D6866" i="1"/>
  <c r="E6865" i="1"/>
  <c r="D6865" i="1"/>
  <c r="E6864" i="1"/>
  <c r="D6864" i="1"/>
  <c r="E6863" i="1"/>
  <c r="D6863" i="1"/>
  <c r="E6862" i="1"/>
  <c r="D6862" i="1"/>
  <c r="E6861" i="1"/>
  <c r="D6861" i="1"/>
  <c r="E6860" i="1"/>
  <c r="D6860" i="1"/>
  <c r="E6859" i="1"/>
  <c r="D6859" i="1"/>
  <c r="E6858" i="1"/>
  <c r="D6858" i="1"/>
  <c r="E6857" i="1"/>
  <c r="D6857" i="1"/>
  <c r="E6856" i="1"/>
  <c r="D6856" i="1"/>
  <c r="E6855" i="1"/>
  <c r="D6855" i="1"/>
  <c r="E6854" i="1"/>
  <c r="D6854" i="1"/>
  <c r="E6853" i="1"/>
  <c r="D6853" i="1"/>
  <c r="E6852" i="1"/>
  <c r="D6852" i="1"/>
  <c r="E6851" i="1"/>
  <c r="D6851" i="1"/>
  <c r="E6850" i="1"/>
  <c r="D6850" i="1"/>
  <c r="E6849" i="1"/>
  <c r="D6849" i="1"/>
  <c r="E6848" i="1"/>
  <c r="D6848" i="1"/>
  <c r="E6847" i="1"/>
  <c r="D6847" i="1"/>
  <c r="E6846" i="1"/>
  <c r="D6846" i="1"/>
  <c r="E6845" i="1"/>
  <c r="D6845" i="1"/>
  <c r="E6844" i="1"/>
  <c r="D6844" i="1"/>
  <c r="E6843" i="1"/>
  <c r="D6843" i="1"/>
  <c r="E6842" i="1"/>
  <c r="D6842" i="1"/>
  <c r="E6841" i="1"/>
  <c r="D6841" i="1"/>
  <c r="E6840" i="1"/>
  <c r="D6840" i="1"/>
  <c r="E6839" i="1"/>
  <c r="D6839" i="1"/>
  <c r="E6838" i="1"/>
  <c r="D6838" i="1"/>
  <c r="E6837" i="1"/>
  <c r="D6837" i="1"/>
  <c r="E6836" i="1"/>
  <c r="D6836" i="1"/>
  <c r="E6835" i="1"/>
  <c r="D6835" i="1"/>
  <c r="E6834" i="1"/>
  <c r="D6834" i="1"/>
  <c r="E6833" i="1"/>
  <c r="D6833" i="1"/>
  <c r="E6832" i="1"/>
  <c r="D6832" i="1"/>
  <c r="E6831" i="1"/>
  <c r="D6831" i="1"/>
  <c r="E6830" i="1"/>
  <c r="D6830" i="1"/>
  <c r="E6829" i="1"/>
  <c r="D6829" i="1"/>
  <c r="E6828" i="1"/>
  <c r="D6828" i="1"/>
  <c r="E6827" i="1"/>
  <c r="D6827" i="1"/>
  <c r="E6826" i="1"/>
  <c r="D6826" i="1"/>
  <c r="E6825" i="1"/>
  <c r="D6825" i="1"/>
  <c r="E6824" i="1"/>
  <c r="D6824" i="1"/>
  <c r="E6823" i="1"/>
  <c r="D6823" i="1"/>
  <c r="E6822" i="1"/>
  <c r="D6822" i="1"/>
  <c r="E6821" i="1"/>
  <c r="D6821" i="1"/>
  <c r="E6820" i="1"/>
  <c r="D6820" i="1"/>
  <c r="E6819" i="1"/>
  <c r="D6819" i="1"/>
  <c r="E6818" i="1"/>
  <c r="D6818" i="1"/>
  <c r="E6817" i="1"/>
  <c r="D6817" i="1"/>
  <c r="E6816" i="1"/>
  <c r="D6816" i="1"/>
  <c r="E6815" i="1"/>
  <c r="D6815" i="1"/>
  <c r="E6814" i="1"/>
  <c r="D6814" i="1"/>
  <c r="E6813" i="1"/>
  <c r="D6813" i="1"/>
  <c r="E6812" i="1"/>
  <c r="D6812" i="1"/>
  <c r="E6811" i="1"/>
  <c r="D6811" i="1"/>
  <c r="E6810" i="1"/>
  <c r="D6810" i="1"/>
  <c r="E6809" i="1"/>
  <c r="D6809" i="1"/>
  <c r="E6808" i="1"/>
  <c r="D6808" i="1"/>
  <c r="E6807" i="1"/>
  <c r="D6807" i="1"/>
  <c r="E6806" i="1"/>
  <c r="D6806" i="1"/>
  <c r="E6805" i="1"/>
  <c r="D6805" i="1"/>
  <c r="E6804" i="1"/>
  <c r="D6804" i="1"/>
  <c r="E6803" i="1"/>
  <c r="D6803" i="1"/>
  <c r="E6802" i="1"/>
  <c r="D6802" i="1"/>
  <c r="E6801" i="1"/>
  <c r="D6801" i="1"/>
  <c r="E6800" i="1"/>
  <c r="D6800" i="1"/>
  <c r="E6799" i="1"/>
  <c r="D6799" i="1"/>
  <c r="E6798" i="1"/>
  <c r="D6798" i="1"/>
  <c r="E6797" i="1"/>
  <c r="D6797" i="1"/>
  <c r="E6796" i="1"/>
  <c r="D6796" i="1"/>
  <c r="E6795" i="1"/>
  <c r="D6795" i="1"/>
  <c r="E6794" i="1"/>
  <c r="D6794" i="1"/>
  <c r="E6793" i="1"/>
  <c r="D6793" i="1"/>
  <c r="E6792" i="1"/>
  <c r="D6792" i="1"/>
  <c r="E6791" i="1"/>
  <c r="D6791" i="1"/>
  <c r="E6790" i="1"/>
  <c r="D6790" i="1"/>
  <c r="E6789" i="1"/>
  <c r="D6789" i="1"/>
  <c r="E6788" i="1"/>
  <c r="D6788" i="1"/>
  <c r="E6787" i="1"/>
  <c r="D6787" i="1"/>
  <c r="E6786" i="1"/>
  <c r="D6786" i="1"/>
  <c r="E6785" i="1"/>
  <c r="D6785" i="1"/>
  <c r="E6784" i="1"/>
  <c r="D6784" i="1"/>
  <c r="E6783" i="1"/>
  <c r="D6783" i="1"/>
  <c r="E6782" i="1"/>
  <c r="D6782" i="1"/>
  <c r="E6781" i="1"/>
  <c r="D6781" i="1"/>
  <c r="E6780" i="1"/>
  <c r="D6780" i="1"/>
  <c r="E6779" i="1"/>
  <c r="D6779" i="1"/>
  <c r="E6778" i="1"/>
  <c r="D6778" i="1"/>
  <c r="E6777" i="1"/>
  <c r="D6777" i="1"/>
  <c r="E6776" i="1"/>
  <c r="D6776" i="1"/>
  <c r="E6775" i="1"/>
  <c r="D6775" i="1"/>
  <c r="E6774" i="1"/>
  <c r="D6774" i="1"/>
  <c r="E6773" i="1"/>
  <c r="D6773" i="1"/>
  <c r="E6772" i="1"/>
  <c r="D6772" i="1"/>
  <c r="E6771" i="1"/>
  <c r="D6771" i="1"/>
  <c r="E6770" i="1"/>
  <c r="D6770" i="1"/>
  <c r="E6769" i="1"/>
  <c r="D6769" i="1"/>
  <c r="E6768" i="1"/>
  <c r="D6768" i="1"/>
  <c r="E6767" i="1"/>
  <c r="D6767" i="1"/>
  <c r="E6766" i="1"/>
  <c r="D6766" i="1"/>
  <c r="E6765" i="1"/>
  <c r="D6765" i="1"/>
  <c r="E6764" i="1"/>
  <c r="D6764" i="1"/>
  <c r="E6763" i="1"/>
  <c r="D6763" i="1"/>
  <c r="E6762" i="1"/>
  <c r="D6762" i="1"/>
  <c r="E6761" i="1"/>
  <c r="D6761" i="1"/>
  <c r="E6760" i="1"/>
  <c r="D6760" i="1"/>
  <c r="E6759" i="1"/>
  <c r="D6759" i="1"/>
  <c r="E6758" i="1"/>
  <c r="D6758" i="1"/>
  <c r="E6757" i="1"/>
  <c r="D6757" i="1"/>
  <c r="E6756" i="1"/>
  <c r="D6756" i="1"/>
  <c r="E6755" i="1"/>
  <c r="D6755" i="1"/>
  <c r="E6754" i="1"/>
  <c r="D6754" i="1"/>
  <c r="E6753" i="1"/>
  <c r="D6753" i="1"/>
  <c r="E6752" i="1"/>
  <c r="D6752" i="1"/>
  <c r="E6751" i="1"/>
  <c r="D6751" i="1"/>
  <c r="E6750" i="1"/>
  <c r="D6750" i="1"/>
  <c r="E6749" i="1"/>
  <c r="D6749" i="1"/>
  <c r="E6748" i="1"/>
  <c r="D6748" i="1"/>
  <c r="E6747" i="1"/>
  <c r="D6747" i="1"/>
  <c r="E6746" i="1"/>
  <c r="D6746" i="1"/>
  <c r="E6745" i="1"/>
  <c r="D6745" i="1"/>
  <c r="E6744" i="1"/>
  <c r="D6744" i="1"/>
  <c r="E6743" i="1"/>
  <c r="D6743" i="1"/>
  <c r="E6742" i="1"/>
  <c r="D6742" i="1"/>
  <c r="E6741" i="1"/>
  <c r="D6741" i="1"/>
  <c r="E6740" i="1"/>
  <c r="D6740" i="1"/>
  <c r="E6739" i="1"/>
  <c r="D6739" i="1"/>
  <c r="E6738" i="1"/>
  <c r="D6738" i="1"/>
  <c r="E6737" i="1"/>
  <c r="D6737" i="1"/>
  <c r="E6736" i="1"/>
  <c r="D6736" i="1"/>
  <c r="E6735" i="1"/>
  <c r="D6735" i="1"/>
  <c r="E6734" i="1"/>
  <c r="D6734" i="1"/>
  <c r="E6733" i="1"/>
  <c r="D6733" i="1"/>
  <c r="E6732" i="1"/>
  <c r="D6732" i="1"/>
  <c r="E6731" i="1"/>
  <c r="D6731" i="1"/>
  <c r="E6730" i="1"/>
  <c r="D6730" i="1"/>
  <c r="E6729" i="1"/>
  <c r="D6729" i="1"/>
  <c r="E6728" i="1"/>
  <c r="D6728" i="1"/>
  <c r="E6727" i="1"/>
  <c r="D6727" i="1"/>
  <c r="E6726" i="1"/>
  <c r="D6726" i="1"/>
  <c r="E6725" i="1"/>
  <c r="D6725" i="1"/>
  <c r="E6724" i="1"/>
  <c r="D6724" i="1"/>
  <c r="E6723" i="1"/>
  <c r="D6723" i="1"/>
  <c r="E6722" i="1"/>
  <c r="D6722" i="1"/>
  <c r="E6721" i="1"/>
  <c r="D6721" i="1"/>
  <c r="E6720" i="1"/>
  <c r="D6720" i="1"/>
  <c r="E6719" i="1"/>
  <c r="D6719" i="1"/>
  <c r="E6718" i="1"/>
  <c r="D6718" i="1"/>
  <c r="E6717" i="1"/>
  <c r="D6717" i="1"/>
  <c r="E6716" i="1"/>
  <c r="D6716" i="1"/>
  <c r="E6715" i="1"/>
  <c r="D6715" i="1"/>
  <c r="E6714" i="1"/>
  <c r="D6714" i="1"/>
  <c r="E6713" i="1"/>
  <c r="D6713" i="1"/>
  <c r="E6712" i="1"/>
  <c r="D6712" i="1"/>
  <c r="E6711" i="1"/>
  <c r="D6711" i="1"/>
  <c r="E6710" i="1"/>
  <c r="D6710" i="1"/>
  <c r="E6709" i="1"/>
  <c r="D6709" i="1"/>
  <c r="E6708" i="1"/>
  <c r="D6708" i="1"/>
  <c r="E6707" i="1"/>
  <c r="D6707" i="1"/>
  <c r="E6706" i="1"/>
  <c r="D6706" i="1"/>
  <c r="E6705" i="1"/>
  <c r="D6705" i="1"/>
  <c r="E6704" i="1"/>
  <c r="D6704" i="1"/>
  <c r="E6703" i="1"/>
  <c r="D6703" i="1"/>
  <c r="E6702" i="1"/>
  <c r="D6702" i="1"/>
  <c r="E6701" i="1"/>
  <c r="D6701" i="1"/>
  <c r="E6700" i="1"/>
  <c r="D6700" i="1"/>
  <c r="E6699" i="1"/>
  <c r="D6699" i="1"/>
  <c r="E6698" i="1"/>
  <c r="D6698" i="1"/>
  <c r="E6697" i="1"/>
  <c r="D6697" i="1"/>
  <c r="E6696" i="1"/>
  <c r="D6696" i="1"/>
  <c r="E6695" i="1"/>
  <c r="D6695" i="1"/>
  <c r="E6694" i="1"/>
  <c r="D6694" i="1"/>
  <c r="E6693" i="1"/>
  <c r="D6693" i="1"/>
  <c r="E6692" i="1"/>
  <c r="D6692" i="1"/>
  <c r="E6691" i="1"/>
  <c r="D6691" i="1"/>
  <c r="E6690" i="1"/>
  <c r="D6690" i="1"/>
  <c r="E6689" i="1"/>
  <c r="D6689" i="1"/>
  <c r="E6688" i="1"/>
  <c r="D6688" i="1"/>
  <c r="E6687" i="1"/>
  <c r="D6687" i="1"/>
  <c r="E6686" i="1"/>
  <c r="D6686" i="1"/>
  <c r="E6685" i="1"/>
  <c r="D6685" i="1"/>
  <c r="E6684" i="1"/>
  <c r="D6684" i="1"/>
  <c r="E6683" i="1"/>
  <c r="D6683" i="1"/>
  <c r="E6682" i="1"/>
  <c r="D6682" i="1"/>
  <c r="E6681" i="1"/>
  <c r="D6681" i="1"/>
  <c r="E6680" i="1"/>
  <c r="D6680" i="1"/>
  <c r="E6679" i="1"/>
  <c r="D6679" i="1"/>
  <c r="E6678" i="1"/>
  <c r="D6678" i="1"/>
  <c r="E6677" i="1"/>
  <c r="D6677" i="1"/>
  <c r="E6676" i="1"/>
  <c r="D6676" i="1"/>
  <c r="E6675" i="1"/>
  <c r="D6675" i="1"/>
  <c r="E6674" i="1"/>
  <c r="D6674" i="1"/>
  <c r="E6673" i="1"/>
  <c r="D6673" i="1"/>
  <c r="E6672" i="1"/>
  <c r="D6672" i="1"/>
  <c r="E6671" i="1"/>
  <c r="D6671" i="1"/>
  <c r="E6670" i="1"/>
  <c r="D6670" i="1"/>
  <c r="E6669" i="1"/>
  <c r="D6669" i="1"/>
  <c r="E6668" i="1"/>
  <c r="D6668" i="1"/>
  <c r="E6667" i="1"/>
  <c r="D6667" i="1"/>
  <c r="E6666" i="1"/>
  <c r="D6666" i="1"/>
  <c r="E6665" i="1"/>
  <c r="D6665" i="1"/>
  <c r="E6664" i="1"/>
  <c r="D6664" i="1"/>
  <c r="E6663" i="1"/>
  <c r="D6663" i="1"/>
  <c r="E6662" i="1"/>
  <c r="D6662" i="1"/>
  <c r="E6661" i="1"/>
  <c r="D6661" i="1"/>
  <c r="E6660" i="1"/>
  <c r="D6660" i="1"/>
  <c r="E6659" i="1"/>
  <c r="D6659" i="1"/>
  <c r="E6658" i="1"/>
  <c r="D6658" i="1"/>
  <c r="E6657" i="1"/>
  <c r="D6657" i="1"/>
  <c r="E6656" i="1"/>
  <c r="D6656" i="1"/>
  <c r="E6655" i="1"/>
  <c r="D6655" i="1"/>
  <c r="E6654" i="1"/>
  <c r="D6654" i="1"/>
  <c r="E6653" i="1"/>
  <c r="D6653" i="1"/>
  <c r="E6652" i="1"/>
  <c r="D6652" i="1"/>
  <c r="E6651" i="1"/>
  <c r="D6651" i="1"/>
  <c r="E6650" i="1"/>
  <c r="D6650" i="1"/>
  <c r="E6649" i="1"/>
  <c r="D6649" i="1"/>
  <c r="E6648" i="1"/>
  <c r="D6648" i="1"/>
  <c r="E6647" i="1"/>
  <c r="D6647" i="1"/>
  <c r="E6646" i="1"/>
  <c r="D6646" i="1"/>
  <c r="E6645" i="1"/>
  <c r="D6645" i="1"/>
  <c r="E6644" i="1"/>
  <c r="D6644" i="1"/>
  <c r="E6643" i="1"/>
  <c r="D6643" i="1"/>
  <c r="E6642" i="1"/>
  <c r="D6642" i="1"/>
  <c r="E6641" i="1"/>
  <c r="D6641" i="1"/>
  <c r="E6640" i="1"/>
  <c r="D6640" i="1"/>
  <c r="E6639" i="1"/>
  <c r="D6639" i="1"/>
  <c r="E6638" i="1"/>
  <c r="D6638" i="1"/>
  <c r="E6637" i="1"/>
  <c r="D6637" i="1"/>
  <c r="E6636" i="1"/>
  <c r="D6636" i="1"/>
  <c r="E6635" i="1"/>
  <c r="D6635" i="1"/>
  <c r="E6634" i="1"/>
  <c r="D6634" i="1"/>
  <c r="E6633" i="1"/>
  <c r="D6633" i="1"/>
  <c r="E6632" i="1"/>
  <c r="D6632" i="1"/>
  <c r="E6631" i="1"/>
  <c r="D6631" i="1"/>
  <c r="E6630" i="1"/>
  <c r="D6630" i="1"/>
  <c r="E6629" i="1"/>
  <c r="D6629" i="1"/>
  <c r="E6628" i="1"/>
  <c r="D6628" i="1"/>
  <c r="E6627" i="1"/>
  <c r="D6627" i="1"/>
  <c r="E6626" i="1"/>
  <c r="D6626" i="1"/>
  <c r="E6625" i="1"/>
  <c r="D6625" i="1"/>
  <c r="E6624" i="1"/>
  <c r="D6624" i="1"/>
  <c r="E6623" i="1"/>
  <c r="D6623" i="1"/>
  <c r="E6622" i="1"/>
  <c r="D6622" i="1"/>
  <c r="E6621" i="1"/>
  <c r="D6621" i="1"/>
  <c r="E6620" i="1"/>
  <c r="D6620" i="1"/>
  <c r="E6619" i="1"/>
  <c r="D6619" i="1"/>
  <c r="E6618" i="1"/>
  <c r="D6618" i="1"/>
  <c r="E6617" i="1"/>
  <c r="D6617" i="1"/>
  <c r="E6616" i="1"/>
  <c r="D6616" i="1"/>
  <c r="E6615" i="1"/>
  <c r="D6615" i="1"/>
  <c r="E6614" i="1"/>
  <c r="D6614" i="1"/>
  <c r="E6613" i="1"/>
  <c r="D6613" i="1"/>
  <c r="E6612" i="1"/>
  <c r="D6612" i="1"/>
  <c r="E6611" i="1"/>
  <c r="D6611" i="1"/>
  <c r="E6610" i="1"/>
  <c r="D6610" i="1"/>
  <c r="E6609" i="1"/>
  <c r="D6609" i="1"/>
  <c r="E6608" i="1"/>
  <c r="D6608" i="1"/>
  <c r="E6607" i="1"/>
  <c r="D6607" i="1"/>
  <c r="E6606" i="1"/>
  <c r="D6606" i="1"/>
  <c r="E6605" i="1"/>
  <c r="D6605" i="1"/>
  <c r="E6604" i="1"/>
  <c r="D6604" i="1"/>
  <c r="E6603" i="1"/>
  <c r="D6603" i="1"/>
  <c r="E6602" i="1"/>
  <c r="D6602" i="1"/>
  <c r="E6601" i="1"/>
  <c r="D6601" i="1"/>
  <c r="E6600" i="1"/>
  <c r="D6600" i="1"/>
  <c r="E6599" i="1"/>
  <c r="D6599" i="1"/>
  <c r="E6598" i="1"/>
  <c r="D6598" i="1"/>
  <c r="E6597" i="1"/>
  <c r="D6597" i="1"/>
  <c r="E6596" i="1"/>
  <c r="D6596" i="1"/>
  <c r="E6595" i="1"/>
  <c r="D6595" i="1"/>
  <c r="E6594" i="1"/>
  <c r="D6594" i="1"/>
  <c r="E6593" i="1"/>
  <c r="D6593" i="1"/>
  <c r="E6592" i="1"/>
  <c r="D6592" i="1"/>
  <c r="E6591" i="1"/>
  <c r="D6591" i="1"/>
  <c r="E6590" i="1"/>
  <c r="D6590" i="1"/>
  <c r="E6589" i="1"/>
  <c r="D6589" i="1"/>
  <c r="E6588" i="1"/>
  <c r="D6588" i="1"/>
  <c r="E6587" i="1"/>
  <c r="D6587" i="1"/>
  <c r="E6586" i="1"/>
  <c r="D6586" i="1"/>
  <c r="E6585" i="1"/>
  <c r="D6585" i="1"/>
  <c r="E6584" i="1"/>
  <c r="D6584" i="1"/>
  <c r="E6583" i="1"/>
  <c r="D6583" i="1"/>
  <c r="E6582" i="1"/>
  <c r="D6582" i="1"/>
  <c r="E6581" i="1"/>
  <c r="D6581" i="1"/>
  <c r="E6580" i="1"/>
  <c r="D6580" i="1"/>
  <c r="E6579" i="1"/>
  <c r="D6579" i="1"/>
  <c r="E6578" i="1"/>
  <c r="D6578" i="1"/>
  <c r="E6577" i="1"/>
  <c r="D6577" i="1"/>
  <c r="E6576" i="1"/>
  <c r="D6576" i="1"/>
  <c r="E6575" i="1"/>
  <c r="D6575" i="1"/>
  <c r="E6574" i="1"/>
  <c r="D6574" i="1"/>
  <c r="E6573" i="1"/>
  <c r="D6573" i="1"/>
  <c r="E6572" i="1"/>
  <c r="D6572" i="1"/>
  <c r="E6571" i="1"/>
  <c r="D6571" i="1"/>
  <c r="E6570" i="1"/>
  <c r="D6570" i="1"/>
  <c r="E6569" i="1"/>
  <c r="D6569" i="1"/>
  <c r="E6568" i="1"/>
  <c r="D6568" i="1"/>
  <c r="E6567" i="1"/>
  <c r="D6567" i="1"/>
  <c r="E6566" i="1"/>
  <c r="D6566" i="1"/>
  <c r="E6565" i="1"/>
  <c r="D6565" i="1"/>
  <c r="E6564" i="1"/>
  <c r="D6564" i="1"/>
  <c r="E6563" i="1"/>
  <c r="D6563" i="1"/>
  <c r="E6562" i="1"/>
  <c r="D6562" i="1"/>
  <c r="E6561" i="1"/>
  <c r="D6561" i="1"/>
  <c r="E6560" i="1"/>
  <c r="D6560" i="1"/>
  <c r="E6559" i="1"/>
  <c r="D6559" i="1"/>
  <c r="E6558" i="1"/>
  <c r="D6558" i="1"/>
  <c r="E6557" i="1"/>
  <c r="D6557" i="1"/>
  <c r="E6556" i="1"/>
  <c r="D6556" i="1"/>
  <c r="E6555" i="1"/>
  <c r="D6555" i="1"/>
  <c r="E6554" i="1"/>
  <c r="D6554" i="1"/>
  <c r="E6553" i="1"/>
  <c r="D6553" i="1"/>
  <c r="E6552" i="1"/>
  <c r="D6552" i="1"/>
  <c r="E6551" i="1"/>
  <c r="D6551" i="1"/>
  <c r="E6550" i="1"/>
  <c r="D6550" i="1"/>
  <c r="E6549" i="1"/>
  <c r="D6549" i="1"/>
  <c r="E6548" i="1"/>
  <c r="D6548" i="1"/>
  <c r="E6547" i="1"/>
  <c r="D6547" i="1"/>
  <c r="E6546" i="1"/>
  <c r="D6546" i="1"/>
  <c r="E6545" i="1"/>
  <c r="D6545" i="1"/>
  <c r="E6544" i="1"/>
  <c r="D6544" i="1"/>
  <c r="E6543" i="1"/>
  <c r="D6543" i="1"/>
  <c r="E6542" i="1"/>
  <c r="D6542" i="1"/>
  <c r="E6541" i="1"/>
  <c r="D6541" i="1"/>
  <c r="E6540" i="1"/>
  <c r="D6540" i="1"/>
  <c r="E6539" i="1"/>
  <c r="D6539" i="1"/>
  <c r="E6538" i="1"/>
  <c r="D6538" i="1"/>
  <c r="E6537" i="1"/>
  <c r="D6537" i="1"/>
  <c r="E6536" i="1"/>
  <c r="D6536" i="1"/>
  <c r="E6535" i="1"/>
  <c r="D6535" i="1"/>
  <c r="E6534" i="1"/>
  <c r="D6534" i="1"/>
  <c r="E6533" i="1"/>
  <c r="D6533" i="1"/>
  <c r="E6532" i="1"/>
  <c r="D6532" i="1"/>
  <c r="E6531" i="1"/>
  <c r="D6531" i="1"/>
  <c r="E6530" i="1"/>
  <c r="D6530" i="1"/>
  <c r="E6529" i="1"/>
  <c r="D6529" i="1"/>
  <c r="E6528" i="1"/>
  <c r="D6528" i="1"/>
  <c r="E6527" i="1"/>
  <c r="D6527" i="1"/>
  <c r="E6526" i="1"/>
  <c r="D6526" i="1"/>
  <c r="E6525" i="1"/>
  <c r="D6525" i="1"/>
  <c r="E6524" i="1"/>
  <c r="D6524" i="1"/>
  <c r="E6523" i="1"/>
  <c r="D6523" i="1"/>
  <c r="E6522" i="1"/>
  <c r="D6522" i="1"/>
  <c r="E6521" i="1"/>
  <c r="D6521" i="1"/>
  <c r="E6520" i="1"/>
  <c r="D6520" i="1"/>
  <c r="E6519" i="1"/>
  <c r="D6519" i="1"/>
  <c r="E6518" i="1"/>
  <c r="D6518" i="1"/>
  <c r="E6517" i="1"/>
  <c r="D6517" i="1"/>
  <c r="E6516" i="1"/>
  <c r="D6516" i="1"/>
  <c r="E6515" i="1"/>
  <c r="D6515" i="1"/>
  <c r="E6514" i="1"/>
  <c r="D6514" i="1"/>
  <c r="E6513" i="1"/>
  <c r="D6513" i="1"/>
  <c r="E6512" i="1"/>
  <c r="D6512" i="1"/>
  <c r="E6511" i="1"/>
  <c r="D6511" i="1"/>
  <c r="E6510" i="1"/>
  <c r="D6510" i="1"/>
  <c r="E6509" i="1"/>
  <c r="D6509" i="1"/>
  <c r="E6508" i="1"/>
  <c r="D6508" i="1"/>
  <c r="E6507" i="1"/>
  <c r="D6507" i="1"/>
  <c r="E6506" i="1"/>
  <c r="D6506" i="1"/>
  <c r="E6505" i="1"/>
  <c r="D6505" i="1"/>
  <c r="E6504" i="1"/>
  <c r="D6504" i="1"/>
  <c r="E6503" i="1"/>
  <c r="D6503" i="1"/>
  <c r="E6502" i="1"/>
  <c r="D6502" i="1"/>
  <c r="E6501" i="1"/>
  <c r="D6501" i="1"/>
  <c r="E6500" i="1"/>
  <c r="D6500" i="1"/>
  <c r="E6499" i="1"/>
  <c r="D6499" i="1"/>
  <c r="E6498" i="1"/>
  <c r="D6498" i="1"/>
  <c r="E6497" i="1"/>
  <c r="D6497" i="1"/>
  <c r="E6496" i="1"/>
  <c r="D6496" i="1"/>
  <c r="E6495" i="1"/>
  <c r="D6495" i="1"/>
  <c r="E6494" i="1"/>
  <c r="D6494" i="1"/>
  <c r="E6493" i="1"/>
  <c r="D6493" i="1"/>
  <c r="E6492" i="1"/>
  <c r="D6492" i="1"/>
  <c r="E6491" i="1"/>
  <c r="D6491" i="1"/>
  <c r="E6490" i="1"/>
  <c r="D6490" i="1"/>
  <c r="E6489" i="1"/>
  <c r="D6489" i="1"/>
  <c r="E6488" i="1"/>
  <c r="D6488" i="1"/>
  <c r="E6487" i="1"/>
  <c r="D6487" i="1"/>
  <c r="E6486" i="1"/>
  <c r="D6486" i="1"/>
  <c r="E6485" i="1"/>
  <c r="D6485" i="1"/>
  <c r="E6484" i="1"/>
  <c r="D6484" i="1"/>
  <c r="E6483" i="1"/>
  <c r="D6483" i="1"/>
  <c r="E6482" i="1"/>
  <c r="D6482" i="1"/>
  <c r="E6481" i="1"/>
  <c r="D6481" i="1"/>
  <c r="E6480" i="1"/>
  <c r="D6480" i="1"/>
  <c r="E6479" i="1"/>
  <c r="D6479" i="1"/>
  <c r="E6478" i="1"/>
  <c r="D6478" i="1"/>
  <c r="E6477" i="1"/>
  <c r="D6477" i="1"/>
  <c r="E6476" i="1"/>
  <c r="D6476" i="1"/>
  <c r="E6475" i="1"/>
  <c r="D6475" i="1"/>
  <c r="E6474" i="1"/>
  <c r="D6474" i="1"/>
  <c r="E6473" i="1"/>
  <c r="D6473" i="1"/>
  <c r="E6472" i="1"/>
  <c r="D6472" i="1"/>
  <c r="E6471" i="1"/>
  <c r="D6471" i="1"/>
  <c r="E6470" i="1"/>
  <c r="D6470" i="1"/>
  <c r="E6469" i="1"/>
  <c r="D6469" i="1"/>
  <c r="E6468" i="1"/>
  <c r="D6468" i="1"/>
  <c r="E6467" i="1"/>
  <c r="D6467" i="1"/>
  <c r="E6466" i="1"/>
  <c r="D6466" i="1"/>
  <c r="E6465" i="1"/>
  <c r="D6465" i="1"/>
  <c r="E6464" i="1"/>
  <c r="D6464" i="1"/>
  <c r="E6463" i="1"/>
  <c r="D6463" i="1"/>
  <c r="E6462" i="1"/>
  <c r="D6462" i="1"/>
  <c r="E6461" i="1"/>
  <c r="D6461" i="1"/>
  <c r="E6460" i="1"/>
  <c r="D6460" i="1"/>
  <c r="E6459" i="1"/>
  <c r="D6459" i="1"/>
  <c r="E6458" i="1"/>
  <c r="D6458" i="1"/>
  <c r="E6457" i="1"/>
  <c r="D6457" i="1"/>
  <c r="E6456" i="1"/>
  <c r="D6456" i="1"/>
  <c r="E6455" i="1"/>
  <c r="D6455" i="1"/>
  <c r="E6454" i="1"/>
  <c r="D6454" i="1"/>
  <c r="E6453" i="1"/>
  <c r="D6453" i="1"/>
  <c r="E6452" i="1"/>
  <c r="D6452" i="1"/>
  <c r="E6451" i="1"/>
  <c r="D6451" i="1"/>
  <c r="E6450" i="1"/>
  <c r="D6450" i="1"/>
  <c r="E6449" i="1"/>
  <c r="D6449" i="1"/>
  <c r="E6448" i="1"/>
  <c r="D6448" i="1"/>
  <c r="E6447" i="1"/>
  <c r="D6447" i="1"/>
  <c r="E6446" i="1"/>
  <c r="D6446" i="1"/>
  <c r="E6445" i="1"/>
  <c r="D6445" i="1"/>
  <c r="E6444" i="1"/>
  <c r="D6444" i="1"/>
  <c r="E6443" i="1"/>
  <c r="D6443" i="1"/>
  <c r="E6442" i="1"/>
  <c r="D6442" i="1"/>
  <c r="E6441" i="1"/>
  <c r="D6441" i="1"/>
  <c r="E6440" i="1"/>
  <c r="D6440" i="1"/>
  <c r="E6439" i="1"/>
  <c r="D6439" i="1"/>
  <c r="E6438" i="1"/>
  <c r="D6438" i="1"/>
  <c r="E6437" i="1"/>
  <c r="D6437" i="1"/>
  <c r="E6436" i="1"/>
  <c r="D6436" i="1"/>
  <c r="E6435" i="1"/>
  <c r="D6435" i="1"/>
  <c r="E6434" i="1"/>
  <c r="D6434" i="1"/>
  <c r="E6433" i="1"/>
  <c r="D6433" i="1"/>
  <c r="E6432" i="1"/>
  <c r="D6432" i="1"/>
  <c r="E6431" i="1"/>
  <c r="D6431" i="1"/>
  <c r="E6430" i="1"/>
  <c r="D6430" i="1"/>
  <c r="E6429" i="1"/>
  <c r="D6429" i="1"/>
  <c r="E6428" i="1"/>
  <c r="D6428" i="1"/>
  <c r="E6427" i="1"/>
  <c r="D6427" i="1"/>
  <c r="E6426" i="1"/>
  <c r="D6426" i="1"/>
  <c r="E6425" i="1"/>
  <c r="D6425" i="1"/>
  <c r="E6424" i="1"/>
  <c r="D6424" i="1"/>
  <c r="E6423" i="1"/>
  <c r="D6423" i="1"/>
  <c r="E6422" i="1"/>
  <c r="D6422" i="1"/>
  <c r="E6421" i="1"/>
  <c r="D6421" i="1"/>
  <c r="E6420" i="1"/>
  <c r="D6420" i="1"/>
  <c r="E6419" i="1"/>
  <c r="D6419" i="1"/>
  <c r="E6418" i="1"/>
  <c r="D6418" i="1"/>
  <c r="E6417" i="1"/>
  <c r="D6417" i="1"/>
  <c r="E6416" i="1"/>
  <c r="D6416" i="1"/>
  <c r="E6415" i="1"/>
  <c r="D6415" i="1"/>
  <c r="E6414" i="1"/>
  <c r="D6414" i="1"/>
  <c r="E6413" i="1"/>
  <c r="D6413" i="1"/>
  <c r="E6412" i="1"/>
  <c r="D6412" i="1"/>
  <c r="E6411" i="1"/>
  <c r="D6411" i="1"/>
  <c r="E6410" i="1"/>
  <c r="D6410" i="1"/>
  <c r="E6409" i="1"/>
  <c r="D6409" i="1"/>
  <c r="E6408" i="1"/>
  <c r="D6408" i="1"/>
  <c r="E6407" i="1"/>
  <c r="D6407" i="1"/>
  <c r="E6406" i="1"/>
  <c r="D6406" i="1"/>
  <c r="E6405" i="1"/>
  <c r="D6405" i="1"/>
  <c r="E6404" i="1"/>
  <c r="D6404" i="1"/>
  <c r="E6403" i="1"/>
  <c r="D6403" i="1"/>
  <c r="E6402" i="1"/>
  <c r="D6402" i="1"/>
  <c r="E6401" i="1"/>
  <c r="D6401" i="1"/>
  <c r="E6400" i="1"/>
  <c r="D6400" i="1"/>
  <c r="E6399" i="1"/>
  <c r="D6399" i="1"/>
  <c r="E6398" i="1"/>
  <c r="D6398" i="1"/>
  <c r="E6397" i="1"/>
  <c r="D6397" i="1"/>
  <c r="E6396" i="1"/>
  <c r="D6396" i="1"/>
  <c r="E6395" i="1"/>
  <c r="D6395" i="1"/>
  <c r="E6394" i="1"/>
  <c r="D6394" i="1"/>
  <c r="E6393" i="1"/>
  <c r="D6393" i="1"/>
  <c r="E6392" i="1"/>
  <c r="D6392" i="1"/>
  <c r="E6391" i="1"/>
  <c r="D6391" i="1"/>
  <c r="E6390" i="1"/>
  <c r="D6390" i="1"/>
  <c r="E6389" i="1"/>
  <c r="D6389" i="1"/>
  <c r="E6388" i="1"/>
  <c r="D6388" i="1"/>
  <c r="E6387" i="1"/>
  <c r="D6387" i="1"/>
  <c r="E6386" i="1"/>
  <c r="D6386" i="1"/>
  <c r="E6385" i="1"/>
  <c r="D6385" i="1"/>
  <c r="E6384" i="1"/>
  <c r="D6384" i="1"/>
  <c r="E6383" i="1"/>
  <c r="D6383" i="1"/>
  <c r="E6382" i="1"/>
  <c r="D6382" i="1"/>
  <c r="E6381" i="1"/>
  <c r="D6381" i="1"/>
  <c r="E6380" i="1"/>
  <c r="D6380" i="1"/>
  <c r="E6379" i="1"/>
  <c r="D6379" i="1"/>
  <c r="E6378" i="1"/>
  <c r="D6378" i="1"/>
  <c r="E6377" i="1"/>
  <c r="D6377" i="1"/>
  <c r="E6376" i="1"/>
  <c r="D6376" i="1"/>
  <c r="E6375" i="1"/>
  <c r="D6375" i="1"/>
  <c r="E6374" i="1"/>
  <c r="D6374" i="1"/>
  <c r="E6373" i="1"/>
  <c r="D6373" i="1"/>
  <c r="E6372" i="1"/>
  <c r="D6372" i="1"/>
  <c r="E6371" i="1"/>
  <c r="D6371" i="1"/>
  <c r="E6370" i="1"/>
  <c r="D6370" i="1"/>
  <c r="E6369" i="1"/>
  <c r="D6369" i="1"/>
  <c r="E6368" i="1"/>
  <c r="D6368" i="1"/>
  <c r="E6367" i="1"/>
  <c r="D6367" i="1"/>
  <c r="E6366" i="1"/>
  <c r="D6366" i="1"/>
  <c r="E6365" i="1"/>
  <c r="D6365" i="1"/>
  <c r="E6364" i="1"/>
  <c r="D6364" i="1"/>
  <c r="E6363" i="1"/>
  <c r="D6363" i="1"/>
  <c r="E6362" i="1"/>
  <c r="D6362" i="1"/>
  <c r="E6361" i="1"/>
  <c r="D6361" i="1"/>
  <c r="E6360" i="1"/>
  <c r="D6360" i="1"/>
  <c r="E6359" i="1"/>
  <c r="D6359" i="1"/>
  <c r="E6358" i="1"/>
  <c r="D6358" i="1"/>
  <c r="E6357" i="1"/>
  <c r="D6357" i="1"/>
  <c r="E6356" i="1"/>
  <c r="D6356" i="1"/>
  <c r="E6355" i="1"/>
  <c r="D6355" i="1"/>
  <c r="E6354" i="1"/>
  <c r="D6354" i="1"/>
  <c r="E6353" i="1"/>
  <c r="D6353" i="1"/>
  <c r="E6352" i="1"/>
  <c r="D6352" i="1"/>
  <c r="E6351" i="1"/>
  <c r="D6351" i="1"/>
  <c r="E6350" i="1"/>
  <c r="D6350" i="1"/>
  <c r="E6349" i="1"/>
  <c r="D6349" i="1"/>
  <c r="E6348" i="1"/>
  <c r="D6348" i="1"/>
  <c r="E6347" i="1"/>
  <c r="D6347" i="1"/>
  <c r="E6346" i="1"/>
  <c r="D6346" i="1"/>
  <c r="E6345" i="1"/>
  <c r="D6345" i="1"/>
  <c r="E6344" i="1"/>
  <c r="D6344" i="1"/>
  <c r="E6343" i="1"/>
  <c r="D6343" i="1"/>
  <c r="E6342" i="1"/>
  <c r="D6342" i="1"/>
  <c r="E6341" i="1"/>
  <c r="D6341" i="1"/>
  <c r="E6340" i="1"/>
  <c r="D6340" i="1"/>
  <c r="E6339" i="1"/>
  <c r="D6339" i="1"/>
  <c r="E6338" i="1"/>
  <c r="D6338" i="1"/>
  <c r="E6337" i="1"/>
  <c r="D6337" i="1"/>
  <c r="E6336" i="1"/>
  <c r="D6336" i="1"/>
  <c r="E6335" i="1"/>
  <c r="D6335" i="1"/>
  <c r="E6334" i="1"/>
  <c r="D6334" i="1"/>
  <c r="E6333" i="1"/>
  <c r="D6333" i="1"/>
  <c r="E6332" i="1"/>
  <c r="D6332" i="1"/>
  <c r="E6331" i="1"/>
  <c r="D6331" i="1"/>
  <c r="E6330" i="1"/>
  <c r="D6330" i="1"/>
  <c r="E6329" i="1"/>
  <c r="D6329" i="1"/>
  <c r="E6328" i="1"/>
  <c r="D6328" i="1"/>
  <c r="E6327" i="1"/>
  <c r="D6327" i="1"/>
  <c r="E6326" i="1"/>
  <c r="D6326" i="1"/>
  <c r="E6325" i="1"/>
  <c r="D6325" i="1"/>
  <c r="E6324" i="1"/>
  <c r="D6324" i="1"/>
  <c r="E6323" i="1"/>
  <c r="D6323" i="1"/>
  <c r="E6322" i="1"/>
  <c r="D6322" i="1"/>
  <c r="E6321" i="1"/>
  <c r="D6321" i="1"/>
  <c r="E6320" i="1"/>
  <c r="D6320" i="1"/>
  <c r="E6319" i="1"/>
  <c r="D6319" i="1"/>
  <c r="E6318" i="1"/>
  <c r="D6318" i="1"/>
  <c r="E6317" i="1"/>
  <c r="D6317" i="1"/>
  <c r="E6316" i="1"/>
  <c r="D6316" i="1"/>
  <c r="E6315" i="1"/>
  <c r="D6315" i="1"/>
  <c r="E6314" i="1"/>
  <c r="D6314" i="1"/>
  <c r="E6313" i="1"/>
  <c r="D6313" i="1"/>
  <c r="E6312" i="1"/>
  <c r="D6312" i="1"/>
  <c r="E6311" i="1"/>
  <c r="D6311" i="1"/>
  <c r="E6310" i="1"/>
  <c r="D6310" i="1"/>
  <c r="E6309" i="1"/>
  <c r="D6309" i="1"/>
  <c r="E6308" i="1"/>
  <c r="D6308" i="1"/>
  <c r="E6307" i="1"/>
  <c r="D6307" i="1"/>
  <c r="E6306" i="1"/>
  <c r="D6306" i="1"/>
  <c r="E6305" i="1"/>
  <c r="D6305" i="1"/>
  <c r="E6304" i="1"/>
  <c r="D6304" i="1"/>
  <c r="E6303" i="1"/>
  <c r="D6303" i="1"/>
  <c r="E6302" i="1"/>
  <c r="D6302" i="1"/>
  <c r="E6301" i="1"/>
  <c r="D6301" i="1"/>
  <c r="E6300" i="1"/>
  <c r="D6300" i="1"/>
  <c r="E6299" i="1"/>
  <c r="D6299" i="1"/>
  <c r="E6298" i="1"/>
  <c r="D6298" i="1"/>
  <c r="E6297" i="1"/>
  <c r="D6297" i="1"/>
  <c r="E6296" i="1"/>
  <c r="D6296" i="1"/>
  <c r="E6295" i="1"/>
  <c r="D6295" i="1"/>
  <c r="E6294" i="1"/>
  <c r="D6294" i="1"/>
  <c r="E6293" i="1"/>
  <c r="D6293" i="1"/>
  <c r="E6292" i="1"/>
  <c r="D6292" i="1"/>
  <c r="E6291" i="1"/>
  <c r="D6291" i="1"/>
  <c r="E6290" i="1"/>
  <c r="D6290" i="1"/>
  <c r="E6289" i="1"/>
  <c r="D6289" i="1"/>
  <c r="E6288" i="1"/>
  <c r="D6288" i="1"/>
  <c r="E6287" i="1"/>
  <c r="D6287" i="1"/>
  <c r="E6286" i="1"/>
  <c r="D6286" i="1"/>
  <c r="E6285" i="1"/>
  <c r="D6285" i="1"/>
  <c r="E6284" i="1"/>
  <c r="D6284" i="1"/>
  <c r="E6283" i="1"/>
  <c r="D6283" i="1"/>
  <c r="E6282" i="1"/>
  <c r="D6282" i="1"/>
  <c r="E6281" i="1"/>
  <c r="D6281" i="1"/>
  <c r="E6280" i="1"/>
  <c r="D6280" i="1"/>
  <c r="E6279" i="1"/>
  <c r="D6279" i="1"/>
  <c r="E6278" i="1"/>
  <c r="D6278" i="1"/>
  <c r="E6277" i="1"/>
  <c r="D6277" i="1"/>
  <c r="E6276" i="1"/>
  <c r="D6276" i="1"/>
  <c r="E6275" i="1"/>
  <c r="D6275" i="1"/>
  <c r="E6274" i="1"/>
  <c r="D6274" i="1"/>
  <c r="E6273" i="1"/>
  <c r="D6273" i="1"/>
  <c r="E6272" i="1"/>
  <c r="D6272" i="1"/>
  <c r="E6271" i="1"/>
  <c r="D6271" i="1"/>
  <c r="E6270" i="1"/>
  <c r="D6270" i="1"/>
  <c r="E6269" i="1"/>
  <c r="D6269" i="1"/>
  <c r="E6268" i="1"/>
  <c r="D6268" i="1"/>
  <c r="E6267" i="1"/>
  <c r="D6267" i="1"/>
  <c r="E6266" i="1"/>
  <c r="D6266" i="1"/>
  <c r="E6265" i="1"/>
  <c r="D6265" i="1"/>
  <c r="E6264" i="1"/>
  <c r="D6264" i="1"/>
  <c r="E6263" i="1"/>
  <c r="D6263" i="1"/>
  <c r="E6262" i="1"/>
  <c r="D6262" i="1"/>
  <c r="E6261" i="1"/>
  <c r="D6261" i="1"/>
  <c r="E6260" i="1"/>
  <c r="D6260" i="1"/>
  <c r="E6259" i="1"/>
  <c r="D6259" i="1"/>
  <c r="E6258" i="1"/>
  <c r="D6258" i="1"/>
  <c r="E6257" i="1"/>
  <c r="D6257" i="1"/>
  <c r="E6256" i="1"/>
  <c r="D6256" i="1"/>
  <c r="E6255" i="1"/>
  <c r="D6255" i="1"/>
  <c r="E6254" i="1"/>
  <c r="D6254" i="1"/>
  <c r="E6253" i="1"/>
  <c r="D6253" i="1"/>
  <c r="E6252" i="1"/>
  <c r="D6252" i="1"/>
  <c r="E6251" i="1"/>
  <c r="D6251" i="1"/>
  <c r="E6250" i="1"/>
  <c r="D6250" i="1"/>
  <c r="E6249" i="1"/>
  <c r="D6249" i="1"/>
  <c r="E6248" i="1"/>
  <c r="D6248" i="1"/>
  <c r="E6247" i="1"/>
  <c r="D6247" i="1"/>
  <c r="E6246" i="1"/>
  <c r="D6246" i="1"/>
  <c r="E6245" i="1"/>
  <c r="D6245" i="1"/>
  <c r="E6244" i="1"/>
  <c r="D6244" i="1"/>
  <c r="E6243" i="1"/>
  <c r="D6243" i="1"/>
  <c r="E6242" i="1"/>
  <c r="D6242" i="1"/>
  <c r="E6241" i="1"/>
  <c r="D6241" i="1"/>
  <c r="E6240" i="1"/>
  <c r="D6240" i="1"/>
  <c r="E6239" i="1"/>
  <c r="D6239" i="1"/>
  <c r="E6238" i="1"/>
  <c r="D6238" i="1"/>
  <c r="E6237" i="1"/>
  <c r="D6237" i="1"/>
  <c r="E6236" i="1"/>
  <c r="D6236" i="1"/>
  <c r="E6235" i="1"/>
  <c r="D6235" i="1"/>
  <c r="E6234" i="1"/>
  <c r="D6234" i="1"/>
  <c r="E6233" i="1"/>
  <c r="D6233" i="1"/>
  <c r="E6232" i="1"/>
  <c r="D6232" i="1"/>
  <c r="E6231" i="1"/>
  <c r="D6231" i="1"/>
  <c r="E6230" i="1"/>
  <c r="D6230" i="1"/>
  <c r="E6229" i="1"/>
  <c r="D6229" i="1"/>
  <c r="E6228" i="1"/>
  <c r="D6228" i="1"/>
  <c r="E6227" i="1"/>
  <c r="D6227" i="1"/>
  <c r="E6226" i="1"/>
  <c r="D6226" i="1"/>
  <c r="E6225" i="1"/>
  <c r="D6225" i="1"/>
  <c r="E6224" i="1"/>
  <c r="D6224" i="1"/>
  <c r="E6223" i="1"/>
  <c r="D6223" i="1"/>
  <c r="E6222" i="1"/>
  <c r="D6222" i="1"/>
  <c r="E6221" i="1"/>
  <c r="D6221" i="1"/>
  <c r="E6220" i="1"/>
  <c r="D6220" i="1"/>
  <c r="E6219" i="1"/>
  <c r="D6219" i="1"/>
  <c r="E6218" i="1"/>
  <c r="D6218" i="1"/>
  <c r="E6217" i="1"/>
  <c r="D6217" i="1"/>
  <c r="E6216" i="1"/>
  <c r="D6216" i="1"/>
  <c r="E6215" i="1"/>
  <c r="D6215" i="1"/>
  <c r="E6214" i="1"/>
  <c r="D6214" i="1"/>
  <c r="E6213" i="1"/>
  <c r="D6213" i="1"/>
  <c r="E6212" i="1"/>
  <c r="D6212" i="1"/>
  <c r="E6211" i="1"/>
  <c r="D6211" i="1"/>
  <c r="E6210" i="1"/>
  <c r="D6210" i="1"/>
  <c r="E6209" i="1"/>
  <c r="D6209" i="1"/>
  <c r="E6208" i="1"/>
  <c r="D6208" i="1"/>
  <c r="E6207" i="1"/>
  <c r="D6207" i="1"/>
  <c r="E6206" i="1"/>
  <c r="D6206" i="1"/>
  <c r="E6205" i="1"/>
  <c r="D6205" i="1"/>
  <c r="E6204" i="1"/>
  <c r="D6204" i="1"/>
  <c r="E6203" i="1"/>
  <c r="D6203" i="1"/>
  <c r="E6202" i="1"/>
  <c r="D6202" i="1"/>
  <c r="E6201" i="1"/>
  <c r="D6201" i="1"/>
  <c r="E6200" i="1"/>
  <c r="D6200" i="1"/>
  <c r="E6199" i="1"/>
  <c r="D6199" i="1"/>
  <c r="E6198" i="1"/>
  <c r="D6198" i="1"/>
  <c r="E6197" i="1"/>
  <c r="D6197" i="1"/>
  <c r="E6196" i="1"/>
  <c r="D6196" i="1"/>
  <c r="E6195" i="1"/>
  <c r="D6195" i="1"/>
  <c r="E6194" i="1"/>
  <c r="D6194" i="1"/>
  <c r="E6193" i="1"/>
  <c r="D6193" i="1"/>
  <c r="E6192" i="1"/>
  <c r="D6192" i="1"/>
  <c r="E6191" i="1"/>
  <c r="D6191" i="1"/>
  <c r="E6190" i="1"/>
  <c r="D6190" i="1"/>
  <c r="E6189" i="1"/>
  <c r="D6189" i="1"/>
  <c r="E6188" i="1"/>
  <c r="D6188" i="1"/>
  <c r="E6187" i="1"/>
  <c r="D6187" i="1"/>
  <c r="E6186" i="1"/>
  <c r="D6186" i="1"/>
  <c r="E6185" i="1"/>
  <c r="D6185" i="1"/>
  <c r="E6184" i="1"/>
  <c r="D6184" i="1"/>
  <c r="E6183" i="1"/>
  <c r="D6183" i="1"/>
  <c r="E6182" i="1"/>
  <c r="D6182" i="1"/>
  <c r="E6181" i="1"/>
  <c r="D6181" i="1"/>
  <c r="E6180" i="1"/>
  <c r="D6180" i="1"/>
  <c r="E6179" i="1"/>
  <c r="D6179" i="1"/>
  <c r="E6178" i="1"/>
  <c r="D6178" i="1"/>
  <c r="E6177" i="1"/>
  <c r="D6177" i="1"/>
  <c r="E6176" i="1"/>
  <c r="D6176" i="1"/>
  <c r="E6175" i="1"/>
  <c r="D6175" i="1"/>
  <c r="E6174" i="1"/>
  <c r="D6174" i="1"/>
  <c r="E6173" i="1"/>
  <c r="D6173" i="1"/>
  <c r="E6172" i="1"/>
  <c r="D6172" i="1"/>
  <c r="E6171" i="1"/>
  <c r="D6171" i="1"/>
  <c r="E6170" i="1"/>
  <c r="D6170" i="1"/>
  <c r="E6169" i="1"/>
  <c r="D6169" i="1"/>
  <c r="E6168" i="1"/>
  <c r="D6168" i="1"/>
  <c r="E6167" i="1"/>
  <c r="D6167" i="1"/>
  <c r="E6166" i="1"/>
  <c r="D6166" i="1"/>
  <c r="E6165" i="1"/>
  <c r="D6165" i="1"/>
  <c r="E6164" i="1"/>
  <c r="D6164" i="1"/>
  <c r="E6163" i="1"/>
  <c r="D6163" i="1"/>
  <c r="E6162" i="1"/>
  <c r="D6162" i="1"/>
  <c r="E6161" i="1"/>
  <c r="D6161" i="1"/>
  <c r="E6160" i="1"/>
  <c r="D6160" i="1"/>
  <c r="E6159" i="1"/>
  <c r="D6159" i="1"/>
  <c r="E6158" i="1"/>
  <c r="D6158" i="1"/>
  <c r="E6157" i="1"/>
  <c r="D6157" i="1"/>
  <c r="E6156" i="1"/>
  <c r="D6156" i="1"/>
  <c r="E6155" i="1"/>
  <c r="D6155" i="1"/>
  <c r="E6154" i="1"/>
  <c r="D6154" i="1"/>
  <c r="E6153" i="1"/>
  <c r="D6153" i="1"/>
  <c r="E6152" i="1"/>
  <c r="D6152" i="1"/>
  <c r="E6151" i="1"/>
  <c r="D6151" i="1"/>
  <c r="E6150" i="1"/>
  <c r="D6150" i="1"/>
  <c r="E6149" i="1"/>
  <c r="D6149" i="1"/>
  <c r="E6148" i="1"/>
  <c r="D6148" i="1"/>
  <c r="E6147" i="1"/>
  <c r="D6147" i="1"/>
  <c r="E6146" i="1"/>
  <c r="D6146" i="1"/>
  <c r="E6145" i="1"/>
  <c r="D6145" i="1"/>
  <c r="E6144" i="1"/>
  <c r="D6144" i="1"/>
  <c r="E6143" i="1"/>
  <c r="D6143" i="1"/>
  <c r="E6142" i="1"/>
  <c r="D6142" i="1"/>
  <c r="E6141" i="1"/>
  <c r="D6141" i="1"/>
  <c r="E6140" i="1"/>
  <c r="D6140" i="1"/>
  <c r="E6139" i="1"/>
  <c r="D6139" i="1"/>
  <c r="E6138" i="1"/>
  <c r="D6138" i="1"/>
  <c r="E6137" i="1"/>
  <c r="D6137" i="1"/>
  <c r="E6136" i="1"/>
  <c r="D6136" i="1"/>
  <c r="E6135" i="1"/>
  <c r="D6135" i="1"/>
  <c r="E6134" i="1"/>
  <c r="D6134" i="1"/>
  <c r="E6133" i="1"/>
  <c r="D6133" i="1"/>
  <c r="E6132" i="1"/>
  <c r="D6132" i="1"/>
  <c r="E6131" i="1"/>
  <c r="D6131" i="1"/>
  <c r="E6130" i="1"/>
  <c r="D6130" i="1"/>
  <c r="E6129" i="1"/>
  <c r="D6129" i="1"/>
  <c r="E6128" i="1"/>
  <c r="D6128" i="1"/>
  <c r="E6127" i="1"/>
  <c r="D6127" i="1"/>
  <c r="E6126" i="1"/>
  <c r="D6126" i="1"/>
  <c r="E6125" i="1"/>
  <c r="D6125" i="1"/>
  <c r="E6124" i="1"/>
  <c r="D6124" i="1"/>
  <c r="E6123" i="1"/>
  <c r="D6123" i="1"/>
  <c r="E6122" i="1"/>
  <c r="D6122" i="1"/>
  <c r="E6121" i="1"/>
  <c r="D6121" i="1"/>
  <c r="E6120" i="1"/>
  <c r="D6120" i="1"/>
  <c r="E6119" i="1"/>
  <c r="D6119" i="1"/>
  <c r="E6118" i="1"/>
  <c r="D6118" i="1"/>
  <c r="E6117" i="1"/>
  <c r="D6117" i="1"/>
  <c r="E6116" i="1"/>
  <c r="D6116" i="1"/>
  <c r="E6115" i="1"/>
  <c r="D6115" i="1"/>
  <c r="E6114" i="1"/>
  <c r="D6114" i="1"/>
  <c r="E6113" i="1"/>
  <c r="D6113" i="1"/>
  <c r="E6112" i="1"/>
  <c r="D6112" i="1"/>
  <c r="E6111" i="1"/>
  <c r="D6111" i="1"/>
  <c r="E6110" i="1"/>
  <c r="D6110" i="1"/>
  <c r="E6109" i="1"/>
  <c r="D6109" i="1"/>
  <c r="E6108" i="1"/>
  <c r="D6108" i="1"/>
  <c r="E6107" i="1"/>
  <c r="D6107" i="1"/>
  <c r="E6106" i="1"/>
  <c r="D6106" i="1"/>
  <c r="E6105" i="1"/>
  <c r="D6105" i="1"/>
  <c r="E6104" i="1"/>
  <c r="D6104" i="1"/>
  <c r="E6103" i="1"/>
  <c r="D6103" i="1"/>
  <c r="E6102" i="1"/>
  <c r="D6102" i="1"/>
  <c r="E6101" i="1"/>
  <c r="D6101" i="1"/>
  <c r="E6100" i="1"/>
  <c r="D6100" i="1"/>
  <c r="E6099" i="1"/>
  <c r="D6099" i="1"/>
  <c r="E6098" i="1"/>
  <c r="D6098" i="1"/>
  <c r="E6097" i="1"/>
  <c r="D6097" i="1"/>
  <c r="E6096" i="1"/>
  <c r="D6096" i="1"/>
  <c r="E6095" i="1"/>
  <c r="D6095" i="1"/>
  <c r="E6094" i="1"/>
  <c r="D6094" i="1"/>
  <c r="E6093" i="1"/>
  <c r="D6093" i="1"/>
  <c r="E6092" i="1"/>
  <c r="D6092" i="1"/>
  <c r="E6091" i="1"/>
  <c r="D6091" i="1"/>
  <c r="E6090" i="1"/>
  <c r="D6090" i="1"/>
  <c r="E6089" i="1"/>
  <c r="D6089" i="1"/>
  <c r="E6088" i="1"/>
  <c r="D6088" i="1"/>
  <c r="E6087" i="1"/>
  <c r="D6087" i="1"/>
  <c r="E6086" i="1"/>
  <c r="D6086" i="1"/>
  <c r="E6085" i="1"/>
  <c r="D6085" i="1"/>
  <c r="E6084" i="1"/>
  <c r="D6084" i="1"/>
  <c r="E6083" i="1"/>
  <c r="D6083" i="1"/>
  <c r="E6082" i="1"/>
  <c r="D6082" i="1"/>
  <c r="E6081" i="1"/>
  <c r="D6081" i="1"/>
  <c r="E6080" i="1"/>
  <c r="D6080" i="1"/>
  <c r="E6079" i="1"/>
  <c r="D6079" i="1"/>
  <c r="E6078" i="1"/>
  <c r="D6078" i="1"/>
  <c r="E6077" i="1"/>
  <c r="D6077" i="1"/>
  <c r="E6076" i="1"/>
  <c r="D6076" i="1"/>
  <c r="E6075" i="1"/>
  <c r="D6075" i="1"/>
  <c r="E6074" i="1"/>
  <c r="D6074" i="1"/>
  <c r="E6073" i="1"/>
  <c r="D6073" i="1"/>
  <c r="E6072" i="1"/>
  <c r="D6072" i="1"/>
  <c r="E6071" i="1"/>
  <c r="D6071" i="1"/>
  <c r="E6070" i="1"/>
  <c r="D6070" i="1"/>
  <c r="E6069" i="1"/>
  <c r="D6069" i="1"/>
  <c r="E6068" i="1"/>
  <c r="D6068" i="1"/>
  <c r="E6067" i="1"/>
  <c r="D6067" i="1"/>
  <c r="E6066" i="1"/>
  <c r="D6066" i="1"/>
  <c r="E6065" i="1"/>
  <c r="D6065" i="1"/>
  <c r="E6064" i="1"/>
  <c r="D6064" i="1"/>
  <c r="E6063" i="1"/>
  <c r="D6063" i="1"/>
  <c r="E6062" i="1"/>
  <c r="D6062" i="1"/>
  <c r="E6061" i="1"/>
  <c r="D6061" i="1"/>
  <c r="E6060" i="1"/>
  <c r="D6060" i="1"/>
  <c r="E6059" i="1"/>
  <c r="D6059" i="1"/>
  <c r="E6058" i="1"/>
  <c r="D6058" i="1"/>
  <c r="E6057" i="1"/>
  <c r="D6057" i="1"/>
  <c r="E6056" i="1"/>
  <c r="D6056" i="1"/>
  <c r="E6055" i="1"/>
  <c r="D6055" i="1"/>
  <c r="E6054" i="1"/>
  <c r="D6054" i="1"/>
  <c r="E6053" i="1"/>
  <c r="D6053" i="1"/>
  <c r="E6052" i="1"/>
  <c r="D6052" i="1"/>
  <c r="E6051" i="1"/>
  <c r="D6051" i="1"/>
  <c r="E6050" i="1"/>
  <c r="D6050" i="1"/>
  <c r="E6049" i="1"/>
  <c r="D6049" i="1"/>
  <c r="E6048" i="1"/>
  <c r="D6048" i="1"/>
  <c r="E6047" i="1"/>
  <c r="D6047" i="1"/>
  <c r="E6046" i="1"/>
  <c r="D6046" i="1"/>
  <c r="E6045" i="1"/>
  <c r="D6045" i="1"/>
  <c r="E6044" i="1"/>
  <c r="D6044" i="1"/>
  <c r="E6043" i="1"/>
  <c r="D6043" i="1"/>
  <c r="E6042" i="1"/>
  <c r="D6042" i="1"/>
  <c r="E6041" i="1"/>
  <c r="D6041" i="1"/>
  <c r="E6040" i="1"/>
  <c r="D6040" i="1"/>
  <c r="E6039" i="1"/>
  <c r="D6039" i="1"/>
  <c r="E6038" i="1"/>
  <c r="D6038" i="1"/>
  <c r="E6037" i="1"/>
  <c r="D6037" i="1"/>
  <c r="E6036" i="1"/>
  <c r="D6036" i="1"/>
  <c r="E6035" i="1"/>
  <c r="D6035" i="1"/>
  <c r="E6034" i="1"/>
  <c r="D6034" i="1"/>
  <c r="E6033" i="1"/>
  <c r="D6033" i="1"/>
  <c r="E6032" i="1"/>
  <c r="D6032" i="1"/>
  <c r="E6031" i="1"/>
  <c r="D6031" i="1"/>
  <c r="E6030" i="1"/>
  <c r="D6030" i="1"/>
  <c r="E6029" i="1"/>
  <c r="D6029" i="1"/>
  <c r="E6028" i="1"/>
  <c r="D6028" i="1"/>
  <c r="E6027" i="1"/>
  <c r="D6027" i="1"/>
  <c r="E6026" i="1"/>
  <c r="D6026" i="1"/>
  <c r="E6025" i="1"/>
  <c r="D6025" i="1"/>
  <c r="E6024" i="1"/>
  <c r="D6024" i="1"/>
  <c r="E6023" i="1"/>
  <c r="D6023" i="1"/>
  <c r="E6022" i="1"/>
  <c r="D6022" i="1"/>
  <c r="E6021" i="1"/>
  <c r="D6021" i="1"/>
  <c r="E6020" i="1"/>
  <c r="D6020" i="1"/>
  <c r="E6019" i="1"/>
  <c r="D6019" i="1"/>
  <c r="E6018" i="1"/>
  <c r="D6018" i="1"/>
  <c r="E6017" i="1"/>
  <c r="D6017" i="1"/>
  <c r="E6016" i="1"/>
  <c r="D6016" i="1"/>
  <c r="E6015" i="1"/>
  <c r="D6015" i="1"/>
  <c r="E6014" i="1"/>
  <c r="D6014" i="1"/>
  <c r="E6013" i="1"/>
  <c r="D6013" i="1"/>
  <c r="E6012" i="1"/>
  <c r="D6012" i="1"/>
  <c r="E6011" i="1"/>
  <c r="D6011" i="1"/>
  <c r="E6010" i="1"/>
  <c r="D6010" i="1"/>
  <c r="E6009" i="1"/>
  <c r="D6009" i="1"/>
  <c r="E6008" i="1"/>
  <c r="D6008" i="1"/>
  <c r="E6007" i="1"/>
  <c r="D6007" i="1"/>
  <c r="E6006" i="1"/>
  <c r="D6006" i="1"/>
  <c r="E6005" i="1"/>
  <c r="D6005" i="1"/>
  <c r="E6004" i="1"/>
  <c r="D6004" i="1"/>
  <c r="E6003" i="1"/>
  <c r="D6003" i="1"/>
  <c r="E6002" i="1"/>
  <c r="D6002" i="1"/>
  <c r="E6001" i="1"/>
  <c r="D6001" i="1"/>
  <c r="E6000" i="1"/>
  <c r="D6000" i="1"/>
  <c r="E5999" i="1"/>
  <c r="D5999" i="1"/>
  <c r="E5998" i="1"/>
  <c r="D5998" i="1"/>
  <c r="E5997" i="1"/>
  <c r="D5997" i="1"/>
  <c r="E5996" i="1"/>
  <c r="D5996" i="1"/>
  <c r="E5995" i="1"/>
  <c r="D5995" i="1"/>
  <c r="E5994" i="1"/>
  <c r="D5994" i="1"/>
  <c r="E5993" i="1"/>
  <c r="D5993" i="1"/>
  <c r="E5992" i="1"/>
  <c r="D5992" i="1"/>
  <c r="E5991" i="1"/>
  <c r="D5991" i="1"/>
  <c r="E5990" i="1"/>
  <c r="D5990" i="1"/>
  <c r="E5989" i="1"/>
  <c r="D5989" i="1"/>
  <c r="E5988" i="1"/>
  <c r="D5988" i="1"/>
  <c r="E5987" i="1"/>
  <c r="D5987" i="1"/>
  <c r="E5986" i="1"/>
  <c r="D5986" i="1"/>
  <c r="E5985" i="1"/>
  <c r="D5985" i="1"/>
  <c r="E5984" i="1"/>
  <c r="D5984" i="1"/>
  <c r="E5983" i="1"/>
  <c r="D5983" i="1"/>
  <c r="E5982" i="1"/>
  <c r="D5982" i="1"/>
  <c r="E5981" i="1"/>
  <c r="D5981" i="1"/>
  <c r="E5980" i="1"/>
  <c r="D5980" i="1"/>
  <c r="E5979" i="1"/>
  <c r="D5979" i="1"/>
  <c r="E5978" i="1"/>
  <c r="D5978" i="1"/>
  <c r="E5977" i="1"/>
  <c r="D5977" i="1"/>
  <c r="E5976" i="1"/>
  <c r="D5976" i="1"/>
  <c r="E5975" i="1"/>
  <c r="D5975" i="1"/>
  <c r="E5974" i="1"/>
  <c r="D5974" i="1"/>
  <c r="E5973" i="1"/>
  <c r="D5973" i="1"/>
  <c r="E5972" i="1"/>
  <c r="D5972" i="1"/>
  <c r="E5971" i="1"/>
  <c r="D5971" i="1"/>
  <c r="E5970" i="1"/>
  <c r="D5970" i="1"/>
  <c r="E5969" i="1"/>
  <c r="D5969" i="1"/>
  <c r="E5968" i="1"/>
  <c r="D5968" i="1"/>
  <c r="E5967" i="1"/>
  <c r="D5967" i="1"/>
  <c r="E5966" i="1"/>
  <c r="D5966" i="1"/>
  <c r="E5965" i="1"/>
  <c r="D5965" i="1"/>
  <c r="E5964" i="1"/>
  <c r="D5964" i="1"/>
  <c r="E5963" i="1"/>
  <c r="D5963" i="1"/>
  <c r="E5962" i="1"/>
  <c r="D5962" i="1"/>
  <c r="E5961" i="1"/>
  <c r="D5961" i="1"/>
  <c r="E5960" i="1"/>
  <c r="D5960" i="1"/>
  <c r="E5959" i="1"/>
  <c r="D5959" i="1"/>
  <c r="E5958" i="1"/>
  <c r="D5958" i="1"/>
  <c r="E5957" i="1"/>
  <c r="D5957" i="1"/>
  <c r="E5956" i="1"/>
  <c r="D5956" i="1"/>
  <c r="E5955" i="1"/>
  <c r="D5955" i="1"/>
  <c r="E5954" i="1"/>
  <c r="D5954" i="1"/>
  <c r="E5953" i="1"/>
  <c r="D5953" i="1"/>
  <c r="E5952" i="1"/>
  <c r="D5952" i="1"/>
  <c r="E5951" i="1"/>
  <c r="D5951" i="1"/>
  <c r="E5950" i="1"/>
  <c r="D5950" i="1"/>
  <c r="E5949" i="1"/>
  <c r="D5949" i="1"/>
  <c r="E5948" i="1"/>
  <c r="D5948" i="1"/>
  <c r="E5947" i="1"/>
  <c r="D5947" i="1"/>
  <c r="E5946" i="1"/>
  <c r="D5946" i="1"/>
  <c r="E5945" i="1"/>
  <c r="D5945" i="1"/>
  <c r="E5944" i="1"/>
  <c r="D5944" i="1"/>
  <c r="E5943" i="1"/>
  <c r="D5943" i="1"/>
  <c r="E5942" i="1"/>
  <c r="D5942" i="1"/>
  <c r="E5941" i="1"/>
  <c r="D5941" i="1"/>
  <c r="E5940" i="1"/>
  <c r="D5940" i="1"/>
  <c r="E5939" i="1"/>
  <c r="D5939" i="1"/>
  <c r="E5938" i="1"/>
  <c r="D5938" i="1"/>
  <c r="E5937" i="1"/>
  <c r="D5937" i="1"/>
  <c r="E5936" i="1"/>
  <c r="D5936" i="1"/>
  <c r="E5935" i="1"/>
  <c r="D5935" i="1"/>
  <c r="E5934" i="1"/>
  <c r="D5934" i="1"/>
  <c r="E5933" i="1"/>
  <c r="D5933" i="1"/>
  <c r="E5932" i="1"/>
  <c r="D5932" i="1"/>
  <c r="E5931" i="1"/>
  <c r="D5931" i="1"/>
  <c r="E5930" i="1"/>
  <c r="D5930" i="1"/>
  <c r="E5929" i="1"/>
  <c r="D5929" i="1"/>
  <c r="E5928" i="1"/>
  <c r="D5928" i="1"/>
  <c r="E5927" i="1"/>
  <c r="D5927" i="1"/>
  <c r="E5926" i="1"/>
  <c r="D5926" i="1"/>
  <c r="E5925" i="1"/>
  <c r="D5925" i="1"/>
  <c r="E5924" i="1"/>
  <c r="D5924" i="1"/>
  <c r="E5923" i="1"/>
  <c r="D5923" i="1"/>
  <c r="E5922" i="1"/>
  <c r="D5922" i="1"/>
  <c r="E5921" i="1"/>
  <c r="D5921" i="1"/>
  <c r="E5920" i="1"/>
  <c r="D5920" i="1"/>
  <c r="E5919" i="1"/>
  <c r="D5919" i="1"/>
  <c r="E5918" i="1"/>
  <c r="D5918" i="1"/>
  <c r="E5917" i="1"/>
  <c r="D5917" i="1"/>
  <c r="E5916" i="1"/>
  <c r="D5916" i="1"/>
  <c r="E5915" i="1"/>
  <c r="D5915" i="1"/>
  <c r="E5914" i="1"/>
  <c r="D5914" i="1"/>
  <c r="E5913" i="1"/>
  <c r="D5913" i="1"/>
  <c r="E5912" i="1"/>
  <c r="D5912" i="1"/>
  <c r="E5911" i="1"/>
  <c r="D5911" i="1"/>
  <c r="E5910" i="1"/>
  <c r="D5910" i="1"/>
  <c r="E5909" i="1"/>
  <c r="D5909" i="1"/>
  <c r="E5908" i="1"/>
  <c r="D5908" i="1"/>
  <c r="E5907" i="1"/>
  <c r="D5907" i="1"/>
  <c r="E5906" i="1"/>
  <c r="D5906" i="1"/>
  <c r="E5905" i="1"/>
  <c r="D5905" i="1"/>
  <c r="E5904" i="1"/>
  <c r="D5904" i="1"/>
  <c r="E5903" i="1"/>
  <c r="D5903" i="1"/>
  <c r="E5902" i="1"/>
  <c r="D5902" i="1"/>
  <c r="E5901" i="1"/>
  <c r="D5901" i="1"/>
  <c r="E5900" i="1"/>
  <c r="D5900" i="1"/>
  <c r="E5899" i="1"/>
  <c r="D5899" i="1"/>
  <c r="E5898" i="1"/>
  <c r="D5898" i="1"/>
  <c r="E5897" i="1"/>
  <c r="D5897" i="1"/>
  <c r="E5896" i="1"/>
  <c r="D5896" i="1"/>
  <c r="E5895" i="1"/>
  <c r="D5895" i="1"/>
  <c r="E5894" i="1"/>
  <c r="D5894" i="1"/>
  <c r="E5893" i="1"/>
  <c r="D5893" i="1"/>
  <c r="E5892" i="1"/>
  <c r="D5892" i="1"/>
  <c r="E5891" i="1"/>
  <c r="D5891" i="1"/>
  <c r="E5890" i="1"/>
  <c r="D5890" i="1"/>
  <c r="E5889" i="1"/>
  <c r="D5889" i="1"/>
  <c r="E5888" i="1"/>
  <c r="D5888" i="1"/>
  <c r="E5887" i="1"/>
  <c r="D5887" i="1"/>
  <c r="E5886" i="1"/>
  <c r="D5886" i="1"/>
  <c r="E5885" i="1"/>
  <c r="D5885" i="1"/>
  <c r="E5884" i="1"/>
  <c r="D5884" i="1"/>
  <c r="E5883" i="1"/>
  <c r="D5883" i="1"/>
  <c r="E5882" i="1"/>
  <c r="D5882" i="1"/>
  <c r="E5881" i="1"/>
  <c r="D5881" i="1"/>
  <c r="E5880" i="1"/>
  <c r="D5880" i="1"/>
  <c r="E5879" i="1"/>
  <c r="D5879" i="1"/>
  <c r="E5878" i="1"/>
  <c r="D5878" i="1"/>
  <c r="E5877" i="1"/>
  <c r="D5877" i="1"/>
  <c r="E5876" i="1"/>
  <c r="D5876" i="1"/>
  <c r="E5875" i="1"/>
  <c r="D5875" i="1"/>
  <c r="E5874" i="1"/>
  <c r="D5874" i="1"/>
  <c r="E5873" i="1"/>
  <c r="D5873" i="1"/>
  <c r="E5872" i="1"/>
  <c r="D5872" i="1"/>
  <c r="E5871" i="1"/>
  <c r="D5871" i="1"/>
  <c r="E5870" i="1"/>
  <c r="D5870" i="1"/>
  <c r="E5869" i="1"/>
  <c r="D5869" i="1"/>
  <c r="E5868" i="1"/>
  <c r="D5868" i="1"/>
  <c r="E5867" i="1"/>
  <c r="D5867" i="1"/>
  <c r="E5866" i="1"/>
  <c r="D5866" i="1"/>
  <c r="E5865" i="1"/>
  <c r="D5865" i="1"/>
  <c r="E5864" i="1"/>
  <c r="D5864" i="1"/>
  <c r="E5863" i="1"/>
  <c r="D5863" i="1"/>
  <c r="E5862" i="1"/>
  <c r="D5862" i="1"/>
  <c r="E5861" i="1"/>
  <c r="D5861" i="1"/>
  <c r="E5860" i="1"/>
  <c r="D5860" i="1"/>
  <c r="E5859" i="1"/>
  <c r="D5859" i="1"/>
  <c r="E5858" i="1"/>
  <c r="D5858" i="1"/>
  <c r="E5857" i="1"/>
  <c r="D5857" i="1"/>
  <c r="E5856" i="1"/>
  <c r="D5856" i="1"/>
  <c r="E5855" i="1"/>
  <c r="D5855" i="1"/>
  <c r="E5854" i="1"/>
  <c r="D5854" i="1"/>
  <c r="E5853" i="1"/>
  <c r="D5853" i="1"/>
  <c r="E5852" i="1"/>
  <c r="D5852" i="1"/>
  <c r="E5851" i="1"/>
  <c r="D5851" i="1"/>
  <c r="E5850" i="1"/>
  <c r="D5850" i="1"/>
  <c r="E5849" i="1"/>
  <c r="D5849" i="1"/>
  <c r="E5848" i="1"/>
  <c r="D5848" i="1"/>
  <c r="E5847" i="1"/>
  <c r="D5847" i="1"/>
  <c r="E5846" i="1"/>
  <c r="D5846" i="1"/>
  <c r="E5845" i="1"/>
  <c r="D5845" i="1"/>
  <c r="E5844" i="1"/>
  <c r="D5844" i="1"/>
  <c r="E5843" i="1"/>
  <c r="D5843" i="1"/>
  <c r="E5842" i="1"/>
  <c r="D5842" i="1"/>
  <c r="E5841" i="1"/>
  <c r="D5841" i="1"/>
  <c r="E5840" i="1"/>
  <c r="D5840" i="1"/>
  <c r="E5839" i="1"/>
  <c r="D5839" i="1"/>
  <c r="E5838" i="1"/>
  <c r="D5838" i="1"/>
  <c r="E5837" i="1"/>
  <c r="D5837" i="1"/>
  <c r="E5836" i="1"/>
  <c r="D5836" i="1"/>
  <c r="E5835" i="1"/>
  <c r="D5835" i="1"/>
  <c r="E5834" i="1"/>
  <c r="D5834" i="1"/>
  <c r="E5833" i="1"/>
  <c r="D5833" i="1"/>
  <c r="E5832" i="1"/>
  <c r="D5832" i="1"/>
  <c r="E5831" i="1"/>
  <c r="D5831" i="1"/>
  <c r="E5830" i="1"/>
  <c r="D5830" i="1"/>
  <c r="E5829" i="1"/>
  <c r="D5829" i="1"/>
  <c r="E5828" i="1"/>
  <c r="D5828" i="1"/>
  <c r="E5827" i="1"/>
  <c r="D5827" i="1"/>
  <c r="E5826" i="1"/>
  <c r="D5826" i="1"/>
  <c r="E5825" i="1"/>
  <c r="D5825" i="1"/>
  <c r="E5824" i="1"/>
  <c r="D5824" i="1"/>
  <c r="E5823" i="1"/>
  <c r="D5823" i="1"/>
  <c r="E5822" i="1"/>
  <c r="D5822" i="1"/>
  <c r="E5821" i="1"/>
  <c r="D5821" i="1"/>
  <c r="E5820" i="1"/>
  <c r="D5820" i="1"/>
  <c r="E5819" i="1"/>
  <c r="D5819" i="1"/>
  <c r="E5818" i="1"/>
  <c r="D5818" i="1"/>
  <c r="E5817" i="1"/>
  <c r="D5817" i="1"/>
  <c r="E5816" i="1"/>
  <c r="D5816" i="1"/>
  <c r="E5815" i="1"/>
  <c r="D5815" i="1"/>
  <c r="E5814" i="1"/>
  <c r="D5814" i="1"/>
  <c r="E5813" i="1"/>
  <c r="D5813" i="1"/>
  <c r="E5812" i="1"/>
  <c r="D5812" i="1"/>
  <c r="E5811" i="1"/>
  <c r="D5811" i="1"/>
  <c r="E5810" i="1"/>
  <c r="D5810" i="1"/>
  <c r="E5809" i="1"/>
  <c r="D5809" i="1"/>
  <c r="E5808" i="1"/>
  <c r="D5808" i="1"/>
  <c r="E5807" i="1"/>
  <c r="D5807" i="1"/>
  <c r="E5806" i="1"/>
  <c r="D5806" i="1"/>
  <c r="E5805" i="1"/>
  <c r="D5805" i="1"/>
  <c r="E5804" i="1"/>
  <c r="D5804" i="1"/>
  <c r="E5803" i="1"/>
  <c r="D5803" i="1"/>
  <c r="E5802" i="1"/>
  <c r="D5802" i="1"/>
  <c r="E5801" i="1"/>
  <c r="D5801" i="1"/>
  <c r="E5800" i="1"/>
  <c r="D5800" i="1"/>
  <c r="E5799" i="1"/>
  <c r="D5799" i="1"/>
  <c r="E5798" i="1"/>
  <c r="D5798" i="1"/>
  <c r="E5797" i="1"/>
  <c r="D5797" i="1"/>
  <c r="E5796" i="1"/>
  <c r="D5796" i="1"/>
  <c r="E5795" i="1"/>
  <c r="D5795" i="1"/>
  <c r="E5794" i="1"/>
  <c r="D5794" i="1"/>
  <c r="E5793" i="1"/>
  <c r="D5793" i="1"/>
  <c r="E5792" i="1"/>
  <c r="D5792" i="1"/>
  <c r="E5791" i="1"/>
  <c r="D5791" i="1"/>
  <c r="E5790" i="1"/>
  <c r="D5790" i="1"/>
  <c r="E5789" i="1"/>
  <c r="D5789" i="1"/>
  <c r="E5788" i="1"/>
  <c r="D5788" i="1"/>
  <c r="E5787" i="1"/>
  <c r="D5787" i="1"/>
  <c r="E5786" i="1"/>
  <c r="D5786" i="1"/>
  <c r="E5785" i="1"/>
  <c r="D5785" i="1"/>
  <c r="E5784" i="1"/>
  <c r="D5784" i="1"/>
  <c r="E5783" i="1"/>
  <c r="D5783" i="1"/>
  <c r="E5782" i="1"/>
  <c r="D5782" i="1"/>
  <c r="E5781" i="1"/>
  <c r="D5781" i="1"/>
  <c r="E5780" i="1"/>
  <c r="D5780" i="1"/>
  <c r="E5779" i="1"/>
  <c r="D5779" i="1"/>
  <c r="E5778" i="1"/>
  <c r="D5778" i="1"/>
  <c r="E5777" i="1"/>
  <c r="D5777" i="1"/>
  <c r="E5776" i="1"/>
  <c r="D5776" i="1"/>
  <c r="E5775" i="1"/>
  <c r="D5775" i="1"/>
  <c r="E5774" i="1"/>
  <c r="D5774" i="1"/>
  <c r="E5773" i="1"/>
  <c r="D5773" i="1"/>
  <c r="E5772" i="1"/>
  <c r="D5772" i="1"/>
  <c r="E5771" i="1"/>
  <c r="D5771" i="1"/>
  <c r="E5770" i="1"/>
  <c r="D5770" i="1"/>
  <c r="E5769" i="1"/>
  <c r="D5769" i="1"/>
  <c r="E5768" i="1"/>
  <c r="D5768" i="1"/>
  <c r="E5767" i="1"/>
  <c r="D5767" i="1"/>
  <c r="E5766" i="1"/>
  <c r="D5766" i="1"/>
  <c r="E5765" i="1"/>
  <c r="D5765" i="1"/>
  <c r="E5764" i="1"/>
  <c r="D5764" i="1"/>
  <c r="E5763" i="1"/>
  <c r="D5763" i="1"/>
  <c r="E5762" i="1"/>
  <c r="D5762" i="1"/>
  <c r="E5761" i="1"/>
  <c r="D5761" i="1"/>
  <c r="E5760" i="1"/>
  <c r="D5760" i="1"/>
  <c r="E5759" i="1"/>
  <c r="D5759" i="1"/>
  <c r="E5758" i="1"/>
  <c r="D5758" i="1"/>
  <c r="E5757" i="1"/>
  <c r="D5757" i="1"/>
  <c r="E5756" i="1"/>
  <c r="D5756" i="1"/>
  <c r="E5755" i="1"/>
  <c r="D5755" i="1"/>
  <c r="E5754" i="1"/>
  <c r="D5754" i="1"/>
  <c r="E5753" i="1"/>
  <c r="D5753" i="1"/>
  <c r="E5752" i="1"/>
  <c r="D5752" i="1"/>
  <c r="E5751" i="1"/>
  <c r="D5751" i="1"/>
  <c r="E5750" i="1"/>
  <c r="D5750" i="1"/>
  <c r="E5749" i="1"/>
  <c r="D5749" i="1"/>
  <c r="E5748" i="1"/>
  <c r="D5748" i="1"/>
  <c r="E5747" i="1"/>
  <c r="D5747" i="1"/>
  <c r="E5746" i="1"/>
  <c r="D5746" i="1"/>
  <c r="E5745" i="1"/>
  <c r="D5745" i="1"/>
  <c r="E5744" i="1"/>
  <c r="D5744" i="1"/>
  <c r="E5743" i="1"/>
  <c r="D5743" i="1"/>
  <c r="E5742" i="1"/>
  <c r="D5742" i="1"/>
  <c r="E5741" i="1"/>
  <c r="D5741" i="1"/>
  <c r="E5740" i="1"/>
  <c r="D5740" i="1"/>
  <c r="E5739" i="1"/>
  <c r="D5739" i="1"/>
  <c r="E5738" i="1"/>
  <c r="D5738" i="1"/>
  <c r="E5737" i="1"/>
  <c r="D5737" i="1"/>
  <c r="E5736" i="1"/>
  <c r="D5736" i="1"/>
  <c r="E5735" i="1"/>
  <c r="D5735" i="1"/>
  <c r="E5734" i="1"/>
  <c r="D5734" i="1"/>
  <c r="E5733" i="1"/>
  <c r="D5733" i="1"/>
  <c r="E5732" i="1"/>
  <c r="D5732" i="1"/>
  <c r="E5731" i="1"/>
  <c r="D5731" i="1"/>
  <c r="E5730" i="1"/>
  <c r="D5730" i="1"/>
  <c r="E5729" i="1"/>
  <c r="D5729" i="1"/>
  <c r="E5728" i="1"/>
  <c r="D5728" i="1"/>
  <c r="E5727" i="1"/>
  <c r="D5727" i="1"/>
  <c r="E5726" i="1"/>
  <c r="D5726" i="1"/>
  <c r="E5725" i="1"/>
  <c r="D5725" i="1"/>
  <c r="E5724" i="1"/>
  <c r="D5724" i="1"/>
  <c r="E5723" i="1"/>
  <c r="D5723" i="1"/>
  <c r="E5722" i="1"/>
  <c r="D5722" i="1"/>
  <c r="E5721" i="1"/>
  <c r="D5721" i="1"/>
  <c r="E5720" i="1"/>
  <c r="D5720" i="1"/>
  <c r="E5719" i="1"/>
  <c r="D5719" i="1"/>
  <c r="E5718" i="1"/>
  <c r="D5718" i="1"/>
  <c r="E5717" i="1"/>
  <c r="D5717" i="1"/>
  <c r="E5716" i="1"/>
  <c r="D5716" i="1"/>
  <c r="E5715" i="1"/>
  <c r="D5715" i="1"/>
  <c r="E5714" i="1"/>
  <c r="D5714" i="1"/>
  <c r="E5713" i="1"/>
  <c r="D5713" i="1"/>
  <c r="E5712" i="1"/>
  <c r="D5712" i="1"/>
  <c r="E5711" i="1"/>
  <c r="D5711" i="1"/>
  <c r="E5710" i="1"/>
  <c r="D5710" i="1"/>
  <c r="E5709" i="1"/>
  <c r="D5709" i="1"/>
  <c r="E5708" i="1"/>
  <c r="D5708" i="1"/>
  <c r="E5707" i="1"/>
  <c r="D5707" i="1"/>
  <c r="E5706" i="1"/>
  <c r="D5706" i="1"/>
  <c r="E5705" i="1"/>
  <c r="D5705" i="1"/>
  <c r="E5704" i="1"/>
  <c r="D5704" i="1"/>
  <c r="E5703" i="1"/>
  <c r="D5703" i="1"/>
  <c r="E5702" i="1"/>
  <c r="D5702" i="1"/>
  <c r="E5701" i="1"/>
  <c r="D5701" i="1"/>
  <c r="E5700" i="1"/>
  <c r="D5700" i="1"/>
  <c r="E5699" i="1"/>
  <c r="D5699" i="1"/>
  <c r="E5698" i="1"/>
  <c r="D5698" i="1"/>
  <c r="E5697" i="1"/>
  <c r="D5697" i="1"/>
  <c r="E5696" i="1"/>
  <c r="D5696" i="1"/>
  <c r="E5695" i="1"/>
  <c r="D5695" i="1"/>
  <c r="E5694" i="1"/>
  <c r="D5694" i="1"/>
  <c r="E5693" i="1"/>
  <c r="D5693" i="1"/>
  <c r="E5692" i="1"/>
  <c r="D5692" i="1"/>
  <c r="E5691" i="1"/>
  <c r="D5691" i="1"/>
  <c r="E5690" i="1"/>
  <c r="D5690" i="1"/>
  <c r="E5689" i="1"/>
  <c r="D5689" i="1"/>
  <c r="E5688" i="1"/>
  <c r="D5688" i="1"/>
  <c r="E5687" i="1"/>
  <c r="D5687" i="1"/>
  <c r="E5686" i="1"/>
  <c r="D5686" i="1"/>
  <c r="E5685" i="1"/>
  <c r="D5685" i="1"/>
  <c r="E5684" i="1"/>
  <c r="D5684" i="1"/>
  <c r="E5683" i="1"/>
  <c r="D5683" i="1"/>
  <c r="E5682" i="1"/>
  <c r="D5682" i="1"/>
  <c r="E5681" i="1"/>
  <c r="D5681" i="1"/>
  <c r="E5680" i="1"/>
  <c r="D5680" i="1"/>
  <c r="E5679" i="1"/>
  <c r="D5679" i="1"/>
  <c r="E5678" i="1"/>
  <c r="D5678" i="1"/>
  <c r="E5677" i="1"/>
  <c r="D5677" i="1"/>
  <c r="E5676" i="1"/>
  <c r="D5676" i="1"/>
  <c r="E5675" i="1"/>
  <c r="D5675" i="1"/>
  <c r="E5674" i="1"/>
  <c r="D5674" i="1"/>
  <c r="E5673" i="1"/>
  <c r="D5673" i="1"/>
  <c r="E5672" i="1"/>
  <c r="D5672" i="1"/>
  <c r="E5671" i="1"/>
  <c r="D5671" i="1"/>
  <c r="E5670" i="1"/>
  <c r="D5670" i="1"/>
  <c r="E5669" i="1"/>
  <c r="D5669" i="1"/>
  <c r="E5668" i="1"/>
  <c r="D5668" i="1"/>
  <c r="E5667" i="1"/>
  <c r="D5667" i="1"/>
  <c r="E5666" i="1"/>
  <c r="D5666" i="1"/>
  <c r="E5665" i="1"/>
  <c r="D5665" i="1"/>
  <c r="E5664" i="1"/>
  <c r="D5664" i="1"/>
  <c r="E5663" i="1"/>
  <c r="D5663" i="1"/>
  <c r="E5662" i="1"/>
  <c r="D5662" i="1"/>
  <c r="E5661" i="1"/>
  <c r="D5661" i="1"/>
  <c r="E5660" i="1"/>
  <c r="D5660" i="1"/>
  <c r="E5659" i="1"/>
  <c r="D5659" i="1"/>
  <c r="E5658" i="1"/>
  <c r="D5658" i="1"/>
  <c r="E5657" i="1"/>
  <c r="D5657" i="1"/>
  <c r="E5656" i="1"/>
  <c r="D5656" i="1"/>
  <c r="E5655" i="1"/>
  <c r="D5655" i="1"/>
  <c r="E5654" i="1"/>
  <c r="D5654" i="1"/>
  <c r="E5653" i="1"/>
  <c r="D5653" i="1"/>
  <c r="E5652" i="1"/>
  <c r="D5652" i="1"/>
  <c r="E5651" i="1"/>
  <c r="D5651" i="1"/>
  <c r="E5650" i="1"/>
  <c r="D5650" i="1"/>
  <c r="E5649" i="1"/>
  <c r="D5649" i="1"/>
  <c r="E5648" i="1"/>
  <c r="D5648" i="1"/>
  <c r="E5647" i="1"/>
  <c r="D5647" i="1"/>
  <c r="E5646" i="1"/>
  <c r="D5646" i="1"/>
  <c r="E5645" i="1"/>
  <c r="D5645" i="1"/>
  <c r="E5644" i="1"/>
  <c r="D5644" i="1"/>
  <c r="E5643" i="1"/>
  <c r="D5643" i="1"/>
  <c r="E5642" i="1"/>
  <c r="D5642" i="1"/>
  <c r="E5641" i="1"/>
  <c r="D5641" i="1"/>
  <c r="E5640" i="1"/>
  <c r="D5640" i="1"/>
  <c r="E5639" i="1"/>
  <c r="D5639" i="1"/>
  <c r="E5638" i="1"/>
  <c r="D5638" i="1"/>
  <c r="E5637" i="1"/>
  <c r="D5637" i="1"/>
  <c r="E5636" i="1"/>
  <c r="D5636" i="1"/>
  <c r="E5635" i="1"/>
  <c r="D5635" i="1"/>
  <c r="E5634" i="1"/>
  <c r="D5634" i="1"/>
  <c r="E5633" i="1"/>
  <c r="D5633" i="1"/>
  <c r="E5632" i="1"/>
  <c r="D5632" i="1"/>
  <c r="E5631" i="1"/>
  <c r="D5631" i="1"/>
  <c r="E5630" i="1"/>
  <c r="D5630" i="1"/>
  <c r="E5629" i="1"/>
  <c r="D5629" i="1"/>
  <c r="E5628" i="1"/>
  <c r="D5628" i="1"/>
  <c r="E5627" i="1"/>
  <c r="D5627" i="1"/>
  <c r="E5626" i="1"/>
  <c r="D5626" i="1"/>
  <c r="E5625" i="1"/>
  <c r="D5625" i="1"/>
  <c r="E5624" i="1"/>
  <c r="D5624" i="1"/>
  <c r="E5623" i="1"/>
  <c r="D5623" i="1"/>
  <c r="E5622" i="1"/>
  <c r="D5622" i="1"/>
  <c r="E5621" i="1"/>
  <c r="D5621" i="1"/>
  <c r="E5620" i="1"/>
  <c r="D5620" i="1"/>
  <c r="E5619" i="1"/>
  <c r="D5619" i="1"/>
  <c r="E5618" i="1"/>
  <c r="D5618" i="1"/>
  <c r="E5617" i="1"/>
  <c r="D5617" i="1"/>
  <c r="E5616" i="1"/>
  <c r="D5616" i="1"/>
  <c r="E5615" i="1"/>
  <c r="D5615" i="1"/>
  <c r="E5614" i="1"/>
  <c r="D5614" i="1"/>
  <c r="E5613" i="1"/>
  <c r="D5613" i="1"/>
  <c r="E5612" i="1"/>
  <c r="D5612" i="1"/>
  <c r="E5611" i="1"/>
  <c r="D5611" i="1"/>
  <c r="E5610" i="1"/>
  <c r="D5610" i="1"/>
  <c r="E5609" i="1"/>
  <c r="D5609" i="1"/>
  <c r="E5608" i="1"/>
  <c r="D5608" i="1"/>
  <c r="E5607" i="1"/>
  <c r="D5607" i="1"/>
  <c r="E5606" i="1"/>
  <c r="D5606" i="1"/>
  <c r="E5605" i="1"/>
  <c r="D5605" i="1"/>
  <c r="E5604" i="1"/>
  <c r="D5604" i="1"/>
  <c r="E5603" i="1"/>
  <c r="D5603" i="1"/>
  <c r="E5602" i="1"/>
  <c r="D5602" i="1"/>
  <c r="E5601" i="1"/>
  <c r="D5601" i="1"/>
  <c r="E5600" i="1"/>
  <c r="D5600" i="1"/>
  <c r="E5599" i="1"/>
  <c r="D5599" i="1"/>
  <c r="E5598" i="1"/>
  <c r="D5598" i="1"/>
  <c r="E5597" i="1"/>
  <c r="D5597" i="1"/>
  <c r="E5596" i="1"/>
  <c r="D5596" i="1"/>
  <c r="E5595" i="1"/>
  <c r="D5595" i="1"/>
  <c r="E5594" i="1"/>
  <c r="D5594" i="1"/>
  <c r="E5593" i="1"/>
  <c r="D5593" i="1"/>
  <c r="E5592" i="1"/>
  <c r="D5592" i="1"/>
  <c r="E5591" i="1"/>
  <c r="D5591" i="1"/>
  <c r="E5590" i="1"/>
  <c r="D5590" i="1"/>
  <c r="E5589" i="1"/>
  <c r="D5589" i="1"/>
  <c r="E5588" i="1"/>
  <c r="D5588" i="1"/>
  <c r="E5587" i="1"/>
  <c r="D5587" i="1"/>
  <c r="E5586" i="1"/>
  <c r="D5586" i="1"/>
  <c r="E5585" i="1"/>
  <c r="D5585" i="1"/>
  <c r="E5584" i="1"/>
  <c r="D5584" i="1"/>
  <c r="E5583" i="1"/>
  <c r="D5583" i="1"/>
  <c r="E5582" i="1"/>
  <c r="D5582" i="1"/>
  <c r="E5581" i="1"/>
  <c r="D5581" i="1"/>
  <c r="E5580" i="1"/>
  <c r="D5580" i="1"/>
  <c r="E5579" i="1"/>
  <c r="D5579" i="1"/>
  <c r="E5578" i="1"/>
  <c r="D5578" i="1"/>
  <c r="E5577" i="1"/>
  <c r="D5577" i="1"/>
  <c r="E5576" i="1"/>
  <c r="D5576" i="1"/>
  <c r="E5575" i="1"/>
  <c r="D5575" i="1"/>
  <c r="E5574" i="1"/>
  <c r="D5574" i="1"/>
  <c r="E5573" i="1"/>
  <c r="D5573" i="1"/>
  <c r="E5572" i="1"/>
  <c r="D5572" i="1"/>
  <c r="E5571" i="1"/>
  <c r="D5571" i="1"/>
  <c r="E5570" i="1"/>
  <c r="D5570" i="1"/>
  <c r="E5569" i="1"/>
  <c r="D5569" i="1"/>
  <c r="E5568" i="1"/>
  <c r="D5568" i="1"/>
  <c r="E5567" i="1"/>
  <c r="D5567" i="1"/>
  <c r="E5566" i="1"/>
  <c r="D5566" i="1"/>
  <c r="E5565" i="1"/>
  <c r="D5565" i="1"/>
  <c r="E5564" i="1"/>
  <c r="D5564" i="1"/>
  <c r="E5563" i="1"/>
  <c r="D5563" i="1"/>
  <c r="E5562" i="1"/>
  <c r="D5562" i="1"/>
  <c r="E5561" i="1"/>
  <c r="D5561" i="1"/>
  <c r="E5560" i="1"/>
  <c r="D5560" i="1"/>
  <c r="E5559" i="1"/>
  <c r="D5559" i="1"/>
  <c r="E5558" i="1"/>
  <c r="D5558" i="1"/>
  <c r="E5557" i="1"/>
  <c r="D5557" i="1"/>
  <c r="E5556" i="1"/>
  <c r="D5556" i="1"/>
  <c r="E5555" i="1"/>
  <c r="D5555" i="1"/>
  <c r="E5554" i="1"/>
  <c r="D5554" i="1"/>
  <c r="E5553" i="1"/>
  <c r="D5553" i="1"/>
  <c r="E5552" i="1"/>
  <c r="D5552" i="1"/>
  <c r="E5551" i="1"/>
  <c r="D5551" i="1"/>
  <c r="E5550" i="1"/>
  <c r="D5550" i="1"/>
  <c r="E5549" i="1"/>
  <c r="D5549" i="1"/>
  <c r="E5548" i="1"/>
  <c r="D5548" i="1"/>
  <c r="E5547" i="1"/>
  <c r="D5547" i="1"/>
  <c r="E5546" i="1"/>
  <c r="D5546" i="1"/>
  <c r="E5545" i="1"/>
  <c r="D5545" i="1"/>
  <c r="E5544" i="1"/>
  <c r="D5544" i="1"/>
  <c r="E5543" i="1"/>
  <c r="D5543" i="1"/>
  <c r="E5542" i="1"/>
  <c r="D5542" i="1"/>
  <c r="E5541" i="1"/>
  <c r="D5541" i="1"/>
  <c r="E5540" i="1"/>
  <c r="D5540" i="1"/>
  <c r="E5539" i="1"/>
  <c r="D5539" i="1"/>
  <c r="E5538" i="1"/>
  <c r="D5538" i="1"/>
  <c r="E5537" i="1"/>
  <c r="D5537" i="1"/>
  <c r="E5536" i="1"/>
  <c r="D5536" i="1"/>
  <c r="E5535" i="1"/>
  <c r="D5535" i="1"/>
  <c r="E5534" i="1"/>
  <c r="D5534" i="1"/>
  <c r="E5533" i="1"/>
  <c r="D5533" i="1"/>
  <c r="E5532" i="1"/>
  <c r="D5532" i="1"/>
  <c r="E5531" i="1"/>
  <c r="D5531" i="1"/>
  <c r="E5530" i="1"/>
  <c r="D5530" i="1"/>
  <c r="E5529" i="1"/>
  <c r="D5529" i="1"/>
  <c r="E5528" i="1"/>
  <c r="D5528" i="1"/>
  <c r="E5527" i="1"/>
  <c r="D5527" i="1"/>
  <c r="E5526" i="1"/>
  <c r="D5526" i="1"/>
  <c r="E5525" i="1"/>
  <c r="D5525" i="1"/>
  <c r="E5524" i="1"/>
  <c r="D5524" i="1"/>
  <c r="E5523" i="1"/>
  <c r="D5523" i="1"/>
  <c r="E5522" i="1"/>
  <c r="D5522" i="1"/>
  <c r="E5521" i="1"/>
  <c r="D5521" i="1"/>
  <c r="E5520" i="1"/>
  <c r="D5520" i="1"/>
  <c r="E5519" i="1"/>
  <c r="D5519" i="1"/>
  <c r="E5518" i="1"/>
  <c r="D5518" i="1"/>
  <c r="E5517" i="1"/>
  <c r="D5517" i="1"/>
  <c r="E5516" i="1"/>
  <c r="D5516" i="1"/>
  <c r="E5515" i="1"/>
  <c r="D5515" i="1"/>
  <c r="E5514" i="1"/>
  <c r="D5514" i="1"/>
  <c r="E5513" i="1"/>
  <c r="D5513" i="1"/>
  <c r="E5512" i="1"/>
  <c r="D5512" i="1"/>
  <c r="E5511" i="1"/>
  <c r="D5511" i="1"/>
  <c r="E5510" i="1"/>
  <c r="D5510" i="1"/>
  <c r="E5509" i="1"/>
  <c r="D5509" i="1"/>
  <c r="E5508" i="1"/>
  <c r="D5508" i="1"/>
  <c r="E5507" i="1"/>
  <c r="D5507" i="1"/>
  <c r="E5506" i="1"/>
  <c r="D5506" i="1"/>
  <c r="E5505" i="1"/>
  <c r="D5505" i="1"/>
  <c r="E5504" i="1"/>
  <c r="D5504" i="1"/>
  <c r="E5503" i="1"/>
  <c r="D5503" i="1"/>
  <c r="E5502" i="1"/>
  <c r="D5502" i="1"/>
  <c r="E5501" i="1"/>
  <c r="D5501" i="1"/>
  <c r="E5500" i="1"/>
  <c r="D5500" i="1"/>
  <c r="E5499" i="1"/>
  <c r="D5499" i="1"/>
  <c r="E5498" i="1"/>
  <c r="D5498" i="1"/>
  <c r="E5497" i="1"/>
  <c r="D5497" i="1"/>
  <c r="E5496" i="1"/>
  <c r="D5496" i="1"/>
  <c r="E5495" i="1"/>
  <c r="D5495" i="1"/>
  <c r="E5494" i="1"/>
  <c r="D5494" i="1"/>
  <c r="E5493" i="1"/>
  <c r="D5493" i="1"/>
  <c r="E5492" i="1"/>
  <c r="D5492" i="1"/>
  <c r="E5491" i="1"/>
  <c r="D5491" i="1"/>
  <c r="E5490" i="1"/>
  <c r="D5490" i="1"/>
  <c r="E5489" i="1"/>
  <c r="D5489" i="1"/>
  <c r="E5488" i="1"/>
  <c r="D5488" i="1"/>
  <c r="E5487" i="1"/>
  <c r="D5487" i="1"/>
  <c r="E5486" i="1"/>
  <c r="D5486" i="1"/>
  <c r="E5485" i="1"/>
  <c r="D5485" i="1"/>
  <c r="E5484" i="1"/>
  <c r="D5484" i="1"/>
  <c r="E5483" i="1"/>
  <c r="D5483" i="1"/>
  <c r="E5482" i="1"/>
  <c r="D5482" i="1"/>
  <c r="E5481" i="1"/>
  <c r="D5481" i="1"/>
  <c r="E5480" i="1"/>
  <c r="D5480" i="1"/>
  <c r="E5479" i="1"/>
  <c r="D5479" i="1"/>
  <c r="E5478" i="1"/>
  <c r="D5478" i="1"/>
  <c r="E5477" i="1"/>
  <c r="D5477" i="1"/>
  <c r="E5476" i="1"/>
  <c r="D5476" i="1"/>
  <c r="E5475" i="1"/>
  <c r="D5475" i="1"/>
  <c r="E5474" i="1"/>
  <c r="D5474" i="1"/>
  <c r="E5473" i="1"/>
  <c r="D5473" i="1"/>
  <c r="E5472" i="1"/>
  <c r="D5472" i="1"/>
  <c r="E5471" i="1"/>
  <c r="D5471" i="1"/>
  <c r="E5470" i="1"/>
  <c r="D5470" i="1"/>
  <c r="E5469" i="1"/>
  <c r="D5469" i="1"/>
  <c r="E5468" i="1"/>
  <c r="D5468" i="1"/>
  <c r="E5467" i="1"/>
  <c r="D5467" i="1"/>
  <c r="E5466" i="1"/>
  <c r="D5466" i="1"/>
  <c r="E5465" i="1"/>
  <c r="D5465" i="1"/>
  <c r="E5464" i="1"/>
  <c r="D5464" i="1"/>
  <c r="E5463" i="1"/>
  <c r="D5463" i="1"/>
  <c r="E5462" i="1"/>
  <c r="D5462" i="1"/>
  <c r="E5461" i="1"/>
  <c r="D5461" i="1"/>
  <c r="E5460" i="1"/>
  <c r="D5460" i="1"/>
  <c r="E5459" i="1"/>
  <c r="D5459" i="1"/>
  <c r="E5458" i="1"/>
  <c r="D5458" i="1"/>
  <c r="E5457" i="1"/>
  <c r="D5457" i="1"/>
  <c r="E5456" i="1"/>
  <c r="D5456" i="1"/>
  <c r="E5455" i="1"/>
  <c r="D5455" i="1"/>
  <c r="E5454" i="1"/>
  <c r="D5454" i="1"/>
  <c r="E5453" i="1"/>
  <c r="D5453" i="1"/>
  <c r="E5452" i="1"/>
  <c r="D5452" i="1"/>
  <c r="E5451" i="1"/>
  <c r="D5451" i="1"/>
  <c r="E5450" i="1"/>
  <c r="D5450" i="1"/>
  <c r="E5449" i="1"/>
  <c r="D5449" i="1"/>
  <c r="E5448" i="1"/>
  <c r="D5448" i="1"/>
  <c r="E5447" i="1"/>
  <c r="D5447" i="1"/>
  <c r="E5446" i="1"/>
  <c r="D5446" i="1"/>
  <c r="E5445" i="1"/>
  <c r="D5445" i="1"/>
  <c r="E5444" i="1"/>
  <c r="D5444" i="1"/>
  <c r="E5443" i="1"/>
  <c r="D5443" i="1"/>
  <c r="E5442" i="1"/>
  <c r="D5442" i="1"/>
  <c r="E5441" i="1"/>
  <c r="D5441" i="1"/>
  <c r="E5440" i="1"/>
  <c r="D5440" i="1"/>
  <c r="E5439" i="1"/>
  <c r="D5439" i="1"/>
  <c r="E5438" i="1"/>
  <c r="D5438" i="1"/>
  <c r="E5437" i="1"/>
  <c r="D5437" i="1"/>
  <c r="E5436" i="1"/>
  <c r="D5436" i="1"/>
  <c r="E5435" i="1"/>
  <c r="D5435" i="1"/>
  <c r="E5434" i="1"/>
  <c r="D5434" i="1"/>
  <c r="E5433" i="1"/>
  <c r="D5433" i="1"/>
  <c r="E5432" i="1"/>
  <c r="D5432" i="1"/>
  <c r="E5431" i="1"/>
  <c r="D5431" i="1"/>
  <c r="E5430" i="1"/>
  <c r="D5430" i="1"/>
  <c r="E5429" i="1"/>
  <c r="D5429" i="1"/>
  <c r="E5428" i="1"/>
  <c r="D5428" i="1"/>
  <c r="E5427" i="1"/>
  <c r="D5427" i="1"/>
  <c r="E5426" i="1"/>
  <c r="D5426" i="1"/>
  <c r="E5425" i="1"/>
  <c r="D5425" i="1"/>
  <c r="E5424" i="1"/>
  <c r="D5424" i="1"/>
  <c r="E5423" i="1"/>
  <c r="D5423" i="1"/>
  <c r="E5422" i="1"/>
  <c r="D5422" i="1"/>
  <c r="E5421" i="1"/>
  <c r="D5421" i="1"/>
  <c r="E5420" i="1"/>
  <c r="D5420" i="1"/>
  <c r="E5419" i="1"/>
  <c r="D5419" i="1"/>
  <c r="E5418" i="1"/>
  <c r="D5418" i="1"/>
  <c r="E5417" i="1"/>
  <c r="D5417" i="1"/>
  <c r="E5416" i="1"/>
  <c r="D5416" i="1"/>
  <c r="E5415" i="1"/>
  <c r="D5415" i="1"/>
  <c r="E5414" i="1"/>
  <c r="D5414" i="1"/>
  <c r="E5413" i="1"/>
  <c r="D5413" i="1"/>
  <c r="E5412" i="1"/>
  <c r="D5412" i="1"/>
  <c r="E5411" i="1"/>
  <c r="D5411" i="1"/>
  <c r="E5410" i="1"/>
  <c r="D5410" i="1"/>
  <c r="E5409" i="1"/>
  <c r="D5409" i="1"/>
  <c r="E5408" i="1"/>
  <c r="D5408" i="1"/>
  <c r="E5407" i="1"/>
  <c r="D5407" i="1"/>
  <c r="E5406" i="1"/>
  <c r="D5406" i="1"/>
  <c r="E5405" i="1"/>
  <c r="D5405" i="1"/>
  <c r="E5404" i="1"/>
  <c r="D5404" i="1"/>
  <c r="E5403" i="1"/>
  <c r="D5403" i="1"/>
  <c r="E5402" i="1"/>
  <c r="D5402" i="1"/>
  <c r="E5401" i="1"/>
  <c r="D5401" i="1"/>
  <c r="E5400" i="1"/>
  <c r="D5400" i="1"/>
  <c r="E5399" i="1"/>
  <c r="D5399" i="1"/>
  <c r="E5398" i="1"/>
  <c r="D5398" i="1"/>
  <c r="E5397" i="1"/>
  <c r="D5397" i="1"/>
  <c r="E5396" i="1"/>
  <c r="D5396" i="1"/>
  <c r="E5395" i="1"/>
  <c r="D5395" i="1"/>
  <c r="E5394" i="1"/>
  <c r="D5394" i="1"/>
  <c r="E5393" i="1"/>
  <c r="D5393" i="1"/>
  <c r="E5392" i="1"/>
  <c r="D5392" i="1"/>
  <c r="E5391" i="1"/>
  <c r="D5391" i="1"/>
  <c r="E5390" i="1"/>
  <c r="D5390" i="1"/>
  <c r="E5389" i="1"/>
  <c r="D5389" i="1"/>
  <c r="E5388" i="1"/>
  <c r="D5388" i="1"/>
  <c r="E5387" i="1"/>
  <c r="D5387" i="1"/>
  <c r="E5386" i="1"/>
  <c r="D5386" i="1"/>
  <c r="E5385" i="1"/>
  <c r="D5385" i="1"/>
  <c r="E5384" i="1"/>
  <c r="D5384" i="1"/>
  <c r="E5383" i="1"/>
  <c r="D5383" i="1"/>
  <c r="E5382" i="1"/>
  <c r="D5382" i="1"/>
  <c r="E5381" i="1"/>
  <c r="D5381" i="1"/>
  <c r="E5380" i="1"/>
  <c r="D5380" i="1"/>
  <c r="E5379" i="1"/>
  <c r="D5379" i="1"/>
  <c r="E5378" i="1"/>
  <c r="D5378" i="1"/>
  <c r="E5377" i="1"/>
  <c r="D5377" i="1"/>
  <c r="E5376" i="1"/>
  <c r="D5376" i="1"/>
  <c r="E5375" i="1"/>
  <c r="D5375" i="1"/>
  <c r="E5374" i="1"/>
  <c r="D5374" i="1"/>
  <c r="E5373" i="1"/>
  <c r="D5373" i="1"/>
  <c r="E5372" i="1"/>
  <c r="D5372" i="1"/>
  <c r="E5371" i="1"/>
  <c r="D5371" i="1"/>
  <c r="E5370" i="1"/>
  <c r="D5370" i="1"/>
  <c r="E5369" i="1"/>
  <c r="D5369" i="1"/>
  <c r="E5368" i="1"/>
  <c r="D5368" i="1"/>
  <c r="E5367" i="1"/>
  <c r="D5367" i="1"/>
  <c r="E5366" i="1"/>
  <c r="D5366" i="1"/>
  <c r="E5365" i="1"/>
  <c r="D5365" i="1"/>
  <c r="E5364" i="1"/>
  <c r="D5364" i="1"/>
  <c r="E5363" i="1"/>
  <c r="D5363" i="1"/>
  <c r="E5362" i="1"/>
  <c r="D5362" i="1"/>
  <c r="E5361" i="1"/>
  <c r="D5361" i="1"/>
  <c r="E5360" i="1"/>
  <c r="D5360" i="1"/>
  <c r="E5359" i="1"/>
  <c r="D5359" i="1"/>
  <c r="E5358" i="1"/>
  <c r="D5358" i="1"/>
  <c r="E5357" i="1"/>
  <c r="D5357" i="1"/>
  <c r="E5356" i="1"/>
  <c r="D5356" i="1"/>
  <c r="E5355" i="1"/>
  <c r="D5355" i="1"/>
  <c r="E5354" i="1"/>
  <c r="D5354" i="1"/>
  <c r="E5353" i="1"/>
  <c r="D5353" i="1"/>
  <c r="E5352" i="1"/>
  <c r="D5352" i="1"/>
  <c r="E5351" i="1"/>
  <c r="D5351" i="1"/>
  <c r="E5350" i="1"/>
  <c r="D5350" i="1"/>
  <c r="E5349" i="1"/>
  <c r="D5349" i="1"/>
  <c r="E5348" i="1"/>
  <c r="D5348" i="1"/>
  <c r="E5347" i="1"/>
  <c r="D5347" i="1"/>
  <c r="E5346" i="1"/>
  <c r="D5346" i="1"/>
  <c r="E5345" i="1"/>
  <c r="D5345" i="1"/>
  <c r="E5344" i="1"/>
  <c r="D5344" i="1"/>
  <c r="E5343" i="1"/>
  <c r="D5343" i="1"/>
  <c r="E5342" i="1"/>
  <c r="D5342" i="1"/>
  <c r="E5341" i="1"/>
  <c r="D5341" i="1"/>
  <c r="E5340" i="1"/>
  <c r="D5340" i="1"/>
  <c r="E5339" i="1"/>
  <c r="D5339" i="1"/>
  <c r="E5338" i="1"/>
  <c r="D5338" i="1"/>
  <c r="E5337" i="1"/>
  <c r="D5337" i="1"/>
  <c r="E5336" i="1"/>
  <c r="D5336" i="1"/>
  <c r="E5335" i="1"/>
  <c r="D5335" i="1"/>
  <c r="E5334" i="1"/>
  <c r="D5334" i="1"/>
  <c r="E5333" i="1"/>
  <c r="D5333" i="1"/>
  <c r="E5332" i="1"/>
  <c r="D5332" i="1"/>
  <c r="E5331" i="1"/>
  <c r="D5331" i="1"/>
  <c r="E5330" i="1"/>
  <c r="D5330" i="1"/>
  <c r="E5329" i="1"/>
  <c r="D5329" i="1"/>
  <c r="E5328" i="1"/>
  <c r="D5328" i="1"/>
  <c r="E5327" i="1"/>
  <c r="D5327" i="1"/>
  <c r="E5326" i="1"/>
  <c r="D5326" i="1"/>
  <c r="E5325" i="1"/>
  <c r="D5325" i="1"/>
  <c r="E5324" i="1"/>
  <c r="D5324" i="1"/>
  <c r="E5323" i="1"/>
  <c r="D5323" i="1"/>
  <c r="E5322" i="1"/>
  <c r="D5322" i="1"/>
  <c r="E5321" i="1"/>
  <c r="D5321" i="1"/>
  <c r="E5320" i="1"/>
  <c r="D5320" i="1"/>
  <c r="E5319" i="1"/>
  <c r="D5319" i="1"/>
  <c r="E5318" i="1"/>
  <c r="D5318" i="1"/>
  <c r="E5317" i="1"/>
  <c r="D5317" i="1"/>
  <c r="E5316" i="1"/>
  <c r="D5316" i="1"/>
  <c r="E5315" i="1"/>
  <c r="D5315" i="1"/>
  <c r="E5314" i="1"/>
  <c r="D5314" i="1"/>
  <c r="E5313" i="1"/>
  <c r="D5313" i="1"/>
  <c r="E5312" i="1"/>
  <c r="D5312" i="1"/>
  <c r="E5311" i="1"/>
  <c r="D5311" i="1"/>
  <c r="E5310" i="1"/>
  <c r="D5310" i="1"/>
  <c r="E5309" i="1"/>
  <c r="D5309" i="1"/>
  <c r="E5308" i="1"/>
  <c r="D5308" i="1"/>
  <c r="E5307" i="1"/>
  <c r="D5307" i="1"/>
  <c r="E5306" i="1"/>
  <c r="D5306" i="1"/>
  <c r="E5305" i="1"/>
  <c r="D5305" i="1"/>
  <c r="E5304" i="1"/>
  <c r="D5304" i="1"/>
  <c r="E5303" i="1"/>
  <c r="D5303" i="1"/>
  <c r="E5302" i="1"/>
  <c r="D5302" i="1"/>
  <c r="E5301" i="1"/>
  <c r="D5301" i="1"/>
  <c r="E5300" i="1"/>
  <c r="D5300" i="1"/>
  <c r="E5299" i="1"/>
  <c r="D5299" i="1"/>
  <c r="E5298" i="1"/>
  <c r="D5298" i="1"/>
  <c r="E5297" i="1"/>
  <c r="D5297" i="1"/>
  <c r="E5296" i="1"/>
  <c r="D5296" i="1"/>
  <c r="E5295" i="1"/>
  <c r="D5295" i="1"/>
  <c r="E5294" i="1"/>
  <c r="D5294" i="1"/>
  <c r="E5293" i="1"/>
  <c r="D5293" i="1"/>
  <c r="E5292" i="1"/>
  <c r="D5292" i="1"/>
  <c r="E5291" i="1"/>
  <c r="D5291" i="1"/>
  <c r="E5290" i="1"/>
  <c r="D5290" i="1"/>
  <c r="E5289" i="1"/>
  <c r="D5289" i="1"/>
  <c r="E5288" i="1"/>
  <c r="D5288" i="1"/>
  <c r="E5287" i="1"/>
  <c r="D5287" i="1"/>
  <c r="E5286" i="1"/>
  <c r="D5286" i="1"/>
  <c r="E5285" i="1"/>
  <c r="D5285" i="1"/>
  <c r="E5284" i="1"/>
  <c r="D5284" i="1"/>
  <c r="E5283" i="1"/>
  <c r="D5283" i="1"/>
  <c r="E5282" i="1"/>
  <c r="D5282" i="1"/>
  <c r="E5281" i="1"/>
  <c r="D5281" i="1"/>
  <c r="E5280" i="1"/>
  <c r="D5280" i="1"/>
  <c r="E5279" i="1"/>
  <c r="D5279" i="1"/>
  <c r="E5278" i="1"/>
  <c r="D5278" i="1"/>
  <c r="E5277" i="1"/>
  <c r="D5277" i="1"/>
  <c r="E5276" i="1"/>
  <c r="D5276" i="1"/>
  <c r="E5275" i="1"/>
  <c r="D5275" i="1"/>
  <c r="E5274" i="1"/>
  <c r="D5274" i="1"/>
  <c r="E5273" i="1"/>
  <c r="D5273" i="1"/>
  <c r="E5272" i="1"/>
  <c r="D5272" i="1"/>
  <c r="E5271" i="1"/>
  <c r="D5271" i="1"/>
  <c r="E5270" i="1"/>
  <c r="D5270" i="1"/>
  <c r="E5269" i="1"/>
  <c r="D5269" i="1"/>
  <c r="E5268" i="1"/>
  <c r="D5268" i="1"/>
  <c r="E5267" i="1"/>
  <c r="D5267" i="1"/>
  <c r="E5266" i="1"/>
  <c r="D5266" i="1"/>
  <c r="E5265" i="1"/>
  <c r="D5265" i="1"/>
  <c r="E5264" i="1"/>
  <c r="D5264" i="1"/>
  <c r="E5263" i="1"/>
  <c r="D5263" i="1"/>
  <c r="E5262" i="1"/>
  <c r="D5262" i="1"/>
  <c r="E5261" i="1"/>
  <c r="D5261" i="1"/>
  <c r="E5260" i="1"/>
  <c r="D5260" i="1"/>
  <c r="E5259" i="1"/>
  <c r="D5259" i="1"/>
  <c r="E5258" i="1"/>
  <c r="D5258" i="1"/>
  <c r="E5257" i="1"/>
  <c r="D5257" i="1"/>
  <c r="E5256" i="1"/>
  <c r="D5256" i="1"/>
  <c r="E5255" i="1"/>
  <c r="D5255" i="1"/>
  <c r="E5254" i="1"/>
  <c r="D5254" i="1"/>
  <c r="E5253" i="1"/>
  <c r="D5253" i="1"/>
  <c r="E5252" i="1"/>
  <c r="D5252" i="1"/>
  <c r="E5251" i="1"/>
  <c r="D5251" i="1"/>
  <c r="E5250" i="1"/>
  <c r="D5250" i="1"/>
  <c r="E5249" i="1"/>
  <c r="D5249" i="1"/>
  <c r="E5248" i="1"/>
  <c r="D5248" i="1"/>
  <c r="E5247" i="1"/>
  <c r="D5247" i="1"/>
  <c r="E5246" i="1"/>
  <c r="D5246" i="1"/>
  <c r="E5245" i="1"/>
  <c r="D5245" i="1"/>
  <c r="E5244" i="1"/>
  <c r="D5244" i="1"/>
  <c r="E5243" i="1"/>
  <c r="D5243" i="1"/>
  <c r="E5242" i="1"/>
  <c r="D5242" i="1"/>
  <c r="E5241" i="1"/>
  <c r="D5241" i="1"/>
  <c r="E5240" i="1"/>
  <c r="D5240" i="1"/>
  <c r="E5239" i="1"/>
  <c r="D5239" i="1"/>
  <c r="E5238" i="1"/>
  <c r="D5238" i="1"/>
  <c r="E5237" i="1"/>
  <c r="D5237" i="1"/>
  <c r="E5236" i="1"/>
  <c r="D5236" i="1"/>
  <c r="E5235" i="1"/>
  <c r="D5235" i="1"/>
  <c r="E5234" i="1"/>
  <c r="D5234" i="1"/>
  <c r="E5233" i="1"/>
  <c r="D5233" i="1"/>
  <c r="E5232" i="1"/>
  <c r="D5232" i="1"/>
  <c r="E5231" i="1"/>
  <c r="D5231" i="1"/>
  <c r="E5230" i="1"/>
  <c r="D5230" i="1"/>
  <c r="E5229" i="1"/>
  <c r="D5229" i="1"/>
  <c r="E5228" i="1"/>
  <c r="D5228" i="1"/>
  <c r="E5227" i="1"/>
  <c r="D5227" i="1"/>
  <c r="E5226" i="1"/>
  <c r="D5226" i="1"/>
  <c r="E5225" i="1"/>
  <c r="D5225" i="1"/>
  <c r="E5224" i="1"/>
  <c r="D5224" i="1"/>
  <c r="E5223" i="1"/>
  <c r="D5223" i="1"/>
  <c r="E5222" i="1"/>
  <c r="D5222" i="1"/>
  <c r="E5221" i="1"/>
  <c r="D5221" i="1"/>
  <c r="E5220" i="1"/>
  <c r="D5220" i="1"/>
  <c r="E5219" i="1"/>
  <c r="D5219" i="1"/>
  <c r="E5218" i="1"/>
  <c r="D5218" i="1"/>
  <c r="E5217" i="1"/>
  <c r="D5217" i="1"/>
  <c r="E5216" i="1"/>
  <c r="D5216" i="1"/>
  <c r="E5215" i="1"/>
  <c r="D5215" i="1"/>
  <c r="E5214" i="1"/>
  <c r="D5214" i="1"/>
  <c r="E5213" i="1"/>
  <c r="D5213" i="1"/>
  <c r="E5212" i="1"/>
  <c r="D5212" i="1"/>
  <c r="E5211" i="1"/>
  <c r="D5211" i="1"/>
  <c r="E5210" i="1"/>
  <c r="D5210" i="1"/>
  <c r="E5209" i="1"/>
  <c r="D5209" i="1"/>
  <c r="E5208" i="1"/>
  <c r="D5208" i="1"/>
  <c r="E5207" i="1"/>
  <c r="D5207" i="1"/>
  <c r="E5206" i="1"/>
  <c r="D5206" i="1"/>
  <c r="E5205" i="1"/>
  <c r="D5205" i="1"/>
  <c r="E5204" i="1"/>
  <c r="D5204" i="1"/>
  <c r="E5203" i="1"/>
  <c r="D5203" i="1"/>
  <c r="E5202" i="1"/>
  <c r="D5202" i="1"/>
  <c r="E5201" i="1"/>
  <c r="D5201" i="1"/>
  <c r="E5200" i="1"/>
  <c r="D5200" i="1"/>
  <c r="E5199" i="1"/>
  <c r="D5199" i="1"/>
  <c r="E5198" i="1"/>
  <c r="D5198" i="1"/>
  <c r="E5197" i="1"/>
  <c r="D5197" i="1"/>
  <c r="E5196" i="1"/>
  <c r="D5196" i="1"/>
  <c r="E5195" i="1"/>
  <c r="D5195" i="1"/>
  <c r="E5194" i="1"/>
  <c r="D5194" i="1"/>
  <c r="E5193" i="1"/>
  <c r="D5193" i="1"/>
  <c r="E5192" i="1"/>
  <c r="D5192" i="1"/>
  <c r="E5191" i="1"/>
  <c r="D5191" i="1"/>
  <c r="E5190" i="1"/>
  <c r="D5190" i="1"/>
  <c r="E5189" i="1"/>
  <c r="D5189" i="1"/>
  <c r="E5188" i="1"/>
  <c r="D5188" i="1"/>
  <c r="E5187" i="1"/>
  <c r="D5187" i="1"/>
  <c r="E5186" i="1"/>
  <c r="D5186" i="1"/>
  <c r="E5185" i="1"/>
  <c r="D5185" i="1"/>
  <c r="E5184" i="1"/>
  <c r="D5184" i="1"/>
  <c r="E5183" i="1"/>
  <c r="D5183" i="1"/>
  <c r="E5182" i="1"/>
  <c r="D5182" i="1"/>
  <c r="E5181" i="1"/>
  <c r="D5181" i="1"/>
  <c r="E5180" i="1"/>
  <c r="D5180" i="1"/>
  <c r="E5179" i="1"/>
  <c r="D5179" i="1"/>
  <c r="E5178" i="1"/>
  <c r="D5178" i="1"/>
  <c r="E5177" i="1"/>
  <c r="D5177" i="1"/>
  <c r="E5176" i="1"/>
  <c r="D5176" i="1"/>
  <c r="E5175" i="1"/>
  <c r="D5175" i="1"/>
  <c r="E5174" i="1"/>
  <c r="D5174" i="1"/>
  <c r="E5173" i="1"/>
  <c r="D5173" i="1"/>
  <c r="E5172" i="1"/>
  <c r="D5172" i="1"/>
  <c r="E5171" i="1"/>
  <c r="D5171" i="1"/>
  <c r="E5170" i="1"/>
  <c r="D5170" i="1"/>
  <c r="E5169" i="1"/>
  <c r="D5169" i="1"/>
  <c r="E5168" i="1"/>
  <c r="D5168" i="1"/>
  <c r="E5167" i="1"/>
  <c r="D5167" i="1"/>
  <c r="E5166" i="1"/>
  <c r="D5166" i="1"/>
  <c r="E5165" i="1"/>
  <c r="D5165" i="1"/>
  <c r="E5164" i="1"/>
  <c r="D5164" i="1"/>
  <c r="E5163" i="1"/>
  <c r="D5163" i="1"/>
  <c r="E5162" i="1"/>
  <c r="D5162" i="1"/>
  <c r="E5161" i="1"/>
  <c r="D5161" i="1"/>
  <c r="E5160" i="1"/>
  <c r="D5160" i="1"/>
  <c r="E5159" i="1"/>
  <c r="D5159" i="1"/>
  <c r="E5158" i="1"/>
  <c r="D5158" i="1"/>
  <c r="E5157" i="1"/>
  <c r="D5157" i="1"/>
  <c r="E5156" i="1"/>
  <c r="D5156" i="1"/>
  <c r="E5155" i="1"/>
  <c r="D5155" i="1"/>
  <c r="E5154" i="1"/>
  <c r="D5154" i="1"/>
  <c r="E5153" i="1"/>
  <c r="D5153" i="1"/>
  <c r="E5152" i="1"/>
  <c r="D5152" i="1"/>
  <c r="E5151" i="1"/>
  <c r="D5151" i="1"/>
  <c r="E5150" i="1"/>
  <c r="D5150" i="1"/>
  <c r="E5149" i="1"/>
  <c r="D5149" i="1"/>
  <c r="E5148" i="1"/>
  <c r="D5148" i="1"/>
  <c r="E5147" i="1"/>
  <c r="D5147" i="1"/>
  <c r="E5146" i="1"/>
  <c r="D5146" i="1"/>
  <c r="E5145" i="1"/>
  <c r="D5145" i="1"/>
  <c r="E5144" i="1"/>
  <c r="D5144" i="1"/>
  <c r="E5143" i="1"/>
  <c r="D5143" i="1"/>
  <c r="E5142" i="1"/>
  <c r="D5142" i="1"/>
  <c r="E5141" i="1"/>
  <c r="D5141" i="1"/>
  <c r="E5140" i="1"/>
  <c r="D5140" i="1"/>
  <c r="E5139" i="1"/>
  <c r="D5139" i="1"/>
  <c r="E5138" i="1"/>
  <c r="D5138" i="1"/>
  <c r="E5137" i="1"/>
  <c r="D5137" i="1"/>
  <c r="E5136" i="1"/>
  <c r="D5136" i="1"/>
  <c r="E5135" i="1"/>
  <c r="D5135" i="1"/>
  <c r="E5134" i="1"/>
  <c r="D5134" i="1"/>
  <c r="E5133" i="1"/>
  <c r="D5133" i="1"/>
  <c r="E5132" i="1"/>
  <c r="D5132" i="1"/>
  <c r="E5131" i="1"/>
  <c r="D5131" i="1"/>
  <c r="E5130" i="1"/>
  <c r="D5130" i="1"/>
  <c r="E5129" i="1"/>
  <c r="D5129" i="1"/>
  <c r="E5128" i="1"/>
  <c r="D5128" i="1"/>
  <c r="E5127" i="1"/>
  <c r="D5127" i="1"/>
  <c r="E5126" i="1"/>
  <c r="D5126" i="1"/>
  <c r="E5125" i="1"/>
  <c r="D5125" i="1"/>
  <c r="E5124" i="1"/>
  <c r="D5124" i="1"/>
  <c r="E5123" i="1"/>
  <c r="D5123" i="1"/>
  <c r="E5122" i="1"/>
  <c r="D5122" i="1"/>
  <c r="E5121" i="1"/>
  <c r="D5121" i="1"/>
  <c r="E5120" i="1"/>
  <c r="D5120" i="1"/>
  <c r="E5119" i="1"/>
  <c r="D5119" i="1"/>
  <c r="E5118" i="1"/>
  <c r="D5118" i="1"/>
  <c r="E5117" i="1"/>
  <c r="D5117" i="1"/>
  <c r="E5116" i="1"/>
  <c r="D5116" i="1"/>
  <c r="E5115" i="1"/>
  <c r="D5115" i="1"/>
  <c r="E5114" i="1"/>
  <c r="D5114" i="1"/>
  <c r="E5113" i="1"/>
  <c r="D5113" i="1"/>
  <c r="E5112" i="1"/>
  <c r="D5112" i="1"/>
  <c r="E5111" i="1"/>
  <c r="D5111" i="1"/>
  <c r="E5110" i="1"/>
  <c r="D5110" i="1"/>
  <c r="E5109" i="1"/>
  <c r="D5109" i="1"/>
  <c r="E5108" i="1"/>
  <c r="D5108" i="1"/>
  <c r="E5107" i="1"/>
  <c r="D5107" i="1"/>
  <c r="E5106" i="1"/>
  <c r="D5106" i="1"/>
  <c r="E5105" i="1"/>
  <c r="D5105" i="1"/>
  <c r="E5104" i="1"/>
  <c r="D5104" i="1"/>
  <c r="E5103" i="1"/>
  <c r="D5103" i="1"/>
  <c r="E5102" i="1"/>
  <c r="D5102" i="1"/>
  <c r="E5101" i="1"/>
  <c r="D5101" i="1"/>
  <c r="E5100" i="1"/>
  <c r="D5100" i="1"/>
  <c r="E5099" i="1"/>
  <c r="D5099" i="1"/>
  <c r="E5098" i="1"/>
  <c r="D5098" i="1"/>
  <c r="E5097" i="1"/>
  <c r="D5097" i="1"/>
  <c r="E5096" i="1"/>
  <c r="D5096" i="1"/>
  <c r="E5095" i="1"/>
  <c r="D5095" i="1"/>
  <c r="E5094" i="1"/>
  <c r="D5094" i="1"/>
  <c r="E5093" i="1"/>
  <c r="D5093" i="1"/>
  <c r="E5092" i="1"/>
  <c r="D5092" i="1"/>
  <c r="E5091" i="1"/>
  <c r="D5091" i="1"/>
  <c r="E5090" i="1"/>
  <c r="D5090" i="1"/>
  <c r="E5089" i="1"/>
  <c r="D5089" i="1"/>
  <c r="E5088" i="1"/>
  <c r="D5088" i="1"/>
  <c r="E5087" i="1"/>
  <c r="D5087" i="1"/>
  <c r="E5086" i="1"/>
  <c r="D5086" i="1"/>
  <c r="E5085" i="1"/>
  <c r="D5085" i="1"/>
  <c r="E5084" i="1"/>
  <c r="D5084" i="1"/>
  <c r="E5083" i="1"/>
  <c r="D5083" i="1"/>
  <c r="E5082" i="1"/>
  <c r="D5082" i="1"/>
  <c r="E5081" i="1"/>
  <c r="D5081" i="1"/>
  <c r="E5080" i="1"/>
  <c r="D5080" i="1"/>
  <c r="E5079" i="1"/>
  <c r="D5079" i="1"/>
  <c r="E5078" i="1"/>
  <c r="D5078" i="1"/>
  <c r="E5077" i="1"/>
  <c r="D5077" i="1"/>
  <c r="E5076" i="1"/>
  <c r="D5076" i="1"/>
  <c r="E5075" i="1"/>
  <c r="D5075" i="1"/>
  <c r="E5074" i="1"/>
  <c r="D5074" i="1"/>
  <c r="E5073" i="1"/>
  <c r="D5073" i="1"/>
  <c r="E5072" i="1"/>
  <c r="D5072" i="1"/>
  <c r="E5071" i="1"/>
  <c r="D5071" i="1"/>
  <c r="E5070" i="1"/>
  <c r="D5070" i="1"/>
  <c r="E5069" i="1"/>
  <c r="D5069" i="1"/>
  <c r="E5068" i="1"/>
  <c r="D5068" i="1"/>
  <c r="E5067" i="1"/>
  <c r="D5067" i="1"/>
  <c r="E5066" i="1"/>
  <c r="D5066" i="1"/>
  <c r="E5065" i="1"/>
  <c r="D5065" i="1"/>
  <c r="E5064" i="1"/>
  <c r="D5064" i="1"/>
  <c r="E5063" i="1"/>
  <c r="D5063" i="1"/>
  <c r="E5062" i="1"/>
  <c r="D5062" i="1"/>
  <c r="E5061" i="1"/>
  <c r="D5061" i="1"/>
  <c r="E5060" i="1"/>
  <c r="D5060" i="1"/>
  <c r="E5059" i="1"/>
  <c r="D5059" i="1"/>
  <c r="E5058" i="1"/>
  <c r="D5058" i="1"/>
  <c r="E5057" i="1"/>
  <c r="D5057" i="1"/>
  <c r="E5056" i="1"/>
  <c r="D5056" i="1"/>
  <c r="E5055" i="1"/>
  <c r="D5055" i="1"/>
  <c r="E5054" i="1"/>
  <c r="D5054" i="1"/>
  <c r="E5053" i="1"/>
  <c r="D5053" i="1"/>
  <c r="E5052" i="1"/>
  <c r="D5052" i="1"/>
  <c r="E5051" i="1"/>
  <c r="D5051" i="1"/>
  <c r="E5050" i="1"/>
  <c r="D5050" i="1"/>
  <c r="E5049" i="1"/>
  <c r="D5049" i="1"/>
  <c r="E5048" i="1"/>
  <c r="D5048" i="1"/>
  <c r="E5047" i="1"/>
  <c r="D5047" i="1"/>
  <c r="E5046" i="1"/>
  <c r="D5046" i="1"/>
  <c r="E5045" i="1"/>
  <c r="D5045" i="1"/>
  <c r="E5044" i="1"/>
  <c r="D5044" i="1"/>
  <c r="E5043" i="1"/>
  <c r="D5043" i="1"/>
  <c r="E5042" i="1"/>
  <c r="D5042" i="1"/>
  <c r="E5041" i="1"/>
  <c r="D5041" i="1"/>
  <c r="E5040" i="1"/>
  <c r="D5040" i="1"/>
  <c r="E5039" i="1"/>
  <c r="D5039" i="1"/>
  <c r="E5038" i="1"/>
  <c r="D5038" i="1"/>
  <c r="E5037" i="1"/>
  <c r="D5037" i="1"/>
  <c r="E5036" i="1"/>
  <c r="D5036" i="1"/>
  <c r="E5035" i="1"/>
  <c r="D5035" i="1"/>
  <c r="E5034" i="1"/>
  <c r="D5034" i="1"/>
  <c r="E5033" i="1"/>
  <c r="D5033" i="1"/>
  <c r="E5032" i="1"/>
  <c r="D5032" i="1"/>
  <c r="E5031" i="1"/>
  <c r="D5031" i="1"/>
  <c r="E5030" i="1"/>
  <c r="D5030" i="1"/>
  <c r="E5029" i="1"/>
  <c r="D5029" i="1"/>
  <c r="E5028" i="1"/>
  <c r="D5028" i="1"/>
  <c r="E5027" i="1"/>
  <c r="D5027" i="1"/>
  <c r="E5026" i="1"/>
  <c r="D5026" i="1"/>
  <c r="E5025" i="1"/>
  <c r="D5025" i="1"/>
  <c r="E5024" i="1"/>
  <c r="D5024" i="1"/>
  <c r="E5023" i="1"/>
  <c r="D5023" i="1"/>
  <c r="E5022" i="1"/>
  <c r="D5022" i="1"/>
  <c r="E5021" i="1"/>
  <c r="D5021" i="1"/>
  <c r="E5020" i="1"/>
  <c r="D5020" i="1"/>
  <c r="E5019" i="1"/>
  <c r="D5019" i="1"/>
  <c r="E5018" i="1"/>
  <c r="D5018" i="1"/>
  <c r="E5017" i="1"/>
  <c r="D5017" i="1"/>
  <c r="E5016" i="1"/>
  <c r="D5016" i="1"/>
  <c r="E5015" i="1"/>
  <c r="D5015" i="1"/>
  <c r="E5014" i="1"/>
  <c r="D5014" i="1"/>
  <c r="E5013" i="1"/>
  <c r="D5013" i="1"/>
  <c r="E5012" i="1"/>
  <c r="D5012" i="1"/>
  <c r="E5011" i="1"/>
  <c r="D5011" i="1"/>
  <c r="E5010" i="1"/>
  <c r="D5010" i="1"/>
  <c r="E5009" i="1"/>
  <c r="D5009" i="1"/>
  <c r="E5008" i="1"/>
  <c r="D5008" i="1"/>
  <c r="E5007" i="1"/>
  <c r="D5007" i="1"/>
  <c r="E5006" i="1"/>
  <c r="D5006" i="1"/>
  <c r="E5005" i="1"/>
  <c r="D5005" i="1"/>
  <c r="E5004" i="1"/>
  <c r="D5004" i="1"/>
  <c r="E5003" i="1"/>
  <c r="D5003" i="1"/>
  <c r="E5002" i="1"/>
  <c r="D5002" i="1"/>
  <c r="E5001" i="1"/>
  <c r="D5001" i="1"/>
  <c r="E5000" i="1"/>
  <c r="D5000" i="1"/>
  <c r="E4999" i="1"/>
  <c r="D4999" i="1"/>
  <c r="E4998" i="1"/>
  <c r="D4998" i="1"/>
  <c r="E4997" i="1"/>
  <c r="D4997" i="1"/>
  <c r="E4996" i="1"/>
  <c r="D4996" i="1"/>
  <c r="E4995" i="1"/>
  <c r="D4995" i="1"/>
  <c r="E4994" i="1"/>
  <c r="D4994" i="1"/>
  <c r="E4993" i="1"/>
  <c r="D4993" i="1"/>
  <c r="E4992" i="1"/>
  <c r="D4992" i="1"/>
  <c r="E4991" i="1"/>
  <c r="D4991" i="1"/>
  <c r="E4990" i="1"/>
  <c r="D4990" i="1"/>
  <c r="E4989" i="1"/>
  <c r="D4989" i="1"/>
  <c r="E4988" i="1"/>
  <c r="D4988" i="1"/>
  <c r="E4987" i="1"/>
  <c r="D4987" i="1"/>
  <c r="E4986" i="1"/>
  <c r="D4986" i="1"/>
  <c r="E4985" i="1"/>
  <c r="D4985" i="1"/>
  <c r="E4984" i="1"/>
  <c r="D4984" i="1"/>
  <c r="E4983" i="1"/>
  <c r="D4983" i="1"/>
  <c r="E4982" i="1"/>
  <c r="D4982" i="1"/>
  <c r="E4981" i="1"/>
  <c r="D4981" i="1"/>
  <c r="E4980" i="1"/>
  <c r="D4980" i="1"/>
  <c r="E4979" i="1"/>
  <c r="D4979" i="1"/>
  <c r="E4978" i="1"/>
  <c r="D4978" i="1"/>
  <c r="E4977" i="1"/>
  <c r="D4977" i="1"/>
  <c r="E4976" i="1"/>
  <c r="D4976" i="1"/>
  <c r="E4975" i="1"/>
  <c r="D4975" i="1"/>
  <c r="E4974" i="1"/>
  <c r="D4974" i="1"/>
  <c r="E4973" i="1"/>
  <c r="D4973" i="1"/>
  <c r="E4972" i="1"/>
  <c r="D4972" i="1"/>
  <c r="E4971" i="1"/>
  <c r="D4971" i="1"/>
  <c r="E4970" i="1"/>
  <c r="D4970" i="1"/>
  <c r="E4969" i="1"/>
  <c r="D4969" i="1"/>
  <c r="E4968" i="1"/>
  <c r="D4968" i="1"/>
  <c r="E4967" i="1"/>
  <c r="D4967" i="1"/>
  <c r="E4966" i="1"/>
  <c r="D4966" i="1"/>
  <c r="E4965" i="1"/>
  <c r="D4965" i="1"/>
  <c r="E4964" i="1"/>
  <c r="D4964" i="1"/>
  <c r="E4963" i="1"/>
  <c r="D4963" i="1"/>
  <c r="E4962" i="1"/>
  <c r="D4962" i="1"/>
  <c r="E4961" i="1"/>
  <c r="D4961" i="1"/>
  <c r="E4960" i="1"/>
  <c r="D4960" i="1"/>
  <c r="E4959" i="1"/>
  <c r="D4959" i="1"/>
  <c r="E4958" i="1"/>
  <c r="D4958" i="1"/>
  <c r="E4957" i="1"/>
  <c r="D4957" i="1"/>
  <c r="E4956" i="1"/>
  <c r="D4956" i="1"/>
  <c r="E4955" i="1"/>
  <c r="D4955" i="1"/>
  <c r="E4954" i="1"/>
  <c r="D4954" i="1"/>
  <c r="E4953" i="1"/>
  <c r="D4953" i="1"/>
  <c r="E4952" i="1"/>
  <c r="D4952" i="1"/>
  <c r="E4951" i="1"/>
  <c r="D4951" i="1"/>
  <c r="E4950" i="1"/>
  <c r="D4950" i="1"/>
  <c r="E4949" i="1"/>
  <c r="D4949" i="1"/>
  <c r="E4948" i="1"/>
  <c r="D4948" i="1"/>
  <c r="E4947" i="1"/>
  <c r="D4947" i="1"/>
  <c r="E4946" i="1"/>
  <c r="D4946" i="1"/>
  <c r="E4945" i="1"/>
  <c r="D4945" i="1"/>
  <c r="E4944" i="1"/>
  <c r="D4944" i="1"/>
  <c r="E4943" i="1"/>
  <c r="D4943" i="1"/>
  <c r="E4942" i="1"/>
  <c r="D4942" i="1"/>
  <c r="E4941" i="1"/>
  <c r="D4941" i="1"/>
  <c r="E4940" i="1"/>
  <c r="D4940" i="1"/>
  <c r="E4939" i="1"/>
  <c r="D4939" i="1"/>
  <c r="E4938" i="1"/>
  <c r="D4938" i="1"/>
  <c r="E4937" i="1"/>
  <c r="D4937" i="1"/>
  <c r="E4936" i="1"/>
  <c r="D4936" i="1"/>
  <c r="E4935" i="1"/>
  <c r="D4935" i="1"/>
  <c r="E4934" i="1"/>
  <c r="D4934" i="1"/>
  <c r="E4933" i="1"/>
  <c r="D4933" i="1"/>
  <c r="E4932" i="1"/>
  <c r="D4932" i="1"/>
  <c r="E4931" i="1"/>
  <c r="D4931" i="1"/>
  <c r="E4930" i="1"/>
  <c r="D4930" i="1"/>
  <c r="E4929" i="1"/>
  <c r="D4929" i="1"/>
  <c r="E4928" i="1"/>
  <c r="D4928" i="1"/>
  <c r="E4927" i="1"/>
  <c r="D4927" i="1"/>
  <c r="E4926" i="1"/>
  <c r="D4926" i="1"/>
  <c r="E4925" i="1"/>
  <c r="D4925" i="1"/>
  <c r="E4924" i="1"/>
  <c r="D4924" i="1"/>
  <c r="E4923" i="1"/>
  <c r="D4923" i="1"/>
  <c r="E4922" i="1"/>
  <c r="D4922" i="1"/>
  <c r="E4921" i="1"/>
  <c r="D4921" i="1"/>
  <c r="E4920" i="1"/>
  <c r="D4920" i="1"/>
  <c r="E4919" i="1"/>
  <c r="D4919" i="1"/>
  <c r="E4918" i="1"/>
  <c r="D4918" i="1"/>
  <c r="E4917" i="1"/>
  <c r="D4917" i="1"/>
  <c r="E4916" i="1"/>
  <c r="D4916" i="1"/>
  <c r="E4915" i="1"/>
  <c r="D4915" i="1"/>
  <c r="E4914" i="1"/>
  <c r="D4914" i="1"/>
  <c r="E4913" i="1"/>
  <c r="D4913" i="1"/>
  <c r="E4912" i="1"/>
  <c r="D4912" i="1"/>
  <c r="E4911" i="1"/>
  <c r="D4911" i="1"/>
  <c r="E4910" i="1"/>
  <c r="D4910" i="1"/>
  <c r="E4909" i="1"/>
  <c r="D4909" i="1"/>
  <c r="E4908" i="1"/>
  <c r="D4908" i="1"/>
  <c r="E4907" i="1"/>
  <c r="D4907" i="1"/>
  <c r="E4906" i="1"/>
  <c r="D4906" i="1"/>
  <c r="E4905" i="1"/>
  <c r="D4905" i="1"/>
  <c r="E4904" i="1"/>
  <c r="D4904" i="1"/>
  <c r="E4903" i="1"/>
  <c r="D4903" i="1"/>
  <c r="E4902" i="1"/>
  <c r="D4902" i="1"/>
  <c r="E4901" i="1"/>
  <c r="D4901" i="1"/>
  <c r="E4900" i="1"/>
  <c r="D4900" i="1"/>
  <c r="E4899" i="1"/>
  <c r="D4899" i="1"/>
  <c r="E4898" i="1"/>
  <c r="D4898" i="1"/>
  <c r="E4897" i="1"/>
  <c r="D4897" i="1"/>
  <c r="E4896" i="1"/>
  <c r="D4896" i="1"/>
  <c r="E4895" i="1"/>
  <c r="D4895" i="1"/>
  <c r="E4894" i="1"/>
  <c r="D4894" i="1"/>
  <c r="E4893" i="1"/>
  <c r="D4893" i="1"/>
  <c r="E4892" i="1"/>
  <c r="D4892" i="1"/>
  <c r="E4891" i="1"/>
  <c r="D4891" i="1"/>
  <c r="E4890" i="1"/>
  <c r="D4890" i="1"/>
  <c r="E4889" i="1"/>
  <c r="D4889" i="1"/>
  <c r="E4888" i="1"/>
  <c r="D4888" i="1"/>
  <c r="E4887" i="1"/>
  <c r="D4887" i="1"/>
  <c r="E4886" i="1"/>
  <c r="D4886" i="1"/>
  <c r="E4885" i="1"/>
  <c r="D4885" i="1"/>
  <c r="E4884" i="1"/>
  <c r="D4884" i="1"/>
  <c r="E4883" i="1"/>
  <c r="D4883" i="1"/>
  <c r="E4882" i="1"/>
  <c r="D4882" i="1"/>
  <c r="E4881" i="1"/>
  <c r="D4881" i="1"/>
  <c r="E4880" i="1"/>
  <c r="D4880" i="1"/>
  <c r="E4879" i="1"/>
  <c r="D4879" i="1"/>
  <c r="E4878" i="1"/>
  <c r="D4878" i="1"/>
  <c r="E4877" i="1"/>
  <c r="D4877" i="1"/>
  <c r="E4876" i="1"/>
  <c r="D4876" i="1"/>
  <c r="E4875" i="1"/>
  <c r="D4875" i="1"/>
  <c r="E4874" i="1"/>
  <c r="D4874" i="1"/>
  <c r="E4873" i="1"/>
  <c r="D4873" i="1"/>
  <c r="E4872" i="1"/>
  <c r="D4872" i="1"/>
  <c r="E4871" i="1"/>
  <c r="D4871" i="1"/>
  <c r="E4870" i="1"/>
  <c r="D4870" i="1"/>
  <c r="E4869" i="1"/>
  <c r="D4869" i="1"/>
  <c r="E4868" i="1"/>
  <c r="D4868" i="1"/>
  <c r="E4867" i="1"/>
  <c r="D4867" i="1"/>
  <c r="E4866" i="1"/>
  <c r="D4866" i="1"/>
  <c r="E4865" i="1"/>
  <c r="D4865" i="1"/>
  <c r="E4864" i="1"/>
  <c r="D4864" i="1"/>
  <c r="E4863" i="1"/>
  <c r="D4863" i="1"/>
  <c r="E4862" i="1"/>
  <c r="D4862" i="1"/>
  <c r="E4861" i="1"/>
  <c r="D4861" i="1"/>
  <c r="E4860" i="1"/>
  <c r="D4860" i="1"/>
  <c r="E4859" i="1"/>
  <c r="D4859" i="1"/>
  <c r="E4858" i="1"/>
  <c r="D4858" i="1"/>
  <c r="E4857" i="1"/>
  <c r="D4857" i="1"/>
  <c r="E4856" i="1"/>
  <c r="D4856" i="1"/>
  <c r="E4855" i="1"/>
  <c r="D4855" i="1"/>
  <c r="E4854" i="1"/>
  <c r="D4854" i="1"/>
  <c r="E4853" i="1"/>
  <c r="D4853" i="1"/>
  <c r="E4852" i="1"/>
  <c r="D4852" i="1"/>
  <c r="E4851" i="1"/>
  <c r="D4851" i="1"/>
  <c r="E4850" i="1"/>
  <c r="D4850" i="1"/>
  <c r="E4849" i="1"/>
  <c r="D4849" i="1"/>
  <c r="E4848" i="1"/>
  <c r="D4848" i="1"/>
  <c r="E4847" i="1"/>
  <c r="D4847" i="1"/>
  <c r="E4846" i="1"/>
  <c r="D4846" i="1"/>
  <c r="E4845" i="1"/>
  <c r="D4845" i="1"/>
  <c r="E4844" i="1"/>
  <c r="D4844" i="1"/>
  <c r="E4843" i="1"/>
  <c r="D4843" i="1"/>
  <c r="E4842" i="1"/>
  <c r="D4842" i="1"/>
  <c r="E4841" i="1"/>
  <c r="D4841" i="1"/>
  <c r="E4840" i="1"/>
  <c r="D4840" i="1"/>
  <c r="E4839" i="1"/>
  <c r="D4839" i="1"/>
  <c r="E4838" i="1"/>
  <c r="D4838" i="1"/>
  <c r="E4837" i="1"/>
  <c r="D4837" i="1"/>
  <c r="E4836" i="1"/>
  <c r="D4836" i="1"/>
  <c r="E4835" i="1"/>
  <c r="D4835" i="1"/>
  <c r="E4834" i="1"/>
  <c r="D4834" i="1"/>
  <c r="E4833" i="1"/>
  <c r="D4833" i="1"/>
  <c r="E4832" i="1"/>
  <c r="D4832" i="1"/>
  <c r="E4831" i="1"/>
  <c r="D4831" i="1"/>
  <c r="E4830" i="1"/>
  <c r="D4830" i="1"/>
  <c r="E4829" i="1"/>
  <c r="D4829" i="1"/>
  <c r="E4828" i="1"/>
  <c r="D4828" i="1"/>
  <c r="E4827" i="1"/>
  <c r="D4827" i="1"/>
  <c r="E4826" i="1"/>
  <c r="D4826" i="1"/>
  <c r="E4825" i="1"/>
  <c r="D4825" i="1"/>
  <c r="E4824" i="1"/>
  <c r="D4824" i="1"/>
  <c r="E4823" i="1"/>
  <c r="D4823" i="1"/>
  <c r="E4822" i="1"/>
  <c r="D4822" i="1"/>
  <c r="E4821" i="1"/>
  <c r="D4821" i="1"/>
  <c r="E4820" i="1"/>
  <c r="D4820" i="1"/>
  <c r="E4819" i="1"/>
  <c r="D4819" i="1"/>
  <c r="E4818" i="1"/>
  <c r="D4818" i="1"/>
  <c r="E4817" i="1"/>
  <c r="D4817" i="1"/>
  <c r="E4816" i="1"/>
  <c r="D4816" i="1"/>
  <c r="E4815" i="1"/>
  <c r="D4815" i="1"/>
  <c r="E4814" i="1"/>
  <c r="D4814" i="1"/>
  <c r="E4813" i="1"/>
  <c r="D4813" i="1"/>
  <c r="E4812" i="1"/>
  <c r="D4812" i="1"/>
  <c r="E4811" i="1"/>
  <c r="D4811" i="1"/>
  <c r="E4810" i="1"/>
  <c r="D4810" i="1"/>
  <c r="E4809" i="1"/>
  <c r="D4809" i="1"/>
  <c r="E4808" i="1"/>
  <c r="D4808" i="1"/>
  <c r="E4807" i="1"/>
  <c r="D4807" i="1"/>
  <c r="E4806" i="1"/>
  <c r="D4806" i="1"/>
  <c r="E4805" i="1"/>
  <c r="D4805" i="1"/>
  <c r="E4804" i="1"/>
  <c r="D4804" i="1"/>
  <c r="E4803" i="1"/>
  <c r="D4803" i="1"/>
  <c r="E4802" i="1"/>
  <c r="D4802" i="1"/>
  <c r="E4801" i="1"/>
  <c r="D4801" i="1"/>
  <c r="E4800" i="1"/>
  <c r="D4800" i="1"/>
  <c r="E4799" i="1"/>
  <c r="D4799" i="1"/>
  <c r="E4798" i="1"/>
  <c r="D4798" i="1"/>
  <c r="E4797" i="1"/>
  <c r="D4797" i="1"/>
  <c r="E4796" i="1"/>
  <c r="D4796" i="1"/>
  <c r="E4795" i="1"/>
  <c r="D4795" i="1"/>
  <c r="E4794" i="1"/>
  <c r="D4794" i="1"/>
  <c r="E4793" i="1"/>
  <c r="D4793" i="1"/>
  <c r="E4792" i="1"/>
  <c r="D4792" i="1"/>
  <c r="E4791" i="1"/>
  <c r="D4791" i="1"/>
  <c r="E4790" i="1"/>
  <c r="D4790" i="1"/>
  <c r="E4789" i="1"/>
  <c r="D4789" i="1"/>
  <c r="E4788" i="1"/>
  <c r="D4788" i="1"/>
  <c r="E4787" i="1"/>
  <c r="D4787" i="1"/>
  <c r="E4786" i="1"/>
  <c r="D4786" i="1"/>
  <c r="E4785" i="1"/>
  <c r="D4785" i="1"/>
  <c r="E4784" i="1"/>
  <c r="D4784" i="1"/>
  <c r="E4783" i="1"/>
  <c r="D4783" i="1"/>
  <c r="E4782" i="1"/>
  <c r="D4782" i="1"/>
  <c r="E4781" i="1"/>
  <c r="D4781" i="1"/>
  <c r="E4780" i="1"/>
  <c r="D4780" i="1"/>
  <c r="E4779" i="1"/>
  <c r="D4779" i="1"/>
  <c r="E4778" i="1"/>
  <c r="D4778" i="1"/>
  <c r="E4777" i="1"/>
  <c r="D4777" i="1"/>
  <c r="E4776" i="1"/>
  <c r="D4776" i="1"/>
  <c r="E4775" i="1"/>
  <c r="D4775" i="1"/>
  <c r="E4774" i="1"/>
  <c r="D4774" i="1"/>
  <c r="E4773" i="1"/>
  <c r="D4773" i="1"/>
  <c r="E4772" i="1"/>
  <c r="D4772" i="1"/>
  <c r="E4771" i="1"/>
  <c r="D4771" i="1"/>
  <c r="E4770" i="1"/>
  <c r="D4770" i="1"/>
  <c r="E4769" i="1"/>
  <c r="D4769" i="1"/>
  <c r="E4768" i="1"/>
  <c r="D4768" i="1"/>
  <c r="E4767" i="1"/>
  <c r="D4767" i="1"/>
  <c r="E4766" i="1"/>
  <c r="D4766" i="1"/>
  <c r="E4765" i="1"/>
  <c r="D4765" i="1"/>
  <c r="E4764" i="1"/>
  <c r="D4764" i="1"/>
  <c r="E4763" i="1"/>
  <c r="D4763" i="1"/>
  <c r="E4762" i="1"/>
  <c r="D4762" i="1"/>
  <c r="E4761" i="1"/>
  <c r="D4761" i="1"/>
  <c r="E4760" i="1"/>
  <c r="D4760" i="1"/>
  <c r="E4759" i="1"/>
  <c r="D4759" i="1"/>
  <c r="E4758" i="1"/>
  <c r="D4758" i="1"/>
  <c r="E4757" i="1"/>
  <c r="D4757" i="1"/>
  <c r="E4756" i="1"/>
  <c r="D4756" i="1"/>
  <c r="E4755" i="1"/>
  <c r="D4755" i="1"/>
  <c r="E4754" i="1"/>
  <c r="D4754" i="1"/>
  <c r="E4753" i="1"/>
  <c r="D4753" i="1"/>
  <c r="E4752" i="1"/>
  <c r="D4752" i="1"/>
  <c r="E4751" i="1"/>
  <c r="D4751" i="1"/>
  <c r="E4750" i="1"/>
  <c r="D4750" i="1"/>
  <c r="E4749" i="1"/>
  <c r="D4749" i="1"/>
  <c r="E4748" i="1"/>
  <c r="D4748" i="1"/>
  <c r="E4747" i="1"/>
  <c r="D4747" i="1"/>
  <c r="E4746" i="1"/>
  <c r="D4746" i="1"/>
  <c r="E4745" i="1"/>
  <c r="D4745" i="1"/>
  <c r="E4744" i="1"/>
  <c r="D4744" i="1"/>
  <c r="E4743" i="1"/>
  <c r="D4743" i="1"/>
  <c r="E4742" i="1"/>
  <c r="D4742" i="1"/>
  <c r="E4741" i="1"/>
  <c r="D4741" i="1"/>
  <c r="E4740" i="1"/>
  <c r="D4740" i="1"/>
  <c r="E4739" i="1"/>
  <c r="D4739" i="1"/>
  <c r="E4738" i="1"/>
  <c r="D4738" i="1"/>
  <c r="E4737" i="1"/>
  <c r="D4737" i="1"/>
  <c r="E4736" i="1"/>
  <c r="D4736" i="1"/>
  <c r="E4735" i="1"/>
  <c r="D4735" i="1"/>
  <c r="E4734" i="1"/>
  <c r="D4734" i="1"/>
  <c r="E4733" i="1"/>
  <c r="D4733" i="1"/>
  <c r="E4732" i="1"/>
  <c r="D4732" i="1"/>
  <c r="E4731" i="1"/>
  <c r="D4731" i="1"/>
  <c r="E4730" i="1"/>
  <c r="D4730" i="1"/>
  <c r="E4729" i="1"/>
  <c r="D4729" i="1"/>
  <c r="E4728" i="1"/>
  <c r="D4728" i="1"/>
  <c r="E4727" i="1"/>
  <c r="D4727" i="1"/>
  <c r="E4726" i="1"/>
  <c r="D4726" i="1"/>
  <c r="E4725" i="1"/>
  <c r="D4725" i="1"/>
  <c r="E4724" i="1"/>
  <c r="D4724" i="1"/>
  <c r="E4723" i="1"/>
  <c r="D4723" i="1"/>
  <c r="E4722" i="1"/>
  <c r="D4722" i="1"/>
  <c r="E4721" i="1"/>
  <c r="D4721" i="1"/>
  <c r="E4720" i="1"/>
  <c r="D4720" i="1"/>
  <c r="E4719" i="1"/>
  <c r="D4719" i="1"/>
  <c r="E4718" i="1"/>
  <c r="D4718" i="1"/>
  <c r="E4717" i="1"/>
  <c r="D4717" i="1"/>
  <c r="E4716" i="1"/>
  <c r="D4716" i="1"/>
  <c r="E4715" i="1"/>
  <c r="D4715" i="1"/>
  <c r="E4714" i="1"/>
  <c r="D4714" i="1"/>
  <c r="E4713" i="1"/>
  <c r="D4713" i="1"/>
  <c r="E4712" i="1"/>
  <c r="D4712" i="1"/>
  <c r="E4711" i="1"/>
  <c r="D4711" i="1"/>
  <c r="E4710" i="1"/>
  <c r="D4710" i="1"/>
  <c r="E4709" i="1"/>
  <c r="D4709" i="1"/>
  <c r="E4708" i="1"/>
  <c r="D4708" i="1"/>
  <c r="E4707" i="1"/>
  <c r="D4707" i="1"/>
  <c r="E4706" i="1"/>
  <c r="D4706" i="1"/>
  <c r="E4705" i="1"/>
  <c r="D4705" i="1"/>
  <c r="E4704" i="1"/>
  <c r="D4704" i="1"/>
  <c r="E4703" i="1"/>
  <c r="D4703" i="1"/>
  <c r="E4702" i="1"/>
  <c r="D4702" i="1"/>
  <c r="E4701" i="1"/>
  <c r="D4701" i="1"/>
  <c r="E4700" i="1"/>
  <c r="D4700" i="1"/>
  <c r="E4699" i="1"/>
  <c r="D4699" i="1"/>
  <c r="E4698" i="1"/>
  <c r="D4698" i="1"/>
  <c r="E4697" i="1"/>
  <c r="D4697" i="1"/>
  <c r="E4696" i="1"/>
  <c r="D4696" i="1"/>
  <c r="E4695" i="1"/>
  <c r="D4695" i="1"/>
  <c r="E4694" i="1"/>
  <c r="D4694" i="1"/>
  <c r="E4693" i="1"/>
  <c r="D4693" i="1"/>
  <c r="E4692" i="1"/>
  <c r="D4692" i="1"/>
  <c r="E4691" i="1"/>
  <c r="D4691" i="1"/>
  <c r="E4690" i="1"/>
  <c r="D4690" i="1"/>
  <c r="E4689" i="1"/>
  <c r="D4689" i="1"/>
  <c r="E4688" i="1"/>
  <c r="D4688" i="1"/>
  <c r="E4687" i="1"/>
  <c r="D4687" i="1"/>
  <c r="E4686" i="1"/>
  <c r="D4686" i="1"/>
  <c r="E4685" i="1"/>
  <c r="D4685" i="1"/>
  <c r="E4684" i="1"/>
  <c r="D4684" i="1"/>
  <c r="E4683" i="1"/>
  <c r="D4683" i="1"/>
  <c r="E4682" i="1"/>
  <c r="D4682" i="1"/>
  <c r="E4681" i="1"/>
  <c r="D4681" i="1"/>
  <c r="E4680" i="1"/>
  <c r="D4680" i="1"/>
  <c r="E4679" i="1"/>
  <c r="D4679" i="1"/>
  <c r="E4678" i="1"/>
  <c r="D4678" i="1"/>
  <c r="E4677" i="1"/>
  <c r="D4677" i="1"/>
  <c r="E4676" i="1"/>
  <c r="D4676" i="1"/>
  <c r="E4675" i="1"/>
  <c r="D4675" i="1"/>
  <c r="E4674" i="1"/>
  <c r="D4674" i="1"/>
  <c r="E4673" i="1"/>
  <c r="D4673" i="1"/>
  <c r="E4672" i="1"/>
  <c r="D4672" i="1"/>
  <c r="E4671" i="1"/>
  <c r="D4671" i="1"/>
  <c r="E4670" i="1"/>
  <c r="D4670" i="1"/>
  <c r="E4669" i="1"/>
  <c r="D4669" i="1"/>
  <c r="E4668" i="1"/>
  <c r="D4668" i="1"/>
  <c r="E4667" i="1"/>
  <c r="D4667" i="1"/>
  <c r="E4666" i="1"/>
  <c r="D4666" i="1"/>
  <c r="E4665" i="1"/>
  <c r="D4665" i="1"/>
  <c r="E4664" i="1"/>
  <c r="D4664" i="1"/>
  <c r="E4663" i="1"/>
  <c r="D4663" i="1"/>
  <c r="E4662" i="1"/>
  <c r="D4662" i="1"/>
  <c r="E4661" i="1"/>
  <c r="D4661" i="1"/>
  <c r="E4660" i="1"/>
  <c r="D4660" i="1"/>
  <c r="E4659" i="1"/>
  <c r="D4659" i="1"/>
  <c r="E4658" i="1"/>
  <c r="D4658" i="1"/>
  <c r="E4657" i="1"/>
  <c r="D4657" i="1"/>
  <c r="E4656" i="1"/>
  <c r="D4656" i="1"/>
  <c r="E4655" i="1"/>
  <c r="D4655" i="1"/>
  <c r="E4654" i="1"/>
  <c r="D4654" i="1"/>
  <c r="E4653" i="1"/>
  <c r="D4653" i="1"/>
  <c r="E4652" i="1"/>
  <c r="D4652" i="1"/>
  <c r="E4651" i="1"/>
  <c r="D4651" i="1"/>
  <c r="E4650" i="1"/>
  <c r="D4650" i="1"/>
  <c r="E4649" i="1"/>
  <c r="D4649" i="1"/>
  <c r="E4648" i="1"/>
  <c r="D4648" i="1"/>
  <c r="E4647" i="1"/>
  <c r="D4647" i="1"/>
  <c r="E4646" i="1"/>
  <c r="D4646" i="1"/>
  <c r="E4645" i="1"/>
  <c r="D4645" i="1"/>
  <c r="E4644" i="1"/>
  <c r="D4644" i="1"/>
  <c r="E4643" i="1"/>
  <c r="D4643" i="1"/>
  <c r="E4642" i="1"/>
  <c r="D4642" i="1"/>
  <c r="E4641" i="1"/>
  <c r="D4641" i="1"/>
  <c r="E4640" i="1"/>
  <c r="D4640" i="1"/>
  <c r="E4639" i="1"/>
  <c r="D4639" i="1"/>
  <c r="E4638" i="1"/>
  <c r="D4638" i="1"/>
  <c r="E4637" i="1"/>
  <c r="D4637" i="1"/>
  <c r="E4636" i="1"/>
  <c r="D4636" i="1"/>
  <c r="E4635" i="1"/>
  <c r="D4635" i="1"/>
  <c r="E4634" i="1"/>
  <c r="D4634" i="1"/>
  <c r="E4633" i="1"/>
  <c r="D4633" i="1"/>
  <c r="E4632" i="1"/>
  <c r="D4632" i="1"/>
  <c r="E4631" i="1"/>
  <c r="D4631" i="1"/>
  <c r="E4630" i="1"/>
  <c r="D4630" i="1"/>
  <c r="E4629" i="1"/>
  <c r="D4629" i="1"/>
  <c r="E4628" i="1"/>
  <c r="D4628" i="1"/>
  <c r="E4627" i="1"/>
  <c r="D4627" i="1"/>
  <c r="E4626" i="1"/>
  <c r="D4626" i="1"/>
  <c r="E4625" i="1"/>
  <c r="D4625" i="1"/>
  <c r="E4624" i="1"/>
  <c r="D4624" i="1"/>
  <c r="E4623" i="1"/>
  <c r="D4623" i="1"/>
  <c r="E4622" i="1"/>
  <c r="D4622" i="1"/>
  <c r="E4621" i="1"/>
  <c r="D4621" i="1"/>
  <c r="E4620" i="1"/>
  <c r="D4620" i="1"/>
  <c r="E4619" i="1"/>
  <c r="D4619" i="1"/>
  <c r="E4618" i="1"/>
  <c r="D4618" i="1"/>
  <c r="E4617" i="1"/>
  <c r="D4617" i="1"/>
  <c r="E4616" i="1"/>
  <c r="D4616" i="1"/>
  <c r="E4615" i="1"/>
  <c r="D4615" i="1"/>
  <c r="E4614" i="1"/>
  <c r="D4614" i="1"/>
  <c r="E4613" i="1"/>
  <c r="D4613" i="1"/>
  <c r="E4612" i="1"/>
  <c r="D4612" i="1"/>
  <c r="E4611" i="1"/>
  <c r="D4611" i="1"/>
  <c r="E4610" i="1"/>
  <c r="D4610" i="1"/>
  <c r="E4609" i="1"/>
  <c r="D4609" i="1"/>
  <c r="E4608" i="1"/>
  <c r="D4608" i="1"/>
  <c r="E4607" i="1"/>
  <c r="D4607" i="1"/>
  <c r="E4606" i="1"/>
  <c r="D4606" i="1"/>
  <c r="E4605" i="1"/>
  <c r="D4605" i="1"/>
  <c r="E4604" i="1"/>
  <c r="D4604" i="1"/>
  <c r="E4603" i="1"/>
  <c r="D4603" i="1"/>
  <c r="E4602" i="1"/>
  <c r="D4602" i="1"/>
  <c r="E4601" i="1"/>
  <c r="D4601" i="1"/>
  <c r="E4600" i="1"/>
  <c r="D4600" i="1"/>
  <c r="E4599" i="1"/>
  <c r="D4599" i="1"/>
  <c r="E4598" i="1"/>
  <c r="D4598" i="1"/>
  <c r="E4597" i="1"/>
  <c r="D4597" i="1"/>
  <c r="E4596" i="1"/>
  <c r="D4596" i="1"/>
  <c r="E4595" i="1"/>
  <c r="D4595" i="1"/>
  <c r="E4594" i="1"/>
  <c r="D4594" i="1"/>
  <c r="E4593" i="1"/>
  <c r="D4593" i="1"/>
  <c r="E4592" i="1"/>
  <c r="D4592" i="1"/>
  <c r="E4591" i="1"/>
  <c r="D4591" i="1"/>
  <c r="E4590" i="1"/>
  <c r="D4590" i="1"/>
  <c r="E4589" i="1"/>
  <c r="D4589" i="1"/>
  <c r="E4588" i="1"/>
  <c r="D4588" i="1"/>
  <c r="E4587" i="1"/>
  <c r="D4587" i="1"/>
  <c r="E4586" i="1"/>
  <c r="D4586" i="1"/>
  <c r="E4585" i="1"/>
  <c r="D4585" i="1"/>
  <c r="E4584" i="1"/>
  <c r="D4584" i="1"/>
  <c r="E4583" i="1"/>
  <c r="D4583" i="1"/>
  <c r="E4582" i="1"/>
  <c r="D4582" i="1"/>
  <c r="E4581" i="1"/>
  <c r="D4581" i="1"/>
  <c r="E4580" i="1"/>
  <c r="D4580" i="1"/>
  <c r="E4579" i="1"/>
  <c r="D4579" i="1"/>
  <c r="E4578" i="1"/>
  <c r="D4578" i="1"/>
  <c r="E4577" i="1"/>
  <c r="D4577" i="1"/>
  <c r="E4576" i="1"/>
  <c r="D4576" i="1"/>
  <c r="E4575" i="1"/>
  <c r="D4575" i="1"/>
  <c r="E4574" i="1"/>
  <c r="D4574" i="1"/>
  <c r="E4573" i="1"/>
  <c r="D4573" i="1"/>
  <c r="E4572" i="1"/>
  <c r="D4572" i="1"/>
  <c r="E4571" i="1"/>
  <c r="D4571" i="1"/>
  <c r="E4570" i="1"/>
  <c r="D4570" i="1"/>
  <c r="E4569" i="1"/>
  <c r="D4569" i="1"/>
  <c r="E4568" i="1"/>
  <c r="D4568" i="1"/>
  <c r="E4567" i="1"/>
  <c r="D4567" i="1"/>
  <c r="E4566" i="1"/>
  <c r="D4566" i="1"/>
  <c r="E4565" i="1"/>
  <c r="D4565" i="1"/>
  <c r="E4564" i="1"/>
  <c r="D4564" i="1"/>
  <c r="E4563" i="1"/>
  <c r="D4563" i="1"/>
  <c r="E4562" i="1"/>
  <c r="D4562" i="1"/>
  <c r="E4561" i="1"/>
  <c r="D4561" i="1"/>
  <c r="E4560" i="1"/>
  <c r="D4560" i="1"/>
  <c r="E4559" i="1"/>
  <c r="D4559" i="1"/>
  <c r="E4558" i="1"/>
  <c r="D4558" i="1"/>
  <c r="E4557" i="1"/>
  <c r="D4557" i="1"/>
  <c r="E4556" i="1"/>
  <c r="D4556" i="1"/>
  <c r="E4555" i="1"/>
  <c r="D4555" i="1"/>
  <c r="E4554" i="1"/>
  <c r="D4554" i="1"/>
  <c r="E4553" i="1"/>
  <c r="D4553" i="1"/>
  <c r="E4552" i="1"/>
  <c r="D4552" i="1"/>
  <c r="E4551" i="1"/>
  <c r="D4551" i="1"/>
  <c r="E4550" i="1"/>
  <c r="D4550" i="1"/>
  <c r="E4549" i="1"/>
  <c r="D4549" i="1"/>
  <c r="E4548" i="1"/>
  <c r="D4548" i="1"/>
  <c r="E4547" i="1"/>
  <c r="D4547" i="1"/>
  <c r="E4546" i="1"/>
  <c r="D4546" i="1"/>
  <c r="E4545" i="1"/>
  <c r="D4545" i="1"/>
  <c r="E4544" i="1"/>
  <c r="D4544" i="1"/>
  <c r="E4543" i="1"/>
  <c r="D4543" i="1"/>
  <c r="E4542" i="1"/>
  <c r="D4542" i="1"/>
  <c r="E4541" i="1"/>
  <c r="D4541" i="1"/>
  <c r="E4540" i="1"/>
  <c r="D4540" i="1"/>
  <c r="E4539" i="1"/>
  <c r="D4539" i="1"/>
  <c r="E4538" i="1"/>
  <c r="D4538" i="1"/>
  <c r="E4537" i="1"/>
  <c r="D4537" i="1"/>
  <c r="E4536" i="1"/>
  <c r="D4536" i="1"/>
  <c r="E4535" i="1"/>
  <c r="D4535" i="1"/>
  <c r="E4534" i="1"/>
  <c r="D4534" i="1"/>
  <c r="E4533" i="1"/>
  <c r="D4533" i="1"/>
  <c r="E4532" i="1"/>
  <c r="D4532" i="1"/>
  <c r="E4531" i="1"/>
  <c r="D4531" i="1"/>
  <c r="E4530" i="1"/>
  <c r="D4530" i="1"/>
  <c r="E4529" i="1"/>
  <c r="D4529" i="1"/>
  <c r="E4528" i="1"/>
  <c r="D4528" i="1"/>
  <c r="E4527" i="1"/>
  <c r="D4527" i="1"/>
  <c r="E4526" i="1"/>
  <c r="D4526" i="1"/>
  <c r="E4525" i="1"/>
  <c r="D4525" i="1"/>
  <c r="E4524" i="1"/>
  <c r="D4524" i="1"/>
  <c r="E4523" i="1"/>
  <c r="D4523" i="1"/>
  <c r="E4522" i="1"/>
  <c r="D4522" i="1"/>
  <c r="E4521" i="1"/>
  <c r="D4521" i="1"/>
  <c r="E4520" i="1"/>
  <c r="D4520" i="1"/>
  <c r="E4519" i="1"/>
  <c r="D4519" i="1"/>
  <c r="E4518" i="1"/>
  <c r="D4518" i="1"/>
  <c r="E4517" i="1"/>
  <c r="D4517" i="1"/>
  <c r="E4516" i="1"/>
  <c r="D4516" i="1"/>
  <c r="E4515" i="1"/>
  <c r="D4515" i="1"/>
  <c r="E4514" i="1"/>
  <c r="D4514" i="1"/>
  <c r="E4513" i="1"/>
  <c r="D4513" i="1"/>
  <c r="E4512" i="1"/>
  <c r="D4512" i="1"/>
  <c r="E4511" i="1"/>
  <c r="D4511" i="1"/>
  <c r="E4510" i="1"/>
  <c r="D4510" i="1"/>
  <c r="E4509" i="1"/>
  <c r="D4509" i="1"/>
  <c r="E4508" i="1"/>
  <c r="D4508" i="1"/>
  <c r="E4507" i="1"/>
  <c r="D4507" i="1"/>
  <c r="E4506" i="1"/>
  <c r="D4506" i="1"/>
  <c r="E4505" i="1"/>
  <c r="D4505" i="1"/>
  <c r="E4504" i="1"/>
  <c r="D4504" i="1"/>
  <c r="E4503" i="1"/>
  <c r="D4503" i="1"/>
  <c r="E4502" i="1"/>
  <c r="D4502" i="1"/>
  <c r="E4501" i="1"/>
  <c r="D4501" i="1"/>
  <c r="E4500" i="1"/>
  <c r="D4500" i="1"/>
  <c r="E4499" i="1"/>
  <c r="D4499" i="1"/>
  <c r="E4498" i="1"/>
  <c r="D4498" i="1"/>
  <c r="E4497" i="1"/>
  <c r="D4497" i="1"/>
  <c r="E4496" i="1"/>
  <c r="D4496" i="1"/>
  <c r="E4495" i="1"/>
  <c r="D4495" i="1"/>
  <c r="E4494" i="1"/>
  <c r="D4494" i="1"/>
  <c r="E4493" i="1"/>
  <c r="D4493" i="1"/>
  <c r="E4492" i="1"/>
  <c r="D4492" i="1"/>
  <c r="E4491" i="1"/>
  <c r="D4491" i="1"/>
  <c r="E4490" i="1"/>
  <c r="D4490" i="1"/>
  <c r="E4489" i="1"/>
  <c r="D4489" i="1"/>
  <c r="E4488" i="1"/>
  <c r="D4488" i="1"/>
  <c r="E4487" i="1"/>
  <c r="D4487" i="1"/>
  <c r="E4486" i="1"/>
  <c r="D4486" i="1"/>
  <c r="E4485" i="1"/>
  <c r="D4485" i="1"/>
  <c r="E4484" i="1"/>
  <c r="D4484" i="1"/>
  <c r="E4483" i="1"/>
  <c r="D4483" i="1"/>
  <c r="E4482" i="1"/>
  <c r="D4482" i="1"/>
  <c r="E4481" i="1"/>
  <c r="D4481" i="1"/>
  <c r="E4480" i="1"/>
  <c r="D4480" i="1"/>
  <c r="E4479" i="1"/>
  <c r="D4479" i="1"/>
  <c r="E4478" i="1"/>
  <c r="D4478" i="1"/>
  <c r="E4477" i="1"/>
  <c r="D4477" i="1"/>
  <c r="E4476" i="1"/>
  <c r="D4476" i="1"/>
  <c r="E4475" i="1"/>
  <c r="D4475" i="1"/>
  <c r="E4474" i="1"/>
  <c r="D4474" i="1"/>
  <c r="E4473" i="1"/>
  <c r="D4473" i="1"/>
  <c r="E4472" i="1"/>
  <c r="D4472" i="1"/>
  <c r="E4471" i="1"/>
  <c r="D4471" i="1"/>
  <c r="E4470" i="1"/>
  <c r="D4470" i="1"/>
  <c r="E4469" i="1"/>
  <c r="D4469" i="1"/>
  <c r="E4468" i="1"/>
  <c r="D4468" i="1"/>
  <c r="E4467" i="1"/>
  <c r="D4467" i="1"/>
  <c r="E4466" i="1"/>
  <c r="D4466" i="1"/>
  <c r="E4465" i="1"/>
  <c r="D4465" i="1"/>
  <c r="E4464" i="1"/>
  <c r="D4464" i="1"/>
  <c r="E4463" i="1"/>
  <c r="D4463" i="1"/>
  <c r="E4462" i="1"/>
  <c r="D4462" i="1"/>
  <c r="E4461" i="1"/>
  <c r="D4461" i="1"/>
  <c r="E4460" i="1"/>
  <c r="D4460" i="1"/>
  <c r="E4459" i="1"/>
  <c r="D4459" i="1"/>
  <c r="E4458" i="1"/>
  <c r="D4458" i="1"/>
  <c r="E4457" i="1"/>
  <c r="D4457" i="1"/>
  <c r="E4456" i="1"/>
  <c r="D4456" i="1"/>
  <c r="E4455" i="1"/>
  <c r="D4455" i="1"/>
  <c r="E4454" i="1"/>
  <c r="D4454" i="1"/>
  <c r="E4453" i="1"/>
  <c r="D4453" i="1"/>
  <c r="E4452" i="1"/>
  <c r="D4452" i="1"/>
  <c r="E4451" i="1"/>
  <c r="D4451" i="1"/>
  <c r="E4450" i="1"/>
  <c r="D4450" i="1"/>
  <c r="E4449" i="1"/>
  <c r="D4449" i="1"/>
  <c r="E4448" i="1"/>
  <c r="D4448" i="1"/>
  <c r="E4447" i="1"/>
  <c r="D4447" i="1"/>
  <c r="E4446" i="1"/>
  <c r="D4446" i="1"/>
  <c r="E4445" i="1"/>
  <c r="D4445" i="1"/>
  <c r="E4444" i="1"/>
  <c r="D4444" i="1"/>
  <c r="E4443" i="1"/>
  <c r="D4443" i="1"/>
  <c r="E4442" i="1"/>
  <c r="D4442" i="1"/>
  <c r="E4441" i="1"/>
  <c r="D4441" i="1"/>
  <c r="E4440" i="1"/>
  <c r="D4440" i="1"/>
  <c r="E4439" i="1"/>
  <c r="D4439" i="1"/>
  <c r="E4438" i="1"/>
  <c r="D4438" i="1"/>
  <c r="E4437" i="1"/>
  <c r="D4437" i="1"/>
  <c r="E4436" i="1"/>
  <c r="D4436" i="1"/>
  <c r="E4435" i="1"/>
  <c r="D4435" i="1"/>
  <c r="E4434" i="1"/>
  <c r="D4434" i="1"/>
  <c r="E4433" i="1"/>
  <c r="D4433" i="1"/>
  <c r="E4432" i="1"/>
  <c r="D4432" i="1"/>
  <c r="E4431" i="1"/>
  <c r="D4431" i="1"/>
  <c r="E4430" i="1"/>
  <c r="D4430" i="1"/>
  <c r="E4429" i="1"/>
  <c r="D4429" i="1"/>
  <c r="E4428" i="1"/>
  <c r="D4428" i="1"/>
  <c r="E4427" i="1"/>
  <c r="D4427" i="1"/>
  <c r="E4426" i="1"/>
  <c r="D4426" i="1"/>
  <c r="E4425" i="1"/>
  <c r="D4425" i="1"/>
  <c r="E4424" i="1"/>
  <c r="D4424" i="1"/>
  <c r="E4423" i="1"/>
  <c r="D4423" i="1"/>
  <c r="E4422" i="1"/>
  <c r="D4422" i="1"/>
  <c r="E4421" i="1"/>
  <c r="D4421" i="1"/>
  <c r="E4420" i="1"/>
  <c r="D4420" i="1"/>
  <c r="E4419" i="1"/>
  <c r="D4419" i="1"/>
  <c r="E4418" i="1"/>
  <c r="D4418" i="1"/>
  <c r="E4417" i="1"/>
  <c r="D4417" i="1"/>
  <c r="E4416" i="1"/>
  <c r="D4416" i="1"/>
  <c r="E4415" i="1"/>
  <c r="D4415" i="1"/>
  <c r="E4414" i="1"/>
  <c r="D4414" i="1"/>
  <c r="E4413" i="1"/>
  <c r="D4413" i="1"/>
  <c r="E4412" i="1"/>
  <c r="D4412" i="1"/>
  <c r="E4411" i="1"/>
  <c r="D4411" i="1"/>
  <c r="E4410" i="1"/>
  <c r="D4410" i="1"/>
  <c r="E4409" i="1"/>
  <c r="D4409" i="1"/>
  <c r="E4408" i="1"/>
  <c r="D4408" i="1"/>
  <c r="E4407" i="1"/>
  <c r="D4407" i="1"/>
  <c r="E4406" i="1"/>
  <c r="D4406" i="1"/>
  <c r="E4405" i="1"/>
  <c r="D4405" i="1"/>
  <c r="E4404" i="1"/>
  <c r="D4404" i="1"/>
  <c r="E4403" i="1"/>
  <c r="D4403" i="1"/>
  <c r="E4402" i="1"/>
  <c r="D4402" i="1"/>
  <c r="E4401" i="1"/>
  <c r="D4401" i="1"/>
  <c r="E4400" i="1"/>
  <c r="D4400" i="1"/>
  <c r="E4399" i="1"/>
  <c r="D4399" i="1"/>
  <c r="E4398" i="1"/>
  <c r="D4398" i="1"/>
  <c r="E4397" i="1"/>
  <c r="D4397" i="1"/>
  <c r="E4396" i="1"/>
  <c r="D4396" i="1"/>
  <c r="E4395" i="1"/>
  <c r="D4395" i="1"/>
  <c r="E4394" i="1"/>
  <c r="D4394" i="1"/>
  <c r="E4393" i="1"/>
  <c r="D4393" i="1"/>
  <c r="E4392" i="1"/>
  <c r="D4392" i="1"/>
  <c r="E4391" i="1"/>
  <c r="D4391" i="1"/>
  <c r="E4390" i="1"/>
  <c r="D4390" i="1"/>
  <c r="E4389" i="1"/>
  <c r="D4389" i="1"/>
  <c r="E4388" i="1"/>
  <c r="D4388" i="1"/>
  <c r="E4387" i="1"/>
  <c r="D4387" i="1"/>
  <c r="E4386" i="1"/>
  <c r="D4386" i="1"/>
  <c r="E4385" i="1"/>
  <c r="D4385" i="1"/>
  <c r="E4384" i="1"/>
  <c r="D4384" i="1"/>
  <c r="E4383" i="1"/>
  <c r="D4383" i="1"/>
  <c r="E4382" i="1"/>
  <c r="D4382" i="1"/>
  <c r="E4381" i="1"/>
  <c r="D4381" i="1"/>
  <c r="E4380" i="1"/>
  <c r="D4380" i="1"/>
  <c r="E4379" i="1"/>
  <c r="D4379" i="1"/>
  <c r="E4378" i="1"/>
  <c r="D4378" i="1"/>
  <c r="E4377" i="1"/>
  <c r="D4377" i="1"/>
  <c r="E4376" i="1"/>
  <c r="D4376" i="1"/>
  <c r="E4375" i="1"/>
  <c r="D4375" i="1"/>
  <c r="E4374" i="1"/>
  <c r="D4374" i="1"/>
  <c r="E4373" i="1"/>
  <c r="D4373" i="1"/>
  <c r="E4372" i="1"/>
  <c r="D4372" i="1"/>
  <c r="E4371" i="1"/>
  <c r="D4371" i="1"/>
  <c r="E4370" i="1"/>
  <c r="D4370" i="1"/>
  <c r="E4369" i="1"/>
  <c r="D4369" i="1"/>
  <c r="E4368" i="1"/>
  <c r="D4368" i="1"/>
  <c r="E4367" i="1"/>
  <c r="D4367" i="1"/>
  <c r="E4366" i="1"/>
  <c r="D4366" i="1"/>
  <c r="E4365" i="1"/>
  <c r="D4365" i="1"/>
  <c r="E4364" i="1"/>
  <c r="D4364" i="1"/>
  <c r="E4363" i="1"/>
  <c r="D4363" i="1"/>
  <c r="E4362" i="1"/>
  <c r="D4362" i="1"/>
  <c r="E4361" i="1"/>
  <c r="D4361" i="1"/>
  <c r="E4360" i="1"/>
  <c r="D4360" i="1"/>
  <c r="E4359" i="1"/>
  <c r="D4359" i="1"/>
  <c r="E4358" i="1"/>
  <c r="D4358" i="1"/>
  <c r="E4357" i="1"/>
  <c r="D4357" i="1"/>
  <c r="E4356" i="1"/>
  <c r="D4356" i="1"/>
  <c r="E4355" i="1"/>
  <c r="D4355" i="1"/>
  <c r="E4354" i="1"/>
  <c r="D4354" i="1"/>
  <c r="E4353" i="1"/>
  <c r="D4353" i="1"/>
  <c r="E4352" i="1"/>
  <c r="D4352" i="1"/>
  <c r="E4351" i="1"/>
  <c r="D4351" i="1"/>
  <c r="E4350" i="1"/>
  <c r="D4350" i="1"/>
  <c r="E4349" i="1"/>
  <c r="D4349" i="1"/>
  <c r="E4348" i="1"/>
  <c r="D4348" i="1"/>
  <c r="E4347" i="1"/>
  <c r="D4347" i="1"/>
  <c r="E4346" i="1"/>
  <c r="D4346" i="1"/>
  <c r="E4345" i="1"/>
  <c r="D4345" i="1"/>
  <c r="E4344" i="1"/>
  <c r="D4344" i="1"/>
  <c r="E4343" i="1"/>
  <c r="D4343" i="1"/>
  <c r="E4342" i="1"/>
  <c r="D4342" i="1"/>
  <c r="E4341" i="1"/>
  <c r="D4341" i="1"/>
  <c r="E4340" i="1"/>
  <c r="D4340" i="1"/>
  <c r="E4339" i="1"/>
  <c r="D4339" i="1"/>
  <c r="E4338" i="1"/>
  <c r="D4338" i="1"/>
  <c r="E4337" i="1"/>
  <c r="D4337" i="1"/>
  <c r="E4336" i="1"/>
  <c r="D4336" i="1"/>
  <c r="E4335" i="1"/>
  <c r="D4335" i="1"/>
  <c r="E4334" i="1"/>
  <c r="D4334" i="1"/>
  <c r="E4333" i="1"/>
  <c r="D4333" i="1"/>
  <c r="E4332" i="1"/>
  <c r="D4332" i="1"/>
  <c r="E4331" i="1"/>
  <c r="D4331" i="1"/>
  <c r="E4330" i="1"/>
  <c r="D4330" i="1"/>
  <c r="E4329" i="1"/>
  <c r="D4329" i="1"/>
  <c r="E4328" i="1"/>
  <c r="D4328" i="1"/>
  <c r="E4327" i="1"/>
  <c r="D4327" i="1"/>
  <c r="E4326" i="1"/>
  <c r="D4326" i="1"/>
  <c r="E4325" i="1"/>
  <c r="D4325" i="1"/>
  <c r="E4324" i="1"/>
  <c r="D4324" i="1"/>
  <c r="E4323" i="1"/>
  <c r="D4323" i="1"/>
  <c r="E4322" i="1"/>
  <c r="D4322" i="1"/>
  <c r="E4321" i="1"/>
  <c r="D4321" i="1"/>
  <c r="E4320" i="1"/>
  <c r="D4320" i="1"/>
  <c r="E4319" i="1"/>
  <c r="D4319" i="1"/>
  <c r="E4318" i="1"/>
  <c r="D4318" i="1"/>
  <c r="E4317" i="1"/>
  <c r="D4317" i="1"/>
  <c r="E4316" i="1"/>
  <c r="D4316" i="1"/>
  <c r="E4315" i="1"/>
  <c r="D4315" i="1"/>
  <c r="E4314" i="1"/>
  <c r="D4314" i="1"/>
  <c r="E4313" i="1"/>
  <c r="D4313" i="1"/>
  <c r="E4312" i="1"/>
  <c r="D4312" i="1"/>
  <c r="E4311" i="1"/>
  <c r="D4311" i="1"/>
  <c r="E4310" i="1"/>
  <c r="D4310" i="1"/>
  <c r="E4309" i="1"/>
  <c r="D4309" i="1"/>
  <c r="E4308" i="1"/>
  <c r="D4308" i="1"/>
  <c r="E4307" i="1"/>
  <c r="D4307" i="1"/>
  <c r="E4306" i="1"/>
  <c r="D4306" i="1"/>
  <c r="E4305" i="1"/>
  <c r="D4305" i="1"/>
  <c r="E4304" i="1"/>
  <c r="D4304" i="1"/>
  <c r="E4303" i="1"/>
  <c r="D4303" i="1"/>
  <c r="E4302" i="1"/>
  <c r="D4302" i="1"/>
  <c r="E4301" i="1"/>
  <c r="D4301" i="1"/>
  <c r="E4300" i="1"/>
  <c r="D4300" i="1"/>
  <c r="E4299" i="1"/>
  <c r="D4299" i="1"/>
  <c r="E4298" i="1"/>
  <c r="D4298" i="1"/>
  <c r="E4297" i="1"/>
  <c r="D4297" i="1"/>
  <c r="E4296" i="1"/>
  <c r="D4296" i="1"/>
  <c r="E4295" i="1"/>
  <c r="D4295" i="1"/>
  <c r="E4294" i="1"/>
  <c r="D4294" i="1"/>
  <c r="E4293" i="1"/>
  <c r="D4293" i="1"/>
  <c r="E4292" i="1"/>
  <c r="D4292" i="1"/>
  <c r="E4291" i="1"/>
  <c r="D4291" i="1"/>
  <c r="E4290" i="1"/>
  <c r="D4290" i="1"/>
  <c r="E4289" i="1"/>
  <c r="D4289" i="1"/>
  <c r="E4288" i="1"/>
  <c r="D4288" i="1"/>
  <c r="E4287" i="1"/>
  <c r="D4287" i="1"/>
  <c r="E4286" i="1"/>
  <c r="D4286" i="1"/>
  <c r="E4285" i="1"/>
  <c r="D4285" i="1"/>
  <c r="E4284" i="1"/>
  <c r="D4284" i="1"/>
  <c r="E4283" i="1"/>
  <c r="D4283" i="1"/>
  <c r="E4282" i="1"/>
  <c r="D4282" i="1"/>
  <c r="E4281" i="1"/>
  <c r="D4281" i="1"/>
  <c r="E4280" i="1"/>
  <c r="D4280" i="1"/>
  <c r="E4279" i="1"/>
  <c r="D4279" i="1"/>
  <c r="E4278" i="1"/>
  <c r="D4278" i="1"/>
  <c r="E4277" i="1"/>
  <c r="D4277" i="1"/>
  <c r="E4276" i="1"/>
  <c r="D4276" i="1"/>
  <c r="E4275" i="1"/>
  <c r="D4275" i="1"/>
  <c r="E4274" i="1"/>
  <c r="D4274" i="1"/>
  <c r="E4273" i="1"/>
  <c r="D4273" i="1"/>
  <c r="E4272" i="1"/>
  <c r="D4272" i="1"/>
  <c r="E4271" i="1"/>
  <c r="D4271" i="1"/>
  <c r="E4270" i="1"/>
  <c r="D4270" i="1"/>
  <c r="E4269" i="1"/>
  <c r="D4269" i="1"/>
  <c r="E4268" i="1"/>
  <c r="D4268" i="1"/>
  <c r="E4267" i="1"/>
  <c r="D4267" i="1"/>
  <c r="E4266" i="1"/>
  <c r="D4266" i="1"/>
  <c r="E4265" i="1"/>
  <c r="D4265" i="1"/>
  <c r="E4264" i="1"/>
  <c r="D4264" i="1"/>
  <c r="E4263" i="1"/>
  <c r="D4263" i="1"/>
  <c r="E4262" i="1"/>
  <c r="D4262" i="1"/>
  <c r="E4261" i="1"/>
  <c r="D4261" i="1"/>
  <c r="E4260" i="1"/>
  <c r="D4260" i="1"/>
  <c r="E4259" i="1"/>
  <c r="D4259" i="1"/>
  <c r="E4258" i="1"/>
  <c r="D4258" i="1"/>
  <c r="E4257" i="1"/>
  <c r="D4257" i="1"/>
  <c r="E4256" i="1"/>
  <c r="D4256" i="1"/>
  <c r="E4255" i="1"/>
  <c r="D4255" i="1"/>
  <c r="E4254" i="1"/>
  <c r="D4254" i="1"/>
  <c r="E4253" i="1"/>
  <c r="D4253" i="1"/>
  <c r="E4252" i="1"/>
  <c r="D4252" i="1"/>
  <c r="E4251" i="1"/>
  <c r="D4251" i="1"/>
  <c r="E4250" i="1"/>
  <c r="D4250" i="1"/>
  <c r="E4249" i="1"/>
  <c r="D4249" i="1"/>
  <c r="E4248" i="1"/>
  <c r="D4248" i="1"/>
  <c r="E4247" i="1"/>
  <c r="D4247" i="1"/>
  <c r="E4246" i="1"/>
  <c r="D4246" i="1"/>
  <c r="E4245" i="1"/>
  <c r="D4245" i="1"/>
  <c r="E4244" i="1"/>
  <c r="D4244" i="1"/>
  <c r="E4243" i="1"/>
  <c r="D4243" i="1"/>
  <c r="E4242" i="1"/>
  <c r="D4242" i="1"/>
  <c r="E4241" i="1"/>
  <c r="D4241" i="1"/>
  <c r="E4240" i="1"/>
  <c r="D4240" i="1"/>
  <c r="E4239" i="1"/>
  <c r="D4239" i="1"/>
  <c r="E4238" i="1"/>
  <c r="D4238" i="1"/>
  <c r="E4237" i="1"/>
  <c r="D4237" i="1"/>
  <c r="E4236" i="1"/>
  <c r="D4236" i="1"/>
  <c r="E4235" i="1"/>
  <c r="D4235" i="1"/>
  <c r="E4234" i="1"/>
  <c r="D4234" i="1"/>
  <c r="E4233" i="1"/>
  <c r="D4233" i="1"/>
  <c r="E4232" i="1"/>
  <c r="D4232" i="1"/>
  <c r="E4231" i="1"/>
  <c r="D4231" i="1"/>
  <c r="E4230" i="1"/>
  <c r="D4230" i="1"/>
  <c r="E4229" i="1"/>
  <c r="D4229" i="1"/>
  <c r="E4228" i="1"/>
  <c r="D4228" i="1"/>
  <c r="E4227" i="1"/>
  <c r="D4227" i="1"/>
  <c r="E4226" i="1"/>
  <c r="D4226" i="1"/>
  <c r="E4225" i="1"/>
  <c r="D4225" i="1"/>
  <c r="E4224" i="1"/>
  <c r="D4224" i="1"/>
  <c r="E4223" i="1"/>
  <c r="D4223" i="1"/>
  <c r="E4222" i="1"/>
  <c r="D4222" i="1"/>
  <c r="E4221" i="1"/>
  <c r="D4221" i="1"/>
  <c r="E4220" i="1"/>
  <c r="D4220" i="1"/>
  <c r="E4219" i="1"/>
  <c r="D4219" i="1"/>
  <c r="E4218" i="1"/>
  <c r="D4218" i="1"/>
  <c r="E4217" i="1"/>
  <c r="D4217" i="1"/>
  <c r="E4216" i="1"/>
  <c r="D4216" i="1"/>
  <c r="E4215" i="1"/>
  <c r="D4215" i="1"/>
  <c r="E4214" i="1"/>
  <c r="D4214" i="1"/>
  <c r="E4213" i="1"/>
  <c r="D4213" i="1"/>
  <c r="E4212" i="1"/>
  <c r="D4212" i="1"/>
  <c r="E4211" i="1"/>
  <c r="D4211" i="1"/>
  <c r="E4210" i="1"/>
  <c r="D4210" i="1"/>
  <c r="E4209" i="1"/>
  <c r="D4209" i="1"/>
  <c r="E4208" i="1"/>
  <c r="D4208" i="1"/>
  <c r="E4207" i="1"/>
  <c r="D4207" i="1"/>
  <c r="E4206" i="1"/>
  <c r="D4206" i="1"/>
  <c r="E4205" i="1"/>
  <c r="D4205" i="1"/>
  <c r="E4204" i="1"/>
  <c r="D4204" i="1"/>
  <c r="E4203" i="1"/>
  <c r="D4203" i="1"/>
  <c r="E4202" i="1"/>
  <c r="D4202" i="1"/>
  <c r="E4201" i="1"/>
  <c r="D4201" i="1"/>
  <c r="E4200" i="1"/>
  <c r="D4200" i="1"/>
  <c r="E4199" i="1"/>
  <c r="D4199" i="1"/>
  <c r="E4198" i="1"/>
  <c r="D4198" i="1"/>
  <c r="E4197" i="1"/>
  <c r="D4197" i="1"/>
  <c r="E4196" i="1"/>
  <c r="D4196" i="1"/>
  <c r="E4195" i="1"/>
  <c r="D4195" i="1"/>
  <c r="E4194" i="1"/>
  <c r="D4194" i="1"/>
  <c r="E4193" i="1"/>
  <c r="D4193" i="1"/>
  <c r="E4192" i="1"/>
  <c r="D4192" i="1"/>
  <c r="E4191" i="1"/>
  <c r="D4191" i="1"/>
  <c r="E4190" i="1"/>
  <c r="D4190" i="1"/>
  <c r="E4189" i="1"/>
  <c r="D4189" i="1"/>
  <c r="E4188" i="1"/>
  <c r="D4188" i="1"/>
  <c r="E4187" i="1"/>
  <c r="D4187" i="1"/>
  <c r="E4186" i="1"/>
  <c r="D4186" i="1"/>
  <c r="E4185" i="1"/>
  <c r="D4185" i="1"/>
  <c r="E4184" i="1"/>
  <c r="D4184" i="1"/>
  <c r="E4183" i="1"/>
  <c r="D4183" i="1"/>
  <c r="E4182" i="1"/>
  <c r="D4182" i="1"/>
  <c r="E4181" i="1"/>
  <c r="D4181" i="1"/>
  <c r="E4180" i="1"/>
  <c r="D4180" i="1"/>
  <c r="E4179" i="1"/>
  <c r="D4179" i="1"/>
  <c r="E4178" i="1"/>
  <c r="D4178" i="1"/>
  <c r="E4177" i="1"/>
  <c r="D4177" i="1"/>
  <c r="E4176" i="1"/>
  <c r="D4176" i="1"/>
  <c r="E4175" i="1"/>
  <c r="D4175" i="1"/>
  <c r="E4174" i="1"/>
  <c r="D4174" i="1"/>
  <c r="E4173" i="1"/>
  <c r="D4173" i="1"/>
  <c r="E4172" i="1"/>
  <c r="D4172" i="1"/>
  <c r="E4171" i="1"/>
  <c r="D4171" i="1"/>
  <c r="E4170" i="1"/>
  <c r="D4170" i="1"/>
  <c r="E4169" i="1"/>
  <c r="D4169" i="1"/>
  <c r="E4168" i="1"/>
  <c r="D4168" i="1"/>
  <c r="E4167" i="1"/>
  <c r="D4167" i="1"/>
  <c r="E4166" i="1"/>
  <c r="D4166" i="1"/>
  <c r="E4165" i="1"/>
  <c r="D4165" i="1"/>
  <c r="E4164" i="1"/>
  <c r="D4164" i="1"/>
  <c r="E4163" i="1"/>
  <c r="D4163" i="1"/>
  <c r="E4162" i="1"/>
  <c r="D4162" i="1"/>
  <c r="E4161" i="1"/>
  <c r="D4161" i="1"/>
  <c r="E4160" i="1"/>
  <c r="D4160" i="1"/>
  <c r="E4159" i="1"/>
  <c r="D4159" i="1"/>
  <c r="E4158" i="1"/>
  <c r="D4158" i="1"/>
  <c r="E4157" i="1"/>
  <c r="D4157" i="1"/>
  <c r="E4156" i="1"/>
  <c r="D4156" i="1"/>
  <c r="E4155" i="1"/>
  <c r="D4155" i="1"/>
  <c r="E4154" i="1"/>
  <c r="D4154" i="1"/>
  <c r="E4153" i="1"/>
  <c r="D4153" i="1"/>
  <c r="E4152" i="1"/>
  <c r="D4152" i="1"/>
  <c r="E4151" i="1"/>
  <c r="D4151" i="1"/>
  <c r="E4150" i="1"/>
  <c r="D4150" i="1"/>
  <c r="E4149" i="1"/>
  <c r="D4149" i="1"/>
  <c r="E4148" i="1"/>
  <c r="D4148" i="1"/>
  <c r="E4147" i="1"/>
  <c r="D4147" i="1"/>
  <c r="E4146" i="1"/>
  <c r="D4146" i="1"/>
  <c r="E4145" i="1"/>
  <c r="D4145" i="1"/>
  <c r="E4144" i="1"/>
  <c r="D4144" i="1"/>
  <c r="E4143" i="1"/>
  <c r="D4143" i="1"/>
  <c r="E4142" i="1"/>
  <c r="D4142" i="1"/>
  <c r="E4141" i="1"/>
  <c r="D4141" i="1"/>
  <c r="E4140" i="1"/>
  <c r="D4140" i="1"/>
  <c r="E4139" i="1"/>
  <c r="D4139" i="1"/>
  <c r="E4138" i="1"/>
  <c r="D4138" i="1"/>
  <c r="E4137" i="1"/>
  <c r="D4137" i="1"/>
  <c r="E4136" i="1"/>
  <c r="D4136" i="1"/>
  <c r="E4135" i="1"/>
  <c r="D4135" i="1"/>
  <c r="E4134" i="1"/>
  <c r="D4134" i="1"/>
  <c r="E4133" i="1"/>
  <c r="D4133" i="1"/>
  <c r="E4132" i="1"/>
  <c r="D4132" i="1"/>
  <c r="E4131" i="1"/>
  <c r="D4131" i="1"/>
  <c r="E4130" i="1"/>
  <c r="D4130" i="1"/>
  <c r="E4129" i="1"/>
  <c r="D4129" i="1"/>
  <c r="E4128" i="1"/>
  <c r="D4128" i="1"/>
  <c r="E4127" i="1"/>
  <c r="D4127" i="1"/>
  <c r="E4126" i="1"/>
  <c r="D4126" i="1"/>
  <c r="E4125" i="1"/>
  <c r="D4125" i="1"/>
  <c r="E4124" i="1"/>
  <c r="D4124" i="1"/>
  <c r="E4123" i="1"/>
  <c r="D4123" i="1"/>
  <c r="E4122" i="1"/>
  <c r="D4122" i="1"/>
  <c r="E4121" i="1"/>
  <c r="D4121" i="1"/>
  <c r="E4120" i="1"/>
  <c r="D4120" i="1"/>
  <c r="E4119" i="1"/>
  <c r="D4119" i="1"/>
  <c r="E4118" i="1"/>
  <c r="D4118" i="1"/>
  <c r="E4117" i="1"/>
  <c r="D4117" i="1"/>
  <c r="E4116" i="1"/>
  <c r="D4116" i="1"/>
  <c r="E4115" i="1"/>
  <c r="D4115" i="1"/>
  <c r="E4114" i="1"/>
  <c r="D4114" i="1"/>
  <c r="E4113" i="1"/>
  <c r="D4113" i="1"/>
  <c r="E4112" i="1"/>
  <c r="D4112" i="1"/>
  <c r="E4111" i="1"/>
  <c r="D4111" i="1"/>
  <c r="E4110" i="1"/>
  <c r="D4110" i="1"/>
  <c r="E4109" i="1"/>
  <c r="D4109" i="1"/>
  <c r="E4108" i="1"/>
  <c r="D4108" i="1"/>
  <c r="E4107" i="1"/>
  <c r="D4107" i="1"/>
  <c r="E4106" i="1"/>
  <c r="D4106" i="1"/>
  <c r="E4105" i="1"/>
  <c r="D4105" i="1"/>
  <c r="E4104" i="1"/>
  <c r="D4104" i="1"/>
  <c r="E4103" i="1"/>
  <c r="D4103" i="1"/>
  <c r="E4102" i="1"/>
  <c r="D4102" i="1"/>
  <c r="E4101" i="1"/>
  <c r="D4101" i="1"/>
  <c r="E4100" i="1"/>
  <c r="D4100" i="1"/>
  <c r="E4099" i="1"/>
  <c r="D4099" i="1"/>
  <c r="E4098" i="1"/>
  <c r="D4098" i="1"/>
  <c r="E4097" i="1"/>
  <c r="D4097" i="1"/>
  <c r="E4096" i="1"/>
  <c r="D4096" i="1"/>
  <c r="E4095" i="1"/>
  <c r="D4095" i="1"/>
  <c r="E4094" i="1"/>
  <c r="D4094" i="1"/>
  <c r="E4093" i="1"/>
  <c r="D4093" i="1"/>
  <c r="E4092" i="1"/>
  <c r="D4092" i="1"/>
  <c r="E4091" i="1"/>
  <c r="D4091" i="1"/>
  <c r="E4090" i="1"/>
  <c r="D4090" i="1"/>
  <c r="E4089" i="1"/>
  <c r="D4089" i="1"/>
  <c r="E4088" i="1"/>
  <c r="D4088" i="1"/>
  <c r="E4087" i="1"/>
  <c r="D4087" i="1"/>
  <c r="E4086" i="1"/>
  <c r="D4086" i="1"/>
  <c r="E4085" i="1"/>
  <c r="D4085" i="1"/>
  <c r="E4084" i="1"/>
  <c r="D4084" i="1"/>
  <c r="E4083" i="1"/>
  <c r="D4083" i="1"/>
  <c r="E4082" i="1"/>
  <c r="D4082" i="1"/>
  <c r="E4081" i="1"/>
  <c r="D4081" i="1"/>
  <c r="E4080" i="1"/>
  <c r="D4080" i="1"/>
  <c r="E4079" i="1"/>
  <c r="D4079" i="1"/>
  <c r="E4078" i="1"/>
  <c r="D4078" i="1"/>
  <c r="E4077" i="1"/>
  <c r="D4077" i="1"/>
  <c r="E4076" i="1"/>
  <c r="D4076" i="1"/>
  <c r="E4075" i="1"/>
  <c r="D4075" i="1"/>
  <c r="E4074" i="1"/>
  <c r="D4074" i="1"/>
  <c r="E4073" i="1"/>
  <c r="D4073" i="1"/>
  <c r="E4072" i="1"/>
  <c r="D4072" i="1"/>
  <c r="E4071" i="1"/>
  <c r="D4071" i="1"/>
  <c r="E4070" i="1"/>
  <c r="D4070" i="1"/>
  <c r="E4069" i="1"/>
  <c r="D4069" i="1"/>
  <c r="E4068" i="1"/>
  <c r="D4068" i="1"/>
  <c r="E4067" i="1"/>
  <c r="D4067" i="1"/>
  <c r="E4066" i="1"/>
  <c r="D4066" i="1"/>
  <c r="E4065" i="1"/>
  <c r="D4065" i="1"/>
  <c r="E4064" i="1"/>
  <c r="D4064" i="1"/>
  <c r="E4063" i="1"/>
  <c r="D4063" i="1"/>
  <c r="E4062" i="1"/>
  <c r="D4062" i="1"/>
  <c r="E4061" i="1"/>
  <c r="D4061" i="1"/>
  <c r="E4060" i="1"/>
  <c r="D4060" i="1"/>
  <c r="E4059" i="1"/>
  <c r="D4059" i="1"/>
  <c r="E4058" i="1"/>
  <c r="D4058" i="1"/>
  <c r="E4057" i="1"/>
  <c r="D4057" i="1"/>
  <c r="E4056" i="1"/>
  <c r="D4056" i="1"/>
  <c r="E4055" i="1"/>
  <c r="D4055" i="1"/>
  <c r="E4054" i="1"/>
  <c r="D4054" i="1"/>
  <c r="E4053" i="1"/>
  <c r="D4053" i="1"/>
  <c r="E4052" i="1"/>
  <c r="D4052" i="1"/>
  <c r="E4051" i="1"/>
  <c r="D4051" i="1"/>
  <c r="E4050" i="1"/>
  <c r="D4050" i="1"/>
  <c r="E4049" i="1"/>
  <c r="D4049" i="1"/>
  <c r="E4048" i="1"/>
  <c r="D4048" i="1"/>
  <c r="E4047" i="1"/>
  <c r="D4047" i="1"/>
  <c r="E4046" i="1"/>
  <c r="D4046" i="1"/>
  <c r="E4045" i="1"/>
  <c r="D4045" i="1"/>
  <c r="E4044" i="1"/>
  <c r="D4044" i="1"/>
  <c r="E4043" i="1"/>
  <c r="D4043" i="1"/>
  <c r="E4042" i="1"/>
  <c r="D4042" i="1"/>
  <c r="E4041" i="1"/>
  <c r="D4041" i="1"/>
  <c r="E4040" i="1"/>
  <c r="D4040" i="1"/>
  <c r="E4039" i="1"/>
  <c r="D4039" i="1"/>
  <c r="E4038" i="1"/>
  <c r="D4038" i="1"/>
  <c r="E4037" i="1"/>
  <c r="D4037" i="1"/>
  <c r="E4036" i="1"/>
  <c r="D4036" i="1"/>
  <c r="E4035" i="1"/>
  <c r="D4035" i="1"/>
  <c r="E4034" i="1"/>
  <c r="D4034" i="1"/>
  <c r="E4033" i="1"/>
  <c r="D4033" i="1"/>
  <c r="E4032" i="1"/>
  <c r="D4032" i="1"/>
  <c r="E4031" i="1"/>
  <c r="D4031" i="1"/>
  <c r="E4030" i="1"/>
  <c r="D4030" i="1"/>
  <c r="E4029" i="1"/>
  <c r="D4029" i="1"/>
  <c r="E4028" i="1"/>
  <c r="D4028" i="1"/>
  <c r="E4027" i="1"/>
  <c r="D4027" i="1"/>
  <c r="E4026" i="1"/>
  <c r="D4026" i="1"/>
  <c r="E4025" i="1"/>
  <c r="D4025" i="1"/>
  <c r="E4024" i="1"/>
  <c r="D4024" i="1"/>
  <c r="E4023" i="1"/>
  <c r="D4023" i="1"/>
  <c r="E4022" i="1"/>
  <c r="D4022" i="1"/>
  <c r="E4021" i="1"/>
  <c r="D4021" i="1"/>
  <c r="E4020" i="1"/>
  <c r="D4020" i="1"/>
  <c r="E4019" i="1"/>
  <c r="D4019" i="1"/>
  <c r="E4018" i="1"/>
  <c r="D4018" i="1"/>
  <c r="E4017" i="1"/>
  <c r="D4017" i="1"/>
  <c r="E4016" i="1"/>
  <c r="D4016" i="1"/>
  <c r="E4015" i="1"/>
  <c r="D4015" i="1"/>
  <c r="E4014" i="1"/>
  <c r="D4014" i="1"/>
  <c r="E4013" i="1"/>
  <c r="D4013" i="1"/>
  <c r="E4012" i="1"/>
  <c r="D4012" i="1"/>
  <c r="E4011" i="1"/>
  <c r="D4011" i="1"/>
  <c r="E4010" i="1"/>
  <c r="D4010" i="1"/>
  <c r="E4009" i="1"/>
  <c r="D4009" i="1"/>
  <c r="E4008" i="1"/>
  <c r="D4008" i="1"/>
  <c r="E4007" i="1"/>
  <c r="D4007" i="1"/>
  <c r="E4006" i="1"/>
  <c r="D4006" i="1"/>
  <c r="E4005" i="1"/>
  <c r="D4005" i="1"/>
  <c r="E4004" i="1"/>
  <c r="D4004" i="1"/>
  <c r="E4003" i="1"/>
  <c r="D4003" i="1"/>
  <c r="E4002" i="1"/>
  <c r="D4002" i="1"/>
  <c r="E4001" i="1"/>
  <c r="D4001" i="1"/>
  <c r="E4000" i="1"/>
  <c r="D4000" i="1"/>
  <c r="E3999" i="1"/>
  <c r="D3999" i="1"/>
  <c r="E3998" i="1"/>
  <c r="D3998" i="1"/>
  <c r="E3997" i="1"/>
  <c r="D3997" i="1"/>
  <c r="E3996" i="1"/>
  <c r="D3996" i="1"/>
  <c r="E3995" i="1"/>
  <c r="D3995" i="1"/>
  <c r="E3994" i="1"/>
  <c r="D3994" i="1"/>
  <c r="E3993" i="1"/>
  <c r="D3993" i="1"/>
  <c r="E3992" i="1"/>
  <c r="D3992" i="1"/>
  <c r="E3991" i="1"/>
  <c r="D3991" i="1"/>
  <c r="E3990" i="1"/>
  <c r="D3990" i="1"/>
  <c r="E3989" i="1"/>
  <c r="D3989" i="1"/>
  <c r="E3988" i="1"/>
  <c r="D3988" i="1"/>
  <c r="E3987" i="1"/>
  <c r="D3987" i="1"/>
  <c r="E3986" i="1"/>
  <c r="D3986" i="1"/>
  <c r="E3985" i="1"/>
  <c r="D3985" i="1"/>
  <c r="E3984" i="1"/>
  <c r="D3984" i="1"/>
  <c r="E3983" i="1"/>
  <c r="D3983" i="1"/>
  <c r="E3982" i="1"/>
  <c r="D3982" i="1"/>
  <c r="E3981" i="1"/>
  <c r="D3981" i="1"/>
  <c r="E3980" i="1"/>
  <c r="D3980" i="1"/>
  <c r="E3979" i="1"/>
  <c r="D3979" i="1"/>
  <c r="E3978" i="1"/>
  <c r="D3978" i="1"/>
  <c r="E3977" i="1"/>
  <c r="D3977" i="1"/>
  <c r="E3976" i="1"/>
  <c r="D3976" i="1"/>
  <c r="E3975" i="1"/>
  <c r="D3975" i="1"/>
  <c r="E3974" i="1"/>
  <c r="D3974" i="1"/>
  <c r="E3973" i="1"/>
  <c r="D3973" i="1"/>
  <c r="E3972" i="1"/>
  <c r="D3972" i="1"/>
  <c r="E3971" i="1"/>
  <c r="D3971" i="1"/>
  <c r="E3970" i="1"/>
  <c r="D3970" i="1"/>
  <c r="E3969" i="1"/>
  <c r="D3969" i="1"/>
  <c r="E3968" i="1"/>
  <c r="D3968" i="1"/>
  <c r="E3967" i="1"/>
  <c r="D3967" i="1"/>
  <c r="E3966" i="1"/>
  <c r="D3966" i="1"/>
  <c r="E3965" i="1"/>
  <c r="D3965" i="1"/>
  <c r="E3964" i="1"/>
  <c r="D3964" i="1"/>
  <c r="E3963" i="1"/>
  <c r="D3963" i="1"/>
  <c r="E3962" i="1"/>
  <c r="D3962" i="1"/>
  <c r="E3961" i="1"/>
  <c r="D3961" i="1"/>
  <c r="E3960" i="1"/>
  <c r="D3960" i="1"/>
  <c r="E3959" i="1"/>
  <c r="D3959" i="1"/>
  <c r="E3958" i="1"/>
  <c r="D3958" i="1"/>
  <c r="E3957" i="1"/>
  <c r="D3957" i="1"/>
  <c r="E3956" i="1"/>
  <c r="D3956" i="1"/>
  <c r="E3955" i="1"/>
  <c r="D3955" i="1"/>
  <c r="E3954" i="1"/>
  <c r="D3954" i="1"/>
  <c r="E3953" i="1"/>
  <c r="D3953" i="1"/>
  <c r="E3952" i="1"/>
  <c r="D3952" i="1"/>
  <c r="E3951" i="1"/>
  <c r="D3951" i="1"/>
  <c r="E3950" i="1"/>
  <c r="D3950" i="1"/>
  <c r="E3949" i="1"/>
  <c r="D3949" i="1"/>
  <c r="E3948" i="1"/>
  <c r="D3948" i="1"/>
  <c r="E3947" i="1"/>
  <c r="D3947" i="1"/>
  <c r="E3946" i="1"/>
  <c r="D3946" i="1"/>
  <c r="E3945" i="1"/>
  <c r="D3945" i="1"/>
  <c r="E3944" i="1"/>
  <c r="D3944" i="1"/>
  <c r="E3943" i="1"/>
  <c r="D3943" i="1"/>
  <c r="E3942" i="1"/>
  <c r="D3942" i="1"/>
  <c r="E3941" i="1"/>
  <c r="D3941" i="1"/>
  <c r="E3940" i="1"/>
  <c r="D3940" i="1"/>
  <c r="E3939" i="1"/>
  <c r="D3939" i="1"/>
  <c r="E3938" i="1"/>
  <c r="D3938" i="1"/>
  <c r="E3937" i="1"/>
  <c r="D3937" i="1"/>
  <c r="E3936" i="1"/>
  <c r="D3936" i="1"/>
  <c r="E3935" i="1"/>
  <c r="D3935" i="1"/>
  <c r="E3934" i="1"/>
  <c r="D3934" i="1"/>
  <c r="E3933" i="1"/>
  <c r="D3933" i="1"/>
  <c r="E3932" i="1"/>
  <c r="D3932" i="1"/>
  <c r="E3931" i="1"/>
  <c r="D3931" i="1"/>
  <c r="E3930" i="1"/>
  <c r="D3930" i="1"/>
  <c r="E3929" i="1"/>
  <c r="D3929" i="1"/>
  <c r="E3928" i="1"/>
  <c r="D3928" i="1"/>
  <c r="E3927" i="1"/>
  <c r="D3927" i="1"/>
  <c r="E3926" i="1"/>
  <c r="D3926" i="1"/>
  <c r="E3925" i="1"/>
  <c r="D3925" i="1"/>
  <c r="E3924" i="1"/>
  <c r="D3924" i="1"/>
  <c r="E3923" i="1"/>
  <c r="D3923" i="1"/>
  <c r="E3922" i="1"/>
  <c r="D3922" i="1"/>
  <c r="E3921" i="1"/>
  <c r="D3921" i="1"/>
  <c r="E3920" i="1"/>
  <c r="D3920" i="1"/>
  <c r="E3919" i="1"/>
  <c r="D3919" i="1"/>
  <c r="E3918" i="1"/>
  <c r="D3918" i="1"/>
  <c r="E3917" i="1"/>
  <c r="D3917" i="1"/>
  <c r="E3916" i="1"/>
  <c r="D3916" i="1"/>
  <c r="E3915" i="1"/>
  <c r="D3915" i="1"/>
  <c r="E3914" i="1"/>
  <c r="D3914" i="1"/>
  <c r="E3913" i="1"/>
  <c r="D3913" i="1"/>
  <c r="E3912" i="1"/>
  <c r="D3912" i="1"/>
  <c r="E3911" i="1"/>
  <c r="D3911" i="1"/>
  <c r="E3910" i="1"/>
  <c r="D3910" i="1"/>
  <c r="E3909" i="1"/>
  <c r="D3909" i="1"/>
  <c r="E3908" i="1"/>
  <c r="D3908" i="1"/>
  <c r="E3907" i="1"/>
  <c r="D3907" i="1"/>
  <c r="E3906" i="1"/>
  <c r="D3906" i="1"/>
  <c r="E3905" i="1"/>
  <c r="D3905" i="1"/>
  <c r="E3904" i="1"/>
  <c r="D3904" i="1"/>
  <c r="E3903" i="1"/>
  <c r="D3903" i="1"/>
  <c r="E3902" i="1"/>
  <c r="D3902" i="1"/>
  <c r="E3901" i="1"/>
  <c r="D3901" i="1"/>
  <c r="E3900" i="1"/>
  <c r="D3900" i="1"/>
  <c r="E3899" i="1"/>
  <c r="D3899" i="1"/>
  <c r="E3898" i="1"/>
  <c r="D3898" i="1"/>
  <c r="E3897" i="1"/>
  <c r="D3897" i="1"/>
  <c r="E3896" i="1"/>
  <c r="D3896" i="1"/>
  <c r="E3895" i="1"/>
  <c r="D3895" i="1"/>
  <c r="E3894" i="1"/>
  <c r="D3894" i="1"/>
  <c r="E3893" i="1"/>
  <c r="D3893" i="1"/>
  <c r="E3892" i="1"/>
  <c r="D3892" i="1"/>
  <c r="E3891" i="1"/>
  <c r="D3891" i="1"/>
  <c r="E3890" i="1"/>
  <c r="D3890" i="1"/>
  <c r="E3889" i="1"/>
  <c r="D3889" i="1"/>
  <c r="E3888" i="1"/>
  <c r="D3888" i="1"/>
  <c r="E3887" i="1"/>
  <c r="D3887" i="1"/>
  <c r="E3886" i="1"/>
  <c r="D3886" i="1"/>
  <c r="E3885" i="1"/>
  <c r="D3885" i="1"/>
  <c r="E3884" i="1"/>
  <c r="D3884" i="1"/>
  <c r="E3883" i="1"/>
  <c r="D3883" i="1"/>
  <c r="E3882" i="1"/>
  <c r="D3882" i="1"/>
  <c r="E3881" i="1"/>
  <c r="D3881" i="1"/>
  <c r="E3880" i="1"/>
  <c r="D3880" i="1"/>
  <c r="E3879" i="1"/>
  <c r="D3879" i="1"/>
  <c r="E3878" i="1"/>
  <c r="D3878" i="1"/>
  <c r="E3877" i="1"/>
  <c r="D3877" i="1"/>
  <c r="E3876" i="1"/>
  <c r="D3876" i="1"/>
  <c r="E3875" i="1"/>
  <c r="D3875" i="1"/>
  <c r="E3874" i="1"/>
  <c r="D3874" i="1"/>
  <c r="E3873" i="1"/>
  <c r="D3873" i="1"/>
  <c r="E3872" i="1"/>
  <c r="D3872" i="1"/>
  <c r="E3871" i="1"/>
  <c r="D3871" i="1"/>
  <c r="E3870" i="1"/>
  <c r="D3870" i="1"/>
  <c r="E3869" i="1"/>
  <c r="D3869" i="1"/>
  <c r="E3868" i="1"/>
  <c r="D3868" i="1"/>
  <c r="E3867" i="1"/>
  <c r="D3867" i="1"/>
  <c r="E3866" i="1"/>
  <c r="D3866" i="1"/>
  <c r="E3865" i="1"/>
  <c r="D3865" i="1"/>
  <c r="E3864" i="1"/>
  <c r="D3864" i="1"/>
  <c r="E3863" i="1"/>
  <c r="D3863" i="1"/>
  <c r="E3862" i="1"/>
  <c r="D3862" i="1"/>
  <c r="E3861" i="1"/>
  <c r="D3861" i="1"/>
  <c r="E3860" i="1"/>
  <c r="D3860" i="1"/>
  <c r="E3859" i="1"/>
  <c r="D3859" i="1"/>
  <c r="E3858" i="1"/>
  <c r="D3858" i="1"/>
  <c r="E3857" i="1"/>
  <c r="D3857" i="1"/>
  <c r="E3856" i="1"/>
  <c r="D3856" i="1"/>
  <c r="E3855" i="1"/>
  <c r="D3855" i="1"/>
  <c r="E3854" i="1"/>
  <c r="D3854" i="1"/>
  <c r="E3853" i="1"/>
  <c r="D3853" i="1"/>
  <c r="E3852" i="1"/>
  <c r="D3852" i="1"/>
  <c r="E3851" i="1"/>
  <c r="D3851" i="1"/>
  <c r="E3850" i="1"/>
  <c r="D3850" i="1"/>
  <c r="E3849" i="1"/>
  <c r="D3849" i="1"/>
  <c r="E3848" i="1"/>
  <c r="D3848" i="1"/>
  <c r="E3847" i="1"/>
  <c r="D3847" i="1"/>
  <c r="E3846" i="1"/>
  <c r="D3846" i="1"/>
  <c r="E3845" i="1"/>
  <c r="D3845" i="1"/>
  <c r="E3844" i="1"/>
  <c r="D3844" i="1"/>
  <c r="E3843" i="1"/>
  <c r="D3843" i="1"/>
  <c r="E3842" i="1"/>
  <c r="D3842" i="1"/>
  <c r="E3841" i="1"/>
  <c r="D3841" i="1"/>
  <c r="E3840" i="1"/>
  <c r="D3840" i="1"/>
  <c r="E3839" i="1"/>
  <c r="D3839" i="1"/>
  <c r="E3838" i="1"/>
  <c r="D3838" i="1"/>
  <c r="E3837" i="1"/>
  <c r="D3837" i="1"/>
  <c r="E3836" i="1"/>
  <c r="D3836" i="1"/>
  <c r="E3835" i="1"/>
  <c r="D3835" i="1"/>
  <c r="E3834" i="1"/>
  <c r="D3834" i="1"/>
  <c r="E3833" i="1"/>
  <c r="D3833" i="1"/>
  <c r="E3832" i="1"/>
  <c r="D3832" i="1"/>
  <c r="E3831" i="1"/>
  <c r="D3831" i="1"/>
  <c r="E3830" i="1"/>
  <c r="D3830" i="1"/>
  <c r="E3829" i="1"/>
  <c r="D3829" i="1"/>
  <c r="E3828" i="1"/>
  <c r="D3828" i="1"/>
  <c r="E3827" i="1"/>
  <c r="D3827" i="1"/>
  <c r="E3826" i="1"/>
  <c r="D3826" i="1"/>
  <c r="E3825" i="1"/>
  <c r="D3825" i="1"/>
  <c r="E3824" i="1"/>
  <c r="D3824" i="1"/>
  <c r="E3823" i="1"/>
  <c r="D3823" i="1"/>
  <c r="E3822" i="1"/>
  <c r="D3822" i="1"/>
  <c r="E3821" i="1"/>
  <c r="D3821" i="1"/>
  <c r="E3820" i="1"/>
  <c r="D3820" i="1"/>
  <c r="E3819" i="1"/>
  <c r="D3819" i="1"/>
  <c r="E3818" i="1"/>
  <c r="D3818" i="1"/>
  <c r="E3817" i="1"/>
  <c r="D3817" i="1"/>
  <c r="E3816" i="1"/>
  <c r="D3816" i="1"/>
  <c r="E3815" i="1"/>
  <c r="D3815" i="1"/>
  <c r="E3814" i="1"/>
  <c r="D3814" i="1"/>
  <c r="E3813" i="1"/>
  <c r="D3813" i="1"/>
  <c r="E3812" i="1"/>
  <c r="D3812" i="1"/>
  <c r="E3811" i="1"/>
  <c r="D3811" i="1"/>
  <c r="E3810" i="1"/>
  <c r="D3810" i="1"/>
  <c r="E3809" i="1"/>
  <c r="D3809" i="1"/>
  <c r="E3808" i="1"/>
  <c r="D3808" i="1"/>
  <c r="E3807" i="1"/>
  <c r="D3807" i="1"/>
  <c r="E3806" i="1"/>
  <c r="D3806" i="1"/>
  <c r="E3805" i="1"/>
  <c r="D3805" i="1"/>
  <c r="E3804" i="1"/>
  <c r="D3804" i="1"/>
  <c r="E3803" i="1"/>
  <c r="D3803" i="1"/>
  <c r="E3802" i="1"/>
  <c r="D3802" i="1"/>
  <c r="E3801" i="1"/>
  <c r="D3801" i="1"/>
  <c r="E3800" i="1"/>
  <c r="D3800" i="1"/>
  <c r="E3799" i="1"/>
  <c r="D3799" i="1"/>
  <c r="E3798" i="1"/>
  <c r="D3798" i="1"/>
  <c r="E3797" i="1"/>
  <c r="D3797" i="1"/>
  <c r="E3796" i="1"/>
  <c r="D3796" i="1"/>
  <c r="E3795" i="1"/>
  <c r="D3795" i="1"/>
  <c r="E3794" i="1"/>
  <c r="D3794" i="1"/>
  <c r="E3793" i="1"/>
  <c r="D3793" i="1"/>
  <c r="E3792" i="1"/>
  <c r="D3792" i="1"/>
  <c r="E3791" i="1"/>
  <c r="D3791" i="1"/>
  <c r="E3790" i="1"/>
  <c r="D3790" i="1"/>
  <c r="E3789" i="1"/>
  <c r="D3789" i="1"/>
  <c r="E3788" i="1"/>
  <c r="D3788" i="1"/>
  <c r="E3787" i="1"/>
  <c r="D3787" i="1"/>
  <c r="E3786" i="1"/>
  <c r="D3786" i="1"/>
  <c r="E3785" i="1"/>
  <c r="D3785" i="1"/>
  <c r="E3784" i="1"/>
  <c r="D3784" i="1"/>
  <c r="E3783" i="1"/>
  <c r="D3783" i="1"/>
  <c r="E3782" i="1"/>
  <c r="D3782" i="1"/>
  <c r="E3781" i="1"/>
  <c r="D3781" i="1"/>
  <c r="E3780" i="1"/>
  <c r="D3780" i="1"/>
  <c r="E3779" i="1"/>
  <c r="D3779" i="1"/>
  <c r="E3778" i="1"/>
  <c r="D3778" i="1"/>
  <c r="E3777" i="1"/>
  <c r="D3777" i="1"/>
  <c r="E3776" i="1"/>
  <c r="D3776" i="1"/>
  <c r="E3775" i="1"/>
  <c r="D3775" i="1"/>
  <c r="E3774" i="1"/>
  <c r="D3774" i="1"/>
  <c r="E3773" i="1"/>
  <c r="D3773" i="1"/>
  <c r="E3772" i="1"/>
  <c r="D3772" i="1"/>
  <c r="E3771" i="1"/>
  <c r="D3771" i="1"/>
  <c r="E3770" i="1"/>
  <c r="D3770" i="1"/>
  <c r="E3769" i="1"/>
  <c r="D3769" i="1"/>
  <c r="E3768" i="1"/>
  <c r="D3768" i="1"/>
  <c r="E3767" i="1"/>
  <c r="D3767" i="1"/>
  <c r="E3766" i="1"/>
  <c r="D3766" i="1"/>
  <c r="E3765" i="1"/>
  <c r="D3765" i="1"/>
  <c r="E3764" i="1"/>
  <c r="D3764" i="1"/>
  <c r="E3763" i="1"/>
  <c r="D3763" i="1"/>
  <c r="E3762" i="1"/>
  <c r="D3762" i="1"/>
  <c r="E3761" i="1"/>
  <c r="D3761" i="1"/>
  <c r="E3760" i="1"/>
  <c r="D3760" i="1"/>
  <c r="E3759" i="1"/>
  <c r="D3759" i="1"/>
  <c r="E3758" i="1"/>
  <c r="D3758" i="1"/>
  <c r="E3757" i="1"/>
  <c r="D3757" i="1"/>
  <c r="E3756" i="1"/>
  <c r="D3756" i="1"/>
  <c r="E3755" i="1"/>
  <c r="D3755" i="1"/>
  <c r="E3754" i="1"/>
  <c r="D3754" i="1"/>
  <c r="E3753" i="1"/>
  <c r="D3753" i="1"/>
  <c r="E3752" i="1"/>
  <c r="D3752" i="1"/>
  <c r="E3751" i="1"/>
  <c r="D3751" i="1"/>
  <c r="E3750" i="1"/>
  <c r="D3750" i="1"/>
  <c r="E3749" i="1"/>
  <c r="D3749" i="1"/>
  <c r="E3748" i="1"/>
  <c r="D3748" i="1"/>
  <c r="E3747" i="1"/>
  <c r="D3747" i="1"/>
  <c r="E3746" i="1"/>
  <c r="D3746" i="1"/>
  <c r="E3745" i="1"/>
  <c r="D3745" i="1"/>
  <c r="E3744" i="1"/>
  <c r="D3744" i="1"/>
  <c r="E3743" i="1"/>
  <c r="D3743" i="1"/>
  <c r="E3742" i="1"/>
  <c r="D3742" i="1"/>
  <c r="E3741" i="1"/>
  <c r="D3741" i="1"/>
  <c r="E3740" i="1"/>
  <c r="D3740" i="1"/>
  <c r="E3739" i="1"/>
  <c r="D3739" i="1"/>
  <c r="E3738" i="1"/>
  <c r="D3738" i="1"/>
  <c r="E3737" i="1"/>
  <c r="D3737" i="1"/>
  <c r="E3736" i="1"/>
  <c r="D3736" i="1"/>
  <c r="E3735" i="1"/>
  <c r="D3735" i="1"/>
  <c r="E3734" i="1"/>
  <c r="D3734" i="1"/>
  <c r="E3733" i="1"/>
  <c r="D3733" i="1"/>
  <c r="E3732" i="1"/>
  <c r="D3732" i="1"/>
  <c r="E3731" i="1"/>
  <c r="D3731" i="1"/>
  <c r="E3730" i="1"/>
  <c r="D3730" i="1"/>
  <c r="E3729" i="1"/>
  <c r="D3729" i="1"/>
  <c r="E3728" i="1"/>
  <c r="D3728" i="1"/>
  <c r="E3727" i="1"/>
  <c r="D3727" i="1"/>
  <c r="E3726" i="1"/>
  <c r="D3726" i="1"/>
  <c r="E3725" i="1"/>
  <c r="D3725" i="1"/>
  <c r="E3724" i="1"/>
  <c r="D3724" i="1"/>
  <c r="E3723" i="1"/>
  <c r="D3723" i="1"/>
  <c r="E3722" i="1"/>
  <c r="D3722" i="1"/>
  <c r="E3721" i="1"/>
  <c r="D3721" i="1"/>
  <c r="E3720" i="1"/>
  <c r="D3720" i="1"/>
  <c r="E3719" i="1"/>
  <c r="D3719" i="1"/>
  <c r="E3718" i="1"/>
  <c r="D3718" i="1"/>
  <c r="E3717" i="1"/>
  <c r="D3717" i="1"/>
  <c r="E3716" i="1"/>
  <c r="D3716" i="1"/>
  <c r="E3715" i="1"/>
  <c r="D3715" i="1"/>
  <c r="E3714" i="1"/>
  <c r="D3714" i="1"/>
  <c r="E3713" i="1"/>
  <c r="D3713" i="1"/>
  <c r="E3712" i="1"/>
  <c r="D3712" i="1"/>
  <c r="E3711" i="1"/>
  <c r="D3711" i="1"/>
  <c r="E3710" i="1"/>
  <c r="D3710" i="1"/>
  <c r="E3709" i="1"/>
  <c r="D3709" i="1"/>
  <c r="E3708" i="1"/>
  <c r="D3708" i="1"/>
  <c r="E3707" i="1"/>
  <c r="D3707" i="1"/>
  <c r="E3706" i="1"/>
  <c r="D3706" i="1"/>
  <c r="E3705" i="1"/>
  <c r="D3705" i="1"/>
  <c r="E3704" i="1"/>
  <c r="D3704" i="1"/>
  <c r="E3703" i="1"/>
  <c r="D3703" i="1"/>
  <c r="E3702" i="1"/>
  <c r="D3702" i="1"/>
  <c r="E3701" i="1"/>
  <c r="D3701" i="1"/>
  <c r="E3700" i="1"/>
  <c r="D3700" i="1"/>
  <c r="E3699" i="1"/>
  <c r="D3699" i="1"/>
  <c r="E3698" i="1"/>
  <c r="D3698" i="1"/>
  <c r="E3697" i="1"/>
  <c r="D3697" i="1"/>
  <c r="E3696" i="1"/>
  <c r="D3696" i="1"/>
  <c r="E3695" i="1"/>
  <c r="D3695" i="1"/>
  <c r="E3694" i="1"/>
  <c r="D3694" i="1"/>
  <c r="E3693" i="1"/>
  <c r="D3693" i="1"/>
  <c r="E3692" i="1"/>
  <c r="D3692" i="1"/>
  <c r="E3691" i="1"/>
  <c r="D3691" i="1"/>
  <c r="E3690" i="1"/>
  <c r="D3690" i="1"/>
  <c r="E3689" i="1"/>
  <c r="D3689" i="1"/>
  <c r="E3688" i="1"/>
  <c r="D3688" i="1"/>
  <c r="E3687" i="1"/>
  <c r="D3687" i="1"/>
  <c r="E3686" i="1"/>
  <c r="D3686" i="1"/>
  <c r="E3685" i="1"/>
  <c r="D3685" i="1"/>
  <c r="E3684" i="1"/>
  <c r="D3684" i="1"/>
  <c r="E3683" i="1"/>
  <c r="D3683" i="1"/>
  <c r="E3682" i="1"/>
  <c r="D3682" i="1"/>
  <c r="E3681" i="1"/>
  <c r="D3681" i="1"/>
  <c r="E3680" i="1"/>
  <c r="D3680" i="1"/>
  <c r="E3679" i="1"/>
  <c r="D3679" i="1"/>
  <c r="E3678" i="1"/>
  <c r="D3678" i="1"/>
  <c r="E3677" i="1"/>
  <c r="D3677" i="1"/>
  <c r="E3676" i="1"/>
  <c r="D3676" i="1"/>
  <c r="E3675" i="1"/>
  <c r="D3675" i="1"/>
  <c r="E3674" i="1"/>
  <c r="D3674" i="1"/>
  <c r="E3673" i="1"/>
  <c r="D3673" i="1"/>
  <c r="E3672" i="1"/>
  <c r="D3672" i="1"/>
  <c r="E3671" i="1"/>
  <c r="D3671" i="1"/>
  <c r="E3670" i="1"/>
  <c r="D3670" i="1"/>
  <c r="E3669" i="1"/>
  <c r="D3669" i="1"/>
  <c r="E3668" i="1"/>
  <c r="D3668" i="1"/>
  <c r="E3667" i="1"/>
  <c r="D3667" i="1"/>
  <c r="E3666" i="1"/>
  <c r="D3666" i="1"/>
  <c r="E3665" i="1"/>
  <c r="D3665" i="1"/>
  <c r="E3664" i="1"/>
  <c r="D3664" i="1"/>
  <c r="E3663" i="1"/>
  <c r="D3663" i="1"/>
  <c r="E3662" i="1"/>
  <c r="D3662" i="1"/>
  <c r="E3661" i="1"/>
  <c r="D3661" i="1"/>
  <c r="E3660" i="1"/>
  <c r="D3660" i="1"/>
  <c r="E3659" i="1"/>
  <c r="D3659" i="1"/>
  <c r="E3658" i="1"/>
  <c r="D3658" i="1"/>
  <c r="E3657" i="1"/>
  <c r="D3657" i="1"/>
  <c r="E3656" i="1"/>
  <c r="D3656" i="1"/>
  <c r="E3655" i="1"/>
  <c r="D3655" i="1"/>
  <c r="E3654" i="1"/>
  <c r="D3654" i="1"/>
  <c r="E3653" i="1"/>
  <c r="D3653" i="1"/>
  <c r="E3652" i="1"/>
  <c r="D3652" i="1"/>
  <c r="E3651" i="1"/>
  <c r="D3651" i="1"/>
  <c r="E3650" i="1"/>
  <c r="D3650" i="1"/>
  <c r="E3649" i="1"/>
  <c r="D3649" i="1"/>
  <c r="E3648" i="1"/>
  <c r="D3648" i="1"/>
  <c r="E3647" i="1"/>
  <c r="D3647" i="1"/>
  <c r="E3646" i="1"/>
  <c r="D3646" i="1"/>
  <c r="E3645" i="1"/>
  <c r="D3645" i="1"/>
  <c r="E3644" i="1"/>
  <c r="D3644" i="1"/>
  <c r="E3643" i="1"/>
  <c r="D3643" i="1"/>
  <c r="E3642" i="1"/>
  <c r="D3642" i="1"/>
  <c r="E3641" i="1"/>
  <c r="D3641" i="1"/>
  <c r="E3640" i="1"/>
  <c r="D3640" i="1"/>
  <c r="E3639" i="1"/>
  <c r="D3639" i="1"/>
  <c r="E3638" i="1"/>
  <c r="D3638" i="1"/>
  <c r="E3637" i="1"/>
  <c r="D3637" i="1"/>
  <c r="E3636" i="1"/>
  <c r="D3636" i="1"/>
  <c r="E3635" i="1"/>
  <c r="D3635" i="1"/>
  <c r="E3634" i="1"/>
  <c r="D3634" i="1"/>
  <c r="E3633" i="1"/>
  <c r="D3633" i="1"/>
  <c r="E3632" i="1"/>
  <c r="D3632" i="1"/>
  <c r="E3631" i="1"/>
  <c r="D3631" i="1"/>
  <c r="E3630" i="1"/>
  <c r="D3630" i="1"/>
  <c r="E3629" i="1"/>
  <c r="D3629" i="1"/>
  <c r="E3628" i="1"/>
  <c r="D3628" i="1"/>
  <c r="E3627" i="1"/>
  <c r="D3627" i="1"/>
  <c r="E3626" i="1"/>
  <c r="D3626" i="1"/>
  <c r="E3625" i="1"/>
  <c r="D3625" i="1"/>
  <c r="E3624" i="1"/>
  <c r="D3624" i="1"/>
  <c r="E3623" i="1"/>
  <c r="D3623" i="1"/>
  <c r="E3622" i="1"/>
  <c r="D3622" i="1"/>
  <c r="E3621" i="1"/>
  <c r="D3621" i="1"/>
  <c r="E3620" i="1"/>
  <c r="D3620" i="1"/>
  <c r="E3619" i="1"/>
  <c r="D3619" i="1"/>
  <c r="E3618" i="1"/>
  <c r="D3618" i="1"/>
  <c r="E3617" i="1"/>
  <c r="D3617" i="1"/>
  <c r="E3616" i="1"/>
  <c r="D3616" i="1"/>
  <c r="E3615" i="1"/>
  <c r="D3615" i="1"/>
  <c r="E3614" i="1"/>
  <c r="D3614" i="1"/>
  <c r="E3613" i="1"/>
  <c r="D3613" i="1"/>
  <c r="E3612" i="1"/>
  <c r="D3612" i="1"/>
  <c r="E3611" i="1"/>
  <c r="D3611" i="1"/>
  <c r="E3610" i="1"/>
  <c r="D3610" i="1"/>
  <c r="E3609" i="1"/>
  <c r="D3609" i="1"/>
  <c r="E3608" i="1"/>
  <c r="D3608" i="1"/>
  <c r="E3607" i="1"/>
  <c r="D3607" i="1"/>
  <c r="E3606" i="1"/>
  <c r="D3606" i="1"/>
  <c r="E3605" i="1"/>
  <c r="D3605" i="1"/>
  <c r="E3604" i="1"/>
  <c r="D3604" i="1"/>
  <c r="E3603" i="1"/>
  <c r="D3603" i="1"/>
  <c r="E3602" i="1"/>
  <c r="D3602" i="1"/>
  <c r="E3601" i="1"/>
  <c r="D3601" i="1"/>
  <c r="E3600" i="1"/>
  <c r="D3600" i="1"/>
  <c r="E3599" i="1"/>
  <c r="D3599" i="1"/>
  <c r="E3598" i="1"/>
  <c r="D3598" i="1"/>
  <c r="E3597" i="1"/>
  <c r="D3597" i="1"/>
  <c r="E3596" i="1"/>
  <c r="D3596" i="1"/>
  <c r="E3595" i="1"/>
  <c r="D3595" i="1"/>
  <c r="E3594" i="1"/>
  <c r="D3594" i="1"/>
  <c r="E3593" i="1"/>
  <c r="D3593" i="1"/>
  <c r="E3592" i="1"/>
  <c r="D3592" i="1"/>
  <c r="E3591" i="1"/>
  <c r="D3591" i="1"/>
  <c r="E3590" i="1"/>
  <c r="D3590" i="1"/>
  <c r="E3589" i="1"/>
  <c r="D3589" i="1"/>
  <c r="E3588" i="1"/>
  <c r="D3588" i="1"/>
  <c r="E3587" i="1"/>
  <c r="D3587" i="1"/>
  <c r="E3586" i="1"/>
  <c r="D3586" i="1"/>
  <c r="E3585" i="1"/>
  <c r="D3585" i="1"/>
  <c r="E3584" i="1"/>
  <c r="D3584" i="1"/>
  <c r="E3583" i="1"/>
  <c r="D3583" i="1"/>
  <c r="E3582" i="1"/>
  <c r="D3582" i="1"/>
  <c r="E3581" i="1"/>
  <c r="D3581" i="1"/>
  <c r="E3580" i="1"/>
  <c r="D3580" i="1"/>
  <c r="E3579" i="1"/>
  <c r="D3579" i="1"/>
  <c r="E3578" i="1"/>
  <c r="D3578" i="1"/>
  <c r="E3577" i="1"/>
  <c r="D3577" i="1"/>
  <c r="E3576" i="1"/>
  <c r="D3576" i="1"/>
  <c r="E3575" i="1"/>
  <c r="D3575" i="1"/>
  <c r="E3574" i="1"/>
  <c r="D3574" i="1"/>
  <c r="E3573" i="1"/>
  <c r="D3573" i="1"/>
  <c r="E3572" i="1"/>
  <c r="D3572" i="1"/>
  <c r="E3571" i="1"/>
  <c r="D3571" i="1"/>
  <c r="E3570" i="1"/>
  <c r="D3570" i="1"/>
  <c r="E3569" i="1"/>
  <c r="D3569" i="1"/>
  <c r="E3568" i="1"/>
  <c r="D3568" i="1"/>
  <c r="E3567" i="1"/>
  <c r="D3567" i="1"/>
  <c r="E3566" i="1"/>
  <c r="D3566" i="1"/>
  <c r="E3565" i="1"/>
  <c r="D3565" i="1"/>
  <c r="E3564" i="1"/>
  <c r="D3564" i="1"/>
  <c r="E3563" i="1"/>
  <c r="D3563" i="1"/>
  <c r="E3562" i="1"/>
  <c r="D3562" i="1"/>
  <c r="E3561" i="1"/>
  <c r="D3561" i="1"/>
  <c r="E3560" i="1"/>
  <c r="D3560" i="1"/>
  <c r="E3559" i="1"/>
  <c r="D3559" i="1"/>
  <c r="E3558" i="1"/>
  <c r="D3558" i="1"/>
  <c r="E3557" i="1"/>
  <c r="D3557" i="1"/>
  <c r="E3556" i="1"/>
  <c r="D3556" i="1"/>
  <c r="E3555" i="1"/>
  <c r="D3555" i="1"/>
  <c r="E3554" i="1"/>
  <c r="D3554" i="1"/>
  <c r="E3553" i="1"/>
  <c r="D3553" i="1"/>
  <c r="E3552" i="1"/>
  <c r="D3552" i="1"/>
  <c r="E3551" i="1"/>
  <c r="D3551" i="1"/>
  <c r="E3550" i="1"/>
  <c r="D3550" i="1"/>
  <c r="E3549" i="1"/>
  <c r="D3549" i="1"/>
  <c r="E3548" i="1"/>
  <c r="D3548" i="1"/>
  <c r="E3547" i="1"/>
  <c r="D3547" i="1"/>
  <c r="E3546" i="1"/>
  <c r="D3546" i="1"/>
  <c r="E3545" i="1"/>
  <c r="D3545" i="1"/>
  <c r="E3544" i="1"/>
  <c r="D3544" i="1"/>
  <c r="E3543" i="1"/>
  <c r="D3543" i="1"/>
  <c r="E3542" i="1"/>
  <c r="D3542" i="1"/>
  <c r="E3541" i="1"/>
  <c r="D3541" i="1"/>
  <c r="E3540" i="1"/>
  <c r="D3540" i="1"/>
  <c r="E3539" i="1"/>
  <c r="D3539" i="1"/>
  <c r="E3538" i="1"/>
  <c r="D3538" i="1"/>
  <c r="E3537" i="1"/>
  <c r="D3537" i="1"/>
  <c r="E3536" i="1"/>
  <c r="D3536" i="1"/>
  <c r="E3535" i="1"/>
  <c r="D3535" i="1"/>
  <c r="E3534" i="1"/>
  <c r="D3534" i="1"/>
  <c r="E3533" i="1"/>
  <c r="D3533" i="1"/>
  <c r="E3532" i="1"/>
  <c r="D3532" i="1"/>
  <c r="E3531" i="1"/>
  <c r="D3531" i="1"/>
  <c r="E3530" i="1"/>
  <c r="D3530" i="1"/>
  <c r="E3529" i="1"/>
  <c r="D3529" i="1"/>
  <c r="E3528" i="1"/>
  <c r="D3528" i="1"/>
  <c r="E3527" i="1"/>
  <c r="D3527" i="1"/>
  <c r="E3526" i="1"/>
  <c r="D3526" i="1"/>
  <c r="E3525" i="1"/>
  <c r="D3525" i="1"/>
  <c r="E3524" i="1"/>
  <c r="D3524" i="1"/>
  <c r="E3523" i="1"/>
  <c r="D3523" i="1"/>
  <c r="E3522" i="1"/>
  <c r="D3522" i="1"/>
  <c r="E3521" i="1"/>
  <c r="D3521" i="1"/>
  <c r="E3520" i="1"/>
  <c r="D3520" i="1"/>
  <c r="E3519" i="1"/>
  <c r="D3519" i="1"/>
  <c r="E3518" i="1"/>
  <c r="D3518" i="1"/>
  <c r="E3517" i="1"/>
  <c r="D3517" i="1"/>
  <c r="E3516" i="1"/>
  <c r="D3516" i="1"/>
  <c r="E3515" i="1"/>
  <c r="D3515" i="1"/>
  <c r="E3514" i="1"/>
  <c r="D3514" i="1"/>
  <c r="E3513" i="1"/>
  <c r="D3513" i="1"/>
  <c r="E3512" i="1"/>
  <c r="D3512" i="1"/>
  <c r="E3511" i="1"/>
  <c r="D3511" i="1"/>
  <c r="E3510" i="1"/>
  <c r="D3510" i="1"/>
  <c r="E3509" i="1"/>
  <c r="D3509" i="1"/>
  <c r="E3508" i="1"/>
  <c r="D3508" i="1"/>
  <c r="E3507" i="1"/>
  <c r="D3507" i="1"/>
  <c r="E3506" i="1"/>
  <c r="D3506" i="1"/>
  <c r="E3505" i="1"/>
  <c r="D3505" i="1"/>
  <c r="E3504" i="1"/>
  <c r="D3504" i="1"/>
  <c r="E3503" i="1"/>
  <c r="D3503" i="1"/>
  <c r="E3502" i="1"/>
  <c r="D3502" i="1"/>
  <c r="E3501" i="1"/>
  <c r="D3501" i="1"/>
  <c r="E3500" i="1"/>
  <c r="D3500" i="1"/>
  <c r="E3499" i="1"/>
  <c r="D3499" i="1"/>
  <c r="E3498" i="1"/>
  <c r="D3498" i="1"/>
  <c r="E3497" i="1"/>
  <c r="D3497" i="1"/>
  <c r="E3496" i="1"/>
  <c r="D3496" i="1"/>
  <c r="E3495" i="1"/>
  <c r="D3495" i="1"/>
  <c r="E3494" i="1"/>
  <c r="D3494" i="1"/>
  <c r="E3493" i="1"/>
  <c r="D3493" i="1"/>
  <c r="E3492" i="1"/>
  <c r="D3492" i="1"/>
  <c r="E3491" i="1"/>
  <c r="D3491" i="1"/>
  <c r="E3490" i="1"/>
  <c r="D3490" i="1"/>
  <c r="E3489" i="1"/>
  <c r="D3489" i="1"/>
  <c r="E3488" i="1"/>
  <c r="D3488" i="1"/>
  <c r="E3487" i="1"/>
  <c r="D3487" i="1"/>
  <c r="E3486" i="1"/>
  <c r="D3486" i="1"/>
  <c r="E3485" i="1"/>
  <c r="D3485" i="1"/>
  <c r="E3484" i="1"/>
  <c r="D3484" i="1"/>
  <c r="E3483" i="1"/>
  <c r="D3483" i="1"/>
  <c r="E3482" i="1"/>
  <c r="D3482" i="1"/>
  <c r="E3481" i="1"/>
  <c r="D3481" i="1"/>
  <c r="E3480" i="1"/>
  <c r="D3480" i="1"/>
  <c r="E3479" i="1"/>
  <c r="D3479" i="1"/>
  <c r="E3478" i="1"/>
  <c r="D3478" i="1"/>
  <c r="E3477" i="1"/>
  <c r="D3477" i="1"/>
  <c r="E3476" i="1"/>
  <c r="D3476" i="1"/>
  <c r="E3475" i="1"/>
  <c r="D3475" i="1"/>
  <c r="E3474" i="1"/>
  <c r="D3474" i="1"/>
  <c r="E3473" i="1"/>
  <c r="D3473" i="1"/>
  <c r="E3472" i="1"/>
  <c r="D3472" i="1"/>
  <c r="E3471" i="1"/>
  <c r="D3471" i="1"/>
  <c r="E3470" i="1"/>
  <c r="D3470" i="1"/>
  <c r="E3469" i="1"/>
  <c r="D3469" i="1"/>
  <c r="E3468" i="1"/>
  <c r="D3468" i="1"/>
  <c r="E3467" i="1"/>
  <c r="D3467" i="1"/>
  <c r="E3466" i="1"/>
  <c r="D3466" i="1"/>
  <c r="E3465" i="1"/>
  <c r="D3465" i="1"/>
  <c r="E3464" i="1"/>
  <c r="D3464" i="1"/>
  <c r="E3463" i="1"/>
  <c r="D3463" i="1"/>
  <c r="E3462" i="1"/>
  <c r="D3462" i="1"/>
  <c r="E3461" i="1"/>
  <c r="D3461" i="1"/>
  <c r="E3460" i="1"/>
  <c r="D3460" i="1"/>
  <c r="E3459" i="1"/>
  <c r="D3459" i="1"/>
  <c r="E3458" i="1"/>
  <c r="D3458" i="1"/>
  <c r="E3457" i="1"/>
  <c r="D3457" i="1"/>
  <c r="E3456" i="1"/>
  <c r="D3456" i="1"/>
  <c r="E3455" i="1"/>
  <c r="D3455" i="1"/>
  <c r="E3454" i="1"/>
  <c r="D3454" i="1"/>
  <c r="E3453" i="1"/>
  <c r="D3453" i="1"/>
  <c r="E3452" i="1"/>
  <c r="D3452" i="1"/>
  <c r="E3451" i="1"/>
  <c r="D3451" i="1"/>
  <c r="E3450" i="1"/>
  <c r="D3450" i="1"/>
  <c r="E3449" i="1"/>
  <c r="D3449" i="1"/>
  <c r="E3448" i="1"/>
  <c r="D3448" i="1"/>
  <c r="E3447" i="1"/>
  <c r="D3447" i="1"/>
  <c r="E3446" i="1"/>
  <c r="D3446" i="1"/>
  <c r="E3445" i="1"/>
  <c r="D3445" i="1"/>
  <c r="E3444" i="1"/>
  <c r="D3444" i="1"/>
  <c r="E3443" i="1"/>
  <c r="D3443" i="1"/>
  <c r="E3442" i="1"/>
  <c r="D3442" i="1"/>
  <c r="E3441" i="1"/>
  <c r="D3441" i="1"/>
  <c r="E3440" i="1"/>
  <c r="D3440" i="1"/>
  <c r="E3439" i="1"/>
  <c r="D3439" i="1"/>
  <c r="E3438" i="1"/>
  <c r="D3438" i="1"/>
  <c r="E3437" i="1"/>
  <c r="D3437" i="1"/>
  <c r="E3436" i="1"/>
  <c r="D3436" i="1"/>
  <c r="E3435" i="1"/>
  <c r="D3435" i="1"/>
  <c r="E3434" i="1"/>
  <c r="D3434" i="1"/>
  <c r="E3433" i="1"/>
  <c r="D3433" i="1"/>
  <c r="E3432" i="1"/>
  <c r="D3432" i="1"/>
  <c r="E3431" i="1"/>
  <c r="D3431" i="1"/>
  <c r="E3430" i="1"/>
  <c r="D3430" i="1"/>
  <c r="E3429" i="1"/>
  <c r="D3429" i="1"/>
  <c r="E3428" i="1"/>
  <c r="D3428" i="1"/>
  <c r="E3427" i="1"/>
  <c r="D3427" i="1"/>
  <c r="E3426" i="1"/>
  <c r="D3426" i="1"/>
  <c r="E3425" i="1"/>
  <c r="D3425" i="1"/>
  <c r="E3424" i="1"/>
  <c r="D3424" i="1"/>
  <c r="E3423" i="1"/>
  <c r="D3423" i="1"/>
  <c r="E3422" i="1"/>
  <c r="D3422" i="1"/>
  <c r="E3421" i="1"/>
  <c r="D3421" i="1"/>
  <c r="E3420" i="1"/>
  <c r="D3420" i="1"/>
  <c r="E3419" i="1"/>
  <c r="D3419" i="1"/>
  <c r="E3418" i="1"/>
  <c r="D3418" i="1"/>
  <c r="E3417" i="1"/>
  <c r="D3417" i="1"/>
  <c r="E3416" i="1"/>
  <c r="D3416" i="1"/>
  <c r="E3415" i="1"/>
  <c r="D3415" i="1"/>
  <c r="E3414" i="1"/>
  <c r="D3414" i="1"/>
  <c r="E3413" i="1"/>
  <c r="D3413" i="1"/>
  <c r="E3412" i="1"/>
  <c r="D3412" i="1"/>
  <c r="E3411" i="1"/>
  <c r="D3411" i="1"/>
  <c r="E3410" i="1"/>
  <c r="D3410" i="1"/>
  <c r="E3409" i="1"/>
  <c r="D3409" i="1"/>
  <c r="E3408" i="1"/>
  <c r="D3408" i="1"/>
  <c r="E3407" i="1"/>
  <c r="D3407" i="1"/>
  <c r="E3406" i="1"/>
  <c r="D3406" i="1"/>
  <c r="E3405" i="1"/>
  <c r="D3405" i="1"/>
  <c r="E3404" i="1"/>
  <c r="D3404" i="1"/>
  <c r="E3403" i="1"/>
  <c r="D3403" i="1"/>
  <c r="E3402" i="1"/>
  <c r="D3402" i="1"/>
  <c r="E3401" i="1"/>
  <c r="D3401" i="1"/>
  <c r="E3400" i="1"/>
  <c r="D3400" i="1"/>
  <c r="E3399" i="1"/>
  <c r="D3399" i="1"/>
  <c r="E3398" i="1"/>
  <c r="D3398" i="1"/>
  <c r="E3397" i="1"/>
  <c r="D3397" i="1"/>
  <c r="E3396" i="1"/>
  <c r="D3396" i="1"/>
  <c r="E3395" i="1"/>
  <c r="D3395" i="1"/>
  <c r="E3394" i="1"/>
  <c r="D3394" i="1"/>
  <c r="E3393" i="1"/>
  <c r="D3393" i="1"/>
  <c r="E3392" i="1"/>
  <c r="D3392" i="1"/>
  <c r="E3391" i="1"/>
  <c r="D3391" i="1"/>
  <c r="E3390" i="1"/>
  <c r="D3390" i="1"/>
  <c r="E3389" i="1"/>
  <c r="D3389" i="1"/>
  <c r="E3388" i="1"/>
  <c r="D3388" i="1"/>
  <c r="E3387" i="1"/>
  <c r="D3387" i="1"/>
  <c r="E3386" i="1"/>
  <c r="D3386" i="1"/>
  <c r="E3385" i="1"/>
  <c r="D3385" i="1"/>
  <c r="E3384" i="1"/>
  <c r="D3384" i="1"/>
  <c r="E3383" i="1"/>
  <c r="D3383" i="1"/>
  <c r="E3382" i="1"/>
  <c r="D3382" i="1"/>
  <c r="E3381" i="1"/>
  <c r="D3381" i="1"/>
  <c r="E3380" i="1"/>
  <c r="D3380" i="1"/>
  <c r="E3379" i="1"/>
  <c r="D3379" i="1"/>
  <c r="E3378" i="1"/>
  <c r="D3378" i="1"/>
  <c r="E3377" i="1"/>
  <c r="D3377" i="1"/>
  <c r="E3376" i="1"/>
  <c r="D3376" i="1"/>
  <c r="E3375" i="1"/>
  <c r="D3375" i="1"/>
  <c r="E3374" i="1"/>
  <c r="D3374" i="1"/>
  <c r="E3373" i="1"/>
  <c r="D3373" i="1"/>
  <c r="E3372" i="1"/>
  <c r="D3372" i="1"/>
  <c r="E3371" i="1"/>
  <c r="D3371" i="1"/>
  <c r="E3370" i="1"/>
  <c r="D3370" i="1"/>
  <c r="E3369" i="1"/>
  <c r="D3369" i="1"/>
  <c r="E3368" i="1"/>
  <c r="D3368" i="1"/>
  <c r="E3367" i="1"/>
  <c r="D3367" i="1"/>
  <c r="E3366" i="1"/>
  <c r="D3366" i="1"/>
  <c r="E3365" i="1"/>
  <c r="D3365" i="1"/>
  <c r="E3364" i="1"/>
  <c r="D3364" i="1"/>
  <c r="E3363" i="1"/>
  <c r="D3363" i="1"/>
  <c r="E3362" i="1"/>
  <c r="D3362" i="1"/>
  <c r="E3361" i="1"/>
  <c r="D3361" i="1"/>
  <c r="E3360" i="1"/>
  <c r="D3360" i="1"/>
  <c r="E3359" i="1"/>
  <c r="D3359" i="1"/>
  <c r="E3358" i="1"/>
  <c r="D3358" i="1"/>
  <c r="E3357" i="1"/>
  <c r="D3357" i="1"/>
  <c r="E3356" i="1"/>
  <c r="D3356" i="1"/>
  <c r="E3355" i="1"/>
  <c r="D3355" i="1"/>
  <c r="E3354" i="1"/>
  <c r="D3354" i="1"/>
  <c r="E3353" i="1"/>
  <c r="D3353" i="1"/>
  <c r="E3352" i="1"/>
  <c r="D3352" i="1"/>
  <c r="E3351" i="1"/>
  <c r="D3351" i="1"/>
  <c r="E3350" i="1"/>
  <c r="D3350" i="1"/>
  <c r="E3349" i="1"/>
  <c r="D3349" i="1"/>
  <c r="E3348" i="1"/>
  <c r="D3348" i="1"/>
  <c r="E3347" i="1"/>
  <c r="D3347" i="1"/>
  <c r="E3346" i="1"/>
  <c r="D3346" i="1"/>
  <c r="E3345" i="1"/>
  <c r="D3345" i="1"/>
  <c r="E3344" i="1"/>
  <c r="D3344" i="1"/>
  <c r="E3343" i="1"/>
  <c r="D3343" i="1"/>
  <c r="E3342" i="1"/>
  <c r="D3342" i="1"/>
  <c r="E3341" i="1"/>
  <c r="D3341" i="1"/>
  <c r="E3340" i="1"/>
  <c r="D3340" i="1"/>
  <c r="E3339" i="1"/>
  <c r="D3339" i="1"/>
  <c r="E3338" i="1"/>
  <c r="D3338" i="1"/>
  <c r="E3337" i="1"/>
  <c r="D3337" i="1"/>
  <c r="E3336" i="1"/>
  <c r="D3336" i="1"/>
  <c r="E3335" i="1"/>
  <c r="D3335" i="1"/>
  <c r="E3334" i="1"/>
  <c r="D3334" i="1"/>
  <c r="E3333" i="1"/>
  <c r="D3333" i="1"/>
  <c r="E3332" i="1"/>
  <c r="D3332" i="1"/>
  <c r="E3331" i="1"/>
  <c r="D3331" i="1"/>
  <c r="E3330" i="1"/>
  <c r="D3330" i="1"/>
  <c r="E3329" i="1"/>
  <c r="D3329" i="1"/>
  <c r="E3328" i="1"/>
  <c r="D3328" i="1"/>
  <c r="E3327" i="1"/>
  <c r="D3327" i="1"/>
  <c r="E3326" i="1"/>
  <c r="D3326" i="1"/>
  <c r="E3325" i="1"/>
  <c r="D3325" i="1"/>
  <c r="E3324" i="1"/>
  <c r="D3324" i="1"/>
  <c r="E3323" i="1"/>
  <c r="D3323" i="1"/>
  <c r="E3322" i="1"/>
  <c r="D3322" i="1"/>
  <c r="E3321" i="1"/>
  <c r="D3321" i="1"/>
  <c r="E3320" i="1"/>
  <c r="D3320" i="1"/>
  <c r="E3319" i="1"/>
  <c r="D3319" i="1"/>
  <c r="E3318" i="1"/>
  <c r="D3318" i="1"/>
  <c r="E3317" i="1"/>
  <c r="D3317" i="1"/>
  <c r="E3316" i="1"/>
  <c r="D3316" i="1"/>
  <c r="E3315" i="1"/>
  <c r="D3315" i="1"/>
  <c r="E3314" i="1"/>
  <c r="D3314" i="1"/>
  <c r="E3313" i="1"/>
  <c r="D3313" i="1"/>
  <c r="E3312" i="1"/>
  <c r="D3312" i="1"/>
  <c r="E3311" i="1"/>
  <c r="D3311" i="1"/>
  <c r="E3310" i="1"/>
  <c r="D3310" i="1"/>
  <c r="E3309" i="1"/>
  <c r="D3309" i="1"/>
  <c r="E3308" i="1"/>
  <c r="D3308" i="1"/>
  <c r="E3307" i="1"/>
  <c r="D3307" i="1"/>
  <c r="E3306" i="1"/>
  <c r="D3306" i="1"/>
  <c r="E3305" i="1"/>
  <c r="D3305" i="1"/>
  <c r="E3304" i="1"/>
  <c r="D3304" i="1"/>
  <c r="E3303" i="1"/>
  <c r="D3303" i="1"/>
  <c r="E3302" i="1"/>
  <c r="D3302" i="1"/>
  <c r="E3301" i="1"/>
  <c r="D3301" i="1"/>
  <c r="E3300" i="1"/>
  <c r="D3300" i="1"/>
  <c r="E3299" i="1"/>
  <c r="D3299" i="1"/>
  <c r="E3298" i="1"/>
  <c r="D3298" i="1"/>
  <c r="E3297" i="1"/>
  <c r="D3297" i="1"/>
  <c r="E3296" i="1"/>
  <c r="D3296" i="1"/>
  <c r="E3295" i="1"/>
  <c r="D3295" i="1"/>
  <c r="E3294" i="1"/>
  <c r="D3294" i="1"/>
  <c r="E3293" i="1"/>
  <c r="D3293" i="1"/>
  <c r="E3292" i="1"/>
  <c r="D3292" i="1"/>
  <c r="E3291" i="1"/>
  <c r="D3291" i="1"/>
  <c r="E3290" i="1"/>
  <c r="D3290" i="1"/>
  <c r="E3289" i="1"/>
  <c r="D3289" i="1"/>
  <c r="E3288" i="1"/>
  <c r="D3288" i="1"/>
  <c r="E3287" i="1"/>
  <c r="D3287" i="1"/>
  <c r="E3286" i="1"/>
  <c r="D3286" i="1"/>
  <c r="E3285" i="1"/>
  <c r="D3285" i="1"/>
  <c r="E3284" i="1"/>
  <c r="D3284" i="1"/>
  <c r="E3283" i="1"/>
  <c r="D3283" i="1"/>
  <c r="E3282" i="1"/>
  <c r="D3282" i="1"/>
  <c r="E3281" i="1"/>
  <c r="D3281" i="1"/>
  <c r="E3280" i="1"/>
  <c r="D3280" i="1"/>
  <c r="E3279" i="1"/>
  <c r="D3279" i="1"/>
  <c r="E3278" i="1"/>
  <c r="D3278" i="1"/>
  <c r="E3277" i="1"/>
  <c r="D3277" i="1"/>
  <c r="E3276" i="1"/>
  <c r="D3276" i="1"/>
  <c r="E3275" i="1"/>
  <c r="D3275" i="1"/>
  <c r="E3274" i="1"/>
  <c r="D3274" i="1"/>
  <c r="E3273" i="1"/>
  <c r="D3273" i="1"/>
  <c r="E3272" i="1"/>
  <c r="D3272" i="1"/>
  <c r="E3271" i="1"/>
  <c r="D3271" i="1"/>
  <c r="E3270" i="1"/>
  <c r="D3270" i="1"/>
  <c r="E3269" i="1"/>
  <c r="D3269" i="1"/>
  <c r="E3268" i="1"/>
  <c r="D3268" i="1"/>
  <c r="E3267" i="1"/>
  <c r="D3267" i="1"/>
  <c r="E3266" i="1"/>
  <c r="D3266" i="1"/>
  <c r="E3265" i="1"/>
  <c r="D3265" i="1"/>
  <c r="E3264" i="1"/>
  <c r="D3264" i="1"/>
  <c r="E3263" i="1"/>
  <c r="D3263" i="1"/>
  <c r="E3262" i="1"/>
  <c r="D3262" i="1"/>
  <c r="E3261" i="1"/>
  <c r="D3261" i="1"/>
  <c r="E3260" i="1"/>
  <c r="D3260" i="1"/>
  <c r="E3259" i="1"/>
  <c r="D3259" i="1"/>
  <c r="E3258" i="1"/>
  <c r="D3258" i="1"/>
  <c r="E3257" i="1"/>
  <c r="D3257" i="1"/>
  <c r="E3256" i="1"/>
  <c r="D3256" i="1"/>
  <c r="E3255" i="1"/>
  <c r="D3255" i="1"/>
  <c r="E3254" i="1"/>
  <c r="D3254" i="1"/>
  <c r="E3253" i="1"/>
  <c r="D3253" i="1"/>
  <c r="E3252" i="1"/>
  <c r="D3252" i="1"/>
  <c r="E3251" i="1"/>
  <c r="D3251" i="1"/>
  <c r="E3250" i="1"/>
  <c r="D3250" i="1"/>
  <c r="E3249" i="1"/>
  <c r="D3249" i="1"/>
  <c r="E3248" i="1"/>
  <c r="D3248" i="1"/>
  <c r="E3247" i="1"/>
  <c r="D3247" i="1"/>
  <c r="E3246" i="1"/>
  <c r="D3246" i="1"/>
  <c r="E3245" i="1"/>
  <c r="D3245" i="1"/>
  <c r="E3244" i="1"/>
  <c r="D3244" i="1"/>
  <c r="E3243" i="1"/>
  <c r="D3243" i="1"/>
  <c r="E3242" i="1"/>
  <c r="D3242" i="1"/>
  <c r="E3241" i="1"/>
  <c r="D3241" i="1"/>
  <c r="E3240" i="1"/>
  <c r="D3240" i="1"/>
  <c r="E3239" i="1"/>
  <c r="D3239" i="1"/>
  <c r="E3238" i="1"/>
  <c r="D3238" i="1"/>
  <c r="E3237" i="1"/>
  <c r="D3237" i="1"/>
  <c r="E3236" i="1"/>
  <c r="D3236" i="1"/>
  <c r="E3235" i="1"/>
  <c r="D3235" i="1"/>
  <c r="E3234" i="1"/>
  <c r="D3234" i="1"/>
  <c r="E3233" i="1"/>
  <c r="D3233" i="1"/>
  <c r="E3232" i="1"/>
  <c r="D3232" i="1"/>
  <c r="E3231" i="1"/>
  <c r="D3231" i="1"/>
  <c r="E3230" i="1"/>
  <c r="D3230" i="1"/>
  <c r="E3229" i="1"/>
  <c r="D3229" i="1"/>
  <c r="E3228" i="1"/>
  <c r="D3228" i="1"/>
  <c r="E3227" i="1"/>
  <c r="D3227" i="1"/>
  <c r="E3226" i="1"/>
  <c r="D3226" i="1"/>
  <c r="E3225" i="1"/>
  <c r="D3225" i="1"/>
  <c r="E3224" i="1"/>
  <c r="D3224" i="1"/>
  <c r="E3223" i="1"/>
  <c r="D3223" i="1"/>
  <c r="E3222" i="1"/>
  <c r="D3222" i="1"/>
  <c r="E3221" i="1"/>
  <c r="D3221" i="1"/>
  <c r="E3220" i="1"/>
  <c r="D3220" i="1"/>
  <c r="E3219" i="1"/>
  <c r="D3219" i="1"/>
  <c r="E3218" i="1"/>
  <c r="D3218" i="1"/>
  <c r="E3217" i="1"/>
  <c r="D3217" i="1"/>
  <c r="E3216" i="1"/>
  <c r="D3216" i="1"/>
  <c r="E3215" i="1"/>
  <c r="D3215" i="1"/>
  <c r="E3214" i="1"/>
  <c r="D3214" i="1"/>
  <c r="E3213" i="1"/>
  <c r="D3213" i="1"/>
  <c r="E3212" i="1"/>
  <c r="D3212" i="1"/>
  <c r="E3211" i="1"/>
  <c r="D3211" i="1"/>
  <c r="E3210" i="1"/>
  <c r="D3210" i="1"/>
  <c r="E3209" i="1"/>
  <c r="D3209" i="1"/>
  <c r="E3208" i="1"/>
  <c r="D3208" i="1"/>
  <c r="E3207" i="1"/>
  <c r="D3207" i="1"/>
  <c r="E3206" i="1"/>
  <c r="D3206" i="1"/>
  <c r="E3205" i="1"/>
  <c r="D3205" i="1"/>
  <c r="E3204" i="1"/>
  <c r="D3204" i="1"/>
  <c r="E3203" i="1"/>
  <c r="D3203" i="1"/>
  <c r="E3202" i="1"/>
  <c r="D3202" i="1"/>
  <c r="E3201" i="1"/>
  <c r="D3201" i="1"/>
  <c r="E3200" i="1"/>
  <c r="D3200" i="1"/>
  <c r="E3199" i="1"/>
  <c r="D3199" i="1"/>
  <c r="E3198" i="1"/>
  <c r="D3198" i="1"/>
  <c r="E3197" i="1"/>
  <c r="D3197" i="1"/>
  <c r="E3196" i="1"/>
  <c r="D3196" i="1"/>
  <c r="E3195" i="1"/>
  <c r="D3195" i="1"/>
  <c r="E3194" i="1"/>
  <c r="D3194" i="1"/>
  <c r="E3193" i="1"/>
  <c r="D3193" i="1"/>
  <c r="E3192" i="1"/>
  <c r="D3192" i="1"/>
  <c r="E3191" i="1"/>
  <c r="D3191" i="1"/>
  <c r="E3190" i="1"/>
  <c r="D3190" i="1"/>
  <c r="E3189" i="1"/>
  <c r="D3189" i="1"/>
  <c r="E3188" i="1"/>
  <c r="D3188" i="1"/>
  <c r="E3187" i="1"/>
  <c r="D3187" i="1"/>
  <c r="E3186" i="1"/>
  <c r="D3186" i="1"/>
  <c r="E3185" i="1"/>
  <c r="D3185" i="1"/>
  <c r="E3184" i="1"/>
  <c r="D3184" i="1"/>
  <c r="E3183" i="1"/>
  <c r="D3183" i="1"/>
  <c r="E3182" i="1"/>
  <c r="D3182" i="1"/>
  <c r="E3181" i="1"/>
  <c r="D3181" i="1"/>
  <c r="E3180" i="1"/>
  <c r="D3180" i="1"/>
  <c r="E3179" i="1"/>
  <c r="D3179" i="1"/>
  <c r="E3178" i="1"/>
  <c r="D3178" i="1"/>
  <c r="E3177" i="1"/>
  <c r="D3177" i="1"/>
  <c r="E3176" i="1"/>
  <c r="D3176" i="1"/>
  <c r="E3175" i="1"/>
  <c r="D3175" i="1"/>
  <c r="E3174" i="1"/>
  <c r="D3174" i="1"/>
  <c r="E3173" i="1"/>
  <c r="D3173" i="1"/>
  <c r="E3172" i="1"/>
  <c r="D3172" i="1"/>
  <c r="E3171" i="1"/>
  <c r="D3171" i="1"/>
  <c r="E3170" i="1"/>
  <c r="D3170" i="1"/>
  <c r="E3169" i="1"/>
  <c r="D3169" i="1"/>
  <c r="E3168" i="1"/>
  <c r="D3168" i="1"/>
  <c r="E3167" i="1"/>
  <c r="D3167" i="1"/>
  <c r="E3166" i="1"/>
  <c r="D3166" i="1"/>
  <c r="E3165" i="1"/>
  <c r="D3165" i="1"/>
  <c r="E3164" i="1"/>
  <c r="D3164" i="1"/>
  <c r="E3163" i="1"/>
  <c r="D3163" i="1"/>
  <c r="E3162" i="1"/>
  <c r="D3162" i="1"/>
  <c r="E3161" i="1"/>
  <c r="D3161" i="1"/>
  <c r="E3160" i="1"/>
  <c r="D3160" i="1"/>
  <c r="E3159" i="1"/>
  <c r="D3159" i="1"/>
  <c r="E3158" i="1"/>
  <c r="D3158" i="1"/>
  <c r="E3157" i="1"/>
  <c r="D3157" i="1"/>
  <c r="E3156" i="1"/>
  <c r="D3156" i="1"/>
  <c r="E3155" i="1"/>
  <c r="D3155" i="1"/>
  <c r="E3154" i="1"/>
  <c r="D3154" i="1"/>
  <c r="E3153" i="1"/>
  <c r="D3153" i="1"/>
  <c r="E3152" i="1"/>
  <c r="D3152" i="1"/>
  <c r="E3151" i="1"/>
  <c r="D3151" i="1"/>
  <c r="E3150" i="1"/>
  <c r="D3150" i="1"/>
  <c r="E3149" i="1"/>
  <c r="D3149" i="1"/>
  <c r="E3148" i="1"/>
  <c r="D3148" i="1"/>
  <c r="E3147" i="1"/>
  <c r="D3147" i="1"/>
  <c r="E3146" i="1"/>
  <c r="D3146" i="1"/>
  <c r="E3145" i="1"/>
  <c r="D3145" i="1"/>
  <c r="E3144" i="1"/>
  <c r="D3144" i="1"/>
  <c r="E3143" i="1"/>
  <c r="D3143" i="1"/>
  <c r="E3142" i="1"/>
  <c r="D3142" i="1"/>
  <c r="E3141" i="1"/>
  <c r="D3141" i="1"/>
  <c r="E3140" i="1"/>
  <c r="D3140" i="1"/>
  <c r="E3139" i="1"/>
  <c r="D3139" i="1"/>
  <c r="E3138" i="1"/>
  <c r="D3138" i="1"/>
  <c r="E3137" i="1"/>
  <c r="D3137" i="1"/>
  <c r="E3136" i="1"/>
  <c r="D3136" i="1"/>
  <c r="E3135" i="1"/>
  <c r="D3135" i="1"/>
  <c r="E3134" i="1"/>
  <c r="D3134" i="1"/>
  <c r="E3133" i="1"/>
  <c r="D3133" i="1"/>
  <c r="E3132" i="1"/>
  <c r="D3132" i="1"/>
  <c r="E3131" i="1"/>
  <c r="D3131" i="1"/>
  <c r="E3130" i="1"/>
  <c r="D3130" i="1"/>
  <c r="E3129" i="1"/>
  <c r="D3129" i="1"/>
  <c r="E3128" i="1"/>
  <c r="D3128" i="1"/>
  <c r="E3127" i="1"/>
  <c r="D3127" i="1"/>
  <c r="E3126" i="1"/>
  <c r="D3126" i="1"/>
  <c r="E3125" i="1"/>
  <c r="D3125" i="1"/>
  <c r="E3124" i="1"/>
  <c r="D3124" i="1"/>
  <c r="E3123" i="1"/>
  <c r="D3123" i="1"/>
  <c r="E3122" i="1"/>
  <c r="D3122" i="1"/>
  <c r="E3121" i="1"/>
  <c r="D3121" i="1"/>
  <c r="E3120" i="1"/>
  <c r="D3120" i="1"/>
  <c r="E3119" i="1"/>
  <c r="D3119" i="1"/>
  <c r="E3118" i="1"/>
  <c r="D3118" i="1"/>
  <c r="E3117" i="1"/>
  <c r="D3117" i="1"/>
  <c r="E3116" i="1"/>
  <c r="D3116" i="1"/>
  <c r="E3115" i="1"/>
  <c r="D3115" i="1"/>
  <c r="E3114" i="1"/>
  <c r="D3114" i="1"/>
  <c r="E3113" i="1"/>
  <c r="D3113" i="1"/>
  <c r="E3112" i="1"/>
  <c r="D3112" i="1"/>
  <c r="E3111" i="1"/>
  <c r="D3111" i="1"/>
  <c r="E3110" i="1"/>
  <c r="D3110" i="1"/>
  <c r="E3109" i="1"/>
  <c r="D3109" i="1"/>
  <c r="E3108" i="1"/>
  <c r="D3108" i="1"/>
  <c r="E3107" i="1"/>
  <c r="D3107" i="1"/>
  <c r="E3106" i="1"/>
  <c r="D3106" i="1"/>
  <c r="E3105" i="1"/>
  <c r="D3105" i="1"/>
  <c r="E3104" i="1"/>
  <c r="D3104" i="1"/>
  <c r="E3103" i="1"/>
  <c r="D3103" i="1"/>
  <c r="E3102" i="1"/>
  <c r="D3102" i="1"/>
  <c r="E3101" i="1"/>
  <c r="D3101" i="1"/>
  <c r="E3100" i="1"/>
  <c r="D3100" i="1"/>
  <c r="E3099" i="1"/>
  <c r="D3099" i="1"/>
  <c r="E3098" i="1"/>
  <c r="D3098" i="1"/>
  <c r="E3097" i="1"/>
  <c r="D3097" i="1"/>
  <c r="E3096" i="1"/>
  <c r="D3096" i="1"/>
  <c r="E3095" i="1"/>
  <c r="D3095" i="1"/>
  <c r="E3094" i="1"/>
  <c r="D3094" i="1"/>
  <c r="E3093" i="1"/>
  <c r="D3093" i="1"/>
  <c r="E3092" i="1"/>
  <c r="D3092" i="1"/>
  <c r="E3091" i="1"/>
  <c r="D3091" i="1"/>
  <c r="E3090" i="1"/>
  <c r="D3090" i="1"/>
  <c r="E3089" i="1"/>
  <c r="D3089" i="1"/>
  <c r="E3088" i="1"/>
  <c r="D3088" i="1"/>
  <c r="E3087" i="1"/>
  <c r="D3087" i="1"/>
  <c r="E3086" i="1"/>
  <c r="D3086" i="1"/>
  <c r="E3085" i="1"/>
  <c r="D3085" i="1"/>
  <c r="E3084" i="1"/>
  <c r="D3084" i="1"/>
  <c r="E3083" i="1"/>
  <c r="D3083" i="1"/>
  <c r="E3082" i="1"/>
  <c r="D3082" i="1"/>
  <c r="E3081" i="1"/>
  <c r="D3081" i="1"/>
  <c r="E3080" i="1"/>
  <c r="D3080" i="1"/>
  <c r="E3079" i="1"/>
  <c r="D3079" i="1"/>
  <c r="E3078" i="1"/>
  <c r="D3078" i="1"/>
  <c r="E3077" i="1"/>
  <c r="D3077" i="1"/>
  <c r="E3076" i="1"/>
  <c r="D3076" i="1"/>
  <c r="E3075" i="1"/>
  <c r="D3075" i="1"/>
  <c r="E3074" i="1"/>
  <c r="D3074" i="1"/>
  <c r="E3073" i="1"/>
  <c r="D3073" i="1"/>
  <c r="E3072" i="1"/>
  <c r="D3072" i="1"/>
  <c r="E3071" i="1"/>
  <c r="D3071" i="1"/>
  <c r="E3070" i="1"/>
  <c r="D3070" i="1"/>
  <c r="E3069" i="1"/>
  <c r="D3069" i="1"/>
  <c r="E3068" i="1"/>
  <c r="D3068" i="1"/>
  <c r="E3067" i="1"/>
  <c r="D3067" i="1"/>
  <c r="E3066" i="1"/>
  <c r="D3066" i="1"/>
  <c r="E3065" i="1"/>
  <c r="D3065" i="1"/>
  <c r="E3064" i="1"/>
  <c r="D3064" i="1"/>
  <c r="E3063" i="1"/>
  <c r="D3063" i="1"/>
  <c r="E3062" i="1"/>
  <c r="D3062" i="1"/>
  <c r="E3061" i="1"/>
  <c r="D3061" i="1"/>
  <c r="E3060" i="1"/>
  <c r="D3060" i="1"/>
  <c r="E3059" i="1"/>
  <c r="D3059" i="1"/>
  <c r="E3058" i="1"/>
  <c r="D3058" i="1"/>
  <c r="E3057" i="1"/>
  <c r="D3057" i="1"/>
  <c r="E3056" i="1"/>
  <c r="D3056" i="1"/>
  <c r="E3055" i="1"/>
  <c r="D3055" i="1"/>
  <c r="E3054" i="1"/>
  <c r="D3054" i="1"/>
  <c r="E3053" i="1"/>
  <c r="D3053" i="1"/>
  <c r="E3052" i="1"/>
  <c r="D3052" i="1"/>
  <c r="E3051" i="1"/>
  <c r="D3051" i="1"/>
  <c r="E3050" i="1"/>
  <c r="D3050" i="1"/>
  <c r="E3049" i="1"/>
  <c r="D3049" i="1"/>
  <c r="E3048" i="1"/>
  <c r="D3048" i="1"/>
  <c r="E3047" i="1"/>
  <c r="D3047" i="1"/>
  <c r="E3046" i="1"/>
  <c r="D3046" i="1"/>
  <c r="E3045" i="1"/>
  <c r="D3045" i="1"/>
  <c r="E3044" i="1"/>
  <c r="D3044" i="1"/>
  <c r="E3043" i="1"/>
  <c r="D3043" i="1"/>
  <c r="E3042" i="1"/>
  <c r="D3042" i="1"/>
  <c r="E3041" i="1"/>
  <c r="D3041" i="1"/>
  <c r="E3040" i="1"/>
  <c r="D3040" i="1"/>
  <c r="E3039" i="1"/>
  <c r="D3039" i="1"/>
  <c r="E3038" i="1"/>
  <c r="D3038" i="1"/>
  <c r="E3037" i="1"/>
  <c r="D3037" i="1"/>
  <c r="E3036" i="1"/>
  <c r="D3036" i="1"/>
  <c r="E3035" i="1"/>
  <c r="D3035" i="1"/>
  <c r="E3034" i="1"/>
  <c r="D3034" i="1"/>
  <c r="E3033" i="1"/>
  <c r="D3033" i="1"/>
  <c r="E3032" i="1"/>
  <c r="D3032" i="1"/>
  <c r="E3031" i="1"/>
  <c r="D3031" i="1"/>
  <c r="E3030" i="1"/>
  <c r="D3030" i="1"/>
  <c r="E3029" i="1"/>
  <c r="D3029" i="1"/>
  <c r="E3028" i="1"/>
  <c r="D3028" i="1"/>
  <c r="E3027" i="1"/>
  <c r="D3027" i="1"/>
  <c r="E3026" i="1"/>
  <c r="D3026" i="1"/>
  <c r="E3025" i="1"/>
  <c r="D3025" i="1"/>
  <c r="E3024" i="1"/>
  <c r="D3024" i="1"/>
  <c r="E3023" i="1"/>
  <c r="D3023" i="1"/>
  <c r="E3022" i="1"/>
  <c r="D3022" i="1"/>
  <c r="E3021" i="1"/>
  <c r="D3021" i="1"/>
  <c r="E3020" i="1"/>
  <c r="D3020" i="1"/>
  <c r="E3019" i="1"/>
  <c r="D3019" i="1"/>
  <c r="E3018" i="1"/>
  <c r="D3018" i="1"/>
  <c r="E3017" i="1"/>
  <c r="D3017" i="1"/>
  <c r="E3016" i="1"/>
  <c r="D3016" i="1"/>
  <c r="E3015" i="1"/>
  <c r="D3015" i="1"/>
  <c r="E3014" i="1"/>
  <c r="D3014" i="1"/>
  <c r="E3013" i="1"/>
  <c r="D3013" i="1"/>
  <c r="E3012" i="1"/>
  <c r="D3012" i="1"/>
  <c r="E3011" i="1"/>
  <c r="D3011" i="1"/>
  <c r="E3010" i="1"/>
  <c r="D3010" i="1"/>
  <c r="E3009" i="1"/>
  <c r="D3009" i="1"/>
  <c r="E3008" i="1"/>
  <c r="D3008" i="1"/>
  <c r="E3007" i="1"/>
  <c r="D3007" i="1"/>
  <c r="E3006" i="1"/>
  <c r="D3006" i="1"/>
  <c r="E3005" i="1"/>
  <c r="D3005" i="1"/>
  <c r="E3004" i="1"/>
  <c r="D3004" i="1"/>
  <c r="E3003" i="1"/>
  <c r="D3003" i="1"/>
  <c r="E3002" i="1"/>
  <c r="D3002" i="1"/>
  <c r="E3001" i="1"/>
  <c r="D3001" i="1"/>
  <c r="E3000" i="1"/>
  <c r="D3000" i="1"/>
  <c r="E2999" i="1"/>
  <c r="D2999" i="1"/>
  <c r="E2998" i="1"/>
  <c r="D2998" i="1"/>
  <c r="E2997" i="1"/>
  <c r="D2997" i="1"/>
  <c r="E2996" i="1"/>
  <c r="D2996" i="1"/>
  <c r="E2995" i="1"/>
  <c r="D2995" i="1"/>
  <c r="E2994" i="1"/>
  <c r="D2994" i="1"/>
  <c r="E2993" i="1"/>
  <c r="D2993" i="1"/>
  <c r="E2992" i="1"/>
  <c r="D2992" i="1"/>
  <c r="E2991" i="1"/>
  <c r="D2991" i="1"/>
  <c r="E2990" i="1"/>
  <c r="D2990" i="1"/>
  <c r="E2989" i="1"/>
  <c r="D2989" i="1"/>
  <c r="E2988" i="1"/>
  <c r="D2988" i="1"/>
  <c r="E2987" i="1"/>
  <c r="D2987" i="1"/>
  <c r="E2986" i="1"/>
  <c r="D2986" i="1"/>
  <c r="E2985" i="1"/>
  <c r="D2985" i="1"/>
  <c r="E2984" i="1"/>
  <c r="D2984" i="1"/>
  <c r="E2983" i="1"/>
  <c r="D2983" i="1"/>
  <c r="E2982" i="1"/>
  <c r="D2982" i="1"/>
  <c r="E2981" i="1"/>
  <c r="D2981" i="1"/>
  <c r="E2980" i="1"/>
  <c r="D2980" i="1"/>
  <c r="E2979" i="1"/>
  <c r="D2979" i="1"/>
  <c r="E2978" i="1"/>
  <c r="D2978" i="1"/>
  <c r="E2977" i="1"/>
  <c r="D2977" i="1"/>
  <c r="E2976" i="1"/>
  <c r="D2976" i="1"/>
  <c r="E2975" i="1"/>
  <c r="D2975" i="1"/>
  <c r="E2974" i="1"/>
  <c r="D2974" i="1"/>
  <c r="E2973" i="1"/>
  <c r="D2973" i="1"/>
  <c r="E2972" i="1"/>
  <c r="D2972" i="1"/>
  <c r="E2971" i="1"/>
  <c r="D2971" i="1"/>
  <c r="E2970" i="1"/>
  <c r="D2970" i="1"/>
  <c r="E2969" i="1"/>
  <c r="D2969" i="1"/>
  <c r="E2968" i="1"/>
  <c r="D2968" i="1"/>
  <c r="E2967" i="1"/>
  <c r="D2967" i="1"/>
  <c r="E2966" i="1"/>
  <c r="D2966" i="1"/>
  <c r="E2965" i="1"/>
  <c r="D2965" i="1"/>
  <c r="E2964" i="1"/>
  <c r="D2964" i="1"/>
  <c r="E2963" i="1"/>
  <c r="D2963" i="1"/>
  <c r="E2962" i="1"/>
  <c r="D2962" i="1"/>
  <c r="E2961" i="1"/>
  <c r="D2961" i="1"/>
  <c r="E2960" i="1"/>
  <c r="D2960" i="1"/>
  <c r="E2959" i="1"/>
  <c r="D2959" i="1"/>
  <c r="E2958" i="1"/>
  <c r="D2958" i="1"/>
  <c r="E2957" i="1"/>
  <c r="D2957" i="1"/>
  <c r="E2956" i="1"/>
  <c r="D2956" i="1"/>
  <c r="E2955" i="1"/>
  <c r="D2955" i="1"/>
  <c r="E2954" i="1"/>
  <c r="D2954" i="1"/>
  <c r="E2953" i="1"/>
  <c r="D2953" i="1"/>
  <c r="E2952" i="1"/>
  <c r="D2952" i="1"/>
  <c r="E2951" i="1"/>
  <c r="D2951" i="1"/>
  <c r="E2950" i="1"/>
  <c r="D2950" i="1"/>
  <c r="E2949" i="1"/>
  <c r="D2949" i="1"/>
  <c r="E2948" i="1"/>
  <c r="D2948" i="1"/>
  <c r="E2947" i="1"/>
  <c r="D2947" i="1"/>
  <c r="E2946" i="1"/>
  <c r="D2946" i="1"/>
  <c r="E2945" i="1"/>
  <c r="D2945" i="1"/>
  <c r="E2944" i="1"/>
  <c r="D2944" i="1"/>
  <c r="E2943" i="1"/>
  <c r="D2943" i="1"/>
  <c r="E2942" i="1"/>
  <c r="D2942" i="1"/>
  <c r="E2941" i="1"/>
  <c r="D2941" i="1"/>
  <c r="E2940" i="1"/>
  <c r="D2940" i="1"/>
  <c r="E2939" i="1"/>
  <c r="D2939" i="1"/>
  <c r="E2938" i="1"/>
  <c r="D2938" i="1"/>
  <c r="E2937" i="1"/>
  <c r="D2937" i="1"/>
  <c r="E2936" i="1"/>
  <c r="D2936" i="1"/>
  <c r="E2935" i="1"/>
  <c r="D2935" i="1"/>
  <c r="E2934" i="1"/>
  <c r="D2934" i="1"/>
  <c r="E2933" i="1"/>
  <c r="D2933" i="1"/>
  <c r="E2932" i="1"/>
  <c r="D2932" i="1"/>
  <c r="E2931" i="1"/>
  <c r="D2931" i="1"/>
  <c r="E2930" i="1"/>
  <c r="D2930" i="1"/>
  <c r="E2929" i="1"/>
  <c r="D2929" i="1"/>
  <c r="E2928" i="1"/>
  <c r="D2928" i="1"/>
  <c r="E2927" i="1"/>
  <c r="D2927" i="1"/>
  <c r="E2926" i="1"/>
  <c r="D2926" i="1"/>
  <c r="E2925" i="1"/>
  <c r="D2925" i="1"/>
  <c r="E2924" i="1"/>
  <c r="D2924" i="1"/>
  <c r="E2923" i="1"/>
  <c r="D2923" i="1"/>
  <c r="E2922" i="1"/>
  <c r="D2922" i="1"/>
  <c r="E2921" i="1"/>
  <c r="D2921" i="1"/>
  <c r="E2920" i="1"/>
  <c r="D2920" i="1"/>
  <c r="E2919" i="1"/>
  <c r="D2919" i="1"/>
  <c r="E2918" i="1"/>
  <c r="D2918" i="1"/>
  <c r="E2917" i="1"/>
  <c r="D2917" i="1"/>
  <c r="E2916" i="1"/>
  <c r="D2916" i="1"/>
  <c r="E2915" i="1"/>
  <c r="D2915" i="1"/>
  <c r="E2914" i="1"/>
  <c r="D2914" i="1"/>
  <c r="E2913" i="1"/>
  <c r="D2913" i="1"/>
  <c r="E2912" i="1"/>
  <c r="D2912" i="1"/>
  <c r="E2911" i="1"/>
  <c r="D2911" i="1"/>
  <c r="E2910" i="1"/>
  <c r="D2910" i="1"/>
  <c r="E2909" i="1"/>
  <c r="D2909" i="1"/>
  <c r="E2908" i="1"/>
  <c r="D2908" i="1"/>
  <c r="E2907" i="1"/>
  <c r="D2907" i="1"/>
  <c r="E2906" i="1"/>
  <c r="D2906" i="1"/>
  <c r="E2905" i="1"/>
  <c r="D2905" i="1"/>
  <c r="E2904" i="1"/>
  <c r="D2904" i="1"/>
  <c r="E2903" i="1"/>
  <c r="D2903" i="1"/>
  <c r="E2902" i="1"/>
  <c r="D2902" i="1"/>
  <c r="E2901" i="1"/>
  <c r="D2901" i="1"/>
  <c r="E2900" i="1"/>
  <c r="D2900" i="1"/>
  <c r="E2899" i="1"/>
  <c r="D2899" i="1"/>
  <c r="E2898" i="1"/>
  <c r="D2898" i="1"/>
  <c r="E2897" i="1"/>
  <c r="D2897" i="1"/>
  <c r="E2896" i="1"/>
  <c r="D2896" i="1"/>
  <c r="E2895" i="1"/>
  <c r="D2895" i="1"/>
  <c r="E2894" i="1"/>
  <c r="D2894" i="1"/>
  <c r="E2893" i="1"/>
  <c r="D2893" i="1"/>
  <c r="E2892" i="1"/>
  <c r="D2892" i="1"/>
  <c r="E2891" i="1"/>
  <c r="D2891" i="1"/>
  <c r="E2890" i="1"/>
  <c r="D2890" i="1"/>
  <c r="E2889" i="1"/>
  <c r="D2889" i="1"/>
  <c r="E2888" i="1"/>
  <c r="D2888" i="1"/>
  <c r="E2887" i="1"/>
  <c r="D2887" i="1"/>
  <c r="E2886" i="1"/>
  <c r="D2886" i="1"/>
  <c r="E2885" i="1"/>
  <c r="D2885" i="1"/>
  <c r="E2884" i="1"/>
  <c r="D2884" i="1"/>
  <c r="E2883" i="1"/>
  <c r="D2883" i="1"/>
  <c r="E2882" i="1"/>
  <c r="D2882" i="1"/>
  <c r="E2881" i="1"/>
  <c r="D2881" i="1"/>
  <c r="E2880" i="1"/>
  <c r="D2880" i="1"/>
  <c r="E2879" i="1"/>
  <c r="D2879" i="1"/>
  <c r="E2878" i="1"/>
  <c r="D2878" i="1"/>
  <c r="E2877" i="1"/>
  <c r="D2877" i="1"/>
  <c r="E2876" i="1"/>
  <c r="D2876" i="1"/>
  <c r="E2875" i="1"/>
  <c r="D2875" i="1"/>
  <c r="E2874" i="1"/>
  <c r="D2874" i="1"/>
  <c r="E2873" i="1"/>
  <c r="D2873" i="1"/>
  <c r="E2872" i="1"/>
  <c r="D2872" i="1"/>
  <c r="E2871" i="1"/>
  <c r="D2871" i="1"/>
  <c r="E2870" i="1"/>
  <c r="D2870" i="1"/>
  <c r="E2869" i="1"/>
  <c r="D2869" i="1"/>
  <c r="E2868" i="1"/>
  <c r="D2868" i="1"/>
  <c r="E2867" i="1"/>
  <c r="D2867" i="1"/>
  <c r="E2866" i="1"/>
  <c r="D2866" i="1"/>
  <c r="E2865" i="1"/>
  <c r="D2865" i="1"/>
  <c r="E2864" i="1"/>
  <c r="D2864" i="1"/>
  <c r="E2863" i="1"/>
  <c r="D2863" i="1"/>
  <c r="E2862" i="1"/>
  <c r="D2862" i="1"/>
  <c r="E2861" i="1"/>
  <c r="D2861" i="1"/>
  <c r="E2860" i="1"/>
  <c r="D2860" i="1"/>
  <c r="E2859" i="1"/>
  <c r="D2859" i="1"/>
  <c r="E2858" i="1"/>
  <c r="D2858" i="1"/>
  <c r="E2857" i="1"/>
  <c r="D2857" i="1"/>
  <c r="E2856" i="1"/>
  <c r="D2856" i="1"/>
  <c r="E2855" i="1"/>
  <c r="D2855" i="1"/>
  <c r="E2854" i="1"/>
  <c r="D2854" i="1"/>
  <c r="E2853" i="1"/>
  <c r="D2853" i="1"/>
  <c r="E2852" i="1"/>
  <c r="D2852" i="1"/>
  <c r="E2851" i="1"/>
  <c r="D2851" i="1"/>
  <c r="E2850" i="1"/>
  <c r="D2850" i="1"/>
  <c r="E2849" i="1"/>
  <c r="D2849" i="1"/>
  <c r="E2848" i="1"/>
  <c r="D2848" i="1"/>
  <c r="E2847" i="1"/>
  <c r="D2847" i="1"/>
  <c r="E2846" i="1"/>
  <c r="D2846" i="1"/>
  <c r="E2845" i="1"/>
  <c r="D2845" i="1"/>
  <c r="E2844" i="1"/>
  <c r="D2844" i="1"/>
  <c r="E2843" i="1"/>
  <c r="D2843" i="1"/>
  <c r="E2842" i="1"/>
  <c r="D2842" i="1"/>
  <c r="E2841" i="1"/>
  <c r="D2841" i="1"/>
  <c r="E2840" i="1"/>
  <c r="D2840" i="1"/>
  <c r="E2839" i="1"/>
  <c r="D2839" i="1"/>
  <c r="E2838" i="1"/>
  <c r="D2838" i="1"/>
  <c r="E2837" i="1"/>
  <c r="D2837" i="1"/>
  <c r="E2836" i="1"/>
  <c r="D2836" i="1"/>
  <c r="E2835" i="1"/>
  <c r="D2835" i="1"/>
  <c r="E2834" i="1"/>
  <c r="D2834" i="1"/>
  <c r="E2833" i="1"/>
  <c r="D2833" i="1"/>
  <c r="E2832" i="1"/>
  <c r="D2832" i="1"/>
  <c r="E2831" i="1"/>
  <c r="D2831" i="1"/>
  <c r="E2830" i="1"/>
  <c r="D2830" i="1"/>
  <c r="E2829" i="1"/>
  <c r="D2829" i="1"/>
  <c r="E2828" i="1"/>
  <c r="D2828" i="1"/>
  <c r="E2827" i="1"/>
  <c r="D2827" i="1"/>
  <c r="E2826" i="1"/>
  <c r="D2826" i="1"/>
  <c r="E2825" i="1"/>
  <c r="D2825" i="1"/>
  <c r="E2824" i="1"/>
  <c r="D2824" i="1"/>
  <c r="E2823" i="1"/>
  <c r="D2823" i="1"/>
  <c r="E2822" i="1"/>
  <c r="D2822" i="1"/>
  <c r="E2821" i="1"/>
  <c r="D2821" i="1"/>
  <c r="E2820" i="1"/>
  <c r="D2820" i="1"/>
  <c r="E2819" i="1"/>
  <c r="D2819" i="1"/>
  <c r="E2818" i="1"/>
  <c r="D2818" i="1"/>
  <c r="E2817" i="1"/>
  <c r="D2817" i="1"/>
  <c r="E2816" i="1"/>
  <c r="D2816" i="1"/>
  <c r="E2815" i="1"/>
  <c r="D2815" i="1"/>
  <c r="E2814" i="1"/>
  <c r="D2814" i="1"/>
  <c r="E2813" i="1"/>
  <c r="D2813" i="1"/>
  <c r="E2812" i="1"/>
  <c r="D2812" i="1"/>
  <c r="E2811" i="1"/>
  <c r="D2811" i="1"/>
  <c r="E2810" i="1"/>
  <c r="D2810" i="1"/>
  <c r="E2809" i="1"/>
  <c r="D2809" i="1"/>
  <c r="E2808" i="1"/>
  <c r="D2808" i="1"/>
  <c r="E2807" i="1"/>
  <c r="D2807" i="1"/>
  <c r="E2806" i="1"/>
  <c r="D2806" i="1"/>
  <c r="E2805" i="1"/>
  <c r="D2805" i="1"/>
  <c r="E2804" i="1"/>
  <c r="D2804" i="1"/>
  <c r="E2803" i="1"/>
  <c r="D2803" i="1"/>
  <c r="E2802" i="1"/>
  <c r="D2802" i="1"/>
  <c r="E2801" i="1"/>
  <c r="D2801" i="1"/>
  <c r="E2800" i="1"/>
  <c r="D2800" i="1"/>
  <c r="E2799" i="1"/>
  <c r="D2799" i="1"/>
  <c r="E2798" i="1"/>
  <c r="D2798" i="1"/>
  <c r="E2797" i="1"/>
  <c r="D2797" i="1"/>
  <c r="E2796" i="1"/>
  <c r="D2796" i="1"/>
  <c r="E2795" i="1"/>
  <c r="D2795" i="1"/>
  <c r="E2794" i="1"/>
  <c r="D2794" i="1"/>
  <c r="E2793" i="1"/>
  <c r="D2793" i="1"/>
  <c r="E2792" i="1"/>
  <c r="D2792" i="1"/>
  <c r="E2791" i="1"/>
  <c r="D2791" i="1"/>
  <c r="E2790" i="1"/>
  <c r="D2790" i="1"/>
  <c r="E2789" i="1"/>
  <c r="D2789" i="1"/>
  <c r="E2788" i="1"/>
  <c r="D2788" i="1"/>
  <c r="E2787" i="1"/>
  <c r="D2787" i="1"/>
  <c r="E2786" i="1"/>
  <c r="D2786" i="1"/>
  <c r="E2785" i="1"/>
  <c r="D2785" i="1"/>
  <c r="E2784" i="1"/>
  <c r="D2784" i="1"/>
  <c r="E2783" i="1"/>
  <c r="D2783" i="1"/>
  <c r="E2782" i="1"/>
  <c r="D2782" i="1"/>
  <c r="E2781" i="1"/>
  <c r="D2781" i="1"/>
  <c r="E2780" i="1"/>
  <c r="D2780" i="1"/>
  <c r="E2779" i="1"/>
  <c r="D2779" i="1"/>
  <c r="E2778" i="1"/>
  <c r="D2778" i="1"/>
  <c r="E2777" i="1"/>
  <c r="D2777" i="1"/>
  <c r="E2776" i="1"/>
  <c r="D2776" i="1"/>
  <c r="E2775" i="1"/>
  <c r="D2775" i="1"/>
  <c r="E2774" i="1"/>
  <c r="D2774" i="1"/>
  <c r="E2773" i="1"/>
  <c r="D2773" i="1"/>
  <c r="E2772" i="1"/>
  <c r="D2772" i="1"/>
  <c r="E2771" i="1"/>
  <c r="D2771" i="1"/>
  <c r="E2770" i="1"/>
  <c r="D2770" i="1"/>
  <c r="E2769" i="1"/>
  <c r="D2769" i="1"/>
  <c r="E2768" i="1"/>
  <c r="D2768" i="1"/>
  <c r="E2767" i="1"/>
  <c r="D2767" i="1"/>
  <c r="E2766" i="1"/>
  <c r="D2766" i="1"/>
  <c r="E2765" i="1"/>
  <c r="D2765" i="1"/>
  <c r="E2764" i="1"/>
  <c r="D2764" i="1"/>
  <c r="E2763" i="1"/>
  <c r="D2763" i="1"/>
  <c r="E2762" i="1"/>
  <c r="D2762" i="1"/>
  <c r="E2761" i="1"/>
  <c r="D2761" i="1"/>
  <c r="E2760" i="1"/>
  <c r="D2760" i="1"/>
  <c r="E2759" i="1"/>
  <c r="D2759" i="1"/>
  <c r="E2758" i="1"/>
  <c r="D2758" i="1"/>
  <c r="E2757" i="1"/>
  <c r="D2757" i="1"/>
  <c r="E2756" i="1"/>
  <c r="D2756" i="1"/>
  <c r="E2755" i="1"/>
  <c r="D2755" i="1"/>
  <c r="E2754" i="1"/>
  <c r="D2754" i="1"/>
  <c r="E2753" i="1"/>
  <c r="D2753" i="1"/>
  <c r="E2752" i="1"/>
  <c r="D2752" i="1"/>
  <c r="E2751" i="1"/>
  <c r="D2751" i="1"/>
  <c r="E2750" i="1"/>
  <c r="D2750" i="1"/>
  <c r="E2749" i="1"/>
  <c r="D2749" i="1"/>
  <c r="E2748" i="1"/>
  <c r="D2748" i="1"/>
  <c r="E2747" i="1"/>
  <c r="D2747" i="1"/>
  <c r="E2746" i="1"/>
  <c r="D2746" i="1"/>
  <c r="E2745" i="1"/>
  <c r="D2745" i="1"/>
  <c r="E2744" i="1"/>
  <c r="D2744" i="1"/>
  <c r="E2743" i="1"/>
  <c r="D2743" i="1"/>
  <c r="E2742" i="1"/>
  <c r="D2742" i="1"/>
  <c r="E2741" i="1"/>
  <c r="D2741" i="1"/>
  <c r="E2740" i="1"/>
  <c r="D2740" i="1"/>
  <c r="E2739" i="1"/>
  <c r="D2739" i="1"/>
  <c r="E2738" i="1"/>
  <c r="D2738" i="1"/>
  <c r="E2737" i="1"/>
  <c r="D2737" i="1"/>
  <c r="E2736" i="1"/>
  <c r="D2736" i="1"/>
  <c r="E2735" i="1"/>
  <c r="D2735" i="1"/>
  <c r="E2734" i="1"/>
  <c r="D2734" i="1"/>
  <c r="E2733" i="1"/>
  <c r="D2733" i="1"/>
  <c r="E2732" i="1"/>
  <c r="D2732" i="1"/>
  <c r="E2731" i="1"/>
  <c r="D2731" i="1"/>
  <c r="E2730" i="1"/>
  <c r="D2730" i="1"/>
  <c r="E2729" i="1"/>
  <c r="D2729" i="1"/>
  <c r="E2728" i="1"/>
  <c r="D2728" i="1"/>
  <c r="E2727" i="1"/>
  <c r="D2727" i="1"/>
  <c r="E2726" i="1"/>
  <c r="D2726" i="1"/>
  <c r="E2725" i="1"/>
  <c r="D2725" i="1"/>
  <c r="E2724" i="1"/>
  <c r="D2724" i="1"/>
  <c r="E2723" i="1"/>
  <c r="D2723" i="1"/>
  <c r="E2722" i="1"/>
  <c r="D2722" i="1"/>
  <c r="E2721" i="1"/>
  <c r="D2721" i="1"/>
  <c r="E2720" i="1"/>
  <c r="D2720" i="1"/>
  <c r="E2719" i="1"/>
  <c r="D2719" i="1"/>
  <c r="E2718" i="1"/>
  <c r="D2718" i="1"/>
  <c r="E2717" i="1"/>
  <c r="D2717" i="1"/>
  <c r="E2716" i="1"/>
  <c r="D2716" i="1"/>
  <c r="E2715" i="1"/>
  <c r="D2715" i="1"/>
  <c r="E2714" i="1"/>
  <c r="D2714" i="1"/>
  <c r="E2713" i="1"/>
  <c r="D2713" i="1"/>
  <c r="E2712" i="1"/>
  <c r="D2712" i="1"/>
  <c r="E2711" i="1"/>
  <c r="D2711" i="1"/>
  <c r="E2710" i="1"/>
  <c r="D2710" i="1"/>
  <c r="E2709" i="1"/>
  <c r="D2709" i="1"/>
  <c r="E2708" i="1"/>
  <c r="D2708" i="1"/>
  <c r="E2707" i="1"/>
  <c r="D2707" i="1"/>
  <c r="E2706" i="1"/>
  <c r="D2706" i="1"/>
  <c r="E2705" i="1"/>
  <c r="D2705" i="1"/>
  <c r="E2704" i="1"/>
  <c r="D2704" i="1"/>
  <c r="E2703" i="1"/>
  <c r="D2703" i="1"/>
  <c r="E2702" i="1"/>
  <c r="D2702" i="1"/>
  <c r="E2701" i="1"/>
  <c r="D2701" i="1"/>
  <c r="E2700" i="1"/>
  <c r="D2700" i="1"/>
  <c r="E2699" i="1"/>
  <c r="D2699" i="1"/>
  <c r="E2698" i="1"/>
  <c r="D2698" i="1"/>
  <c r="E2697" i="1"/>
  <c r="D2697" i="1"/>
  <c r="E2696" i="1"/>
  <c r="D2696" i="1"/>
  <c r="E2695" i="1"/>
  <c r="D2695" i="1"/>
  <c r="E2694" i="1"/>
  <c r="D2694" i="1"/>
  <c r="E2693" i="1"/>
  <c r="D2693" i="1"/>
  <c r="E2692" i="1"/>
  <c r="D2692" i="1"/>
  <c r="E2691" i="1"/>
  <c r="D2691" i="1"/>
  <c r="E2690" i="1"/>
  <c r="D2690" i="1"/>
  <c r="E2689" i="1"/>
  <c r="D2689" i="1"/>
  <c r="E2688" i="1"/>
  <c r="D2688" i="1"/>
  <c r="E2687" i="1"/>
  <c r="D2687" i="1"/>
  <c r="E2686" i="1"/>
  <c r="D2686" i="1"/>
  <c r="E2685" i="1"/>
  <c r="D2685" i="1"/>
  <c r="E2684" i="1"/>
  <c r="D2684" i="1"/>
  <c r="E2683" i="1"/>
  <c r="D2683" i="1"/>
  <c r="E2682" i="1"/>
  <c r="D2682" i="1"/>
  <c r="E2681" i="1"/>
  <c r="D2681" i="1"/>
  <c r="E2680" i="1"/>
  <c r="D2680" i="1"/>
  <c r="E2679" i="1"/>
  <c r="D2679" i="1"/>
  <c r="E2678" i="1"/>
  <c r="D2678" i="1"/>
  <c r="E2677" i="1"/>
  <c r="D2677" i="1"/>
  <c r="E2676" i="1"/>
  <c r="D2676" i="1"/>
  <c r="E2675" i="1"/>
  <c r="D2675" i="1"/>
  <c r="E2674" i="1"/>
  <c r="D2674" i="1"/>
  <c r="E2673" i="1"/>
  <c r="D2673" i="1"/>
  <c r="E2672" i="1"/>
  <c r="D2672" i="1"/>
  <c r="E2671" i="1"/>
  <c r="D2671" i="1"/>
  <c r="E2670" i="1"/>
  <c r="D2670" i="1"/>
  <c r="E2669" i="1"/>
  <c r="D2669" i="1"/>
  <c r="E2668" i="1"/>
  <c r="D2668" i="1"/>
  <c r="E2667" i="1"/>
  <c r="D2667" i="1"/>
  <c r="E2666" i="1"/>
  <c r="D2666" i="1"/>
  <c r="E2665" i="1"/>
  <c r="D2665" i="1"/>
  <c r="E2664" i="1"/>
  <c r="D2664" i="1"/>
  <c r="E2663" i="1"/>
  <c r="D2663" i="1"/>
  <c r="E2662" i="1"/>
  <c r="D2662" i="1"/>
  <c r="E2661" i="1"/>
  <c r="D2661" i="1"/>
  <c r="E2660" i="1"/>
  <c r="D2660" i="1"/>
  <c r="E2659" i="1"/>
  <c r="D2659" i="1"/>
  <c r="E2658" i="1"/>
  <c r="D2658" i="1"/>
  <c r="E2657" i="1"/>
  <c r="D2657" i="1"/>
  <c r="E2656" i="1"/>
  <c r="D2656" i="1"/>
  <c r="E2655" i="1"/>
  <c r="D2655" i="1"/>
  <c r="E2654" i="1"/>
  <c r="D2654" i="1"/>
  <c r="E2653" i="1"/>
  <c r="D2653" i="1"/>
  <c r="E2652" i="1"/>
  <c r="D2652" i="1"/>
  <c r="E2651" i="1"/>
  <c r="D2651" i="1"/>
  <c r="E2650" i="1"/>
  <c r="D2650" i="1"/>
  <c r="E2649" i="1"/>
  <c r="D2649" i="1"/>
  <c r="E2648" i="1"/>
  <c r="D2648" i="1"/>
  <c r="E2647" i="1"/>
  <c r="D2647" i="1"/>
  <c r="E2646" i="1"/>
  <c r="D2646" i="1"/>
  <c r="E2645" i="1"/>
  <c r="D2645" i="1"/>
  <c r="E2644" i="1"/>
  <c r="D2644" i="1"/>
  <c r="E2643" i="1"/>
  <c r="D2643" i="1"/>
  <c r="E2642" i="1"/>
  <c r="D2642" i="1"/>
  <c r="E2641" i="1"/>
  <c r="D2641" i="1"/>
  <c r="E2640" i="1"/>
  <c r="D2640" i="1"/>
  <c r="E2639" i="1"/>
  <c r="D2639" i="1"/>
  <c r="E2638" i="1"/>
  <c r="D2638" i="1"/>
  <c r="E2637" i="1"/>
  <c r="D2637" i="1"/>
  <c r="E2636" i="1"/>
  <c r="D2636" i="1"/>
  <c r="E2635" i="1"/>
  <c r="D2635" i="1"/>
  <c r="E2634" i="1"/>
  <c r="D2634" i="1"/>
  <c r="E2633" i="1"/>
  <c r="D2633" i="1"/>
  <c r="E2632" i="1"/>
  <c r="D2632" i="1"/>
  <c r="E2631" i="1"/>
  <c r="D2631" i="1"/>
  <c r="E2630" i="1"/>
  <c r="D2630" i="1"/>
  <c r="E2629" i="1"/>
  <c r="D2629" i="1"/>
  <c r="E2628" i="1"/>
  <c r="D2628" i="1"/>
  <c r="E2627" i="1"/>
  <c r="D2627" i="1"/>
  <c r="E2626" i="1"/>
  <c r="D2626" i="1"/>
  <c r="E2625" i="1"/>
  <c r="D2625" i="1"/>
  <c r="E2624" i="1"/>
  <c r="D2624" i="1"/>
  <c r="E2623" i="1"/>
  <c r="D2623" i="1"/>
  <c r="E2622" i="1"/>
  <c r="D2622" i="1"/>
  <c r="E2621" i="1"/>
  <c r="D2621" i="1"/>
  <c r="E2620" i="1"/>
  <c r="D2620" i="1"/>
  <c r="E2619" i="1"/>
  <c r="D2619" i="1"/>
  <c r="E2618" i="1"/>
  <c r="D2618" i="1"/>
  <c r="E2617" i="1"/>
  <c r="D2617" i="1"/>
  <c r="E2616" i="1"/>
  <c r="D2616" i="1"/>
  <c r="E2615" i="1"/>
  <c r="D2615" i="1"/>
  <c r="E2614" i="1"/>
  <c r="D2614" i="1"/>
  <c r="E2613" i="1"/>
  <c r="D2613" i="1"/>
  <c r="E2612" i="1"/>
  <c r="D2612" i="1"/>
  <c r="E2611" i="1"/>
  <c r="D2611" i="1"/>
  <c r="E2610" i="1"/>
  <c r="D2610" i="1"/>
  <c r="E2609" i="1"/>
  <c r="D2609" i="1"/>
  <c r="E2608" i="1"/>
  <c r="D2608" i="1"/>
  <c r="E2607" i="1"/>
  <c r="D2607" i="1"/>
  <c r="E2606" i="1"/>
  <c r="D2606" i="1"/>
  <c r="E2605" i="1"/>
  <c r="D2605" i="1"/>
  <c r="E2604" i="1"/>
  <c r="D2604" i="1"/>
  <c r="E2603" i="1"/>
  <c r="D2603" i="1"/>
  <c r="E2602" i="1"/>
  <c r="D2602" i="1"/>
  <c r="E2601" i="1"/>
  <c r="D2601" i="1"/>
  <c r="E2600" i="1"/>
  <c r="D2600" i="1"/>
  <c r="E2599" i="1"/>
  <c r="D2599" i="1"/>
  <c r="E2598" i="1"/>
  <c r="D2598" i="1"/>
  <c r="E2597" i="1"/>
  <c r="D2597" i="1"/>
  <c r="E2596" i="1"/>
  <c r="D2596" i="1"/>
  <c r="E2595" i="1"/>
  <c r="D2595" i="1"/>
  <c r="E2594" i="1"/>
  <c r="D2594" i="1"/>
  <c r="E2593" i="1"/>
  <c r="D2593" i="1"/>
  <c r="E2592" i="1"/>
  <c r="D2592" i="1"/>
  <c r="E2591" i="1"/>
  <c r="D2591" i="1"/>
  <c r="E2590" i="1"/>
  <c r="D2590" i="1"/>
  <c r="E2589" i="1"/>
  <c r="D2589" i="1"/>
  <c r="E2588" i="1"/>
  <c r="D2588" i="1"/>
  <c r="E2587" i="1"/>
  <c r="D2587" i="1"/>
  <c r="E2586" i="1"/>
  <c r="D2586" i="1"/>
  <c r="E2585" i="1"/>
  <c r="D2585" i="1"/>
  <c r="E2584" i="1"/>
  <c r="D2584" i="1"/>
  <c r="E2583" i="1"/>
  <c r="D2583" i="1"/>
  <c r="E2582" i="1"/>
  <c r="D2582" i="1"/>
  <c r="E2581" i="1"/>
  <c r="D2581" i="1"/>
  <c r="E2580" i="1"/>
  <c r="D2580" i="1"/>
  <c r="E2579" i="1"/>
  <c r="D2579" i="1"/>
  <c r="E2578" i="1"/>
  <c r="D2578" i="1"/>
  <c r="E2577" i="1"/>
  <c r="D2577" i="1"/>
  <c r="E2576" i="1"/>
  <c r="D2576" i="1"/>
  <c r="E2575" i="1"/>
  <c r="D2575" i="1"/>
  <c r="E2574" i="1"/>
  <c r="D2574" i="1"/>
  <c r="E2573" i="1"/>
  <c r="D2573" i="1"/>
  <c r="E2572" i="1"/>
  <c r="D2572" i="1"/>
  <c r="E2571" i="1"/>
  <c r="D2571" i="1"/>
  <c r="E2570" i="1"/>
  <c r="D2570" i="1"/>
  <c r="E2569" i="1"/>
  <c r="D2569" i="1"/>
  <c r="E2568" i="1"/>
  <c r="D2568" i="1"/>
  <c r="E2567" i="1"/>
  <c r="D2567" i="1"/>
  <c r="E2566" i="1"/>
  <c r="D2566" i="1"/>
  <c r="E2565" i="1"/>
  <c r="D2565" i="1"/>
  <c r="E2564" i="1"/>
  <c r="D2564" i="1"/>
  <c r="E2563" i="1"/>
  <c r="D2563" i="1"/>
  <c r="E2562" i="1"/>
  <c r="D2562" i="1"/>
  <c r="E2561" i="1"/>
  <c r="D2561" i="1"/>
  <c r="E2560" i="1"/>
  <c r="D2560" i="1"/>
  <c r="E2559" i="1"/>
  <c r="D2559" i="1"/>
  <c r="E2558" i="1"/>
  <c r="D2558" i="1"/>
  <c r="E2557" i="1"/>
  <c r="D2557" i="1"/>
  <c r="E2556" i="1"/>
  <c r="D2556" i="1"/>
  <c r="E2555" i="1"/>
  <c r="D2555" i="1"/>
  <c r="E2554" i="1"/>
  <c r="D2554" i="1"/>
  <c r="E2553" i="1"/>
  <c r="D2553" i="1"/>
  <c r="E2552" i="1"/>
  <c r="D2552" i="1"/>
  <c r="E2551" i="1"/>
  <c r="D2551" i="1"/>
  <c r="E2550" i="1"/>
  <c r="D2550" i="1"/>
  <c r="E2549" i="1"/>
  <c r="D2549" i="1"/>
  <c r="E2548" i="1"/>
  <c r="D2548" i="1"/>
  <c r="E2547" i="1"/>
  <c r="D2547" i="1"/>
  <c r="E2546" i="1"/>
  <c r="D2546" i="1"/>
  <c r="E2545" i="1"/>
  <c r="D2545" i="1"/>
  <c r="E2544" i="1"/>
  <c r="D2544" i="1"/>
  <c r="E2543" i="1"/>
  <c r="D2543" i="1"/>
  <c r="E2542" i="1"/>
  <c r="D2542" i="1"/>
  <c r="E2541" i="1"/>
  <c r="D2541" i="1"/>
  <c r="E2540" i="1"/>
  <c r="D2540" i="1"/>
  <c r="E2539" i="1"/>
  <c r="D2539" i="1"/>
  <c r="E2538" i="1"/>
  <c r="D2538" i="1"/>
  <c r="E2537" i="1"/>
  <c r="D2537" i="1"/>
  <c r="E2536" i="1"/>
  <c r="D2536" i="1"/>
  <c r="E2535" i="1"/>
  <c r="D2535" i="1"/>
  <c r="E2534" i="1"/>
  <c r="D2534" i="1"/>
  <c r="E2533" i="1"/>
  <c r="D2533" i="1"/>
  <c r="E2532" i="1"/>
  <c r="D2532" i="1"/>
  <c r="E2531" i="1"/>
  <c r="D2531" i="1"/>
  <c r="E2530" i="1"/>
  <c r="D2530" i="1"/>
  <c r="E2529" i="1"/>
  <c r="D2529" i="1"/>
  <c r="E2528" i="1"/>
  <c r="D2528" i="1"/>
  <c r="E2527" i="1"/>
  <c r="D2527" i="1"/>
  <c r="E2526" i="1"/>
  <c r="D2526" i="1"/>
  <c r="E2525" i="1"/>
  <c r="D2525" i="1"/>
  <c r="E2524" i="1"/>
  <c r="D2524" i="1"/>
  <c r="E2523" i="1"/>
  <c r="D2523" i="1"/>
  <c r="E2522" i="1"/>
  <c r="D2522" i="1"/>
  <c r="E2521" i="1"/>
  <c r="D2521" i="1"/>
  <c r="E2520" i="1"/>
  <c r="D2520" i="1"/>
  <c r="E2519" i="1"/>
  <c r="D2519" i="1"/>
  <c r="E2518" i="1"/>
  <c r="D2518" i="1"/>
  <c r="E2517" i="1"/>
  <c r="D2517" i="1"/>
  <c r="E2516" i="1"/>
  <c r="D2516" i="1"/>
  <c r="E2515" i="1"/>
  <c r="D2515" i="1"/>
  <c r="E2514" i="1"/>
  <c r="D2514" i="1"/>
  <c r="E2513" i="1"/>
  <c r="D2513" i="1"/>
  <c r="E2512" i="1"/>
  <c r="D2512" i="1"/>
  <c r="E2511" i="1"/>
  <c r="D2511" i="1"/>
  <c r="E2510" i="1"/>
  <c r="D2510" i="1"/>
  <c r="E2509" i="1"/>
  <c r="D2509" i="1"/>
  <c r="E2508" i="1"/>
  <c r="D2508" i="1"/>
  <c r="E2507" i="1"/>
  <c r="D2507" i="1"/>
  <c r="E2506" i="1"/>
  <c r="D2506" i="1"/>
  <c r="E2505" i="1"/>
  <c r="D2505" i="1"/>
  <c r="E2504" i="1"/>
  <c r="D2504" i="1"/>
  <c r="E2503" i="1"/>
  <c r="D2503" i="1"/>
  <c r="E2502" i="1"/>
  <c r="D2502" i="1"/>
  <c r="E2501" i="1"/>
  <c r="D2501" i="1"/>
  <c r="E2500" i="1"/>
  <c r="D2500" i="1"/>
  <c r="E2499" i="1"/>
  <c r="D2499" i="1"/>
  <c r="E2498" i="1"/>
  <c r="D2498" i="1"/>
  <c r="E2497" i="1"/>
  <c r="D2497" i="1"/>
  <c r="E2496" i="1"/>
  <c r="D2496" i="1"/>
  <c r="E2495" i="1"/>
  <c r="D2495" i="1"/>
  <c r="E2494" i="1"/>
  <c r="D2494" i="1"/>
  <c r="E2493" i="1"/>
  <c r="D2493" i="1"/>
  <c r="E2492" i="1"/>
  <c r="D2492" i="1"/>
  <c r="E2491" i="1"/>
  <c r="D2491" i="1"/>
  <c r="E2490" i="1"/>
  <c r="D2490" i="1"/>
  <c r="E2489" i="1"/>
  <c r="D2489" i="1"/>
  <c r="E2488" i="1"/>
  <c r="D2488" i="1"/>
  <c r="E2487" i="1"/>
  <c r="D2487" i="1"/>
  <c r="E2486" i="1"/>
  <c r="D2486" i="1"/>
  <c r="E2485" i="1"/>
  <c r="D2485" i="1"/>
  <c r="E2484" i="1"/>
  <c r="D2484" i="1"/>
  <c r="E2483" i="1"/>
  <c r="D2483" i="1"/>
  <c r="E2482" i="1"/>
  <c r="D2482" i="1"/>
  <c r="E2481" i="1"/>
  <c r="D2481" i="1"/>
  <c r="E2480" i="1"/>
  <c r="D2480" i="1"/>
  <c r="E2479" i="1"/>
  <c r="D2479" i="1"/>
  <c r="E2478" i="1"/>
  <c r="D2478" i="1"/>
  <c r="E2477" i="1"/>
  <c r="D2477" i="1"/>
  <c r="E2476" i="1"/>
  <c r="D2476" i="1"/>
  <c r="E2475" i="1"/>
  <c r="D2475" i="1"/>
  <c r="E2474" i="1"/>
  <c r="D2474" i="1"/>
  <c r="E2473" i="1"/>
  <c r="D2473" i="1"/>
  <c r="E2472" i="1"/>
  <c r="D2472" i="1"/>
  <c r="E2471" i="1"/>
  <c r="D2471" i="1"/>
  <c r="E2470" i="1"/>
  <c r="D2470" i="1"/>
  <c r="E2469" i="1"/>
  <c r="D2469" i="1"/>
  <c r="E2468" i="1"/>
  <c r="D2468" i="1"/>
  <c r="E2467" i="1"/>
  <c r="D2467" i="1"/>
  <c r="E2466" i="1"/>
  <c r="D2466" i="1"/>
  <c r="E2465" i="1"/>
  <c r="D2465" i="1"/>
  <c r="E2464" i="1"/>
  <c r="D2464" i="1"/>
  <c r="E2463" i="1"/>
  <c r="D2463" i="1"/>
  <c r="E2462" i="1"/>
  <c r="D2462" i="1"/>
  <c r="E2461" i="1"/>
  <c r="D2461" i="1"/>
  <c r="E2460" i="1"/>
  <c r="D2460" i="1"/>
  <c r="E2459" i="1"/>
  <c r="D2459" i="1"/>
  <c r="E2458" i="1"/>
  <c r="D2458" i="1"/>
  <c r="E2457" i="1"/>
  <c r="D2457" i="1"/>
  <c r="E2456" i="1"/>
  <c r="D2456" i="1"/>
  <c r="E2455" i="1"/>
  <c r="D2455" i="1"/>
  <c r="E2454" i="1"/>
  <c r="D2454" i="1"/>
  <c r="E2453" i="1"/>
  <c r="D2453" i="1"/>
  <c r="E2452" i="1"/>
  <c r="D2452" i="1"/>
  <c r="E2451" i="1"/>
  <c r="D2451" i="1"/>
  <c r="E2450" i="1"/>
  <c r="D2450" i="1"/>
  <c r="E2449" i="1"/>
  <c r="D2449" i="1"/>
  <c r="E2448" i="1"/>
  <c r="D2448" i="1"/>
  <c r="E2447" i="1"/>
  <c r="D2447" i="1"/>
  <c r="E2446" i="1"/>
  <c r="D2446" i="1"/>
  <c r="E2445" i="1"/>
  <c r="D2445" i="1"/>
  <c r="E2444" i="1"/>
  <c r="D2444" i="1"/>
  <c r="E2443" i="1"/>
  <c r="D2443" i="1"/>
  <c r="E2442" i="1"/>
  <c r="D2442" i="1"/>
  <c r="E2441" i="1"/>
  <c r="D2441" i="1"/>
  <c r="E2440" i="1"/>
  <c r="D2440" i="1"/>
  <c r="E2439" i="1"/>
  <c r="D2439" i="1"/>
  <c r="E2438" i="1"/>
  <c r="D2438" i="1"/>
  <c r="E2437" i="1"/>
  <c r="D2437" i="1"/>
  <c r="E2436" i="1"/>
  <c r="D2436" i="1"/>
  <c r="E2435" i="1"/>
  <c r="D2435" i="1"/>
  <c r="E2434" i="1"/>
  <c r="D2434" i="1"/>
  <c r="E2433" i="1"/>
  <c r="D2433" i="1"/>
  <c r="E2432" i="1"/>
  <c r="D2432" i="1"/>
  <c r="E2431" i="1"/>
  <c r="D2431" i="1"/>
  <c r="E2430" i="1"/>
  <c r="D2430" i="1"/>
  <c r="E2429" i="1"/>
  <c r="D2429" i="1"/>
  <c r="E2428" i="1"/>
  <c r="D2428" i="1"/>
  <c r="E2427" i="1"/>
  <c r="D2427" i="1"/>
  <c r="E2426" i="1"/>
  <c r="D2426" i="1"/>
  <c r="E2425" i="1"/>
  <c r="D2425" i="1"/>
  <c r="E2424" i="1"/>
  <c r="D2424" i="1"/>
  <c r="E2423" i="1"/>
  <c r="D2423" i="1"/>
  <c r="E2422" i="1"/>
  <c r="D2422" i="1"/>
  <c r="E2421" i="1"/>
  <c r="D2421" i="1"/>
  <c r="E2420" i="1"/>
  <c r="D2420" i="1"/>
  <c r="E2419" i="1"/>
  <c r="D2419" i="1"/>
  <c r="E2418" i="1"/>
  <c r="D2418" i="1"/>
  <c r="E2417" i="1"/>
  <c r="D2417" i="1"/>
  <c r="E2416" i="1"/>
  <c r="D2416" i="1"/>
  <c r="E2415" i="1"/>
  <c r="D2415" i="1"/>
  <c r="E2414" i="1"/>
  <c r="D2414" i="1"/>
  <c r="E2413" i="1"/>
  <c r="D2413" i="1"/>
  <c r="E2412" i="1"/>
  <c r="D2412" i="1"/>
  <c r="E2411" i="1"/>
  <c r="D2411" i="1"/>
  <c r="E2410" i="1"/>
  <c r="D2410" i="1"/>
  <c r="E2409" i="1"/>
  <c r="D2409" i="1"/>
  <c r="E2408" i="1"/>
  <c r="D2408" i="1"/>
  <c r="E2407" i="1"/>
  <c r="D2407" i="1"/>
  <c r="E2406" i="1"/>
  <c r="D2406" i="1"/>
  <c r="E2405" i="1"/>
  <c r="D2405" i="1"/>
  <c r="E2404" i="1"/>
  <c r="D2404" i="1"/>
  <c r="E2403" i="1"/>
  <c r="D2403" i="1"/>
  <c r="E2402" i="1"/>
  <c r="D2402" i="1"/>
  <c r="E2401" i="1"/>
  <c r="D2401" i="1"/>
  <c r="E2400" i="1"/>
  <c r="D2400" i="1"/>
  <c r="E2399" i="1"/>
  <c r="D2399" i="1"/>
  <c r="E2398" i="1"/>
  <c r="D2398" i="1"/>
  <c r="E2397" i="1"/>
  <c r="D2397" i="1"/>
  <c r="E2396" i="1"/>
  <c r="D2396" i="1"/>
  <c r="E2395" i="1"/>
  <c r="D2395" i="1"/>
  <c r="E2394" i="1"/>
  <c r="D2394" i="1"/>
  <c r="E2393" i="1"/>
  <c r="D2393" i="1"/>
  <c r="E2392" i="1"/>
  <c r="D2392" i="1"/>
  <c r="E2391" i="1"/>
  <c r="D2391" i="1"/>
  <c r="E2390" i="1"/>
  <c r="D2390" i="1"/>
  <c r="E2389" i="1"/>
  <c r="D2389" i="1"/>
  <c r="E2388" i="1"/>
  <c r="D2388" i="1"/>
  <c r="E2387" i="1"/>
  <c r="D2387" i="1"/>
  <c r="E2386" i="1"/>
  <c r="D2386" i="1"/>
  <c r="E2385" i="1"/>
  <c r="D2385" i="1"/>
  <c r="E2384" i="1"/>
  <c r="D2384" i="1"/>
  <c r="E2383" i="1"/>
  <c r="D2383" i="1"/>
  <c r="E2382" i="1"/>
  <c r="D2382" i="1"/>
  <c r="E2381" i="1"/>
  <c r="D2381" i="1"/>
  <c r="E2380" i="1"/>
  <c r="D2380" i="1"/>
  <c r="E2379" i="1"/>
  <c r="D2379" i="1"/>
  <c r="E2378" i="1"/>
  <c r="D2378" i="1"/>
  <c r="E2377" i="1"/>
  <c r="D2377" i="1"/>
  <c r="E2376" i="1"/>
  <c r="D2376" i="1"/>
  <c r="E2375" i="1"/>
  <c r="D2375" i="1"/>
  <c r="E2374" i="1"/>
  <c r="D2374" i="1"/>
  <c r="E2373" i="1"/>
  <c r="D2373" i="1"/>
  <c r="E2372" i="1"/>
  <c r="D2372" i="1"/>
  <c r="E2371" i="1"/>
  <c r="D2371" i="1"/>
  <c r="E2370" i="1"/>
  <c r="D2370" i="1"/>
  <c r="E2369" i="1"/>
  <c r="D2369" i="1"/>
  <c r="E2368" i="1"/>
  <c r="D2368" i="1"/>
  <c r="E2367" i="1"/>
  <c r="D2367" i="1"/>
  <c r="E2366" i="1"/>
  <c r="D2366" i="1"/>
  <c r="E2365" i="1"/>
  <c r="D2365" i="1"/>
  <c r="E2364" i="1"/>
  <c r="D2364" i="1"/>
  <c r="E2363" i="1"/>
  <c r="D2363" i="1"/>
  <c r="E2362" i="1"/>
  <c r="D2362" i="1"/>
  <c r="E2361" i="1"/>
  <c r="D2361" i="1"/>
  <c r="E2360" i="1"/>
  <c r="D2360" i="1"/>
  <c r="E2359" i="1"/>
  <c r="D2359" i="1"/>
  <c r="E2358" i="1"/>
  <c r="D2358" i="1"/>
  <c r="E2357" i="1"/>
  <c r="D2357" i="1"/>
  <c r="E2356" i="1"/>
  <c r="D2356" i="1"/>
  <c r="E2355" i="1"/>
  <c r="D2355" i="1"/>
  <c r="E2354" i="1"/>
  <c r="D2354" i="1"/>
  <c r="E2353" i="1"/>
  <c r="D2353" i="1"/>
  <c r="E2352" i="1"/>
  <c r="D2352" i="1"/>
  <c r="E2351" i="1"/>
  <c r="D2351" i="1"/>
  <c r="E2350" i="1"/>
  <c r="D2350" i="1"/>
  <c r="E2349" i="1"/>
  <c r="D2349" i="1"/>
  <c r="E2348" i="1"/>
  <c r="D2348" i="1"/>
  <c r="E2347" i="1"/>
  <c r="D2347" i="1"/>
  <c r="E2346" i="1"/>
  <c r="D2346" i="1"/>
  <c r="E2345" i="1"/>
  <c r="D2345" i="1"/>
  <c r="E2344" i="1"/>
  <c r="D2344" i="1"/>
  <c r="E2343" i="1"/>
  <c r="D2343" i="1"/>
  <c r="E2342" i="1"/>
  <c r="D2342" i="1"/>
  <c r="E2341" i="1"/>
  <c r="D2341" i="1"/>
  <c r="E2340" i="1"/>
  <c r="D2340" i="1"/>
  <c r="E2339" i="1"/>
  <c r="D2339" i="1"/>
  <c r="E2338" i="1"/>
  <c r="D2338" i="1"/>
  <c r="E2337" i="1"/>
  <c r="D2337" i="1"/>
  <c r="E2336" i="1"/>
  <c r="D2336" i="1"/>
  <c r="E2335" i="1"/>
  <c r="D2335" i="1"/>
  <c r="E2334" i="1"/>
  <c r="D2334" i="1"/>
  <c r="E2333" i="1"/>
  <c r="D2333" i="1"/>
  <c r="E2332" i="1"/>
  <c r="D2332" i="1"/>
  <c r="E2331" i="1"/>
  <c r="D2331" i="1"/>
  <c r="E2330" i="1"/>
  <c r="D2330" i="1"/>
  <c r="E2329" i="1"/>
  <c r="D2329" i="1"/>
  <c r="E2328" i="1"/>
  <c r="D2328" i="1"/>
  <c r="E2327" i="1"/>
  <c r="D2327" i="1"/>
  <c r="E2326" i="1"/>
  <c r="D2326" i="1"/>
  <c r="E2325" i="1"/>
  <c r="D2325" i="1"/>
  <c r="E2324" i="1"/>
  <c r="D2324" i="1"/>
  <c r="E2323" i="1"/>
  <c r="D2323" i="1"/>
  <c r="E2322" i="1"/>
  <c r="D2322" i="1"/>
  <c r="E2321" i="1"/>
  <c r="D2321" i="1"/>
  <c r="E2320" i="1"/>
  <c r="D2320" i="1"/>
  <c r="E2319" i="1"/>
  <c r="D2319" i="1"/>
  <c r="E2318" i="1"/>
  <c r="D2318" i="1"/>
  <c r="E2317" i="1"/>
  <c r="D2317" i="1"/>
  <c r="E2316" i="1"/>
  <c r="D2316" i="1"/>
  <c r="E2315" i="1"/>
  <c r="D2315" i="1"/>
  <c r="E2314" i="1"/>
  <c r="D2314" i="1"/>
  <c r="E2313" i="1"/>
  <c r="D2313" i="1"/>
  <c r="E2312" i="1"/>
  <c r="D2312" i="1"/>
  <c r="E2311" i="1"/>
  <c r="D2311" i="1"/>
  <c r="E2310" i="1"/>
  <c r="D2310" i="1"/>
  <c r="E2309" i="1"/>
  <c r="D2309" i="1"/>
  <c r="E2308" i="1"/>
  <c r="D2308" i="1"/>
  <c r="E2307" i="1"/>
  <c r="D2307" i="1"/>
  <c r="E2306" i="1"/>
  <c r="D2306" i="1"/>
  <c r="E2305" i="1"/>
  <c r="D2305" i="1"/>
  <c r="E2304" i="1"/>
  <c r="D2304" i="1"/>
  <c r="E2303" i="1"/>
  <c r="D2303" i="1"/>
  <c r="E2302" i="1"/>
  <c r="D2302" i="1"/>
  <c r="E2301" i="1"/>
  <c r="D2301" i="1"/>
  <c r="E2300" i="1"/>
  <c r="D2300" i="1"/>
  <c r="E2299" i="1"/>
  <c r="D2299" i="1"/>
  <c r="E2298" i="1"/>
  <c r="D2298" i="1"/>
  <c r="E2297" i="1"/>
  <c r="D2297" i="1"/>
  <c r="E2296" i="1"/>
  <c r="D2296" i="1"/>
  <c r="E2295" i="1"/>
  <c r="D2295" i="1"/>
  <c r="E2294" i="1"/>
  <c r="D2294" i="1"/>
  <c r="E2293" i="1"/>
  <c r="D2293" i="1"/>
  <c r="E2292" i="1"/>
  <c r="D2292" i="1"/>
  <c r="E2291" i="1"/>
  <c r="D2291" i="1"/>
  <c r="E2290" i="1"/>
  <c r="D2290" i="1"/>
  <c r="E2289" i="1"/>
  <c r="D2289" i="1"/>
  <c r="E2288" i="1"/>
  <c r="D2288" i="1"/>
  <c r="E2287" i="1"/>
  <c r="D2287" i="1"/>
  <c r="E2286" i="1"/>
  <c r="D2286" i="1"/>
  <c r="E2285" i="1"/>
  <c r="D2285" i="1"/>
  <c r="E2284" i="1"/>
  <c r="D2284" i="1"/>
  <c r="E2283" i="1"/>
  <c r="D2283" i="1"/>
  <c r="E2282" i="1"/>
  <c r="D2282" i="1"/>
  <c r="E2281" i="1"/>
  <c r="D2281" i="1"/>
  <c r="E2280" i="1"/>
  <c r="D2280" i="1"/>
  <c r="E2279" i="1"/>
  <c r="D2279" i="1"/>
  <c r="E2278" i="1"/>
  <c r="D2278" i="1"/>
  <c r="E2277" i="1"/>
  <c r="D2277" i="1"/>
  <c r="E2276" i="1"/>
  <c r="D2276" i="1"/>
  <c r="E2275" i="1"/>
  <c r="D2275" i="1"/>
  <c r="E2274" i="1"/>
  <c r="D2274" i="1"/>
  <c r="E2273" i="1"/>
  <c r="D2273" i="1"/>
  <c r="E2272" i="1"/>
  <c r="D2272" i="1"/>
  <c r="E2271" i="1"/>
  <c r="D2271" i="1"/>
  <c r="E2270" i="1"/>
  <c r="D2270" i="1"/>
  <c r="E2269" i="1"/>
  <c r="D2269" i="1"/>
  <c r="E2268" i="1"/>
  <c r="D2268" i="1"/>
  <c r="E2267" i="1"/>
  <c r="D2267" i="1"/>
  <c r="E2266" i="1"/>
  <c r="D2266" i="1"/>
  <c r="E2265" i="1"/>
  <c r="D2265" i="1"/>
  <c r="E2264" i="1"/>
  <c r="D2264" i="1"/>
  <c r="E2263" i="1"/>
  <c r="D2263" i="1"/>
  <c r="E2262" i="1"/>
  <c r="D2262" i="1"/>
  <c r="E2261" i="1"/>
  <c r="D2261" i="1"/>
  <c r="E2260" i="1"/>
  <c r="D2260" i="1"/>
  <c r="E2259" i="1"/>
  <c r="D2259" i="1"/>
  <c r="E2258" i="1"/>
  <c r="D2258" i="1"/>
  <c r="E2257" i="1"/>
  <c r="D2257" i="1"/>
  <c r="E2256" i="1"/>
  <c r="D2256" i="1"/>
  <c r="E2255" i="1"/>
  <c r="D2255" i="1"/>
  <c r="E2254" i="1"/>
  <c r="D2254" i="1"/>
  <c r="E2253" i="1"/>
  <c r="D2253" i="1"/>
  <c r="E2252" i="1"/>
  <c r="D2252" i="1"/>
  <c r="E2251" i="1"/>
  <c r="D2251" i="1"/>
  <c r="E2250" i="1"/>
  <c r="D2250" i="1"/>
  <c r="E2249" i="1"/>
  <c r="D2249" i="1"/>
  <c r="E2248" i="1"/>
  <c r="D2248" i="1"/>
  <c r="E2247" i="1"/>
  <c r="D2247" i="1"/>
  <c r="E2246" i="1"/>
  <c r="D2246" i="1"/>
  <c r="E2245" i="1"/>
  <c r="D2245" i="1"/>
  <c r="E2244" i="1"/>
  <c r="D2244" i="1"/>
  <c r="E2243" i="1"/>
  <c r="D2243" i="1"/>
  <c r="E2242" i="1"/>
  <c r="D2242" i="1"/>
  <c r="E2241" i="1"/>
  <c r="D2241" i="1"/>
  <c r="E2240" i="1"/>
  <c r="D2240" i="1"/>
  <c r="E2239" i="1"/>
  <c r="D2239" i="1"/>
  <c r="E2238" i="1"/>
  <c r="D2238" i="1"/>
  <c r="E2237" i="1"/>
  <c r="D2237" i="1"/>
  <c r="E2236" i="1"/>
  <c r="D2236" i="1"/>
  <c r="E2235" i="1"/>
  <c r="D2235" i="1"/>
  <c r="E2234" i="1"/>
  <c r="D2234" i="1"/>
  <c r="E2233" i="1"/>
  <c r="D2233" i="1"/>
  <c r="E2232" i="1"/>
  <c r="D2232" i="1"/>
  <c r="E2231" i="1"/>
  <c r="D2231" i="1"/>
  <c r="E2230" i="1"/>
  <c r="D2230" i="1"/>
  <c r="E2229" i="1"/>
  <c r="D2229" i="1"/>
  <c r="E2228" i="1"/>
  <c r="D2228" i="1"/>
  <c r="E2227" i="1"/>
  <c r="D2227" i="1"/>
  <c r="E2226" i="1"/>
  <c r="D2226" i="1"/>
  <c r="E2225" i="1"/>
  <c r="D2225" i="1"/>
  <c r="E2224" i="1"/>
  <c r="D2224" i="1"/>
  <c r="E2223" i="1"/>
  <c r="D2223" i="1"/>
  <c r="E2222" i="1"/>
  <c r="D2222" i="1"/>
  <c r="E2221" i="1"/>
  <c r="D2221" i="1"/>
  <c r="E2220" i="1"/>
  <c r="D2220" i="1"/>
  <c r="E2219" i="1"/>
  <c r="D2219" i="1"/>
  <c r="E2218" i="1"/>
  <c r="D2218" i="1"/>
  <c r="E2217" i="1"/>
  <c r="D2217" i="1"/>
  <c r="E2216" i="1"/>
  <c r="D2216" i="1"/>
  <c r="E2215" i="1"/>
  <c r="D2215" i="1"/>
  <c r="E2214" i="1"/>
  <c r="D2214" i="1"/>
  <c r="E2213" i="1"/>
  <c r="D2213" i="1"/>
  <c r="E2212" i="1"/>
  <c r="D2212" i="1"/>
  <c r="E2211" i="1"/>
  <c r="D2211" i="1"/>
  <c r="E2210" i="1"/>
  <c r="D2210" i="1"/>
  <c r="E2209" i="1"/>
  <c r="D2209" i="1"/>
  <c r="E2208" i="1"/>
  <c r="D2208" i="1"/>
  <c r="E2207" i="1"/>
  <c r="D2207" i="1"/>
  <c r="E2206" i="1"/>
  <c r="D2206" i="1"/>
  <c r="E2205" i="1"/>
  <c r="D2205" i="1"/>
  <c r="E2204" i="1"/>
  <c r="D2204" i="1"/>
  <c r="E2203" i="1"/>
  <c r="D2203" i="1"/>
  <c r="E2202" i="1"/>
  <c r="D2202" i="1"/>
  <c r="E2201" i="1"/>
  <c r="D2201" i="1"/>
  <c r="E2200" i="1"/>
  <c r="D2200" i="1"/>
  <c r="E2199" i="1"/>
  <c r="D2199" i="1"/>
  <c r="E2198" i="1"/>
  <c r="D2198" i="1"/>
  <c r="E2197" i="1"/>
  <c r="D2197" i="1"/>
  <c r="E2196" i="1"/>
  <c r="D2196" i="1"/>
  <c r="E2195" i="1"/>
  <c r="D2195" i="1"/>
  <c r="E2194" i="1"/>
  <c r="D2194" i="1"/>
  <c r="E2193" i="1"/>
  <c r="D2193" i="1"/>
  <c r="E2192" i="1"/>
  <c r="D2192" i="1"/>
  <c r="E2191" i="1"/>
  <c r="D2191" i="1"/>
  <c r="E2190" i="1"/>
  <c r="D2190" i="1"/>
  <c r="E2189" i="1"/>
  <c r="D2189" i="1"/>
  <c r="E2188" i="1"/>
  <c r="D2188" i="1"/>
  <c r="E2187" i="1"/>
  <c r="D2187" i="1"/>
  <c r="E2186" i="1"/>
  <c r="D2186" i="1"/>
  <c r="E2185" i="1"/>
  <c r="D2185" i="1"/>
  <c r="E2184" i="1"/>
  <c r="D2184" i="1"/>
  <c r="E2183" i="1"/>
  <c r="D2183" i="1"/>
  <c r="E2182" i="1"/>
  <c r="D2182" i="1"/>
  <c r="E2181" i="1"/>
  <c r="D2181" i="1"/>
  <c r="E2180" i="1"/>
  <c r="D2180" i="1"/>
  <c r="E2179" i="1"/>
  <c r="D2179" i="1"/>
  <c r="E2178" i="1"/>
  <c r="D2178" i="1"/>
  <c r="E2177" i="1"/>
  <c r="D2177" i="1"/>
  <c r="E2176" i="1"/>
  <c r="D2176" i="1"/>
  <c r="E2175" i="1"/>
  <c r="D2175" i="1"/>
  <c r="E2174" i="1"/>
  <c r="D2174" i="1"/>
  <c r="E2173" i="1"/>
  <c r="D2173" i="1"/>
  <c r="E2172" i="1"/>
  <c r="D2172" i="1"/>
  <c r="E2171" i="1"/>
  <c r="D2171" i="1"/>
  <c r="E2170" i="1"/>
  <c r="D2170" i="1"/>
  <c r="E2169" i="1"/>
  <c r="D2169" i="1"/>
  <c r="E2168" i="1"/>
  <c r="D2168" i="1"/>
  <c r="E2167" i="1"/>
  <c r="D2167" i="1"/>
  <c r="E2166" i="1"/>
  <c r="D2166" i="1"/>
  <c r="E2165" i="1"/>
  <c r="D2165" i="1"/>
  <c r="E2164" i="1"/>
  <c r="D2164" i="1"/>
  <c r="E2163" i="1"/>
  <c r="D2163" i="1"/>
  <c r="E2162" i="1"/>
  <c r="D2162" i="1"/>
  <c r="E2161" i="1"/>
  <c r="D2161" i="1"/>
  <c r="E2160" i="1"/>
  <c r="D2160" i="1"/>
  <c r="E2159" i="1"/>
  <c r="D2159" i="1"/>
  <c r="E2158" i="1"/>
  <c r="D2158" i="1"/>
  <c r="E2157" i="1"/>
  <c r="D2157" i="1"/>
  <c r="E2156" i="1"/>
  <c r="D2156" i="1"/>
  <c r="E2155" i="1"/>
  <c r="D2155" i="1"/>
  <c r="E2154" i="1"/>
  <c r="D2154" i="1"/>
  <c r="E2153" i="1"/>
  <c r="D2153" i="1"/>
  <c r="E2152" i="1"/>
  <c r="D2152" i="1"/>
  <c r="E2151" i="1"/>
  <c r="D2151" i="1"/>
  <c r="E2150" i="1"/>
  <c r="D2150" i="1"/>
  <c r="E2149" i="1"/>
  <c r="D2149" i="1"/>
  <c r="E2148" i="1"/>
  <c r="D2148" i="1"/>
  <c r="E2147" i="1"/>
  <c r="D2147" i="1"/>
  <c r="E2146" i="1"/>
  <c r="D2146" i="1"/>
  <c r="E2145" i="1"/>
  <c r="D2145" i="1"/>
  <c r="E2144" i="1"/>
  <c r="D2144" i="1"/>
  <c r="E2143" i="1"/>
  <c r="D2143" i="1"/>
  <c r="E2142" i="1"/>
  <c r="D2142" i="1"/>
  <c r="E2141" i="1"/>
  <c r="D2141" i="1"/>
  <c r="E2140" i="1"/>
  <c r="D2140" i="1"/>
  <c r="E2139" i="1"/>
  <c r="D2139" i="1"/>
  <c r="E2138" i="1"/>
  <c r="D2138" i="1"/>
  <c r="E2137" i="1"/>
  <c r="D2137" i="1"/>
  <c r="E2136" i="1"/>
  <c r="D2136" i="1"/>
  <c r="E2135" i="1"/>
  <c r="D2135" i="1"/>
  <c r="E2134" i="1"/>
  <c r="D2134" i="1"/>
  <c r="E2133" i="1"/>
  <c r="D2133" i="1"/>
  <c r="E2132" i="1"/>
  <c r="D2132" i="1"/>
  <c r="E2131" i="1"/>
  <c r="D2131" i="1"/>
  <c r="E2130" i="1"/>
  <c r="D2130" i="1"/>
  <c r="E2129" i="1"/>
  <c r="D2129" i="1"/>
  <c r="E2128" i="1"/>
  <c r="D2128" i="1"/>
  <c r="E2127" i="1"/>
  <c r="D2127" i="1"/>
  <c r="E2126" i="1"/>
  <c r="D2126" i="1"/>
  <c r="E2125" i="1"/>
  <c r="D2125" i="1"/>
  <c r="E2124" i="1"/>
  <c r="D2124" i="1"/>
  <c r="E2123" i="1"/>
  <c r="D2123" i="1"/>
  <c r="E2122" i="1"/>
  <c r="D2122" i="1"/>
  <c r="E2121" i="1"/>
  <c r="D2121" i="1"/>
  <c r="E2120" i="1"/>
  <c r="D2120" i="1"/>
  <c r="E2119" i="1"/>
  <c r="D2119" i="1"/>
  <c r="E2118" i="1"/>
  <c r="D2118" i="1"/>
  <c r="E2117" i="1"/>
  <c r="D2117" i="1"/>
  <c r="E2116" i="1"/>
  <c r="D2116" i="1"/>
  <c r="E2115" i="1"/>
  <c r="D2115" i="1"/>
  <c r="E2114" i="1"/>
  <c r="D2114" i="1"/>
  <c r="E2113" i="1"/>
  <c r="D2113" i="1"/>
  <c r="E2112" i="1"/>
  <c r="D2112" i="1"/>
  <c r="E2111" i="1"/>
  <c r="D2111" i="1"/>
  <c r="E2110" i="1"/>
  <c r="D2110" i="1"/>
  <c r="E2109" i="1"/>
  <c r="D2109" i="1"/>
  <c r="E2108" i="1"/>
  <c r="D2108" i="1"/>
  <c r="E2107" i="1"/>
  <c r="D2107" i="1"/>
  <c r="E2106" i="1"/>
  <c r="D2106" i="1"/>
  <c r="E2105" i="1"/>
  <c r="D2105" i="1"/>
  <c r="E2104" i="1"/>
  <c r="D2104" i="1"/>
  <c r="E2103" i="1"/>
  <c r="D2103" i="1"/>
  <c r="E2102" i="1"/>
  <c r="D2102" i="1"/>
  <c r="E2101" i="1"/>
  <c r="D2101" i="1"/>
  <c r="E2100" i="1"/>
  <c r="D2100" i="1"/>
  <c r="E2099" i="1"/>
  <c r="D2099" i="1"/>
  <c r="E2098" i="1"/>
  <c r="D2098" i="1"/>
  <c r="E2097" i="1"/>
  <c r="D2097" i="1"/>
  <c r="E2096" i="1"/>
  <c r="D2096" i="1"/>
  <c r="E2095" i="1"/>
  <c r="D2095" i="1"/>
  <c r="E2094" i="1"/>
  <c r="D2094" i="1"/>
  <c r="E2093" i="1"/>
  <c r="D2093" i="1"/>
  <c r="E2092" i="1"/>
  <c r="D2092" i="1"/>
  <c r="E2091" i="1"/>
  <c r="D2091" i="1"/>
  <c r="E2090" i="1"/>
  <c r="D2090" i="1"/>
  <c r="E2089" i="1"/>
  <c r="D2089" i="1"/>
  <c r="E2088" i="1"/>
  <c r="D2088" i="1"/>
  <c r="E2087" i="1"/>
  <c r="D2087" i="1"/>
  <c r="E2086" i="1"/>
  <c r="D2086" i="1"/>
  <c r="E2085" i="1"/>
  <c r="D2085" i="1"/>
  <c r="E2084" i="1"/>
  <c r="D2084" i="1"/>
  <c r="E2083" i="1"/>
  <c r="D2083" i="1"/>
  <c r="E2082" i="1"/>
  <c r="D2082" i="1"/>
  <c r="E2081" i="1"/>
  <c r="D2081" i="1"/>
  <c r="E2080" i="1"/>
  <c r="D2080" i="1"/>
  <c r="E2079" i="1"/>
  <c r="D2079" i="1"/>
  <c r="E2078" i="1"/>
  <c r="D2078" i="1"/>
  <c r="E2077" i="1"/>
  <c r="D2077" i="1"/>
  <c r="E2076" i="1"/>
  <c r="D2076" i="1"/>
  <c r="E2075" i="1"/>
  <c r="D2075" i="1"/>
  <c r="E2074" i="1"/>
  <c r="D2074" i="1"/>
  <c r="E2073" i="1"/>
  <c r="D2073" i="1"/>
  <c r="E2072" i="1"/>
  <c r="D2072" i="1"/>
  <c r="E2071" i="1"/>
  <c r="D2071" i="1"/>
  <c r="E2070" i="1"/>
  <c r="D2070" i="1"/>
  <c r="E2069" i="1"/>
  <c r="D2069" i="1"/>
  <c r="E2068" i="1"/>
  <c r="D2068" i="1"/>
  <c r="E2067" i="1"/>
  <c r="D2067" i="1"/>
  <c r="E2066" i="1"/>
  <c r="D2066" i="1"/>
  <c r="E2065" i="1"/>
  <c r="D2065" i="1"/>
  <c r="E2064" i="1"/>
  <c r="D2064" i="1"/>
  <c r="E2063" i="1"/>
  <c r="D2063" i="1"/>
  <c r="E2062" i="1"/>
  <c r="D2062" i="1"/>
  <c r="E2061" i="1"/>
  <c r="D2061" i="1"/>
  <c r="E2060" i="1"/>
  <c r="D2060" i="1"/>
  <c r="E2059" i="1"/>
  <c r="D2059" i="1"/>
  <c r="E2058" i="1"/>
  <c r="D2058" i="1"/>
  <c r="E2057" i="1"/>
  <c r="D2057" i="1"/>
  <c r="E2056" i="1"/>
  <c r="D2056" i="1"/>
  <c r="E2055" i="1"/>
  <c r="D2055" i="1"/>
  <c r="E2054" i="1"/>
  <c r="D2054" i="1"/>
  <c r="E2053" i="1"/>
  <c r="D2053" i="1"/>
  <c r="E2052" i="1"/>
  <c r="D2052" i="1"/>
  <c r="E2051" i="1"/>
  <c r="D2051" i="1"/>
  <c r="E2050" i="1"/>
  <c r="D2050" i="1"/>
  <c r="E2049" i="1"/>
  <c r="D2049" i="1"/>
  <c r="E2048" i="1"/>
  <c r="D2048" i="1"/>
  <c r="E2047" i="1"/>
  <c r="D2047" i="1"/>
  <c r="E2046" i="1"/>
  <c r="D2046" i="1"/>
  <c r="E2045" i="1"/>
  <c r="D2045" i="1"/>
  <c r="E2044" i="1"/>
  <c r="D2044" i="1"/>
  <c r="E2043" i="1"/>
  <c r="D2043" i="1"/>
  <c r="E2042" i="1"/>
  <c r="D2042" i="1"/>
  <c r="E2041" i="1"/>
  <c r="D2041" i="1"/>
  <c r="E2040" i="1"/>
  <c r="D2040" i="1"/>
  <c r="E2039" i="1"/>
  <c r="D2039" i="1"/>
  <c r="E2038" i="1"/>
  <c r="D2038" i="1"/>
  <c r="E2037" i="1"/>
  <c r="D2037" i="1"/>
  <c r="E2036" i="1"/>
  <c r="D2036" i="1"/>
  <c r="E2035" i="1"/>
  <c r="D2035" i="1"/>
  <c r="E2034" i="1"/>
  <c r="D2034" i="1"/>
  <c r="E2033" i="1"/>
  <c r="D2033" i="1"/>
  <c r="E2032" i="1"/>
  <c r="D2032" i="1"/>
  <c r="E2031" i="1"/>
  <c r="D2031" i="1"/>
  <c r="E2030" i="1"/>
  <c r="D2030" i="1"/>
  <c r="E2029" i="1"/>
  <c r="D2029" i="1"/>
  <c r="E2028" i="1"/>
  <c r="D2028" i="1"/>
  <c r="E2027" i="1"/>
  <c r="D2027" i="1"/>
  <c r="E2026" i="1"/>
  <c r="D2026" i="1"/>
  <c r="E2025" i="1"/>
  <c r="D2025" i="1"/>
  <c r="E2024" i="1"/>
  <c r="D2024" i="1"/>
  <c r="E2023" i="1"/>
  <c r="D2023" i="1"/>
  <c r="E2022" i="1"/>
  <c r="D2022" i="1"/>
  <c r="E2021" i="1"/>
  <c r="D2021" i="1"/>
  <c r="E2020" i="1"/>
  <c r="D2020" i="1"/>
  <c r="E2019" i="1"/>
  <c r="D2019" i="1"/>
  <c r="E2018" i="1"/>
  <c r="D2018" i="1"/>
  <c r="E2017" i="1"/>
  <c r="D2017" i="1"/>
  <c r="E2016" i="1"/>
  <c r="D2016" i="1"/>
  <c r="E2015" i="1"/>
  <c r="D2015" i="1"/>
  <c r="E2014" i="1"/>
  <c r="D2014" i="1"/>
  <c r="E2013" i="1"/>
  <c r="D2013" i="1"/>
  <c r="E2012" i="1"/>
  <c r="D2012" i="1"/>
  <c r="E2011" i="1"/>
  <c r="D2011" i="1"/>
  <c r="E2010" i="1"/>
  <c r="D2010" i="1"/>
  <c r="E2009" i="1"/>
  <c r="D2009" i="1"/>
  <c r="E2008" i="1"/>
  <c r="D2008" i="1"/>
  <c r="E2007" i="1"/>
  <c r="D2007" i="1"/>
  <c r="E2006" i="1"/>
  <c r="D2006" i="1"/>
  <c r="E2005" i="1"/>
  <c r="D2005" i="1"/>
  <c r="E2004" i="1"/>
  <c r="D2004" i="1"/>
  <c r="E2003" i="1"/>
  <c r="D2003" i="1"/>
  <c r="E2002" i="1"/>
  <c r="D2002" i="1"/>
  <c r="E2001" i="1"/>
  <c r="D2001" i="1"/>
  <c r="E2000" i="1"/>
  <c r="D2000" i="1"/>
  <c r="E1999" i="1"/>
  <c r="D1999" i="1"/>
  <c r="E1998" i="1"/>
  <c r="D1998" i="1"/>
  <c r="E1997" i="1"/>
  <c r="D1997" i="1"/>
  <c r="E1996" i="1"/>
  <c r="D1996" i="1"/>
  <c r="E1995" i="1"/>
  <c r="D1995" i="1"/>
  <c r="E1994" i="1"/>
  <c r="D1994" i="1"/>
  <c r="E1993" i="1"/>
  <c r="D1993" i="1"/>
  <c r="E1992" i="1"/>
  <c r="D1992" i="1"/>
  <c r="E1991" i="1"/>
  <c r="D1991" i="1"/>
  <c r="E1990" i="1"/>
  <c r="D1990" i="1"/>
  <c r="E1989" i="1"/>
  <c r="D1989" i="1"/>
  <c r="E1988" i="1"/>
  <c r="D1988" i="1"/>
  <c r="E1987" i="1"/>
  <c r="D1987" i="1"/>
  <c r="E1986" i="1"/>
  <c r="D1986" i="1"/>
  <c r="E1985" i="1"/>
  <c r="D1985" i="1"/>
  <c r="E1984" i="1"/>
  <c r="D1984" i="1"/>
  <c r="E1983" i="1"/>
  <c r="D1983" i="1"/>
  <c r="E1982" i="1"/>
  <c r="D1982" i="1"/>
  <c r="E1981" i="1"/>
  <c r="D1981" i="1"/>
  <c r="E1980" i="1"/>
  <c r="D1980" i="1"/>
  <c r="E1979" i="1"/>
  <c r="D1979" i="1"/>
  <c r="E1978" i="1"/>
  <c r="D1978" i="1"/>
  <c r="E1977" i="1"/>
  <c r="D1977" i="1"/>
  <c r="E1976" i="1"/>
  <c r="D1976" i="1"/>
  <c r="E1975" i="1"/>
  <c r="D1975" i="1"/>
  <c r="E1974" i="1"/>
  <c r="D1974" i="1"/>
  <c r="E1973" i="1"/>
  <c r="D1973" i="1"/>
  <c r="E1972" i="1"/>
  <c r="D1972" i="1"/>
  <c r="E1971" i="1"/>
  <c r="D1971" i="1"/>
  <c r="E1970" i="1"/>
  <c r="D1970" i="1"/>
  <c r="E1969" i="1"/>
  <c r="D1969" i="1"/>
  <c r="E1968" i="1"/>
  <c r="D1968" i="1"/>
  <c r="E1967" i="1"/>
  <c r="D1967" i="1"/>
  <c r="E1966" i="1"/>
  <c r="D1966" i="1"/>
  <c r="E1965" i="1"/>
  <c r="D1965" i="1"/>
  <c r="E1964" i="1"/>
  <c r="D1964" i="1"/>
  <c r="E1963" i="1"/>
  <c r="D1963" i="1"/>
  <c r="E1962" i="1"/>
  <c r="D1962" i="1"/>
  <c r="E1961" i="1"/>
  <c r="D1961" i="1"/>
  <c r="E1960" i="1"/>
  <c r="D1960" i="1"/>
  <c r="E1959" i="1"/>
  <c r="D1959" i="1"/>
  <c r="E1958" i="1"/>
  <c r="D1958" i="1"/>
  <c r="E1957" i="1"/>
  <c r="D1957" i="1"/>
  <c r="E1956" i="1"/>
  <c r="D1956" i="1"/>
  <c r="E1955" i="1"/>
  <c r="D1955" i="1"/>
  <c r="E1954" i="1"/>
  <c r="D1954" i="1"/>
  <c r="E1953" i="1"/>
  <c r="D1953" i="1"/>
  <c r="E1952" i="1"/>
  <c r="D1952" i="1"/>
  <c r="E1951" i="1"/>
  <c r="D1951" i="1"/>
  <c r="E1950" i="1"/>
  <c r="D1950" i="1"/>
  <c r="E1949" i="1"/>
  <c r="D1949" i="1"/>
  <c r="E1948" i="1"/>
  <c r="D1948" i="1"/>
  <c r="E1947" i="1"/>
  <c r="D1947" i="1"/>
  <c r="E1946" i="1"/>
  <c r="D1946" i="1"/>
  <c r="E1945" i="1"/>
  <c r="D1945" i="1"/>
  <c r="E1944" i="1"/>
  <c r="D1944" i="1"/>
  <c r="E1943" i="1"/>
  <c r="D1943" i="1"/>
  <c r="E1942" i="1"/>
  <c r="D1942" i="1"/>
  <c r="E1941" i="1"/>
  <c r="D1941" i="1"/>
  <c r="E1940" i="1"/>
  <c r="D1940" i="1"/>
  <c r="E1939" i="1"/>
  <c r="D1939" i="1"/>
  <c r="E1938" i="1"/>
  <c r="D1938" i="1"/>
  <c r="E1937" i="1"/>
  <c r="D1937" i="1"/>
  <c r="E1936" i="1"/>
  <c r="D1936" i="1"/>
  <c r="E1935" i="1"/>
  <c r="D1935" i="1"/>
  <c r="E1934" i="1"/>
  <c r="D1934" i="1"/>
  <c r="E1933" i="1"/>
  <c r="D1933" i="1"/>
  <c r="E1932" i="1"/>
  <c r="D1932" i="1"/>
  <c r="E1931" i="1"/>
  <c r="D1931" i="1"/>
  <c r="E1930" i="1"/>
  <c r="D1930" i="1"/>
  <c r="E1929" i="1"/>
  <c r="D1929" i="1"/>
  <c r="E1928" i="1"/>
  <c r="D1928" i="1"/>
  <c r="E1927" i="1"/>
  <c r="D1927" i="1"/>
  <c r="E1926" i="1"/>
  <c r="D1926" i="1"/>
  <c r="E1925" i="1"/>
  <c r="D1925" i="1"/>
  <c r="E1924" i="1"/>
  <c r="D1924" i="1"/>
  <c r="E1923" i="1"/>
  <c r="D1923" i="1"/>
  <c r="E1922" i="1"/>
  <c r="D1922" i="1"/>
  <c r="E1921" i="1"/>
  <c r="D1921" i="1"/>
  <c r="E1920" i="1"/>
  <c r="D1920" i="1"/>
  <c r="E1919" i="1"/>
  <c r="D1919" i="1"/>
  <c r="E1918" i="1"/>
  <c r="D1918" i="1"/>
  <c r="E1917" i="1"/>
  <c r="D1917" i="1"/>
  <c r="E1916" i="1"/>
  <c r="D1916" i="1"/>
  <c r="E1915" i="1"/>
  <c r="D1915" i="1"/>
  <c r="E1914" i="1"/>
  <c r="D1914" i="1"/>
  <c r="E1913" i="1"/>
  <c r="D1913" i="1"/>
  <c r="E1912" i="1"/>
  <c r="D1912" i="1"/>
  <c r="E1911" i="1"/>
  <c r="D1911" i="1"/>
  <c r="E1910" i="1"/>
  <c r="D1910" i="1"/>
  <c r="E1909" i="1"/>
  <c r="D1909" i="1"/>
  <c r="E1908" i="1"/>
  <c r="D1908" i="1"/>
  <c r="E1907" i="1"/>
  <c r="D1907" i="1"/>
  <c r="E1906" i="1"/>
  <c r="D1906" i="1"/>
  <c r="E1905" i="1"/>
  <c r="D1905" i="1"/>
  <c r="E1904" i="1"/>
  <c r="D1904" i="1"/>
  <c r="E1903" i="1"/>
  <c r="D1903" i="1"/>
  <c r="E1902" i="1"/>
  <c r="D1902" i="1"/>
  <c r="E1901" i="1"/>
  <c r="D1901" i="1"/>
  <c r="E1900" i="1"/>
  <c r="D1900" i="1"/>
  <c r="E1899" i="1"/>
  <c r="D1899" i="1"/>
  <c r="E1898" i="1"/>
  <c r="D1898" i="1"/>
  <c r="E1897" i="1"/>
  <c r="D1897" i="1"/>
  <c r="E1896" i="1"/>
  <c r="D1896" i="1"/>
  <c r="E1895" i="1"/>
  <c r="D1895" i="1"/>
  <c r="E1894" i="1"/>
  <c r="D1894" i="1"/>
  <c r="E1893" i="1"/>
  <c r="D1893" i="1"/>
  <c r="E1892" i="1"/>
  <c r="D1892" i="1"/>
  <c r="E1891" i="1"/>
  <c r="D1891" i="1"/>
  <c r="E1890" i="1"/>
  <c r="D1890" i="1"/>
  <c r="E1889" i="1"/>
  <c r="D1889" i="1"/>
  <c r="E1888" i="1"/>
  <c r="D1888" i="1"/>
  <c r="E1887" i="1"/>
  <c r="D1887" i="1"/>
  <c r="E1886" i="1"/>
  <c r="D1886" i="1"/>
  <c r="E1885" i="1"/>
  <c r="D1885" i="1"/>
  <c r="E1884" i="1"/>
  <c r="D1884" i="1"/>
  <c r="E1883" i="1"/>
  <c r="D1883" i="1"/>
  <c r="E1882" i="1"/>
  <c r="D1882" i="1"/>
  <c r="E1881" i="1"/>
  <c r="D1881" i="1"/>
  <c r="E1880" i="1"/>
  <c r="D1880" i="1"/>
  <c r="E1879" i="1"/>
  <c r="D1879" i="1"/>
  <c r="E1878" i="1"/>
  <c r="D1878" i="1"/>
  <c r="E1877" i="1"/>
  <c r="D1877" i="1"/>
  <c r="E1876" i="1"/>
  <c r="D1876" i="1"/>
  <c r="E1875" i="1"/>
  <c r="D1875" i="1"/>
  <c r="E1874" i="1"/>
  <c r="D1874" i="1"/>
  <c r="E1873" i="1"/>
  <c r="D1873" i="1"/>
  <c r="E1872" i="1"/>
  <c r="D1872" i="1"/>
  <c r="E1871" i="1"/>
  <c r="D1871" i="1"/>
  <c r="E1870" i="1"/>
  <c r="D1870" i="1"/>
  <c r="E1869" i="1"/>
  <c r="D1869" i="1"/>
  <c r="E1868" i="1"/>
  <c r="D1868" i="1"/>
  <c r="E1867" i="1"/>
  <c r="D1867" i="1"/>
  <c r="E1866" i="1"/>
  <c r="D1866" i="1"/>
  <c r="E1865" i="1"/>
  <c r="D1865" i="1"/>
  <c r="E1864" i="1"/>
  <c r="D1864" i="1"/>
  <c r="E1863" i="1"/>
  <c r="D1863" i="1"/>
  <c r="E1862" i="1"/>
  <c r="D1862" i="1"/>
  <c r="E1861" i="1"/>
  <c r="D1861" i="1"/>
  <c r="E1860" i="1"/>
  <c r="D1860" i="1"/>
  <c r="E1859" i="1"/>
  <c r="D1859" i="1"/>
  <c r="E1858" i="1"/>
  <c r="D1858" i="1"/>
  <c r="E1857" i="1"/>
  <c r="D1857" i="1"/>
  <c r="E1856" i="1"/>
  <c r="D1856" i="1"/>
  <c r="E1855" i="1"/>
  <c r="D1855" i="1"/>
  <c r="E1854" i="1"/>
  <c r="D1854" i="1"/>
  <c r="E1853" i="1"/>
  <c r="D1853" i="1"/>
  <c r="E1852" i="1"/>
  <c r="D1852" i="1"/>
  <c r="E1851" i="1"/>
  <c r="D1851" i="1"/>
  <c r="E1850" i="1"/>
  <c r="D1850" i="1"/>
  <c r="E1849" i="1"/>
  <c r="D1849" i="1"/>
  <c r="E1848" i="1"/>
  <c r="D1848" i="1"/>
  <c r="E1847" i="1"/>
  <c r="D1847" i="1"/>
  <c r="E1846" i="1"/>
  <c r="D1846" i="1"/>
  <c r="E1845" i="1"/>
  <c r="D1845" i="1"/>
  <c r="E1844" i="1"/>
  <c r="D1844" i="1"/>
  <c r="E1843" i="1"/>
  <c r="D1843" i="1"/>
  <c r="E1842" i="1"/>
  <c r="D1842" i="1"/>
  <c r="E1841" i="1"/>
  <c r="D1841" i="1"/>
  <c r="E1840" i="1"/>
  <c r="D1840" i="1"/>
  <c r="E1839" i="1"/>
  <c r="D1839" i="1"/>
  <c r="E1838" i="1"/>
  <c r="D1838" i="1"/>
  <c r="E1837" i="1"/>
  <c r="D1837" i="1"/>
  <c r="E1836" i="1"/>
  <c r="D1836" i="1"/>
  <c r="E1835" i="1"/>
  <c r="D1835" i="1"/>
  <c r="E1834" i="1"/>
  <c r="D1834" i="1"/>
  <c r="E1833" i="1"/>
  <c r="D1833" i="1"/>
  <c r="E1832" i="1"/>
  <c r="D1832" i="1"/>
  <c r="E1831" i="1"/>
  <c r="D1831" i="1"/>
  <c r="E1830" i="1"/>
  <c r="D1830" i="1"/>
  <c r="E1829" i="1"/>
  <c r="D1829" i="1"/>
  <c r="E1828" i="1"/>
  <c r="D1828" i="1"/>
  <c r="E1827" i="1"/>
  <c r="D1827" i="1"/>
  <c r="E1826" i="1"/>
  <c r="D1826" i="1"/>
  <c r="E1825" i="1"/>
  <c r="D1825" i="1"/>
  <c r="E1824" i="1"/>
  <c r="D1824" i="1"/>
  <c r="E1823" i="1"/>
  <c r="D1823" i="1"/>
  <c r="E1822" i="1"/>
  <c r="D1822" i="1"/>
  <c r="E1821" i="1"/>
  <c r="D1821" i="1"/>
  <c r="E1820" i="1"/>
  <c r="D1820" i="1"/>
  <c r="E1819" i="1"/>
  <c r="D1819" i="1"/>
  <c r="E1818" i="1"/>
  <c r="D1818" i="1"/>
  <c r="E1817" i="1"/>
  <c r="D1817" i="1"/>
  <c r="E1816" i="1"/>
  <c r="D1816" i="1"/>
  <c r="E1815" i="1"/>
  <c r="D1815" i="1"/>
  <c r="E1814" i="1"/>
  <c r="D1814" i="1"/>
  <c r="E1813" i="1"/>
  <c r="D1813" i="1"/>
  <c r="E1812" i="1"/>
  <c r="D1812" i="1"/>
  <c r="E1811" i="1"/>
  <c r="D1811" i="1"/>
  <c r="E1810" i="1"/>
  <c r="D1810" i="1"/>
  <c r="E1809" i="1"/>
  <c r="D1809" i="1"/>
  <c r="E1808" i="1"/>
  <c r="D1808" i="1"/>
  <c r="E1807" i="1"/>
  <c r="D1807" i="1"/>
  <c r="E1806" i="1"/>
  <c r="D1806" i="1"/>
  <c r="E1805" i="1"/>
  <c r="D1805" i="1"/>
  <c r="E1804" i="1"/>
  <c r="D1804" i="1"/>
  <c r="E1803" i="1"/>
  <c r="D1803" i="1"/>
  <c r="E1802" i="1"/>
  <c r="D1802" i="1"/>
  <c r="E1801" i="1"/>
  <c r="D1801" i="1"/>
  <c r="E1800" i="1"/>
  <c r="D1800" i="1"/>
  <c r="E1799" i="1"/>
  <c r="D1799" i="1"/>
  <c r="E1798" i="1"/>
  <c r="D1798" i="1"/>
  <c r="E1797" i="1"/>
  <c r="D1797" i="1"/>
  <c r="E1796" i="1"/>
  <c r="D1796" i="1"/>
  <c r="E1795" i="1"/>
  <c r="D1795" i="1"/>
  <c r="E1794" i="1"/>
  <c r="D1794" i="1"/>
  <c r="E1793" i="1"/>
  <c r="D1793" i="1"/>
  <c r="E1792" i="1"/>
  <c r="D1792" i="1"/>
  <c r="E1791" i="1"/>
  <c r="D1791" i="1"/>
  <c r="E1790" i="1"/>
  <c r="D1790" i="1"/>
  <c r="E1789" i="1"/>
  <c r="D1789" i="1"/>
  <c r="E1788" i="1"/>
  <c r="D1788" i="1"/>
  <c r="E1787" i="1"/>
  <c r="D1787" i="1"/>
  <c r="E1786" i="1"/>
  <c r="D1786" i="1"/>
  <c r="E1785" i="1"/>
  <c r="D1785" i="1"/>
  <c r="E1784" i="1"/>
  <c r="D1784" i="1"/>
  <c r="E1783" i="1"/>
  <c r="D1783" i="1"/>
  <c r="E1782" i="1"/>
  <c r="D1782" i="1"/>
  <c r="E1781" i="1"/>
  <c r="D1781" i="1"/>
  <c r="E1780" i="1"/>
  <c r="D1780" i="1"/>
  <c r="E1779" i="1"/>
  <c r="D1779" i="1"/>
  <c r="E1778" i="1"/>
  <c r="D1778" i="1"/>
  <c r="E1777" i="1"/>
  <c r="D1777" i="1"/>
  <c r="E1776" i="1"/>
  <c r="D1776" i="1"/>
  <c r="E1775" i="1"/>
  <c r="D1775" i="1"/>
  <c r="E1774" i="1"/>
  <c r="D1774" i="1"/>
  <c r="E1773" i="1"/>
  <c r="D1773" i="1"/>
  <c r="E1772" i="1"/>
  <c r="D1772" i="1"/>
  <c r="E1771" i="1"/>
  <c r="D1771" i="1"/>
  <c r="E1770" i="1"/>
  <c r="D1770" i="1"/>
  <c r="E1769" i="1"/>
  <c r="D1769" i="1"/>
  <c r="E1768" i="1"/>
  <c r="D1768" i="1"/>
  <c r="E1767" i="1"/>
  <c r="D1767" i="1"/>
  <c r="E1766" i="1"/>
  <c r="D1766" i="1"/>
  <c r="E1765" i="1"/>
  <c r="D1765" i="1"/>
  <c r="E1764" i="1"/>
  <c r="D1764" i="1"/>
  <c r="E1763" i="1"/>
  <c r="D1763" i="1"/>
  <c r="E1762" i="1"/>
  <c r="D1762" i="1"/>
  <c r="E1761" i="1"/>
  <c r="D1761" i="1"/>
  <c r="E1760" i="1"/>
  <c r="D1760" i="1"/>
  <c r="E1759" i="1"/>
  <c r="D1759" i="1"/>
  <c r="E1758" i="1"/>
  <c r="D1758" i="1"/>
  <c r="E1757" i="1"/>
  <c r="D1757" i="1"/>
  <c r="E1756" i="1"/>
  <c r="D1756" i="1"/>
  <c r="E1755" i="1"/>
  <c r="D1755" i="1"/>
  <c r="E1754" i="1"/>
  <c r="D1754" i="1"/>
  <c r="E1753" i="1"/>
  <c r="D1753" i="1"/>
  <c r="E1752" i="1"/>
  <c r="D1752" i="1"/>
  <c r="E1751" i="1"/>
  <c r="D1751" i="1"/>
  <c r="E1750" i="1"/>
  <c r="D1750" i="1"/>
  <c r="E1749" i="1"/>
  <c r="D1749" i="1"/>
  <c r="E1748" i="1"/>
  <c r="D1748" i="1"/>
  <c r="E1747" i="1"/>
  <c r="D1747" i="1"/>
  <c r="E1746" i="1"/>
  <c r="D1746" i="1"/>
  <c r="E1745" i="1"/>
  <c r="D1745" i="1"/>
  <c r="E1744" i="1"/>
  <c r="D1744" i="1"/>
  <c r="E1743" i="1"/>
  <c r="D1743" i="1"/>
  <c r="E1742" i="1"/>
  <c r="D1742" i="1"/>
  <c r="E1741" i="1"/>
  <c r="D1741" i="1"/>
  <c r="E1740" i="1"/>
  <c r="D1740" i="1"/>
  <c r="E1739" i="1"/>
  <c r="D1739" i="1"/>
  <c r="E1738" i="1"/>
  <c r="D1738" i="1"/>
  <c r="E1737" i="1"/>
  <c r="D1737" i="1"/>
  <c r="E1736" i="1"/>
  <c r="D1736" i="1"/>
  <c r="E1735" i="1"/>
  <c r="D1735" i="1"/>
  <c r="E1734" i="1"/>
  <c r="D1734" i="1"/>
  <c r="E1733" i="1"/>
  <c r="D1733" i="1"/>
  <c r="E1732" i="1"/>
  <c r="D1732" i="1"/>
  <c r="E1731" i="1"/>
  <c r="D1731" i="1"/>
  <c r="E1730" i="1"/>
  <c r="D1730" i="1"/>
  <c r="E1729" i="1"/>
  <c r="D1729" i="1"/>
  <c r="E1728" i="1"/>
  <c r="D1728" i="1"/>
  <c r="E1727" i="1"/>
  <c r="D1727" i="1"/>
  <c r="E1726" i="1"/>
  <c r="D1726" i="1"/>
  <c r="E1725" i="1"/>
  <c r="D1725" i="1"/>
  <c r="E1724" i="1"/>
  <c r="D1724" i="1"/>
  <c r="E1723" i="1"/>
  <c r="D1723" i="1"/>
  <c r="E1722" i="1"/>
  <c r="D1722" i="1"/>
  <c r="E1721" i="1"/>
  <c r="D1721" i="1"/>
  <c r="E1720" i="1"/>
  <c r="D1720" i="1"/>
  <c r="E1719" i="1"/>
  <c r="D1719" i="1"/>
  <c r="E1718" i="1"/>
  <c r="D1718" i="1"/>
  <c r="E1717" i="1"/>
  <c r="D1717" i="1"/>
  <c r="E1716" i="1"/>
  <c r="D1716" i="1"/>
  <c r="E1715" i="1"/>
  <c r="D1715" i="1"/>
  <c r="E1714" i="1"/>
  <c r="D1714" i="1"/>
  <c r="E1713" i="1"/>
  <c r="D1713" i="1"/>
  <c r="E1712" i="1"/>
  <c r="D1712" i="1"/>
  <c r="E1711" i="1"/>
  <c r="D1711" i="1"/>
  <c r="E1710" i="1"/>
  <c r="D1710" i="1"/>
  <c r="E1709" i="1"/>
  <c r="D1709" i="1"/>
  <c r="E1708" i="1"/>
  <c r="D1708" i="1"/>
  <c r="E1707" i="1"/>
  <c r="D1707" i="1"/>
  <c r="E1706" i="1"/>
  <c r="D1706" i="1"/>
  <c r="E1705" i="1"/>
  <c r="D1705" i="1"/>
  <c r="E1704" i="1"/>
  <c r="D1704" i="1"/>
  <c r="E1703" i="1"/>
  <c r="D1703" i="1"/>
  <c r="E1702" i="1"/>
  <c r="D1702" i="1"/>
  <c r="E1701" i="1"/>
  <c r="D1701" i="1"/>
  <c r="E1700" i="1"/>
  <c r="D1700" i="1"/>
  <c r="E1699" i="1"/>
  <c r="D1699" i="1"/>
  <c r="E1698" i="1"/>
  <c r="D1698" i="1"/>
  <c r="E1697" i="1"/>
  <c r="D1697" i="1"/>
  <c r="E1696" i="1"/>
  <c r="D1696" i="1"/>
  <c r="E1695" i="1"/>
  <c r="D1695" i="1"/>
  <c r="E1694" i="1"/>
  <c r="D1694" i="1"/>
  <c r="E1693" i="1"/>
  <c r="D1693" i="1"/>
  <c r="E1692" i="1"/>
  <c r="D1692" i="1"/>
  <c r="E1691" i="1"/>
  <c r="D1691" i="1"/>
  <c r="E1690" i="1"/>
  <c r="D1690" i="1"/>
  <c r="E1689" i="1"/>
  <c r="D1689" i="1"/>
  <c r="E1688" i="1"/>
  <c r="D1688" i="1"/>
  <c r="E1687" i="1"/>
  <c r="D1687" i="1"/>
  <c r="E1686" i="1"/>
  <c r="D1686" i="1"/>
  <c r="E1685" i="1"/>
  <c r="D1685" i="1"/>
  <c r="E1684" i="1"/>
  <c r="D1684" i="1"/>
  <c r="E1683" i="1"/>
  <c r="D1683" i="1"/>
  <c r="E1682" i="1"/>
  <c r="D1682" i="1"/>
  <c r="E1681" i="1"/>
  <c r="D1681" i="1"/>
  <c r="E1680" i="1"/>
  <c r="D1680" i="1"/>
  <c r="E1679" i="1"/>
  <c r="D1679" i="1"/>
  <c r="E1678" i="1"/>
  <c r="D1678" i="1"/>
  <c r="E1677" i="1"/>
  <c r="D1677" i="1"/>
  <c r="E1676" i="1"/>
  <c r="D1676" i="1"/>
  <c r="E1675" i="1"/>
  <c r="D1675" i="1"/>
  <c r="E1674" i="1"/>
  <c r="D1674" i="1"/>
  <c r="E1673" i="1"/>
  <c r="D1673" i="1"/>
  <c r="E1672" i="1"/>
  <c r="D1672" i="1"/>
  <c r="E1671" i="1"/>
  <c r="D1671" i="1"/>
  <c r="E1670" i="1"/>
  <c r="D1670" i="1"/>
  <c r="E1669" i="1"/>
  <c r="D1669" i="1"/>
  <c r="E1668" i="1"/>
  <c r="D1668" i="1"/>
  <c r="E1667" i="1"/>
  <c r="D1667" i="1"/>
  <c r="E1666" i="1"/>
  <c r="D1666" i="1"/>
  <c r="E1665" i="1"/>
  <c r="D1665" i="1"/>
  <c r="E1664" i="1"/>
  <c r="D1664" i="1"/>
  <c r="E1663" i="1"/>
  <c r="D1663" i="1"/>
  <c r="E1662" i="1"/>
  <c r="D1662" i="1"/>
  <c r="E1661" i="1"/>
  <c r="D1661" i="1"/>
  <c r="E1660" i="1"/>
  <c r="D1660" i="1"/>
  <c r="E1659" i="1"/>
  <c r="D1659" i="1"/>
  <c r="E1658" i="1"/>
  <c r="D1658" i="1"/>
  <c r="E1657" i="1"/>
  <c r="D1657" i="1"/>
  <c r="E1656" i="1"/>
  <c r="D1656" i="1"/>
  <c r="E1655" i="1"/>
  <c r="D1655" i="1"/>
  <c r="E1654" i="1"/>
  <c r="D1654" i="1"/>
  <c r="E1653" i="1"/>
  <c r="D1653" i="1"/>
  <c r="E1652" i="1"/>
  <c r="D1652" i="1"/>
  <c r="E1651" i="1"/>
  <c r="D1651" i="1"/>
  <c r="E1650" i="1"/>
  <c r="D1650" i="1"/>
  <c r="E1649" i="1"/>
  <c r="D1649" i="1"/>
  <c r="E1648" i="1"/>
  <c r="D1648" i="1"/>
  <c r="E1647" i="1"/>
  <c r="D1647" i="1"/>
  <c r="E1646" i="1"/>
  <c r="D1646" i="1"/>
  <c r="E1645" i="1"/>
  <c r="D1645" i="1"/>
  <c r="E1644" i="1"/>
  <c r="D1644" i="1"/>
  <c r="E1643" i="1"/>
  <c r="D1643" i="1"/>
  <c r="E1642" i="1"/>
  <c r="D1642" i="1"/>
  <c r="E1641" i="1"/>
  <c r="D1641" i="1"/>
  <c r="E1640" i="1"/>
  <c r="D1640" i="1"/>
  <c r="E1639" i="1"/>
  <c r="D1639" i="1"/>
  <c r="E1638" i="1"/>
  <c r="D1638" i="1"/>
  <c r="E1637" i="1"/>
  <c r="D1637" i="1"/>
  <c r="E1636" i="1"/>
  <c r="D1636" i="1"/>
  <c r="E1635" i="1"/>
  <c r="D1635" i="1"/>
  <c r="E1634" i="1"/>
  <c r="D1634" i="1"/>
  <c r="E1633" i="1"/>
  <c r="D1633" i="1"/>
  <c r="E1632" i="1"/>
  <c r="D1632" i="1"/>
  <c r="E1631" i="1"/>
  <c r="D1631" i="1"/>
  <c r="E1630" i="1"/>
  <c r="D1630" i="1"/>
  <c r="E1629" i="1"/>
  <c r="D1629" i="1"/>
  <c r="E1628" i="1"/>
  <c r="D1628" i="1"/>
  <c r="E1627" i="1"/>
  <c r="D1627" i="1"/>
  <c r="E1626" i="1"/>
  <c r="D1626" i="1"/>
  <c r="E1625" i="1"/>
  <c r="D1625" i="1"/>
  <c r="E1624" i="1"/>
  <c r="D1624" i="1"/>
  <c r="E1623" i="1"/>
  <c r="D1623" i="1"/>
  <c r="E1622" i="1"/>
  <c r="D1622" i="1"/>
  <c r="E1621" i="1"/>
  <c r="D1621" i="1"/>
  <c r="E1620" i="1"/>
  <c r="D1620" i="1"/>
  <c r="E1619" i="1"/>
  <c r="D1619" i="1"/>
  <c r="E1618" i="1"/>
  <c r="D1618" i="1"/>
  <c r="E1617" i="1"/>
  <c r="D1617" i="1"/>
  <c r="E1616" i="1"/>
  <c r="D1616" i="1"/>
  <c r="E1615" i="1"/>
  <c r="D1615" i="1"/>
  <c r="E1614" i="1"/>
  <c r="D1614" i="1"/>
  <c r="E1613" i="1"/>
  <c r="D1613" i="1"/>
  <c r="E1612" i="1"/>
  <c r="D1612" i="1"/>
  <c r="E1611" i="1"/>
  <c r="D1611" i="1"/>
  <c r="E1610" i="1"/>
  <c r="D1610" i="1"/>
  <c r="E1609" i="1"/>
  <c r="D1609" i="1"/>
  <c r="E1608" i="1"/>
  <c r="D1608" i="1"/>
  <c r="E1607" i="1"/>
  <c r="D1607" i="1"/>
  <c r="E1606" i="1"/>
  <c r="D1606" i="1"/>
  <c r="E1605" i="1"/>
  <c r="D1605" i="1"/>
  <c r="E1604" i="1"/>
  <c r="D1604" i="1"/>
  <c r="E1603" i="1"/>
  <c r="D1603" i="1"/>
  <c r="E1602" i="1"/>
  <c r="D1602" i="1"/>
  <c r="E1601" i="1"/>
  <c r="D1601" i="1"/>
  <c r="E1600" i="1"/>
  <c r="D1600" i="1"/>
  <c r="E1599" i="1"/>
  <c r="D1599" i="1"/>
  <c r="E1598" i="1"/>
  <c r="D1598" i="1"/>
  <c r="E1597" i="1"/>
  <c r="D1597" i="1"/>
  <c r="E1596" i="1"/>
  <c r="D1596" i="1"/>
  <c r="E1595" i="1"/>
  <c r="D1595" i="1"/>
  <c r="E1594" i="1"/>
  <c r="D1594" i="1"/>
  <c r="E1593" i="1"/>
  <c r="D1593" i="1"/>
  <c r="E1592" i="1"/>
  <c r="D1592" i="1"/>
  <c r="E1591" i="1"/>
  <c r="D1591" i="1"/>
  <c r="E1590" i="1"/>
  <c r="D1590" i="1"/>
  <c r="E1589" i="1"/>
  <c r="D1589" i="1"/>
  <c r="E1588" i="1"/>
  <c r="D1588" i="1"/>
  <c r="E1587" i="1"/>
  <c r="D1587" i="1"/>
  <c r="E1586" i="1"/>
  <c r="D1586" i="1"/>
  <c r="E1585" i="1"/>
  <c r="D1585" i="1"/>
  <c r="E1584" i="1"/>
  <c r="D1584" i="1"/>
  <c r="E1583" i="1"/>
  <c r="D1583" i="1"/>
  <c r="E1582" i="1"/>
  <c r="D1582" i="1"/>
  <c r="E1581" i="1"/>
  <c r="D1581" i="1"/>
  <c r="E1580" i="1"/>
  <c r="D1580" i="1"/>
  <c r="E1579" i="1"/>
  <c r="D1579" i="1"/>
  <c r="E1578" i="1"/>
  <c r="D1578" i="1"/>
  <c r="E1577" i="1"/>
  <c r="D1577" i="1"/>
  <c r="E1576" i="1"/>
  <c r="D1576" i="1"/>
  <c r="E1575" i="1"/>
  <c r="D1575" i="1"/>
  <c r="E1574" i="1"/>
  <c r="D1574" i="1"/>
  <c r="E1573" i="1"/>
  <c r="D1573" i="1"/>
  <c r="E1572" i="1"/>
  <c r="D1572" i="1"/>
  <c r="E1571" i="1"/>
  <c r="D1571" i="1"/>
  <c r="E1570" i="1"/>
  <c r="D1570" i="1"/>
  <c r="E1569" i="1"/>
  <c r="D1569" i="1"/>
  <c r="E1568" i="1"/>
  <c r="D1568" i="1"/>
  <c r="E1567" i="1"/>
  <c r="D1567" i="1"/>
  <c r="E1566" i="1"/>
  <c r="D1566" i="1"/>
  <c r="E1565" i="1"/>
  <c r="D1565" i="1"/>
  <c r="E1564" i="1"/>
  <c r="D1564" i="1"/>
  <c r="E1563" i="1"/>
  <c r="D1563" i="1"/>
  <c r="E1562" i="1"/>
  <c r="D1562" i="1"/>
  <c r="E1561" i="1"/>
  <c r="D1561" i="1"/>
  <c r="E1560" i="1"/>
  <c r="D1560" i="1"/>
  <c r="E1559" i="1"/>
  <c r="D1559" i="1"/>
  <c r="E1558" i="1"/>
  <c r="D1558" i="1"/>
  <c r="E1557" i="1"/>
  <c r="D1557" i="1"/>
  <c r="E1556" i="1"/>
  <c r="D1556" i="1"/>
  <c r="E1555" i="1"/>
  <c r="D1555" i="1"/>
  <c r="E1554" i="1"/>
  <c r="D1554" i="1"/>
  <c r="E1553" i="1"/>
  <c r="D1553" i="1"/>
  <c r="E1552" i="1"/>
  <c r="D1552" i="1"/>
  <c r="E1551" i="1"/>
  <c r="D1551" i="1"/>
  <c r="E1550" i="1"/>
  <c r="D1550" i="1"/>
  <c r="E1549" i="1"/>
  <c r="D1549" i="1"/>
  <c r="E1548" i="1"/>
  <c r="D1548" i="1"/>
  <c r="E1547" i="1"/>
  <c r="D1547" i="1"/>
  <c r="E1546" i="1"/>
  <c r="D1546" i="1"/>
  <c r="E1545" i="1"/>
  <c r="D1545" i="1"/>
  <c r="E1544" i="1"/>
  <c r="D1544" i="1"/>
  <c r="E1543" i="1"/>
  <c r="D1543" i="1"/>
  <c r="E1542" i="1"/>
  <c r="D1542" i="1"/>
  <c r="E1541" i="1"/>
  <c r="D1541" i="1"/>
  <c r="E1540" i="1"/>
  <c r="D1540" i="1"/>
  <c r="E1539" i="1"/>
  <c r="D1539" i="1"/>
  <c r="E1538" i="1"/>
  <c r="D1538" i="1"/>
  <c r="E1537" i="1"/>
  <c r="D1537" i="1"/>
  <c r="E1536" i="1"/>
  <c r="D1536" i="1"/>
  <c r="E1535" i="1"/>
  <c r="D1535" i="1"/>
  <c r="E1534" i="1"/>
  <c r="D1534" i="1"/>
  <c r="E1533" i="1"/>
  <c r="D1533" i="1"/>
  <c r="E1532" i="1"/>
  <c r="D1532" i="1"/>
  <c r="E1531" i="1"/>
  <c r="D1531" i="1"/>
  <c r="E1530" i="1"/>
  <c r="D1530" i="1"/>
  <c r="E1529" i="1"/>
  <c r="D1529" i="1"/>
  <c r="E1528" i="1"/>
  <c r="D1528" i="1"/>
  <c r="E1527" i="1"/>
  <c r="D1527" i="1"/>
  <c r="E1526" i="1"/>
  <c r="D1526" i="1"/>
  <c r="E1525" i="1"/>
  <c r="D1525" i="1"/>
  <c r="E1524" i="1"/>
  <c r="D1524" i="1"/>
  <c r="E1523" i="1"/>
  <c r="D1523" i="1"/>
  <c r="E1522" i="1"/>
  <c r="D1522" i="1"/>
  <c r="E1521" i="1"/>
  <c r="D1521" i="1"/>
  <c r="E1520" i="1"/>
  <c r="D1520" i="1"/>
  <c r="E1519" i="1"/>
  <c r="D1519" i="1"/>
  <c r="E1518" i="1"/>
  <c r="D1518" i="1"/>
  <c r="E1517" i="1"/>
  <c r="D1517" i="1"/>
  <c r="E1516" i="1"/>
  <c r="D1516" i="1"/>
  <c r="E1515" i="1"/>
  <c r="D1515" i="1"/>
  <c r="E1514" i="1"/>
  <c r="D1514" i="1"/>
  <c r="E1513" i="1"/>
  <c r="D1513" i="1"/>
  <c r="E1512" i="1"/>
  <c r="D1512" i="1"/>
  <c r="E1511" i="1"/>
  <c r="D1511" i="1"/>
  <c r="E1510" i="1"/>
  <c r="D1510" i="1"/>
  <c r="E1509" i="1"/>
  <c r="D1509" i="1"/>
  <c r="E1508" i="1"/>
  <c r="D1508" i="1"/>
  <c r="E1507" i="1"/>
  <c r="D1507" i="1"/>
  <c r="E1506" i="1"/>
  <c r="D1506" i="1"/>
  <c r="E1505" i="1"/>
  <c r="D1505" i="1"/>
  <c r="E1504" i="1"/>
  <c r="D1504" i="1"/>
  <c r="E1503" i="1"/>
  <c r="D1503" i="1"/>
  <c r="E1502" i="1"/>
  <c r="D1502" i="1"/>
  <c r="E1501" i="1"/>
  <c r="D1501" i="1"/>
  <c r="E1500" i="1"/>
  <c r="D1500" i="1"/>
  <c r="E1499" i="1"/>
  <c r="D1499" i="1"/>
  <c r="E1498" i="1"/>
  <c r="D1498" i="1"/>
  <c r="E1497" i="1"/>
  <c r="D1497" i="1"/>
  <c r="E1496" i="1"/>
  <c r="D1496" i="1"/>
  <c r="E1495" i="1"/>
  <c r="D1495" i="1"/>
  <c r="E1494" i="1"/>
  <c r="D1494" i="1"/>
  <c r="E1493" i="1"/>
  <c r="D1493" i="1"/>
  <c r="E1492" i="1"/>
  <c r="D1492" i="1"/>
  <c r="E1491" i="1"/>
  <c r="D1491" i="1"/>
  <c r="E1490" i="1"/>
  <c r="D1490" i="1"/>
  <c r="E1489" i="1"/>
  <c r="D1489" i="1"/>
  <c r="E1488" i="1"/>
  <c r="D1488" i="1"/>
  <c r="E1487" i="1"/>
  <c r="D1487" i="1"/>
  <c r="E1486" i="1"/>
  <c r="D1486" i="1"/>
  <c r="E1485" i="1"/>
  <c r="D1485" i="1"/>
  <c r="E1484" i="1"/>
  <c r="D1484" i="1"/>
  <c r="E1483" i="1"/>
  <c r="D1483" i="1"/>
  <c r="E1482" i="1"/>
  <c r="D1482" i="1"/>
  <c r="E1481" i="1"/>
  <c r="D1481" i="1"/>
  <c r="E1480" i="1"/>
  <c r="D1480" i="1"/>
  <c r="E1479" i="1"/>
  <c r="D1479" i="1"/>
  <c r="E1478" i="1"/>
  <c r="D1478" i="1"/>
  <c r="E1477" i="1"/>
  <c r="D1477" i="1"/>
  <c r="E1476" i="1"/>
  <c r="D1476" i="1"/>
  <c r="E1475" i="1"/>
  <c r="D1475" i="1"/>
  <c r="E1474" i="1"/>
  <c r="D1474" i="1"/>
  <c r="E1473" i="1"/>
  <c r="D1473" i="1"/>
  <c r="E1472" i="1"/>
  <c r="D1472" i="1"/>
  <c r="E1471" i="1"/>
  <c r="D1471" i="1"/>
  <c r="E1470" i="1"/>
  <c r="D1470" i="1"/>
  <c r="E1469" i="1"/>
  <c r="D1469" i="1"/>
  <c r="E1468" i="1"/>
  <c r="D1468" i="1"/>
  <c r="E1467" i="1"/>
  <c r="D1467" i="1"/>
  <c r="E1466" i="1"/>
  <c r="D1466" i="1"/>
  <c r="E1465" i="1"/>
  <c r="D1465" i="1"/>
  <c r="E1464" i="1"/>
  <c r="D1464" i="1"/>
  <c r="E1463" i="1"/>
  <c r="D1463" i="1"/>
  <c r="E1462" i="1"/>
  <c r="D1462" i="1"/>
  <c r="E1461" i="1"/>
  <c r="D1461" i="1"/>
  <c r="E1460" i="1"/>
  <c r="D1460" i="1"/>
  <c r="E1459" i="1"/>
  <c r="D1459" i="1"/>
  <c r="E1458" i="1"/>
  <c r="D1458" i="1"/>
  <c r="E1457" i="1"/>
  <c r="D1457" i="1"/>
  <c r="E1456" i="1"/>
  <c r="D1456" i="1"/>
  <c r="E1455" i="1"/>
  <c r="D1455" i="1"/>
  <c r="E1454" i="1"/>
  <c r="D1454" i="1"/>
  <c r="E1453" i="1"/>
  <c r="D1453" i="1"/>
  <c r="E1452" i="1"/>
  <c r="D1452" i="1"/>
  <c r="E1451" i="1"/>
  <c r="D1451" i="1"/>
  <c r="E1450" i="1"/>
  <c r="D1450" i="1"/>
  <c r="E1449" i="1"/>
  <c r="D1449" i="1"/>
  <c r="E1448" i="1"/>
  <c r="D1448" i="1"/>
  <c r="E1447" i="1"/>
  <c r="D1447" i="1"/>
  <c r="E1446" i="1"/>
  <c r="D1446" i="1"/>
  <c r="E1445" i="1"/>
  <c r="D1445" i="1"/>
  <c r="E1444" i="1"/>
  <c r="D1444" i="1"/>
  <c r="E1443" i="1"/>
  <c r="D1443" i="1"/>
  <c r="E1442" i="1"/>
  <c r="D1442" i="1"/>
  <c r="E1441" i="1"/>
  <c r="D1441" i="1"/>
  <c r="E1440" i="1"/>
  <c r="D1440" i="1"/>
  <c r="E1439" i="1"/>
  <c r="D1439" i="1"/>
  <c r="E1438" i="1"/>
  <c r="D1438" i="1"/>
  <c r="E1437" i="1"/>
  <c r="D1437" i="1"/>
  <c r="E1436" i="1"/>
  <c r="D1436" i="1"/>
  <c r="E1435" i="1"/>
  <c r="D1435" i="1"/>
  <c r="E1434" i="1"/>
  <c r="D1434" i="1"/>
  <c r="E1433" i="1"/>
  <c r="D1433" i="1"/>
  <c r="E1432" i="1"/>
  <c r="D1432" i="1"/>
  <c r="E1431" i="1"/>
  <c r="D1431" i="1"/>
  <c r="E1430" i="1"/>
  <c r="D1430" i="1"/>
  <c r="E1429" i="1"/>
  <c r="D1429" i="1"/>
  <c r="E1428" i="1"/>
  <c r="D1428" i="1"/>
  <c r="E1427" i="1"/>
  <c r="D1427" i="1"/>
  <c r="E1426" i="1"/>
  <c r="D1426" i="1"/>
  <c r="E1425" i="1"/>
  <c r="D1425" i="1"/>
  <c r="E1424" i="1"/>
  <c r="D1424" i="1"/>
  <c r="E1423" i="1"/>
  <c r="D1423" i="1"/>
  <c r="E1422" i="1"/>
  <c r="D1422" i="1"/>
  <c r="E1421" i="1"/>
  <c r="D1421" i="1"/>
  <c r="E1420" i="1"/>
  <c r="D1420" i="1"/>
  <c r="E1419" i="1"/>
  <c r="D1419" i="1"/>
  <c r="E1418" i="1"/>
  <c r="D1418" i="1"/>
  <c r="E1417" i="1"/>
  <c r="D1417" i="1"/>
  <c r="E1416" i="1"/>
  <c r="D1416" i="1"/>
  <c r="E1415" i="1"/>
  <c r="D1415" i="1"/>
  <c r="E1414" i="1"/>
  <c r="D1414" i="1"/>
  <c r="E1413" i="1"/>
  <c r="D1413" i="1"/>
  <c r="E1412" i="1"/>
  <c r="D1412" i="1"/>
  <c r="E1411" i="1"/>
  <c r="D1411" i="1"/>
  <c r="E1410" i="1"/>
  <c r="D1410" i="1"/>
  <c r="E1409" i="1"/>
  <c r="D1409" i="1"/>
  <c r="E1408" i="1"/>
  <c r="D1408" i="1"/>
  <c r="E1407" i="1"/>
  <c r="D1407" i="1"/>
  <c r="E1406" i="1"/>
  <c r="D1406" i="1"/>
  <c r="E1405" i="1"/>
  <c r="D1405" i="1"/>
  <c r="E1404" i="1"/>
  <c r="D1404" i="1"/>
  <c r="E1403" i="1"/>
  <c r="D1403" i="1"/>
  <c r="E1402" i="1"/>
  <c r="D1402" i="1"/>
  <c r="E1401" i="1"/>
  <c r="D1401" i="1"/>
  <c r="E1400" i="1"/>
  <c r="D1400" i="1"/>
  <c r="E1399" i="1"/>
  <c r="D1399" i="1"/>
  <c r="E1398" i="1"/>
  <c r="D1398" i="1"/>
  <c r="E1397" i="1"/>
  <c r="D1397" i="1"/>
  <c r="E1396" i="1"/>
  <c r="D1396" i="1"/>
  <c r="E1395" i="1"/>
  <c r="D1395" i="1"/>
  <c r="E1394" i="1"/>
  <c r="D1394" i="1"/>
  <c r="E1393" i="1"/>
  <c r="D1393" i="1"/>
  <c r="E1392" i="1"/>
  <c r="D1392" i="1"/>
  <c r="E1391" i="1"/>
  <c r="D1391" i="1"/>
  <c r="E1390" i="1"/>
  <c r="D1390" i="1"/>
  <c r="E1389" i="1"/>
  <c r="D1389" i="1"/>
  <c r="E1388" i="1"/>
  <c r="D1388" i="1"/>
  <c r="E1387" i="1"/>
  <c r="D1387" i="1"/>
  <c r="E1386" i="1"/>
  <c r="D1386" i="1"/>
  <c r="E1385" i="1"/>
  <c r="D1385" i="1"/>
  <c r="E1384" i="1"/>
  <c r="D1384" i="1"/>
  <c r="E1383" i="1"/>
  <c r="D1383" i="1"/>
  <c r="E1382" i="1"/>
  <c r="D1382" i="1"/>
  <c r="E1381" i="1"/>
  <c r="D1381" i="1"/>
  <c r="E1380" i="1"/>
  <c r="D1380" i="1"/>
  <c r="E1379" i="1"/>
  <c r="D1379" i="1"/>
  <c r="E1378" i="1"/>
  <c r="D1378" i="1"/>
  <c r="E1377" i="1"/>
  <c r="D1377" i="1"/>
  <c r="E1376" i="1"/>
  <c r="D1376" i="1"/>
  <c r="E1375" i="1"/>
  <c r="D1375" i="1"/>
  <c r="E1374" i="1"/>
  <c r="D1374" i="1"/>
  <c r="E1373" i="1"/>
  <c r="D1373" i="1"/>
  <c r="E1372" i="1"/>
  <c r="D1372" i="1"/>
  <c r="E1371" i="1"/>
  <c r="D1371" i="1"/>
  <c r="E1370" i="1"/>
  <c r="D1370" i="1"/>
  <c r="E1369" i="1"/>
  <c r="D1369" i="1"/>
  <c r="E1368" i="1"/>
  <c r="D1368" i="1"/>
  <c r="E1367" i="1"/>
  <c r="D1367" i="1"/>
  <c r="E1366" i="1"/>
  <c r="D1366" i="1"/>
  <c r="E1365" i="1"/>
  <c r="D1365" i="1"/>
  <c r="E1364" i="1"/>
  <c r="D1364" i="1"/>
  <c r="E1363" i="1"/>
  <c r="D1363" i="1"/>
  <c r="E1362" i="1"/>
  <c r="D1362" i="1"/>
  <c r="E1361" i="1"/>
  <c r="D1361" i="1"/>
  <c r="E1360" i="1"/>
  <c r="D1360" i="1"/>
  <c r="E1359" i="1"/>
  <c r="D1359" i="1"/>
  <c r="E1358" i="1"/>
  <c r="D1358" i="1"/>
  <c r="E1357" i="1"/>
  <c r="D1357" i="1"/>
  <c r="E1356" i="1"/>
  <c r="D1356" i="1"/>
  <c r="E1355" i="1"/>
  <c r="D1355" i="1"/>
  <c r="E1354" i="1"/>
  <c r="D1354" i="1"/>
  <c r="E1353" i="1"/>
  <c r="D1353" i="1"/>
  <c r="E1352" i="1"/>
  <c r="D1352" i="1"/>
  <c r="E1351" i="1"/>
  <c r="D1351" i="1"/>
  <c r="E1350" i="1"/>
  <c r="D1350" i="1"/>
  <c r="E1349" i="1"/>
  <c r="D1349" i="1"/>
  <c r="E1348" i="1"/>
  <c r="D1348" i="1"/>
  <c r="E1347" i="1"/>
  <c r="D1347" i="1"/>
  <c r="E1346" i="1"/>
  <c r="D1346" i="1"/>
  <c r="E1345" i="1"/>
  <c r="D1345" i="1"/>
  <c r="E1344" i="1"/>
  <c r="D1344" i="1"/>
  <c r="E1343" i="1"/>
  <c r="D1343" i="1"/>
  <c r="E1342" i="1"/>
  <c r="D1342" i="1"/>
  <c r="E1341" i="1"/>
  <c r="D1341" i="1"/>
  <c r="E1340" i="1"/>
  <c r="D1340" i="1"/>
  <c r="E1339" i="1"/>
  <c r="D1339" i="1"/>
  <c r="E1338" i="1"/>
  <c r="D1338" i="1"/>
  <c r="E1337" i="1"/>
  <c r="D1337" i="1"/>
  <c r="E1336" i="1"/>
  <c r="D1336" i="1"/>
  <c r="E1335" i="1"/>
  <c r="D1335" i="1"/>
  <c r="E1334" i="1"/>
  <c r="D1334" i="1"/>
  <c r="E1333" i="1"/>
  <c r="D1333" i="1"/>
  <c r="E1332" i="1"/>
  <c r="D1332" i="1"/>
  <c r="E1331" i="1"/>
  <c r="D1331" i="1"/>
  <c r="E1330" i="1"/>
  <c r="D1330" i="1"/>
  <c r="E1329" i="1"/>
  <c r="D1329" i="1"/>
  <c r="E1328" i="1"/>
  <c r="D1328" i="1"/>
  <c r="E1327" i="1"/>
  <c r="D1327" i="1"/>
  <c r="E1326" i="1"/>
  <c r="D1326" i="1"/>
  <c r="E1325" i="1"/>
  <c r="D1325" i="1"/>
  <c r="E1324" i="1"/>
  <c r="D1324" i="1"/>
  <c r="E1323" i="1"/>
  <c r="D1323" i="1"/>
  <c r="E1322" i="1"/>
  <c r="D1322" i="1"/>
  <c r="E1321" i="1"/>
  <c r="D1321" i="1"/>
  <c r="E1320" i="1"/>
  <c r="D1320" i="1"/>
  <c r="E1319" i="1"/>
  <c r="D1319" i="1"/>
  <c r="E1318" i="1"/>
  <c r="D1318" i="1"/>
  <c r="E1317" i="1"/>
  <c r="D1317" i="1"/>
  <c r="E1316" i="1"/>
  <c r="D1316" i="1"/>
  <c r="E1315" i="1"/>
  <c r="D1315" i="1"/>
  <c r="E1314" i="1"/>
  <c r="D1314" i="1"/>
  <c r="E1313" i="1"/>
  <c r="D1313" i="1"/>
  <c r="E1312" i="1"/>
  <c r="D1312" i="1"/>
  <c r="E1311" i="1"/>
  <c r="D1311" i="1"/>
  <c r="E1310" i="1"/>
  <c r="D1310" i="1"/>
  <c r="E1309" i="1"/>
  <c r="D1309" i="1"/>
  <c r="E1308" i="1"/>
  <c r="D1308" i="1"/>
  <c r="E1307" i="1"/>
  <c r="D1307" i="1"/>
  <c r="E1306" i="1"/>
  <c r="D1306" i="1"/>
  <c r="E1305" i="1"/>
  <c r="D1305" i="1"/>
  <c r="E1304" i="1"/>
  <c r="D1304" i="1"/>
  <c r="E1303" i="1"/>
  <c r="D1303" i="1"/>
  <c r="E1302" i="1"/>
  <c r="D1302" i="1"/>
  <c r="E1301" i="1"/>
  <c r="D1301" i="1"/>
  <c r="E1300" i="1"/>
  <c r="D1300" i="1"/>
  <c r="E1299" i="1"/>
  <c r="D1299" i="1"/>
  <c r="E1298" i="1"/>
  <c r="D1298" i="1"/>
  <c r="E1297" i="1"/>
  <c r="D1297" i="1"/>
  <c r="E1296" i="1"/>
  <c r="D1296" i="1"/>
  <c r="E1295" i="1"/>
  <c r="D1295" i="1"/>
  <c r="E1294" i="1"/>
  <c r="D1294" i="1"/>
  <c r="E1293" i="1"/>
  <c r="D1293" i="1"/>
  <c r="E1292" i="1"/>
  <c r="D1292" i="1"/>
  <c r="E1291" i="1"/>
  <c r="D1291" i="1"/>
  <c r="E1290" i="1"/>
  <c r="D1290" i="1"/>
  <c r="E1289" i="1"/>
  <c r="D1289" i="1"/>
  <c r="E1288" i="1"/>
  <c r="D1288" i="1"/>
  <c r="E1287" i="1"/>
  <c r="D1287" i="1"/>
  <c r="E1286" i="1"/>
  <c r="D1286" i="1"/>
  <c r="E1285" i="1"/>
  <c r="D1285" i="1"/>
  <c r="E1284" i="1"/>
  <c r="D1284" i="1"/>
  <c r="E1283" i="1"/>
  <c r="D1283" i="1"/>
  <c r="E1282" i="1"/>
  <c r="D1282" i="1"/>
  <c r="E1281" i="1"/>
  <c r="D1281" i="1"/>
  <c r="E1280" i="1"/>
  <c r="D1280" i="1"/>
  <c r="E1279" i="1"/>
  <c r="D1279" i="1"/>
  <c r="E1278" i="1"/>
  <c r="D1278" i="1"/>
  <c r="E1277" i="1"/>
  <c r="D1277" i="1"/>
  <c r="E1276" i="1"/>
  <c r="D1276" i="1"/>
  <c r="E1275" i="1"/>
  <c r="D1275" i="1"/>
  <c r="E1274" i="1"/>
  <c r="D1274" i="1"/>
  <c r="E1273" i="1"/>
  <c r="D1273" i="1"/>
  <c r="E1272" i="1"/>
  <c r="D1272" i="1"/>
  <c r="E1271" i="1"/>
  <c r="D1271" i="1"/>
  <c r="E1270" i="1"/>
  <c r="D1270" i="1"/>
  <c r="E1269" i="1"/>
  <c r="D1269" i="1"/>
  <c r="E1268" i="1"/>
  <c r="D1268" i="1"/>
  <c r="E1267" i="1"/>
  <c r="D1267" i="1"/>
  <c r="E1266" i="1"/>
  <c r="D1266" i="1"/>
  <c r="E1265" i="1"/>
  <c r="D1265" i="1"/>
  <c r="E1264" i="1"/>
  <c r="D1264" i="1"/>
  <c r="E1263" i="1"/>
  <c r="D1263" i="1"/>
  <c r="E1262" i="1"/>
  <c r="D1262" i="1"/>
  <c r="E1261" i="1"/>
  <c r="D1261" i="1"/>
  <c r="E1260" i="1"/>
  <c r="D1260" i="1"/>
  <c r="E1259" i="1"/>
  <c r="D1259" i="1"/>
  <c r="E1258" i="1"/>
  <c r="D1258" i="1"/>
  <c r="E1257" i="1"/>
  <c r="D1257" i="1"/>
  <c r="E1256" i="1"/>
  <c r="D1256" i="1"/>
  <c r="E1255" i="1"/>
  <c r="D1255" i="1"/>
  <c r="E1254" i="1"/>
  <c r="D1254" i="1"/>
  <c r="E1253" i="1"/>
  <c r="D1253" i="1"/>
  <c r="E1252" i="1"/>
  <c r="D1252" i="1"/>
  <c r="E1251" i="1"/>
  <c r="D1251" i="1"/>
  <c r="E1250" i="1"/>
  <c r="D1250" i="1"/>
  <c r="E1249" i="1"/>
  <c r="D1249" i="1"/>
  <c r="E1248" i="1"/>
  <c r="D1248" i="1"/>
  <c r="E1247" i="1"/>
  <c r="D1247" i="1"/>
  <c r="E1246" i="1"/>
  <c r="D1246" i="1"/>
  <c r="E1245" i="1"/>
  <c r="D1245" i="1"/>
  <c r="E1244" i="1"/>
  <c r="D1244" i="1"/>
  <c r="E1243" i="1"/>
  <c r="D1243" i="1"/>
  <c r="E1242" i="1"/>
  <c r="D1242" i="1"/>
  <c r="E1241" i="1"/>
  <c r="D1241" i="1"/>
  <c r="E1240" i="1"/>
  <c r="D1240" i="1"/>
  <c r="E1239" i="1"/>
  <c r="D1239" i="1"/>
  <c r="E1238" i="1"/>
  <c r="D1238" i="1"/>
  <c r="E1237" i="1"/>
  <c r="D1237" i="1"/>
  <c r="E1236" i="1"/>
  <c r="D1236" i="1"/>
  <c r="E1235" i="1"/>
  <c r="D1235" i="1"/>
  <c r="E1234" i="1"/>
  <c r="D1234" i="1"/>
  <c r="E1233" i="1"/>
  <c r="D1233" i="1"/>
  <c r="E1232" i="1"/>
  <c r="D1232" i="1"/>
  <c r="E1231" i="1"/>
  <c r="D1231" i="1"/>
  <c r="E1230" i="1"/>
  <c r="D1230" i="1"/>
  <c r="E1229" i="1"/>
  <c r="D1229" i="1"/>
  <c r="E1228" i="1"/>
  <c r="D1228" i="1"/>
  <c r="E1227" i="1"/>
  <c r="D1227" i="1"/>
  <c r="E1226" i="1"/>
  <c r="D1226" i="1"/>
  <c r="E1225" i="1"/>
  <c r="D1225" i="1"/>
  <c r="E1224" i="1"/>
  <c r="D1224" i="1"/>
  <c r="E1223" i="1"/>
  <c r="D1223" i="1"/>
  <c r="E1222" i="1"/>
  <c r="D1222" i="1"/>
  <c r="E1221" i="1"/>
  <c r="D1221" i="1"/>
  <c r="E1220" i="1"/>
  <c r="D1220" i="1"/>
  <c r="E1219" i="1"/>
  <c r="D1219" i="1"/>
  <c r="E1218" i="1"/>
  <c r="D1218" i="1"/>
  <c r="E1217" i="1"/>
  <c r="D1217" i="1"/>
  <c r="E1216" i="1"/>
  <c r="D1216" i="1"/>
  <c r="E1215" i="1"/>
  <c r="D1215" i="1"/>
  <c r="E1214" i="1"/>
  <c r="D1214" i="1"/>
  <c r="E1213" i="1"/>
  <c r="D1213" i="1"/>
  <c r="E1212" i="1"/>
  <c r="D1212" i="1"/>
  <c r="E1211" i="1"/>
  <c r="D1211" i="1"/>
  <c r="E1210" i="1"/>
  <c r="D1210" i="1"/>
  <c r="E1209" i="1"/>
  <c r="D1209" i="1"/>
  <c r="E1208" i="1"/>
  <c r="D1208" i="1"/>
  <c r="E1207" i="1"/>
  <c r="D1207" i="1"/>
  <c r="E1206" i="1"/>
  <c r="D1206" i="1"/>
  <c r="E1205" i="1"/>
  <c r="D1205" i="1"/>
  <c r="E1204" i="1"/>
  <c r="D1204" i="1"/>
  <c r="E1203" i="1"/>
  <c r="D1203" i="1"/>
  <c r="E1202" i="1"/>
  <c r="D1202" i="1"/>
  <c r="E1201" i="1"/>
  <c r="D1201" i="1"/>
  <c r="E1200" i="1"/>
  <c r="D1200" i="1"/>
  <c r="E1199" i="1"/>
  <c r="D1199" i="1"/>
  <c r="E1198" i="1"/>
  <c r="D1198" i="1"/>
  <c r="E1197" i="1"/>
  <c r="D1197" i="1"/>
  <c r="E1196" i="1"/>
  <c r="D1196" i="1"/>
  <c r="E1195" i="1"/>
  <c r="D1195" i="1"/>
  <c r="E1194" i="1"/>
  <c r="D1194" i="1"/>
  <c r="E1193" i="1"/>
  <c r="D1193" i="1"/>
  <c r="E1192" i="1"/>
  <c r="D1192" i="1"/>
  <c r="E1191" i="1"/>
  <c r="D1191" i="1"/>
  <c r="E1190" i="1"/>
  <c r="D1190" i="1"/>
  <c r="E1189" i="1"/>
  <c r="D1189" i="1"/>
  <c r="E1188" i="1"/>
  <c r="D1188" i="1"/>
  <c r="E1187" i="1"/>
  <c r="D1187" i="1"/>
  <c r="E1186" i="1"/>
  <c r="D1186" i="1"/>
  <c r="E1185" i="1"/>
  <c r="D1185" i="1"/>
  <c r="E1184" i="1"/>
  <c r="D1184" i="1"/>
  <c r="E1183" i="1"/>
  <c r="D1183" i="1"/>
  <c r="E1182" i="1"/>
  <c r="D1182" i="1"/>
  <c r="E1181" i="1"/>
  <c r="D1181" i="1"/>
  <c r="E1180" i="1"/>
  <c r="D1180" i="1"/>
  <c r="E1179" i="1"/>
  <c r="D1179" i="1"/>
  <c r="E1178" i="1"/>
  <c r="D1178" i="1"/>
  <c r="E1177" i="1"/>
  <c r="D1177" i="1"/>
  <c r="E1176" i="1"/>
  <c r="D1176" i="1"/>
  <c r="E1175" i="1"/>
  <c r="D1175" i="1"/>
  <c r="E1174" i="1"/>
  <c r="D1174" i="1"/>
  <c r="E1173" i="1"/>
  <c r="D1173" i="1"/>
  <c r="E1172" i="1"/>
  <c r="D1172" i="1"/>
  <c r="E1171" i="1"/>
  <c r="D1171" i="1"/>
  <c r="E1170" i="1"/>
  <c r="D1170" i="1"/>
  <c r="E1169" i="1"/>
  <c r="D1169" i="1"/>
  <c r="E1168" i="1"/>
  <c r="D1168" i="1"/>
  <c r="E1167" i="1"/>
  <c r="D1167" i="1"/>
  <c r="E1166" i="1"/>
  <c r="D1166" i="1"/>
  <c r="E1165" i="1"/>
  <c r="D1165" i="1"/>
  <c r="E1164" i="1"/>
  <c r="D1164" i="1"/>
  <c r="E1163" i="1"/>
  <c r="D1163" i="1"/>
  <c r="E1162" i="1"/>
  <c r="D1162" i="1"/>
  <c r="E1161" i="1"/>
  <c r="D1161" i="1"/>
  <c r="E1160" i="1"/>
  <c r="D1160" i="1"/>
  <c r="E1159" i="1"/>
  <c r="D1159" i="1"/>
  <c r="E1158" i="1"/>
  <c r="D1158" i="1"/>
  <c r="E1157" i="1"/>
  <c r="D1157" i="1"/>
  <c r="E1156" i="1"/>
  <c r="D1156" i="1"/>
  <c r="E1155" i="1"/>
  <c r="D1155" i="1"/>
  <c r="E1154" i="1"/>
  <c r="D1154" i="1"/>
  <c r="E1153" i="1"/>
  <c r="D1153" i="1"/>
  <c r="E1152" i="1"/>
  <c r="D1152" i="1"/>
  <c r="E1151" i="1"/>
  <c r="D1151" i="1"/>
  <c r="E1150" i="1"/>
  <c r="D1150" i="1"/>
  <c r="E1149" i="1"/>
  <c r="D1149" i="1"/>
  <c r="E1148" i="1"/>
  <c r="D1148" i="1"/>
  <c r="E1147" i="1"/>
  <c r="D1147" i="1"/>
  <c r="E1146" i="1"/>
  <c r="D1146" i="1"/>
  <c r="E1145" i="1"/>
  <c r="D1145" i="1"/>
  <c r="E1144" i="1"/>
  <c r="D1144" i="1"/>
  <c r="E1143" i="1"/>
  <c r="D1143" i="1"/>
  <c r="E1142" i="1"/>
  <c r="D1142" i="1"/>
  <c r="E1141" i="1"/>
  <c r="D1141" i="1"/>
  <c r="E1140" i="1"/>
  <c r="D1140" i="1"/>
  <c r="E1139" i="1"/>
  <c r="D1139" i="1"/>
  <c r="E1138" i="1"/>
  <c r="D1138" i="1"/>
  <c r="E1137" i="1"/>
  <c r="D1137" i="1"/>
  <c r="E1136" i="1"/>
  <c r="D1136" i="1"/>
  <c r="E1135" i="1"/>
  <c r="D1135" i="1"/>
  <c r="E1134" i="1"/>
  <c r="D1134" i="1"/>
  <c r="E1133" i="1"/>
  <c r="D1133" i="1"/>
  <c r="E1132" i="1"/>
  <c r="D1132" i="1"/>
  <c r="E1131" i="1"/>
  <c r="D1131" i="1"/>
  <c r="E1130" i="1"/>
  <c r="D1130" i="1"/>
  <c r="E1129" i="1"/>
  <c r="D1129" i="1"/>
  <c r="E1128" i="1"/>
  <c r="D1128" i="1"/>
  <c r="E1127" i="1"/>
  <c r="D1127" i="1"/>
  <c r="E1126" i="1"/>
  <c r="D1126" i="1"/>
  <c r="E1125" i="1"/>
  <c r="D1125" i="1"/>
  <c r="E1124" i="1"/>
  <c r="D1124" i="1"/>
  <c r="E1123" i="1"/>
  <c r="D1123" i="1"/>
  <c r="E1122" i="1"/>
  <c r="D1122" i="1"/>
  <c r="E1121" i="1"/>
  <c r="D1121" i="1"/>
  <c r="E1120" i="1"/>
  <c r="D1120" i="1"/>
  <c r="E1119" i="1"/>
  <c r="D1119" i="1"/>
  <c r="E1118" i="1"/>
  <c r="D1118" i="1"/>
  <c r="E1117" i="1"/>
  <c r="D1117" i="1"/>
  <c r="E1116" i="1"/>
  <c r="D1116" i="1"/>
  <c r="E1115" i="1"/>
  <c r="D1115" i="1"/>
  <c r="E1114" i="1"/>
  <c r="D1114" i="1"/>
  <c r="E1113" i="1"/>
  <c r="D1113" i="1"/>
  <c r="E1112" i="1"/>
  <c r="D1112" i="1"/>
  <c r="E1111" i="1"/>
  <c r="D1111" i="1"/>
  <c r="E1110" i="1"/>
  <c r="D1110" i="1"/>
  <c r="E1109" i="1"/>
  <c r="D1109" i="1"/>
  <c r="E1108" i="1"/>
  <c r="D1108" i="1"/>
  <c r="E1107" i="1"/>
  <c r="D1107" i="1"/>
  <c r="E1106" i="1"/>
  <c r="D1106" i="1"/>
  <c r="E1105" i="1"/>
  <c r="D1105" i="1"/>
  <c r="E1104" i="1"/>
  <c r="D1104" i="1"/>
  <c r="E1103" i="1"/>
  <c r="D1103" i="1"/>
  <c r="E1102" i="1"/>
  <c r="D1102" i="1"/>
  <c r="E1101" i="1"/>
  <c r="D1101" i="1"/>
  <c r="E1100" i="1"/>
  <c r="D1100" i="1"/>
  <c r="E1099" i="1"/>
  <c r="D1099" i="1"/>
  <c r="E1098" i="1"/>
  <c r="D1098" i="1"/>
  <c r="E1097" i="1"/>
  <c r="D1097" i="1"/>
  <c r="E1096" i="1"/>
  <c r="D1096" i="1"/>
  <c r="E1095" i="1"/>
  <c r="D1095" i="1"/>
  <c r="E1094" i="1"/>
  <c r="D1094" i="1"/>
  <c r="E1093" i="1"/>
  <c r="D1093" i="1"/>
  <c r="E1092" i="1"/>
  <c r="D1092" i="1"/>
  <c r="E1091" i="1"/>
  <c r="D1091" i="1"/>
  <c r="E1090" i="1"/>
  <c r="D1090" i="1"/>
  <c r="E1089" i="1"/>
  <c r="D1089" i="1"/>
  <c r="E1088" i="1"/>
  <c r="D1088" i="1"/>
  <c r="E1087" i="1"/>
  <c r="D1087" i="1"/>
  <c r="E1086" i="1"/>
  <c r="D1086" i="1"/>
  <c r="E1085" i="1"/>
  <c r="D1085" i="1"/>
  <c r="E1084" i="1"/>
  <c r="D1084" i="1"/>
  <c r="E1083" i="1"/>
  <c r="D1083" i="1"/>
  <c r="E1082" i="1"/>
  <c r="D1082" i="1"/>
  <c r="E1081" i="1"/>
  <c r="D1081" i="1"/>
  <c r="E1080" i="1"/>
  <c r="D1080" i="1"/>
  <c r="E1079" i="1"/>
  <c r="D1079" i="1"/>
  <c r="E1078" i="1"/>
  <c r="D1078" i="1"/>
  <c r="E1077" i="1"/>
  <c r="D1077" i="1"/>
  <c r="E1076" i="1"/>
  <c r="D1076" i="1"/>
  <c r="E1075" i="1"/>
  <c r="D1075" i="1"/>
  <c r="E1074" i="1"/>
  <c r="D1074" i="1"/>
  <c r="E1073" i="1"/>
  <c r="D1073" i="1"/>
  <c r="E1072" i="1"/>
  <c r="D1072" i="1"/>
  <c r="E1071" i="1"/>
  <c r="D1071" i="1"/>
  <c r="E1070" i="1"/>
  <c r="D1070" i="1"/>
  <c r="E1069" i="1"/>
  <c r="D1069" i="1"/>
  <c r="E1068" i="1"/>
  <c r="D1068" i="1"/>
  <c r="E1067" i="1"/>
  <c r="D1067" i="1"/>
  <c r="E1066" i="1"/>
  <c r="D1066" i="1"/>
  <c r="E1065" i="1"/>
  <c r="D1065" i="1"/>
  <c r="E1064" i="1"/>
  <c r="D1064" i="1"/>
  <c r="E1063" i="1"/>
  <c r="D1063" i="1"/>
  <c r="E1062" i="1"/>
  <c r="D1062" i="1"/>
  <c r="E1061" i="1"/>
  <c r="D1061" i="1"/>
  <c r="E1060" i="1"/>
  <c r="D1060" i="1"/>
  <c r="E1059" i="1"/>
  <c r="D1059" i="1"/>
  <c r="E1058" i="1"/>
  <c r="D1058" i="1"/>
  <c r="E1057" i="1"/>
  <c r="D1057" i="1"/>
  <c r="E1056" i="1"/>
  <c r="D1056" i="1"/>
  <c r="E1055" i="1"/>
  <c r="D1055" i="1"/>
  <c r="E1054" i="1"/>
  <c r="D1054" i="1"/>
  <c r="E1053" i="1"/>
  <c r="D1053" i="1"/>
  <c r="E1052" i="1"/>
  <c r="D1052" i="1"/>
  <c r="E1051" i="1"/>
  <c r="D1051" i="1"/>
  <c r="E1050" i="1"/>
  <c r="D1050" i="1"/>
  <c r="E1049" i="1"/>
  <c r="D1049" i="1"/>
  <c r="E1048" i="1"/>
  <c r="D1048" i="1"/>
  <c r="E1047" i="1"/>
  <c r="D1047" i="1"/>
  <c r="E1046" i="1"/>
  <c r="D1046" i="1"/>
  <c r="E1045" i="1"/>
  <c r="D1045" i="1"/>
  <c r="E1044" i="1"/>
  <c r="D1044" i="1"/>
  <c r="E1043" i="1"/>
  <c r="D1043" i="1"/>
  <c r="E1042" i="1"/>
  <c r="D1042" i="1"/>
  <c r="E1041" i="1"/>
  <c r="D1041" i="1"/>
  <c r="E1040" i="1"/>
  <c r="D1040" i="1"/>
  <c r="E1039" i="1"/>
  <c r="D1039" i="1"/>
  <c r="E1038" i="1"/>
  <c r="D1038" i="1"/>
  <c r="E1037" i="1"/>
  <c r="D1037" i="1"/>
  <c r="E1036" i="1"/>
  <c r="D1036" i="1"/>
  <c r="E1035" i="1"/>
  <c r="D1035" i="1"/>
  <c r="E1034" i="1"/>
  <c r="D1034" i="1"/>
  <c r="E1033" i="1"/>
  <c r="D1033" i="1"/>
  <c r="E1032" i="1"/>
  <c r="D1032" i="1"/>
  <c r="E1031" i="1"/>
  <c r="D1031" i="1"/>
  <c r="E1030" i="1"/>
  <c r="D1030" i="1"/>
  <c r="E1029" i="1"/>
  <c r="D1029" i="1"/>
  <c r="E1028" i="1"/>
  <c r="D1028" i="1"/>
  <c r="E1027" i="1"/>
  <c r="D1027" i="1"/>
  <c r="E1026" i="1"/>
  <c r="D1026" i="1"/>
  <c r="E1025" i="1"/>
  <c r="D1025" i="1"/>
  <c r="E1024" i="1"/>
  <c r="D1024" i="1"/>
  <c r="E1023" i="1"/>
  <c r="D1023" i="1"/>
  <c r="E1022" i="1"/>
  <c r="D1022" i="1"/>
  <c r="E1021" i="1"/>
  <c r="D1021" i="1"/>
  <c r="E1020" i="1"/>
  <c r="D1020" i="1"/>
  <c r="E1019" i="1"/>
  <c r="D1019" i="1"/>
  <c r="E1018" i="1"/>
  <c r="D1018" i="1"/>
  <c r="E1017" i="1"/>
  <c r="D1017" i="1"/>
  <c r="E1016" i="1"/>
  <c r="D1016" i="1"/>
  <c r="E1015" i="1"/>
  <c r="D1015" i="1"/>
  <c r="E1014" i="1"/>
  <c r="D1014" i="1"/>
  <c r="E1013" i="1"/>
  <c r="D1013" i="1"/>
  <c r="E1012" i="1"/>
  <c r="D1012" i="1"/>
  <c r="E1011" i="1"/>
  <c r="D1011" i="1"/>
  <c r="E1010" i="1"/>
  <c r="D1010" i="1"/>
  <c r="E1009" i="1"/>
  <c r="D1009" i="1"/>
  <c r="E1008" i="1"/>
  <c r="D1008" i="1"/>
  <c r="E1007" i="1"/>
  <c r="D1007" i="1"/>
  <c r="E1006" i="1"/>
  <c r="D1006" i="1"/>
  <c r="E1005" i="1"/>
  <c r="D1005" i="1"/>
  <c r="E1004" i="1"/>
  <c r="D1004" i="1"/>
  <c r="E1003" i="1"/>
  <c r="D1003" i="1"/>
  <c r="E1002" i="1"/>
  <c r="D1002" i="1"/>
  <c r="E1001" i="1"/>
  <c r="D1001" i="1"/>
  <c r="E1000" i="1"/>
  <c r="D1000" i="1"/>
  <c r="E999" i="1"/>
  <c r="D999" i="1"/>
  <c r="E998" i="1"/>
  <c r="D998" i="1"/>
  <c r="E997" i="1"/>
  <c r="D997" i="1"/>
  <c r="E996" i="1"/>
  <c r="D996" i="1"/>
  <c r="E995" i="1"/>
  <c r="D995" i="1"/>
  <c r="E994" i="1"/>
  <c r="D994" i="1"/>
  <c r="E993" i="1"/>
  <c r="D993" i="1"/>
  <c r="E992" i="1"/>
  <c r="D992" i="1"/>
  <c r="E991" i="1"/>
  <c r="D991" i="1"/>
  <c r="E990" i="1"/>
  <c r="D990" i="1"/>
  <c r="E989" i="1"/>
  <c r="D989" i="1"/>
  <c r="E988" i="1"/>
  <c r="D988" i="1"/>
  <c r="E987" i="1"/>
  <c r="D987" i="1"/>
  <c r="E986" i="1"/>
  <c r="D986" i="1"/>
  <c r="E985" i="1"/>
  <c r="D985" i="1"/>
  <c r="E984" i="1"/>
  <c r="D984" i="1"/>
  <c r="E983" i="1"/>
  <c r="D983" i="1"/>
  <c r="E982" i="1"/>
  <c r="D982" i="1"/>
  <c r="E981" i="1"/>
  <c r="D981" i="1"/>
  <c r="E980" i="1"/>
  <c r="D980" i="1"/>
  <c r="E979" i="1"/>
  <c r="D979" i="1"/>
  <c r="E978" i="1"/>
  <c r="D978" i="1"/>
  <c r="E977" i="1"/>
  <c r="D977" i="1"/>
  <c r="E976" i="1"/>
  <c r="D976" i="1"/>
  <c r="E975" i="1"/>
  <c r="D975" i="1"/>
  <c r="E974" i="1"/>
  <c r="D974" i="1"/>
  <c r="E973" i="1"/>
  <c r="D973" i="1"/>
  <c r="E972" i="1"/>
  <c r="D972" i="1"/>
  <c r="E971" i="1"/>
  <c r="D971" i="1"/>
  <c r="E970" i="1"/>
  <c r="D970" i="1"/>
  <c r="E969" i="1"/>
  <c r="D969" i="1"/>
  <c r="E968" i="1"/>
  <c r="D968" i="1"/>
  <c r="E967" i="1"/>
  <c r="D967" i="1"/>
  <c r="E966" i="1"/>
  <c r="D966" i="1"/>
  <c r="E965" i="1"/>
  <c r="D965" i="1"/>
  <c r="E964" i="1"/>
  <c r="D964" i="1"/>
  <c r="E963" i="1"/>
  <c r="D963" i="1"/>
  <c r="E962" i="1"/>
  <c r="D962" i="1"/>
  <c r="E961" i="1"/>
  <c r="D961" i="1"/>
  <c r="E960" i="1"/>
  <c r="D960" i="1"/>
  <c r="E959" i="1"/>
  <c r="D959" i="1"/>
  <c r="E958" i="1"/>
  <c r="D958" i="1"/>
  <c r="E957" i="1"/>
  <c r="D957" i="1"/>
  <c r="E956" i="1"/>
  <c r="D956" i="1"/>
  <c r="E955" i="1"/>
  <c r="D955" i="1"/>
  <c r="E954" i="1"/>
  <c r="D954" i="1"/>
  <c r="E953" i="1"/>
  <c r="D953" i="1"/>
  <c r="E952" i="1"/>
  <c r="D952" i="1"/>
  <c r="E951" i="1"/>
  <c r="D951" i="1"/>
  <c r="E950" i="1"/>
  <c r="D950" i="1"/>
  <c r="E949" i="1"/>
  <c r="D949" i="1"/>
  <c r="E948" i="1"/>
  <c r="D948" i="1"/>
  <c r="E947" i="1"/>
  <c r="D947" i="1"/>
  <c r="E946" i="1"/>
  <c r="D946" i="1"/>
  <c r="E945" i="1"/>
  <c r="D945" i="1"/>
  <c r="E944" i="1"/>
  <c r="D944" i="1"/>
  <c r="E943" i="1"/>
  <c r="D943" i="1"/>
  <c r="E942" i="1"/>
  <c r="D942" i="1"/>
  <c r="E941" i="1"/>
  <c r="D941" i="1"/>
  <c r="E940" i="1"/>
  <c r="D940" i="1"/>
  <c r="E939" i="1"/>
  <c r="D939" i="1"/>
  <c r="E938" i="1"/>
  <c r="D938" i="1"/>
  <c r="E937" i="1"/>
  <c r="D937" i="1"/>
  <c r="E936" i="1"/>
  <c r="D936" i="1"/>
  <c r="E935" i="1"/>
  <c r="D935" i="1"/>
  <c r="E934" i="1"/>
  <c r="D934" i="1"/>
  <c r="E933" i="1"/>
  <c r="D933" i="1"/>
  <c r="E932" i="1"/>
  <c r="D932" i="1"/>
  <c r="E931" i="1"/>
  <c r="D931" i="1"/>
  <c r="E930" i="1"/>
  <c r="D930" i="1"/>
  <c r="E929" i="1"/>
  <c r="D929" i="1"/>
  <c r="E928" i="1"/>
  <c r="D928" i="1"/>
  <c r="E927" i="1"/>
  <c r="D927" i="1"/>
  <c r="E926" i="1"/>
  <c r="D926" i="1"/>
  <c r="E925" i="1"/>
  <c r="D925" i="1"/>
  <c r="E924" i="1"/>
  <c r="D924" i="1"/>
  <c r="E923" i="1"/>
  <c r="D923" i="1"/>
  <c r="E922" i="1"/>
  <c r="D922" i="1"/>
  <c r="E921" i="1"/>
  <c r="D921" i="1"/>
  <c r="E920" i="1"/>
  <c r="D920" i="1"/>
  <c r="E919" i="1"/>
  <c r="D919" i="1"/>
  <c r="E918" i="1"/>
  <c r="D918" i="1"/>
  <c r="E917" i="1"/>
  <c r="D917" i="1"/>
  <c r="E916" i="1"/>
  <c r="D916" i="1"/>
  <c r="E915" i="1"/>
  <c r="D915" i="1"/>
  <c r="E914" i="1"/>
  <c r="D914" i="1"/>
  <c r="E913" i="1"/>
  <c r="D913" i="1"/>
  <c r="E912" i="1"/>
  <c r="D912" i="1"/>
  <c r="E911" i="1"/>
  <c r="D911" i="1"/>
  <c r="E910" i="1"/>
  <c r="D910" i="1"/>
  <c r="E909" i="1"/>
  <c r="D909" i="1"/>
  <c r="E908" i="1"/>
  <c r="D908" i="1"/>
  <c r="E907" i="1"/>
  <c r="D907" i="1"/>
  <c r="E906" i="1"/>
  <c r="D906" i="1"/>
  <c r="E905" i="1"/>
  <c r="D905" i="1"/>
  <c r="E904" i="1"/>
  <c r="D904" i="1"/>
  <c r="E903" i="1"/>
  <c r="D903" i="1"/>
  <c r="E902" i="1"/>
  <c r="D902" i="1"/>
  <c r="E901" i="1"/>
  <c r="D901" i="1"/>
  <c r="E900" i="1"/>
  <c r="D900" i="1"/>
  <c r="E899" i="1"/>
  <c r="D899" i="1"/>
  <c r="E898" i="1"/>
  <c r="D898" i="1"/>
  <c r="E897" i="1"/>
  <c r="D897" i="1"/>
  <c r="E896" i="1"/>
  <c r="D896" i="1"/>
  <c r="E895" i="1"/>
  <c r="D895" i="1"/>
  <c r="E894" i="1"/>
  <c r="D894" i="1"/>
  <c r="E893" i="1"/>
  <c r="D893" i="1"/>
  <c r="E892" i="1"/>
  <c r="D892" i="1"/>
  <c r="E891" i="1"/>
  <c r="D891" i="1"/>
  <c r="E890" i="1"/>
  <c r="D890" i="1"/>
  <c r="E889" i="1"/>
  <c r="D889" i="1"/>
  <c r="E888" i="1"/>
  <c r="D888" i="1"/>
  <c r="E887" i="1"/>
  <c r="D887" i="1"/>
  <c r="E886" i="1"/>
  <c r="D886" i="1"/>
  <c r="E885" i="1"/>
  <c r="D885" i="1"/>
  <c r="E884" i="1"/>
  <c r="D884" i="1"/>
  <c r="E883" i="1"/>
  <c r="D883" i="1"/>
  <c r="E882" i="1"/>
  <c r="D882" i="1"/>
  <c r="E881" i="1"/>
  <c r="D881" i="1"/>
  <c r="E880" i="1"/>
  <c r="D880" i="1"/>
  <c r="E879" i="1"/>
  <c r="D879" i="1"/>
  <c r="E878" i="1"/>
  <c r="D878" i="1"/>
  <c r="E877" i="1"/>
  <c r="D877" i="1"/>
  <c r="E876" i="1"/>
  <c r="D876" i="1"/>
  <c r="E875" i="1"/>
  <c r="D875" i="1"/>
  <c r="E874" i="1"/>
  <c r="D874" i="1"/>
  <c r="E873" i="1"/>
  <c r="D873" i="1"/>
  <c r="E872" i="1"/>
  <c r="D872" i="1"/>
  <c r="E871" i="1"/>
  <c r="D871" i="1"/>
  <c r="E870" i="1"/>
  <c r="D870" i="1"/>
  <c r="E869" i="1"/>
  <c r="D869" i="1"/>
  <c r="E868" i="1"/>
  <c r="D868" i="1"/>
  <c r="E867" i="1"/>
  <c r="D867" i="1"/>
  <c r="E866" i="1"/>
  <c r="D866" i="1"/>
  <c r="E865" i="1"/>
  <c r="D865" i="1"/>
  <c r="E864" i="1"/>
  <c r="D864" i="1"/>
  <c r="E863" i="1"/>
  <c r="D863" i="1"/>
  <c r="E862" i="1"/>
  <c r="D862" i="1"/>
  <c r="E861" i="1"/>
  <c r="D861" i="1"/>
  <c r="E860" i="1"/>
  <c r="D860" i="1"/>
  <c r="E859" i="1"/>
  <c r="D859" i="1"/>
  <c r="E858" i="1"/>
  <c r="D858" i="1"/>
  <c r="E857" i="1"/>
  <c r="D857" i="1"/>
  <c r="E856" i="1"/>
  <c r="D856" i="1"/>
  <c r="E855" i="1"/>
  <c r="D855" i="1"/>
  <c r="E854" i="1"/>
  <c r="D854" i="1"/>
  <c r="E853" i="1"/>
  <c r="D853" i="1"/>
  <c r="E852" i="1"/>
  <c r="D852" i="1"/>
  <c r="E851" i="1"/>
  <c r="D851" i="1"/>
  <c r="E850" i="1"/>
  <c r="D850" i="1"/>
  <c r="E849" i="1"/>
  <c r="D849" i="1"/>
  <c r="E848" i="1"/>
  <c r="D848" i="1"/>
  <c r="E847" i="1"/>
  <c r="D847" i="1"/>
  <c r="E846" i="1"/>
  <c r="D846" i="1"/>
  <c r="E845" i="1"/>
  <c r="D845" i="1"/>
  <c r="E844" i="1"/>
  <c r="D844" i="1"/>
  <c r="E843" i="1"/>
  <c r="D843" i="1"/>
  <c r="E842" i="1"/>
  <c r="D842" i="1"/>
  <c r="E841" i="1"/>
  <c r="D841" i="1"/>
  <c r="E840" i="1"/>
  <c r="D840" i="1"/>
  <c r="E839" i="1"/>
  <c r="D839" i="1"/>
  <c r="E838" i="1"/>
  <c r="D838" i="1"/>
  <c r="E837" i="1"/>
  <c r="D837" i="1"/>
  <c r="E836" i="1"/>
  <c r="D836" i="1"/>
  <c r="E835" i="1"/>
  <c r="D835" i="1"/>
  <c r="E834" i="1"/>
  <c r="D834" i="1"/>
  <c r="E833" i="1"/>
  <c r="D833" i="1"/>
  <c r="E832" i="1"/>
  <c r="D832" i="1"/>
  <c r="E831" i="1"/>
  <c r="D831" i="1"/>
  <c r="E830" i="1"/>
  <c r="D830" i="1"/>
  <c r="E829" i="1"/>
  <c r="D829" i="1"/>
  <c r="E828" i="1"/>
  <c r="D828" i="1"/>
  <c r="E827" i="1"/>
  <c r="D827" i="1"/>
  <c r="E826" i="1"/>
  <c r="D826" i="1"/>
  <c r="E825" i="1"/>
  <c r="D825" i="1"/>
  <c r="E824" i="1"/>
  <c r="D824" i="1"/>
  <c r="E823" i="1"/>
  <c r="D823" i="1"/>
  <c r="E822" i="1"/>
  <c r="D822" i="1"/>
  <c r="E821" i="1"/>
  <c r="D821" i="1"/>
  <c r="E820" i="1"/>
  <c r="D820" i="1"/>
  <c r="E819" i="1"/>
  <c r="D819" i="1"/>
  <c r="E818" i="1"/>
  <c r="D818" i="1"/>
  <c r="E817" i="1"/>
  <c r="D817" i="1"/>
  <c r="E816" i="1"/>
  <c r="D816" i="1"/>
  <c r="E815" i="1"/>
  <c r="D815" i="1"/>
  <c r="E814" i="1"/>
  <c r="D814" i="1"/>
  <c r="E813" i="1"/>
  <c r="D813" i="1"/>
  <c r="E812" i="1"/>
  <c r="D812" i="1"/>
  <c r="E811" i="1"/>
  <c r="D811" i="1"/>
  <c r="E810" i="1"/>
  <c r="D810" i="1"/>
  <c r="E809" i="1"/>
  <c r="D809" i="1"/>
  <c r="E808" i="1"/>
  <c r="D808" i="1"/>
  <c r="E807" i="1"/>
  <c r="D807" i="1"/>
  <c r="E806" i="1"/>
  <c r="D806" i="1"/>
  <c r="E805" i="1"/>
  <c r="D805" i="1"/>
  <c r="E804" i="1"/>
  <c r="D804" i="1"/>
  <c r="E803" i="1"/>
  <c r="D803" i="1"/>
  <c r="E802" i="1"/>
  <c r="D802" i="1"/>
  <c r="E801" i="1"/>
  <c r="D801" i="1"/>
  <c r="E800" i="1"/>
  <c r="D800" i="1"/>
  <c r="E799" i="1"/>
  <c r="D799" i="1"/>
  <c r="E798" i="1"/>
  <c r="D798" i="1"/>
  <c r="E797" i="1"/>
  <c r="D797" i="1"/>
  <c r="E796" i="1"/>
  <c r="D796" i="1"/>
  <c r="E795" i="1"/>
  <c r="D795" i="1"/>
  <c r="E794" i="1"/>
  <c r="D794" i="1"/>
  <c r="E793" i="1"/>
  <c r="D793" i="1"/>
  <c r="E792" i="1"/>
  <c r="D792" i="1"/>
  <c r="E791" i="1"/>
  <c r="D791" i="1"/>
  <c r="E790" i="1"/>
  <c r="D790" i="1"/>
  <c r="E789" i="1"/>
  <c r="D789" i="1"/>
  <c r="E788" i="1"/>
  <c r="D788" i="1"/>
  <c r="E787" i="1"/>
  <c r="D787" i="1"/>
  <c r="E786" i="1"/>
  <c r="D786" i="1"/>
  <c r="E785" i="1"/>
  <c r="D785" i="1"/>
  <c r="E784" i="1"/>
  <c r="D784" i="1"/>
  <c r="E783" i="1"/>
  <c r="D783" i="1"/>
  <c r="E782" i="1"/>
  <c r="D782" i="1"/>
  <c r="E781" i="1"/>
  <c r="D781" i="1"/>
  <c r="E780" i="1"/>
  <c r="D780" i="1"/>
  <c r="E779" i="1"/>
  <c r="D779" i="1"/>
  <c r="E778" i="1"/>
  <c r="D778" i="1"/>
  <c r="E777" i="1"/>
  <c r="D777" i="1"/>
  <c r="E776" i="1"/>
  <c r="D776" i="1"/>
  <c r="E775" i="1"/>
  <c r="D775" i="1"/>
  <c r="E774" i="1"/>
  <c r="D774" i="1"/>
  <c r="E773" i="1"/>
  <c r="D773" i="1"/>
  <c r="E772" i="1"/>
  <c r="D772" i="1"/>
  <c r="E771" i="1"/>
  <c r="D771" i="1"/>
  <c r="E770" i="1"/>
  <c r="D770" i="1"/>
  <c r="E769" i="1"/>
  <c r="D769" i="1"/>
  <c r="E768" i="1"/>
  <c r="D768" i="1"/>
  <c r="E767" i="1"/>
  <c r="D767" i="1"/>
  <c r="E766" i="1"/>
  <c r="D766" i="1"/>
  <c r="E765" i="1"/>
  <c r="D765" i="1"/>
  <c r="E764" i="1"/>
  <c r="D764" i="1"/>
  <c r="E763" i="1"/>
  <c r="D763" i="1"/>
  <c r="E762" i="1"/>
  <c r="D762" i="1"/>
  <c r="E761" i="1"/>
  <c r="D761" i="1"/>
  <c r="E760" i="1"/>
  <c r="D760" i="1"/>
  <c r="E759" i="1"/>
  <c r="D759" i="1"/>
  <c r="E758" i="1"/>
  <c r="D758" i="1"/>
  <c r="E757" i="1"/>
  <c r="D757" i="1"/>
  <c r="E756" i="1"/>
  <c r="D756" i="1"/>
  <c r="E755" i="1"/>
  <c r="D755" i="1"/>
  <c r="E754" i="1"/>
  <c r="D754" i="1"/>
  <c r="E753" i="1"/>
  <c r="D753" i="1"/>
  <c r="E752" i="1"/>
  <c r="D752" i="1"/>
  <c r="E751" i="1"/>
  <c r="D751" i="1"/>
  <c r="E750" i="1"/>
  <c r="D750" i="1"/>
  <c r="E749" i="1"/>
  <c r="D749" i="1"/>
  <c r="E748" i="1"/>
  <c r="D748" i="1"/>
  <c r="E747" i="1"/>
  <c r="D747" i="1"/>
  <c r="E746" i="1"/>
  <c r="D746" i="1"/>
  <c r="E745" i="1"/>
  <c r="D745" i="1"/>
  <c r="E744" i="1"/>
  <c r="D744" i="1"/>
  <c r="E743" i="1"/>
  <c r="D743" i="1"/>
  <c r="E742" i="1"/>
  <c r="D742" i="1"/>
  <c r="E741" i="1"/>
  <c r="D741" i="1"/>
  <c r="E740" i="1"/>
  <c r="D740" i="1"/>
  <c r="E739" i="1"/>
  <c r="D739" i="1"/>
  <c r="E738" i="1"/>
  <c r="D738" i="1"/>
  <c r="E737" i="1"/>
  <c r="D737" i="1"/>
  <c r="E736" i="1"/>
  <c r="D736" i="1"/>
  <c r="E735" i="1"/>
  <c r="D735" i="1"/>
  <c r="E734" i="1"/>
  <c r="D734" i="1"/>
  <c r="E733" i="1"/>
  <c r="D733" i="1"/>
  <c r="E732" i="1"/>
  <c r="D732" i="1"/>
  <c r="E731" i="1"/>
  <c r="D731" i="1"/>
  <c r="E730" i="1"/>
  <c r="D730" i="1"/>
  <c r="E729" i="1"/>
  <c r="D729" i="1"/>
  <c r="E728" i="1"/>
  <c r="D728" i="1"/>
  <c r="E727" i="1"/>
  <c r="D727" i="1"/>
  <c r="E726" i="1"/>
  <c r="D726" i="1"/>
  <c r="E725" i="1"/>
  <c r="D725" i="1"/>
  <c r="E724" i="1"/>
  <c r="D724" i="1"/>
  <c r="E723" i="1"/>
  <c r="D723" i="1"/>
  <c r="E722" i="1"/>
  <c r="D722" i="1"/>
  <c r="E721" i="1"/>
  <c r="D721" i="1"/>
  <c r="E720" i="1"/>
  <c r="D720" i="1"/>
  <c r="E719" i="1"/>
  <c r="D719" i="1"/>
  <c r="E718" i="1"/>
  <c r="D718" i="1"/>
  <c r="E717" i="1"/>
  <c r="D717" i="1"/>
  <c r="E716" i="1"/>
  <c r="D716" i="1"/>
  <c r="E715" i="1"/>
  <c r="D715" i="1"/>
  <c r="E714" i="1"/>
  <c r="D714" i="1"/>
  <c r="E713" i="1"/>
  <c r="D713" i="1"/>
  <c r="E712" i="1"/>
  <c r="D712" i="1"/>
  <c r="E711" i="1"/>
  <c r="D711" i="1"/>
  <c r="E710" i="1"/>
  <c r="D710" i="1"/>
  <c r="E709" i="1"/>
  <c r="D709" i="1"/>
  <c r="E708" i="1"/>
  <c r="D708" i="1"/>
  <c r="E707" i="1"/>
  <c r="D707" i="1"/>
  <c r="E706" i="1"/>
  <c r="D706" i="1"/>
  <c r="E705" i="1"/>
  <c r="D705" i="1"/>
  <c r="E704" i="1"/>
  <c r="D704" i="1"/>
  <c r="E703" i="1"/>
  <c r="D703" i="1"/>
  <c r="E702" i="1"/>
  <c r="D702" i="1"/>
  <c r="E701" i="1"/>
  <c r="D701" i="1"/>
  <c r="E700" i="1"/>
  <c r="D700" i="1"/>
  <c r="E699" i="1"/>
  <c r="D699" i="1"/>
  <c r="E698" i="1"/>
  <c r="D698" i="1"/>
  <c r="E697" i="1"/>
  <c r="D697" i="1"/>
  <c r="E696" i="1"/>
  <c r="D696" i="1"/>
  <c r="E695" i="1"/>
  <c r="D695" i="1"/>
  <c r="E694" i="1"/>
  <c r="D694" i="1"/>
  <c r="E693" i="1"/>
  <c r="D693" i="1"/>
  <c r="E692" i="1"/>
  <c r="D692" i="1"/>
  <c r="E691" i="1"/>
  <c r="D691" i="1"/>
  <c r="E690" i="1"/>
  <c r="D690" i="1"/>
  <c r="E689" i="1"/>
  <c r="D689" i="1"/>
  <c r="E688" i="1"/>
  <c r="D688" i="1"/>
  <c r="E687" i="1"/>
  <c r="D687" i="1"/>
  <c r="E686" i="1"/>
  <c r="D686" i="1"/>
  <c r="E685" i="1"/>
  <c r="D685" i="1"/>
  <c r="E684" i="1"/>
  <c r="D684" i="1"/>
  <c r="E683" i="1"/>
  <c r="D683" i="1"/>
  <c r="E682" i="1"/>
  <c r="D682" i="1"/>
  <c r="E681" i="1"/>
  <c r="D681" i="1"/>
  <c r="E680" i="1"/>
  <c r="D680" i="1"/>
  <c r="E679" i="1"/>
  <c r="D679" i="1"/>
  <c r="E678" i="1"/>
  <c r="D678" i="1"/>
  <c r="E677" i="1"/>
  <c r="D677" i="1"/>
  <c r="E676" i="1"/>
  <c r="D676" i="1"/>
  <c r="E675" i="1"/>
  <c r="D675" i="1"/>
  <c r="E674" i="1"/>
  <c r="D674" i="1"/>
  <c r="E673" i="1"/>
  <c r="D673" i="1"/>
  <c r="E672" i="1"/>
  <c r="D672" i="1"/>
  <c r="E671" i="1"/>
  <c r="D671" i="1"/>
  <c r="E670" i="1"/>
  <c r="D670" i="1"/>
  <c r="E669" i="1"/>
  <c r="D669" i="1"/>
  <c r="E668" i="1"/>
  <c r="D668" i="1"/>
  <c r="E667" i="1"/>
  <c r="D667" i="1"/>
  <c r="E666" i="1"/>
  <c r="D666" i="1"/>
  <c r="E665" i="1"/>
  <c r="D665" i="1"/>
  <c r="E664" i="1"/>
  <c r="D664" i="1"/>
  <c r="E663" i="1"/>
  <c r="D663" i="1"/>
  <c r="E662" i="1"/>
  <c r="D662" i="1"/>
  <c r="E661" i="1"/>
  <c r="D661" i="1"/>
  <c r="E660" i="1"/>
  <c r="D660" i="1"/>
  <c r="E659" i="1"/>
  <c r="D659" i="1"/>
  <c r="E658" i="1"/>
  <c r="D658" i="1"/>
  <c r="E657" i="1"/>
  <c r="D657" i="1"/>
  <c r="E656" i="1"/>
  <c r="D656" i="1"/>
  <c r="E655" i="1"/>
  <c r="D655" i="1"/>
  <c r="E654" i="1"/>
  <c r="D654" i="1"/>
  <c r="E653" i="1"/>
  <c r="D653" i="1"/>
  <c r="E652" i="1"/>
  <c r="D652" i="1"/>
  <c r="E651" i="1"/>
  <c r="D651" i="1"/>
  <c r="E650" i="1"/>
  <c r="D650" i="1"/>
  <c r="E649" i="1"/>
  <c r="D649" i="1"/>
  <c r="E648" i="1"/>
  <c r="D648" i="1"/>
  <c r="E647" i="1"/>
  <c r="D647" i="1"/>
  <c r="E646" i="1"/>
  <c r="D646" i="1"/>
  <c r="E645" i="1"/>
  <c r="D645" i="1"/>
  <c r="E644" i="1"/>
  <c r="D644" i="1"/>
  <c r="E643" i="1"/>
  <c r="D643" i="1"/>
  <c r="E642" i="1"/>
  <c r="D642" i="1"/>
  <c r="E641" i="1"/>
  <c r="D641" i="1"/>
  <c r="E640" i="1"/>
  <c r="D640" i="1"/>
  <c r="E639" i="1"/>
  <c r="D639" i="1"/>
  <c r="E638" i="1"/>
  <c r="D638" i="1"/>
  <c r="E637" i="1"/>
  <c r="D637" i="1"/>
  <c r="E636" i="1"/>
  <c r="D636" i="1"/>
  <c r="E635" i="1"/>
  <c r="D635" i="1"/>
  <c r="E634" i="1"/>
  <c r="D634" i="1"/>
  <c r="E633" i="1"/>
  <c r="D633" i="1"/>
  <c r="E632" i="1"/>
  <c r="D632" i="1"/>
  <c r="E631" i="1"/>
  <c r="D631" i="1"/>
  <c r="E630" i="1"/>
  <c r="D630" i="1"/>
  <c r="E629" i="1"/>
  <c r="D629" i="1"/>
  <c r="E628" i="1"/>
  <c r="D628" i="1"/>
  <c r="E627" i="1"/>
  <c r="D627" i="1"/>
  <c r="E626" i="1"/>
  <c r="D626" i="1"/>
  <c r="E625" i="1"/>
  <c r="D625" i="1"/>
  <c r="E624" i="1"/>
  <c r="D624" i="1"/>
  <c r="E623" i="1"/>
  <c r="D623" i="1"/>
  <c r="E622" i="1"/>
  <c r="D622" i="1"/>
  <c r="E621" i="1"/>
  <c r="D621" i="1"/>
  <c r="E620" i="1"/>
  <c r="D620" i="1"/>
  <c r="E619" i="1"/>
  <c r="D619" i="1"/>
  <c r="E618" i="1"/>
  <c r="D618" i="1"/>
  <c r="E617" i="1"/>
  <c r="D617" i="1"/>
  <c r="E616" i="1"/>
  <c r="D616" i="1"/>
  <c r="E615" i="1"/>
  <c r="D615" i="1"/>
  <c r="E614" i="1"/>
  <c r="D614" i="1"/>
  <c r="E613" i="1"/>
  <c r="D613" i="1"/>
  <c r="E612" i="1"/>
  <c r="D612" i="1"/>
  <c r="E611" i="1"/>
  <c r="D611" i="1"/>
  <c r="E610" i="1"/>
  <c r="D610" i="1"/>
  <c r="E609" i="1"/>
  <c r="D609" i="1"/>
  <c r="E608" i="1"/>
  <c r="D608" i="1"/>
  <c r="E607" i="1"/>
  <c r="D607" i="1"/>
  <c r="E606" i="1"/>
  <c r="D606" i="1"/>
  <c r="E605" i="1"/>
  <c r="D605" i="1"/>
  <c r="E604" i="1"/>
  <c r="D604" i="1"/>
  <c r="E603" i="1"/>
  <c r="D603" i="1"/>
  <c r="E602" i="1"/>
  <c r="D602" i="1"/>
  <c r="E601" i="1"/>
  <c r="D601" i="1"/>
  <c r="E600" i="1"/>
  <c r="D600" i="1"/>
  <c r="E599" i="1"/>
  <c r="D599" i="1"/>
  <c r="E598" i="1"/>
  <c r="D598" i="1"/>
  <c r="E597" i="1"/>
  <c r="D597" i="1"/>
  <c r="E596" i="1"/>
  <c r="D596" i="1"/>
  <c r="E595" i="1"/>
  <c r="D595" i="1"/>
  <c r="E594" i="1"/>
  <c r="D594" i="1"/>
  <c r="E593" i="1"/>
  <c r="D593" i="1"/>
  <c r="E592" i="1"/>
  <c r="D592" i="1"/>
  <c r="E591" i="1"/>
  <c r="D591" i="1"/>
  <c r="E590" i="1"/>
  <c r="D590" i="1"/>
  <c r="E589" i="1"/>
  <c r="D589" i="1"/>
  <c r="E588" i="1"/>
  <c r="D588" i="1"/>
  <c r="E587" i="1"/>
  <c r="D587" i="1"/>
  <c r="E586" i="1"/>
  <c r="D586" i="1"/>
  <c r="E585" i="1"/>
  <c r="D585" i="1"/>
  <c r="E584" i="1"/>
  <c r="D584" i="1"/>
  <c r="E583" i="1"/>
  <c r="D583" i="1"/>
  <c r="E582" i="1"/>
  <c r="D582" i="1"/>
  <c r="E581" i="1"/>
  <c r="D581" i="1"/>
  <c r="E580" i="1"/>
  <c r="D580" i="1"/>
  <c r="E579" i="1"/>
  <c r="D579" i="1"/>
  <c r="E578" i="1"/>
  <c r="D578" i="1"/>
  <c r="E577" i="1"/>
  <c r="D577" i="1"/>
  <c r="E576" i="1"/>
  <c r="D576" i="1"/>
  <c r="E575" i="1"/>
  <c r="D575" i="1"/>
  <c r="E574" i="1"/>
  <c r="D574" i="1"/>
  <c r="E573" i="1"/>
  <c r="D573" i="1"/>
  <c r="E572" i="1"/>
  <c r="D572" i="1"/>
  <c r="E571" i="1"/>
  <c r="D571" i="1"/>
  <c r="E570" i="1"/>
  <c r="D570" i="1"/>
  <c r="E569" i="1"/>
  <c r="D569" i="1"/>
  <c r="E568" i="1"/>
  <c r="D568" i="1"/>
  <c r="E567" i="1"/>
  <c r="D567" i="1"/>
  <c r="E566" i="1"/>
  <c r="D566" i="1"/>
  <c r="E565" i="1"/>
  <c r="D565" i="1"/>
  <c r="E564" i="1"/>
  <c r="D564" i="1"/>
  <c r="E563" i="1"/>
  <c r="D563" i="1"/>
  <c r="E562" i="1"/>
  <c r="D562" i="1"/>
  <c r="E561" i="1"/>
  <c r="D561" i="1"/>
  <c r="E560" i="1"/>
  <c r="D560" i="1"/>
  <c r="E559" i="1"/>
  <c r="D559" i="1"/>
  <c r="E558" i="1"/>
  <c r="D558" i="1"/>
  <c r="E557" i="1"/>
  <c r="D557" i="1"/>
  <c r="E556" i="1"/>
  <c r="D556" i="1"/>
  <c r="E555" i="1"/>
  <c r="D555" i="1"/>
  <c r="E554" i="1"/>
  <c r="D554" i="1"/>
  <c r="E553" i="1"/>
  <c r="D553" i="1"/>
  <c r="E552" i="1"/>
  <c r="D552" i="1"/>
  <c r="E551" i="1"/>
  <c r="D551" i="1"/>
  <c r="E550" i="1"/>
  <c r="D550" i="1"/>
  <c r="E549" i="1"/>
  <c r="D549" i="1"/>
  <c r="E548" i="1"/>
  <c r="D548" i="1"/>
  <c r="E547" i="1"/>
  <c r="D547" i="1"/>
  <c r="E546" i="1"/>
  <c r="D546" i="1"/>
  <c r="E545" i="1"/>
  <c r="D545" i="1"/>
  <c r="E544" i="1"/>
  <c r="D544" i="1"/>
  <c r="E543" i="1"/>
  <c r="D543" i="1"/>
  <c r="E542" i="1"/>
  <c r="D542" i="1"/>
  <c r="E541" i="1"/>
  <c r="D541" i="1"/>
  <c r="E540" i="1"/>
  <c r="D540" i="1"/>
  <c r="E539" i="1"/>
  <c r="D539" i="1"/>
  <c r="E538" i="1"/>
  <c r="D538" i="1"/>
  <c r="E537" i="1"/>
  <c r="D537" i="1"/>
  <c r="E536" i="1"/>
  <c r="D536" i="1"/>
  <c r="E535" i="1"/>
  <c r="D535" i="1"/>
  <c r="E534" i="1"/>
  <c r="D534" i="1"/>
  <c r="E533" i="1"/>
  <c r="D533" i="1"/>
  <c r="E532" i="1"/>
  <c r="D532" i="1"/>
  <c r="E531" i="1"/>
  <c r="D531" i="1"/>
  <c r="E530" i="1"/>
  <c r="D530" i="1"/>
  <c r="E529" i="1"/>
  <c r="D529" i="1"/>
  <c r="E528" i="1"/>
  <c r="D528" i="1"/>
  <c r="E527" i="1"/>
  <c r="D527" i="1"/>
  <c r="E526" i="1"/>
  <c r="D526" i="1"/>
  <c r="E525" i="1"/>
  <c r="D525" i="1"/>
  <c r="E524" i="1"/>
  <c r="D524" i="1"/>
  <c r="E523" i="1"/>
  <c r="D523" i="1"/>
  <c r="E522" i="1"/>
  <c r="D522" i="1"/>
  <c r="E521" i="1"/>
  <c r="D521" i="1"/>
  <c r="E520" i="1"/>
  <c r="D520" i="1"/>
  <c r="E519" i="1"/>
  <c r="D519" i="1"/>
  <c r="E518" i="1"/>
  <c r="D518" i="1"/>
  <c r="E517" i="1"/>
  <c r="D517" i="1"/>
  <c r="E516" i="1"/>
  <c r="D516" i="1"/>
  <c r="E515" i="1"/>
  <c r="D515" i="1"/>
  <c r="E514" i="1"/>
  <c r="D514" i="1"/>
  <c r="E513" i="1"/>
  <c r="D513" i="1"/>
  <c r="E512" i="1"/>
  <c r="D512" i="1"/>
  <c r="E511" i="1"/>
  <c r="D511" i="1"/>
  <c r="E510" i="1"/>
  <c r="D510" i="1"/>
  <c r="E509" i="1"/>
  <c r="D509" i="1"/>
  <c r="E508" i="1"/>
  <c r="D508" i="1"/>
  <c r="E507" i="1"/>
  <c r="D507" i="1"/>
  <c r="E506" i="1"/>
  <c r="D506" i="1"/>
  <c r="E505" i="1"/>
  <c r="D505" i="1"/>
  <c r="E504" i="1"/>
  <c r="D504" i="1"/>
  <c r="E503" i="1"/>
  <c r="D503" i="1"/>
  <c r="E502" i="1"/>
  <c r="D502" i="1"/>
  <c r="E501" i="1"/>
  <c r="D501" i="1"/>
  <c r="E500" i="1"/>
  <c r="D500" i="1"/>
  <c r="E499" i="1"/>
  <c r="D499" i="1"/>
  <c r="E498" i="1"/>
  <c r="D498" i="1"/>
  <c r="E497" i="1"/>
  <c r="D497" i="1"/>
  <c r="E496" i="1"/>
  <c r="D496" i="1"/>
  <c r="E495" i="1"/>
  <c r="D495" i="1"/>
  <c r="E494" i="1"/>
  <c r="D494" i="1"/>
  <c r="E493" i="1"/>
  <c r="D493" i="1"/>
  <c r="E492" i="1"/>
  <c r="D492" i="1"/>
  <c r="E491" i="1"/>
  <c r="D491" i="1"/>
  <c r="E490" i="1"/>
  <c r="D490" i="1"/>
  <c r="E489" i="1"/>
  <c r="D489" i="1"/>
  <c r="E488" i="1"/>
  <c r="D488" i="1"/>
  <c r="E487" i="1"/>
  <c r="D487" i="1"/>
  <c r="E486" i="1"/>
  <c r="D486" i="1"/>
  <c r="E485" i="1"/>
  <c r="D485" i="1"/>
  <c r="E484" i="1"/>
  <c r="D484" i="1"/>
  <c r="E483" i="1"/>
  <c r="D483" i="1"/>
  <c r="E482" i="1"/>
  <c r="D482" i="1"/>
  <c r="E481" i="1"/>
  <c r="D481" i="1"/>
  <c r="E480" i="1"/>
  <c r="D480" i="1"/>
  <c r="E479" i="1"/>
  <c r="D479" i="1"/>
  <c r="E478" i="1"/>
  <c r="D478" i="1"/>
  <c r="E477" i="1"/>
  <c r="D477" i="1"/>
  <c r="E476" i="1"/>
  <c r="D476" i="1"/>
  <c r="E475" i="1"/>
  <c r="D475" i="1"/>
  <c r="E474" i="1"/>
  <c r="D474" i="1"/>
  <c r="E473" i="1"/>
  <c r="D473" i="1"/>
  <c r="E472" i="1"/>
  <c r="D472" i="1"/>
  <c r="E471" i="1"/>
  <c r="D471" i="1"/>
  <c r="E470" i="1"/>
  <c r="D470" i="1"/>
  <c r="E469" i="1"/>
  <c r="D469" i="1"/>
  <c r="E468" i="1"/>
  <c r="D468" i="1"/>
  <c r="E467" i="1"/>
  <c r="D467" i="1"/>
  <c r="E466" i="1"/>
  <c r="D466" i="1"/>
  <c r="E465" i="1"/>
  <c r="D465" i="1"/>
  <c r="E464" i="1"/>
  <c r="D464" i="1"/>
  <c r="E463" i="1"/>
  <c r="D463" i="1"/>
  <c r="E462" i="1"/>
  <c r="D462" i="1"/>
  <c r="E461" i="1"/>
  <c r="D461" i="1"/>
  <c r="E460" i="1"/>
  <c r="D460" i="1"/>
  <c r="E459" i="1"/>
  <c r="D459" i="1"/>
  <c r="E458" i="1"/>
  <c r="D458" i="1"/>
  <c r="E457" i="1"/>
  <c r="D457" i="1"/>
  <c r="E456" i="1"/>
  <c r="D456" i="1"/>
  <c r="E455" i="1"/>
  <c r="D455" i="1"/>
  <c r="E454" i="1"/>
  <c r="D454" i="1"/>
  <c r="E453" i="1"/>
  <c r="D453" i="1"/>
  <c r="E452" i="1"/>
  <c r="D452" i="1"/>
  <c r="E451" i="1"/>
  <c r="D451" i="1"/>
  <c r="E450" i="1"/>
  <c r="D450" i="1"/>
  <c r="E449" i="1"/>
  <c r="D449" i="1"/>
  <c r="E448" i="1"/>
  <c r="D448" i="1"/>
  <c r="E447" i="1"/>
  <c r="D447" i="1"/>
  <c r="E446" i="1"/>
  <c r="D446" i="1"/>
  <c r="E445" i="1"/>
  <c r="D445" i="1"/>
  <c r="E444" i="1"/>
  <c r="D444" i="1"/>
  <c r="E443" i="1"/>
  <c r="D443" i="1"/>
  <c r="E442" i="1"/>
  <c r="D442" i="1"/>
  <c r="E441" i="1"/>
  <c r="D441" i="1"/>
  <c r="E440" i="1"/>
  <c r="D440" i="1"/>
  <c r="E439" i="1"/>
  <c r="D439" i="1"/>
  <c r="E438" i="1"/>
  <c r="D438" i="1"/>
  <c r="E437" i="1"/>
  <c r="D437" i="1"/>
  <c r="E436" i="1"/>
  <c r="D436" i="1"/>
  <c r="E435" i="1"/>
  <c r="D435" i="1"/>
  <c r="E434" i="1"/>
  <c r="D434" i="1"/>
  <c r="E433" i="1"/>
  <c r="D433" i="1"/>
  <c r="E432" i="1"/>
  <c r="D432" i="1"/>
  <c r="E431" i="1"/>
  <c r="D431" i="1"/>
  <c r="E430" i="1"/>
  <c r="D430" i="1"/>
  <c r="E429" i="1"/>
  <c r="D429" i="1"/>
  <c r="E428" i="1"/>
  <c r="D428" i="1"/>
  <c r="E427" i="1"/>
  <c r="D427" i="1"/>
  <c r="E426" i="1"/>
  <c r="D426" i="1"/>
  <c r="E425" i="1"/>
  <c r="D425" i="1"/>
  <c r="E424" i="1"/>
  <c r="D424" i="1"/>
  <c r="E423" i="1"/>
  <c r="D423" i="1"/>
  <c r="E422" i="1"/>
  <c r="D422" i="1"/>
  <c r="E421" i="1"/>
  <c r="D421" i="1"/>
  <c r="E420" i="1"/>
  <c r="D420" i="1"/>
  <c r="E419" i="1"/>
  <c r="D419" i="1"/>
  <c r="E418" i="1"/>
  <c r="D418" i="1"/>
  <c r="E417" i="1"/>
  <c r="D417" i="1"/>
  <c r="E416" i="1"/>
  <c r="D416" i="1"/>
  <c r="E415" i="1"/>
  <c r="D415" i="1"/>
  <c r="E414" i="1"/>
  <c r="D414" i="1"/>
  <c r="E413" i="1"/>
  <c r="D413" i="1"/>
  <c r="E412" i="1"/>
  <c r="D412" i="1"/>
  <c r="E411" i="1"/>
  <c r="D411" i="1"/>
  <c r="E410" i="1"/>
  <c r="D410" i="1"/>
  <c r="E409" i="1"/>
  <c r="D409" i="1"/>
  <c r="E408" i="1"/>
  <c r="D408" i="1"/>
  <c r="E407" i="1"/>
  <c r="D407" i="1"/>
  <c r="E406" i="1"/>
  <c r="D406" i="1"/>
  <c r="E405" i="1"/>
  <c r="D405" i="1"/>
  <c r="E404" i="1"/>
  <c r="D404" i="1"/>
  <c r="E403" i="1"/>
  <c r="D403" i="1"/>
  <c r="E402" i="1"/>
  <c r="D402" i="1"/>
  <c r="E401" i="1"/>
  <c r="D401" i="1"/>
  <c r="E400" i="1"/>
  <c r="D400" i="1"/>
  <c r="E399" i="1"/>
  <c r="D399" i="1"/>
  <c r="E398" i="1"/>
  <c r="D398" i="1"/>
  <c r="E397" i="1"/>
  <c r="D397" i="1"/>
  <c r="E396" i="1"/>
  <c r="D396" i="1"/>
  <c r="E395" i="1"/>
  <c r="D395" i="1"/>
  <c r="E394" i="1"/>
  <c r="D394" i="1"/>
  <c r="E393" i="1"/>
  <c r="D393" i="1"/>
  <c r="E392" i="1"/>
  <c r="D392" i="1"/>
  <c r="E391" i="1"/>
  <c r="D391" i="1"/>
  <c r="E390" i="1"/>
  <c r="D390" i="1"/>
  <c r="E389" i="1"/>
  <c r="D389" i="1"/>
  <c r="E388" i="1"/>
  <c r="D388" i="1"/>
  <c r="E387" i="1"/>
  <c r="D387" i="1"/>
  <c r="E386" i="1"/>
  <c r="D386" i="1"/>
  <c r="E385" i="1"/>
  <c r="D385" i="1"/>
  <c r="E384" i="1"/>
  <c r="D384" i="1"/>
  <c r="E383" i="1"/>
  <c r="D383" i="1"/>
  <c r="E382" i="1"/>
  <c r="D382" i="1"/>
  <c r="E381" i="1"/>
  <c r="D381" i="1"/>
  <c r="E380" i="1"/>
  <c r="D380" i="1"/>
  <c r="E379" i="1"/>
  <c r="D379" i="1"/>
  <c r="E378" i="1"/>
  <c r="D378" i="1"/>
  <c r="E377" i="1"/>
  <c r="D377" i="1"/>
  <c r="E376" i="1"/>
  <c r="D376" i="1"/>
  <c r="E375" i="1"/>
  <c r="D375" i="1"/>
  <c r="E374" i="1"/>
  <c r="D374" i="1"/>
  <c r="E373" i="1"/>
  <c r="D373" i="1"/>
  <c r="E372" i="1"/>
  <c r="D372" i="1"/>
  <c r="E371" i="1"/>
  <c r="D371" i="1"/>
  <c r="E370" i="1"/>
  <c r="D370" i="1"/>
  <c r="E369" i="1"/>
  <c r="D369" i="1"/>
  <c r="E368" i="1"/>
  <c r="D368" i="1"/>
  <c r="E367" i="1"/>
  <c r="D367" i="1"/>
  <c r="E366" i="1"/>
  <c r="D366" i="1"/>
  <c r="E365" i="1"/>
  <c r="D365" i="1"/>
  <c r="E364" i="1"/>
  <c r="D364" i="1"/>
  <c r="E363" i="1"/>
  <c r="D363" i="1"/>
  <c r="E362" i="1"/>
  <c r="D362" i="1"/>
  <c r="E361" i="1"/>
  <c r="D361" i="1"/>
  <c r="E360" i="1"/>
  <c r="D360" i="1"/>
  <c r="E359" i="1"/>
  <c r="D359" i="1"/>
  <c r="E358" i="1"/>
  <c r="D358" i="1"/>
  <c r="E357" i="1"/>
  <c r="D357" i="1"/>
  <c r="E356" i="1"/>
  <c r="D356" i="1"/>
  <c r="E355" i="1"/>
  <c r="D355" i="1"/>
  <c r="E354" i="1"/>
  <c r="D354" i="1"/>
  <c r="E353" i="1"/>
  <c r="D353" i="1"/>
  <c r="E352" i="1"/>
  <c r="D352" i="1"/>
  <c r="E351" i="1"/>
  <c r="D351" i="1"/>
  <c r="E350" i="1"/>
  <c r="D350" i="1"/>
  <c r="E349" i="1"/>
  <c r="D349" i="1"/>
  <c r="E348" i="1"/>
  <c r="D348" i="1"/>
  <c r="E347" i="1"/>
  <c r="D347" i="1"/>
  <c r="E346" i="1"/>
  <c r="D346" i="1"/>
  <c r="E345" i="1"/>
  <c r="D345" i="1"/>
  <c r="E344" i="1"/>
  <c r="D344" i="1"/>
  <c r="E343" i="1"/>
  <c r="D343" i="1"/>
  <c r="E342" i="1"/>
  <c r="D342" i="1"/>
  <c r="E341" i="1"/>
  <c r="D341" i="1"/>
  <c r="E340" i="1"/>
  <c r="D340" i="1"/>
  <c r="E339" i="1"/>
  <c r="D339" i="1"/>
  <c r="E338" i="1"/>
  <c r="D338" i="1"/>
  <c r="E337" i="1"/>
  <c r="D337" i="1"/>
  <c r="E336" i="1"/>
  <c r="D336" i="1"/>
  <c r="E335" i="1"/>
  <c r="D335" i="1"/>
  <c r="E334" i="1"/>
  <c r="D334" i="1"/>
  <c r="E333" i="1"/>
  <c r="D333" i="1"/>
  <c r="E332" i="1"/>
  <c r="D332" i="1"/>
  <c r="E331" i="1"/>
  <c r="D331" i="1"/>
  <c r="E330" i="1"/>
  <c r="D330" i="1"/>
  <c r="E329" i="1"/>
  <c r="D329" i="1"/>
  <c r="E328" i="1"/>
  <c r="D328" i="1"/>
  <c r="E327" i="1"/>
  <c r="D327" i="1"/>
  <c r="E326" i="1"/>
  <c r="D326" i="1"/>
  <c r="E325" i="1"/>
  <c r="D325" i="1"/>
  <c r="E324" i="1"/>
  <c r="D324" i="1"/>
  <c r="E323" i="1"/>
  <c r="D323" i="1"/>
  <c r="E322" i="1"/>
  <c r="D322" i="1"/>
  <c r="E321" i="1"/>
  <c r="D321" i="1"/>
  <c r="E320" i="1"/>
  <c r="D320" i="1"/>
  <c r="E319" i="1"/>
  <c r="D319" i="1"/>
  <c r="E318" i="1"/>
  <c r="D318" i="1"/>
  <c r="E317" i="1"/>
  <c r="D317" i="1"/>
  <c r="E316" i="1"/>
  <c r="D316" i="1"/>
  <c r="E315" i="1"/>
  <c r="D315" i="1"/>
  <c r="E314" i="1"/>
  <c r="D314" i="1"/>
  <c r="E313" i="1"/>
  <c r="D313" i="1"/>
  <c r="E312" i="1"/>
  <c r="D312" i="1"/>
  <c r="E311" i="1"/>
  <c r="D311" i="1"/>
  <c r="E310" i="1"/>
  <c r="D310" i="1"/>
  <c r="E309" i="1"/>
  <c r="D309" i="1"/>
  <c r="E308" i="1"/>
  <c r="D308" i="1"/>
  <c r="E307" i="1"/>
  <c r="D307" i="1"/>
  <c r="E306" i="1"/>
  <c r="D306" i="1"/>
  <c r="E305" i="1"/>
  <c r="D305" i="1"/>
  <c r="E304" i="1"/>
  <c r="D304" i="1"/>
  <c r="E303" i="1"/>
  <c r="D303" i="1"/>
  <c r="E302" i="1"/>
  <c r="D302" i="1"/>
  <c r="E301" i="1"/>
  <c r="D301" i="1"/>
  <c r="E300" i="1"/>
  <c r="D300" i="1"/>
  <c r="E299" i="1"/>
  <c r="D299" i="1"/>
  <c r="E298" i="1"/>
  <c r="D298" i="1"/>
  <c r="E297" i="1"/>
  <c r="D297" i="1"/>
  <c r="E296" i="1"/>
  <c r="D296" i="1"/>
  <c r="E295" i="1"/>
  <c r="D295" i="1"/>
  <c r="E294" i="1"/>
  <c r="D294" i="1"/>
  <c r="E293" i="1"/>
  <c r="D293" i="1"/>
  <c r="E292" i="1"/>
  <c r="D292" i="1"/>
  <c r="E291" i="1"/>
  <c r="D291" i="1"/>
  <c r="E290" i="1"/>
  <c r="D290" i="1"/>
  <c r="E289" i="1"/>
  <c r="D289" i="1"/>
  <c r="E288" i="1"/>
  <c r="D288" i="1"/>
  <c r="E287" i="1"/>
  <c r="D287" i="1"/>
  <c r="E286" i="1"/>
  <c r="D286" i="1"/>
  <c r="E285" i="1"/>
  <c r="D285" i="1"/>
  <c r="E284" i="1"/>
  <c r="D284" i="1"/>
  <c r="E283" i="1"/>
  <c r="D283" i="1"/>
  <c r="E282" i="1"/>
  <c r="D282" i="1"/>
  <c r="E281" i="1"/>
  <c r="D281" i="1"/>
  <c r="E280" i="1"/>
  <c r="D280" i="1"/>
  <c r="E279" i="1"/>
  <c r="D279" i="1"/>
  <c r="E278" i="1"/>
  <c r="D278" i="1"/>
  <c r="E277" i="1"/>
  <c r="D277" i="1"/>
  <c r="E276" i="1"/>
  <c r="D276" i="1"/>
  <c r="E275" i="1"/>
  <c r="D275" i="1"/>
  <c r="E274" i="1"/>
  <c r="D274" i="1"/>
  <c r="E273" i="1"/>
  <c r="D273" i="1"/>
  <c r="E272" i="1"/>
  <c r="D272" i="1"/>
  <c r="E271" i="1"/>
  <c r="D271" i="1"/>
  <c r="E270" i="1"/>
  <c r="D270" i="1"/>
  <c r="E269" i="1"/>
  <c r="D269" i="1"/>
  <c r="E268" i="1"/>
  <c r="D268" i="1"/>
  <c r="E267" i="1"/>
  <c r="D267" i="1"/>
  <c r="E266" i="1"/>
  <c r="D266" i="1"/>
  <c r="E265" i="1"/>
  <c r="D265" i="1"/>
  <c r="E264" i="1"/>
  <c r="D264" i="1"/>
  <c r="E263" i="1"/>
  <c r="D263" i="1"/>
  <c r="E262" i="1"/>
  <c r="D262" i="1"/>
  <c r="E261" i="1"/>
  <c r="D261" i="1"/>
  <c r="E260" i="1"/>
  <c r="D260" i="1"/>
  <c r="E259" i="1"/>
  <c r="D259" i="1"/>
  <c r="E258" i="1"/>
  <c r="D258" i="1"/>
  <c r="E257" i="1"/>
  <c r="D257" i="1"/>
  <c r="E256" i="1"/>
  <c r="D256" i="1"/>
  <c r="E255" i="1"/>
  <c r="D255" i="1"/>
  <c r="E254" i="1"/>
  <c r="D254" i="1"/>
  <c r="E253" i="1"/>
  <c r="D253" i="1"/>
  <c r="E252" i="1"/>
  <c r="D252" i="1"/>
  <c r="E251" i="1"/>
  <c r="D251" i="1"/>
  <c r="E250" i="1"/>
  <c r="D250" i="1"/>
  <c r="E249" i="1"/>
  <c r="D249" i="1"/>
  <c r="E248" i="1"/>
  <c r="D248" i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40" i="1"/>
  <c r="D240" i="1"/>
  <c r="E239" i="1"/>
  <c r="D239" i="1"/>
  <c r="E238" i="1"/>
  <c r="D238" i="1"/>
  <c r="E237" i="1"/>
  <c r="D237" i="1"/>
  <c r="E236" i="1"/>
  <c r="D236" i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D227" i="1"/>
  <c r="E226" i="1"/>
  <c r="D226" i="1"/>
  <c r="E225" i="1"/>
  <c r="D225" i="1"/>
  <c r="E224" i="1"/>
  <c r="D224" i="1"/>
  <c r="E223" i="1"/>
  <c r="D223" i="1"/>
  <c r="E222" i="1"/>
  <c r="D222" i="1"/>
  <c r="E221" i="1"/>
  <c r="D221" i="1"/>
  <c r="E220" i="1"/>
  <c r="D220" i="1"/>
  <c r="E219" i="1"/>
  <c r="D219" i="1"/>
  <c r="E218" i="1"/>
  <c r="D218" i="1"/>
  <c r="E217" i="1"/>
  <c r="D217" i="1"/>
  <c r="E216" i="1"/>
  <c r="D216" i="1"/>
  <c r="E215" i="1"/>
  <c r="D215" i="1"/>
  <c r="E214" i="1"/>
  <c r="D214" i="1"/>
  <c r="E213" i="1"/>
  <c r="D213" i="1"/>
  <c r="E212" i="1"/>
  <c r="D212" i="1"/>
  <c r="E211" i="1"/>
  <c r="D211" i="1"/>
  <c r="E210" i="1"/>
  <c r="D210" i="1"/>
  <c r="E209" i="1"/>
  <c r="D209" i="1"/>
  <c r="E208" i="1"/>
  <c r="D208" i="1"/>
  <c r="E207" i="1"/>
  <c r="D207" i="1"/>
  <c r="E206" i="1"/>
  <c r="D206" i="1"/>
  <c r="E205" i="1"/>
  <c r="D205" i="1"/>
  <c r="E204" i="1"/>
  <c r="D204" i="1"/>
  <c r="E203" i="1"/>
  <c r="D203" i="1"/>
  <c r="E202" i="1"/>
  <c r="D202" i="1"/>
  <c r="E201" i="1"/>
  <c r="D201" i="1"/>
  <c r="E200" i="1"/>
  <c r="D200" i="1"/>
  <c r="E199" i="1"/>
  <c r="D199" i="1"/>
  <c r="E198" i="1"/>
  <c r="D198" i="1"/>
  <c r="E197" i="1"/>
  <c r="D197" i="1"/>
  <c r="E196" i="1"/>
  <c r="D196" i="1"/>
  <c r="E195" i="1"/>
  <c r="D195" i="1"/>
  <c r="E194" i="1"/>
  <c r="D194" i="1"/>
  <c r="E193" i="1"/>
  <c r="D193" i="1"/>
  <c r="E192" i="1"/>
  <c r="D192" i="1"/>
  <c r="E191" i="1"/>
  <c r="D191" i="1"/>
  <c r="E190" i="1"/>
  <c r="D190" i="1"/>
  <c r="E189" i="1"/>
  <c r="D189" i="1"/>
  <c r="E188" i="1"/>
  <c r="D188" i="1"/>
  <c r="E187" i="1"/>
  <c r="D187" i="1"/>
  <c r="E186" i="1"/>
  <c r="D186" i="1"/>
  <c r="E185" i="1"/>
  <c r="D185" i="1"/>
  <c r="E184" i="1"/>
  <c r="D184" i="1"/>
  <c r="E183" i="1"/>
  <c r="D183" i="1"/>
  <c r="E182" i="1"/>
  <c r="D182" i="1"/>
  <c r="E181" i="1"/>
  <c r="D181" i="1"/>
  <c r="E180" i="1"/>
  <c r="D180" i="1"/>
  <c r="E179" i="1"/>
  <c r="D179" i="1"/>
  <c r="E178" i="1"/>
  <c r="D178" i="1"/>
  <c r="E177" i="1"/>
  <c r="D177" i="1"/>
  <c r="E176" i="1"/>
  <c r="D176" i="1"/>
  <c r="E175" i="1"/>
  <c r="D175" i="1"/>
  <c r="E174" i="1"/>
  <c r="D174" i="1"/>
  <c r="E173" i="1"/>
  <c r="D173" i="1"/>
  <c r="E172" i="1"/>
  <c r="D172" i="1"/>
  <c r="E171" i="1"/>
  <c r="D171" i="1"/>
  <c r="E170" i="1"/>
  <c r="D170" i="1"/>
  <c r="E169" i="1"/>
  <c r="D169" i="1"/>
  <c r="E168" i="1"/>
  <c r="D168" i="1"/>
  <c r="E167" i="1"/>
  <c r="D167" i="1"/>
  <c r="E166" i="1"/>
  <c r="D166" i="1"/>
  <c r="E165" i="1"/>
  <c r="D165" i="1"/>
  <c r="E164" i="1"/>
  <c r="D164" i="1"/>
  <c r="E163" i="1"/>
  <c r="D163" i="1"/>
  <c r="E162" i="1"/>
  <c r="D162" i="1"/>
  <c r="E161" i="1"/>
  <c r="D161" i="1"/>
  <c r="E160" i="1"/>
  <c r="D160" i="1"/>
  <c r="E159" i="1"/>
  <c r="D159" i="1"/>
  <c r="E158" i="1"/>
  <c r="D158" i="1"/>
  <c r="E157" i="1"/>
  <c r="D157" i="1"/>
  <c r="E156" i="1"/>
  <c r="D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E143" i="1"/>
  <c r="D143" i="1"/>
  <c r="E142" i="1"/>
  <c r="D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E129" i="1"/>
  <c r="D129" i="1"/>
  <c r="E128" i="1"/>
  <c r="D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E101" i="1"/>
  <c r="D101" i="1"/>
  <c r="E100" i="1"/>
  <c r="D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E87" i="1"/>
  <c r="D87" i="1"/>
  <c r="E86" i="1"/>
  <c r="D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E73" i="1"/>
  <c r="D73" i="1"/>
  <c r="E72" i="1"/>
  <c r="D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E45" i="1"/>
  <c r="D45" i="1"/>
  <c r="E44" i="1"/>
  <c r="D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E31" i="1"/>
  <c r="D31" i="1"/>
  <c r="E30" i="1"/>
  <c r="D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E17" i="1"/>
  <c r="D17" i="1"/>
  <c r="E16" i="1"/>
  <c r="D16" i="1"/>
  <c r="E15" i="1"/>
  <c r="D15" i="1"/>
  <c r="E14" i="1"/>
  <c r="D14" i="1"/>
  <c r="E13" i="1"/>
  <c r="D13" i="1"/>
  <c r="E12" i="1"/>
  <c r="D12" i="1"/>
  <c r="E11" i="1"/>
  <c r="D11" i="1"/>
  <c r="E10" i="1"/>
  <c r="D10" i="1"/>
  <c r="E9" i="1"/>
  <c r="D9" i="1"/>
  <c r="R9" i="1" s="1"/>
  <c r="S10" i="1" l="1"/>
  <c r="S11" i="1"/>
  <c r="U12" i="1"/>
  <c r="S12" i="1"/>
  <c r="S13" i="1"/>
  <c r="S14" i="1"/>
  <c r="S15" i="1"/>
  <c r="S16" i="1"/>
  <c r="S17" i="1"/>
  <c r="U17" i="1"/>
  <c r="S18" i="1"/>
  <c r="S19" i="1"/>
  <c r="S20" i="1"/>
  <c r="S21" i="1"/>
  <c r="S22" i="1"/>
  <c r="S23" i="1"/>
  <c r="S24" i="1"/>
  <c r="S25" i="1"/>
  <c r="S26" i="1"/>
  <c r="S27" i="1"/>
  <c r="U27" i="1"/>
  <c r="S28" i="1"/>
  <c r="S29" i="1"/>
  <c r="S30" i="1"/>
  <c r="S31" i="1"/>
  <c r="S32" i="1"/>
  <c r="S33" i="1"/>
  <c r="U33" i="1"/>
  <c r="S34" i="1"/>
  <c r="S35" i="1"/>
  <c r="S36" i="1"/>
  <c r="S37" i="1"/>
  <c r="S38" i="1"/>
  <c r="S39" i="1"/>
  <c r="S40" i="1"/>
  <c r="S41" i="1"/>
  <c r="U41" i="1"/>
  <c r="S42" i="1"/>
  <c r="S43" i="1"/>
  <c r="S44" i="1"/>
  <c r="S45" i="1"/>
  <c r="U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U61" i="1"/>
  <c r="S62" i="1"/>
  <c r="U63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U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U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U215" i="1"/>
  <c r="S215" i="1"/>
  <c r="S216" i="1"/>
  <c r="S217" i="1"/>
  <c r="S218" i="1"/>
  <c r="S219" i="1"/>
  <c r="S220" i="1"/>
  <c r="S221" i="1"/>
  <c r="S222" i="1"/>
  <c r="U223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U238" i="1"/>
  <c r="S238" i="1"/>
  <c r="S239" i="1"/>
  <c r="S240" i="1"/>
  <c r="S241" i="1"/>
  <c r="S242" i="1"/>
  <c r="S243" i="1"/>
  <c r="S244" i="1"/>
  <c r="S245" i="1"/>
  <c r="U246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U359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U375" i="1"/>
  <c r="S375" i="1"/>
  <c r="S376" i="1"/>
  <c r="S377" i="1"/>
  <c r="S378" i="1"/>
  <c r="S379" i="1"/>
  <c r="S380" i="1"/>
  <c r="S381" i="1"/>
  <c r="S382" i="1"/>
  <c r="U383" i="1"/>
  <c r="S383" i="1"/>
  <c r="S384" i="1"/>
  <c r="S385" i="1"/>
  <c r="S386" i="1"/>
  <c r="S387" i="1"/>
  <c r="S388" i="1"/>
  <c r="S389" i="1"/>
  <c r="S390" i="1"/>
  <c r="U391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U407" i="1"/>
  <c r="S407" i="1"/>
  <c r="S408" i="1"/>
  <c r="S409" i="1"/>
  <c r="S410" i="1"/>
  <c r="S411" i="1"/>
  <c r="S412" i="1"/>
  <c r="S413" i="1"/>
  <c r="S414" i="1"/>
  <c r="U415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U431" i="1"/>
  <c r="S431" i="1"/>
  <c r="S432" i="1"/>
  <c r="S433" i="1"/>
  <c r="S434" i="1"/>
  <c r="S435" i="1"/>
  <c r="S436" i="1"/>
  <c r="S437" i="1"/>
  <c r="S438" i="1"/>
  <c r="U439" i="1"/>
  <c r="S439" i="1"/>
  <c r="S440" i="1"/>
  <c r="S441" i="1"/>
  <c r="S442" i="1"/>
  <c r="S443" i="1"/>
  <c r="S444" i="1"/>
  <c r="S445" i="1"/>
  <c r="S446" i="1"/>
  <c r="U447" i="1"/>
  <c r="S447" i="1"/>
  <c r="S448" i="1"/>
  <c r="S449" i="1"/>
  <c r="S450" i="1"/>
  <c r="S451" i="1"/>
  <c r="S452" i="1"/>
  <c r="S453" i="1"/>
  <c r="S454" i="1"/>
  <c r="U455" i="1"/>
  <c r="S455" i="1"/>
  <c r="S456" i="1"/>
  <c r="S457" i="1"/>
  <c r="S458" i="1"/>
  <c r="S459" i="1"/>
  <c r="S460" i="1"/>
  <c r="S461" i="1"/>
  <c r="S462" i="1"/>
  <c r="U463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U479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U587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U635" i="1"/>
  <c r="S635" i="1"/>
  <c r="S636" i="1"/>
  <c r="S637" i="1"/>
  <c r="S638" i="1"/>
  <c r="S639" i="1"/>
  <c r="S640" i="1"/>
  <c r="S641" i="1"/>
  <c r="S642" i="1"/>
  <c r="U643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U658" i="1" s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U674" i="1" s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U695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U726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U764" i="1"/>
  <c r="S764" i="1"/>
  <c r="S765" i="1"/>
  <c r="S766" i="1"/>
  <c r="S767" i="1"/>
  <c r="S768" i="1"/>
  <c r="S769" i="1"/>
  <c r="S770" i="1"/>
  <c r="S771" i="1"/>
  <c r="U772" i="1"/>
  <c r="S772" i="1"/>
  <c r="S773" i="1"/>
  <c r="S774" i="1"/>
  <c r="S775" i="1"/>
  <c r="S776" i="1"/>
  <c r="S777" i="1"/>
  <c r="S778" i="1"/>
  <c r="S779" i="1"/>
  <c r="U780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U792" i="1"/>
  <c r="S792" i="1"/>
  <c r="S793" i="1"/>
  <c r="S794" i="1"/>
  <c r="S795" i="1"/>
  <c r="U796" i="1"/>
  <c r="S796" i="1"/>
  <c r="S797" i="1"/>
  <c r="S798" i="1"/>
  <c r="S799" i="1"/>
  <c r="S800" i="1"/>
  <c r="S801" i="1"/>
  <c r="S802" i="1"/>
  <c r="S803" i="1"/>
  <c r="U804" i="1"/>
  <c r="S804" i="1"/>
  <c r="S805" i="1"/>
  <c r="S806" i="1"/>
  <c r="S807" i="1"/>
  <c r="S808" i="1"/>
  <c r="S809" i="1"/>
  <c r="S810" i="1"/>
  <c r="S811" i="1"/>
  <c r="U812" i="1"/>
  <c r="S812" i="1"/>
  <c r="S813" i="1"/>
  <c r="S814" i="1"/>
  <c r="S815" i="1"/>
  <c r="S816" i="1"/>
  <c r="S817" i="1"/>
  <c r="S818" i="1"/>
  <c r="S819" i="1"/>
  <c r="U820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U955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U1180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U1196" i="1"/>
  <c r="S1196" i="1"/>
  <c r="S1197" i="1"/>
  <c r="S1198" i="1"/>
  <c r="S1199" i="1"/>
  <c r="S1200" i="1"/>
  <c r="U1201" i="1"/>
  <c r="S1201" i="1"/>
  <c r="S1202" i="1"/>
  <c r="S1203" i="1"/>
  <c r="S1204" i="1"/>
  <c r="S1205" i="1"/>
  <c r="S1206" i="1"/>
  <c r="S1207" i="1"/>
  <c r="S1208" i="1"/>
  <c r="U1209" i="1"/>
  <c r="S1209" i="1"/>
  <c r="S1210" i="1"/>
  <c r="S1211" i="1"/>
  <c r="S1212" i="1"/>
  <c r="S1213" i="1"/>
  <c r="S1214" i="1"/>
  <c r="S1215" i="1"/>
  <c r="S1216" i="1"/>
  <c r="U1217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U1233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U1249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U1265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U1352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U1393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U1424" i="1"/>
  <c r="S1424" i="1"/>
  <c r="U1425" i="1"/>
  <c r="S1425" i="1"/>
  <c r="S1426" i="1"/>
  <c r="S1427" i="1"/>
  <c r="U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U1489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U1566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U1617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U1633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U1665" i="1"/>
  <c r="S1665" i="1"/>
  <c r="S1666" i="1"/>
  <c r="S1667" i="1"/>
  <c r="S1668" i="1"/>
  <c r="S1669" i="1"/>
  <c r="S1670" i="1"/>
  <c r="U1671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U1713" i="1"/>
  <c r="S1713" i="1"/>
  <c r="S1714" i="1"/>
  <c r="S1715" i="1"/>
  <c r="U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U1745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U1760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U1815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U1864" i="1"/>
  <c r="S1864" i="1"/>
  <c r="S1865" i="1"/>
  <c r="S1866" i="1"/>
  <c r="S1867" i="1"/>
  <c r="S1868" i="1"/>
  <c r="S1869" i="1"/>
  <c r="U1870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U1886" i="1"/>
  <c r="S1886" i="1"/>
  <c r="S1887" i="1"/>
  <c r="S1888" i="1"/>
  <c r="S1889" i="1"/>
  <c r="S1890" i="1"/>
  <c r="S1891" i="1"/>
  <c r="S1892" i="1"/>
  <c r="S1893" i="1"/>
  <c r="U1894" i="1"/>
  <c r="S1894" i="1"/>
  <c r="S1895" i="1"/>
  <c r="S1896" i="1"/>
  <c r="S1897" i="1"/>
  <c r="S1898" i="1"/>
  <c r="S1899" i="1"/>
  <c r="S1900" i="1"/>
  <c r="S1901" i="1"/>
  <c r="U1902" i="1"/>
  <c r="S1902" i="1"/>
  <c r="S1903" i="1"/>
  <c r="S1904" i="1"/>
  <c r="S1905" i="1"/>
  <c r="S1906" i="1"/>
  <c r="S1907" i="1"/>
  <c r="S1908" i="1"/>
  <c r="S1909" i="1"/>
  <c r="S1910" i="1"/>
  <c r="S1911" i="1"/>
  <c r="U1912" i="1"/>
  <c r="S1912" i="1"/>
  <c r="S1913" i="1"/>
  <c r="S1914" i="1"/>
  <c r="S1915" i="1"/>
  <c r="S1916" i="1"/>
  <c r="S1917" i="1"/>
  <c r="S1918" i="1"/>
  <c r="S1919" i="1"/>
  <c r="U1920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U1952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U2040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U2124" i="1"/>
  <c r="S2124" i="1"/>
  <c r="U2125" i="1"/>
  <c r="S2125" i="1"/>
  <c r="S2126" i="1"/>
  <c r="S2127" i="1"/>
  <c r="U2128" i="1"/>
  <c r="S2128" i="1"/>
  <c r="S2129" i="1"/>
  <c r="S2130" i="1"/>
  <c r="U2131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U2256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U2304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U2328" i="1"/>
  <c r="S2328" i="1"/>
  <c r="S2329" i="1"/>
  <c r="S2330" i="1"/>
  <c r="S2331" i="1"/>
  <c r="S2332" i="1"/>
  <c r="S2333" i="1"/>
  <c r="S2334" i="1"/>
  <c r="S2335" i="1"/>
  <c r="U2336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U2389" i="1"/>
  <c r="S2389" i="1"/>
  <c r="S2390" i="1"/>
  <c r="S2391" i="1"/>
  <c r="S2392" i="1"/>
  <c r="S2393" i="1"/>
  <c r="S2394" i="1"/>
  <c r="S2395" i="1"/>
  <c r="S2396" i="1"/>
  <c r="U2397" i="1"/>
  <c r="S2397" i="1"/>
  <c r="S2398" i="1"/>
  <c r="S2399" i="1"/>
  <c r="S2400" i="1"/>
  <c r="S2401" i="1"/>
  <c r="S2402" i="1"/>
  <c r="S2403" i="1"/>
  <c r="S2404" i="1"/>
  <c r="U2405" i="1"/>
  <c r="S2405" i="1"/>
  <c r="S2406" i="1"/>
  <c r="S2407" i="1"/>
  <c r="S2408" i="1"/>
  <c r="S2409" i="1"/>
  <c r="S2410" i="1"/>
  <c r="S2411" i="1"/>
  <c r="S2412" i="1"/>
  <c r="U2413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U2462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U2491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U2579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U2659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U2696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U2710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U2726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U2740" i="1"/>
  <c r="S2740" i="1"/>
  <c r="S2741" i="1"/>
  <c r="U2742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U2819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U2835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U2894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U2915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U3000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U3062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U3241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U3265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U3281" i="1"/>
  <c r="S3281" i="1"/>
  <c r="S3282" i="1"/>
  <c r="S3283" i="1"/>
  <c r="S3284" i="1"/>
  <c r="S3285" i="1"/>
  <c r="S3286" i="1"/>
  <c r="S3287" i="1"/>
  <c r="S3288" i="1"/>
  <c r="U3289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U3305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U3329" i="1"/>
  <c r="S3329" i="1"/>
  <c r="S3330" i="1"/>
  <c r="S3331" i="1"/>
  <c r="S3332" i="1"/>
  <c r="S3333" i="1"/>
  <c r="S3334" i="1"/>
  <c r="S3335" i="1"/>
  <c r="S3336" i="1"/>
  <c r="U3337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U3392" i="1"/>
  <c r="S3392" i="1"/>
  <c r="U3393" i="1"/>
  <c r="S3393" i="1"/>
  <c r="S3394" i="1"/>
  <c r="S3395" i="1"/>
  <c r="S3396" i="1"/>
  <c r="S3397" i="1"/>
  <c r="S3398" i="1"/>
  <c r="S3399" i="1"/>
  <c r="S3400" i="1"/>
  <c r="U3401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U3416" i="1"/>
  <c r="S3416" i="1"/>
  <c r="S3417" i="1"/>
  <c r="S3418" i="1"/>
  <c r="S3419" i="1"/>
  <c r="S3420" i="1"/>
  <c r="S3421" i="1"/>
  <c r="S3422" i="1"/>
  <c r="S3423" i="1"/>
  <c r="U3424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U3464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U3609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U3645" i="1"/>
  <c r="S3645" i="1"/>
  <c r="S3646" i="1"/>
  <c r="S3647" i="1"/>
  <c r="S3648" i="1"/>
  <c r="U3649" i="1"/>
  <c r="S3649" i="1"/>
  <c r="S3650" i="1"/>
  <c r="S3651" i="1"/>
  <c r="S3652" i="1"/>
  <c r="S3653" i="1"/>
  <c r="S3654" i="1"/>
  <c r="S3655" i="1"/>
  <c r="S3656" i="1"/>
  <c r="U3657" i="1"/>
  <c r="S3657" i="1"/>
  <c r="S3658" i="1"/>
  <c r="S3659" i="1"/>
  <c r="S3660" i="1"/>
  <c r="S3661" i="1"/>
  <c r="S3662" i="1"/>
  <c r="S3663" i="1"/>
  <c r="S3664" i="1"/>
  <c r="U3665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U3681" i="1"/>
  <c r="S3681" i="1"/>
  <c r="S3682" i="1"/>
  <c r="S3683" i="1"/>
  <c r="S3684" i="1"/>
  <c r="S3685" i="1"/>
  <c r="S3686" i="1"/>
  <c r="S3687" i="1"/>
  <c r="S3688" i="1"/>
  <c r="U3689" i="1"/>
  <c r="S3689" i="1"/>
  <c r="S3690" i="1"/>
  <c r="S3691" i="1"/>
  <c r="S3692" i="1"/>
  <c r="S3693" i="1"/>
  <c r="S3694" i="1"/>
  <c r="S3695" i="1"/>
  <c r="S3696" i="1"/>
  <c r="U3697" i="1"/>
  <c r="S3697" i="1"/>
  <c r="S3698" i="1"/>
  <c r="S3699" i="1"/>
  <c r="S3700" i="1"/>
  <c r="S3701" i="1"/>
  <c r="S3702" i="1"/>
  <c r="S3703" i="1"/>
  <c r="S3704" i="1"/>
  <c r="U3705" i="1"/>
  <c r="S3705" i="1"/>
  <c r="S3706" i="1"/>
  <c r="S3707" i="1"/>
  <c r="S3708" i="1"/>
  <c r="S3709" i="1"/>
  <c r="S3710" i="1"/>
  <c r="S3711" i="1"/>
  <c r="S3712" i="1"/>
  <c r="U3713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U3726" i="1"/>
  <c r="S3726" i="1"/>
  <c r="S3727" i="1"/>
  <c r="S3728" i="1"/>
  <c r="S3729" i="1"/>
  <c r="S3730" i="1"/>
  <c r="S3731" i="1"/>
  <c r="S3732" i="1"/>
  <c r="S3733" i="1"/>
  <c r="U3734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U3761" i="1"/>
  <c r="S3761" i="1"/>
  <c r="S3762" i="1"/>
  <c r="S3763" i="1"/>
  <c r="S3764" i="1"/>
  <c r="S3765" i="1"/>
  <c r="S3766" i="1"/>
  <c r="S3767" i="1"/>
  <c r="S3768" i="1"/>
  <c r="U3769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U3785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U3817" i="1"/>
  <c r="S3817" i="1"/>
  <c r="S3818" i="1"/>
  <c r="S3819" i="1"/>
  <c r="S3820" i="1"/>
  <c r="S3821" i="1"/>
  <c r="S3822" i="1"/>
  <c r="S3823" i="1"/>
  <c r="S3824" i="1"/>
  <c r="U3825" i="1"/>
  <c r="S3825" i="1"/>
  <c r="S3826" i="1"/>
  <c r="S3827" i="1"/>
  <c r="S3828" i="1"/>
  <c r="S3829" i="1"/>
  <c r="S3830" i="1"/>
  <c r="S3831" i="1"/>
  <c r="S3832" i="1"/>
  <c r="U3833" i="1"/>
  <c r="S3833" i="1"/>
  <c r="S3834" i="1"/>
  <c r="S3835" i="1"/>
  <c r="S3836" i="1"/>
  <c r="S3837" i="1"/>
  <c r="S3838" i="1"/>
  <c r="S3839" i="1"/>
  <c r="S3840" i="1"/>
  <c r="U3841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U3916" i="1"/>
  <c r="S3916" i="1"/>
  <c r="U3917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U3936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U3958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U3982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U4040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U4057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U4072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U4088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U4117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U4176" i="1"/>
  <c r="S4176" i="1"/>
  <c r="S4177" i="1"/>
  <c r="S4178" i="1"/>
  <c r="S4179" i="1"/>
  <c r="S4180" i="1"/>
  <c r="S4181" i="1"/>
  <c r="S4182" i="1"/>
  <c r="S4183" i="1"/>
  <c r="U4184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U4208" i="1"/>
  <c r="S4208" i="1"/>
  <c r="S4209" i="1"/>
  <c r="S4210" i="1"/>
  <c r="S4211" i="1"/>
  <c r="S4212" i="1"/>
  <c r="S4213" i="1"/>
  <c r="S4214" i="1"/>
  <c r="S4215" i="1"/>
  <c r="U4216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U4304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U4316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U4332" i="1"/>
  <c r="S4332" i="1"/>
  <c r="S4333" i="1"/>
  <c r="S4334" i="1"/>
  <c r="S4335" i="1"/>
  <c r="U4336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U4360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U4373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U4404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U4428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U4491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U4540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U4572" i="1"/>
  <c r="S4572" i="1"/>
  <c r="S4573" i="1"/>
  <c r="S4574" i="1"/>
  <c r="S4575" i="1"/>
  <c r="S4576" i="1"/>
  <c r="S4577" i="1"/>
  <c r="S4578" i="1"/>
  <c r="S4579" i="1"/>
  <c r="U4580" i="1"/>
  <c r="S4580" i="1"/>
  <c r="S4581" i="1"/>
  <c r="S4582" i="1"/>
  <c r="S4583" i="1"/>
  <c r="S4584" i="1"/>
  <c r="S4585" i="1"/>
  <c r="S4586" i="1"/>
  <c r="S4587" i="1"/>
  <c r="U4588" i="1"/>
  <c r="S4588" i="1"/>
  <c r="S4589" i="1"/>
  <c r="S4590" i="1"/>
  <c r="S4591" i="1"/>
  <c r="S4592" i="1"/>
  <c r="S4593" i="1"/>
  <c r="S4594" i="1"/>
  <c r="S4595" i="1"/>
  <c r="U4596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U4690" i="1"/>
  <c r="S4690" i="1"/>
  <c r="S4691" i="1"/>
  <c r="S4692" i="1"/>
  <c r="S4693" i="1"/>
  <c r="S4694" i="1"/>
  <c r="S4695" i="1"/>
  <c r="S4696" i="1"/>
  <c r="S4697" i="1"/>
  <c r="U4698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U4747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U4827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U4843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U4903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U4916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U4932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U4948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U4964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U5098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U5114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U5130" i="1"/>
  <c r="S5130" i="1"/>
  <c r="S5131" i="1"/>
  <c r="S5132" i="1"/>
  <c r="S5133" i="1"/>
  <c r="S5134" i="1"/>
  <c r="S5135" i="1"/>
  <c r="S5136" i="1"/>
  <c r="S5137" i="1"/>
  <c r="U5138" i="1"/>
  <c r="S5138" i="1"/>
  <c r="S5139" i="1"/>
  <c r="S5140" i="1"/>
  <c r="S5141" i="1"/>
  <c r="S5142" i="1"/>
  <c r="S5143" i="1"/>
  <c r="S5144" i="1"/>
  <c r="U5145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U5194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U5209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U5225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U5241" i="1"/>
  <c r="S5241" i="1"/>
  <c r="S5242" i="1"/>
  <c r="S5243" i="1"/>
  <c r="S5244" i="1"/>
  <c r="S5245" i="1"/>
  <c r="S5246" i="1"/>
  <c r="S5247" i="1"/>
  <c r="S5248" i="1"/>
  <c r="U5249" i="1"/>
  <c r="S5249" i="1"/>
  <c r="S5250" i="1"/>
  <c r="S5251" i="1"/>
  <c r="S5252" i="1"/>
  <c r="S5253" i="1"/>
  <c r="S5254" i="1"/>
  <c r="S5255" i="1"/>
  <c r="S5256" i="1"/>
  <c r="U5257" i="1"/>
  <c r="S5257" i="1"/>
  <c r="S5258" i="1"/>
  <c r="S5259" i="1"/>
  <c r="S5260" i="1"/>
  <c r="S5261" i="1"/>
  <c r="S5262" i="1"/>
  <c r="S5263" i="1"/>
  <c r="S5264" i="1"/>
  <c r="U5265" i="1"/>
  <c r="S5265" i="1"/>
  <c r="S5266" i="1"/>
  <c r="S5267" i="1"/>
  <c r="S5268" i="1"/>
  <c r="S5269" i="1"/>
  <c r="S5270" i="1"/>
  <c r="S5271" i="1"/>
  <c r="S5272" i="1"/>
  <c r="U5273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U5289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U5322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U5337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U5349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U5391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U5417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U5452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U5465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U5481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U5505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U5535" i="1"/>
  <c r="S5535" i="1"/>
  <c r="S5536" i="1"/>
  <c r="S5537" i="1"/>
  <c r="S5538" i="1"/>
  <c r="S5539" i="1"/>
  <c r="S5540" i="1"/>
  <c r="S5541" i="1"/>
  <c r="S5542" i="1"/>
  <c r="U5543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U5575" i="1"/>
  <c r="S5575" i="1"/>
  <c r="S5576" i="1"/>
  <c r="S5577" i="1"/>
  <c r="S5578" i="1"/>
  <c r="S5579" i="1"/>
  <c r="S5580" i="1"/>
  <c r="S5581" i="1"/>
  <c r="S5582" i="1"/>
  <c r="U5583" i="1"/>
  <c r="S5583" i="1"/>
  <c r="S5584" i="1"/>
  <c r="S5585" i="1"/>
  <c r="S5586" i="1"/>
  <c r="S5587" i="1"/>
  <c r="S5588" i="1"/>
  <c r="S5589" i="1"/>
  <c r="S5590" i="1"/>
  <c r="U5591" i="1"/>
  <c r="S5591" i="1"/>
  <c r="S5592" i="1"/>
  <c r="S5593" i="1"/>
  <c r="S5594" i="1"/>
  <c r="S5595" i="1"/>
  <c r="S5596" i="1"/>
  <c r="S5597" i="1"/>
  <c r="S5598" i="1"/>
  <c r="U5599" i="1"/>
  <c r="S5599" i="1"/>
  <c r="S5600" i="1"/>
  <c r="S5601" i="1"/>
  <c r="S5602" i="1"/>
  <c r="S5603" i="1"/>
  <c r="S5604" i="1"/>
  <c r="S5605" i="1"/>
  <c r="S5606" i="1"/>
  <c r="U5607" i="1"/>
  <c r="S5607" i="1"/>
  <c r="S5608" i="1"/>
  <c r="S5609" i="1"/>
  <c r="S5610" i="1"/>
  <c r="S5611" i="1"/>
  <c r="S5612" i="1"/>
  <c r="S5613" i="1"/>
  <c r="S5614" i="1"/>
  <c r="U5615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U5639" i="1"/>
  <c r="S5639" i="1"/>
  <c r="S5640" i="1"/>
  <c r="S5641" i="1"/>
  <c r="S5642" i="1"/>
  <c r="S5643" i="1"/>
  <c r="S5644" i="1"/>
  <c r="S5645" i="1"/>
  <c r="S5646" i="1"/>
  <c r="U5647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U5671" i="1"/>
  <c r="S5671" i="1"/>
  <c r="S5672" i="1"/>
  <c r="S5673" i="1"/>
  <c r="S5674" i="1"/>
  <c r="S5675" i="1"/>
  <c r="S5676" i="1"/>
  <c r="S5677" i="1"/>
  <c r="S5678" i="1"/>
  <c r="U5679" i="1"/>
  <c r="S5679" i="1"/>
  <c r="S5680" i="1"/>
  <c r="S5681" i="1"/>
  <c r="S5682" i="1"/>
  <c r="S5683" i="1"/>
  <c r="S5684" i="1"/>
  <c r="S5685" i="1"/>
  <c r="S5686" i="1"/>
  <c r="U5687" i="1"/>
  <c r="S5687" i="1"/>
  <c r="S5688" i="1"/>
  <c r="S5689" i="1"/>
  <c r="S5690" i="1"/>
  <c r="S5691" i="1"/>
  <c r="S5692" i="1"/>
  <c r="S5693" i="1"/>
  <c r="S5694" i="1"/>
  <c r="U5695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U5711" i="1"/>
  <c r="S5711" i="1"/>
  <c r="S5712" i="1"/>
  <c r="S5713" i="1"/>
  <c r="S5714" i="1"/>
  <c r="S5715" i="1"/>
  <c r="S5716" i="1"/>
  <c r="S5717" i="1"/>
  <c r="S5718" i="1"/>
  <c r="U5719" i="1"/>
  <c r="S5719" i="1"/>
  <c r="S5720" i="1"/>
  <c r="S5721" i="1"/>
  <c r="S5722" i="1"/>
  <c r="S5723" i="1"/>
  <c r="S5724" i="1"/>
  <c r="S5725" i="1"/>
  <c r="S5726" i="1"/>
  <c r="U5727" i="1"/>
  <c r="S5727" i="1"/>
  <c r="S5728" i="1"/>
  <c r="S5729" i="1"/>
  <c r="S5730" i="1"/>
  <c r="S5731" i="1"/>
  <c r="S5732" i="1"/>
  <c r="S5733" i="1"/>
  <c r="S5734" i="1"/>
  <c r="U5735" i="1"/>
  <c r="S5735" i="1"/>
  <c r="S5736" i="1"/>
  <c r="S5737" i="1"/>
  <c r="S5738" i="1"/>
  <c r="S5739" i="1"/>
  <c r="S5740" i="1"/>
  <c r="S5741" i="1"/>
  <c r="S5742" i="1"/>
  <c r="U5743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U5767" i="1"/>
  <c r="S5767" i="1"/>
  <c r="S5768" i="1"/>
  <c r="S5769" i="1"/>
  <c r="S5770" i="1"/>
  <c r="S5771" i="1"/>
  <c r="S5772" i="1"/>
  <c r="S5773" i="1"/>
  <c r="S5774" i="1"/>
  <c r="U5775" i="1"/>
  <c r="S5775" i="1"/>
  <c r="S5776" i="1"/>
  <c r="S5777" i="1"/>
  <c r="S5778" i="1"/>
  <c r="S5779" i="1"/>
  <c r="S5780" i="1"/>
  <c r="S5781" i="1"/>
  <c r="S5782" i="1"/>
  <c r="U5783" i="1"/>
  <c r="S5783" i="1"/>
  <c r="S5784" i="1"/>
  <c r="S5785" i="1"/>
  <c r="S5786" i="1"/>
  <c r="S5787" i="1"/>
  <c r="S5788" i="1"/>
  <c r="S5789" i="1"/>
  <c r="S5790" i="1"/>
  <c r="U5791" i="1"/>
  <c r="S5791" i="1"/>
  <c r="S5792" i="1"/>
  <c r="S5793" i="1"/>
  <c r="S5794" i="1"/>
  <c r="S5795" i="1"/>
  <c r="S5796" i="1"/>
  <c r="S5797" i="1"/>
  <c r="S5798" i="1"/>
  <c r="U5799" i="1"/>
  <c r="S5799" i="1"/>
  <c r="S5800" i="1"/>
  <c r="S5801" i="1"/>
  <c r="S5802" i="1"/>
  <c r="S5803" i="1"/>
  <c r="S5804" i="1"/>
  <c r="S5805" i="1"/>
  <c r="S5806" i="1"/>
  <c r="U5807" i="1"/>
  <c r="S5807" i="1"/>
  <c r="S5808" i="1"/>
  <c r="S5809" i="1"/>
  <c r="S5810" i="1"/>
  <c r="S5811" i="1"/>
  <c r="S5812" i="1"/>
  <c r="S5813" i="1"/>
  <c r="S5814" i="1"/>
  <c r="U5815" i="1"/>
  <c r="S5815" i="1"/>
  <c r="S5816" i="1"/>
  <c r="S5817" i="1"/>
  <c r="S5818" i="1"/>
  <c r="S5819" i="1"/>
  <c r="S5820" i="1"/>
  <c r="S5821" i="1"/>
  <c r="S5822" i="1"/>
  <c r="U5823" i="1"/>
  <c r="S5823" i="1"/>
  <c r="S5824" i="1"/>
  <c r="S5825" i="1"/>
  <c r="S5826" i="1"/>
  <c r="S5827" i="1"/>
  <c r="S5828" i="1"/>
  <c r="S5829" i="1"/>
  <c r="S5830" i="1"/>
  <c r="U5831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U5844" i="1"/>
  <c r="S5844" i="1"/>
  <c r="S5845" i="1"/>
  <c r="S5846" i="1"/>
  <c r="S5847" i="1"/>
  <c r="S5848" i="1"/>
  <c r="S5849" i="1"/>
  <c r="S5850" i="1"/>
  <c r="S5851" i="1"/>
  <c r="U5852" i="1"/>
  <c r="S5852" i="1"/>
  <c r="S5853" i="1"/>
  <c r="S5854" i="1"/>
  <c r="S5855" i="1"/>
  <c r="S5856" i="1"/>
  <c r="S5857" i="1"/>
  <c r="S5858" i="1"/>
  <c r="S5859" i="1"/>
  <c r="U5860" i="1"/>
  <c r="S5860" i="1"/>
  <c r="S5861" i="1"/>
  <c r="S5862" i="1"/>
  <c r="S5863" i="1"/>
  <c r="S5864" i="1"/>
  <c r="S5865" i="1"/>
  <c r="S5866" i="1"/>
  <c r="S5867" i="1"/>
  <c r="U5868" i="1"/>
  <c r="S5868" i="1"/>
  <c r="S5869" i="1"/>
  <c r="S5870" i="1"/>
  <c r="S5871" i="1"/>
  <c r="S5872" i="1"/>
  <c r="S5873" i="1"/>
  <c r="S5874" i="1"/>
  <c r="S5875" i="1"/>
  <c r="U5876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U5899" i="1"/>
  <c r="S5899" i="1"/>
  <c r="S5900" i="1"/>
  <c r="S5901" i="1"/>
  <c r="S5902" i="1"/>
  <c r="U5903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U6164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U6196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U6244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U6292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U6308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U6324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U6350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U6372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U6615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U6689" i="1"/>
  <c r="S6689" i="1"/>
  <c r="S6690" i="1"/>
  <c r="S6691" i="1"/>
  <c r="S6692" i="1"/>
  <c r="S6693" i="1"/>
  <c r="S6694" i="1"/>
  <c r="S6695" i="1"/>
  <c r="S6696" i="1"/>
  <c r="U6697" i="1"/>
  <c r="S6697" i="1"/>
  <c r="S6698" i="1"/>
  <c r="S6699" i="1"/>
  <c r="S6700" i="1"/>
  <c r="S6701" i="1"/>
  <c r="S6702" i="1"/>
  <c r="S6703" i="1"/>
  <c r="S6704" i="1"/>
  <c r="U6705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U6723" i="1"/>
  <c r="S6723" i="1"/>
  <c r="S6724" i="1"/>
  <c r="S6725" i="1"/>
  <c r="S6726" i="1"/>
  <c r="S6727" i="1"/>
  <c r="S6728" i="1"/>
  <c r="S6729" i="1"/>
  <c r="S6730" i="1"/>
  <c r="U6731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U6761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U6791" i="1"/>
  <c r="S6791" i="1"/>
  <c r="S6792" i="1"/>
  <c r="S6793" i="1"/>
  <c r="S6794" i="1"/>
  <c r="U6795" i="1"/>
  <c r="S6795" i="1"/>
  <c r="S6796" i="1"/>
  <c r="S6797" i="1"/>
  <c r="S6798" i="1"/>
  <c r="S6799" i="1"/>
  <c r="S6800" i="1"/>
  <c r="S6801" i="1"/>
  <c r="S6802" i="1"/>
  <c r="U6803" i="1"/>
  <c r="S6803" i="1"/>
  <c r="S6804" i="1"/>
  <c r="S6805" i="1"/>
  <c r="S6806" i="1"/>
  <c r="S6807" i="1"/>
  <c r="S6808" i="1"/>
  <c r="U6809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U6841" i="1"/>
  <c r="S6841" i="1"/>
  <c r="S6842" i="1"/>
  <c r="S6843" i="1"/>
  <c r="S6844" i="1"/>
  <c r="S6845" i="1"/>
  <c r="S6846" i="1"/>
  <c r="S6847" i="1"/>
  <c r="S6848" i="1"/>
  <c r="S6849" i="1"/>
  <c r="S6850" i="1"/>
  <c r="U6851" i="1"/>
  <c r="S6851" i="1"/>
  <c r="S6852" i="1"/>
  <c r="S6853" i="1"/>
  <c r="S6854" i="1"/>
  <c r="U6855" i="1"/>
  <c r="S6855" i="1"/>
  <c r="S6856" i="1"/>
  <c r="S6857" i="1"/>
  <c r="S6858" i="1"/>
  <c r="S6859" i="1"/>
  <c r="U6860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U6883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U6919" i="1"/>
  <c r="S6919" i="1"/>
  <c r="S6920" i="1"/>
  <c r="S6921" i="1"/>
  <c r="S6922" i="1"/>
  <c r="U6923" i="1"/>
  <c r="S6923" i="1"/>
  <c r="U6924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U6939" i="1"/>
  <c r="S6939" i="1"/>
  <c r="U6940" i="1"/>
  <c r="S6940" i="1"/>
  <c r="S6941" i="1"/>
  <c r="S6942" i="1"/>
  <c r="S6943" i="1"/>
  <c r="S6944" i="1"/>
  <c r="S6945" i="1"/>
  <c r="S6946" i="1"/>
  <c r="U6947" i="1"/>
  <c r="S6947" i="1"/>
  <c r="S6948" i="1"/>
  <c r="S6949" i="1"/>
  <c r="S6950" i="1"/>
  <c r="S6951" i="1"/>
  <c r="S6952" i="1"/>
  <c r="S6953" i="1"/>
  <c r="S6954" i="1"/>
  <c r="U6955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U7043" i="1"/>
  <c r="S7043" i="1"/>
  <c r="S7044" i="1"/>
  <c r="S7045" i="1"/>
  <c r="S7046" i="1"/>
  <c r="U7047" i="1"/>
  <c r="S7047" i="1"/>
  <c r="S7048" i="1"/>
  <c r="S7049" i="1"/>
  <c r="S7050" i="1"/>
  <c r="S7051" i="1"/>
  <c r="U7052" i="1"/>
  <c r="S7052" i="1"/>
  <c r="S7053" i="1"/>
  <c r="S7054" i="1"/>
  <c r="S7055" i="1"/>
  <c r="S7056" i="1"/>
  <c r="S7057" i="1"/>
  <c r="S7058" i="1"/>
  <c r="U7059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U7116" i="1"/>
  <c r="S7116" i="1"/>
  <c r="S7117" i="1"/>
  <c r="S7118" i="1"/>
  <c r="S7119" i="1"/>
  <c r="S7120" i="1"/>
  <c r="S7121" i="1"/>
  <c r="S7122" i="1"/>
  <c r="S7123" i="1"/>
  <c r="U7124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U7170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U7202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U7234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U7258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U7323" i="1"/>
  <c r="S7323" i="1"/>
  <c r="S7324" i="1"/>
  <c r="S7325" i="1"/>
  <c r="S7326" i="1"/>
  <c r="S7327" i="1"/>
  <c r="S7328" i="1"/>
  <c r="S7329" i="1"/>
  <c r="S7330" i="1"/>
  <c r="U7331" i="1"/>
  <c r="S7331" i="1"/>
  <c r="S7332" i="1"/>
  <c r="S7333" i="1"/>
  <c r="S7334" i="1"/>
  <c r="S7335" i="1"/>
  <c r="S7336" i="1"/>
  <c r="S7337" i="1"/>
  <c r="S7338" i="1"/>
  <c r="U7339" i="1"/>
  <c r="S7339" i="1"/>
  <c r="U7340" i="1"/>
  <c r="S7340" i="1"/>
  <c r="S7341" i="1"/>
  <c r="S7342" i="1"/>
  <c r="S7343" i="1"/>
  <c r="S7344" i="1"/>
  <c r="S7345" i="1"/>
  <c r="S7346" i="1"/>
  <c r="U7347" i="1"/>
  <c r="S7347" i="1"/>
  <c r="U7348" i="1"/>
  <c r="S7348" i="1"/>
  <c r="S7349" i="1"/>
  <c r="S7350" i="1"/>
  <c r="S7351" i="1"/>
  <c r="S7352" i="1"/>
  <c r="S7353" i="1"/>
  <c r="S7354" i="1"/>
  <c r="U7355" i="1"/>
  <c r="S7355" i="1"/>
  <c r="S7356" i="1"/>
  <c r="S7357" i="1"/>
  <c r="S7358" i="1"/>
  <c r="S7359" i="1"/>
  <c r="S7360" i="1"/>
  <c r="S7361" i="1"/>
  <c r="S7362" i="1"/>
  <c r="U7363" i="1"/>
  <c r="S7363" i="1"/>
  <c r="S7364" i="1"/>
  <c r="S7365" i="1"/>
  <c r="S7366" i="1"/>
  <c r="S7367" i="1"/>
  <c r="S7368" i="1"/>
  <c r="S7369" i="1"/>
  <c r="S7370" i="1"/>
  <c r="U7371" i="1"/>
  <c r="S7371" i="1"/>
  <c r="U7372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U7387" i="1"/>
  <c r="S7387" i="1"/>
  <c r="S7388" i="1"/>
  <c r="S7389" i="1"/>
  <c r="S7390" i="1"/>
  <c r="S7391" i="1"/>
  <c r="S7392" i="1"/>
  <c r="S7393" i="1"/>
  <c r="S7394" i="1"/>
  <c r="U7395" i="1"/>
  <c r="S7395" i="1"/>
  <c r="S7396" i="1"/>
  <c r="S7397" i="1"/>
  <c r="S7398" i="1"/>
  <c r="S7399" i="1"/>
  <c r="S7400" i="1"/>
  <c r="U7401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U7413" i="1" s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U7445" i="1"/>
  <c r="S7445" i="1"/>
  <c r="S7446" i="1"/>
  <c r="S7447" i="1"/>
  <c r="S7448" i="1"/>
  <c r="U7449" i="1"/>
  <c r="S7449" i="1"/>
  <c r="S7450" i="1"/>
  <c r="S7451" i="1"/>
  <c r="S7452" i="1"/>
  <c r="S7453" i="1"/>
  <c r="S7454" i="1"/>
  <c r="S7455" i="1"/>
  <c r="S7456" i="1"/>
  <c r="S7457" i="1"/>
  <c r="U7458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U7512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U7528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U7546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U7592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U7608" i="1"/>
  <c r="S7608" i="1"/>
  <c r="S7609" i="1"/>
  <c r="S7610" i="1"/>
  <c r="S7611" i="1"/>
  <c r="S7612" i="1"/>
  <c r="S7613" i="1"/>
  <c r="S7614" i="1"/>
  <c r="S7615" i="1"/>
  <c r="S7616" i="1"/>
  <c r="S7617" i="1"/>
  <c r="U7618" i="1"/>
  <c r="S7618" i="1"/>
  <c r="S7619" i="1"/>
  <c r="S7620" i="1"/>
  <c r="S7621" i="1"/>
  <c r="S7622" i="1"/>
  <c r="S7623" i="1"/>
  <c r="U7624" i="1"/>
  <c r="S7624" i="1"/>
  <c r="S7625" i="1"/>
  <c r="S7626" i="1"/>
  <c r="S7627" i="1"/>
  <c r="S7628" i="1"/>
  <c r="S7629" i="1"/>
  <c r="S7630" i="1"/>
  <c r="S7631" i="1"/>
  <c r="S7632" i="1"/>
  <c r="S7633" i="1"/>
  <c r="U7634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U7650" i="1"/>
  <c r="S7650" i="1"/>
  <c r="S7651" i="1"/>
  <c r="S7652" i="1"/>
  <c r="S7653" i="1"/>
  <c r="S7654" i="1"/>
  <c r="S7655" i="1"/>
  <c r="U7656" i="1"/>
  <c r="S7656" i="1"/>
  <c r="S7657" i="1"/>
  <c r="S7658" i="1"/>
  <c r="S7659" i="1"/>
  <c r="S7660" i="1"/>
  <c r="S7661" i="1"/>
  <c r="S7662" i="1"/>
  <c r="S7663" i="1"/>
  <c r="S7664" i="1"/>
  <c r="U7665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U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U7734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U7746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U7778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U7792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U7808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U7850" i="1"/>
  <c r="S7850" i="1"/>
  <c r="S7851" i="1"/>
  <c r="S7852" i="1"/>
  <c r="S7853" i="1"/>
  <c r="S7854" i="1"/>
  <c r="U9" i="1"/>
  <c r="U6745" i="1" l="1"/>
  <c r="U5065" i="1"/>
  <c r="U2382" i="1"/>
  <c r="U5840" i="1"/>
  <c r="U7768" i="1"/>
  <c r="U7384" i="1"/>
  <c r="U6672" i="1"/>
  <c r="U6608" i="1"/>
  <c r="U312" i="1"/>
  <c r="U5287" i="1"/>
  <c r="U3138" i="1"/>
  <c r="U2954" i="1"/>
  <c r="U2418" i="1"/>
  <c r="U7113" i="1"/>
  <c r="U5521" i="1"/>
  <c r="U977" i="1"/>
  <c r="U6678" i="1"/>
  <c r="U3878" i="1"/>
  <c r="U3238" i="1"/>
  <c r="U7405" i="1"/>
  <c r="U4018" i="1"/>
  <c r="U3986" i="1"/>
  <c r="U3746" i="1"/>
  <c r="U5135" i="1"/>
  <c r="U7698" i="1"/>
  <c r="U7533" i="1"/>
  <c r="U7501" i="1"/>
  <c r="U11" i="1"/>
  <c r="U4008" i="1"/>
  <c r="U3968" i="1"/>
  <c r="U3912" i="1"/>
  <c r="U5037" i="1"/>
  <c r="U4298" i="1"/>
  <c r="U2656" i="1"/>
  <c r="U2576" i="1"/>
  <c r="U1389" i="1"/>
  <c r="U7854" i="1"/>
  <c r="U1343" i="1"/>
  <c r="U1207" i="1"/>
  <c r="U7654" i="1"/>
  <c r="U4140" i="1"/>
  <c r="R5" i="1"/>
  <c r="U7469" i="1"/>
  <c r="U7443" i="1"/>
  <c r="U7393" i="1"/>
  <c r="U7390" i="1"/>
  <c r="U7377" i="1"/>
  <c r="U7305" i="1"/>
  <c r="U7626" i="1"/>
  <c r="U7605" i="1"/>
  <c r="U7602" i="1"/>
  <c r="U7578" i="1"/>
  <c r="U7525" i="1"/>
  <c r="U7509" i="1"/>
  <c r="U7493" i="1"/>
  <c r="U7477" i="1"/>
  <c r="U7461" i="1"/>
  <c r="U7448" i="1"/>
  <c r="U7437" i="1"/>
  <c r="U7432" i="1"/>
  <c r="U7429" i="1"/>
  <c r="U7312" i="1"/>
  <c r="U7134" i="1"/>
  <c r="U7636" i="1"/>
  <c r="U7591" i="1"/>
  <c r="U7551" i="1"/>
  <c r="U7543" i="1"/>
  <c r="U7495" i="1"/>
  <c r="U7471" i="1"/>
  <c r="U7463" i="1"/>
  <c r="U7397" i="1"/>
  <c r="U7652" i="1"/>
  <c r="U7620" i="1"/>
  <c r="U7580" i="1"/>
  <c r="U7572" i="1"/>
  <c r="U7564" i="1"/>
  <c r="U7521" i="1"/>
  <c r="U7794" i="1"/>
  <c r="U7696" i="1"/>
  <c r="U7672" i="1"/>
  <c r="U7633" i="1"/>
  <c r="U7646" i="1"/>
  <c r="U7388" i="1"/>
  <c r="U7316" i="1"/>
  <c r="U6793" i="1"/>
  <c r="U3326" i="1"/>
  <c r="U585" i="1"/>
  <c r="U6985" i="1"/>
  <c r="U6921" i="1"/>
  <c r="U6180" i="1"/>
  <c r="U5759" i="1"/>
  <c r="U5663" i="1"/>
  <c r="U5655" i="1"/>
  <c r="U5631" i="1"/>
  <c r="U5623" i="1"/>
  <c r="U2774" i="1"/>
  <c r="U2734" i="1"/>
  <c r="U1601" i="1"/>
  <c r="U1409" i="1"/>
  <c r="U25" i="1"/>
  <c r="U6913" i="1"/>
  <c r="U6905" i="1"/>
  <c r="U6753" i="1"/>
  <c r="U6609" i="1"/>
  <c r="U6601" i="1"/>
  <c r="U6598" i="1"/>
  <c r="U6593" i="1"/>
  <c r="U6590" i="1"/>
  <c r="U6569" i="1"/>
  <c r="U6566" i="1"/>
  <c r="U6561" i="1"/>
  <c r="U6558" i="1"/>
  <c r="U6521" i="1"/>
  <c r="U6513" i="1"/>
  <c r="U6473" i="1"/>
  <c r="U6465" i="1"/>
  <c r="U6446" i="1"/>
  <c r="U6441" i="1"/>
  <c r="U6438" i="1"/>
  <c r="U6433" i="1"/>
  <c r="U6137" i="1"/>
  <c r="U6129" i="1"/>
  <c r="U6089" i="1"/>
  <c r="U6081" i="1"/>
  <c r="U4692" i="1"/>
  <c r="U4554" i="1"/>
  <c r="U4474" i="1"/>
  <c r="U4466" i="1"/>
  <c r="U4442" i="1"/>
  <c r="U4378" i="1"/>
  <c r="U4213" i="1"/>
  <c r="U4141" i="1"/>
  <c r="U4109" i="1"/>
  <c r="U4082" i="1"/>
  <c r="U4024" i="1"/>
  <c r="U3992" i="1"/>
  <c r="U3976" i="1"/>
  <c r="U3747" i="1"/>
  <c r="U2160" i="1"/>
  <c r="U2107" i="1"/>
  <c r="U1995" i="1"/>
  <c r="U1979" i="1"/>
  <c r="U1587" i="1"/>
  <c r="U1518" i="1"/>
  <c r="U694" i="1"/>
  <c r="U6286" i="1"/>
  <c r="U6238" i="1"/>
  <c r="U6158" i="1"/>
  <c r="U6150" i="1"/>
  <c r="U6126" i="1"/>
  <c r="U6110" i="1"/>
  <c r="U6102" i="1"/>
  <c r="U6062" i="1"/>
  <c r="U5998" i="1"/>
  <c r="U5236" i="1"/>
  <c r="U5233" i="1"/>
  <c r="U5177" i="1"/>
  <c r="U5172" i="1"/>
  <c r="U4951" i="1"/>
  <c r="U4935" i="1"/>
  <c r="U4927" i="1"/>
  <c r="U4919" i="1"/>
  <c r="U4911" i="1"/>
  <c r="U4895" i="1"/>
  <c r="U4668" i="1"/>
  <c r="U4364" i="1"/>
  <c r="U4308" i="1"/>
  <c r="U4282" i="1"/>
  <c r="U4138" i="1"/>
  <c r="U4000" i="1"/>
  <c r="U3960" i="1"/>
  <c r="U3904" i="1"/>
  <c r="U3792" i="1"/>
  <c r="U3784" i="1"/>
  <c r="U3768" i="1"/>
  <c r="U3456" i="1"/>
  <c r="U3448" i="1"/>
  <c r="U3418" i="1"/>
  <c r="U3200" i="1"/>
  <c r="U3152" i="1"/>
  <c r="U3008" i="1"/>
  <c r="U2482" i="1"/>
  <c r="U2360" i="1"/>
  <c r="U2320" i="1"/>
  <c r="U2296" i="1"/>
  <c r="U2288" i="1"/>
  <c r="U2272" i="1"/>
  <c r="U2248" i="1"/>
  <c r="U2208" i="1"/>
  <c r="U2080" i="1"/>
  <c r="U2072" i="1"/>
  <c r="U2048" i="1"/>
  <c r="U2008" i="1"/>
  <c r="U1899" i="1"/>
  <c r="U1880" i="1"/>
  <c r="U1843" i="1"/>
  <c r="U1667" i="1"/>
  <c r="U1651" i="1"/>
  <c r="U1565" i="1"/>
  <c r="U1192" i="1"/>
  <c r="U971" i="1"/>
  <c r="U939" i="1"/>
  <c r="U787" i="1"/>
  <c r="U718" i="1"/>
  <c r="U534" i="1"/>
  <c r="U470" i="1"/>
  <c r="U430" i="1"/>
  <c r="U414" i="1"/>
  <c r="U382" i="1"/>
  <c r="U358" i="1"/>
  <c r="U230" i="1"/>
  <c r="U222" i="1"/>
  <c r="U43" i="1"/>
  <c r="U19" i="1"/>
  <c r="U7817" i="1"/>
  <c r="U7809" i="1"/>
  <c r="U7772" i="1"/>
  <c r="U7764" i="1"/>
  <c r="U7727" i="1"/>
  <c r="U7671" i="1"/>
  <c r="U7648" i="1"/>
  <c r="U7601" i="1"/>
  <c r="U7569" i="1"/>
  <c r="U7497" i="1"/>
  <c r="U7473" i="1"/>
  <c r="U7465" i="1"/>
  <c r="U7423" i="1"/>
  <c r="U5952" i="1"/>
  <c r="U5057" i="1"/>
  <c r="U5049" i="1"/>
  <c r="U5033" i="1"/>
  <c r="U5025" i="1"/>
  <c r="U5001" i="1"/>
  <c r="U4993" i="1"/>
  <c r="U4985" i="1"/>
  <c r="U4969" i="1"/>
  <c r="U4961" i="1"/>
  <c r="U4953" i="1"/>
  <c r="U4268" i="1"/>
  <c r="U4260" i="1"/>
  <c r="U4244" i="1"/>
  <c r="U4228" i="1"/>
  <c r="U4212" i="1"/>
  <c r="U4196" i="1"/>
  <c r="U4148" i="1"/>
  <c r="U4076" i="1"/>
  <c r="U4002" i="1"/>
  <c r="U3754" i="1"/>
  <c r="U3370" i="1"/>
  <c r="U3346" i="1"/>
  <c r="U3338" i="1"/>
  <c r="U3314" i="1"/>
  <c r="U3306" i="1"/>
  <c r="U3290" i="1"/>
  <c r="U3274" i="1"/>
  <c r="U3266" i="1"/>
  <c r="U3250" i="1"/>
  <c r="U3050" i="1"/>
  <c r="U3018" i="1"/>
  <c r="U2650" i="1"/>
  <c r="U2370" i="1"/>
  <c r="U1453" i="1"/>
  <c r="U1341" i="1"/>
  <c r="U1333" i="1"/>
  <c r="U877" i="1"/>
  <c r="U861" i="1"/>
  <c r="U845" i="1"/>
  <c r="U829" i="1"/>
  <c r="U826" i="1"/>
  <c r="U813" i="1"/>
  <c r="U797" i="1"/>
  <c r="U781" i="1"/>
  <c r="U773" i="1"/>
  <c r="U504" i="1"/>
  <c r="U496" i="1"/>
  <c r="U368" i="1"/>
  <c r="U320" i="1"/>
  <c r="U109" i="1"/>
  <c r="U93" i="1"/>
  <c r="U7035" i="1"/>
  <c r="U6979" i="1"/>
  <c r="U7798" i="1"/>
  <c r="U7740" i="1"/>
  <c r="U7732" i="1"/>
  <c r="U7724" i="1"/>
  <c r="U7640" i="1"/>
  <c r="U7614" i="1"/>
  <c r="U7598" i="1"/>
  <c r="U7582" i="1"/>
  <c r="U7534" i="1"/>
  <c r="U7518" i="1"/>
  <c r="U7515" i="1"/>
  <c r="U7481" i="1"/>
  <c r="U7407" i="1"/>
  <c r="U7399" i="1"/>
  <c r="U7389" i="1"/>
  <c r="U6951" i="1"/>
  <c r="U6877" i="1"/>
  <c r="U6869" i="1"/>
  <c r="U6861" i="1"/>
  <c r="U6821" i="1"/>
  <c r="U6749" i="1"/>
  <c r="U6733" i="1"/>
  <c r="U6573" i="1"/>
  <c r="U6535" i="1"/>
  <c r="U6413" i="1"/>
  <c r="U6333" i="1"/>
  <c r="U6285" i="1"/>
  <c r="U6205" i="1"/>
  <c r="U6202" i="1"/>
  <c r="U5832" i="1"/>
  <c r="U5824" i="1"/>
  <c r="U5816" i="1"/>
  <c r="U5800" i="1"/>
  <c r="U5792" i="1"/>
  <c r="U5784" i="1"/>
  <c r="U5776" i="1"/>
  <c r="U5768" i="1"/>
  <c r="U5760" i="1"/>
  <c r="U5752" i="1"/>
  <c r="U5744" i="1"/>
  <c r="U5728" i="1"/>
  <c r="U5720" i="1"/>
  <c r="U5712" i="1"/>
  <c r="U5696" i="1"/>
  <c r="U5688" i="1"/>
  <c r="U5680" i="1"/>
  <c r="U5672" i="1"/>
  <c r="U5664" i="1"/>
  <c r="U5656" i="1"/>
  <c r="U5648" i="1"/>
  <c r="U5443" i="1"/>
  <c r="U5067" i="1"/>
  <c r="U4558" i="1"/>
  <c r="U4028" i="1"/>
  <c r="U3977" i="1"/>
  <c r="U3719" i="1"/>
  <c r="U3623" i="1"/>
  <c r="U3599" i="1"/>
  <c r="U3527" i="1"/>
  <c r="U3519" i="1"/>
  <c r="U3503" i="1"/>
  <c r="U3495" i="1"/>
  <c r="U3487" i="1"/>
  <c r="U3471" i="1"/>
  <c r="U3060" i="1"/>
  <c r="U2463" i="1"/>
  <c r="U2447" i="1"/>
  <c r="U2431" i="1"/>
  <c r="U2271" i="1"/>
  <c r="U2263" i="1"/>
  <c r="U2199" i="1"/>
  <c r="U2191" i="1"/>
  <c r="U1938" i="1"/>
  <c r="U1930" i="1"/>
  <c r="U1922" i="1"/>
  <c r="U1914" i="1"/>
  <c r="U1426" i="1"/>
  <c r="U1370" i="1"/>
  <c r="U930" i="1"/>
  <c r="U37" i="1"/>
  <c r="U13" i="1"/>
  <c r="U7774" i="1"/>
  <c r="U7713" i="1"/>
  <c r="U7705" i="1"/>
  <c r="U7689" i="1"/>
  <c r="U7681" i="1"/>
  <c r="U7584" i="1"/>
  <c r="U7539" i="1"/>
  <c r="U7523" i="1"/>
  <c r="U7507" i="1"/>
  <c r="U7483" i="1"/>
  <c r="U7451" i="1"/>
  <c r="U7417" i="1"/>
  <c r="U7391" i="1"/>
  <c r="U7306" i="1"/>
  <c r="U7226" i="1"/>
  <c r="U7218" i="1"/>
  <c r="U7178" i="1"/>
  <c r="U6476" i="1"/>
  <c r="U6466" i="1"/>
  <c r="U6418" i="1"/>
  <c r="U5882" i="1"/>
  <c r="U5517" i="1"/>
  <c r="U5464" i="1"/>
  <c r="U5261" i="1"/>
  <c r="U4867" i="1"/>
  <c r="U4859" i="1"/>
  <c r="U4851" i="1"/>
  <c r="U4819" i="1"/>
  <c r="U4811" i="1"/>
  <c r="U4803" i="1"/>
  <c r="U4787" i="1"/>
  <c r="U4779" i="1"/>
  <c r="U4731" i="1"/>
  <c r="U4459" i="1"/>
  <c r="U4451" i="1"/>
  <c r="U4443" i="1"/>
  <c r="U4395" i="1"/>
  <c r="U4331" i="1"/>
  <c r="U4104" i="1"/>
  <c r="U3948" i="1"/>
  <c r="U3932" i="1"/>
  <c r="U3924" i="1"/>
  <c r="U3716" i="1"/>
  <c r="U2724" i="1"/>
  <c r="U2676" i="1"/>
  <c r="U2668" i="1"/>
  <c r="U2628" i="1"/>
  <c r="U2604" i="1"/>
  <c r="U2580" i="1"/>
  <c r="U2572" i="1"/>
  <c r="U2564" i="1"/>
  <c r="U2548" i="1"/>
  <c r="U2484" i="1"/>
  <c r="U2108" i="1"/>
  <c r="U1940" i="1"/>
  <c r="U1585" i="1"/>
  <c r="U15" i="1"/>
  <c r="U7630" i="1"/>
  <c r="U7566" i="1"/>
  <c r="U7834" i="1"/>
  <c r="U7766" i="1"/>
  <c r="U7758" i="1"/>
  <c r="U7750" i="1"/>
  <c r="U7697" i="1"/>
  <c r="U7658" i="1"/>
  <c r="U7638" i="1"/>
  <c r="U7623" i="1"/>
  <c r="U7610" i="1"/>
  <c r="U7600" i="1"/>
  <c r="U7595" i="1"/>
  <c r="U7574" i="1"/>
  <c r="U7556" i="1"/>
  <c r="U7517" i="1"/>
  <c r="U7419" i="1"/>
  <c r="U7409" i="1"/>
  <c r="U7396" i="1"/>
  <c r="U7302" i="1"/>
  <c r="U7065" i="1"/>
  <c r="U6009" i="1"/>
  <c r="U5878" i="1"/>
  <c r="U5503" i="1"/>
  <c r="U5455" i="1"/>
  <c r="U5375" i="1"/>
  <c r="U5306" i="1"/>
  <c r="U5290" i="1"/>
  <c r="U5165" i="1"/>
  <c r="U4963" i="1"/>
  <c r="U4955" i="1"/>
  <c r="U4550" i="1"/>
  <c r="U4324" i="1"/>
  <c r="U4234" i="1"/>
  <c r="U4218" i="1"/>
  <c r="U4120" i="1"/>
  <c r="U4054" i="1"/>
  <c r="U7376" i="1"/>
  <c r="U6837" i="1"/>
  <c r="U6829" i="1"/>
  <c r="U6715" i="1"/>
  <c r="U6539" i="1"/>
  <c r="U6414" i="1"/>
  <c r="U6366" i="1"/>
  <c r="U6334" i="1"/>
  <c r="U6030" i="1"/>
  <c r="U6022" i="1"/>
  <c r="U5982" i="1"/>
  <c r="U5942" i="1"/>
  <c r="U5926" i="1"/>
  <c r="U5918" i="1"/>
  <c r="U5848" i="1"/>
  <c r="U5436" i="1"/>
  <c r="U5401" i="1"/>
  <c r="U5377" i="1"/>
  <c r="U5210" i="1"/>
  <c r="U5178" i="1"/>
  <c r="U5167" i="1"/>
  <c r="U5162" i="1"/>
  <c r="U5079" i="1"/>
  <c r="U4835" i="1"/>
  <c r="U4795" i="1"/>
  <c r="U4771" i="1"/>
  <c r="U4763" i="1"/>
  <c r="U4755" i="1"/>
  <c r="U4739" i="1"/>
  <c r="U4427" i="1"/>
  <c r="U4048" i="1"/>
  <c r="U7535" i="1"/>
  <c r="U7527" i="1"/>
  <c r="U7496" i="1"/>
  <c r="U7491" i="1"/>
  <c r="U7455" i="1"/>
  <c r="U7421" i="1"/>
  <c r="U7403" i="1"/>
  <c r="U7128" i="1"/>
  <c r="U7115" i="1"/>
  <c r="U7075" i="1"/>
  <c r="U6972" i="1"/>
  <c r="U6956" i="1"/>
  <c r="U6667" i="1"/>
  <c r="U6651" i="1"/>
  <c r="U6643" i="1"/>
  <c r="U6547" i="1"/>
  <c r="U6544" i="1"/>
  <c r="U6523" i="1"/>
  <c r="U6507" i="1"/>
  <c r="U6427" i="1"/>
  <c r="U6299" i="1"/>
  <c r="U6251" i="1"/>
  <c r="U6171" i="1"/>
  <c r="U5457" i="1"/>
  <c r="U5425" i="1"/>
  <c r="U5385" i="1"/>
  <c r="U5207" i="1"/>
  <c r="U5199" i="1"/>
  <c r="U5159" i="1"/>
  <c r="U5082" i="1"/>
  <c r="U4504" i="1"/>
  <c r="U4376" i="1"/>
  <c r="U4236" i="1"/>
  <c r="U4122" i="1"/>
  <c r="U7627" i="1"/>
  <c r="U7607" i="1"/>
  <c r="U7604" i="1"/>
  <c r="U7576" i="1"/>
  <c r="U7563" i="1"/>
  <c r="U7519" i="1"/>
  <c r="U7511" i="1"/>
  <c r="U7485" i="1"/>
  <c r="U7467" i="1"/>
  <c r="U7457" i="1"/>
  <c r="U7447" i="1"/>
  <c r="U7442" i="1"/>
  <c r="U7416" i="1"/>
  <c r="U7378" i="1"/>
  <c r="U7152" i="1"/>
  <c r="U7011" i="1"/>
  <c r="U6889" i="1"/>
  <c r="U6876" i="1"/>
  <c r="U6440" i="1"/>
  <c r="U6136" i="1"/>
  <c r="U6128" i="1"/>
  <c r="U6104" i="1"/>
  <c r="U6096" i="1"/>
  <c r="U6056" i="1"/>
  <c r="U6048" i="1"/>
  <c r="U6008" i="1"/>
  <c r="U6000" i="1"/>
  <c r="U5960" i="1"/>
  <c r="U5462" i="1"/>
  <c r="U4645" i="1"/>
  <c r="U4637" i="1"/>
  <c r="U4618" i="1"/>
  <c r="U4589" i="1"/>
  <c r="U4344" i="1"/>
  <c r="U7797" i="1"/>
  <c r="U7736" i="1"/>
  <c r="U7622" i="1"/>
  <c r="U7655" i="1"/>
  <c r="U7820" i="1"/>
  <c r="U7733" i="1"/>
  <c r="U7717" i="1"/>
  <c r="U7675" i="1"/>
  <c r="U7637" i="1"/>
  <c r="U7617" i="1"/>
  <c r="U7586" i="1"/>
  <c r="U7568" i="1"/>
  <c r="U7552" i="1"/>
  <c r="U7542" i="1"/>
  <c r="U7529" i="1"/>
  <c r="U7503" i="1"/>
  <c r="U7480" i="1"/>
  <c r="U7439" i="1"/>
  <c r="U7431" i="1"/>
  <c r="U7426" i="1"/>
  <c r="U7400" i="1"/>
  <c r="U7138" i="1"/>
  <c r="U7027" i="1"/>
  <c r="U7019" i="1"/>
  <c r="U6796" i="1"/>
  <c r="U6714" i="1"/>
  <c r="U6533" i="1"/>
  <c r="U6525" i="1"/>
  <c r="U5869" i="1"/>
  <c r="U5853" i="1"/>
  <c r="U5808" i="1"/>
  <c r="U5736" i="1"/>
  <c r="U5704" i="1"/>
  <c r="U5451" i="1"/>
  <c r="U5217" i="1"/>
  <c r="U5201" i="1"/>
  <c r="U5193" i="1"/>
  <c r="U5185" i="1"/>
  <c r="U4890" i="1"/>
  <c r="U4887" i="1"/>
  <c r="U4874" i="1"/>
  <c r="U4858" i="1"/>
  <c r="U4674" i="1"/>
  <c r="U4426" i="1"/>
  <c r="U4410" i="1"/>
  <c r="U4394" i="1"/>
  <c r="U4166" i="1"/>
  <c r="U4132" i="1"/>
  <c r="U4124" i="1"/>
  <c r="U4050" i="1"/>
  <c r="U4042" i="1"/>
  <c r="U7805" i="1"/>
  <c r="U7668" i="1"/>
  <c r="U7555" i="1"/>
  <c r="U7642" i="1"/>
  <c r="U7701" i="1"/>
  <c r="U7685" i="1"/>
  <c r="U7606" i="1"/>
  <c r="U7588" i="1"/>
  <c r="U7557" i="1"/>
  <c r="U7531" i="1"/>
  <c r="U7513" i="1"/>
  <c r="U7505" i="1"/>
  <c r="U7490" i="1"/>
  <c r="U7441" i="1"/>
  <c r="U7415" i="1"/>
  <c r="U7380" i="1"/>
  <c r="U7266" i="1"/>
  <c r="U7250" i="1"/>
  <c r="U7242" i="1"/>
  <c r="U7210" i="1"/>
  <c r="U7194" i="1"/>
  <c r="U7186" i="1"/>
  <c r="U7162" i="1"/>
  <c r="U7154" i="1"/>
  <c r="U7146" i="1"/>
  <c r="U7071" i="1"/>
  <c r="U7053" i="1"/>
  <c r="U6971" i="1"/>
  <c r="U6963" i="1"/>
  <c r="U6931" i="1"/>
  <c r="U6819" i="1"/>
  <c r="U6591" i="1"/>
  <c r="U5456" i="1"/>
  <c r="U5368" i="1"/>
  <c r="U5344" i="1"/>
  <c r="U5323" i="1"/>
  <c r="U5315" i="1"/>
  <c r="U5307" i="1"/>
  <c r="U5291" i="1"/>
  <c r="U5275" i="1"/>
  <c r="U5081" i="1"/>
  <c r="U4943" i="1"/>
  <c r="U4564" i="1"/>
  <c r="U4532" i="1"/>
  <c r="U4519" i="1"/>
  <c r="U4346" i="1"/>
  <c r="U4338" i="1"/>
  <c r="U4309" i="1"/>
  <c r="U4152" i="1"/>
  <c r="U4055" i="1"/>
  <c r="U7691" i="1"/>
  <c r="U7594" i="1"/>
  <c r="U7632" i="1"/>
  <c r="U7830" i="1"/>
  <c r="U7756" i="1"/>
  <c r="U7711" i="1"/>
  <c r="U7659" i="1"/>
  <c r="U7639" i="1"/>
  <c r="U7616" i="1"/>
  <c r="U7575" i="1"/>
  <c r="U7570" i="1"/>
  <c r="U7559" i="1"/>
  <c r="U7541" i="1"/>
  <c r="U7487" i="1"/>
  <c r="U7464" i="1"/>
  <c r="U7433" i="1"/>
  <c r="U7425" i="1"/>
  <c r="U7410" i="1"/>
  <c r="U7392" i="1"/>
  <c r="U7364" i="1"/>
  <c r="U7356" i="1"/>
  <c r="U7332" i="1"/>
  <c r="U7324" i="1"/>
  <c r="U7148" i="1"/>
  <c r="U7005" i="1"/>
  <c r="U6989" i="1"/>
  <c r="U6790" i="1"/>
  <c r="U6774" i="1"/>
  <c r="U6641" i="1"/>
  <c r="U5041" i="1"/>
  <c r="U5017" i="1"/>
  <c r="U5009" i="1"/>
  <c r="U4977" i="1"/>
  <c r="U4604" i="1"/>
  <c r="U4548" i="1"/>
  <c r="U4484" i="1"/>
  <c r="U4476" i="1"/>
  <c r="U4452" i="1"/>
  <c r="U4436" i="1"/>
  <c r="U4420" i="1"/>
  <c r="U4388" i="1"/>
  <c r="U4380" i="1"/>
  <c r="U4232" i="1"/>
  <c r="U4102" i="1"/>
  <c r="U4052" i="1"/>
  <c r="U4044" i="1"/>
  <c r="U7703" i="1"/>
  <c r="U7687" i="1"/>
  <c r="U7669" i="1"/>
  <c r="U7649" i="1"/>
  <c r="U7590" i="1"/>
  <c r="U7585" i="1"/>
  <c r="U7499" i="1"/>
  <c r="U7489" i="1"/>
  <c r="U7479" i="1"/>
  <c r="U7474" i="1"/>
  <c r="U7453" i="1"/>
  <c r="U7435" i="1"/>
  <c r="U7394" i="1"/>
  <c r="U7385" i="1"/>
  <c r="U7382" i="1"/>
  <c r="U7374" i="1"/>
  <c r="U6843" i="1"/>
  <c r="U6673" i="1"/>
  <c r="U6577" i="1"/>
  <c r="U5900" i="1"/>
  <c r="U5751" i="1"/>
  <c r="U5703" i="1"/>
  <c r="U5567" i="1"/>
  <c r="U5559" i="1"/>
  <c r="U5551" i="1"/>
  <c r="U5527" i="1"/>
  <c r="U5378" i="1"/>
  <c r="U5131" i="1"/>
  <c r="U5123" i="1"/>
  <c r="U5115" i="1"/>
  <c r="U5107" i="1"/>
  <c r="U5099" i="1"/>
  <c r="U5091" i="1"/>
  <c r="U5083" i="1"/>
  <c r="U4905" i="1"/>
  <c r="U4897" i="1"/>
  <c r="U4889" i="1"/>
  <c r="U4881" i="1"/>
  <c r="U4873" i="1"/>
  <c r="U4513" i="1"/>
  <c r="U4505" i="1"/>
  <c r="U4245" i="1"/>
  <c r="U4202" i="1"/>
  <c r="U4070" i="1"/>
  <c r="U4062" i="1"/>
  <c r="U4012" i="1"/>
  <c r="U3718" i="1"/>
  <c r="U3625" i="1"/>
  <c r="U3369" i="1"/>
  <c r="U3361" i="1"/>
  <c r="U3262" i="1"/>
  <c r="U1534" i="1"/>
  <c r="U4038" i="1"/>
  <c r="U4022" i="1"/>
  <c r="U3993" i="1"/>
  <c r="U3970" i="1"/>
  <c r="U3949" i="1"/>
  <c r="U3888" i="1"/>
  <c r="U3776" i="1"/>
  <c r="U3760" i="1"/>
  <c r="U3752" i="1"/>
  <c r="U3707" i="1"/>
  <c r="U3699" i="1"/>
  <c r="U3691" i="1"/>
  <c r="U3683" i="1"/>
  <c r="U3675" i="1"/>
  <c r="U3667" i="1"/>
  <c r="U3659" i="1"/>
  <c r="U3651" i="1"/>
  <c r="U3630" i="1"/>
  <c r="U3566" i="1"/>
  <c r="U3550" i="1"/>
  <c r="U3230" i="1"/>
  <c r="U3166" i="1"/>
  <c r="U2361" i="1"/>
  <c r="U2166" i="1"/>
  <c r="U2150" i="1"/>
  <c r="U2137" i="1"/>
  <c r="U2094" i="1"/>
  <c r="U2081" i="1"/>
  <c r="U2065" i="1"/>
  <c r="U2001" i="1"/>
  <c r="U1985" i="1"/>
  <c r="U1969" i="1"/>
  <c r="U1908" i="1"/>
  <c r="U1855" i="1"/>
  <c r="U1725" i="1"/>
  <c r="U1717" i="1"/>
  <c r="U1632" i="1"/>
  <c r="U1616" i="1"/>
  <c r="U1539" i="1"/>
  <c r="U1446" i="1"/>
  <c r="U1286" i="1"/>
  <c r="U1278" i="1"/>
  <c r="U1270" i="1"/>
  <c r="U1254" i="1"/>
  <c r="U1246" i="1"/>
  <c r="U1243" i="1"/>
  <c r="U1238" i="1"/>
  <c r="U1145" i="1"/>
  <c r="U1129" i="1"/>
  <c r="U1126" i="1"/>
  <c r="U1121" i="1"/>
  <c r="U1118" i="1"/>
  <c r="U1113" i="1"/>
  <c r="U1110" i="1"/>
  <c r="U1105" i="1"/>
  <c r="U1102" i="1"/>
  <c r="U1097" i="1"/>
  <c r="U1094" i="1"/>
  <c r="U1089" i="1"/>
  <c r="U1086" i="1"/>
  <c r="U1081" i="1"/>
  <c r="U1073" i="1"/>
  <c r="U1065" i="1"/>
  <c r="U1057" i="1"/>
  <c r="U1049" i="1"/>
  <c r="U1025" i="1"/>
  <c r="U1009" i="1"/>
  <c r="U1001" i="1"/>
  <c r="U993" i="1"/>
  <c r="U758" i="1"/>
  <c r="U753" i="1"/>
  <c r="U745" i="1"/>
  <c r="U660" i="1"/>
  <c r="U644" i="1"/>
  <c r="U636" i="1"/>
  <c r="U620" i="1"/>
  <c r="U332" i="1"/>
  <c r="U316" i="1"/>
  <c r="U212" i="1"/>
  <c r="U153" i="1"/>
  <c r="U47" i="1"/>
  <c r="U4032" i="1"/>
  <c r="U4014" i="1"/>
  <c r="U3962" i="1"/>
  <c r="U3954" i="1"/>
  <c r="U3930" i="1"/>
  <c r="U3728" i="1"/>
  <c r="U3720" i="1"/>
  <c r="U2902" i="1"/>
  <c r="U2694" i="1"/>
  <c r="U2430" i="1"/>
  <c r="U2414" i="1"/>
  <c r="U2398" i="1"/>
  <c r="U2286" i="1"/>
  <c r="U2270" i="1"/>
  <c r="U2238" i="1"/>
  <c r="U2030" i="1"/>
  <c r="U2022" i="1"/>
  <c r="U2014" i="1"/>
  <c r="U2006" i="1"/>
  <c r="U1966" i="1"/>
  <c r="U1958" i="1"/>
  <c r="U1937" i="1"/>
  <c r="U1921" i="1"/>
  <c r="U1645" i="1"/>
  <c r="U1504" i="1"/>
  <c r="U1488" i="1"/>
  <c r="U1331" i="1"/>
  <c r="U1323" i="1"/>
  <c r="U1307" i="1"/>
  <c r="U1291" i="1"/>
  <c r="U1275" i="1"/>
  <c r="U1267" i="1"/>
  <c r="U1259" i="1"/>
  <c r="U918" i="1"/>
  <c r="U878" i="1"/>
  <c r="U862" i="1"/>
  <c r="U854" i="1"/>
  <c r="U846" i="1"/>
  <c r="U838" i="1"/>
  <c r="U830" i="1"/>
  <c r="U790" i="1"/>
  <c r="U774" i="1"/>
  <c r="U766" i="1"/>
  <c r="U689" i="1"/>
  <c r="U681" i="1"/>
  <c r="U353" i="1"/>
  <c r="U345" i="1"/>
  <c r="U177" i="1"/>
  <c r="U169" i="1"/>
  <c r="U73" i="1"/>
  <c r="U60" i="1"/>
  <c r="U3882" i="1"/>
  <c r="U3786" i="1"/>
  <c r="U3770" i="1"/>
  <c r="U3360" i="1"/>
  <c r="U3352" i="1"/>
  <c r="U3304" i="1"/>
  <c r="U3184" i="1"/>
  <c r="U3168" i="1"/>
  <c r="U3162" i="1"/>
  <c r="U3157" i="1"/>
  <c r="U3141" i="1"/>
  <c r="U2979" i="1"/>
  <c r="U2899" i="1"/>
  <c r="U2691" i="1"/>
  <c r="U2611" i="1"/>
  <c r="U2571" i="1"/>
  <c r="U2531" i="1"/>
  <c r="U2496" i="1"/>
  <c r="U2171" i="1"/>
  <c r="U2163" i="1"/>
  <c r="U2064" i="1"/>
  <c r="U2056" i="1"/>
  <c r="U2000" i="1"/>
  <c r="U1799" i="1"/>
  <c r="U1687" i="1"/>
  <c r="U1631" i="1"/>
  <c r="U1517" i="1"/>
  <c r="U1344" i="1"/>
  <c r="U963" i="1"/>
  <c r="U582" i="1"/>
  <c r="U526" i="1"/>
  <c r="U339" i="1"/>
  <c r="U264" i="1"/>
  <c r="U94" i="1"/>
  <c r="U3998" i="1"/>
  <c r="U3964" i="1"/>
  <c r="U3908" i="1"/>
  <c r="U3884" i="1"/>
  <c r="U3629" i="1"/>
  <c r="U2944" i="1"/>
  <c r="U2704" i="1"/>
  <c r="U2594" i="1"/>
  <c r="U2240" i="1"/>
  <c r="U1437" i="1"/>
  <c r="U1325" i="1"/>
  <c r="U1301" i="1"/>
  <c r="U1293" i="1"/>
  <c r="U627" i="1"/>
  <c r="U603" i="1"/>
  <c r="U355" i="1"/>
  <c r="U147" i="1"/>
  <c r="U139" i="1"/>
  <c r="U131" i="1"/>
  <c r="U123" i="1"/>
  <c r="U99" i="1"/>
  <c r="U91" i="1"/>
  <c r="U4034" i="1"/>
  <c r="U3740" i="1"/>
  <c r="U3410" i="1"/>
  <c r="U3402" i="1"/>
  <c r="U3378" i="1"/>
  <c r="U1394" i="1"/>
  <c r="U1378" i="1"/>
  <c r="U440" i="1"/>
  <c r="U424" i="1"/>
  <c r="U413" i="1"/>
  <c r="U392" i="1"/>
  <c r="U384" i="1"/>
  <c r="U3966" i="1"/>
  <c r="U3809" i="1"/>
  <c r="U3801" i="1"/>
  <c r="U3793" i="1"/>
  <c r="U3777" i="1"/>
  <c r="U3753" i="1"/>
  <c r="U3615" i="1"/>
  <c r="U3583" i="1"/>
  <c r="U3559" i="1"/>
  <c r="U3543" i="1"/>
  <c r="U3535" i="1"/>
  <c r="U3511" i="1"/>
  <c r="U3479" i="1"/>
  <c r="U3463" i="1"/>
  <c r="U3455" i="1"/>
  <c r="U3447" i="1"/>
  <c r="U3098" i="1"/>
  <c r="U3082" i="1"/>
  <c r="U2986" i="1"/>
  <c r="U2938" i="1"/>
  <c r="U2890" i="1"/>
  <c r="U2858" i="1"/>
  <c r="U2842" i="1"/>
  <c r="U2794" i="1"/>
  <c r="U2570" i="1"/>
  <c r="U2554" i="1"/>
  <c r="U2546" i="1"/>
  <c r="U2530" i="1"/>
  <c r="U2514" i="1"/>
  <c r="U2354" i="1"/>
  <c r="U2178" i="1"/>
  <c r="U2170" i="1"/>
  <c r="U2146" i="1"/>
  <c r="U2130" i="1"/>
  <c r="U2098" i="1"/>
  <c r="U2090" i="1"/>
  <c r="U2082" i="1"/>
  <c r="U2076" i="1"/>
  <c r="U2066" i="1"/>
  <c r="U2058" i="1"/>
  <c r="U2034" i="1"/>
  <c r="U2028" i="1"/>
  <c r="U1904" i="1"/>
  <c r="U1888" i="1"/>
  <c r="U1747" i="1"/>
  <c r="U1457" i="1"/>
  <c r="U1431" i="1"/>
  <c r="U1329" i="1"/>
  <c r="U828" i="1"/>
  <c r="U794" i="1"/>
  <c r="U786" i="1"/>
  <c r="U738" i="1"/>
  <c r="U730" i="1"/>
  <c r="U722" i="1"/>
  <c r="U701" i="1"/>
  <c r="U669" i="1"/>
  <c r="U237" i="1"/>
  <c r="U229" i="1"/>
  <c r="U221" i="1"/>
  <c r="U218" i="1"/>
  <c r="U143" i="1"/>
  <c r="U3984" i="1"/>
  <c r="U3952" i="1"/>
  <c r="U3947" i="1"/>
  <c r="U3931" i="1"/>
  <c r="U3750" i="1"/>
  <c r="U3673" i="1"/>
  <c r="U3225" i="1"/>
  <c r="U2335" i="1"/>
  <c r="U2311" i="1"/>
  <c r="U2255" i="1"/>
  <c r="U2239" i="1"/>
  <c r="U1537" i="1"/>
  <c r="U1191" i="1"/>
  <c r="U1159" i="1"/>
  <c r="U1039" i="1"/>
  <c r="U1007" i="1"/>
  <c r="U991" i="1"/>
  <c r="U983" i="1"/>
  <c r="U927" i="1"/>
  <c r="U919" i="1"/>
  <c r="U871" i="1"/>
  <c r="U863" i="1"/>
  <c r="U855" i="1"/>
  <c r="U847" i="1"/>
  <c r="U839" i="1"/>
  <c r="U831" i="1"/>
  <c r="U791" i="1"/>
  <c r="U788" i="1"/>
  <c r="U682" i="1"/>
  <c r="U202" i="1"/>
  <c r="U194" i="1"/>
  <c r="U186" i="1"/>
  <c r="U7848" i="1"/>
  <c r="U7840" i="1"/>
  <c r="U7814" i="1"/>
  <c r="U7806" i="1"/>
  <c r="U7706" i="1"/>
  <c r="U7679" i="1"/>
  <c r="U7612" i="1"/>
  <c r="U7561" i="1"/>
  <c r="U7842" i="1"/>
  <c r="U7824" i="1"/>
  <c r="U7816" i="1"/>
  <c r="U7802" i="1"/>
  <c r="U7784" i="1"/>
  <c r="U7673" i="1"/>
  <c r="U7653" i="1"/>
  <c r="U7621" i="1"/>
  <c r="U7589" i="1"/>
  <c r="U7411" i="1"/>
  <c r="U7381" i="1"/>
  <c r="U7373" i="1"/>
  <c r="U7832" i="1"/>
  <c r="U7811" i="1"/>
  <c r="U7699" i="1"/>
  <c r="U7844" i="1"/>
  <c r="U7826" i="1"/>
  <c r="U7818" i="1"/>
  <c r="U7810" i="1"/>
  <c r="U7693" i="1"/>
  <c r="U7643" i="1"/>
  <c r="U7611" i="1"/>
  <c r="U7537" i="1"/>
  <c r="U7475" i="1"/>
  <c r="U6857" i="1"/>
  <c r="U7628" i="1"/>
  <c r="U7596" i="1"/>
  <c r="U7383" i="1"/>
  <c r="U7375" i="1"/>
  <c r="U7130" i="1"/>
  <c r="U6915" i="1"/>
  <c r="U6711" i="1"/>
  <c r="U7644" i="1"/>
  <c r="U7427" i="1"/>
  <c r="U7379" i="1"/>
  <c r="U7049" i="1"/>
  <c r="U7849" i="1"/>
  <c r="U7765" i="1"/>
  <c r="U7726" i="1"/>
  <c r="U7846" i="1"/>
  <c r="U7838" i="1"/>
  <c r="U7833" i="1"/>
  <c r="U7828" i="1"/>
  <c r="U7812" i="1"/>
  <c r="U7804" i="1"/>
  <c r="U7796" i="1"/>
  <c r="U7791" i="1"/>
  <c r="U7762" i="1"/>
  <c r="U7749" i="1"/>
  <c r="U7744" i="1"/>
  <c r="U7738" i="1"/>
  <c r="U7723" i="1"/>
  <c r="U7715" i="1"/>
  <c r="U7712" i="1"/>
  <c r="U7667" i="1"/>
  <c r="U7459" i="1"/>
  <c r="U7790" i="1"/>
  <c r="U7782" i="1"/>
  <c r="U7748" i="1"/>
  <c r="U7743" i="1"/>
  <c r="U7730" i="1"/>
  <c r="U7722" i="1"/>
  <c r="U7709" i="1"/>
  <c r="U7677" i="1"/>
  <c r="U7674" i="1"/>
  <c r="U7670" i="1"/>
  <c r="U7663" i="1"/>
  <c r="U7651" i="1"/>
  <c r="U7635" i="1"/>
  <c r="U7619" i="1"/>
  <c r="U7603" i="1"/>
  <c r="U7587" i="1"/>
  <c r="U7571" i="1"/>
  <c r="U7549" i="1"/>
  <c r="U7544" i="1"/>
  <c r="U7530" i="1"/>
  <c r="U7514" i="1"/>
  <c r="U7498" i="1"/>
  <c r="U7482" i="1"/>
  <c r="U7466" i="1"/>
  <c r="U7450" i="1"/>
  <c r="U7434" i="1"/>
  <c r="U7418" i="1"/>
  <c r="U7402" i="1"/>
  <c r="U7368" i="1"/>
  <c r="U7360" i="1"/>
  <c r="U7352" i="1"/>
  <c r="U7344" i="1"/>
  <c r="U7336" i="1"/>
  <c r="U7328" i="1"/>
  <c r="U7320" i="1"/>
  <c r="U7315" i="1"/>
  <c r="U7310" i="1"/>
  <c r="U7262" i="1"/>
  <c r="U7254" i="1"/>
  <c r="U7246" i="1"/>
  <c r="U7238" i="1"/>
  <c r="U7230" i="1"/>
  <c r="U7222" i="1"/>
  <c r="U7214" i="1"/>
  <c r="U7206" i="1"/>
  <c r="U7198" i="1"/>
  <c r="U7190" i="1"/>
  <c r="U7182" i="1"/>
  <c r="U7174" i="1"/>
  <c r="U7166" i="1"/>
  <c r="U7158" i="1"/>
  <c r="U7143" i="1"/>
  <c r="U7107" i="1"/>
  <c r="U7099" i="1"/>
  <c r="U7091" i="1"/>
  <c r="U7083" i="1"/>
  <c r="U7044" i="1"/>
  <c r="U7041" i="1"/>
  <c r="U7031" i="1"/>
  <c r="U7025" i="1"/>
  <c r="U7015" i="1"/>
  <c r="U6983" i="1"/>
  <c r="U6981" i="1"/>
  <c r="U6949" i="1"/>
  <c r="U6873" i="1"/>
  <c r="U6813" i="1"/>
  <c r="U6805" i="1"/>
  <c r="U6787" i="1"/>
  <c r="U6779" i="1"/>
  <c r="U6771" i="1"/>
  <c r="U6763" i="1"/>
  <c r="U6758" i="1"/>
  <c r="U6737" i="1"/>
  <c r="U6713" i="1"/>
  <c r="U6701" i="1"/>
  <c r="U6693" i="1"/>
  <c r="U6635" i="1"/>
  <c r="U6619" i="1"/>
  <c r="U6611" i="1"/>
  <c r="U7573" i="1"/>
  <c r="U7554" i="1"/>
  <c r="U7532" i="1"/>
  <c r="U7516" i="1"/>
  <c r="U7500" i="1"/>
  <c r="U7484" i="1"/>
  <c r="U7468" i="1"/>
  <c r="U7452" i="1"/>
  <c r="U7436" i="1"/>
  <c r="U7420" i="1"/>
  <c r="U7404" i="1"/>
  <c r="U7365" i="1"/>
  <c r="U7357" i="1"/>
  <c r="U7349" i="1"/>
  <c r="U7341" i="1"/>
  <c r="U7333" i="1"/>
  <c r="U7325" i="1"/>
  <c r="U7317" i="1"/>
  <c r="U7299" i="1"/>
  <c r="U7291" i="1"/>
  <c r="U7283" i="1"/>
  <c r="U7275" i="1"/>
  <c r="U7267" i="1"/>
  <c r="U7259" i="1"/>
  <c r="U7251" i="1"/>
  <c r="U7243" i="1"/>
  <c r="U7235" i="1"/>
  <c r="U7227" i="1"/>
  <c r="U7219" i="1"/>
  <c r="U7211" i="1"/>
  <c r="U7203" i="1"/>
  <c r="U7195" i="1"/>
  <c r="U7187" i="1"/>
  <c r="U7179" i="1"/>
  <c r="U7171" i="1"/>
  <c r="U7163" i="1"/>
  <c r="U7155" i="1"/>
  <c r="U7150" i="1"/>
  <c r="U7140" i="1"/>
  <c r="U7135" i="1"/>
  <c r="U7125" i="1"/>
  <c r="U7117" i="1"/>
  <c r="U7067" i="1"/>
  <c r="U7036" i="1"/>
  <c r="U7020" i="1"/>
  <c r="U7012" i="1"/>
  <c r="U6973" i="1"/>
  <c r="U6965" i="1"/>
  <c r="U6957" i="1"/>
  <c r="U6941" i="1"/>
  <c r="U6933" i="1"/>
  <c r="U6925" i="1"/>
  <c r="U6907" i="1"/>
  <c r="U6899" i="1"/>
  <c r="U6891" i="1"/>
  <c r="U6844" i="1"/>
  <c r="U6839" i="1"/>
  <c r="U6823" i="1"/>
  <c r="U6797" i="1"/>
  <c r="U6755" i="1"/>
  <c r="U6734" i="1"/>
  <c r="U6698" i="1"/>
  <c r="U6669" i="1"/>
  <c r="U6661" i="1"/>
  <c r="U6603" i="1"/>
  <c r="U6587" i="1"/>
  <c r="U6579" i="1"/>
  <c r="U5513" i="1"/>
  <c r="U7502" i="1"/>
  <c r="U7486" i="1"/>
  <c r="U7470" i="1"/>
  <c r="U7454" i="1"/>
  <c r="U7438" i="1"/>
  <c r="U7422" i="1"/>
  <c r="U7406" i="1"/>
  <c r="U7370" i="1"/>
  <c r="U7362" i="1"/>
  <c r="U7354" i="1"/>
  <c r="U7346" i="1"/>
  <c r="U7338" i="1"/>
  <c r="U7330" i="1"/>
  <c r="U7322" i="1"/>
  <c r="U7304" i="1"/>
  <c r="U7264" i="1"/>
  <c r="U7256" i="1"/>
  <c r="U7248" i="1"/>
  <c r="U7240" i="1"/>
  <c r="U7232" i="1"/>
  <c r="U7224" i="1"/>
  <c r="U7216" i="1"/>
  <c r="U7208" i="1"/>
  <c r="U7200" i="1"/>
  <c r="U7192" i="1"/>
  <c r="U7184" i="1"/>
  <c r="U7176" i="1"/>
  <c r="U7168" i="1"/>
  <c r="U7160" i="1"/>
  <c r="U7132" i="1"/>
  <c r="U7129" i="1"/>
  <c r="U7122" i="1"/>
  <c r="U7109" i="1"/>
  <c r="U7101" i="1"/>
  <c r="U7095" i="1"/>
  <c r="U7093" i="1"/>
  <c r="U7085" i="1"/>
  <c r="U7077" i="1"/>
  <c r="U7051" i="1"/>
  <c r="U7033" i="1"/>
  <c r="U7017" i="1"/>
  <c r="U7004" i="1"/>
  <c r="U6996" i="1"/>
  <c r="U6988" i="1"/>
  <c r="U6959" i="1"/>
  <c r="U6917" i="1"/>
  <c r="U6875" i="1"/>
  <c r="U6867" i="1"/>
  <c r="U6859" i="1"/>
  <c r="U6849" i="1"/>
  <c r="U6828" i="1"/>
  <c r="U6807" i="1"/>
  <c r="U6789" i="1"/>
  <c r="U6781" i="1"/>
  <c r="U6773" i="1"/>
  <c r="U6765" i="1"/>
  <c r="U6747" i="1"/>
  <c r="U6739" i="1"/>
  <c r="U6721" i="1"/>
  <c r="U6708" i="1"/>
  <c r="U6684" i="1"/>
  <c r="U6679" i="1"/>
  <c r="U6637" i="1"/>
  <c r="U6631" i="1"/>
  <c r="U6629" i="1"/>
  <c r="U6571" i="1"/>
  <c r="U7822" i="1"/>
  <c r="U7781" i="1"/>
  <c r="U7776" i="1"/>
  <c r="U7770" i="1"/>
  <c r="U7760" i="1"/>
  <c r="U7742" i="1"/>
  <c r="U7721" i="1"/>
  <c r="U7688" i="1"/>
  <c r="U7662" i="1"/>
  <c r="U7657" i="1"/>
  <c r="U7641" i="1"/>
  <c r="U7625" i="1"/>
  <c r="U7609" i="1"/>
  <c r="U7593" i="1"/>
  <c r="U7577" i="1"/>
  <c r="U7558" i="1"/>
  <c r="U7548" i="1"/>
  <c r="U7520" i="1"/>
  <c r="U7504" i="1"/>
  <c r="U7488" i="1"/>
  <c r="U7472" i="1"/>
  <c r="U7456" i="1"/>
  <c r="U7440" i="1"/>
  <c r="U7424" i="1"/>
  <c r="U7408" i="1"/>
  <c r="U7367" i="1"/>
  <c r="U7359" i="1"/>
  <c r="U7351" i="1"/>
  <c r="U7343" i="1"/>
  <c r="U7335" i="1"/>
  <c r="U7327" i="1"/>
  <c r="U7314" i="1"/>
  <c r="U7309" i="1"/>
  <c r="U7301" i="1"/>
  <c r="U7147" i="1"/>
  <c r="U7142" i="1"/>
  <c r="U7127" i="1"/>
  <c r="U7121" i="1"/>
  <c r="U7069" i="1"/>
  <c r="U7061" i="1"/>
  <c r="U7001" i="1"/>
  <c r="U6935" i="1"/>
  <c r="U6909" i="1"/>
  <c r="U6901" i="1"/>
  <c r="U6893" i="1"/>
  <c r="U6885" i="1"/>
  <c r="U6825" i="1"/>
  <c r="U6812" i="1"/>
  <c r="U6786" i="1"/>
  <c r="U6783" i="1"/>
  <c r="U6770" i="1"/>
  <c r="U6767" i="1"/>
  <c r="U6757" i="1"/>
  <c r="U6700" i="1"/>
  <c r="U6692" i="1"/>
  <c r="U6652" i="1"/>
  <c r="U6649" i="1"/>
  <c r="U6647" i="1"/>
  <c r="U6605" i="1"/>
  <c r="U6597" i="1"/>
  <c r="U6512" i="1"/>
  <c r="U6504" i="1"/>
  <c r="U6496" i="1"/>
  <c r="U7579" i="1"/>
  <c r="U7565" i="1"/>
  <c r="U7560" i="1"/>
  <c r="U7553" i="1"/>
  <c r="U7536" i="1"/>
  <c r="U7522" i="1"/>
  <c r="U7506" i="1"/>
  <c r="U7683" i="1"/>
  <c r="U7680" i="1"/>
  <c r="U7645" i="1"/>
  <c r="U7629" i="1"/>
  <c r="U7613" i="1"/>
  <c r="U7597" i="1"/>
  <c r="U7581" i="1"/>
  <c r="U7567" i="1"/>
  <c r="U7562" i="1"/>
  <c r="U7550" i="1"/>
  <c r="U7545" i="1"/>
  <c r="U7538" i="1"/>
  <c r="U7524" i="1"/>
  <c r="U7508" i="1"/>
  <c r="U7492" i="1"/>
  <c r="U7476" i="1"/>
  <c r="U7460" i="1"/>
  <c r="U7444" i="1"/>
  <c r="U7428" i="1"/>
  <c r="U7412" i="1"/>
  <c r="U7386" i="1"/>
  <c r="U7369" i="1"/>
  <c r="U7361" i="1"/>
  <c r="U7353" i="1"/>
  <c r="U7345" i="1"/>
  <c r="U7337" i="1"/>
  <c r="U7329" i="1"/>
  <c r="U7321" i="1"/>
  <c r="U7144" i="1"/>
  <c r="U7123" i="1"/>
  <c r="U7100" i="1"/>
  <c r="U7092" i="1"/>
  <c r="U7084" i="1"/>
  <c r="U7076" i="1"/>
  <c r="U7063" i="1"/>
  <c r="U7045" i="1"/>
  <c r="U7003" i="1"/>
  <c r="U6995" i="1"/>
  <c r="U6987" i="1"/>
  <c r="U6977" i="1"/>
  <c r="U6969" i="1"/>
  <c r="U6953" i="1"/>
  <c r="U6937" i="1"/>
  <c r="U6903" i="1"/>
  <c r="U6887" i="1"/>
  <c r="U6853" i="1"/>
  <c r="U6835" i="1"/>
  <c r="U6827" i="1"/>
  <c r="U6780" i="1"/>
  <c r="U6764" i="1"/>
  <c r="U6759" i="1"/>
  <c r="U6746" i="1"/>
  <c r="U6720" i="1"/>
  <c r="U6707" i="1"/>
  <c r="U6665" i="1"/>
  <c r="U6662" i="1"/>
  <c r="U6657" i="1"/>
  <c r="U6654" i="1"/>
  <c r="U6646" i="1"/>
  <c r="U6583" i="1"/>
  <c r="U6551" i="1"/>
  <c r="U7788" i="1"/>
  <c r="U7780" i="1"/>
  <c r="U7775" i="1"/>
  <c r="U7759" i="1"/>
  <c r="U7728" i="1"/>
  <c r="U7720" i="1"/>
  <c r="U7714" i="1"/>
  <c r="U7707" i="1"/>
  <c r="U7704" i="1"/>
  <c r="U7695" i="1"/>
  <c r="U7682" i="1"/>
  <c r="U7666" i="1"/>
  <c r="U7661" i="1"/>
  <c r="U7647" i="1"/>
  <c r="U7631" i="1"/>
  <c r="U7615" i="1"/>
  <c r="U7599" i="1"/>
  <c r="U7583" i="1"/>
  <c r="U7547" i="1"/>
  <c r="U7540" i="1"/>
  <c r="U7526" i="1"/>
  <c r="U7510" i="1"/>
  <c r="U7494" i="1"/>
  <c r="U7478" i="1"/>
  <c r="U7462" i="1"/>
  <c r="U7446" i="1"/>
  <c r="U7430" i="1"/>
  <c r="U7414" i="1"/>
  <c r="U7398" i="1"/>
  <c r="U7366" i="1"/>
  <c r="U7358" i="1"/>
  <c r="U7350" i="1"/>
  <c r="U7342" i="1"/>
  <c r="U7334" i="1"/>
  <c r="U7326" i="1"/>
  <c r="U7300" i="1"/>
  <c r="U7268" i="1"/>
  <c r="U7260" i="1"/>
  <c r="U7252" i="1"/>
  <c r="U7244" i="1"/>
  <c r="U7236" i="1"/>
  <c r="U7228" i="1"/>
  <c r="U7220" i="1"/>
  <c r="U7212" i="1"/>
  <c r="U7204" i="1"/>
  <c r="U7196" i="1"/>
  <c r="U7188" i="1"/>
  <c r="U7180" i="1"/>
  <c r="U7172" i="1"/>
  <c r="U7164" i="1"/>
  <c r="U7156" i="1"/>
  <c r="U7141" i="1"/>
  <c r="U7136" i="1"/>
  <c r="U7126" i="1"/>
  <c r="U7105" i="1"/>
  <c r="U7097" i="1"/>
  <c r="U7081" i="1"/>
  <c r="U7068" i="1"/>
  <c r="U7060" i="1"/>
  <c r="U7037" i="1"/>
  <c r="U7029" i="1"/>
  <c r="U7021" i="1"/>
  <c r="U7013" i="1"/>
  <c r="U6997" i="1"/>
  <c r="U6908" i="1"/>
  <c r="U6892" i="1"/>
  <c r="U6871" i="1"/>
  <c r="U6845" i="1"/>
  <c r="U6811" i="1"/>
  <c r="U6785" i="1"/>
  <c r="U6777" i="1"/>
  <c r="U6756" i="1"/>
  <c r="U6743" i="1"/>
  <c r="U6730" i="1"/>
  <c r="U6727" i="1"/>
  <c r="U6699" i="1"/>
  <c r="U6683" i="1"/>
  <c r="U6675" i="1"/>
  <c r="U6633" i="1"/>
  <c r="U6630" i="1"/>
  <c r="U6625" i="1"/>
  <c r="U6622" i="1"/>
  <c r="U6545" i="1"/>
  <c r="U6396" i="1"/>
  <c r="U6348" i="1"/>
  <c r="U6338" i="1"/>
  <c r="U6290" i="1"/>
  <c r="U6274" i="1"/>
  <c r="U6210" i="1"/>
  <c r="U6162" i="1"/>
  <c r="U6157" i="1"/>
  <c r="U6026" i="1"/>
  <c r="U5994" i="1"/>
  <c r="U5965" i="1"/>
  <c r="U5917" i="1"/>
  <c r="U5888" i="1"/>
  <c r="U5875" i="1"/>
  <c r="U5859" i="1"/>
  <c r="U5843" i="1"/>
  <c r="U5838" i="1"/>
  <c r="U5469" i="1"/>
  <c r="U5432" i="1"/>
  <c r="U5369" i="1"/>
  <c r="U5364" i="1"/>
  <c r="U5348" i="1"/>
  <c r="U5345" i="1"/>
  <c r="U5335" i="1"/>
  <c r="U5327" i="1"/>
  <c r="U5303" i="1"/>
  <c r="U5282" i="1"/>
  <c r="U5274" i="1"/>
  <c r="U5227" i="1"/>
  <c r="U5169" i="1"/>
  <c r="U5161" i="1"/>
  <c r="U5156" i="1"/>
  <c r="U5119" i="1"/>
  <c r="U5103" i="1"/>
  <c r="U5095" i="1"/>
  <c r="U5087" i="1"/>
  <c r="U5066" i="1"/>
  <c r="U5063" i="1"/>
  <c r="U5015" i="1"/>
  <c r="U4939" i="1"/>
  <c r="U4931" i="1"/>
  <c r="U4923" i="1"/>
  <c r="U4915" i="1"/>
  <c r="U4907" i="1"/>
  <c r="U6555" i="1"/>
  <c r="U6537" i="1"/>
  <c r="U6534" i="1"/>
  <c r="U6529" i="1"/>
  <c r="U6510" i="1"/>
  <c r="U6500" i="1"/>
  <c r="U6452" i="1"/>
  <c r="U6430" i="1"/>
  <c r="U6420" i="1"/>
  <c r="U6140" i="1"/>
  <c r="U6092" i="1"/>
  <c r="U6082" i="1"/>
  <c r="U6034" i="1"/>
  <c r="U5978" i="1"/>
  <c r="U5970" i="1"/>
  <c r="U5962" i="1"/>
  <c r="U5948" i="1"/>
  <c r="U5946" i="1"/>
  <c r="U5914" i="1"/>
  <c r="U5885" i="1"/>
  <c r="U5872" i="1"/>
  <c r="U5858" i="1"/>
  <c r="U5856" i="1"/>
  <c r="U5487" i="1"/>
  <c r="U5474" i="1"/>
  <c r="U5437" i="1"/>
  <c r="U5421" i="1"/>
  <c r="U5379" i="1"/>
  <c r="U5332" i="1"/>
  <c r="U5316" i="1"/>
  <c r="U5300" i="1"/>
  <c r="U5279" i="1"/>
  <c r="U5266" i="1"/>
  <c r="U5258" i="1"/>
  <c r="U5250" i="1"/>
  <c r="U5242" i="1"/>
  <c r="U5219" i="1"/>
  <c r="U5211" i="1"/>
  <c r="U5195" i="1"/>
  <c r="U5187" i="1"/>
  <c r="U5179" i="1"/>
  <c r="U5153" i="1"/>
  <c r="U5140" i="1"/>
  <c r="U5124" i="1"/>
  <c r="U5108" i="1"/>
  <c r="U5092" i="1"/>
  <c r="U5071" i="1"/>
  <c r="U5050" i="1"/>
  <c r="U5034" i="1"/>
  <c r="U5018" i="1"/>
  <c r="U5002" i="1"/>
  <c r="U4986" i="1"/>
  <c r="U4970" i="1"/>
  <c r="U4899" i="1"/>
  <c r="U4891" i="1"/>
  <c r="U4875" i="1"/>
  <c r="U3946" i="1"/>
  <c r="U6302" i="1"/>
  <c r="U6174" i="1"/>
  <c r="U5473" i="1"/>
  <c r="U5358" i="1"/>
  <c r="U5329" i="1"/>
  <c r="U5321" i="1"/>
  <c r="U5313" i="1"/>
  <c r="U5305" i="1"/>
  <c r="U5297" i="1"/>
  <c r="U5284" i="1"/>
  <c r="U5276" i="1"/>
  <c r="U5271" i="1"/>
  <c r="U5255" i="1"/>
  <c r="U5234" i="1"/>
  <c r="U5229" i="1"/>
  <c r="U5171" i="1"/>
  <c r="U5163" i="1"/>
  <c r="U5137" i="1"/>
  <c r="U5129" i="1"/>
  <c r="U5121" i="1"/>
  <c r="U5113" i="1"/>
  <c r="U5105" i="1"/>
  <c r="U5097" i="1"/>
  <c r="U5089" i="1"/>
  <c r="U5076" i="1"/>
  <c r="U5055" i="1"/>
  <c r="U5039" i="1"/>
  <c r="U5031" i="1"/>
  <c r="U5023" i="1"/>
  <c r="U5007" i="1"/>
  <c r="U4991" i="1"/>
  <c r="U4975" i="1"/>
  <c r="U4954" i="1"/>
  <c r="U6567" i="1"/>
  <c r="U6565" i="1"/>
  <c r="U6541" i="1"/>
  <c r="U6531" i="1"/>
  <c r="U6494" i="1"/>
  <c r="U6478" i="1"/>
  <c r="U6462" i="1"/>
  <c r="U6398" i="1"/>
  <c r="U6393" i="1"/>
  <c r="U6390" i="1"/>
  <c r="U6385" i="1"/>
  <c r="U6345" i="1"/>
  <c r="U6337" i="1"/>
  <c r="U6329" i="1"/>
  <c r="U6321" i="1"/>
  <c r="U6318" i="1"/>
  <c r="U6313" i="1"/>
  <c r="U6310" i="1"/>
  <c r="U6305" i="1"/>
  <c r="U6270" i="1"/>
  <c r="U6265" i="1"/>
  <c r="U6262" i="1"/>
  <c r="U6257" i="1"/>
  <c r="U6217" i="1"/>
  <c r="U6209" i="1"/>
  <c r="U6201" i="1"/>
  <c r="U6193" i="1"/>
  <c r="U6190" i="1"/>
  <c r="U6177" i="1"/>
  <c r="U6116" i="1"/>
  <c r="U6068" i="1"/>
  <c r="U6036" i="1"/>
  <c r="U5988" i="1"/>
  <c r="U5932" i="1"/>
  <c r="U5895" i="1"/>
  <c r="U5892" i="1"/>
  <c r="U5866" i="1"/>
  <c r="U5850" i="1"/>
  <c r="U5837" i="1"/>
  <c r="U5497" i="1"/>
  <c r="U5447" i="1"/>
  <c r="U5431" i="1"/>
  <c r="U5407" i="1"/>
  <c r="U5394" i="1"/>
  <c r="U5386" i="1"/>
  <c r="U5381" i="1"/>
  <c r="U5376" i="1"/>
  <c r="U5363" i="1"/>
  <c r="U5339" i="1"/>
  <c r="U5281" i="1"/>
  <c r="U5268" i="1"/>
  <c r="U5252" i="1"/>
  <c r="U5244" i="1"/>
  <c r="U5239" i="1"/>
  <c r="U5226" i="1"/>
  <c r="U5223" i="1"/>
  <c r="U5197" i="1"/>
  <c r="U5189" i="1"/>
  <c r="U5181" i="1"/>
  <c r="U5155" i="1"/>
  <c r="U5147" i="1"/>
  <c r="U5073" i="1"/>
  <c r="U5060" i="1"/>
  <c r="U5044" i="1"/>
  <c r="U5028" i="1"/>
  <c r="U5012" i="1"/>
  <c r="U4996" i="1"/>
  <c r="U4980" i="1"/>
  <c r="U4967" i="1"/>
  <c r="U4959" i="1"/>
  <c r="U4938" i="1"/>
  <c r="U4922" i="1"/>
  <c r="U4837" i="1"/>
  <c r="U4829" i="1"/>
  <c r="U4821" i="1"/>
  <c r="U4813" i="1"/>
  <c r="U4805" i="1"/>
  <c r="U4797" i="1"/>
  <c r="U4789" i="1"/>
  <c r="U4781" i="1"/>
  <c r="U4773" i="1"/>
  <c r="U4016" i="1"/>
  <c r="U6206" i="1"/>
  <c r="U6001" i="1"/>
  <c r="U5977" i="1"/>
  <c r="U5961" i="1"/>
  <c r="U5934" i="1"/>
  <c r="U5902" i="1"/>
  <c r="U5409" i="1"/>
  <c r="U5175" i="1"/>
  <c r="U5149" i="1"/>
  <c r="U6432" i="1"/>
  <c r="U6379" i="1"/>
  <c r="U5904" i="1"/>
  <c r="U6509" i="1"/>
  <c r="U6506" i="1"/>
  <c r="U6461" i="1"/>
  <c r="U6392" i="1"/>
  <c r="U6384" i="1"/>
  <c r="U6376" i="1"/>
  <c r="U6368" i="1"/>
  <c r="U6312" i="1"/>
  <c r="U6304" i="1"/>
  <c r="U6264" i="1"/>
  <c r="U6256" i="1"/>
  <c r="U6248" i="1"/>
  <c r="U6240" i="1"/>
  <c r="U6232" i="1"/>
  <c r="U6224" i="1"/>
  <c r="U6184" i="1"/>
  <c r="U6176" i="1"/>
  <c r="U6123" i="1"/>
  <c r="U6043" i="1"/>
  <c r="U5995" i="1"/>
  <c r="U5886" i="1"/>
  <c r="U5467" i="1"/>
  <c r="U5422" i="1"/>
  <c r="U5354" i="1"/>
  <c r="U5338" i="1"/>
  <c r="U5319" i="1"/>
  <c r="U5277" i="1"/>
  <c r="U5259" i="1"/>
  <c r="U5251" i="1"/>
  <c r="U5243" i="1"/>
  <c r="U5220" i="1"/>
  <c r="U5212" i="1"/>
  <c r="U5204" i="1"/>
  <c r="U5188" i="1"/>
  <c r="U5146" i="1"/>
  <c r="U5143" i="1"/>
  <c r="U5133" i="1"/>
  <c r="U5127" i="1"/>
  <c r="U5125" i="1"/>
  <c r="U5117" i="1"/>
  <c r="U5101" i="1"/>
  <c r="U5059" i="1"/>
  <c r="U5051" i="1"/>
  <c r="U5043" i="1"/>
  <c r="U5035" i="1"/>
  <c r="U5027" i="1"/>
  <c r="U5019" i="1"/>
  <c r="U5003" i="1"/>
  <c r="U4995" i="1"/>
  <c r="U4987" i="1"/>
  <c r="U4979" i="1"/>
  <c r="U4971" i="1"/>
  <c r="U4945" i="1"/>
  <c r="U4937" i="1"/>
  <c r="U4929" i="1"/>
  <c r="U4921" i="1"/>
  <c r="U4884" i="1"/>
  <c r="U4868" i="1"/>
  <c r="U4852" i="1"/>
  <c r="U4708" i="1"/>
  <c r="U4700" i="1"/>
  <c r="U4684" i="1"/>
  <c r="U4628" i="1"/>
  <c r="U4556" i="1"/>
  <c r="U4865" i="1"/>
  <c r="U4857" i="1"/>
  <c r="U4849" i="1"/>
  <c r="U4841" i="1"/>
  <c r="U4833" i="1"/>
  <c r="U4825" i="1"/>
  <c r="U4817" i="1"/>
  <c r="U4809" i="1"/>
  <c r="U4801" i="1"/>
  <c r="U4793" i="1"/>
  <c r="U4785" i="1"/>
  <c r="U4777" i="1"/>
  <c r="U4769" i="1"/>
  <c r="U4761" i="1"/>
  <c r="U4753" i="1"/>
  <c r="U4745" i="1"/>
  <c r="U4737" i="1"/>
  <c r="U4729" i="1"/>
  <c r="U4660" i="1"/>
  <c r="U4644" i="1"/>
  <c r="U4636" i="1"/>
  <c r="U4612" i="1"/>
  <c r="U4610" i="1"/>
  <c r="U4602" i="1"/>
  <c r="U4586" i="1"/>
  <c r="U4578" i="1"/>
  <c r="U4570" i="1"/>
  <c r="U4557" i="1"/>
  <c r="U4536" i="1"/>
  <c r="U4526" i="1"/>
  <c r="U4518" i="1"/>
  <c r="U4510" i="1"/>
  <c r="U4481" i="1"/>
  <c r="U4473" i="1"/>
  <c r="U4385" i="1"/>
  <c r="U4377" i="1"/>
  <c r="U4372" i="1"/>
  <c r="U4343" i="1"/>
  <c r="U4314" i="1"/>
  <c r="U4301" i="1"/>
  <c r="U4280" i="1"/>
  <c r="U4272" i="1"/>
  <c r="U4267" i="1"/>
  <c r="U4235" i="1"/>
  <c r="U4225" i="1"/>
  <c r="U4186" i="1"/>
  <c r="U4181" i="1"/>
  <c r="U4173" i="1"/>
  <c r="U4129" i="1"/>
  <c r="U4116" i="1"/>
  <c r="U4108" i="1"/>
  <c r="U4100" i="1"/>
  <c r="U4092" i="1"/>
  <c r="U4074" i="1"/>
  <c r="U4069" i="1"/>
  <c r="U4056" i="1"/>
  <c r="U4036" i="1"/>
  <c r="U4026" i="1"/>
  <c r="U4023" i="1"/>
  <c r="U4013" i="1"/>
  <c r="U4006" i="1"/>
  <c r="U3996" i="1"/>
  <c r="U3956" i="1"/>
  <c r="U3953" i="1"/>
  <c r="U3933" i="1"/>
  <c r="U3915" i="1"/>
  <c r="U3896" i="1"/>
  <c r="U3894" i="1"/>
  <c r="U3876" i="1"/>
  <c r="U3871" i="1"/>
  <c r="U3868" i="1"/>
  <c r="U3863" i="1"/>
  <c r="U3860" i="1"/>
  <c r="U3855" i="1"/>
  <c r="U3852" i="1"/>
  <c r="U3847" i="1"/>
  <c r="U3844" i="1"/>
  <c r="U3839" i="1"/>
  <c r="U3836" i="1"/>
  <c r="U3831" i="1"/>
  <c r="U3828" i="1"/>
  <c r="U3823" i="1"/>
  <c r="U3815" i="1"/>
  <c r="U3807" i="1"/>
  <c r="U3799" i="1"/>
  <c r="U3791" i="1"/>
  <c r="U3783" i="1"/>
  <c r="U3767" i="1"/>
  <c r="U3751" i="1"/>
  <c r="U3738" i="1"/>
  <c r="U3725" i="1"/>
  <c r="U3717" i="1"/>
  <c r="U3712" i="1"/>
  <c r="U3704" i="1"/>
  <c r="U3696" i="1"/>
  <c r="U3688" i="1"/>
  <c r="U3680" i="1"/>
  <c r="U3672" i="1"/>
  <c r="U3664" i="1"/>
  <c r="U3656" i="1"/>
  <c r="U4710" i="1"/>
  <c r="U4696" i="1"/>
  <c r="U4694" i="1"/>
  <c r="U4620" i="1"/>
  <c r="U4615" i="1"/>
  <c r="U4583" i="1"/>
  <c r="U4422" i="1"/>
  <c r="U4414" i="1"/>
  <c r="U4392" i="1"/>
  <c r="U4390" i="1"/>
  <c r="U4382" i="1"/>
  <c r="U4356" i="1"/>
  <c r="U4348" i="1"/>
  <c r="U4311" i="1"/>
  <c r="U4277" i="1"/>
  <c r="U4264" i="1"/>
  <c r="U4248" i="1"/>
  <c r="U4240" i="1"/>
  <c r="U4204" i="1"/>
  <c r="U4170" i="1"/>
  <c r="U4154" i="1"/>
  <c r="U4149" i="1"/>
  <c r="U4144" i="1"/>
  <c r="U4139" i="1"/>
  <c r="U4136" i="1"/>
  <c r="U4134" i="1"/>
  <c r="U4097" i="1"/>
  <c r="U4084" i="1"/>
  <c r="U4066" i="1"/>
  <c r="U4058" i="1"/>
  <c r="U4046" i="1"/>
  <c r="U4025" i="1"/>
  <c r="U3988" i="1"/>
  <c r="U3978" i="1"/>
  <c r="U3975" i="1"/>
  <c r="U3938" i="1"/>
  <c r="U3920" i="1"/>
  <c r="U3899" i="1"/>
  <c r="U3788" i="1"/>
  <c r="U3772" i="1"/>
  <c r="U3756" i="1"/>
  <c r="U3735" i="1"/>
  <c r="U3732" i="1"/>
  <c r="U3722" i="1"/>
  <c r="U3714" i="1"/>
  <c r="U3709" i="1"/>
  <c r="U3701" i="1"/>
  <c r="U3693" i="1"/>
  <c r="U3685" i="1"/>
  <c r="U3677" i="1"/>
  <c r="U3669" i="1"/>
  <c r="U3661" i="1"/>
  <c r="U3653" i="1"/>
  <c r="U3619" i="1"/>
  <c r="U4906" i="1"/>
  <c r="U4720" i="1"/>
  <c r="U4704" i="1"/>
  <c r="U4622" i="1"/>
  <c r="U4577" i="1"/>
  <c r="U4546" i="1"/>
  <c r="U4538" i="1"/>
  <c r="U4525" i="1"/>
  <c r="U4496" i="1"/>
  <c r="U4488" i="1"/>
  <c r="U4480" i="1"/>
  <c r="U4472" i="1"/>
  <c r="U4464" i="1"/>
  <c r="U4456" i="1"/>
  <c r="U4448" i="1"/>
  <c r="U4440" i="1"/>
  <c r="U4432" i="1"/>
  <c r="U4408" i="1"/>
  <c r="U4400" i="1"/>
  <c r="U4363" i="1"/>
  <c r="U4300" i="1"/>
  <c r="U4266" i="1"/>
  <c r="U4250" i="1"/>
  <c r="U4180" i="1"/>
  <c r="U4172" i="1"/>
  <c r="U4164" i="1"/>
  <c r="U4156" i="1"/>
  <c r="U4107" i="1"/>
  <c r="U4086" i="1"/>
  <c r="U4068" i="1"/>
  <c r="U4060" i="1"/>
  <c r="U4020" i="1"/>
  <c r="U4010" i="1"/>
  <c r="U4007" i="1"/>
  <c r="U3997" i="1"/>
  <c r="U3990" i="1"/>
  <c r="U3980" i="1"/>
  <c r="U3940" i="1"/>
  <c r="U3922" i="1"/>
  <c r="U3914" i="1"/>
  <c r="U3906" i="1"/>
  <c r="U3901" i="1"/>
  <c r="U3883" i="1"/>
  <c r="U3790" i="1"/>
  <c r="U3782" i="1"/>
  <c r="U3774" i="1"/>
  <c r="U3766" i="1"/>
  <c r="U3758" i="1"/>
  <c r="U3745" i="1"/>
  <c r="U3737" i="1"/>
  <c r="U3724" i="1"/>
  <c r="U3711" i="1"/>
  <c r="U3703" i="1"/>
  <c r="U3695" i="1"/>
  <c r="U3687" i="1"/>
  <c r="U3679" i="1"/>
  <c r="U3671" i="1"/>
  <c r="U3663" i="1"/>
  <c r="U3655" i="1"/>
  <c r="U3647" i="1"/>
  <c r="U3613" i="1"/>
  <c r="U3589" i="1"/>
  <c r="U3565" i="1"/>
  <c r="U3549" i="1"/>
  <c r="U2096" i="1"/>
  <c r="U1968" i="1"/>
  <c r="U4765" i="1"/>
  <c r="U4757" i="1"/>
  <c r="U4749" i="1"/>
  <c r="U4741" i="1"/>
  <c r="U4733" i="1"/>
  <c r="U4725" i="1"/>
  <c r="U4709" i="1"/>
  <c r="U4640" i="1"/>
  <c r="U4614" i="1"/>
  <c r="U4590" i="1"/>
  <c r="U4582" i="1"/>
  <c r="U4551" i="1"/>
  <c r="U4522" i="1"/>
  <c r="U4514" i="1"/>
  <c r="U4506" i="1"/>
  <c r="U4501" i="1"/>
  <c r="U4469" i="1"/>
  <c r="U4461" i="1"/>
  <c r="U4458" i="1"/>
  <c r="U4437" i="1"/>
  <c r="U4429" i="1"/>
  <c r="U4405" i="1"/>
  <c r="U4397" i="1"/>
  <c r="U4389" i="1"/>
  <c r="U4368" i="1"/>
  <c r="U4326" i="1"/>
  <c r="U4292" i="1"/>
  <c r="U4276" i="1"/>
  <c r="U4203" i="1"/>
  <c r="U4200" i="1"/>
  <c r="U4161" i="1"/>
  <c r="U4112" i="1"/>
  <c r="U4083" i="1"/>
  <c r="U4080" i="1"/>
  <c r="U4030" i="1"/>
  <c r="U4009" i="1"/>
  <c r="U3972" i="1"/>
  <c r="U3969" i="1"/>
  <c r="U3898" i="1"/>
  <c r="U3890" i="1"/>
  <c r="U3885" i="1"/>
  <c r="U3875" i="1"/>
  <c r="U3872" i="1"/>
  <c r="U3867" i="1"/>
  <c r="U3864" i="1"/>
  <c r="U3859" i="1"/>
  <c r="U3856" i="1"/>
  <c r="U3851" i="1"/>
  <c r="U3848" i="1"/>
  <c r="U3843" i="1"/>
  <c r="U3840" i="1"/>
  <c r="U3835" i="1"/>
  <c r="U3832" i="1"/>
  <c r="U3827" i="1"/>
  <c r="U3824" i="1"/>
  <c r="U3819" i="1"/>
  <c r="U3816" i="1"/>
  <c r="U3811" i="1"/>
  <c r="U3808" i="1"/>
  <c r="U3803" i="1"/>
  <c r="U3800" i="1"/>
  <c r="U3795" i="1"/>
  <c r="U3763" i="1"/>
  <c r="U3742" i="1"/>
  <c r="U3729" i="1"/>
  <c r="U3721" i="1"/>
  <c r="U1841" i="1"/>
  <c r="U4168" i="1"/>
  <c r="U4064" i="1"/>
  <c r="U4039" i="1"/>
  <c r="U4029" i="1"/>
  <c r="U3959" i="1"/>
  <c r="U3918" i="1"/>
  <c r="U3617" i="1"/>
  <c r="U2122" i="1"/>
  <c r="U4913" i="1"/>
  <c r="U4900" i="1"/>
  <c r="U4879" i="1"/>
  <c r="U4871" i="1"/>
  <c r="U4863" i="1"/>
  <c r="U4855" i="1"/>
  <c r="U4847" i="1"/>
  <c r="U4839" i="1"/>
  <c r="U4831" i="1"/>
  <c r="U4823" i="1"/>
  <c r="U4815" i="1"/>
  <c r="U4807" i="1"/>
  <c r="U4799" i="1"/>
  <c r="U4791" i="1"/>
  <c r="U4783" i="1"/>
  <c r="U4775" i="1"/>
  <c r="U4767" i="1"/>
  <c r="U4759" i="1"/>
  <c r="U4751" i="1"/>
  <c r="U4743" i="1"/>
  <c r="U4735" i="1"/>
  <c r="U4727" i="1"/>
  <c r="U4695" i="1"/>
  <c r="U4679" i="1"/>
  <c r="U4666" i="1"/>
  <c r="U4650" i="1"/>
  <c r="U4634" i="1"/>
  <c r="U4621" i="1"/>
  <c r="U4545" i="1"/>
  <c r="U4524" i="1"/>
  <c r="U4508" i="1"/>
  <c r="U4495" i="1"/>
  <c r="U4471" i="1"/>
  <c r="U4463" i="1"/>
  <c r="U4362" i="1"/>
  <c r="U4357" i="1"/>
  <c r="U4341" i="1"/>
  <c r="U4330" i="1"/>
  <c r="U4312" i="1"/>
  <c r="U4299" i="1"/>
  <c r="U4296" i="1"/>
  <c r="U4257" i="1"/>
  <c r="U4171" i="1"/>
  <c r="U4106" i="1"/>
  <c r="U4090" i="1"/>
  <c r="U4085" i="1"/>
  <c r="U4067" i="1"/>
  <c r="U4041" i="1"/>
  <c r="U4004" i="1"/>
  <c r="U3994" i="1"/>
  <c r="U3991" i="1"/>
  <c r="U3974" i="1"/>
  <c r="U3961" i="1"/>
  <c r="U3902" i="1"/>
  <c r="U3900" i="1"/>
  <c r="U3892" i="1"/>
  <c r="U3874" i="1"/>
  <c r="U3866" i="1"/>
  <c r="U3858" i="1"/>
  <c r="U3850" i="1"/>
  <c r="U3842" i="1"/>
  <c r="U3837" i="1"/>
  <c r="U3834" i="1"/>
  <c r="U3829" i="1"/>
  <c r="U3826" i="1"/>
  <c r="U3821" i="1"/>
  <c r="U3818" i="1"/>
  <c r="U3813" i="1"/>
  <c r="U3810" i="1"/>
  <c r="U3805" i="1"/>
  <c r="U3802" i="1"/>
  <c r="U3797" i="1"/>
  <c r="U3789" i="1"/>
  <c r="U3773" i="1"/>
  <c r="U3757" i="1"/>
  <c r="U3744" i="1"/>
  <c r="U3736" i="1"/>
  <c r="U3731" i="1"/>
  <c r="U3710" i="1"/>
  <c r="U3694" i="1"/>
  <c r="U3612" i="1"/>
  <c r="U3561" i="1"/>
  <c r="U3548" i="1"/>
  <c r="U3540" i="1"/>
  <c r="U3532" i="1"/>
  <c r="U3524" i="1"/>
  <c r="U3516" i="1"/>
  <c r="U3508" i="1"/>
  <c r="U3500" i="1"/>
  <c r="U3476" i="1"/>
  <c r="U3468" i="1"/>
  <c r="U3460" i="1"/>
  <c r="U3452" i="1"/>
  <c r="U3444" i="1"/>
  <c r="U3420" i="1"/>
  <c r="U3412" i="1"/>
  <c r="U3226" i="1"/>
  <c r="U3218" i="1"/>
  <c r="U3210" i="1"/>
  <c r="U3202" i="1"/>
  <c r="U3154" i="1"/>
  <c r="U3120" i="1"/>
  <c r="U3080" i="1"/>
  <c r="U3072" i="1"/>
  <c r="U3054" i="1"/>
  <c r="U2998" i="1"/>
  <c r="U2990" i="1"/>
  <c r="U2948" i="1"/>
  <c r="U2935" i="1"/>
  <c r="U2871" i="1"/>
  <c r="U2775" i="1"/>
  <c r="U2762" i="1"/>
  <c r="U2680" i="1"/>
  <c r="U2672" i="1"/>
  <c r="U2664" i="1"/>
  <c r="U2624" i="1"/>
  <c r="U2616" i="1"/>
  <c r="U2584" i="1"/>
  <c r="U2578" i="1"/>
  <c r="U2562" i="1"/>
  <c r="U2560" i="1"/>
  <c r="U2552" i="1"/>
  <c r="U2536" i="1"/>
  <c r="U2443" i="1"/>
  <c r="U2435" i="1"/>
  <c r="U2427" i="1"/>
  <c r="U2419" i="1"/>
  <c r="U2411" i="1"/>
  <c r="U2403" i="1"/>
  <c r="U2366" i="1"/>
  <c r="U2345" i="1"/>
  <c r="U2316" i="1"/>
  <c r="U2308" i="1"/>
  <c r="U2292" i="1"/>
  <c r="U2260" i="1"/>
  <c r="U2244" i="1"/>
  <c r="U2196" i="1"/>
  <c r="U2180" i="1"/>
  <c r="U2159" i="1"/>
  <c r="U2143" i="1"/>
  <c r="U2117" i="1"/>
  <c r="U2104" i="1"/>
  <c r="U2086" i="1"/>
  <c r="U2078" i="1"/>
  <c r="U2070" i="1"/>
  <c r="U2049" i="1"/>
  <c r="U2036" i="1"/>
  <c r="U2026" i="1"/>
  <c r="U2018" i="1"/>
  <c r="U1992" i="1"/>
  <c r="U1984" i="1"/>
  <c r="U1976" i="1"/>
  <c r="U1963" i="1"/>
  <c r="U1960" i="1"/>
  <c r="U1950" i="1"/>
  <c r="U1942" i="1"/>
  <c r="U1934" i="1"/>
  <c r="U1926" i="1"/>
  <c r="U1898" i="1"/>
  <c r="U1890" i="1"/>
  <c r="U1872" i="1"/>
  <c r="U1867" i="1"/>
  <c r="U1862" i="1"/>
  <c r="U3601" i="1"/>
  <c r="U3593" i="1"/>
  <c r="U3585" i="1"/>
  <c r="U3577" i="1"/>
  <c r="U3553" i="1"/>
  <c r="U3433" i="1"/>
  <c r="U3425" i="1"/>
  <c r="U3422" i="1"/>
  <c r="U3388" i="1"/>
  <c r="U3380" i="1"/>
  <c r="U3356" i="1"/>
  <c r="U3348" i="1"/>
  <c r="U3324" i="1"/>
  <c r="U3316" i="1"/>
  <c r="U3300" i="1"/>
  <c r="U3276" i="1"/>
  <c r="U3233" i="1"/>
  <c r="U3194" i="1"/>
  <c r="U3186" i="1"/>
  <c r="U3178" i="1"/>
  <c r="U3125" i="1"/>
  <c r="U3085" i="1"/>
  <c r="U3066" i="1"/>
  <c r="U3059" i="1"/>
  <c r="U3043" i="1"/>
  <c r="U2995" i="1"/>
  <c r="U2788" i="1"/>
  <c r="U2711" i="1"/>
  <c r="U2637" i="1"/>
  <c r="U2605" i="1"/>
  <c r="U2525" i="1"/>
  <c r="U2517" i="1"/>
  <c r="U2509" i="1"/>
  <c r="U2501" i="1"/>
  <c r="U2493" i="1"/>
  <c r="U2485" i="1"/>
  <c r="U2480" i="1"/>
  <c r="U2472" i="1"/>
  <c r="U2456" i="1"/>
  <c r="U2448" i="1"/>
  <c r="U2432" i="1"/>
  <c r="U2416" i="1"/>
  <c r="U2386" i="1"/>
  <c r="U2368" i="1"/>
  <c r="U2318" i="1"/>
  <c r="U2313" i="1"/>
  <c r="U2310" i="1"/>
  <c r="U2281" i="1"/>
  <c r="U2217" i="1"/>
  <c r="U2209" i="1"/>
  <c r="U2185" i="1"/>
  <c r="U2156" i="1"/>
  <c r="U2140" i="1"/>
  <c r="U2132" i="1"/>
  <c r="U2114" i="1"/>
  <c r="U2091" i="1"/>
  <c r="U2088" i="1"/>
  <c r="U2075" i="1"/>
  <c r="U2062" i="1"/>
  <c r="U2054" i="1"/>
  <c r="U2002" i="1"/>
  <c r="U1947" i="1"/>
  <c r="U1931" i="1"/>
  <c r="U1918" i="1"/>
  <c r="U1905" i="1"/>
  <c r="U1892" i="1"/>
  <c r="U1882" i="1"/>
  <c r="U1793" i="1"/>
  <c r="U1777" i="1"/>
  <c r="U1761" i="1"/>
  <c r="U1697" i="1"/>
  <c r="U3214" i="1"/>
  <c r="U2634" i="1"/>
  <c r="U2532" i="1"/>
  <c r="U2059" i="1"/>
  <c r="U2046" i="1"/>
  <c r="U2033" i="1"/>
  <c r="U1994" i="1"/>
  <c r="U1986" i="1"/>
  <c r="U1980" i="1"/>
  <c r="U1970" i="1"/>
  <c r="U1944" i="1"/>
  <c r="U1936" i="1"/>
  <c r="U1928" i="1"/>
  <c r="U1915" i="1"/>
  <c r="U1910" i="1"/>
  <c r="U1874" i="1"/>
  <c r="U1822" i="1"/>
  <c r="U1790" i="1"/>
  <c r="U3611" i="1"/>
  <c r="U3595" i="1"/>
  <c r="U3581" i="1"/>
  <c r="U3579" i="1"/>
  <c r="U3563" i="1"/>
  <c r="U3555" i="1"/>
  <c r="U3547" i="1"/>
  <c r="U3539" i="1"/>
  <c r="U3531" i="1"/>
  <c r="U3523" i="1"/>
  <c r="U3515" i="1"/>
  <c r="U3507" i="1"/>
  <c r="U3499" i="1"/>
  <c r="U3491" i="1"/>
  <c r="U3483" i="1"/>
  <c r="U3475" i="1"/>
  <c r="U3467" i="1"/>
  <c r="U3459" i="1"/>
  <c r="U3451" i="1"/>
  <c r="U3310" i="1"/>
  <c r="U3294" i="1"/>
  <c r="U3264" i="1"/>
  <c r="U3246" i="1"/>
  <c r="U3156" i="1"/>
  <c r="U3150" i="1"/>
  <c r="U3140" i="1"/>
  <c r="U3127" i="1"/>
  <c r="U3111" i="1"/>
  <c r="U3058" i="1"/>
  <c r="U3005" i="1"/>
  <c r="U2976" i="1"/>
  <c r="U2934" i="1"/>
  <c r="U2838" i="1"/>
  <c r="U2806" i="1"/>
  <c r="U2798" i="1"/>
  <c r="U2615" i="1"/>
  <c r="U2543" i="1"/>
  <c r="U2535" i="1"/>
  <c r="U2516" i="1"/>
  <c r="U2511" i="1"/>
  <c r="U2503" i="1"/>
  <c r="U2466" i="1"/>
  <c r="U2458" i="1"/>
  <c r="U2442" i="1"/>
  <c r="U2381" i="1"/>
  <c r="U2331" i="1"/>
  <c r="U2315" i="1"/>
  <c r="U2307" i="1"/>
  <c r="U2235" i="1"/>
  <c r="U2227" i="1"/>
  <c r="U2203" i="1"/>
  <c r="U2195" i="1"/>
  <c r="U2158" i="1"/>
  <c r="U2126" i="1"/>
  <c r="U2103" i="1"/>
  <c r="U2100" i="1"/>
  <c r="U2043" i="1"/>
  <c r="U2038" i="1"/>
  <c r="U2017" i="1"/>
  <c r="U1988" i="1"/>
  <c r="U1962" i="1"/>
  <c r="U1954" i="1"/>
  <c r="U1889" i="1"/>
  <c r="U1876" i="1"/>
  <c r="U1868" i="1"/>
  <c r="U1866" i="1"/>
  <c r="U1853" i="1"/>
  <c r="U1845" i="1"/>
  <c r="U1795" i="1"/>
  <c r="U1779" i="1"/>
  <c r="U1763" i="1"/>
  <c r="U1755" i="1"/>
  <c r="U1739" i="1"/>
  <c r="U1694" i="1"/>
  <c r="U75" i="1"/>
  <c r="U1932" i="1"/>
  <c r="U3429" i="1"/>
  <c r="U3421" i="1"/>
  <c r="U3129" i="1"/>
  <c r="U3121" i="1"/>
  <c r="U3031" i="1"/>
  <c r="U2920" i="1"/>
  <c r="U2912" i="1"/>
  <c r="U2904" i="1"/>
  <c r="U2880" i="1"/>
  <c r="U2848" i="1"/>
  <c r="U2840" i="1"/>
  <c r="U2832" i="1"/>
  <c r="U2784" i="1"/>
  <c r="U2739" i="1"/>
  <c r="U2665" i="1"/>
  <c r="U2614" i="1"/>
  <c r="U2585" i="1"/>
  <c r="U2582" i="1"/>
  <c r="U2553" i="1"/>
  <c r="U2420" i="1"/>
  <c r="U2412" i="1"/>
  <c r="U2404" i="1"/>
  <c r="U2388" i="1"/>
  <c r="U2375" i="1"/>
  <c r="U2346" i="1"/>
  <c r="U2338" i="1"/>
  <c r="U2301" i="1"/>
  <c r="U2293" i="1"/>
  <c r="U2290" i="1"/>
  <c r="U2285" i="1"/>
  <c r="U2277" i="1"/>
  <c r="U2253" i="1"/>
  <c r="U2245" i="1"/>
  <c r="U2221" i="1"/>
  <c r="U2213" i="1"/>
  <c r="U2189" i="1"/>
  <c r="U2181" i="1"/>
  <c r="U2176" i="1"/>
  <c r="U2144" i="1"/>
  <c r="U2136" i="1"/>
  <c r="U2123" i="1"/>
  <c r="U2120" i="1"/>
  <c r="U2110" i="1"/>
  <c r="U2097" i="1"/>
  <c r="U2084" i="1"/>
  <c r="U2050" i="1"/>
  <c r="U2032" i="1"/>
  <c r="U2027" i="1"/>
  <c r="U2024" i="1"/>
  <c r="U1873" i="1"/>
  <c r="U1837" i="1"/>
  <c r="U1829" i="1"/>
  <c r="U1821" i="1"/>
  <c r="U1773" i="1"/>
  <c r="U1677" i="1"/>
  <c r="U3442" i="1"/>
  <c r="U3434" i="1"/>
  <c r="U3426" i="1"/>
  <c r="U3397" i="1"/>
  <c r="U3389" i="1"/>
  <c r="U3365" i="1"/>
  <c r="U3357" i="1"/>
  <c r="U3333" i="1"/>
  <c r="U3330" i="1"/>
  <c r="U3325" i="1"/>
  <c r="U3309" i="1"/>
  <c r="U3301" i="1"/>
  <c r="U3285" i="1"/>
  <c r="U3282" i="1"/>
  <c r="U3261" i="1"/>
  <c r="U3136" i="1"/>
  <c r="U3134" i="1"/>
  <c r="U3110" i="1"/>
  <c r="U3102" i="1"/>
  <c r="U3086" i="1"/>
  <c r="U3044" i="1"/>
  <c r="U2941" i="1"/>
  <c r="U2925" i="1"/>
  <c r="U2845" i="1"/>
  <c r="U2752" i="1"/>
  <c r="U2744" i="1"/>
  <c r="U2720" i="1"/>
  <c r="U2678" i="1"/>
  <c r="U2662" i="1"/>
  <c r="U2646" i="1"/>
  <c r="U2526" i="1"/>
  <c r="U2512" i="1"/>
  <c r="U2510" i="1"/>
  <c r="U2473" i="1"/>
  <c r="U2457" i="1"/>
  <c r="U2454" i="1"/>
  <c r="U2385" i="1"/>
  <c r="U2351" i="1"/>
  <c r="U2330" i="1"/>
  <c r="U2322" i="1"/>
  <c r="U2306" i="1"/>
  <c r="U2266" i="1"/>
  <c r="U2234" i="1"/>
  <c r="U2186" i="1"/>
  <c r="U2165" i="1"/>
  <c r="U2112" i="1"/>
  <c r="U2102" i="1"/>
  <c r="U2016" i="1"/>
  <c r="U2011" i="1"/>
  <c r="U1998" i="1"/>
  <c r="U1990" i="1"/>
  <c r="U1982" i="1"/>
  <c r="U1974" i="1"/>
  <c r="U1953" i="1"/>
  <c r="U1906" i="1"/>
  <c r="U1896" i="1"/>
  <c r="U1883" i="1"/>
  <c r="U1878" i="1"/>
  <c r="U1857" i="1"/>
  <c r="U1839" i="1"/>
  <c r="U1823" i="1"/>
  <c r="U1709" i="1"/>
  <c r="U1701" i="1"/>
  <c r="U1693" i="1"/>
  <c r="U1744" i="1"/>
  <c r="U1699" i="1"/>
  <c r="U1649" i="1"/>
  <c r="U1581" i="1"/>
  <c r="U1573" i="1"/>
  <c r="U1549" i="1"/>
  <c r="U1523" i="1"/>
  <c r="U1478" i="1"/>
  <c r="U1399" i="1"/>
  <c r="U1375" i="1"/>
  <c r="U1359" i="1"/>
  <c r="U1338" i="1"/>
  <c r="U1327" i="1"/>
  <c r="U1314" i="1"/>
  <c r="U1306" i="1"/>
  <c r="U1277" i="1"/>
  <c r="U1235" i="1"/>
  <c r="U1227" i="1"/>
  <c r="U1219" i="1"/>
  <c r="U1211" i="1"/>
  <c r="U1203" i="1"/>
  <c r="U1174" i="1"/>
  <c r="U1166" i="1"/>
  <c r="U1150" i="1"/>
  <c r="U1142" i="1"/>
  <c r="U1006" i="1"/>
  <c r="U961" i="1"/>
  <c r="U929" i="1"/>
  <c r="U924" i="1"/>
  <c r="U884" i="1"/>
  <c r="U876" i="1"/>
  <c r="U868" i="1"/>
  <c r="U860" i="1"/>
  <c r="U852" i="1"/>
  <c r="U844" i="1"/>
  <c r="U836" i="1"/>
  <c r="U818" i="1"/>
  <c r="U810" i="1"/>
  <c r="U802" i="1"/>
  <c r="U789" i="1"/>
  <c r="U779" i="1"/>
  <c r="U750" i="1"/>
  <c r="U724" i="1"/>
  <c r="U708" i="1"/>
  <c r="U700" i="1"/>
  <c r="U666" i="1"/>
  <c r="U525" i="1"/>
  <c r="U477" i="1"/>
  <c r="U469" i="1"/>
  <c r="U461" i="1"/>
  <c r="U453" i="1"/>
  <c r="U445" i="1"/>
  <c r="U429" i="1"/>
  <c r="U397" i="1"/>
  <c r="U381" i="1"/>
  <c r="U365" i="1"/>
  <c r="U357" i="1"/>
  <c r="U352" i="1"/>
  <c r="U297" i="1"/>
  <c r="U281" i="1"/>
  <c r="U262" i="1"/>
  <c r="U220" i="1"/>
  <c r="U204" i="1"/>
  <c r="U175" i="1"/>
  <c r="U146" i="1"/>
  <c r="U130" i="1"/>
  <c r="U88" i="1"/>
  <c r="U44" i="1"/>
  <c r="U1662" i="1"/>
  <c r="U1507" i="1"/>
  <c r="U1499" i="1"/>
  <c r="U1485" i="1"/>
  <c r="U1483" i="1"/>
  <c r="U1459" i="1"/>
  <c r="U1454" i="1"/>
  <c r="U1449" i="1"/>
  <c r="U1404" i="1"/>
  <c r="U1396" i="1"/>
  <c r="U1385" i="1"/>
  <c r="U1364" i="1"/>
  <c r="U1311" i="1"/>
  <c r="U1261" i="1"/>
  <c r="U1245" i="1"/>
  <c r="U1035" i="1"/>
  <c r="U1027" i="1"/>
  <c r="U1019" i="1"/>
  <c r="U1011" i="1"/>
  <c r="U987" i="1"/>
  <c r="U979" i="1"/>
  <c r="U958" i="1"/>
  <c r="U934" i="1"/>
  <c r="U913" i="1"/>
  <c r="U905" i="1"/>
  <c r="U897" i="1"/>
  <c r="U889" i="1"/>
  <c r="U823" i="1"/>
  <c r="U807" i="1"/>
  <c r="U760" i="1"/>
  <c r="U739" i="1"/>
  <c r="U734" i="1"/>
  <c r="U721" i="1"/>
  <c r="U692" i="1"/>
  <c r="U676" i="1"/>
  <c r="U538" i="1"/>
  <c r="U514" i="1"/>
  <c r="U482" i="1"/>
  <c r="U474" i="1"/>
  <c r="U418" i="1"/>
  <c r="U402" i="1"/>
  <c r="U394" i="1"/>
  <c r="U378" i="1"/>
  <c r="U367" i="1"/>
  <c r="U349" i="1"/>
  <c r="U341" i="1"/>
  <c r="U336" i="1"/>
  <c r="U310" i="1"/>
  <c r="U302" i="1"/>
  <c r="U294" i="1"/>
  <c r="U286" i="1"/>
  <c r="U278" i="1"/>
  <c r="U233" i="1"/>
  <c r="U196" i="1"/>
  <c r="U188" i="1"/>
  <c r="U180" i="1"/>
  <c r="U156" i="1"/>
  <c r="U98" i="1"/>
  <c r="U85" i="1"/>
  <c r="U67" i="1"/>
  <c r="U39" i="1"/>
  <c r="U31" i="1"/>
  <c r="U21" i="1"/>
  <c r="U1345" i="1"/>
  <c r="U1332" i="1"/>
  <c r="U1292" i="1"/>
  <c r="U1279" i="1"/>
  <c r="U1229" i="1"/>
  <c r="U1213" i="1"/>
  <c r="U1176" i="1"/>
  <c r="U1160" i="1"/>
  <c r="U1144" i="1"/>
  <c r="U399" i="1"/>
  <c r="U145" i="1"/>
  <c r="U140" i="1"/>
  <c r="U132" i="1"/>
  <c r="U82" i="1"/>
  <c r="U59" i="1"/>
  <c r="U51" i="1"/>
  <c r="U28" i="1"/>
  <c r="U1635" i="1"/>
  <c r="U1619" i="1"/>
  <c r="U1569" i="1"/>
  <c r="U1559" i="1"/>
  <c r="U1543" i="1"/>
  <c r="U1469" i="1"/>
  <c r="U1461" i="1"/>
  <c r="U1443" i="1"/>
  <c r="U1414" i="1"/>
  <c r="U1406" i="1"/>
  <c r="U1390" i="1"/>
  <c r="U1382" i="1"/>
  <c r="U1366" i="1"/>
  <c r="U1313" i="1"/>
  <c r="U1297" i="1"/>
  <c r="U1247" i="1"/>
  <c r="U1239" i="1"/>
  <c r="U1125" i="1"/>
  <c r="U1117" i="1"/>
  <c r="U1109" i="1"/>
  <c r="U1101" i="1"/>
  <c r="U1093" i="1"/>
  <c r="U1085" i="1"/>
  <c r="U1077" i="1"/>
  <c r="U1069" i="1"/>
  <c r="U1061" i="1"/>
  <c r="U1053" i="1"/>
  <c r="U1045" i="1"/>
  <c r="U1023" i="1"/>
  <c r="U923" i="1"/>
  <c r="U915" i="1"/>
  <c r="U872" i="1"/>
  <c r="U770" i="1"/>
  <c r="U762" i="1"/>
  <c r="U741" i="1"/>
  <c r="U736" i="1"/>
  <c r="U728" i="1"/>
  <c r="U707" i="1"/>
  <c r="U686" i="1"/>
  <c r="U657" i="1"/>
  <c r="U633" i="1"/>
  <c r="U617" i="1"/>
  <c r="U609" i="1"/>
  <c r="U524" i="1"/>
  <c r="U516" i="1"/>
  <c r="U508" i="1"/>
  <c r="U492" i="1"/>
  <c r="U460" i="1"/>
  <c r="U452" i="1"/>
  <c r="U436" i="1"/>
  <c r="U404" i="1"/>
  <c r="U343" i="1"/>
  <c r="U304" i="1"/>
  <c r="U282" i="1"/>
  <c r="U248" i="1"/>
  <c r="U232" i="1"/>
  <c r="U206" i="1"/>
  <c r="U137" i="1"/>
  <c r="U129" i="1"/>
  <c r="U113" i="1"/>
  <c r="U108" i="1"/>
  <c r="U100" i="1"/>
  <c r="U79" i="1"/>
  <c r="U69" i="1"/>
  <c r="U23" i="1"/>
  <c r="U1627" i="1"/>
  <c r="U1613" i="1"/>
  <c r="U1419" i="1"/>
  <c r="U1403" i="1"/>
  <c r="U1395" i="1"/>
  <c r="U1387" i="1"/>
  <c r="U1363" i="1"/>
  <c r="U1355" i="1"/>
  <c r="U1347" i="1"/>
  <c r="U1342" i="1"/>
  <c r="U1326" i="1"/>
  <c r="U1315" i="1"/>
  <c r="U1302" i="1"/>
  <c r="U1281" i="1"/>
  <c r="U1260" i="1"/>
  <c r="U1225" i="1"/>
  <c r="U1215" i="1"/>
  <c r="U1212" i="1"/>
  <c r="U1162" i="1"/>
  <c r="U1148" i="1"/>
  <c r="U975" i="1"/>
  <c r="U973" i="1"/>
  <c r="U949" i="1"/>
  <c r="U933" i="1"/>
  <c r="U880" i="1"/>
  <c r="U864" i="1"/>
  <c r="U858" i="1"/>
  <c r="U848" i="1"/>
  <c r="U832" i="1"/>
  <c r="U814" i="1"/>
  <c r="U798" i="1"/>
  <c r="U793" i="1"/>
  <c r="U783" i="1"/>
  <c r="U767" i="1"/>
  <c r="U759" i="1"/>
  <c r="U746" i="1"/>
  <c r="U733" i="1"/>
  <c r="U720" i="1"/>
  <c r="U704" i="1"/>
  <c r="U696" i="1"/>
  <c r="U675" i="1"/>
  <c r="U670" i="1"/>
  <c r="U662" i="1"/>
  <c r="U654" i="1"/>
  <c r="U630" i="1"/>
  <c r="U619" i="1"/>
  <c r="U569" i="1"/>
  <c r="U561" i="1"/>
  <c r="U553" i="1"/>
  <c r="U545" i="1"/>
  <c r="U505" i="1"/>
  <c r="U497" i="1"/>
  <c r="U489" i="1"/>
  <c r="U481" i="1"/>
  <c r="U473" i="1"/>
  <c r="U457" i="1"/>
  <c r="U441" i="1"/>
  <c r="U409" i="1"/>
  <c r="U401" i="1"/>
  <c r="U393" i="1"/>
  <c r="U385" i="1"/>
  <c r="U363" i="1"/>
  <c r="U361" i="1"/>
  <c r="U324" i="1"/>
  <c r="U322" i="1"/>
  <c r="U250" i="1"/>
  <c r="U216" i="1"/>
  <c r="U195" i="1"/>
  <c r="U187" i="1"/>
  <c r="U179" i="1"/>
  <c r="U142" i="1"/>
  <c r="U126" i="1"/>
  <c r="U118" i="1"/>
  <c r="U105" i="1"/>
  <c r="U97" i="1"/>
  <c r="U76" i="1"/>
  <c r="U53" i="1"/>
  <c r="U1317" i="1"/>
  <c r="U1283" i="1"/>
  <c r="U347" i="1"/>
  <c r="U300" i="1"/>
  <c r="U81" i="1"/>
  <c r="U71" i="1"/>
  <c r="U35" i="1"/>
  <c r="U1597" i="1"/>
  <c r="U1589" i="1"/>
  <c r="U1529" i="1"/>
  <c r="U1476" i="1"/>
  <c r="U1468" i="1"/>
  <c r="U1434" i="1"/>
  <c r="U1397" i="1"/>
  <c r="U1391" i="1"/>
  <c r="U1381" i="1"/>
  <c r="U1365" i="1"/>
  <c r="U1357" i="1"/>
  <c r="U1320" i="1"/>
  <c r="U1251" i="1"/>
  <c r="U1190" i="1"/>
  <c r="U1182" i="1"/>
  <c r="U1164" i="1"/>
  <c r="U1132" i="1"/>
  <c r="U959" i="1"/>
  <c r="U943" i="1"/>
  <c r="U882" i="1"/>
  <c r="U866" i="1"/>
  <c r="U850" i="1"/>
  <c r="U842" i="1"/>
  <c r="U834" i="1"/>
  <c r="U816" i="1"/>
  <c r="U800" i="1"/>
  <c r="U785" i="1"/>
  <c r="U777" i="1"/>
  <c r="U756" i="1"/>
  <c r="U740" i="1"/>
  <c r="U706" i="1"/>
  <c r="U698" i="1"/>
  <c r="U677" i="1"/>
  <c r="U672" i="1"/>
  <c r="U664" i="1"/>
  <c r="U656" i="1"/>
  <c r="U579" i="1"/>
  <c r="U571" i="1"/>
  <c r="U563" i="1"/>
  <c r="U555" i="1"/>
  <c r="U539" i="1"/>
  <c r="U523" i="1"/>
  <c r="U515" i="1"/>
  <c r="U475" i="1"/>
  <c r="U443" i="1"/>
  <c r="U435" i="1"/>
  <c r="U427" i="1"/>
  <c r="U419" i="1"/>
  <c r="U411" i="1"/>
  <c r="U395" i="1"/>
  <c r="U387" i="1"/>
  <c r="U379" i="1"/>
  <c r="U342" i="1"/>
  <c r="U337" i="1"/>
  <c r="U303" i="1"/>
  <c r="U279" i="1"/>
  <c r="U205" i="1"/>
  <c r="U159" i="1"/>
  <c r="U125" i="1"/>
  <c r="U120" i="1"/>
  <c r="U107" i="1"/>
  <c r="U86" i="1"/>
  <c r="U55" i="1"/>
  <c r="U7800" i="1"/>
  <c r="U7852" i="1"/>
  <c r="U7836" i="1"/>
  <c r="U7754" i="1"/>
  <c r="U7718" i="1"/>
  <c r="U7702" i="1"/>
  <c r="U7686" i="1"/>
  <c r="U7664" i="1"/>
  <c r="U7708" i="1"/>
  <c r="U7692" i="1"/>
  <c r="U7676" i="1"/>
  <c r="U7786" i="1"/>
  <c r="U7710" i="1"/>
  <c r="U7694" i="1"/>
  <c r="U7678" i="1"/>
  <c r="U7752" i="1"/>
  <c r="U7716" i="1"/>
  <c r="U7700" i="1"/>
  <c r="U7684" i="1"/>
  <c r="U7660" i="1"/>
  <c r="U7119" i="1"/>
  <c r="U7111" i="1"/>
  <c r="U7055" i="1"/>
  <c r="U6991" i="1"/>
  <c r="U6927" i="1"/>
  <c r="U6863" i="1"/>
  <c r="U6799" i="1"/>
  <c r="U6717" i="1"/>
  <c r="U6686" i="1"/>
  <c r="U6655" i="1"/>
  <c r="U6557" i="1"/>
  <c r="U6410" i="1"/>
  <c r="U6330" i="1"/>
  <c r="U6014" i="1"/>
  <c r="U5950" i="1"/>
  <c r="U5874" i="1"/>
  <c r="U5864" i="1"/>
  <c r="U5846" i="1"/>
  <c r="U5441" i="1"/>
  <c r="U5237" i="1"/>
  <c r="U5183" i="1"/>
  <c r="U5053" i="1"/>
  <c r="U4957" i="1"/>
  <c r="U4893" i="1"/>
  <c r="U4682" i="1"/>
  <c r="U4396" i="1"/>
  <c r="U4328" i="1"/>
  <c r="U4037" i="1"/>
  <c r="U4021" i="1"/>
  <c r="U4005" i="1"/>
  <c r="U3989" i="1"/>
  <c r="U3973" i="1"/>
  <c r="U3957" i="1"/>
  <c r="U3950" i="1"/>
  <c r="U3880" i="1"/>
  <c r="U7103" i="1"/>
  <c r="U7039" i="1"/>
  <c r="U6975" i="1"/>
  <c r="U6967" i="1"/>
  <c r="U6911" i="1"/>
  <c r="U6847" i="1"/>
  <c r="U6775" i="1"/>
  <c r="U6729" i="1"/>
  <c r="U6719" i="1"/>
  <c r="U6582" i="1"/>
  <c r="U6559" i="1"/>
  <c r="U6268" i="1"/>
  <c r="U6220" i="1"/>
  <c r="U6154" i="1"/>
  <c r="U6122" i="1"/>
  <c r="U6074" i="1"/>
  <c r="U5151" i="1"/>
  <c r="U5047" i="1"/>
  <c r="U4941" i="1"/>
  <c r="U4877" i="1"/>
  <c r="U4460" i="1"/>
  <c r="U4340" i="1"/>
  <c r="U6623" i="1"/>
  <c r="U6556" i="1"/>
  <c r="U6553" i="1"/>
  <c r="U6528" i="1"/>
  <c r="U6518" i="1"/>
  <c r="U6382" i="1"/>
  <c r="U5359" i="1"/>
  <c r="U5325" i="1"/>
  <c r="U5269" i="1"/>
  <c r="U5021" i="1"/>
  <c r="U4616" i="1"/>
  <c r="U4600" i="1"/>
  <c r="U4468" i="1"/>
  <c r="U4043" i="1"/>
  <c r="U4027" i="1"/>
  <c r="U4011" i="1"/>
  <c r="U3995" i="1"/>
  <c r="U3979" i="1"/>
  <c r="U3963" i="1"/>
  <c r="U3934" i="1"/>
  <c r="U7087" i="1"/>
  <c r="U7079" i="1"/>
  <c r="U7023" i="1"/>
  <c r="U6895" i="1"/>
  <c r="U6831" i="1"/>
  <c r="U6695" i="1"/>
  <c r="U6620" i="1"/>
  <c r="U6617" i="1"/>
  <c r="U6543" i="1"/>
  <c r="U5920" i="1"/>
  <c r="U5912" i="1"/>
  <c r="U5842" i="1"/>
  <c r="U5005" i="1"/>
  <c r="U4925" i="1"/>
  <c r="U4861" i="1"/>
  <c r="U4712" i="1"/>
  <c r="U4652" i="1"/>
  <c r="U4045" i="1"/>
  <c r="U3981" i="1"/>
  <c r="U3965" i="1"/>
  <c r="U3944" i="1"/>
  <c r="U3886" i="1"/>
  <c r="U6687" i="1"/>
  <c r="U6599" i="1"/>
  <c r="U6576" i="1"/>
  <c r="U6254" i="1"/>
  <c r="U6214" i="1"/>
  <c r="U6012" i="1"/>
  <c r="U5930" i="1"/>
  <c r="U5309" i="1"/>
  <c r="U5111" i="1"/>
  <c r="U4989" i="1"/>
  <c r="U4047" i="1"/>
  <c r="U4031" i="1"/>
  <c r="U4015" i="1"/>
  <c r="U3999" i="1"/>
  <c r="U3983" i="1"/>
  <c r="U3967" i="1"/>
  <c r="U3764" i="1"/>
  <c r="U7131" i="1"/>
  <c r="U7007" i="1"/>
  <c r="U6999" i="1"/>
  <c r="U6943" i="1"/>
  <c r="U6879" i="1"/>
  <c r="U6815" i="1"/>
  <c r="U6681" i="1"/>
  <c r="U6550" i="1"/>
  <c r="U6527" i="1"/>
  <c r="U6142" i="1"/>
  <c r="U6046" i="1"/>
  <c r="U5898" i="1"/>
  <c r="U5880" i="1"/>
  <c r="U5862" i="1"/>
  <c r="U5423" i="1"/>
  <c r="U5245" i="1"/>
  <c r="U5085" i="1"/>
  <c r="U4999" i="1"/>
  <c r="U4973" i="1"/>
  <c r="U4909" i="1"/>
  <c r="U4845" i="1"/>
  <c r="U4568" i="1"/>
  <c r="U4049" i="1"/>
  <c r="U4033" i="1"/>
  <c r="U4017" i="1"/>
  <c r="U4001" i="1"/>
  <c r="U3985" i="1"/>
  <c r="U7318" i="1"/>
  <c r="U7308" i="1"/>
  <c r="U7009" i="1"/>
  <c r="U6663" i="1"/>
  <c r="U6640" i="1"/>
  <c r="U6614" i="1"/>
  <c r="U6588" i="1"/>
  <c r="U6585" i="1"/>
  <c r="U6519" i="1"/>
  <c r="U6458" i="1"/>
  <c r="U5433" i="1"/>
  <c r="U5301" i="1"/>
  <c r="U5293" i="1"/>
  <c r="U5191" i="1"/>
  <c r="U5069" i="1"/>
  <c r="U4983" i="1"/>
  <c r="U4648" i="1"/>
  <c r="U4051" i="1"/>
  <c r="U4035" i="1"/>
  <c r="U4019" i="1"/>
  <c r="U4003" i="1"/>
  <c r="U3987" i="1"/>
  <c r="U3971" i="1"/>
  <c r="U3955" i="1"/>
  <c r="U3928" i="1"/>
  <c r="U3820" i="1"/>
  <c r="U3812" i="1"/>
  <c r="U3804" i="1"/>
  <c r="U3796" i="1"/>
  <c r="U3780" i="1"/>
  <c r="U3762" i="1"/>
  <c r="U3633" i="1"/>
  <c r="U3242" i="1"/>
  <c r="U3213" i="1"/>
  <c r="U3195" i="1"/>
  <c r="U3153" i="1"/>
  <c r="U3145" i="1"/>
  <c r="U3046" i="1"/>
  <c r="U3030" i="1"/>
  <c r="U2790" i="1"/>
  <c r="U2630" i="1"/>
  <c r="U2498" i="1"/>
  <c r="U2224" i="1"/>
  <c r="U2192" i="1"/>
  <c r="U2052" i="1"/>
  <c r="U2004" i="1"/>
  <c r="U1956" i="1"/>
  <c r="U1759" i="1"/>
  <c r="U1727" i="1"/>
  <c r="U1599" i="1"/>
  <c r="U1473" i="1"/>
  <c r="U1421" i="1"/>
  <c r="U1405" i="1"/>
  <c r="U1377" i="1"/>
  <c r="U1255" i="1"/>
  <c r="U1224" i="1"/>
  <c r="U1216" i="1"/>
  <c r="U1138" i="1"/>
  <c r="U1130" i="1"/>
  <c r="U1122" i="1"/>
  <c r="U1114" i="1"/>
  <c r="U1106" i="1"/>
  <c r="U1098" i="1"/>
  <c r="U1090" i="1"/>
  <c r="U1082" i="1"/>
  <c r="U1074" i="1"/>
  <c r="U1066" i="1"/>
  <c r="U1058" i="1"/>
  <c r="U1050" i="1"/>
  <c r="U894" i="1"/>
  <c r="U886" i="1"/>
  <c r="U824" i="1"/>
  <c r="U754" i="1"/>
  <c r="U710" i="1"/>
  <c r="U690" i="1"/>
  <c r="U646" i="1"/>
  <c r="U559" i="1"/>
  <c r="U511" i="1"/>
  <c r="U495" i="1"/>
  <c r="U377" i="1"/>
  <c r="U351" i="1"/>
  <c r="U3244" i="1"/>
  <c r="U2932" i="1"/>
  <c r="U2900" i="1"/>
  <c r="U2044" i="1"/>
  <c r="U1996" i="1"/>
  <c r="U1948" i="1"/>
  <c r="U1379" i="1"/>
  <c r="U1257" i="1"/>
  <c r="U3822" i="1"/>
  <c r="U3814" i="1"/>
  <c r="U3806" i="1"/>
  <c r="U3798" i="1"/>
  <c r="U3748" i="1"/>
  <c r="U3730" i="1"/>
  <c r="U3643" i="1"/>
  <c r="U3627" i="1"/>
  <c r="U3390" i="1"/>
  <c r="U3358" i="1"/>
  <c r="U3278" i="1"/>
  <c r="U3223" i="1"/>
  <c r="U3220" i="1"/>
  <c r="U3197" i="1"/>
  <c r="U3181" i="1"/>
  <c r="U2966" i="1"/>
  <c r="U2692" i="1"/>
  <c r="U2640" i="1"/>
  <c r="U2550" i="1"/>
  <c r="U2434" i="1"/>
  <c r="U2384" i="1"/>
  <c r="U2342" i="1"/>
  <c r="U2334" i="1"/>
  <c r="U2242" i="1"/>
  <c r="U2210" i="1"/>
  <c r="U1900" i="1"/>
  <c r="U1805" i="1"/>
  <c r="U1711" i="1"/>
  <c r="U1695" i="1"/>
  <c r="U1583" i="1"/>
  <c r="U1567" i="1"/>
  <c r="U1491" i="1"/>
  <c r="U1441" i="1"/>
  <c r="U1335" i="1"/>
  <c r="U1241" i="1"/>
  <c r="U1208" i="1"/>
  <c r="U1200" i="1"/>
  <c r="U1158" i="1"/>
  <c r="U1140" i="1"/>
  <c r="U808" i="1"/>
  <c r="U702" i="1"/>
  <c r="U537" i="1"/>
  <c r="U521" i="1"/>
  <c r="U335" i="1"/>
  <c r="U296" i="1"/>
  <c r="U214" i="1"/>
  <c r="U1223" i="1"/>
  <c r="U423" i="1"/>
  <c r="U1078" i="1"/>
  <c r="U1070" i="1"/>
  <c r="U1062" i="1"/>
  <c r="U1054" i="1"/>
  <c r="U874" i="1"/>
  <c r="U742" i="1"/>
  <c r="U678" i="1"/>
  <c r="U491" i="1"/>
  <c r="U425" i="1"/>
  <c r="U234" i="1"/>
  <c r="U161" i="1"/>
  <c r="U65" i="1"/>
  <c r="U3551" i="1"/>
  <c r="U3386" i="1"/>
  <c r="U3354" i="1"/>
  <c r="U2854" i="1"/>
  <c r="U2478" i="1"/>
  <c r="U2470" i="1"/>
  <c r="U2020" i="1"/>
  <c r="U1884" i="1"/>
  <c r="U1825" i="1"/>
  <c r="U1741" i="1"/>
  <c r="U1339" i="1"/>
  <c r="U1321" i="1"/>
  <c r="U1305" i="1"/>
  <c r="U1287" i="1"/>
  <c r="U1230" i="1"/>
  <c r="U623" i="1"/>
  <c r="U607" i="1"/>
  <c r="U459" i="1"/>
  <c r="U3794" i="1"/>
  <c r="U3394" i="1"/>
  <c r="U3362" i="1"/>
  <c r="U3322" i="1"/>
  <c r="U3298" i="1"/>
  <c r="U3258" i="1"/>
  <c r="U3240" i="1"/>
  <c r="U3219" i="1"/>
  <c r="U3198" i="1"/>
  <c r="U3185" i="1"/>
  <c r="U3182" i="1"/>
  <c r="U3167" i="1"/>
  <c r="U3143" i="1"/>
  <c r="U2996" i="1"/>
  <c r="U2612" i="1"/>
  <c r="U2446" i="1"/>
  <c r="U2438" i="1"/>
  <c r="U2214" i="1"/>
  <c r="U2206" i="1"/>
  <c r="U2190" i="1"/>
  <c r="U2068" i="1"/>
  <c r="U2012" i="1"/>
  <c r="U1972" i="1"/>
  <c r="U1924" i="1"/>
  <c r="U1683" i="1"/>
  <c r="U1555" i="1"/>
  <c r="U1503" i="1"/>
  <c r="U1471" i="1"/>
  <c r="U1411" i="1"/>
  <c r="U1367" i="1"/>
  <c r="U1289" i="1"/>
  <c r="U1271" i="1"/>
  <c r="U1204" i="1"/>
  <c r="U1170" i="1"/>
  <c r="U1136" i="1"/>
  <c r="U1128" i="1"/>
  <c r="U1120" i="1"/>
  <c r="U1112" i="1"/>
  <c r="U1104" i="1"/>
  <c r="U1096" i="1"/>
  <c r="U1088" i="1"/>
  <c r="U1080" i="1"/>
  <c r="U1072" i="1"/>
  <c r="U1064" i="1"/>
  <c r="U1056" i="1"/>
  <c r="U1003" i="1"/>
  <c r="U326" i="1"/>
  <c r="U284" i="1"/>
  <c r="U268" i="1"/>
  <c r="U155" i="1"/>
  <c r="U77" i="1"/>
  <c r="U57" i="1"/>
  <c r="U49" i="1"/>
  <c r="U29" i="1"/>
  <c r="U3778" i="1"/>
  <c r="U3597" i="1"/>
  <c r="U3234" i="1"/>
  <c r="U3190" i="1"/>
  <c r="U3135" i="1"/>
  <c r="U2822" i="1"/>
  <c r="U2738" i="1"/>
  <c r="U2596" i="1"/>
  <c r="U2464" i="1"/>
  <c r="U2134" i="1"/>
  <c r="U2060" i="1"/>
  <c r="U1964" i="1"/>
  <c r="U1916" i="1"/>
  <c r="U1811" i="1"/>
  <c r="U1505" i="1"/>
  <c r="U1299" i="1"/>
  <c r="U1273" i="1"/>
  <c r="U575" i="1"/>
  <c r="U535" i="1"/>
  <c r="U471" i="1"/>
  <c r="U252" i="1"/>
  <c r="U236" i="1"/>
  <c r="U7851" i="1"/>
  <c r="U7835" i="1"/>
  <c r="U7819" i="1"/>
  <c r="U7799" i="1"/>
  <c r="U7783" i="1"/>
  <c r="U7767" i="1"/>
  <c r="U7751" i="1"/>
  <c r="U7735" i="1"/>
  <c r="U7296" i="1"/>
  <c r="U7288" i="1"/>
  <c r="U7280" i="1"/>
  <c r="U7272" i="1"/>
  <c r="U7821" i="1"/>
  <c r="U7801" i="1"/>
  <c r="U7319" i="1"/>
  <c r="U7303" i="1"/>
  <c r="U7293" i="1"/>
  <c r="U7285" i="1"/>
  <c r="U7277" i="1"/>
  <c r="U7269" i="1"/>
  <c r="U7261" i="1"/>
  <c r="U7253" i="1"/>
  <c r="U7245" i="1"/>
  <c r="U7237" i="1"/>
  <c r="U7229" i="1"/>
  <c r="U7221" i="1"/>
  <c r="U7213" i="1"/>
  <c r="U7205" i="1"/>
  <c r="U7197" i="1"/>
  <c r="U7189" i="1"/>
  <c r="U7181" i="1"/>
  <c r="U7173" i="1"/>
  <c r="U7165" i="1"/>
  <c r="U7157" i="1"/>
  <c r="U7145" i="1"/>
  <c r="U7089" i="1"/>
  <c r="U6961" i="1"/>
  <c r="U6897" i="1"/>
  <c r="U6833" i="1"/>
  <c r="U6769" i="1"/>
  <c r="U7837" i="1"/>
  <c r="U7839" i="1"/>
  <c r="U7823" i="1"/>
  <c r="U7803" i="1"/>
  <c r="U7787" i="1"/>
  <c r="U7771" i="1"/>
  <c r="U7755" i="1"/>
  <c r="U7739" i="1"/>
  <c r="U7719" i="1"/>
  <c r="U7298" i="1"/>
  <c r="U7290" i="1"/>
  <c r="U7282" i="1"/>
  <c r="U7274" i="1"/>
  <c r="U7841" i="1"/>
  <c r="U7825" i="1"/>
  <c r="U7807" i="1"/>
  <c r="U7789" i="1"/>
  <c r="U7773" i="1"/>
  <c r="U7757" i="1"/>
  <c r="U7741" i="1"/>
  <c r="U7725" i="1"/>
  <c r="U7307" i="1"/>
  <c r="U7295" i="1"/>
  <c r="U7287" i="1"/>
  <c r="U7279" i="1"/>
  <c r="U7271" i="1"/>
  <c r="U7263" i="1"/>
  <c r="U7255" i="1"/>
  <c r="U7247" i="1"/>
  <c r="U7239" i="1"/>
  <c r="U7231" i="1"/>
  <c r="U7223" i="1"/>
  <c r="U7215" i="1"/>
  <c r="U7207" i="1"/>
  <c r="U7199" i="1"/>
  <c r="U7191" i="1"/>
  <c r="U7183" i="1"/>
  <c r="U7175" i="1"/>
  <c r="U7167" i="1"/>
  <c r="U7159" i="1"/>
  <c r="U7149" i="1"/>
  <c r="U7133" i="1"/>
  <c r="U7073" i="1"/>
  <c r="U6945" i="1"/>
  <c r="U6881" i="1"/>
  <c r="U6817" i="1"/>
  <c r="U7843" i="1"/>
  <c r="U7827" i="1"/>
  <c r="U7292" i="1"/>
  <c r="U7284" i="1"/>
  <c r="U7276" i="1"/>
  <c r="U7769" i="1"/>
  <c r="U7813" i="1"/>
  <c r="U7745" i="1"/>
  <c r="U7729" i="1"/>
  <c r="U7311" i="1"/>
  <c r="U7297" i="1"/>
  <c r="U7289" i="1"/>
  <c r="U7281" i="1"/>
  <c r="U7273" i="1"/>
  <c r="U7265" i="1"/>
  <c r="U7257" i="1"/>
  <c r="U7249" i="1"/>
  <c r="U7241" i="1"/>
  <c r="U7233" i="1"/>
  <c r="U7225" i="1"/>
  <c r="U7217" i="1"/>
  <c r="U7209" i="1"/>
  <c r="U7201" i="1"/>
  <c r="U7193" i="1"/>
  <c r="U7185" i="1"/>
  <c r="U7177" i="1"/>
  <c r="U7169" i="1"/>
  <c r="U7161" i="1"/>
  <c r="U7151" i="1"/>
  <c r="U7137" i="1"/>
  <c r="U7057" i="1"/>
  <c r="U6993" i="1"/>
  <c r="U6929" i="1"/>
  <c r="U6865" i="1"/>
  <c r="U6801" i="1"/>
  <c r="U7853" i="1"/>
  <c r="U7785" i="1"/>
  <c r="U7753" i="1"/>
  <c r="U7737" i="1"/>
  <c r="U7845" i="1"/>
  <c r="U7829" i="1"/>
  <c r="U7793" i="1"/>
  <c r="U7777" i="1"/>
  <c r="U7761" i="1"/>
  <c r="U7847" i="1"/>
  <c r="U7831" i="1"/>
  <c r="U7815" i="1"/>
  <c r="U7795" i="1"/>
  <c r="U7779" i="1"/>
  <c r="U7763" i="1"/>
  <c r="U7747" i="1"/>
  <c r="U7731" i="1"/>
  <c r="U7313" i="1"/>
  <c r="U7294" i="1"/>
  <c r="U7286" i="1"/>
  <c r="U7278" i="1"/>
  <c r="U7270" i="1"/>
  <c r="U7153" i="1"/>
  <c r="U7139" i="1"/>
  <c r="U7032" i="1"/>
  <c r="U7016" i="1"/>
  <c r="U7000" i="1"/>
  <c r="U6984" i="1"/>
  <c r="U6968" i="1"/>
  <c r="U6952" i="1"/>
  <c r="U6936" i="1"/>
  <c r="U6920" i="1"/>
  <c r="U6904" i="1"/>
  <c r="U6888" i="1"/>
  <c r="U6872" i="1"/>
  <c r="U6856" i="1"/>
  <c r="U6840" i="1"/>
  <c r="U6824" i="1"/>
  <c r="U6808" i="1"/>
  <c r="U6792" i="1"/>
  <c r="U6776" i="1"/>
  <c r="U6748" i="1"/>
  <c r="U6741" i="1"/>
  <c r="U6685" i="1"/>
  <c r="U6670" i="1"/>
  <c r="U6653" i="1"/>
  <c r="U6638" i="1"/>
  <c r="U6621" i="1"/>
  <c r="U6606" i="1"/>
  <c r="U6589" i="1"/>
  <c r="U6574" i="1"/>
  <c r="U6542" i="1"/>
  <c r="U6491" i="1"/>
  <c r="U6475" i="1"/>
  <c r="U6300" i="1"/>
  <c r="U6282" i="1"/>
  <c r="U6269" i="1"/>
  <c r="U6266" i="1"/>
  <c r="U6253" i="1"/>
  <c r="U6250" i="1"/>
  <c r="U6094" i="1"/>
  <c r="U6078" i="1"/>
  <c r="U6070" i="1"/>
  <c r="U6057" i="1"/>
  <c r="U6049" i="1"/>
  <c r="U5489" i="1"/>
  <c r="U7114" i="1"/>
  <c r="U7098" i="1"/>
  <c r="U7082" i="1"/>
  <c r="U7066" i="1"/>
  <c r="U7050" i="1"/>
  <c r="U7034" i="1"/>
  <c r="U7018" i="1"/>
  <c r="U7002" i="1"/>
  <c r="U6986" i="1"/>
  <c r="U6970" i="1"/>
  <c r="U6954" i="1"/>
  <c r="U6938" i="1"/>
  <c r="U6922" i="1"/>
  <c r="U6906" i="1"/>
  <c r="U6890" i="1"/>
  <c r="U6874" i="1"/>
  <c r="U6858" i="1"/>
  <c r="U6842" i="1"/>
  <c r="U6826" i="1"/>
  <c r="U6810" i="1"/>
  <c r="U6794" i="1"/>
  <c r="U6778" i="1"/>
  <c r="U6762" i="1"/>
  <c r="U6750" i="1"/>
  <c r="U6736" i="1"/>
  <c r="U6724" i="1"/>
  <c r="U6702" i="1"/>
  <c r="U6524" i="1"/>
  <c r="U6488" i="1"/>
  <c r="U6480" i="1"/>
  <c r="U6342" i="1"/>
  <c r="U6326" i="1"/>
  <c r="U6284" i="1"/>
  <c r="U6258" i="1"/>
  <c r="U6091" i="1"/>
  <c r="U5870" i="1"/>
  <c r="U6782" i="1"/>
  <c r="U6766" i="1"/>
  <c r="U6752" i="1"/>
  <c r="U6740" i="1"/>
  <c r="U6735" i="1"/>
  <c r="U6726" i="1"/>
  <c r="U6716" i="1"/>
  <c r="U6709" i="1"/>
  <c r="U6677" i="1"/>
  <c r="U6645" i="1"/>
  <c r="U6613" i="1"/>
  <c r="U6581" i="1"/>
  <c r="U6549" i="1"/>
  <c r="U6526" i="1"/>
  <c r="U6514" i="1"/>
  <c r="U6363" i="1"/>
  <c r="U6347" i="1"/>
  <c r="U6172" i="1"/>
  <c r="U6125" i="1"/>
  <c r="U5966" i="1"/>
  <c r="U5916" i="1"/>
  <c r="U5854" i="1"/>
  <c r="U5836" i="1"/>
  <c r="U5519" i="1"/>
  <c r="U7040" i="1"/>
  <c r="U7024" i="1"/>
  <c r="U7008" i="1"/>
  <c r="U6992" i="1"/>
  <c r="U6976" i="1"/>
  <c r="U6960" i="1"/>
  <c r="U6944" i="1"/>
  <c r="U6928" i="1"/>
  <c r="U6912" i="1"/>
  <c r="U6896" i="1"/>
  <c r="U6880" i="1"/>
  <c r="U6864" i="1"/>
  <c r="U6848" i="1"/>
  <c r="U6832" i="1"/>
  <c r="U6816" i="1"/>
  <c r="U6800" i="1"/>
  <c r="U6784" i="1"/>
  <c r="U6768" i="1"/>
  <c r="U6754" i="1"/>
  <c r="U6360" i="1"/>
  <c r="U6352" i="1"/>
  <c r="U6130" i="1"/>
  <c r="U6751" i="1"/>
  <c r="U6742" i="1"/>
  <c r="U6718" i="1"/>
  <c r="U6703" i="1"/>
  <c r="U6691" i="1"/>
  <c r="U6671" i="1"/>
  <c r="U6659" i="1"/>
  <c r="U6639" i="1"/>
  <c r="U6627" i="1"/>
  <c r="U6607" i="1"/>
  <c r="U6595" i="1"/>
  <c r="U6575" i="1"/>
  <c r="U6563" i="1"/>
  <c r="U6428" i="1"/>
  <c r="U6397" i="1"/>
  <c r="U6394" i="1"/>
  <c r="U6381" i="1"/>
  <c r="U6378" i="1"/>
  <c r="U6222" i="1"/>
  <c r="U6198" i="1"/>
  <c r="U6185" i="1"/>
  <c r="U6044" i="1"/>
  <c r="U5884" i="1"/>
  <c r="U7108" i="1"/>
  <c r="U7028" i="1"/>
  <c r="U6980" i="1"/>
  <c r="U6964" i="1"/>
  <c r="U6948" i="1"/>
  <c r="U6932" i="1"/>
  <c r="U6916" i="1"/>
  <c r="U6900" i="1"/>
  <c r="U6884" i="1"/>
  <c r="U6868" i="1"/>
  <c r="U6852" i="1"/>
  <c r="U6836" i="1"/>
  <c r="U6820" i="1"/>
  <c r="U6804" i="1"/>
  <c r="U6788" i="1"/>
  <c r="U6772" i="1"/>
  <c r="U6732" i="1"/>
  <c r="U6725" i="1"/>
  <c r="U6668" i="1"/>
  <c r="U6656" i="1"/>
  <c r="U6636" i="1"/>
  <c r="U6624" i="1"/>
  <c r="U6604" i="1"/>
  <c r="U6592" i="1"/>
  <c r="U6572" i="1"/>
  <c r="U6560" i="1"/>
  <c r="U6540" i="1"/>
  <c r="U6470" i="1"/>
  <c r="U6457" i="1"/>
  <c r="U6454" i="1"/>
  <c r="U6449" i="1"/>
  <c r="U6436" i="1"/>
  <c r="U6412" i="1"/>
  <c r="U6402" i="1"/>
  <c r="U6386" i="1"/>
  <c r="U6235" i="1"/>
  <c r="U6219" i="1"/>
  <c r="U6002" i="1"/>
  <c r="U5928" i="1"/>
  <c r="U6156" i="1"/>
  <c r="U6146" i="1"/>
  <c r="U6141" i="1"/>
  <c r="U6138" i="1"/>
  <c r="U6120" i="1"/>
  <c r="U6112" i="1"/>
  <c r="U6107" i="1"/>
  <c r="U6086" i="1"/>
  <c r="U6073" i="1"/>
  <c r="U6065" i="1"/>
  <c r="U6052" i="1"/>
  <c r="U6028" i="1"/>
  <c r="U6018" i="1"/>
  <c r="U6010" i="1"/>
  <c r="U5992" i="1"/>
  <c r="U5984" i="1"/>
  <c r="U5979" i="1"/>
  <c r="U5974" i="1"/>
  <c r="U5956" i="1"/>
  <c r="U5938" i="1"/>
  <c r="U5933" i="1"/>
  <c r="U5908" i="1"/>
  <c r="U5901" i="1"/>
  <c r="U5896" i="1"/>
  <c r="U5891" i="1"/>
  <c r="U5877" i="1"/>
  <c r="U5861" i="1"/>
  <c r="U5845" i="1"/>
  <c r="U5564" i="1"/>
  <c r="U5556" i="1"/>
  <c r="U5548" i="1"/>
  <c r="U5540" i="1"/>
  <c r="U5532" i="1"/>
  <c r="U5524" i="1"/>
  <c r="U5509" i="1"/>
  <c r="U5499" i="1"/>
  <c r="U5484" i="1"/>
  <c r="U5479" i="1"/>
  <c r="U5466" i="1"/>
  <c r="U5461" i="1"/>
  <c r="U5324" i="1"/>
  <c r="U5299" i="1"/>
  <c r="U5196" i="1"/>
  <c r="U5132" i="1"/>
  <c r="U5068" i="1"/>
  <c r="U5045" i="1"/>
  <c r="U5004" i="1"/>
  <c r="U4981" i="1"/>
  <c r="U4917" i="1"/>
  <c r="U4853" i="1"/>
  <c r="U4840" i="1"/>
  <c r="U4832" i="1"/>
  <c r="U4824" i="1"/>
  <c r="U4816" i="1"/>
  <c r="U4808" i="1"/>
  <c r="U4800" i="1"/>
  <c r="U4792" i="1"/>
  <c r="U4784" i="1"/>
  <c r="U4776" i="1"/>
  <c r="U4768" i="1"/>
  <c r="U4760" i="1"/>
  <c r="U4752" i="1"/>
  <c r="U4744" i="1"/>
  <c r="U4736" i="1"/>
  <c r="U4728" i="1"/>
  <c r="U5879" i="1"/>
  <c r="U5863" i="1"/>
  <c r="U5847" i="1"/>
  <c r="U5833" i="1"/>
  <c r="U5825" i="1"/>
  <c r="U5817" i="1"/>
  <c r="U5809" i="1"/>
  <c r="U5801" i="1"/>
  <c r="U5793" i="1"/>
  <c r="U5785" i="1"/>
  <c r="U5777" i="1"/>
  <c r="U5769" i="1"/>
  <c r="U5761" i="1"/>
  <c r="U5753" i="1"/>
  <c r="U5745" i="1"/>
  <c r="U5737" i="1"/>
  <c r="U5729" i="1"/>
  <c r="U5721" i="1"/>
  <c r="U5713" i="1"/>
  <c r="U5705" i="1"/>
  <c r="U5697" i="1"/>
  <c r="U5689" i="1"/>
  <c r="U5681" i="1"/>
  <c r="U5673" i="1"/>
  <c r="U5665" i="1"/>
  <c r="U5657" i="1"/>
  <c r="U5649" i="1"/>
  <c r="U5641" i="1"/>
  <c r="U5633" i="1"/>
  <c r="U5625" i="1"/>
  <c r="U5617" i="1"/>
  <c r="U5609" i="1"/>
  <c r="U5601" i="1"/>
  <c r="U5593" i="1"/>
  <c r="U5585" i="1"/>
  <c r="U5577" i="1"/>
  <c r="U5569" i="1"/>
  <c r="U5561" i="1"/>
  <c r="U5553" i="1"/>
  <c r="U5545" i="1"/>
  <c r="U5537" i="1"/>
  <c r="U5529" i="1"/>
  <c r="U5506" i="1"/>
  <c r="U5491" i="1"/>
  <c r="U5476" i="1"/>
  <c r="U5471" i="1"/>
  <c r="U5458" i="1"/>
  <c r="U5396" i="1"/>
  <c r="U5231" i="1"/>
  <c r="U5221" i="1"/>
  <c r="U5173" i="1"/>
  <c r="U5109" i="1"/>
  <c r="U4584" i="1"/>
  <c r="U6704" i="1"/>
  <c r="U6688" i="1"/>
  <c r="U6674" i="1"/>
  <c r="U6658" i="1"/>
  <c r="U6642" i="1"/>
  <c r="U6626" i="1"/>
  <c r="U6610" i="1"/>
  <c r="U6594" i="1"/>
  <c r="U6578" i="1"/>
  <c r="U6562" i="1"/>
  <c r="U6546" i="1"/>
  <c r="U6530" i="1"/>
  <c r="U6508" i="1"/>
  <c r="U6498" i="1"/>
  <c r="U6493" i="1"/>
  <c r="U6490" i="1"/>
  <c r="U6472" i="1"/>
  <c r="U6464" i="1"/>
  <c r="U6459" i="1"/>
  <c r="U6425" i="1"/>
  <c r="U6422" i="1"/>
  <c r="U6417" i="1"/>
  <c r="U6404" i="1"/>
  <c r="U6380" i="1"/>
  <c r="U6370" i="1"/>
  <c r="U6365" i="1"/>
  <c r="U6362" i="1"/>
  <c r="U6344" i="1"/>
  <c r="U6336" i="1"/>
  <c r="U6331" i="1"/>
  <c r="U6297" i="1"/>
  <c r="U6294" i="1"/>
  <c r="U6289" i="1"/>
  <c r="U6276" i="1"/>
  <c r="U6252" i="1"/>
  <c r="U6242" i="1"/>
  <c r="U6237" i="1"/>
  <c r="U6234" i="1"/>
  <c r="U6216" i="1"/>
  <c r="U6208" i="1"/>
  <c r="U6203" i="1"/>
  <c r="U6182" i="1"/>
  <c r="U6169" i="1"/>
  <c r="U6161" i="1"/>
  <c r="U6148" i="1"/>
  <c r="U6124" i="1"/>
  <c r="U6114" i="1"/>
  <c r="U6106" i="1"/>
  <c r="U6088" i="1"/>
  <c r="U6080" i="1"/>
  <c r="U6075" i="1"/>
  <c r="U6054" i="1"/>
  <c r="U6041" i="1"/>
  <c r="U6033" i="1"/>
  <c r="U6020" i="1"/>
  <c r="U5996" i="1"/>
  <c r="U5986" i="1"/>
  <c r="U5976" i="1"/>
  <c r="U5968" i="1"/>
  <c r="U5958" i="1"/>
  <c r="U5940" i="1"/>
  <c r="U5922" i="1"/>
  <c r="U5913" i="1"/>
  <c r="U5910" i="1"/>
  <c r="U5905" i="1"/>
  <c r="U5893" i="1"/>
  <c r="U5890" i="1"/>
  <c r="U5881" i="1"/>
  <c r="U5865" i="1"/>
  <c r="U5849" i="1"/>
  <c r="U5830" i="1"/>
  <c r="U5822" i="1"/>
  <c r="U5814" i="1"/>
  <c r="U5806" i="1"/>
  <c r="U5798" i="1"/>
  <c r="U5790" i="1"/>
  <c r="U5782" i="1"/>
  <c r="U5774" i="1"/>
  <c r="U5766" i="1"/>
  <c r="U5758" i="1"/>
  <c r="U5750" i="1"/>
  <c r="U5742" i="1"/>
  <c r="U5734" i="1"/>
  <c r="U5726" i="1"/>
  <c r="U5718" i="1"/>
  <c r="U5710" i="1"/>
  <c r="U5702" i="1"/>
  <c r="U5694" i="1"/>
  <c r="U5686" i="1"/>
  <c r="U5678" i="1"/>
  <c r="U5670" i="1"/>
  <c r="U5662" i="1"/>
  <c r="U5654" i="1"/>
  <c r="U5646" i="1"/>
  <c r="U5638" i="1"/>
  <c r="U5630" i="1"/>
  <c r="U5622" i="1"/>
  <c r="U5614" i="1"/>
  <c r="U5606" i="1"/>
  <c r="U5598" i="1"/>
  <c r="U5590" i="1"/>
  <c r="U5582" i="1"/>
  <c r="U5574" i="1"/>
  <c r="U5566" i="1"/>
  <c r="U5558" i="1"/>
  <c r="U5550" i="1"/>
  <c r="U5542" i="1"/>
  <c r="U5534" i="1"/>
  <c r="U5526" i="1"/>
  <c r="U5516" i="1"/>
  <c r="U5511" i="1"/>
  <c r="U5501" i="1"/>
  <c r="U5486" i="1"/>
  <c r="U5406" i="1"/>
  <c r="U5393" i="1"/>
  <c r="U5388" i="1"/>
  <c r="U5383" i="1"/>
  <c r="U5373" i="1"/>
  <c r="U5331" i="1"/>
  <c r="U5311" i="1"/>
  <c r="U5253" i="1"/>
  <c r="U5228" i="1"/>
  <c r="U5213" i="1"/>
  <c r="U5203" i="1"/>
  <c r="U5180" i="1"/>
  <c r="U5116" i="1"/>
  <c r="U5093" i="1"/>
  <c r="U5052" i="1"/>
  <c r="U5029" i="1"/>
  <c r="U4988" i="1"/>
  <c r="U4965" i="1"/>
  <c r="U4901" i="1"/>
  <c r="U4842" i="1"/>
  <c r="U4834" i="1"/>
  <c r="U4826" i="1"/>
  <c r="U4818" i="1"/>
  <c r="U4810" i="1"/>
  <c r="U4802" i="1"/>
  <c r="U4794" i="1"/>
  <c r="U4786" i="1"/>
  <c r="U4778" i="1"/>
  <c r="U4770" i="1"/>
  <c r="U4762" i="1"/>
  <c r="U4754" i="1"/>
  <c r="U4746" i="1"/>
  <c r="U4738" i="1"/>
  <c r="U4730" i="1"/>
  <c r="U4714" i="1"/>
  <c r="U6738" i="1"/>
  <c r="U6722" i="1"/>
  <c r="U6706" i="1"/>
  <c r="U6690" i="1"/>
  <c r="U6676" i="1"/>
  <c r="U6660" i="1"/>
  <c r="U6644" i="1"/>
  <c r="U6628" i="1"/>
  <c r="U6612" i="1"/>
  <c r="U6596" i="1"/>
  <c r="U6580" i="1"/>
  <c r="U6564" i="1"/>
  <c r="U6548" i="1"/>
  <c r="U6532" i="1"/>
  <c r="U6516" i="1"/>
  <c r="U6492" i="1"/>
  <c r="U6482" i="1"/>
  <c r="U6477" i="1"/>
  <c r="U6474" i="1"/>
  <c r="U6456" i="1"/>
  <c r="U6448" i="1"/>
  <c r="U6443" i="1"/>
  <c r="U6409" i="1"/>
  <c r="U6406" i="1"/>
  <c r="U6401" i="1"/>
  <c r="U6388" i="1"/>
  <c r="U6364" i="1"/>
  <c r="U6354" i="1"/>
  <c r="U6349" i="1"/>
  <c r="U6346" i="1"/>
  <c r="U6328" i="1"/>
  <c r="U6320" i="1"/>
  <c r="U6315" i="1"/>
  <c r="U6281" i="1"/>
  <c r="U6278" i="1"/>
  <c r="U6273" i="1"/>
  <c r="U6260" i="1"/>
  <c r="U6236" i="1"/>
  <c r="U6226" i="1"/>
  <c r="U6221" i="1"/>
  <c r="U6218" i="1"/>
  <c r="U6200" i="1"/>
  <c r="U6192" i="1"/>
  <c r="U6187" i="1"/>
  <c r="U6166" i="1"/>
  <c r="U6153" i="1"/>
  <c r="U6145" i="1"/>
  <c r="U6132" i="1"/>
  <c r="U6108" i="1"/>
  <c r="U6098" i="1"/>
  <c r="U6090" i="1"/>
  <c r="U6072" i="1"/>
  <c r="U6064" i="1"/>
  <c r="U6059" i="1"/>
  <c r="U6038" i="1"/>
  <c r="U6025" i="1"/>
  <c r="U6017" i="1"/>
  <c r="U6004" i="1"/>
  <c r="U5980" i="1"/>
  <c r="U5945" i="1"/>
  <c r="U5883" i="1"/>
  <c r="U5867" i="1"/>
  <c r="U5851" i="1"/>
  <c r="U5835" i="1"/>
  <c r="U5827" i="1"/>
  <c r="U5819" i="1"/>
  <c r="U5811" i="1"/>
  <c r="U5803" i="1"/>
  <c r="U5795" i="1"/>
  <c r="U5787" i="1"/>
  <c r="U5779" i="1"/>
  <c r="U5771" i="1"/>
  <c r="U5763" i="1"/>
  <c r="U5755" i="1"/>
  <c r="U5747" i="1"/>
  <c r="U5739" i="1"/>
  <c r="U5731" i="1"/>
  <c r="U5723" i="1"/>
  <c r="U5715" i="1"/>
  <c r="U5707" i="1"/>
  <c r="U5699" i="1"/>
  <c r="U5691" i="1"/>
  <c r="U5683" i="1"/>
  <c r="U5675" i="1"/>
  <c r="U5667" i="1"/>
  <c r="U5659" i="1"/>
  <c r="U5651" i="1"/>
  <c r="U5643" i="1"/>
  <c r="U5635" i="1"/>
  <c r="U5627" i="1"/>
  <c r="U5619" i="1"/>
  <c r="U5611" i="1"/>
  <c r="U5603" i="1"/>
  <c r="U5595" i="1"/>
  <c r="U5587" i="1"/>
  <c r="U5579" i="1"/>
  <c r="U5571" i="1"/>
  <c r="U5563" i="1"/>
  <c r="U5555" i="1"/>
  <c r="U5547" i="1"/>
  <c r="U5539" i="1"/>
  <c r="U5531" i="1"/>
  <c r="U5523" i="1"/>
  <c r="U5508" i="1"/>
  <c r="U5493" i="1"/>
  <c r="U5483" i="1"/>
  <c r="U5478" i="1"/>
  <c r="U5411" i="1"/>
  <c r="U5403" i="1"/>
  <c r="U5398" i="1"/>
  <c r="U5333" i="1"/>
  <c r="U5308" i="1"/>
  <c r="U5283" i="1"/>
  <c r="U5263" i="1"/>
  <c r="U5157" i="1"/>
  <c r="U5139" i="1"/>
  <c r="U5075" i="1"/>
  <c r="U5011" i="1"/>
  <c r="U4947" i="1"/>
  <c r="U4883" i="1"/>
  <c r="U4490" i="1"/>
  <c r="U5640" i="1"/>
  <c r="U5632" i="1"/>
  <c r="U5624" i="1"/>
  <c r="U5616" i="1"/>
  <c r="U5608" i="1"/>
  <c r="U5600" i="1"/>
  <c r="U5592" i="1"/>
  <c r="U5584" i="1"/>
  <c r="U5576" i="1"/>
  <c r="U5568" i="1"/>
  <c r="U5560" i="1"/>
  <c r="U5552" i="1"/>
  <c r="U5544" i="1"/>
  <c r="U5536" i="1"/>
  <c r="U5528" i="1"/>
  <c r="U5490" i="1"/>
  <c r="U5475" i="1"/>
  <c r="U5439" i="1"/>
  <c r="U5426" i="1"/>
  <c r="U5416" i="1"/>
  <c r="U5408" i="1"/>
  <c r="U5343" i="1"/>
  <c r="U5285" i="1"/>
  <c r="U5260" i="1"/>
  <c r="U5235" i="1"/>
  <c r="U5215" i="1"/>
  <c r="U5205" i="1"/>
  <c r="U5164" i="1"/>
  <c r="U5100" i="1"/>
  <c r="U5077" i="1"/>
  <c r="U5036" i="1"/>
  <c r="U5013" i="1"/>
  <c r="U4972" i="1"/>
  <c r="U4949" i="1"/>
  <c r="U4885" i="1"/>
  <c r="U4836" i="1"/>
  <c r="U4828" i="1"/>
  <c r="U4820" i="1"/>
  <c r="U4812" i="1"/>
  <c r="U4804" i="1"/>
  <c r="U4796" i="1"/>
  <c r="U4788" i="1"/>
  <c r="U4780" i="1"/>
  <c r="U4772" i="1"/>
  <c r="U4764" i="1"/>
  <c r="U4756" i="1"/>
  <c r="U4748" i="1"/>
  <c r="U4740" i="1"/>
  <c r="U4732" i="1"/>
  <c r="U4724" i="1"/>
  <c r="U4716" i="1"/>
  <c r="U4552" i="1"/>
  <c r="U4492" i="1"/>
  <c r="U6710" i="1"/>
  <c r="U6694" i="1"/>
  <c r="U6680" i="1"/>
  <c r="U6664" i="1"/>
  <c r="U6648" i="1"/>
  <c r="U6632" i="1"/>
  <c r="U6616" i="1"/>
  <c r="U6600" i="1"/>
  <c r="U6584" i="1"/>
  <c r="U6568" i="1"/>
  <c r="U6552" i="1"/>
  <c r="U6536" i="1"/>
  <c r="U6520" i="1"/>
  <c r="U6505" i="1"/>
  <c r="U6502" i="1"/>
  <c r="U6497" i="1"/>
  <c r="U6484" i="1"/>
  <c r="U6460" i="1"/>
  <c r="U6450" i="1"/>
  <c r="U6445" i="1"/>
  <c r="U6442" i="1"/>
  <c r="U6424" i="1"/>
  <c r="U6416" i="1"/>
  <c r="U6411" i="1"/>
  <c r="U6377" i="1"/>
  <c r="U6374" i="1"/>
  <c r="U6369" i="1"/>
  <c r="U6356" i="1"/>
  <c r="U6332" i="1"/>
  <c r="U6322" i="1"/>
  <c r="U6317" i="1"/>
  <c r="U6314" i="1"/>
  <c r="U6296" i="1"/>
  <c r="U6288" i="1"/>
  <c r="U6283" i="1"/>
  <c r="U6249" i="1"/>
  <c r="U6246" i="1"/>
  <c r="U6241" i="1"/>
  <c r="U6228" i="1"/>
  <c r="U6204" i="1"/>
  <c r="U6194" i="1"/>
  <c r="U6189" i="1"/>
  <c r="U6186" i="1"/>
  <c r="U6168" i="1"/>
  <c r="U6160" i="1"/>
  <c r="U6155" i="1"/>
  <c r="U6134" i="1"/>
  <c r="U6121" i="1"/>
  <c r="U6113" i="1"/>
  <c r="U6100" i="1"/>
  <c r="U6076" i="1"/>
  <c r="U6066" i="1"/>
  <c r="U6058" i="1"/>
  <c r="U6040" i="1"/>
  <c r="U6032" i="1"/>
  <c r="U6027" i="1"/>
  <c r="U6006" i="1"/>
  <c r="U5993" i="1"/>
  <c r="U5964" i="1"/>
  <c r="U5924" i="1"/>
  <c r="U5887" i="1"/>
  <c r="U5871" i="1"/>
  <c r="U5855" i="1"/>
  <c r="U5839" i="1"/>
  <c r="U5829" i="1"/>
  <c r="U5821" i="1"/>
  <c r="U5813" i="1"/>
  <c r="U5805" i="1"/>
  <c r="U5797" i="1"/>
  <c r="U5789" i="1"/>
  <c r="U5781" i="1"/>
  <c r="U5773" i="1"/>
  <c r="U5765" i="1"/>
  <c r="U5757" i="1"/>
  <c r="U5749" i="1"/>
  <c r="U5741" i="1"/>
  <c r="U5733" i="1"/>
  <c r="U5725" i="1"/>
  <c r="U5717" i="1"/>
  <c r="U5709" i="1"/>
  <c r="U5701" i="1"/>
  <c r="U5693" i="1"/>
  <c r="U5685" i="1"/>
  <c r="U5677" i="1"/>
  <c r="U5669" i="1"/>
  <c r="U5661" i="1"/>
  <c r="U5653" i="1"/>
  <c r="U5645" i="1"/>
  <c r="U5637" i="1"/>
  <c r="U5629" i="1"/>
  <c r="U5621" i="1"/>
  <c r="U5613" i="1"/>
  <c r="U5605" i="1"/>
  <c r="U5597" i="1"/>
  <c r="U5589" i="1"/>
  <c r="U5581" i="1"/>
  <c r="U5573" i="1"/>
  <c r="U5565" i="1"/>
  <c r="U5557" i="1"/>
  <c r="U5549" i="1"/>
  <c r="U5541" i="1"/>
  <c r="U5533" i="1"/>
  <c r="U5525" i="1"/>
  <c r="U5515" i="1"/>
  <c r="U5500" i="1"/>
  <c r="U5495" i="1"/>
  <c r="U5485" i="1"/>
  <c r="U5480" i="1"/>
  <c r="U5449" i="1"/>
  <c r="U5413" i="1"/>
  <c r="U5295" i="1"/>
  <c r="U5141" i="1"/>
  <c r="U4500" i="1"/>
  <c r="U6760" i="1"/>
  <c r="U6744" i="1"/>
  <c r="U6728" i="1"/>
  <c r="U6712" i="1"/>
  <c r="U6696" i="1"/>
  <c r="U6682" i="1"/>
  <c r="U6666" i="1"/>
  <c r="U6650" i="1"/>
  <c r="U6634" i="1"/>
  <c r="U6618" i="1"/>
  <c r="U6602" i="1"/>
  <c r="U6586" i="1"/>
  <c r="U6570" i="1"/>
  <c r="U6554" i="1"/>
  <c r="U6538" i="1"/>
  <c r="U6522" i="1"/>
  <c r="U6489" i="1"/>
  <c r="U6486" i="1"/>
  <c r="U6481" i="1"/>
  <c r="U6468" i="1"/>
  <c r="U6444" i="1"/>
  <c r="U6434" i="1"/>
  <c r="U6429" i="1"/>
  <c r="U6426" i="1"/>
  <c r="U6408" i="1"/>
  <c r="U6400" i="1"/>
  <c r="U6395" i="1"/>
  <c r="U6361" i="1"/>
  <c r="U6358" i="1"/>
  <c r="U6353" i="1"/>
  <c r="U6340" i="1"/>
  <c r="U6316" i="1"/>
  <c r="U6306" i="1"/>
  <c r="U6301" i="1"/>
  <c r="U6298" i="1"/>
  <c r="U6280" i="1"/>
  <c r="U6272" i="1"/>
  <c r="U6267" i="1"/>
  <c r="U6233" i="1"/>
  <c r="U6230" i="1"/>
  <c r="U6225" i="1"/>
  <c r="U6212" i="1"/>
  <c r="U6188" i="1"/>
  <c r="U6178" i="1"/>
  <c r="U6173" i="1"/>
  <c r="U6170" i="1"/>
  <c r="U6152" i="1"/>
  <c r="U6144" i="1"/>
  <c r="U6139" i="1"/>
  <c r="U6118" i="1"/>
  <c r="U6105" i="1"/>
  <c r="U6097" i="1"/>
  <c r="U6084" i="1"/>
  <c r="U6060" i="1"/>
  <c r="U6050" i="1"/>
  <c r="U6042" i="1"/>
  <c r="U6024" i="1"/>
  <c r="U6016" i="1"/>
  <c r="U6011" i="1"/>
  <c r="U5990" i="1"/>
  <c r="U5972" i="1"/>
  <c r="U5954" i="1"/>
  <c r="U5949" i="1"/>
  <c r="U5944" i="1"/>
  <c r="U5936" i="1"/>
  <c r="U5929" i="1"/>
  <c r="U5906" i="1"/>
  <c r="U5897" i="1"/>
  <c r="U5894" i="1"/>
  <c r="U5889" i="1"/>
  <c r="U5873" i="1"/>
  <c r="U5857" i="1"/>
  <c r="U5841" i="1"/>
  <c r="U5570" i="1"/>
  <c r="U5562" i="1"/>
  <c r="U5554" i="1"/>
  <c r="U5546" i="1"/>
  <c r="U5538" i="1"/>
  <c r="U5530" i="1"/>
  <c r="U5522" i="1"/>
  <c r="U5507" i="1"/>
  <c r="U5492" i="1"/>
  <c r="U5482" i="1"/>
  <c r="U5477" i="1"/>
  <c r="U5472" i="1"/>
  <c r="U5454" i="1"/>
  <c r="U5446" i="1"/>
  <c r="U5428" i="1"/>
  <c r="U5418" i="1"/>
  <c r="U5361" i="1"/>
  <c r="U5353" i="1"/>
  <c r="U5317" i="1"/>
  <c r="U5292" i="1"/>
  <c r="U5267" i="1"/>
  <c r="U5247" i="1"/>
  <c r="U5148" i="1"/>
  <c r="U5084" i="1"/>
  <c r="U5061" i="1"/>
  <c r="U5020" i="1"/>
  <c r="U4997" i="1"/>
  <c r="U4933" i="1"/>
  <c r="U4869" i="1"/>
  <c r="U4838" i="1"/>
  <c r="U4830" i="1"/>
  <c r="U4822" i="1"/>
  <c r="U4814" i="1"/>
  <c r="U4806" i="1"/>
  <c r="U4798" i="1"/>
  <c r="U4790" i="1"/>
  <c r="U4782" i="1"/>
  <c r="U4774" i="1"/>
  <c r="U4766" i="1"/>
  <c r="U4758" i="1"/>
  <c r="U4750" i="1"/>
  <c r="U4742" i="1"/>
  <c r="U4734" i="1"/>
  <c r="U4726" i="1"/>
  <c r="U4676" i="1"/>
  <c r="U4520" i="1"/>
  <c r="U4424" i="1"/>
  <c r="U4956" i="1"/>
  <c r="U4940" i="1"/>
  <c r="U4924" i="1"/>
  <c r="U4908" i="1"/>
  <c r="U4892" i="1"/>
  <c r="U4876" i="1"/>
  <c r="U4860" i="1"/>
  <c r="U4844" i="1"/>
  <c r="U4701" i="1"/>
  <c r="U4686" i="1"/>
  <c r="U4661" i="1"/>
  <c r="U4656" i="1"/>
  <c r="U4646" i="1"/>
  <c r="U4631" i="1"/>
  <c r="U4626" i="1"/>
  <c r="U4606" i="1"/>
  <c r="U4599" i="1"/>
  <c r="U4594" i="1"/>
  <c r="U4574" i="1"/>
  <c r="U4567" i="1"/>
  <c r="U4562" i="1"/>
  <c r="U4542" i="1"/>
  <c r="U4535" i="1"/>
  <c r="U4530" i="1"/>
  <c r="U4515" i="1"/>
  <c r="U4485" i="1"/>
  <c r="U4444" i="1"/>
  <c r="U4439" i="1"/>
  <c r="U4434" i="1"/>
  <c r="U4419" i="1"/>
  <c r="U4411" i="1"/>
  <c r="U4353" i="1"/>
  <c r="U4269" i="1"/>
  <c r="U4262" i="1"/>
  <c r="U4188" i="1"/>
  <c r="U5468" i="1"/>
  <c r="U5463" i="1"/>
  <c r="U5453" i="1"/>
  <c r="U5448" i="1"/>
  <c r="U5438" i="1"/>
  <c r="U5410" i="1"/>
  <c r="U5395" i="1"/>
  <c r="U5380" i="1"/>
  <c r="U5370" i="1"/>
  <c r="U5365" i="1"/>
  <c r="U5360" i="1"/>
  <c r="U5355" i="1"/>
  <c r="U5350" i="1"/>
  <c r="U5340" i="1"/>
  <c r="U5326" i="1"/>
  <c r="U5310" i="1"/>
  <c r="U5294" i="1"/>
  <c r="U5278" i="1"/>
  <c r="U5262" i="1"/>
  <c r="U5246" i="1"/>
  <c r="U5230" i="1"/>
  <c r="U5214" i="1"/>
  <c r="U5198" i="1"/>
  <c r="U5182" i="1"/>
  <c r="U5166" i="1"/>
  <c r="U5150" i="1"/>
  <c r="U5134" i="1"/>
  <c r="U5118" i="1"/>
  <c r="U5102" i="1"/>
  <c r="U5086" i="1"/>
  <c r="U5070" i="1"/>
  <c r="U5054" i="1"/>
  <c r="U5038" i="1"/>
  <c r="U5022" i="1"/>
  <c r="U5006" i="1"/>
  <c r="U4990" i="1"/>
  <c r="U4974" i="1"/>
  <c r="U4958" i="1"/>
  <c r="U4942" i="1"/>
  <c r="U4926" i="1"/>
  <c r="U4910" i="1"/>
  <c r="U4894" i="1"/>
  <c r="U4878" i="1"/>
  <c r="U4862" i="1"/>
  <c r="U4846" i="1"/>
  <c r="U4711" i="1"/>
  <c r="U4706" i="1"/>
  <c r="U4653" i="1"/>
  <c r="U4638" i="1"/>
  <c r="U4579" i="1"/>
  <c r="U4569" i="1"/>
  <c r="U4559" i="1"/>
  <c r="U4547" i="1"/>
  <c r="U4537" i="1"/>
  <c r="U4527" i="1"/>
  <c r="U4512" i="1"/>
  <c r="U4507" i="1"/>
  <c r="U4449" i="1"/>
  <c r="U4441" i="1"/>
  <c r="U4431" i="1"/>
  <c r="U4416" i="1"/>
  <c r="U4365" i="1"/>
  <c r="U4358" i="1"/>
  <c r="U4350" i="1"/>
  <c r="U4284" i="1"/>
  <c r="U4193" i="1"/>
  <c r="U3926" i="1"/>
  <c r="U5460" i="1"/>
  <c r="U5450" i="1"/>
  <c r="U5445" i="1"/>
  <c r="U5440" i="1"/>
  <c r="U5435" i="1"/>
  <c r="U5430" i="1"/>
  <c r="U5420" i="1"/>
  <c r="U5415" i="1"/>
  <c r="U5405" i="1"/>
  <c r="U5400" i="1"/>
  <c r="U5390" i="1"/>
  <c r="U5362" i="1"/>
  <c r="U5347" i="1"/>
  <c r="U5328" i="1"/>
  <c r="U5312" i="1"/>
  <c r="U5296" i="1"/>
  <c r="U5280" i="1"/>
  <c r="U5264" i="1"/>
  <c r="U5248" i="1"/>
  <c r="U5232" i="1"/>
  <c r="U5216" i="1"/>
  <c r="U5200" i="1"/>
  <c r="U5184" i="1"/>
  <c r="U5168" i="1"/>
  <c r="U5152" i="1"/>
  <c r="U5136" i="1"/>
  <c r="U5120" i="1"/>
  <c r="U5104" i="1"/>
  <c r="U5088" i="1"/>
  <c r="U5072" i="1"/>
  <c r="U5056" i="1"/>
  <c r="U5040" i="1"/>
  <c r="U5024" i="1"/>
  <c r="U5008" i="1"/>
  <c r="U4992" i="1"/>
  <c r="U4976" i="1"/>
  <c r="U4960" i="1"/>
  <c r="U4944" i="1"/>
  <c r="U4928" i="1"/>
  <c r="U4912" i="1"/>
  <c r="U4896" i="1"/>
  <c r="U4880" i="1"/>
  <c r="U4864" i="1"/>
  <c r="U4848" i="1"/>
  <c r="U4718" i="1"/>
  <c r="U4693" i="1"/>
  <c r="U4688" i="1"/>
  <c r="U4680" i="1"/>
  <c r="U4678" i="1"/>
  <c r="U4663" i="1"/>
  <c r="U4658" i="1"/>
  <c r="U4613" i="1"/>
  <c r="U4608" i="1"/>
  <c r="U4581" i="1"/>
  <c r="U4576" i="1"/>
  <c r="U4571" i="1"/>
  <c r="U4549" i="1"/>
  <c r="U4544" i="1"/>
  <c r="U4539" i="1"/>
  <c r="U4517" i="1"/>
  <c r="U4454" i="1"/>
  <c r="U4446" i="1"/>
  <c r="U4421" i="1"/>
  <c r="U4375" i="1"/>
  <c r="U4370" i="1"/>
  <c r="U4289" i="1"/>
  <c r="U4205" i="1"/>
  <c r="U4198" i="1"/>
  <c r="U5470" i="1"/>
  <c r="U5442" i="1"/>
  <c r="U5427" i="1"/>
  <c r="U5412" i="1"/>
  <c r="U5402" i="1"/>
  <c r="U5397" i="1"/>
  <c r="U5392" i="1"/>
  <c r="U5387" i="1"/>
  <c r="U5382" i="1"/>
  <c r="U5372" i="1"/>
  <c r="U5367" i="1"/>
  <c r="U5357" i="1"/>
  <c r="U5352" i="1"/>
  <c r="U5342" i="1"/>
  <c r="U5330" i="1"/>
  <c r="U5314" i="1"/>
  <c r="U5298" i="1"/>
  <c r="U5218" i="1"/>
  <c r="U5202" i="1"/>
  <c r="U5186" i="1"/>
  <c r="U5170" i="1"/>
  <c r="U5154" i="1"/>
  <c r="U5122" i="1"/>
  <c r="U5106" i="1"/>
  <c r="U5090" i="1"/>
  <c r="U5074" i="1"/>
  <c r="U5058" i="1"/>
  <c r="U5042" i="1"/>
  <c r="U5026" i="1"/>
  <c r="U5010" i="1"/>
  <c r="U4994" i="1"/>
  <c r="U4978" i="1"/>
  <c r="U4962" i="1"/>
  <c r="U4946" i="1"/>
  <c r="U4930" i="1"/>
  <c r="U4914" i="1"/>
  <c r="U4898" i="1"/>
  <c r="U4882" i="1"/>
  <c r="U4866" i="1"/>
  <c r="U4850" i="1"/>
  <c r="U4685" i="1"/>
  <c r="U4670" i="1"/>
  <c r="U4632" i="1"/>
  <c r="U4630" i="1"/>
  <c r="U4605" i="1"/>
  <c r="U4598" i="1"/>
  <c r="U4573" i="1"/>
  <c r="U4566" i="1"/>
  <c r="U4561" i="1"/>
  <c r="U4541" i="1"/>
  <c r="U4367" i="1"/>
  <c r="U4294" i="1"/>
  <c r="U4220" i="1"/>
  <c r="U4078" i="1"/>
  <c r="U3910" i="1"/>
  <c r="U5459" i="1"/>
  <c r="U5444" i="1"/>
  <c r="U5434" i="1"/>
  <c r="U5429" i="1"/>
  <c r="U5424" i="1"/>
  <c r="U5419" i="1"/>
  <c r="U5414" i="1"/>
  <c r="U5404" i="1"/>
  <c r="U5399" i="1"/>
  <c r="U5389" i="1"/>
  <c r="U5384" i="1"/>
  <c r="U5374" i="1"/>
  <c r="U5346" i="1"/>
  <c r="U5334" i="1"/>
  <c r="U5318" i="1"/>
  <c r="U5302" i="1"/>
  <c r="U5286" i="1"/>
  <c r="U5270" i="1"/>
  <c r="U5254" i="1"/>
  <c r="U5238" i="1"/>
  <c r="U5222" i="1"/>
  <c r="U5206" i="1"/>
  <c r="U5190" i="1"/>
  <c r="U5174" i="1"/>
  <c r="U5158" i="1"/>
  <c r="U5142" i="1"/>
  <c r="U5126" i="1"/>
  <c r="U5110" i="1"/>
  <c r="U5094" i="1"/>
  <c r="U5078" i="1"/>
  <c r="U5062" i="1"/>
  <c r="U5046" i="1"/>
  <c r="U5030" i="1"/>
  <c r="U5014" i="1"/>
  <c r="U4998" i="1"/>
  <c r="U4982" i="1"/>
  <c r="U4966" i="1"/>
  <c r="U4950" i="1"/>
  <c r="U4934" i="1"/>
  <c r="U4918" i="1"/>
  <c r="U4902" i="1"/>
  <c r="U4886" i="1"/>
  <c r="U4870" i="1"/>
  <c r="U4854" i="1"/>
  <c r="U4717" i="1"/>
  <c r="U4702" i="1"/>
  <c r="U4677" i="1"/>
  <c r="U4672" i="1"/>
  <c r="U4664" i="1"/>
  <c r="U4662" i="1"/>
  <c r="U4647" i="1"/>
  <c r="U4642" i="1"/>
  <c r="U4575" i="1"/>
  <c r="U4563" i="1"/>
  <c r="U4553" i="1"/>
  <c r="U4543" i="1"/>
  <c r="U4516" i="1"/>
  <c r="U4493" i="1"/>
  <c r="U4486" i="1"/>
  <c r="U4478" i="1"/>
  <c r="U4453" i="1"/>
  <c r="U4412" i="1"/>
  <c r="U4407" i="1"/>
  <c r="U4402" i="1"/>
  <c r="U4387" i="1"/>
  <c r="U4379" i="1"/>
  <c r="U4321" i="1"/>
  <c r="U4237" i="1"/>
  <c r="U4230" i="1"/>
  <c r="U5371" i="1"/>
  <c r="U5366" i="1"/>
  <c r="U5356" i="1"/>
  <c r="U5351" i="1"/>
  <c r="U5341" i="1"/>
  <c r="U5336" i="1"/>
  <c r="U5320" i="1"/>
  <c r="U5304" i="1"/>
  <c r="U5288" i="1"/>
  <c r="U5272" i="1"/>
  <c r="U5256" i="1"/>
  <c r="U5240" i="1"/>
  <c r="U5224" i="1"/>
  <c r="U5208" i="1"/>
  <c r="U5192" i="1"/>
  <c r="U5176" i="1"/>
  <c r="U5160" i="1"/>
  <c r="U5144" i="1"/>
  <c r="U5128" i="1"/>
  <c r="U5112" i="1"/>
  <c r="U5096" i="1"/>
  <c r="U5080" i="1"/>
  <c r="U5064" i="1"/>
  <c r="U5048" i="1"/>
  <c r="U5032" i="1"/>
  <c r="U5016" i="1"/>
  <c r="U5000" i="1"/>
  <c r="U4984" i="1"/>
  <c r="U4968" i="1"/>
  <c r="U4952" i="1"/>
  <c r="U4936" i="1"/>
  <c r="U4920" i="1"/>
  <c r="U4904" i="1"/>
  <c r="U4888" i="1"/>
  <c r="U4872" i="1"/>
  <c r="U4856" i="1"/>
  <c r="U4722" i="1"/>
  <c r="U4669" i="1"/>
  <c r="U4654" i="1"/>
  <c r="U4629" i="1"/>
  <c r="U4624" i="1"/>
  <c r="U4597" i="1"/>
  <c r="U4592" i="1"/>
  <c r="U4565" i="1"/>
  <c r="U4560" i="1"/>
  <c r="U4555" i="1"/>
  <c r="U4533" i="1"/>
  <c r="U4528" i="1"/>
  <c r="U4523" i="1"/>
  <c r="U4503" i="1"/>
  <c r="U4498" i="1"/>
  <c r="U4483" i="1"/>
  <c r="U4475" i="1"/>
  <c r="U4417" i="1"/>
  <c r="U4409" i="1"/>
  <c r="U4399" i="1"/>
  <c r="U4384" i="1"/>
  <c r="U4333" i="1"/>
  <c r="U4318" i="1"/>
  <c r="U4252" i="1"/>
  <c r="U3942" i="1"/>
  <c r="U4306" i="1"/>
  <c r="U4286" i="1"/>
  <c r="U4279" i="1"/>
  <c r="U4274" i="1"/>
  <c r="U4254" i="1"/>
  <c r="U4247" i="1"/>
  <c r="U4242" i="1"/>
  <c r="U4222" i="1"/>
  <c r="U4215" i="1"/>
  <c r="U4210" i="1"/>
  <c r="U4190" i="1"/>
  <c r="U4183" i="1"/>
  <c r="U4178" i="1"/>
  <c r="U4158" i="1"/>
  <c r="U4151" i="1"/>
  <c r="U4146" i="1"/>
  <c r="U4126" i="1"/>
  <c r="U4119" i="1"/>
  <c r="U4114" i="1"/>
  <c r="U4094" i="1"/>
  <c r="U4087" i="1"/>
  <c r="U4071" i="1"/>
  <c r="U3951" i="1"/>
  <c r="U3935" i="1"/>
  <c r="U3919" i="1"/>
  <c r="U3903" i="1"/>
  <c r="U3887" i="1"/>
  <c r="U3873" i="1"/>
  <c r="U3870" i="1"/>
  <c r="U3865" i="1"/>
  <c r="U3862" i="1"/>
  <c r="U3857" i="1"/>
  <c r="U3854" i="1"/>
  <c r="U3849" i="1"/>
  <c r="U3846" i="1"/>
  <c r="U3838" i="1"/>
  <c r="U3830" i="1"/>
  <c r="U4355" i="1"/>
  <c r="U4345" i="1"/>
  <c r="U4335" i="1"/>
  <c r="U4323" i="1"/>
  <c r="U4313" i="1"/>
  <c r="U4303" i="1"/>
  <c r="U4291" i="1"/>
  <c r="U4281" i="1"/>
  <c r="U4271" i="1"/>
  <c r="U4259" i="1"/>
  <c r="U4249" i="1"/>
  <c r="U4239" i="1"/>
  <c r="U4227" i="1"/>
  <c r="U4217" i="1"/>
  <c r="U4207" i="1"/>
  <c r="U4195" i="1"/>
  <c r="U4185" i="1"/>
  <c r="U4175" i="1"/>
  <c r="U4163" i="1"/>
  <c r="U4153" i="1"/>
  <c r="U4143" i="1"/>
  <c r="U4131" i="1"/>
  <c r="U4121" i="1"/>
  <c r="U4111" i="1"/>
  <c r="U4099" i="1"/>
  <c r="U4089" i="1"/>
  <c r="U4073" i="1"/>
  <c r="U4053" i="1"/>
  <c r="U3937" i="1"/>
  <c r="U3921" i="1"/>
  <c r="U3905" i="1"/>
  <c r="U3889" i="1"/>
  <c r="U4352" i="1"/>
  <c r="U4347" i="1"/>
  <c r="U4325" i="1"/>
  <c r="U4320" i="1"/>
  <c r="U4315" i="1"/>
  <c r="U4293" i="1"/>
  <c r="U4288" i="1"/>
  <c r="U4283" i="1"/>
  <c r="U4261" i="1"/>
  <c r="U4256" i="1"/>
  <c r="U4251" i="1"/>
  <c r="U4229" i="1"/>
  <c r="U4224" i="1"/>
  <c r="U4219" i="1"/>
  <c r="U4197" i="1"/>
  <c r="U4192" i="1"/>
  <c r="U4187" i="1"/>
  <c r="U4165" i="1"/>
  <c r="U4160" i="1"/>
  <c r="U4155" i="1"/>
  <c r="U4133" i="1"/>
  <c r="U4128" i="1"/>
  <c r="U4123" i="1"/>
  <c r="U4101" i="1"/>
  <c r="U4096" i="1"/>
  <c r="U4091" i="1"/>
  <c r="U4075" i="1"/>
  <c r="U4059" i="1"/>
  <c r="U3939" i="1"/>
  <c r="U3923" i="1"/>
  <c r="U3907" i="1"/>
  <c r="U3891" i="1"/>
  <c r="U4534" i="1"/>
  <c r="U4529" i="1"/>
  <c r="U4509" i="1"/>
  <c r="U4502" i="1"/>
  <c r="U4497" i="1"/>
  <c r="U4477" i="1"/>
  <c r="U4470" i="1"/>
  <c r="U4465" i="1"/>
  <c r="U4445" i="1"/>
  <c r="U4438" i="1"/>
  <c r="U4433" i="1"/>
  <c r="U4413" i="1"/>
  <c r="U4406" i="1"/>
  <c r="U4401" i="1"/>
  <c r="U4381" i="1"/>
  <c r="U4374" i="1"/>
  <c r="U4369" i="1"/>
  <c r="U4349" i="1"/>
  <c r="U4342" i="1"/>
  <c r="U4337" i="1"/>
  <c r="U4317" i="1"/>
  <c r="U4310" i="1"/>
  <c r="U4305" i="1"/>
  <c r="U4285" i="1"/>
  <c r="U4278" i="1"/>
  <c r="U4273" i="1"/>
  <c r="U4253" i="1"/>
  <c r="U4246" i="1"/>
  <c r="U4241" i="1"/>
  <c r="U4221" i="1"/>
  <c r="U4214" i="1"/>
  <c r="U4209" i="1"/>
  <c r="U4189" i="1"/>
  <c r="U4182" i="1"/>
  <c r="U4177" i="1"/>
  <c r="U4157" i="1"/>
  <c r="U4150" i="1"/>
  <c r="U4145" i="1"/>
  <c r="U4125" i="1"/>
  <c r="U4118" i="1"/>
  <c r="U4113" i="1"/>
  <c r="U4093" i="1"/>
  <c r="U4077" i="1"/>
  <c r="U4061" i="1"/>
  <c r="U3941" i="1"/>
  <c r="U3925" i="1"/>
  <c r="U3909" i="1"/>
  <c r="U3893" i="1"/>
  <c r="U3877" i="1"/>
  <c r="U4494" i="1"/>
  <c r="U4487" i="1"/>
  <c r="U4482" i="1"/>
  <c r="U4462" i="1"/>
  <c r="U4455" i="1"/>
  <c r="U4450" i="1"/>
  <c r="U4430" i="1"/>
  <c r="U4423" i="1"/>
  <c r="U4418" i="1"/>
  <c r="U4398" i="1"/>
  <c r="U4391" i="1"/>
  <c r="U4386" i="1"/>
  <c r="U4366" i="1"/>
  <c r="U4359" i="1"/>
  <c r="U4354" i="1"/>
  <c r="U4334" i="1"/>
  <c r="U4327" i="1"/>
  <c r="U4322" i="1"/>
  <c r="U4302" i="1"/>
  <c r="U4295" i="1"/>
  <c r="U4290" i="1"/>
  <c r="U4270" i="1"/>
  <c r="U4263" i="1"/>
  <c r="U4258" i="1"/>
  <c r="U4238" i="1"/>
  <c r="U4231" i="1"/>
  <c r="U4226" i="1"/>
  <c r="U4206" i="1"/>
  <c r="U4199" i="1"/>
  <c r="U4194" i="1"/>
  <c r="U4174" i="1"/>
  <c r="U4167" i="1"/>
  <c r="U4162" i="1"/>
  <c r="U4142" i="1"/>
  <c r="U4135" i="1"/>
  <c r="U4130" i="1"/>
  <c r="U4110" i="1"/>
  <c r="U4103" i="1"/>
  <c r="U4098" i="1"/>
  <c r="U4079" i="1"/>
  <c r="U4063" i="1"/>
  <c r="U3943" i="1"/>
  <c r="U3927" i="1"/>
  <c r="U3911" i="1"/>
  <c r="U3895" i="1"/>
  <c r="U3879" i="1"/>
  <c r="U3869" i="1"/>
  <c r="U3861" i="1"/>
  <c r="U3853" i="1"/>
  <c r="U3845" i="1"/>
  <c r="U4531" i="1"/>
  <c r="U4521" i="1"/>
  <c r="U4511" i="1"/>
  <c r="U4499" i="1"/>
  <c r="U4489" i="1"/>
  <c r="U4479" i="1"/>
  <c r="U4467" i="1"/>
  <c r="U4457" i="1"/>
  <c r="U4447" i="1"/>
  <c r="U4435" i="1"/>
  <c r="U4425" i="1"/>
  <c r="U4415" i="1"/>
  <c r="U4403" i="1"/>
  <c r="U4393" i="1"/>
  <c r="U4383" i="1"/>
  <c r="U4371" i="1"/>
  <c r="U4361" i="1"/>
  <c r="U4351" i="1"/>
  <c r="U4339" i="1"/>
  <c r="U4329" i="1"/>
  <c r="U4319" i="1"/>
  <c r="U4307" i="1"/>
  <c r="U4297" i="1"/>
  <c r="U4287" i="1"/>
  <c r="U4275" i="1"/>
  <c r="U4265" i="1"/>
  <c r="U4255" i="1"/>
  <c r="U4243" i="1"/>
  <c r="U4233" i="1"/>
  <c r="U4223" i="1"/>
  <c r="U4211" i="1"/>
  <c r="U4201" i="1"/>
  <c r="U4191" i="1"/>
  <c r="U4179" i="1"/>
  <c r="U4169" i="1"/>
  <c r="U4159" i="1"/>
  <c r="U4147" i="1"/>
  <c r="U4137" i="1"/>
  <c r="U4127" i="1"/>
  <c r="U4115" i="1"/>
  <c r="U4105" i="1"/>
  <c r="U4095" i="1"/>
  <c r="U4081" i="1"/>
  <c r="U4065" i="1"/>
  <c r="U3945" i="1"/>
  <c r="U3929" i="1"/>
  <c r="U3913" i="1"/>
  <c r="U3897" i="1"/>
  <c r="U3881" i="1"/>
  <c r="U3787" i="1"/>
  <c r="U3771" i="1"/>
  <c r="U3755" i="1"/>
  <c r="U3739" i="1"/>
  <c r="U3723" i="1"/>
  <c r="U3706" i="1"/>
  <c r="U3698" i="1"/>
  <c r="U3690" i="1"/>
  <c r="U3682" i="1"/>
  <c r="U3674" i="1"/>
  <c r="U3666" i="1"/>
  <c r="U3658" i="1"/>
  <c r="U3650" i="1"/>
  <c r="U3596" i="1"/>
  <c r="U3741" i="1"/>
  <c r="U3775" i="1"/>
  <c r="U3759" i="1"/>
  <c r="U3743" i="1"/>
  <c r="U3727" i="1"/>
  <c r="U3708" i="1"/>
  <c r="U3700" i="1"/>
  <c r="U3692" i="1"/>
  <c r="U3684" i="1"/>
  <c r="U3676" i="1"/>
  <c r="U3668" i="1"/>
  <c r="U3660" i="1"/>
  <c r="U3652" i="1"/>
  <c r="U3631" i="1"/>
  <c r="U3603" i="1"/>
  <c r="U3567" i="1"/>
  <c r="U3779" i="1"/>
  <c r="U3715" i="1"/>
  <c r="U3702" i="1"/>
  <c r="U3686" i="1"/>
  <c r="U3678" i="1"/>
  <c r="U3670" i="1"/>
  <c r="U3662" i="1"/>
  <c r="U3654" i="1"/>
  <c r="U3641" i="1"/>
  <c r="U3569" i="1"/>
  <c r="U3781" i="1"/>
  <c r="U3765" i="1"/>
  <c r="U3749" i="1"/>
  <c r="U3733" i="1"/>
  <c r="U3398" i="1"/>
  <c r="U3344" i="1"/>
  <c r="U3268" i="1"/>
  <c r="U3256" i="1"/>
  <c r="U3248" i="1"/>
  <c r="U3228" i="1"/>
  <c r="U3203" i="1"/>
  <c r="U3191" i="1"/>
  <c r="U3188" i="1"/>
  <c r="U3171" i="1"/>
  <c r="U3492" i="1"/>
  <c r="U3484" i="1"/>
  <c r="U2922" i="1"/>
  <c r="U2116" i="1"/>
  <c r="U3644" i="1"/>
  <c r="U3598" i="1"/>
  <c r="U3591" i="1"/>
  <c r="U3557" i="1"/>
  <c r="U3545" i="1"/>
  <c r="U3537" i="1"/>
  <c r="U3529" i="1"/>
  <c r="U3521" i="1"/>
  <c r="U3513" i="1"/>
  <c r="U3505" i="1"/>
  <c r="U3497" i="1"/>
  <c r="U3489" i="1"/>
  <c r="U3481" i="1"/>
  <c r="U3473" i="1"/>
  <c r="U3465" i="1"/>
  <c r="U3457" i="1"/>
  <c r="U3449" i="1"/>
  <c r="U3436" i="1"/>
  <c r="U3413" i="1"/>
  <c r="U3408" i="1"/>
  <c r="U3385" i="1"/>
  <c r="U3372" i="1"/>
  <c r="U3349" i="1"/>
  <c r="U3328" i="1"/>
  <c r="U3321" i="1"/>
  <c r="U3280" i="1"/>
  <c r="U3260" i="1"/>
  <c r="U3253" i="1"/>
  <c r="U3235" i="1"/>
  <c r="U3215" i="1"/>
  <c r="U3205" i="1"/>
  <c r="U3193" i="1"/>
  <c r="U3183" i="1"/>
  <c r="U3173" i="1"/>
  <c r="U3163" i="1"/>
  <c r="U3158" i="1"/>
  <c r="U3151" i="1"/>
  <c r="U3095" i="1"/>
  <c r="U3063" i="1"/>
  <c r="U3040" i="1"/>
  <c r="U2816" i="1"/>
  <c r="U2274" i="1"/>
  <c r="U3646" i="1"/>
  <c r="U3639" i="1"/>
  <c r="U3605" i="1"/>
  <c r="U3571" i="1"/>
  <c r="U3564" i="1"/>
  <c r="U3462" i="1"/>
  <c r="U3454" i="1"/>
  <c r="U3446" i="1"/>
  <c r="U3441" i="1"/>
  <c r="U3438" i="1"/>
  <c r="U3428" i="1"/>
  <c r="U3405" i="1"/>
  <c r="U3382" i="1"/>
  <c r="U3377" i="1"/>
  <c r="U3374" i="1"/>
  <c r="U3364" i="1"/>
  <c r="U3341" i="1"/>
  <c r="U3318" i="1"/>
  <c r="U3313" i="1"/>
  <c r="U3308" i="1"/>
  <c r="U3293" i="1"/>
  <c r="U3273" i="1"/>
  <c r="U3252" i="1"/>
  <c r="U3232" i="1"/>
  <c r="U3212" i="1"/>
  <c r="U3180" i="1"/>
  <c r="U3146" i="1"/>
  <c r="U3118" i="1"/>
  <c r="U3100" i="1"/>
  <c r="U3076" i="1"/>
  <c r="U2708" i="1"/>
  <c r="U2500" i="1"/>
  <c r="U2450" i="1"/>
  <c r="U2400" i="1"/>
  <c r="U2350" i="1"/>
  <c r="U2092" i="1"/>
  <c r="U1729" i="1"/>
  <c r="U3430" i="1"/>
  <c r="U3312" i="1"/>
  <c r="U3245" i="1"/>
  <c r="U3237" i="1"/>
  <c r="U3227" i="1"/>
  <c r="U3222" i="1"/>
  <c r="U3217" i="1"/>
  <c r="U3207" i="1"/>
  <c r="U3204" i="1"/>
  <c r="U3187" i="1"/>
  <c r="U3175" i="1"/>
  <c r="U3172" i="1"/>
  <c r="U3170" i="1"/>
  <c r="U3165" i="1"/>
  <c r="U3160" i="1"/>
  <c r="U3155" i="1"/>
  <c r="U3148" i="1"/>
  <c r="U3130" i="1"/>
  <c r="U3123" i="1"/>
  <c r="U3097" i="1"/>
  <c r="U3094" i="1"/>
  <c r="U3089" i="1"/>
  <c r="U3078" i="1"/>
  <c r="U3073" i="1"/>
  <c r="U2826" i="1"/>
  <c r="U2608" i="1"/>
  <c r="U2162" i="1"/>
  <c r="U3614" i="1"/>
  <c r="U3607" i="1"/>
  <c r="U2402" i="1"/>
  <c r="U2352" i="1"/>
  <c r="U3587" i="1"/>
  <c r="U3580" i="1"/>
  <c r="U3541" i="1"/>
  <c r="U3533" i="1"/>
  <c r="U3525" i="1"/>
  <c r="U3517" i="1"/>
  <c r="U3509" i="1"/>
  <c r="U3501" i="1"/>
  <c r="U3493" i="1"/>
  <c r="U3485" i="1"/>
  <c r="U3477" i="1"/>
  <c r="U3469" i="1"/>
  <c r="U3461" i="1"/>
  <c r="U3453" i="1"/>
  <c r="U3445" i="1"/>
  <c r="U3440" i="1"/>
  <c r="U3417" i="1"/>
  <c r="U3414" i="1"/>
  <c r="U3404" i="1"/>
  <c r="U3381" i="1"/>
  <c r="U3376" i="1"/>
  <c r="U3353" i="1"/>
  <c r="U3340" i="1"/>
  <c r="U3317" i="1"/>
  <c r="U3302" i="1"/>
  <c r="U3297" i="1"/>
  <c r="U3292" i="1"/>
  <c r="U3277" i="1"/>
  <c r="U3257" i="1"/>
  <c r="U3254" i="1"/>
  <c r="U3236" i="1"/>
  <c r="U3229" i="1"/>
  <c r="U3216" i="1"/>
  <c r="U3209" i="1"/>
  <c r="U3199" i="1"/>
  <c r="U3189" i="1"/>
  <c r="U3177" i="1"/>
  <c r="U3169" i="1"/>
  <c r="U3164" i="1"/>
  <c r="U3142" i="1"/>
  <c r="U3137" i="1"/>
  <c r="U3112" i="1"/>
  <c r="U2999" i="1"/>
  <c r="U2870" i="1"/>
  <c r="U2302" i="1"/>
  <c r="U2182" i="1"/>
  <c r="U3635" i="1"/>
  <c r="U3628" i="1"/>
  <c r="U3582" i="1"/>
  <c r="U3575" i="1"/>
  <c r="U3466" i="1"/>
  <c r="U3458" i="1"/>
  <c r="U3450" i="1"/>
  <c r="U3437" i="1"/>
  <c r="U3409" i="1"/>
  <c r="U3406" i="1"/>
  <c r="U3396" i="1"/>
  <c r="U3373" i="1"/>
  <c r="U3345" i="1"/>
  <c r="U3342" i="1"/>
  <c r="U3332" i="1"/>
  <c r="U3296" i="1"/>
  <c r="U3284" i="1"/>
  <c r="U3269" i="1"/>
  <c r="U3249" i="1"/>
  <c r="U3231" i="1"/>
  <c r="U3221" i="1"/>
  <c r="U3211" i="1"/>
  <c r="U3206" i="1"/>
  <c r="U3201" i="1"/>
  <c r="U3196" i="1"/>
  <c r="U3179" i="1"/>
  <c r="U3174" i="1"/>
  <c r="U3159" i="1"/>
  <c r="U3147" i="1"/>
  <c r="U3012" i="1"/>
  <c r="U2644" i="1"/>
  <c r="U2254" i="1"/>
  <c r="U3161" i="1"/>
  <c r="U3149" i="1"/>
  <c r="U3144" i="1"/>
  <c r="U3139" i="1"/>
  <c r="U3092" i="1"/>
  <c r="U3056" i="1"/>
  <c r="U3002" i="1"/>
  <c r="U2958" i="1"/>
  <c r="U2950" i="1"/>
  <c r="U2909" i="1"/>
  <c r="U2896" i="1"/>
  <c r="U2883" i="1"/>
  <c r="U2852" i="1"/>
  <c r="U2839" i="1"/>
  <c r="U2836" i="1"/>
  <c r="U2808" i="1"/>
  <c r="U2803" i="1"/>
  <c r="U2746" i="1"/>
  <c r="U2736" i="1"/>
  <c r="U2728" i="1"/>
  <c r="U2713" i="1"/>
  <c r="U2698" i="1"/>
  <c r="U2675" i="1"/>
  <c r="U2649" i="1"/>
  <c r="U2621" i="1"/>
  <c r="U2610" i="1"/>
  <c r="U2590" i="1"/>
  <c r="U2577" i="1"/>
  <c r="U2569" i="1"/>
  <c r="U2566" i="1"/>
  <c r="U2559" i="1"/>
  <c r="U2551" i="1"/>
  <c r="U2541" i="1"/>
  <c r="U2533" i="1"/>
  <c r="U2528" i="1"/>
  <c r="U2523" i="1"/>
  <c r="U2513" i="1"/>
  <c r="U2490" i="1"/>
  <c r="U2465" i="1"/>
  <c r="U2455" i="1"/>
  <c r="U2440" i="1"/>
  <c r="U2425" i="1"/>
  <c r="U2422" i="1"/>
  <c r="U2415" i="1"/>
  <c r="U2410" i="1"/>
  <c r="U2395" i="1"/>
  <c r="U2387" i="1"/>
  <c r="U2380" i="1"/>
  <c r="U2372" i="1"/>
  <c r="U2365" i="1"/>
  <c r="U2357" i="1"/>
  <c r="U2337" i="1"/>
  <c r="U2327" i="1"/>
  <c r="U2312" i="1"/>
  <c r="U2297" i="1"/>
  <c r="U2294" i="1"/>
  <c r="U2287" i="1"/>
  <c r="U2282" i="1"/>
  <c r="U2267" i="1"/>
  <c r="U2259" i="1"/>
  <c r="U2249" i="1"/>
  <c r="U2246" i="1"/>
  <c r="U2241" i="1"/>
  <c r="U2231" i="1"/>
  <c r="U2218" i="1"/>
  <c r="U2200" i="1"/>
  <c r="U2175" i="1"/>
  <c r="U1646" i="1"/>
  <c r="U1641" i="1"/>
  <c r="U2968" i="1"/>
  <c r="U2963" i="1"/>
  <c r="U2906" i="1"/>
  <c r="U2893" i="1"/>
  <c r="U2888" i="1"/>
  <c r="U2862" i="1"/>
  <c r="U2813" i="1"/>
  <c r="U2787" i="1"/>
  <c r="U2756" i="1"/>
  <c r="U2743" i="1"/>
  <c r="U2723" i="1"/>
  <c r="U2718" i="1"/>
  <c r="U2695" i="1"/>
  <c r="U2682" i="1"/>
  <c r="U2636" i="1"/>
  <c r="U2618" i="1"/>
  <c r="U2600" i="1"/>
  <c r="U2595" i="1"/>
  <c r="U2592" i="1"/>
  <c r="U2587" i="1"/>
  <c r="U2574" i="1"/>
  <c r="U2561" i="1"/>
  <c r="U2556" i="1"/>
  <c r="U2538" i="1"/>
  <c r="U2520" i="1"/>
  <c r="U2515" i="1"/>
  <c r="U2505" i="1"/>
  <c r="U2502" i="1"/>
  <c r="U2495" i="1"/>
  <c r="U2487" i="1"/>
  <c r="U2475" i="1"/>
  <c r="U2467" i="1"/>
  <c r="U2452" i="1"/>
  <c r="U2445" i="1"/>
  <c r="U2437" i="1"/>
  <c r="U2417" i="1"/>
  <c r="U2407" i="1"/>
  <c r="U2392" i="1"/>
  <c r="U2377" i="1"/>
  <c r="U2374" i="1"/>
  <c r="U2367" i="1"/>
  <c r="U2362" i="1"/>
  <c r="U2347" i="1"/>
  <c r="U2339" i="1"/>
  <c r="U2324" i="1"/>
  <c r="U2317" i="1"/>
  <c r="U2309" i="1"/>
  <c r="U2289" i="1"/>
  <c r="U2279" i="1"/>
  <c r="U2264" i="1"/>
  <c r="U2228" i="1"/>
  <c r="U2223" i="1"/>
  <c r="U2172" i="1"/>
  <c r="U2152" i="1"/>
  <c r="U2147" i="1"/>
  <c r="U2118" i="1"/>
  <c r="U2111" i="1"/>
  <c r="U2099" i="1"/>
  <c r="U1827" i="1"/>
  <c r="U1809" i="1"/>
  <c r="U1731" i="1"/>
  <c r="U1664" i="1"/>
  <c r="U1571" i="1"/>
  <c r="U1553" i="1"/>
  <c r="U1475" i="1"/>
  <c r="U3068" i="1"/>
  <c r="U3022" i="1"/>
  <c r="U3014" i="1"/>
  <c r="U2973" i="1"/>
  <c r="U2947" i="1"/>
  <c r="U2916" i="1"/>
  <c r="U2903" i="1"/>
  <c r="U2872" i="1"/>
  <c r="U2867" i="1"/>
  <c r="U2810" i="1"/>
  <c r="U2766" i="1"/>
  <c r="U2758" i="1"/>
  <c r="U2730" i="1"/>
  <c r="U2700" i="1"/>
  <c r="U2369" i="1"/>
  <c r="U2359" i="1"/>
  <c r="U2344" i="1"/>
  <c r="U2329" i="1"/>
  <c r="U2326" i="1"/>
  <c r="U2319" i="1"/>
  <c r="U2314" i="1"/>
  <c r="U2299" i="1"/>
  <c r="U2291" i="1"/>
  <c r="U2284" i="1"/>
  <c r="U2212" i="1"/>
  <c r="U2207" i="1"/>
  <c r="U2202" i="1"/>
  <c r="U2184" i="1"/>
  <c r="U2179" i="1"/>
  <c r="U2169" i="1"/>
  <c r="U2164" i="1"/>
  <c r="U2157" i="1"/>
  <c r="U2142" i="1"/>
  <c r="U2127" i="1"/>
  <c r="U2113" i="1"/>
  <c r="U2106" i="1"/>
  <c r="U2079" i="1"/>
  <c r="U2047" i="1"/>
  <c r="U2015" i="1"/>
  <c r="U1983" i="1"/>
  <c r="U1951" i="1"/>
  <c r="U1919" i="1"/>
  <c r="U1887" i="1"/>
  <c r="U1847" i="1"/>
  <c r="U1757" i="1"/>
  <c r="U1749" i="1"/>
  <c r="U1661" i="1"/>
  <c r="U1591" i="1"/>
  <c r="U1501" i="1"/>
  <c r="U1493" i="1"/>
  <c r="U3117" i="1"/>
  <c r="U3065" i="1"/>
  <c r="U3032" i="1"/>
  <c r="U3027" i="1"/>
  <c r="U2970" i="1"/>
  <c r="U2926" i="1"/>
  <c r="U2918" i="1"/>
  <c r="U2877" i="1"/>
  <c r="U2851" i="1"/>
  <c r="U2820" i="1"/>
  <c r="U2807" i="1"/>
  <c r="U2804" i="1"/>
  <c r="U2776" i="1"/>
  <c r="U2771" i="1"/>
  <c r="U2745" i="1"/>
  <c r="U2712" i="1"/>
  <c r="U2697" i="1"/>
  <c r="U2648" i="1"/>
  <c r="U2638" i="1"/>
  <c r="U2620" i="1"/>
  <c r="U2602" i="1"/>
  <c r="U2589" i="1"/>
  <c r="U2581" i="1"/>
  <c r="U2568" i="1"/>
  <c r="U2563" i="1"/>
  <c r="U2522" i="1"/>
  <c r="U2507" i="1"/>
  <c r="U2497" i="1"/>
  <c r="U2489" i="1"/>
  <c r="U2486" i="1"/>
  <c r="U2477" i="1"/>
  <c r="U2469" i="1"/>
  <c r="U2449" i="1"/>
  <c r="U2439" i="1"/>
  <c r="U2424" i="1"/>
  <c r="U2409" i="1"/>
  <c r="U2406" i="1"/>
  <c r="U2399" i="1"/>
  <c r="U2394" i="1"/>
  <c r="U2379" i="1"/>
  <c r="U2371" i="1"/>
  <c r="U2356" i="1"/>
  <c r="U2349" i="1"/>
  <c r="U2341" i="1"/>
  <c r="U2321" i="1"/>
  <c r="U2278" i="1"/>
  <c r="U2174" i="1"/>
  <c r="U2154" i="1"/>
  <c r="U2149" i="1"/>
  <c r="U2139" i="1"/>
  <c r="U2129" i="1"/>
  <c r="U2115" i="1"/>
  <c r="U2074" i="1"/>
  <c r="U2042" i="1"/>
  <c r="U2010" i="1"/>
  <c r="U1978" i="1"/>
  <c r="U1946" i="1"/>
  <c r="U1521" i="1"/>
  <c r="U3131" i="1"/>
  <c r="U3126" i="1"/>
  <c r="U3114" i="1"/>
  <c r="U3088" i="1"/>
  <c r="U3037" i="1"/>
  <c r="U3024" i="1"/>
  <c r="U3011" i="1"/>
  <c r="U2980" i="1"/>
  <c r="U2967" i="1"/>
  <c r="U2964" i="1"/>
  <c r="U2936" i="1"/>
  <c r="U2931" i="1"/>
  <c r="U2874" i="1"/>
  <c r="U2830" i="1"/>
  <c r="U2781" i="1"/>
  <c r="U2768" i="1"/>
  <c r="U2755" i="1"/>
  <c r="U2707" i="1"/>
  <c r="U2681" i="1"/>
  <c r="U2666" i="1"/>
  <c r="U2643" i="1"/>
  <c r="U2599" i="1"/>
  <c r="U2586" i="1"/>
  <c r="U2573" i="1"/>
  <c r="U2565" i="1"/>
  <c r="U2555" i="1"/>
  <c r="U2545" i="1"/>
  <c r="U2537" i="1"/>
  <c r="U2534" i="1"/>
  <c r="U2527" i="1"/>
  <c r="U2519" i="1"/>
  <c r="U2504" i="1"/>
  <c r="U2499" i="1"/>
  <c r="U2494" i="1"/>
  <c r="U2479" i="1"/>
  <c r="U2474" i="1"/>
  <c r="U2459" i="1"/>
  <c r="U2451" i="1"/>
  <c r="U2444" i="1"/>
  <c r="U2436" i="1"/>
  <c r="U2429" i="1"/>
  <c r="U2421" i="1"/>
  <c r="U2401" i="1"/>
  <c r="U2391" i="1"/>
  <c r="U2376" i="1"/>
  <c r="U2358" i="1"/>
  <c r="U2323" i="1"/>
  <c r="U2273" i="1"/>
  <c r="U2222" i="1"/>
  <c r="U2161" i="1"/>
  <c r="U2151" i="1"/>
  <c r="U1774" i="1"/>
  <c r="U1769" i="1"/>
  <c r="U1513" i="1"/>
  <c r="U3133" i="1"/>
  <c r="U3108" i="1"/>
  <c r="U3090" i="1"/>
  <c r="U3034" i="1"/>
  <c r="U2982" i="1"/>
  <c r="U2884" i="1"/>
  <c r="U2868" i="1"/>
  <c r="U2778" i="1"/>
  <c r="U2714" i="1"/>
  <c r="U2686" i="1"/>
  <c r="U2663" i="1"/>
  <c r="U2660" i="1"/>
  <c r="U2632" i="1"/>
  <c r="U2627" i="1"/>
  <c r="U2583" i="1"/>
  <c r="U2547" i="1"/>
  <c r="U2542" i="1"/>
  <c r="U2524" i="1"/>
  <c r="U2481" i="1"/>
  <c r="U2471" i="1"/>
  <c r="U2441" i="1"/>
  <c r="U2426" i="1"/>
  <c r="U2373" i="1"/>
  <c r="U2353" i="1"/>
  <c r="U2343" i="1"/>
  <c r="U2303" i="1"/>
  <c r="U2298" i="1"/>
  <c r="U2283" i="1"/>
  <c r="U2275" i="1"/>
  <c r="U2250" i="1"/>
  <c r="U2232" i="1"/>
  <c r="U2219" i="1"/>
  <c r="U2211" i="1"/>
  <c r="U2201" i="1"/>
  <c r="U2198" i="1"/>
  <c r="U2193" i="1"/>
  <c r="U2183" i="1"/>
  <c r="U2168" i="1"/>
  <c r="U2141" i="1"/>
  <c r="U1859" i="1"/>
  <c r="U1792" i="1"/>
  <c r="U1681" i="1"/>
  <c r="U1611" i="1"/>
  <c r="U1603" i="1"/>
  <c r="U1536" i="1"/>
  <c r="U3028" i="1"/>
  <c r="U2886" i="1"/>
  <c r="U2772" i="1"/>
  <c r="U2706" i="1"/>
  <c r="U2642" i="1"/>
  <c r="U2626" i="1"/>
  <c r="U2598" i="1"/>
  <c r="U2575" i="1"/>
  <c r="U2567" i="1"/>
  <c r="U2557" i="1"/>
  <c r="U2549" i="1"/>
  <c r="U2544" i="1"/>
  <c r="U2539" i="1"/>
  <c r="U2529" i="1"/>
  <c r="U2521" i="1"/>
  <c r="U2518" i="1"/>
  <c r="U2506" i="1"/>
  <c r="U2488" i="1"/>
  <c r="U2483" i="1"/>
  <c r="U2476" i="1"/>
  <c r="U2468" i="1"/>
  <c r="U2461" i="1"/>
  <c r="U2453" i="1"/>
  <c r="U2433" i="1"/>
  <c r="U2423" i="1"/>
  <c r="U2408" i="1"/>
  <c r="U2393" i="1"/>
  <c r="U2390" i="1"/>
  <c r="U2383" i="1"/>
  <c r="U2378" i="1"/>
  <c r="U2363" i="1"/>
  <c r="U2355" i="1"/>
  <c r="U2348" i="1"/>
  <c r="U2340" i="1"/>
  <c r="U2333" i="1"/>
  <c r="U2325" i="1"/>
  <c r="U2305" i="1"/>
  <c r="U2295" i="1"/>
  <c r="U2280" i="1"/>
  <c r="U2265" i="1"/>
  <c r="U2262" i="1"/>
  <c r="U2257" i="1"/>
  <c r="U2247" i="1"/>
  <c r="U2237" i="1"/>
  <c r="U2229" i="1"/>
  <c r="U2226" i="1"/>
  <c r="U2216" i="1"/>
  <c r="U2173" i="1"/>
  <c r="U2153" i="1"/>
  <c r="U2148" i="1"/>
  <c r="U2138" i="1"/>
  <c r="U2133" i="1"/>
  <c r="U2119" i="1"/>
  <c r="U2095" i="1"/>
  <c r="U2063" i="1"/>
  <c r="U2031" i="1"/>
  <c r="U1999" i="1"/>
  <c r="U1967" i="1"/>
  <c r="U1935" i="1"/>
  <c r="U1903" i="1"/>
  <c r="U1871" i="1"/>
  <c r="U1789" i="1"/>
  <c r="U1719" i="1"/>
  <c r="U1629" i="1"/>
  <c r="U1621" i="1"/>
  <c r="U1533" i="1"/>
  <c r="U1463" i="1"/>
  <c r="U2109" i="1"/>
  <c r="U2093" i="1"/>
  <c r="U2077" i="1"/>
  <c r="U2061" i="1"/>
  <c r="U2045" i="1"/>
  <c r="U2029" i="1"/>
  <c r="U2013" i="1"/>
  <c r="U1997" i="1"/>
  <c r="U1981" i="1"/>
  <c r="U1965" i="1"/>
  <c r="U1949" i="1"/>
  <c r="U1933" i="1"/>
  <c r="U1917" i="1"/>
  <c r="U1901" i="1"/>
  <c r="U1885" i="1"/>
  <c r="U1869" i="1"/>
  <c r="U1840" i="1"/>
  <c r="U1807" i="1"/>
  <c r="U1797" i="1"/>
  <c r="U1767" i="1"/>
  <c r="U1742" i="1"/>
  <c r="U1712" i="1"/>
  <c r="U1679" i="1"/>
  <c r="U1669" i="1"/>
  <c r="U1639" i="1"/>
  <c r="U1614" i="1"/>
  <c r="U1584" i="1"/>
  <c r="U1551" i="1"/>
  <c r="U1541" i="1"/>
  <c r="U1511" i="1"/>
  <c r="U1486" i="1"/>
  <c r="U1466" i="1"/>
  <c r="U1456" i="1"/>
  <c r="U1451" i="1"/>
  <c r="U1436" i="1"/>
  <c r="U1428" i="1"/>
  <c r="U1423" i="1"/>
  <c r="U1416" i="1"/>
  <c r="U1384" i="1"/>
  <c r="U1349" i="1"/>
  <c r="U1334" i="1"/>
  <c r="U1295" i="1"/>
  <c r="U1290" i="1"/>
  <c r="U1263" i="1"/>
  <c r="U1258" i="1"/>
  <c r="U1231" i="1"/>
  <c r="U1228" i="1"/>
  <c r="U1198" i="1"/>
  <c r="U1193" i="1"/>
  <c r="U1134" i="1"/>
  <c r="U988" i="1"/>
  <c r="U870" i="1"/>
  <c r="U806" i="1"/>
  <c r="U1458" i="1"/>
  <c r="U1448" i="1"/>
  <c r="U1438" i="1"/>
  <c r="U1413" i="1"/>
  <c r="U1408" i="1"/>
  <c r="U1398" i="1"/>
  <c r="U1354" i="1"/>
  <c r="U1351" i="1"/>
  <c r="U1346" i="1"/>
  <c r="U1285" i="1"/>
  <c r="U1253" i="1"/>
  <c r="U1221" i="1"/>
  <c r="U1460" i="1"/>
  <c r="U1455" i="1"/>
  <c r="U1445" i="1"/>
  <c r="U1430" i="1"/>
  <c r="U1418" i="1"/>
  <c r="U1356" i="1"/>
  <c r="U2083" i="1"/>
  <c r="U2067" i="1"/>
  <c r="U2051" i="1"/>
  <c r="U2035" i="1"/>
  <c r="U2019" i="1"/>
  <c r="U2003" i="1"/>
  <c r="U1987" i="1"/>
  <c r="U1971" i="1"/>
  <c r="U1955" i="1"/>
  <c r="U1939" i="1"/>
  <c r="U1923" i="1"/>
  <c r="U1907" i="1"/>
  <c r="U1891" i="1"/>
  <c r="U1875" i="1"/>
  <c r="U1854" i="1"/>
  <c r="U1849" i="1"/>
  <c r="U1824" i="1"/>
  <c r="U1819" i="1"/>
  <c r="U1791" i="1"/>
  <c r="U1781" i="1"/>
  <c r="U1751" i="1"/>
  <c r="U1726" i="1"/>
  <c r="U1721" i="1"/>
  <c r="U1696" i="1"/>
  <c r="U1691" i="1"/>
  <c r="U1663" i="1"/>
  <c r="U1653" i="1"/>
  <c r="U1623" i="1"/>
  <c r="U1598" i="1"/>
  <c r="U1593" i="1"/>
  <c r="U1568" i="1"/>
  <c r="U1563" i="1"/>
  <c r="U1535" i="1"/>
  <c r="U1525" i="1"/>
  <c r="U1510" i="1"/>
  <c r="U1495" i="1"/>
  <c r="U1480" i="1"/>
  <c r="U1470" i="1"/>
  <c r="U1465" i="1"/>
  <c r="U1450" i="1"/>
  <c r="U1440" i="1"/>
  <c r="U1435" i="1"/>
  <c r="U1420" i="1"/>
  <c r="U1415" i="1"/>
  <c r="U1410" i="1"/>
  <c r="U1371" i="1"/>
  <c r="U1361" i="1"/>
  <c r="U1353" i="1"/>
  <c r="U1304" i="1"/>
  <c r="U1294" i="1"/>
  <c r="U1262" i="1"/>
  <c r="U1161" i="1"/>
  <c r="U1156" i="1"/>
  <c r="U1146" i="1"/>
  <c r="U945" i="1"/>
  <c r="U879" i="1"/>
  <c r="U856" i="1"/>
  <c r="U768" i="1"/>
  <c r="U2101" i="1"/>
  <c r="U2085" i="1"/>
  <c r="U2069" i="1"/>
  <c r="U2053" i="1"/>
  <c r="U2037" i="1"/>
  <c r="U2021" i="1"/>
  <c r="U2005" i="1"/>
  <c r="U1989" i="1"/>
  <c r="U1973" i="1"/>
  <c r="U1957" i="1"/>
  <c r="U1941" i="1"/>
  <c r="U1925" i="1"/>
  <c r="U1909" i="1"/>
  <c r="U1893" i="1"/>
  <c r="U1877" i="1"/>
  <c r="U1861" i="1"/>
  <c r="U1831" i="1"/>
  <c r="U1806" i="1"/>
  <c r="U1776" i="1"/>
  <c r="U1743" i="1"/>
  <c r="U1733" i="1"/>
  <c r="U1703" i="1"/>
  <c r="U1678" i="1"/>
  <c r="U1648" i="1"/>
  <c r="U1615" i="1"/>
  <c r="U1605" i="1"/>
  <c r="U1575" i="1"/>
  <c r="U1550" i="1"/>
  <c r="U1520" i="1"/>
  <c r="U1487" i="1"/>
  <c r="U1477" i="1"/>
  <c r="U1462" i="1"/>
  <c r="U1447" i="1"/>
  <c r="U1442" i="1"/>
  <c r="U1432" i="1"/>
  <c r="U1422" i="1"/>
  <c r="U1412" i="1"/>
  <c r="U1368" i="1"/>
  <c r="U1358" i="1"/>
  <c r="U1328" i="1"/>
  <c r="U1316" i="1"/>
  <c r="U1309" i="1"/>
  <c r="U1274" i="1"/>
  <c r="U1242" i="1"/>
  <c r="U1232" i="1"/>
  <c r="U1205" i="1"/>
  <c r="U953" i="1"/>
  <c r="U714" i="1"/>
  <c r="U650" i="1"/>
  <c r="U2087" i="1"/>
  <c r="U2071" i="1"/>
  <c r="U2055" i="1"/>
  <c r="U2039" i="1"/>
  <c r="U2023" i="1"/>
  <c r="U2007" i="1"/>
  <c r="U1991" i="1"/>
  <c r="U1975" i="1"/>
  <c r="U1959" i="1"/>
  <c r="U1943" i="1"/>
  <c r="U1927" i="1"/>
  <c r="U1911" i="1"/>
  <c r="U1895" i="1"/>
  <c r="U1879" i="1"/>
  <c r="U1863" i="1"/>
  <c r="U1856" i="1"/>
  <c r="U1813" i="1"/>
  <c r="U1783" i="1"/>
  <c r="U1758" i="1"/>
  <c r="U1728" i="1"/>
  <c r="U1685" i="1"/>
  <c r="U1655" i="1"/>
  <c r="U1630" i="1"/>
  <c r="U1600" i="1"/>
  <c r="U1557" i="1"/>
  <c r="U1527" i="1"/>
  <c r="U1502" i="1"/>
  <c r="U1482" i="1"/>
  <c r="U1472" i="1"/>
  <c r="U1452" i="1"/>
  <c r="U1444" i="1"/>
  <c r="U1439" i="1"/>
  <c r="U1429" i="1"/>
  <c r="U1402" i="1"/>
  <c r="U1392" i="1"/>
  <c r="U1380" i="1"/>
  <c r="U1373" i="1"/>
  <c r="U1340" i="1"/>
  <c r="U1330" i="1"/>
  <c r="U1318" i="1"/>
  <c r="U1303" i="1"/>
  <c r="U1276" i="1"/>
  <c r="U1269" i="1"/>
  <c r="U1244" i="1"/>
  <c r="U1237" i="1"/>
  <c r="U1214" i="1"/>
  <c r="U1168" i="1"/>
  <c r="U1163" i="1"/>
  <c r="U1021" i="1"/>
  <c r="U840" i="1"/>
  <c r="U2276" i="1"/>
  <c r="U2269" i="1"/>
  <c r="U2261" i="1"/>
  <c r="U2258" i="1"/>
  <c r="U2251" i="1"/>
  <c r="U2243" i="1"/>
  <c r="U2233" i="1"/>
  <c r="U2230" i="1"/>
  <c r="U2225" i="1"/>
  <c r="U2215" i="1"/>
  <c r="U2205" i="1"/>
  <c r="U2197" i="1"/>
  <c r="U2194" i="1"/>
  <c r="U2187" i="1"/>
  <c r="U2177" i="1"/>
  <c r="U2167" i="1"/>
  <c r="U2155" i="1"/>
  <c r="U2145" i="1"/>
  <c r="U2135" i="1"/>
  <c r="U2121" i="1"/>
  <c r="U2105" i="1"/>
  <c r="U2089" i="1"/>
  <c r="U2073" i="1"/>
  <c r="U2057" i="1"/>
  <c r="U2041" i="1"/>
  <c r="U2025" i="1"/>
  <c r="U2009" i="1"/>
  <c r="U1993" i="1"/>
  <c r="U1977" i="1"/>
  <c r="U1961" i="1"/>
  <c r="U1945" i="1"/>
  <c r="U1929" i="1"/>
  <c r="U1913" i="1"/>
  <c r="U1897" i="1"/>
  <c r="U1881" i="1"/>
  <c r="U1865" i="1"/>
  <c r="U1838" i="1"/>
  <c r="U1833" i="1"/>
  <c r="U1808" i="1"/>
  <c r="U1803" i="1"/>
  <c r="U1775" i="1"/>
  <c r="U1765" i="1"/>
  <c r="U1735" i="1"/>
  <c r="U1710" i="1"/>
  <c r="U1705" i="1"/>
  <c r="U1680" i="1"/>
  <c r="U1647" i="1"/>
  <c r="U1637" i="1"/>
  <c r="U1607" i="1"/>
  <c r="U1582" i="1"/>
  <c r="U1577" i="1"/>
  <c r="U1552" i="1"/>
  <c r="U1519" i="1"/>
  <c r="U1509" i="1"/>
  <c r="U1494" i="1"/>
  <c r="U1479" i="1"/>
  <c r="U1474" i="1"/>
  <c r="U1464" i="1"/>
  <c r="U1337" i="1"/>
  <c r="U1041" i="1"/>
  <c r="U910" i="1"/>
  <c r="U902" i="1"/>
  <c r="U822" i="1"/>
  <c r="U752" i="1"/>
  <c r="U688" i="1"/>
  <c r="U1288" i="1"/>
  <c r="U1272" i="1"/>
  <c r="U1256" i="1"/>
  <c r="U1240" i="1"/>
  <c r="U1226" i="1"/>
  <c r="U1210" i="1"/>
  <c r="U1186" i="1"/>
  <c r="U1178" i="1"/>
  <c r="U1154" i="1"/>
  <c r="U1147" i="1"/>
  <c r="U1037" i="1"/>
  <c r="U1022" i="1"/>
  <c r="U1017" i="1"/>
  <c r="U989" i="1"/>
  <c r="U974" i="1"/>
  <c r="U969" i="1"/>
  <c r="U946" i="1"/>
  <c r="U931" i="1"/>
  <c r="U911" i="1"/>
  <c r="U903" i="1"/>
  <c r="U895" i="1"/>
  <c r="U892" i="1"/>
  <c r="U887" i="1"/>
  <c r="U873" i="1"/>
  <c r="U857" i="1"/>
  <c r="U841" i="1"/>
  <c r="U825" i="1"/>
  <c r="U809" i="1"/>
  <c r="U776" i="1"/>
  <c r="U769" i="1"/>
  <c r="U755" i="1"/>
  <c r="U748" i="1"/>
  <c r="U743" i="1"/>
  <c r="U729" i="1"/>
  <c r="U691" i="1"/>
  <c r="U684" i="1"/>
  <c r="U679" i="1"/>
  <c r="U665" i="1"/>
  <c r="U599" i="1"/>
  <c r="U589" i="1"/>
  <c r="U550" i="1"/>
  <c r="U1127" i="1"/>
  <c r="U1124" i="1"/>
  <c r="U1119" i="1"/>
  <c r="U1116" i="1"/>
  <c r="U1111" i="1"/>
  <c r="U1108" i="1"/>
  <c r="U1103" i="1"/>
  <c r="U1100" i="1"/>
  <c r="U1095" i="1"/>
  <c r="U1092" i="1"/>
  <c r="U1087" i="1"/>
  <c r="U1084" i="1"/>
  <c r="U1079" i="1"/>
  <c r="U1076" i="1"/>
  <c r="U1071" i="1"/>
  <c r="U1068" i="1"/>
  <c r="U1063" i="1"/>
  <c r="U1060" i="1"/>
  <c r="U1055" i="1"/>
  <c r="U1052" i="1"/>
  <c r="U1029" i="1"/>
  <c r="U1004" i="1"/>
  <c r="U981" i="1"/>
  <c r="U956" i="1"/>
  <c r="U951" i="1"/>
  <c r="U941" i="1"/>
  <c r="U926" i="1"/>
  <c r="U921" i="1"/>
  <c r="U875" i="1"/>
  <c r="U859" i="1"/>
  <c r="U843" i="1"/>
  <c r="U827" i="1"/>
  <c r="U811" i="1"/>
  <c r="U795" i="1"/>
  <c r="U778" i="1"/>
  <c r="U771" i="1"/>
  <c r="U757" i="1"/>
  <c r="U717" i="1"/>
  <c r="U712" i="1"/>
  <c r="U705" i="1"/>
  <c r="U693" i="1"/>
  <c r="U653" i="1"/>
  <c r="U648" i="1"/>
  <c r="U625" i="1"/>
  <c r="U602" i="1"/>
  <c r="U586" i="1"/>
  <c r="U583" i="1"/>
  <c r="U573" i="1"/>
  <c r="U815" i="1"/>
  <c r="U799" i="1"/>
  <c r="U782" i="1"/>
  <c r="U775" i="1"/>
  <c r="U709" i="1"/>
  <c r="U645" i="1"/>
  <c r="U601" i="1"/>
  <c r="U588" i="1"/>
  <c r="U507" i="1"/>
  <c r="U1372" i="1"/>
  <c r="U1360" i="1"/>
  <c r="U1348" i="1"/>
  <c r="U1308" i="1"/>
  <c r="U1296" i="1"/>
  <c r="U1280" i="1"/>
  <c r="U1264" i="1"/>
  <c r="U1248" i="1"/>
  <c r="U1234" i="1"/>
  <c r="U1218" i="1"/>
  <c r="U1202" i="1"/>
  <c r="U1175" i="1"/>
  <c r="U1013" i="1"/>
  <c r="U995" i="1"/>
  <c r="U965" i="1"/>
  <c r="U950" i="1"/>
  <c r="U940" i="1"/>
  <c r="U935" i="1"/>
  <c r="U925" i="1"/>
  <c r="U907" i="1"/>
  <c r="U899" i="1"/>
  <c r="U891" i="1"/>
  <c r="U888" i="1"/>
  <c r="U881" i="1"/>
  <c r="U865" i="1"/>
  <c r="U849" i="1"/>
  <c r="U833" i="1"/>
  <c r="U817" i="1"/>
  <c r="U801" i="1"/>
  <c r="U784" i="1"/>
  <c r="U761" i="1"/>
  <c r="U723" i="1"/>
  <c r="U716" i="1"/>
  <c r="U711" i="1"/>
  <c r="U697" i="1"/>
  <c r="U659" i="1"/>
  <c r="U652" i="1"/>
  <c r="U647" i="1"/>
  <c r="U637" i="1"/>
  <c r="U614" i="1"/>
  <c r="U572" i="1"/>
  <c r="U1407" i="1"/>
  <c r="U1400" i="1"/>
  <c r="U1386" i="1"/>
  <c r="U1383" i="1"/>
  <c r="U1374" i="1"/>
  <c r="U1369" i="1"/>
  <c r="U1362" i="1"/>
  <c r="U1350" i="1"/>
  <c r="U1336" i="1"/>
  <c r="U1322" i="1"/>
  <c r="U1319" i="1"/>
  <c r="U1310" i="1"/>
  <c r="U1298" i="1"/>
  <c r="U1282" i="1"/>
  <c r="U1266" i="1"/>
  <c r="U1250" i="1"/>
  <c r="U1236" i="1"/>
  <c r="U1220" i="1"/>
  <c r="U1194" i="1"/>
  <c r="U1177" i="1"/>
  <c r="U1131" i="1"/>
  <c r="U1123" i="1"/>
  <c r="U1115" i="1"/>
  <c r="U1107" i="1"/>
  <c r="U1099" i="1"/>
  <c r="U1091" i="1"/>
  <c r="U1083" i="1"/>
  <c r="U1075" i="1"/>
  <c r="U1067" i="1"/>
  <c r="U1059" i="1"/>
  <c r="U1051" i="1"/>
  <c r="U1043" i="1"/>
  <c r="U1038" i="1"/>
  <c r="U1033" i="1"/>
  <c r="U1010" i="1"/>
  <c r="U990" i="1"/>
  <c r="U985" i="1"/>
  <c r="U947" i="1"/>
  <c r="U917" i="1"/>
  <c r="U883" i="1"/>
  <c r="U867" i="1"/>
  <c r="U851" i="1"/>
  <c r="U835" i="1"/>
  <c r="U819" i="1"/>
  <c r="U803" i="1"/>
  <c r="U749" i="1"/>
  <c r="U744" i="1"/>
  <c r="U737" i="1"/>
  <c r="U725" i="1"/>
  <c r="U685" i="1"/>
  <c r="U680" i="1"/>
  <c r="U673" i="1"/>
  <c r="U661" i="1"/>
  <c r="U639" i="1"/>
  <c r="U598" i="1"/>
  <c r="U493" i="1"/>
  <c r="U1388" i="1"/>
  <c r="U1376" i="1"/>
  <c r="U1324" i="1"/>
  <c r="U1312" i="1"/>
  <c r="U1300" i="1"/>
  <c r="U1284" i="1"/>
  <c r="U1268" i="1"/>
  <c r="U1252" i="1"/>
  <c r="U1222" i="1"/>
  <c r="U1206" i="1"/>
  <c r="U1184" i="1"/>
  <c r="U1152" i="1"/>
  <c r="U1143" i="1"/>
  <c r="U1048" i="1"/>
  <c r="U1020" i="1"/>
  <c r="U1005" i="1"/>
  <c r="U997" i="1"/>
  <c r="U972" i="1"/>
  <c r="U967" i="1"/>
  <c r="U957" i="1"/>
  <c r="U942" i="1"/>
  <c r="U937" i="1"/>
  <c r="U914" i="1"/>
  <c r="U909" i="1"/>
  <c r="U901" i="1"/>
  <c r="U893" i="1"/>
  <c r="U890" i="1"/>
  <c r="U885" i="1"/>
  <c r="U869" i="1"/>
  <c r="U853" i="1"/>
  <c r="U837" i="1"/>
  <c r="U821" i="1"/>
  <c r="U805" i="1"/>
  <c r="U765" i="1"/>
  <c r="U732" i="1"/>
  <c r="U727" i="1"/>
  <c r="U713" i="1"/>
  <c r="U668" i="1"/>
  <c r="U663" i="1"/>
  <c r="U649" i="1"/>
  <c r="U498" i="1"/>
  <c r="U483" i="1"/>
  <c r="U478" i="1"/>
  <c r="U454" i="1"/>
  <c r="U444" i="1"/>
  <c r="U437" i="1"/>
  <c r="U420" i="1"/>
  <c r="U408" i="1"/>
  <c r="U403" i="1"/>
  <c r="U398" i="1"/>
  <c r="U386" i="1"/>
  <c r="U369" i="1"/>
  <c r="U362" i="1"/>
  <c r="U346" i="1"/>
  <c r="U327" i="1"/>
  <c r="U751" i="1"/>
  <c r="U735" i="1"/>
  <c r="U719" i="1"/>
  <c r="U703" i="1"/>
  <c r="U687" i="1"/>
  <c r="U671" i="1"/>
  <c r="U655" i="1"/>
  <c r="U641" i="1"/>
  <c r="U615" i="1"/>
  <c r="U613" i="1"/>
  <c r="U605" i="1"/>
  <c r="U595" i="1"/>
  <c r="U577" i="1"/>
  <c r="U554" i="1"/>
  <c r="U551" i="1"/>
  <c r="U549" i="1"/>
  <c r="U541" i="1"/>
  <c r="U531" i="1"/>
  <c r="U513" i="1"/>
  <c r="U488" i="1"/>
  <c r="U480" i="1"/>
  <c r="U468" i="1"/>
  <c r="U456" i="1"/>
  <c r="U451" i="1"/>
  <c r="U446" i="1"/>
  <c r="U434" i="1"/>
  <c r="U417" i="1"/>
  <c r="U410" i="1"/>
  <c r="U400" i="1"/>
  <c r="U374" i="1"/>
  <c r="U364" i="1"/>
  <c r="U348" i="1"/>
  <c r="U319" i="1"/>
  <c r="U298" i="1"/>
  <c r="U263" i="1"/>
  <c r="U260" i="1"/>
  <c r="U258" i="1"/>
  <c r="U211" i="1"/>
  <c r="U201" i="1"/>
  <c r="U193" i="1"/>
  <c r="U185" i="1"/>
  <c r="U172" i="1"/>
  <c r="U167" i="1"/>
  <c r="U152" i="1"/>
  <c r="U122" i="1"/>
  <c r="U117" i="1"/>
  <c r="U112" i="1"/>
  <c r="U90" i="1"/>
  <c r="U87" i="1"/>
  <c r="U78" i="1"/>
  <c r="U62" i="1"/>
  <c r="U46" i="1"/>
  <c r="U30" i="1"/>
  <c r="U14" i="1"/>
  <c r="U556" i="1"/>
  <c r="U543" i="1"/>
  <c r="U528" i="1"/>
  <c r="U518" i="1"/>
  <c r="U510" i="1"/>
  <c r="U500" i="1"/>
  <c r="U490" i="1"/>
  <c r="U487" i="1"/>
  <c r="U485" i="1"/>
  <c r="U465" i="1"/>
  <c r="U458" i="1"/>
  <c r="U448" i="1"/>
  <c r="U422" i="1"/>
  <c r="U412" i="1"/>
  <c r="U405" i="1"/>
  <c r="U388" i="1"/>
  <c r="U376" i="1"/>
  <c r="U371" i="1"/>
  <c r="U366" i="1"/>
  <c r="U350" i="1"/>
  <c r="U334" i="1"/>
  <c r="U329" i="1"/>
  <c r="U311" i="1"/>
  <c r="U308" i="1"/>
  <c r="U288" i="1"/>
  <c r="U280" i="1"/>
  <c r="U270" i="1"/>
  <c r="U265" i="1"/>
  <c r="U255" i="1"/>
  <c r="U240" i="1"/>
  <c r="U235" i="1"/>
  <c r="U225" i="1"/>
  <c r="U213" i="1"/>
  <c r="U208" i="1"/>
  <c r="U203" i="1"/>
  <c r="U198" i="1"/>
  <c r="U190" i="1"/>
  <c r="U182" i="1"/>
  <c r="U164" i="1"/>
  <c r="U154" i="1"/>
  <c r="U144" i="1"/>
  <c r="U141" i="1"/>
  <c r="U134" i="1"/>
  <c r="U124" i="1"/>
  <c r="U114" i="1"/>
  <c r="U111" i="1"/>
  <c r="U102" i="1"/>
  <c r="U92" i="1"/>
  <c r="U80" i="1"/>
  <c r="U64" i="1"/>
  <c r="U48" i="1"/>
  <c r="U32" i="1"/>
  <c r="U16" i="1"/>
  <c r="U66" i="1"/>
  <c r="U50" i="1"/>
  <c r="U34" i="1"/>
  <c r="U18" i="1"/>
  <c r="U604" i="1"/>
  <c r="U591" i="1"/>
  <c r="U566" i="1"/>
  <c r="U540" i="1"/>
  <c r="U530" i="1"/>
  <c r="U527" i="1"/>
  <c r="U520" i="1"/>
  <c r="U512" i="1"/>
  <c r="U502" i="1"/>
  <c r="U494" i="1"/>
  <c r="U467" i="1"/>
  <c r="U462" i="1"/>
  <c r="U450" i="1"/>
  <c r="U433" i="1"/>
  <c r="U426" i="1"/>
  <c r="U416" i="1"/>
  <c r="U390" i="1"/>
  <c r="U380" i="1"/>
  <c r="U373" i="1"/>
  <c r="U354" i="1"/>
  <c r="U338" i="1"/>
  <c r="U328" i="1"/>
  <c r="U318" i="1"/>
  <c r="U313" i="1"/>
  <c r="U295" i="1"/>
  <c r="U292" i="1"/>
  <c r="U272" i="1"/>
  <c r="U247" i="1"/>
  <c r="U244" i="1"/>
  <c r="U242" i="1"/>
  <c r="U227" i="1"/>
  <c r="U217" i="1"/>
  <c r="U210" i="1"/>
  <c r="U200" i="1"/>
  <c r="U192" i="1"/>
  <c r="U184" i="1"/>
  <c r="U171" i="1"/>
  <c r="U136" i="1"/>
  <c r="U116" i="1"/>
  <c r="U104" i="1"/>
  <c r="U68" i="1"/>
  <c r="U52" i="1"/>
  <c r="U36" i="1"/>
  <c r="U20" i="1"/>
  <c r="U522" i="1"/>
  <c r="U519" i="1"/>
  <c r="U509" i="1"/>
  <c r="U499" i="1"/>
  <c r="U484" i="1"/>
  <c r="U472" i="1"/>
  <c r="U464" i="1"/>
  <c r="U438" i="1"/>
  <c r="U428" i="1"/>
  <c r="U421" i="1"/>
  <c r="U370" i="1"/>
  <c r="U356" i="1"/>
  <c r="U340" i="1"/>
  <c r="U330" i="1"/>
  <c r="U287" i="1"/>
  <c r="U266" i="1"/>
  <c r="U254" i="1"/>
  <c r="U249" i="1"/>
  <c r="U239" i="1"/>
  <c r="U224" i="1"/>
  <c r="U219" i="1"/>
  <c r="U207" i="1"/>
  <c r="U197" i="1"/>
  <c r="U189" i="1"/>
  <c r="U181" i="1"/>
  <c r="U173" i="1"/>
  <c r="U163" i="1"/>
  <c r="U148" i="1"/>
  <c r="U138" i="1"/>
  <c r="U128" i="1"/>
  <c r="U106" i="1"/>
  <c r="U101" i="1"/>
  <c r="U96" i="1"/>
  <c r="U84" i="1"/>
  <c r="U70" i="1"/>
  <c r="U54" i="1"/>
  <c r="U38" i="1"/>
  <c r="U22" i="1"/>
  <c r="U276" i="1"/>
  <c r="U127" i="1"/>
  <c r="U95" i="1"/>
  <c r="U83" i="1"/>
  <c r="U72" i="1"/>
  <c r="U56" i="1"/>
  <c r="U40" i="1"/>
  <c r="U24" i="1"/>
  <c r="U763" i="1"/>
  <c r="U747" i="1"/>
  <c r="U731" i="1"/>
  <c r="U715" i="1"/>
  <c r="U699" i="1"/>
  <c r="U683" i="1"/>
  <c r="U667" i="1"/>
  <c r="U651" i="1"/>
  <c r="U631" i="1"/>
  <c r="U621" i="1"/>
  <c r="U611" i="1"/>
  <c r="U593" i="1"/>
  <c r="U570" i="1"/>
  <c r="U567" i="1"/>
  <c r="U557" i="1"/>
  <c r="U547" i="1"/>
  <c r="U529" i="1"/>
  <c r="U506" i="1"/>
  <c r="U503" i="1"/>
  <c r="U486" i="1"/>
  <c r="U476" i="1"/>
  <c r="U466" i="1"/>
  <c r="U449" i="1"/>
  <c r="U442" i="1"/>
  <c r="U432" i="1"/>
  <c r="U406" i="1"/>
  <c r="U396" i="1"/>
  <c r="U389" i="1"/>
  <c r="U372" i="1"/>
  <c r="U360" i="1"/>
  <c r="U344" i="1"/>
  <c r="U314" i="1"/>
  <c r="U271" i="1"/>
  <c r="U256" i="1"/>
  <c r="U231" i="1"/>
  <c r="U228" i="1"/>
  <c r="U226" i="1"/>
  <c r="U209" i="1"/>
  <c r="U199" i="1"/>
  <c r="U191" i="1"/>
  <c r="U183" i="1"/>
  <c r="U170" i="1"/>
  <c r="U157" i="1"/>
  <c r="U150" i="1"/>
  <c r="U115" i="1"/>
  <c r="U110" i="1"/>
  <c r="U74" i="1"/>
  <c r="U58" i="1"/>
  <c r="U42" i="1"/>
  <c r="U26" i="1"/>
  <c r="U10" i="1"/>
  <c r="U7120" i="1"/>
  <c r="U7104" i="1"/>
  <c r="U7088" i="1"/>
  <c r="U7072" i="1"/>
  <c r="U7056" i="1"/>
  <c r="U7106" i="1"/>
  <c r="U7090" i="1"/>
  <c r="U7074" i="1"/>
  <c r="U7058" i="1"/>
  <c r="U7042" i="1"/>
  <c r="U7026" i="1"/>
  <c r="U7010" i="1"/>
  <c r="U6994" i="1"/>
  <c r="U6978" i="1"/>
  <c r="U6962" i="1"/>
  <c r="U6946" i="1"/>
  <c r="U6930" i="1"/>
  <c r="U6914" i="1"/>
  <c r="U6898" i="1"/>
  <c r="U6882" i="1"/>
  <c r="U6866" i="1"/>
  <c r="U6850" i="1"/>
  <c r="U6834" i="1"/>
  <c r="U6818" i="1"/>
  <c r="U6802" i="1"/>
  <c r="U7110" i="1"/>
  <c r="U7094" i="1"/>
  <c r="U7078" i="1"/>
  <c r="U7062" i="1"/>
  <c r="U7046" i="1"/>
  <c r="U7030" i="1"/>
  <c r="U7014" i="1"/>
  <c r="U6998" i="1"/>
  <c r="U6982" i="1"/>
  <c r="U6966" i="1"/>
  <c r="U6950" i="1"/>
  <c r="U6934" i="1"/>
  <c r="U6918" i="1"/>
  <c r="U6902" i="1"/>
  <c r="U6886" i="1"/>
  <c r="U6870" i="1"/>
  <c r="U6854" i="1"/>
  <c r="U6838" i="1"/>
  <c r="U6822" i="1"/>
  <c r="U6806" i="1"/>
  <c r="U7112" i="1"/>
  <c r="U7096" i="1"/>
  <c r="U7080" i="1"/>
  <c r="U7064" i="1"/>
  <c r="U7048" i="1"/>
  <c r="U7118" i="1"/>
  <c r="U7102" i="1"/>
  <c r="U7086" i="1"/>
  <c r="U7070" i="1"/>
  <c r="U7054" i="1"/>
  <c r="U7038" i="1"/>
  <c r="U7022" i="1"/>
  <c r="U7006" i="1"/>
  <c r="U6990" i="1"/>
  <c r="U6974" i="1"/>
  <c r="U6958" i="1"/>
  <c r="U6942" i="1"/>
  <c r="U6926" i="1"/>
  <c r="U6910" i="1"/>
  <c r="U6894" i="1"/>
  <c r="U6878" i="1"/>
  <c r="U6862" i="1"/>
  <c r="U6846" i="1"/>
  <c r="U6830" i="1"/>
  <c r="U6814" i="1"/>
  <c r="U6798" i="1"/>
  <c r="U5963" i="1"/>
  <c r="U5947" i="1"/>
  <c r="U5931" i="1"/>
  <c r="U5915" i="1"/>
  <c r="U6109" i="1"/>
  <c r="U6093" i="1"/>
  <c r="U6077" i="1"/>
  <c r="U6061" i="1"/>
  <c r="U6045" i="1"/>
  <c r="U6029" i="1"/>
  <c r="U6013" i="1"/>
  <c r="U5997" i="1"/>
  <c r="U5981" i="1"/>
  <c r="U6511" i="1"/>
  <c r="U6495" i="1"/>
  <c r="U6479" i="1"/>
  <c r="U6463" i="1"/>
  <c r="U6447" i="1"/>
  <c r="U6431" i="1"/>
  <c r="U6415" i="1"/>
  <c r="U6399" i="1"/>
  <c r="U6383" i="1"/>
  <c r="U6367" i="1"/>
  <c r="U6351" i="1"/>
  <c r="U6335" i="1"/>
  <c r="U6319" i="1"/>
  <c r="U6303" i="1"/>
  <c r="U6287" i="1"/>
  <c r="U6271" i="1"/>
  <c r="U6255" i="1"/>
  <c r="U6239" i="1"/>
  <c r="U6223" i="1"/>
  <c r="U6207" i="1"/>
  <c r="U6191" i="1"/>
  <c r="U6175" i="1"/>
  <c r="U6159" i="1"/>
  <c r="U6143" i="1"/>
  <c r="U6127" i="1"/>
  <c r="U6111" i="1"/>
  <c r="U6095" i="1"/>
  <c r="U6079" i="1"/>
  <c r="U6063" i="1"/>
  <c r="U6047" i="1"/>
  <c r="U6031" i="1"/>
  <c r="U6015" i="1"/>
  <c r="U5999" i="1"/>
  <c r="U5983" i="1"/>
  <c r="U5967" i="1"/>
  <c r="U5951" i="1"/>
  <c r="U5935" i="1"/>
  <c r="U5919" i="1"/>
  <c r="U5985" i="1"/>
  <c r="U5969" i="1"/>
  <c r="U5953" i="1"/>
  <c r="U5937" i="1"/>
  <c r="U5921" i="1"/>
  <c r="U6515" i="1"/>
  <c r="U6499" i="1"/>
  <c r="U6483" i="1"/>
  <c r="U6467" i="1"/>
  <c r="U6451" i="1"/>
  <c r="U6435" i="1"/>
  <c r="U6419" i="1"/>
  <c r="U6403" i="1"/>
  <c r="U6387" i="1"/>
  <c r="U6371" i="1"/>
  <c r="U6355" i="1"/>
  <c r="U6339" i="1"/>
  <c r="U6323" i="1"/>
  <c r="U6307" i="1"/>
  <c r="U6291" i="1"/>
  <c r="U6275" i="1"/>
  <c r="U6259" i="1"/>
  <c r="U6243" i="1"/>
  <c r="U6227" i="1"/>
  <c r="U6211" i="1"/>
  <c r="U6195" i="1"/>
  <c r="U6179" i="1"/>
  <c r="U6163" i="1"/>
  <c r="U6147" i="1"/>
  <c r="U6131" i="1"/>
  <c r="U6115" i="1"/>
  <c r="U6099" i="1"/>
  <c r="U6083" i="1"/>
  <c r="U6067" i="1"/>
  <c r="U6051" i="1"/>
  <c r="U6035" i="1"/>
  <c r="U6019" i="1"/>
  <c r="U6003" i="1"/>
  <c r="U5987" i="1"/>
  <c r="U5971" i="1"/>
  <c r="U5955" i="1"/>
  <c r="U5939" i="1"/>
  <c r="U5923" i="1"/>
  <c r="U5907" i="1"/>
  <c r="U6517" i="1"/>
  <c r="U6501" i="1"/>
  <c r="U6485" i="1"/>
  <c r="U6469" i="1"/>
  <c r="U6453" i="1"/>
  <c r="U6437" i="1"/>
  <c r="U6421" i="1"/>
  <c r="U6405" i="1"/>
  <c r="U6389" i="1"/>
  <c r="U6373" i="1"/>
  <c r="U6357" i="1"/>
  <c r="U6341" i="1"/>
  <c r="U6325" i="1"/>
  <c r="U6309" i="1"/>
  <c r="U6293" i="1"/>
  <c r="U6277" i="1"/>
  <c r="U6261" i="1"/>
  <c r="U6245" i="1"/>
  <c r="U6229" i="1"/>
  <c r="U6213" i="1"/>
  <c r="U6197" i="1"/>
  <c r="U6181" i="1"/>
  <c r="U6165" i="1"/>
  <c r="U6149" i="1"/>
  <c r="U6133" i="1"/>
  <c r="U6117" i="1"/>
  <c r="U6101" i="1"/>
  <c r="U6085" i="1"/>
  <c r="U6069" i="1"/>
  <c r="U6053" i="1"/>
  <c r="U6037" i="1"/>
  <c r="U6021" i="1"/>
  <c r="U6005" i="1"/>
  <c r="U5989" i="1"/>
  <c r="U5973" i="1"/>
  <c r="U5957" i="1"/>
  <c r="U5941" i="1"/>
  <c r="U5925" i="1"/>
  <c r="U5909" i="1"/>
  <c r="U6503" i="1"/>
  <c r="U6487" i="1"/>
  <c r="U6471" i="1"/>
  <c r="U6455" i="1"/>
  <c r="U6439" i="1"/>
  <c r="U6423" i="1"/>
  <c r="U6407" i="1"/>
  <c r="U6391" i="1"/>
  <c r="U6375" i="1"/>
  <c r="U6359" i="1"/>
  <c r="U6343" i="1"/>
  <c r="U6327" i="1"/>
  <c r="U6311" i="1"/>
  <c r="U6295" i="1"/>
  <c r="U6279" i="1"/>
  <c r="U6263" i="1"/>
  <c r="U6247" i="1"/>
  <c r="U6231" i="1"/>
  <c r="U6215" i="1"/>
  <c r="U6199" i="1"/>
  <c r="U6183" i="1"/>
  <c r="U6167" i="1"/>
  <c r="U6151" i="1"/>
  <c r="U6135" i="1"/>
  <c r="U6119" i="1"/>
  <c r="U6103" i="1"/>
  <c r="U6087" i="1"/>
  <c r="U6071" i="1"/>
  <c r="U6055" i="1"/>
  <c r="U6039" i="1"/>
  <c r="U6023" i="1"/>
  <c r="U6007" i="1"/>
  <c r="U5991" i="1"/>
  <c r="U5975" i="1"/>
  <c r="U5959" i="1"/>
  <c r="U5943" i="1"/>
  <c r="U5927" i="1"/>
  <c r="U5911" i="1"/>
  <c r="U5834" i="1"/>
  <c r="U5826" i="1"/>
  <c r="U5818" i="1"/>
  <c r="U5810" i="1"/>
  <c r="U5802" i="1"/>
  <c r="U5794" i="1"/>
  <c r="U5786" i="1"/>
  <c r="U5778" i="1"/>
  <c r="U5770" i="1"/>
  <c r="U5762" i="1"/>
  <c r="U5754" i="1"/>
  <c r="U5746" i="1"/>
  <c r="U5738" i="1"/>
  <c r="U5730" i="1"/>
  <c r="U5722" i="1"/>
  <c r="U5714" i="1"/>
  <c r="U5706" i="1"/>
  <c r="U5698" i="1"/>
  <c r="U5690" i="1"/>
  <c r="U5682" i="1"/>
  <c r="U5674" i="1"/>
  <c r="U5666" i="1"/>
  <c r="U5658" i="1"/>
  <c r="U5650" i="1"/>
  <c r="U5642" i="1"/>
  <c r="U5634" i="1"/>
  <c r="U5626" i="1"/>
  <c r="U5618" i="1"/>
  <c r="U5610" i="1"/>
  <c r="U5602" i="1"/>
  <c r="U5594" i="1"/>
  <c r="U5586" i="1"/>
  <c r="U5578" i="1"/>
  <c r="U5828" i="1"/>
  <c r="U5820" i="1"/>
  <c r="U5812" i="1"/>
  <c r="U5804" i="1"/>
  <c r="U5796" i="1"/>
  <c r="U5788" i="1"/>
  <c r="U5780" i="1"/>
  <c r="U5772" i="1"/>
  <c r="U5764" i="1"/>
  <c r="U5756" i="1"/>
  <c r="U5748" i="1"/>
  <c r="U5740" i="1"/>
  <c r="U5732" i="1"/>
  <c r="U5724" i="1"/>
  <c r="U5716" i="1"/>
  <c r="U5708" i="1"/>
  <c r="U5700" i="1"/>
  <c r="U5692" i="1"/>
  <c r="U5684" i="1"/>
  <c r="U5676" i="1"/>
  <c r="U5668" i="1"/>
  <c r="U5660" i="1"/>
  <c r="U5652" i="1"/>
  <c r="U5644" i="1"/>
  <c r="U5636" i="1"/>
  <c r="U5628" i="1"/>
  <c r="U5620" i="1"/>
  <c r="U5612" i="1"/>
  <c r="U5604" i="1"/>
  <c r="U5596" i="1"/>
  <c r="U5588" i="1"/>
  <c r="U5580" i="1"/>
  <c r="U5572" i="1"/>
  <c r="U5518" i="1"/>
  <c r="U5502" i="1"/>
  <c r="U5520" i="1"/>
  <c r="U5504" i="1"/>
  <c r="U5488" i="1"/>
  <c r="U5510" i="1"/>
  <c r="U5494" i="1"/>
  <c r="U5512" i="1"/>
  <c r="U5496" i="1"/>
  <c r="U5514" i="1"/>
  <c r="U5498" i="1"/>
  <c r="U4713" i="1"/>
  <c r="U4697" i="1"/>
  <c r="U4681" i="1"/>
  <c r="U4665" i="1"/>
  <c r="U4649" i="1"/>
  <c r="U4633" i="1"/>
  <c r="U4617" i="1"/>
  <c r="U4601" i="1"/>
  <c r="U4585" i="1"/>
  <c r="U3637" i="1"/>
  <c r="U4715" i="1"/>
  <c r="U4699" i="1"/>
  <c r="U4683" i="1"/>
  <c r="U4667" i="1"/>
  <c r="U4651" i="1"/>
  <c r="U4635" i="1"/>
  <c r="U4619" i="1"/>
  <c r="U4603" i="1"/>
  <c r="U4587" i="1"/>
  <c r="U4719" i="1"/>
  <c r="U4703" i="1"/>
  <c r="U4687" i="1"/>
  <c r="U4671" i="1"/>
  <c r="U4655" i="1"/>
  <c r="U4639" i="1"/>
  <c r="U4623" i="1"/>
  <c r="U4607" i="1"/>
  <c r="U4591" i="1"/>
  <c r="U4721" i="1"/>
  <c r="U4705" i="1"/>
  <c r="U4689" i="1"/>
  <c r="U4673" i="1"/>
  <c r="U4657" i="1"/>
  <c r="U4641" i="1"/>
  <c r="U4625" i="1"/>
  <c r="U4609" i="1"/>
  <c r="U4593" i="1"/>
  <c r="U3573" i="1"/>
  <c r="U4723" i="1"/>
  <c r="U4707" i="1"/>
  <c r="U4691" i="1"/>
  <c r="U4675" i="1"/>
  <c r="U4659" i="1"/>
  <c r="U4643" i="1"/>
  <c r="U4627" i="1"/>
  <c r="U4611" i="1"/>
  <c r="U4595" i="1"/>
  <c r="U3621" i="1"/>
  <c r="U3334" i="1"/>
  <c r="U3286" i="1"/>
  <c r="U3208" i="1"/>
  <c r="U3176" i="1"/>
  <c r="U3648" i="1"/>
  <c r="U3632" i="1"/>
  <c r="U3616" i="1"/>
  <c r="U3600" i="1"/>
  <c r="U3584" i="1"/>
  <c r="U3568" i="1"/>
  <c r="U3552" i="1"/>
  <c r="U3634" i="1"/>
  <c r="U3618" i="1"/>
  <c r="U3602" i="1"/>
  <c r="U3586" i="1"/>
  <c r="U3570" i="1"/>
  <c r="U3554" i="1"/>
  <c r="U3542" i="1"/>
  <c r="U3534" i="1"/>
  <c r="U3526" i="1"/>
  <c r="U3518" i="1"/>
  <c r="U3510" i="1"/>
  <c r="U3502" i="1"/>
  <c r="U3494" i="1"/>
  <c r="U3486" i="1"/>
  <c r="U3478" i="1"/>
  <c r="U3470" i="1"/>
  <c r="U3400" i="1"/>
  <c r="U3336" i="1"/>
  <c r="U3288" i="1"/>
  <c r="U3636" i="1"/>
  <c r="U3620" i="1"/>
  <c r="U3604" i="1"/>
  <c r="U3588" i="1"/>
  <c r="U3572" i="1"/>
  <c r="U3556" i="1"/>
  <c r="U3270" i="1"/>
  <c r="U3638" i="1"/>
  <c r="U3622" i="1"/>
  <c r="U3606" i="1"/>
  <c r="U3590" i="1"/>
  <c r="U3574" i="1"/>
  <c r="U3558" i="1"/>
  <c r="U3544" i="1"/>
  <c r="U3536" i="1"/>
  <c r="U3528" i="1"/>
  <c r="U3520" i="1"/>
  <c r="U3512" i="1"/>
  <c r="U3504" i="1"/>
  <c r="U3496" i="1"/>
  <c r="U3488" i="1"/>
  <c r="U3480" i="1"/>
  <c r="U3472" i="1"/>
  <c r="U3384" i="1"/>
  <c r="U3366" i="1"/>
  <c r="U3320" i="1"/>
  <c r="U3192" i="1"/>
  <c r="U3640" i="1"/>
  <c r="U3624" i="1"/>
  <c r="U3608" i="1"/>
  <c r="U3592" i="1"/>
  <c r="U3576" i="1"/>
  <c r="U3560" i="1"/>
  <c r="U3272" i="1"/>
  <c r="U3224" i="1"/>
  <c r="U3642" i="1"/>
  <c r="U3626" i="1"/>
  <c r="U3610" i="1"/>
  <c r="U3594" i="1"/>
  <c r="U3578" i="1"/>
  <c r="U3562" i="1"/>
  <c r="U3546" i="1"/>
  <c r="U3538" i="1"/>
  <c r="U3530" i="1"/>
  <c r="U3522" i="1"/>
  <c r="U3514" i="1"/>
  <c r="U3506" i="1"/>
  <c r="U3498" i="1"/>
  <c r="U3490" i="1"/>
  <c r="U3482" i="1"/>
  <c r="U3474" i="1"/>
  <c r="U3432" i="1"/>
  <c r="U3368" i="1"/>
  <c r="U3350" i="1"/>
  <c r="U3439" i="1"/>
  <c r="U3423" i="1"/>
  <c r="U3407" i="1"/>
  <c r="U3391" i="1"/>
  <c r="U3375" i="1"/>
  <c r="U3359" i="1"/>
  <c r="U3343" i="1"/>
  <c r="U3327" i="1"/>
  <c r="U3311" i="1"/>
  <c r="U3295" i="1"/>
  <c r="U3279" i="1"/>
  <c r="U3263" i="1"/>
  <c r="U3247" i="1"/>
  <c r="U2992" i="1"/>
  <c r="U2688" i="1"/>
  <c r="U2989" i="1"/>
  <c r="U2984" i="1"/>
  <c r="U3443" i="1"/>
  <c r="U3427" i="1"/>
  <c r="U3411" i="1"/>
  <c r="U3395" i="1"/>
  <c r="U3379" i="1"/>
  <c r="U3363" i="1"/>
  <c r="U3347" i="1"/>
  <c r="U3331" i="1"/>
  <c r="U3315" i="1"/>
  <c r="U3299" i="1"/>
  <c r="U3283" i="1"/>
  <c r="U3267" i="1"/>
  <c r="U3251" i="1"/>
  <c r="U2800" i="1"/>
  <c r="U3053" i="1"/>
  <c r="U3048" i="1"/>
  <c r="U2960" i="1"/>
  <c r="U3431" i="1"/>
  <c r="U3415" i="1"/>
  <c r="U3399" i="1"/>
  <c r="U3383" i="1"/>
  <c r="U3367" i="1"/>
  <c r="U3351" i="1"/>
  <c r="U3335" i="1"/>
  <c r="U3319" i="1"/>
  <c r="U3303" i="1"/>
  <c r="U3287" i="1"/>
  <c r="U3271" i="1"/>
  <c r="U3255" i="1"/>
  <c r="U3239" i="1"/>
  <c r="U3104" i="1"/>
  <c r="U2957" i="1"/>
  <c r="U2952" i="1"/>
  <c r="U2864" i="1"/>
  <c r="U3070" i="1"/>
  <c r="U2861" i="1"/>
  <c r="U2856" i="1"/>
  <c r="U3435" i="1"/>
  <c r="U3419" i="1"/>
  <c r="U3403" i="1"/>
  <c r="U3387" i="1"/>
  <c r="U3371" i="1"/>
  <c r="U3355" i="1"/>
  <c r="U3339" i="1"/>
  <c r="U3323" i="1"/>
  <c r="U3307" i="1"/>
  <c r="U3291" i="1"/>
  <c r="U3275" i="1"/>
  <c r="U3259" i="1"/>
  <c r="U3243" i="1"/>
  <c r="U3021" i="1"/>
  <c r="U3016" i="1"/>
  <c r="U2928" i="1"/>
  <c r="U3132" i="1"/>
  <c r="U3116" i="1"/>
  <c r="U3106" i="1"/>
  <c r="U3075" i="1"/>
  <c r="U3036" i="1"/>
  <c r="U3026" i="1"/>
  <c r="U3004" i="1"/>
  <c r="U2994" i="1"/>
  <c r="U2972" i="1"/>
  <c r="U2962" i="1"/>
  <c r="U2940" i="1"/>
  <c r="U2930" i="1"/>
  <c r="U2908" i="1"/>
  <c r="U2898" i="1"/>
  <c r="U2876" i="1"/>
  <c r="U2866" i="1"/>
  <c r="U2844" i="1"/>
  <c r="U2834" i="1"/>
  <c r="U2812" i="1"/>
  <c r="U2802" i="1"/>
  <c r="U2780" i="1"/>
  <c r="U2770" i="1"/>
  <c r="U2748" i="1"/>
  <c r="U2690" i="1"/>
  <c r="U2508" i="1"/>
  <c r="U2428" i="1"/>
  <c r="U2300" i="1"/>
  <c r="U2252" i="1"/>
  <c r="U2188" i="1"/>
  <c r="U2829" i="1"/>
  <c r="U2824" i="1"/>
  <c r="U2797" i="1"/>
  <c r="U2792" i="1"/>
  <c r="U2765" i="1"/>
  <c r="U2760" i="1"/>
  <c r="U2670" i="1"/>
  <c r="U2647" i="1"/>
  <c r="U2622" i="1"/>
  <c r="U2558" i="1"/>
  <c r="U3113" i="1"/>
  <c r="U3101" i="1"/>
  <c r="U3096" i="1"/>
  <c r="U3084" i="1"/>
  <c r="U3079" i="1"/>
  <c r="U3074" i="1"/>
  <c r="U3038" i="1"/>
  <c r="U3033" i="1"/>
  <c r="U3006" i="1"/>
  <c r="U3001" i="1"/>
  <c r="U2974" i="1"/>
  <c r="U2969" i="1"/>
  <c r="U2942" i="1"/>
  <c r="U2937" i="1"/>
  <c r="U2910" i="1"/>
  <c r="U2905" i="1"/>
  <c r="U2878" i="1"/>
  <c r="U2873" i="1"/>
  <c r="U2846" i="1"/>
  <c r="U2841" i="1"/>
  <c r="U2814" i="1"/>
  <c r="U2809" i="1"/>
  <c r="U2782" i="1"/>
  <c r="U2777" i="1"/>
  <c r="U2750" i="1"/>
  <c r="U2727" i="1"/>
  <c r="U2722" i="1"/>
  <c r="U2652" i="1"/>
  <c r="U2540" i="1"/>
  <c r="U2460" i="1"/>
  <c r="U2332" i="1"/>
  <c r="U2236" i="1"/>
  <c r="U3122" i="1"/>
  <c r="U3091" i="1"/>
  <c r="U3057" i="1"/>
  <c r="U2732" i="1"/>
  <c r="U2702" i="1"/>
  <c r="U2679" i="1"/>
  <c r="U2674" i="1"/>
  <c r="U2606" i="1"/>
  <c r="U2588" i="1"/>
  <c r="U2492" i="1"/>
  <c r="U3124" i="1"/>
  <c r="U3105" i="1"/>
  <c r="U3081" i="1"/>
  <c r="U3069" i="1"/>
  <c r="U3064" i="1"/>
  <c r="U3052" i="1"/>
  <c r="U3047" i="1"/>
  <c r="U3042" i="1"/>
  <c r="U3020" i="1"/>
  <c r="U3015" i="1"/>
  <c r="U3010" i="1"/>
  <c r="U2988" i="1"/>
  <c r="U2983" i="1"/>
  <c r="U2978" i="1"/>
  <c r="U2956" i="1"/>
  <c r="U2951" i="1"/>
  <c r="U2946" i="1"/>
  <c r="U2924" i="1"/>
  <c r="U2919" i="1"/>
  <c r="U2914" i="1"/>
  <c r="U2892" i="1"/>
  <c r="U2887" i="1"/>
  <c r="U2882" i="1"/>
  <c r="U2860" i="1"/>
  <c r="U2855" i="1"/>
  <c r="U2850" i="1"/>
  <c r="U2828" i="1"/>
  <c r="U2823" i="1"/>
  <c r="U2818" i="1"/>
  <c r="U2796" i="1"/>
  <c r="U2791" i="1"/>
  <c r="U2786" i="1"/>
  <c r="U2764" i="1"/>
  <c r="U2759" i="1"/>
  <c r="U2754" i="1"/>
  <c r="U2729" i="1"/>
  <c r="U2684" i="1"/>
  <c r="U2654" i="1"/>
  <c r="U2631" i="1"/>
  <c r="U2364" i="1"/>
  <c r="U2220" i="1"/>
  <c r="U3128" i="1"/>
  <c r="U3107" i="1"/>
  <c r="U3049" i="1"/>
  <c r="U3017" i="1"/>
  <c r="U2985" i="1"/>
  <c r="U2953" i="1"/>
  <c r="U2921" i="1"/>
  <c r="U2889" i="1"/>
  <c r="U2857" i="1"/>
  <c r="U2825" i="1"/>
  <c r="U2793" i="1"/>
  <c r="U2761" i="1"/>
  <c r="U2716" i="1"/>
  <c r="U2658" i="1"/>
  <c r="U2396" i="1"/>
  <c r="U2268" i="1"/>
  <c r="U2204" i="1"/>
  <c r="U3041" i="1"/>
  <c r="U3025" i="1"/>
  <c r="U3009" i="1"/>
  <c r="U2993" i="1"/>
  <c r="U2977" i="1"/>
  <c r="U2961" i="1"/>
  <c r="U2945" i="1"/>
  <c r="U2929" i="1"/>
  <c r="U2913" i="1"/>
  <c r="U2897" i="1"/>
  <c r="U2881" i="1"/>
  <c r="U2865" i="1"/>
  <c r="U2849" i="1"/>
  <c r="U2833" i="1"/>
  <c r="U2817" i="1"/>
  <c r="U2801" i="1"/>
  <c r="U2785" i="1"/>
  <c r="U2769" i="1"/>
  <c r="U2753" i="1"/>
  <c r="U2737" i="1"/>
  <c r="U2721" i="1"/>
  <c r="U2705" i="1"/>
  <c r="U2689" i="1"/>
  <c r="U2673" i="1"/>
  <c r="U2657" i="1"/>
  <c r="U2641" i="1"/>
  <c r="U2625" i="1"/>
  <c r="U2609" i="1"/>
  <c r="U2593" i="1"/>
  <c r="U3109" i="1"/>
  <c r="U3093" i="1"/>
  <c r="U3077" i="1"/>
  <c r="U3061" i="1"/>
  <c r="U3045" i="1"/>
  <c r="U3029" i="1"/>
  <c r="U3013" i="1"/>
  <c r="U2997" i="1"/>
  <c r="U2981" i="1"/>
  <c r="U2965" i="1"/>
  <c r="U2949" i="1"/>
  <c r="U2933" i="1"/>
  <c r="U2917" i="1"/>
  <c r="U2901" i="1"/>
  <c r="U2885" i="1"/>
  <c r="U2869" i="1"/>
  <c r="U2853" i="1"/>
  <c r="U2837" i="1"/>
  <c r="U2821" i="1"/>
  <c r="U2805" i="1"/>
  <c r="U2789" i="1"/>
  <c r="U2773" i="1"/>
  <c r="U2757" i="1"/>
  <c r="U2741" i="1"/>
  <c r="U2725" i="1"/>
  <c r="U2709" i="1"/>
  <c r="U2693" i="1"/>
  <c r="U2677" i="1"/>
  <c r="U2661" i="1"/>
  <c r="U2645" i="1"/>
  <c r="U2629" i="1"/>
  <c r="U2613" i="1"/>
  <c r="U2597" i="1"/>
  <c r="U1801" i="1"/>
  <c r="U1771" i="1"/>
  <c r="U1673" i="1"/>
  <c r="U1643" i="1"/>
  <c r="U1545" i="1"/>
  <c r="U1515" i="1"/>
  <c r="U1851" i="1"/>
  <c r="U1753" i="1"/>
  <c r="U1723" i="1"/>
  <c r="U1625" i="1"/>
  <c r="U1595" i="1"/>
  <c r="U1497" i="1"/>
  <c r="U1467" i="1"/>
  <c r="U1417" i="1"/>
  <c r="U2633" i="1"/>
  <c r="U2617" i="1"/>
  <c r="U2601" i="1"/>
  <c r="U1675" i="1"/>
  <c r="U1547" i="1"/>
  <c r="U3115" i="1"/>
  <c r="U3099" i="1"/>
  <c r="U3083" i="1"/>
  <c r="U3067" i="1"/>
  <c r="U3051" i="1"/>
  <c r="U3035" i="1"/>
  <c r="U3019" i="1"/>
  <c r="U3003" i="1"/>
  <c r="U2987" i="1"/>
  <c r="U2971" i="1"/>
  <c r="U2955" i="1"/>
  <c r="U2939" i="1"/>
  <c r="U2923" i="1"/>
  <c r="U2907" i="1"/>
  <c r="U2891" i="1"/>
  <c r="U2875" i="1"/>
  <c r="U2859" i="1"/>
  <c r="U2843" i="1"/>
  <c r="U2827" i="1"/>
  <c r="U2811" i="1"/>
  <c r="U2795" i="1"/>
  <c r="U2779" i="1"/>
  <c r="U2763" i="1"/>
  <c r="U2747" i="1"/>
  <c r="U2731" i="1"/>
  <c r="U2715" i="1"/>
  <c r="U2699" i="1"/>
  <c r="U2683" i="1"/>
  <c r="U2667" i="1"/>
  <c r="U2651" i="1"/>
  <c r="U2635" i="1"/>
  <c r="U2619" i="1"/>
  <c r="U2603" i="1"/>
  <c r="U1785" i="1"/>
  <c r="U1657" i="1"/>
  <c r="U2749" i="1"/>
  <c r="U2733" i="1"/>
  <c r="U2717" i="1"/>
  <c r="U2701" i="1"/>
  <c r="U2685" i="1"/>
  <c r="U2669" i="1"/>
  <c r="U2653" i="1"/>
  <c r="U1835" i="1"/>
  <c r="U1737" i="1"/>
  <c r="U1707" i="1"/>
  <c r="U1609" i="1"/>
  <c r="U1579" i="1"/>
  <c r="U1481" i="1"/>
  <c r="U3119" i="1"/>
  <c r="U3103" i="1"/>
  <c r="U3087" i="1"/>
  <c r="U3071" i="1"/>
  <c r="U3055" i="1"/>
  <c r="U3039" i="1"/>
  <c r="U3023" i="1"/>
  <c r="U3007" i="1"/>
  <c r="U2991" i="1"/>
  <c r="U2975" i="1"/>
  <c r="U2959" i="1"/>
  <c r="U2943" i="1"/>
  <c r="U2927" i="1"/>
  <c r="U2911" i="1"/>
  <c r="U2895" i="1"/>
  <c r="U2879" i="1"/>
  <c r="U2863" i="1"/>
  <c r="U2847" i="1"/>
  <c r="U2831" i="1"/>
  <c r="U2815" i="1"/>
  <c r="U2799" i="1"/>
  <c r="U2783" i="1"/>
  <c r="U2767" i="1"/>
  <c r="U2751" i="1"/>
  <c r="U2735" i="1"/>
  <c r="U2719" i="1"/>
  <c r="U2703" i="1"/>
  <c r="U2687" i="1"/>
  <c r="U2671" i="1"/>
  <c r="U2655" i="1"/>
  <c r="U2639" i="1"/>
  <c r="U2623" i="1"/>
  <c r="U2607" i="1"/>
  <c r="U2591" i="1"/>
  <c r="U1817" i="1"/>
  <c r="U1787" i="1"/>
  <c r="U1689" i="1"/>
  <c r="U1659" i="1"/>
  <c r="U1561" i="1"/>
  <c r="U1531" i="1"/>
  <c r="U1433" i="1"/>
  <c r="U1401" i="1"/>
  <c r="U1858" i="1"/>
  <c r="U1842" i="1"/>
  <c r="U1826" i="1"/>
  <c r="U1810" i="1"/>
  <c r="U1794" i="1"/>
  <c r="U1778" i="1"/>
  <c r="U1762" i="1"/>
  <c r="U1746" i="1"/>
  <c r="U1730" i="1"/>
  <c r="U1714" i="1"/>
  <c r="U1698" i="1"/>
  <c r="U1682" i="1"/>
  <c r="U1666" i="1"/>
  <c r="U1650" i="1"/>
  <c r="U1634" i="1"/>
  <c r="U1618" i="1"/>
  <c r="U1602" i="1"/>
  <c r="U1586" i="1"/>
  <c r="U1570" i="1"/>
  <c r="U1554" i="1"/>
  <c r="U1538" i="1"/>
  <c r="U1522" i="1"/>
  <c r="U1506" i="1"/>
  <c r="U1490" i="1"/>
  <c r="U1172" i="1"/>
  <c r="U1860" i="1"/>
  <c r="U1844" i="1"/>
  <c r="U1828" i="1"/>
  <c r="U1812" i="1"/>
  <c r="U1796" i="1"/>
  <c r="U1780" i="1"/>
  <c r="U1764" i="1"/>
  <c r="U1748" i="1"/>
  <c r="U1732" i="1"/>
  <c r="U1716" i="1"/>
  <c r="U1700" i="1"/>
  <c r="U1684" i="1"/>
  <c r="U1668" i="1"/>
  <c r="U1652" i="1"/>
  <c r="U1636" i="1"/>
  <c r="U1620" i="1"/>
  <c r="U1604" i="1"/>
  <c r="U1588" i="1"/>
  <c r="U1572" i="1"/>
  <c r="U1556" i="1"/>
  <c r="U1540" i="1"/>
  <c r="U1524" i="1"/>
  <c r="U1508" i="1"/>
  <c r="U1492" i="1"/>
  <c r="U1846" i="1"/>
  <c r="U1830" i="1"/>
  <c r="U1814" i="1"/>
  <c r="U1798" i="1"/>
  <c r="U1782" i="1"/>
  <c r="U1766" i="1"/>
  <c r="U1750" i="1"/>
  <c r="U1734" i="1"/>
  <c r="U1718" i="1"/>
  <c r="U1702" i="1"/>
  <c r="U1686" i="1"/>
  <c r="U1670" i="1"/>
  <c r="U1654" i="1"/>
  <c r="U1638" i="1"/>
  <c r="U1622" i="1"/>
  <c r="U1606" i="1"/>
  <c r="U1590" i="1"/>
  <c r="U1574" i="1"/>
  <c r="U1558" i="1"/>
  <c r="U1542" i="1"/>
  <c r="U1526" i="1"/>
  <c r="U1848" i="1"/>
  <c r="U1832" i="1"/>
  <c r="U1816" i="1"/>
  <c r="U1800" i="1"/>
  <c r="U1784" i="1"/>
  <c r="U1768" i="1"/>
  <c r="U1752" i="1"/>
  <c r="U1736" i="1"/>
  <c r="U1720" i="1"/>
  <c r="U1704" i="1"/>
  <c r="U1688" i="1"/>
  <c r="U1672" i="1"/>
  <c r="U1656" i="1"/>
  <c r="U1640" i="1"/>
  <c r="U1624" i="1"/>
  <c r="U1608" i="1"/>
  <c r="U1592" i="1"/>
  <c r="U1576" i="1"/>
  <c r="U1560" i="1"/>
  <c r="U1544" i="1"/>
  <c r="U1528" i="1"/>
  <c r="U1512" i="1"/>
  <c r="U1496" i="1"/>
  <c r="U1850" i="1"/>
  <c r="U1834" i="1"/>
  <c r="U1818" i="1"/>
  <c r="U1802" i="1"/>
  <c r="U1786" i="1"/>
  <c r="U1770" i="1"/>
  <c r="U1754" i="1"/>
  <c r="U1738" i="1"/>
  <c r="U1722" i="1"/>
  <c r="U1706" i="1"/>
  <c r="U1690" i="1"/>
  <c r="U1674" i="1"/>
  <c r="U1658" i="1"/>
  <c r="U1642" i="1"/>
  <c r="U1626" i="1"/>
  <c r="U1610" i="1"/>
  <c r="U1594" i="1"/>
  <c r="U1578" i="1"/>
  <c r="U1562" i="1"/>
  <c r="U1546" i="1"/>
  <c r="U1530" i="1"/>
  <c r="U1514" i="1"/>
  <c r="U1498" i="1"/>
  <c r="U1852" i="1"/>
  <c r="U1836" i="1"/>
  <c r="U1820" i="1"/>
  <c r="U1804" i="1"/>
  <c r="U1788" i="1"/>
  <c r="U1772" i="1"/>
  <c r="U1756" i="1"/>
  <c r="U1740" i="1"/>
  <c r="U1724" i="1"/>
  <c r="U1708" i="1"/>
  <c r="U1692" i="1"/>
  <c r="U1676" i="1"/>
  <c r="U1660" i="1"/>
  <c r="U1644" i="1"/>
  <c r="U1628" i="1"/>
  <c r="U1612" i="1"/>
  <c r="U1596" i="1"/>
  <c r="U1580" i="1"/>
  <c r="U1564" i="1"/>
  <c r="U1548" i="1"/>
  <c r="U1532" i="1"/>
  <c r="U1516" i="1"/>
  <c r="U1500" i="1"/>
  <c r="U1484" i="1"/>
  <c r="U1188" i="1"/>
  <c r="U1195" i="1"/>
  <c r="U1179" i="1"/>
  <c r="U1197" i="1"/>
  <c r="U1181" i="1"/>
  <c r="U1165" i="1"/>
  <c r="U1149" i="1"/>
  <c r="U1133" i="1"/>
  <c r="U1015" i="1"/>
  <c r="U962" i="1"/>
  <c r="U1199" i="1"/>
  <c r="U1183" i="1"/>
  <c r="U1167" i="1"/>
  <c r="U1151" i="1"/>
  <c r="U1135" i="1"/>
  <c r="U1185" i="1"/>
  <c r="U1169" i="1"/>
  <c r="U1153" i="1"/>
  <c r="U1137" i="1"/>
  <c r="U1042" i="1"/>
  <c r="U994" i="1"/>
  <c r="U1187" i="1"/>
  <c r="U1171" i="1"/>
  <c r="U1155" i="1"/>
  <c r="U1139" i="1"/>
  <c r="U1047" i="1"/>
  <c r="U999" i="1"/>
  <c r="U1189" i="1"/>
  <c r="U1173" i="1"/>
  <c r="U1157" i="1"/>
  <c r="U1141" i="1"/>
  <c r="U1026" i="1"/>
  <c r="U1031" i="1"/>
  <c r="U978" i="1"/>
  <c r="U1036" i="1"/>
  <c r="U1040" i="1"/>
  <c r="U1024" i="1"/>
  <c r="U1008" i="1"/>
  <c r="U992" i="1"/>
  <c r="U976" i="1"/>
  <c r="U960" i="1"/>
  <c r="U944" i="1"/>
  <c r="U928" i="1"/>
  <c r="U912" i="1"/>
  <c r="U904" i="1"/>
  <c r="U896" i="1"/>
  <c r="U1044" i="1"/>
  <c r="U1028" i="1"/>
  <c r="U1012" i="1"/>
  <c r="U996" i="1"/>
  <c r="U980" i="1"/>
  <c r="U964" i="1"/>
  <c r="U948" i="1"/>
  <c r="U932" i="1"/>
  <c r="U916" i="1"/>
  <c r="U906" i="1"/>
  <c r="U898" i="1"/>
  <c r="U1046" i="1"/>
  <c r="U1030" i="1"/>
  <c r="U1014" i="1"/>
  <c r="U998" i="1"/>
  <c r="U982" i="1"/>
  <c r="U966" i="1"/>
  <c r="U1032" i="1"/>
  <c r="U1016" i="1"/>
  <c r="U1000" i="1"/>
  <c r="U984" i="1"/>
  <c r="U968" i="1"/>
  <c r="U952" i="1"/>
  <c r="U936" i="1"/>
  <c r="U920" i="1"/>
  <c r="U908" i="1"/>
  <c r="U900" i="1"/>
  <c r="U1034" i="1"/>
  <c r="U1018" i="1"/>
  <c r="U1002" i="1"/>
  <c r="U986" i="1"/>
  <c r="U970" i="1"/>
  <c r="U954" i="1"/>
  <c r="U938" i="1"/>
  <c r="U922" i="1"/>
  <c r="U597" i="1"/>
  <c r="U533" i="1"/>
  <c r="U581" i="1"/>
  <c r="U517" i="1"/>
  <c r="U629" i="1"/>
  <c r="U565" i="1"/>
  <c r="U501" i="1"/>
  <c r="U634" i="1"/>
  <c r="U618" i="1"/>
  <c r="U638" i="1"/>
  <c r="U622" i="1"/>
  <c r="U606" i="1"/>
  <c r="U590" i="1"/>
  <c r="U574" i="1"/>
  <c r="U558" i="1"/>
  <c r="U542" i="1"/>
  <c r="U306" i="1"/>
  <c r="U640" i="1"/>
  <c r="U624" i="1"/>
  <c r="U608" i="1"/>
  <c r="U592" i="1"/>
  <c r="U576" i="1"/>
  <c r="U560" i="1"/>
  <c r="U544" i="1"/>
  <c r="U642" i="1"/>
  <c r="U626" i="1"/>
  <c r="U610" i="1"/>
  <c r="U594" i="1"/>
  <c r="U578" i="1"/>
  <c r="U562" i="1"/>
  <c r="U546" i="1"/>
  <c r="U290" i="1"/>
  <c r="U628" i="1"/>
  <c r="U612" i="1"/>
  <c r="U596" i="1"/>
  <c r="U580" i="1"/>
  <c r="U564" i="1"/>
  <c r="U548" i="1"/>
  <c r="U532" i="1"/>
  <c r="U274" i="1"/>
  <c r="U632" i="1"/>
  <c r="U616" i="1"/>
  <c r="U600" i="1"/>
  <c r="U584" i="1"/>
  <c r="U568" i="1"/>
  <c r="U552" i="1"/>
  <c r="U536" i="1"/>
  <c r="U331" i="1"/>
  <c r="U315" i="1"/>
  <c r="U299" i="1"/>
  <c r="U283" i="1"/>
  <c r="U267" i="1"/>
  <c r="U251" i="1"/>
  <c r="U149" i="1"/>
  <c r="U333" i="1"/>
  <c r="U317" i="1"/>
  <c r="U301" i="1"/>
  <c r="U285" i="1"/>
  <c r="U269" i="1"/>
  <c r="U253" i="1"/>
  <c r="U119" i="1"/>
  <c r="U151" i="1"/>
  <c r="U321" i="1"/>
  <c r="U305" i="1"/>
  <c r="U289" i="1"/>
  <c r="U273" i="1"/>
  <c r="U257" i="1"/>
  <c r="U241" i="1"/>
  <c r="U133" i="1"/>
  <c r="U323" i="1"/>
  <c r="U307" i="1"/>
  <c r="U291" i="1"/>
  <c r="U275" i="1"/>
  <c r="U259" i="1"/>
  <c r="U243" i="1"/>
  <c r="U325" i="1"/>
  <c r="U309" i="1"/>
  <c r="U293" i="1"/>
  <c r="U277" i="1"/>
  <c r="U261" i="1"/>
  <c r="U245" i="1"/>
  <c r="U165" i="1"/>
  <c r="U135" i="1"/>
  <c r="U103" i="1"/>
  <c r="U174" i="1"/>
  <c r="U158" i="1"/>
  <c r="U176" i="1"/>
  <c r="U160" i="1"/>
  <c r="U178" i="1"/>
  <c r="U162" i="1"/>
  <c r="U166" i="1"/>
  <c r="U168" i="1"/>
  <c r="U5" i="1" l="1"/>
</calcChain>
</file>

<file path=xl/sharedStrings.xml><?xml version="1.0" encoding="utf-8"?>
<sst xmlns="http://schemas.openxmlformats.org/spreadsheetml/2006/main" count="28" uniqueCount="28">
  <si>
    <t>zl4_id</t>
  </si>
  <si>
    <t>6_L67_weidegang</t>
  </si>
  <si>
    <t>1_L5_varkenssanering</t>
  </si>
  <si>
    <t>7_L19_verdunnen_mest</t>
  </si>
  <si>
    <t>8_L33_emissie_arme_stal</t>
  </si>
  <si>
    <t>9_I70_biomassa</t>
  </si>
  <si>
    <t>10_I75_bbt</t>
  </si>
  <si>
    <t>13_M128_vrachtwagens</t>
  </si>
  <si>
    <t>14_M131_walstroom</t>
  </si>
  <si>
    <t>15_I72_piek_industrie</t>
  </si>
  <si>
    <t>3_L10_piekbelasters_gericht</t>
  </si>
  <si>
    <t>4_L11_piekbelasters_vrijwillig</t>
  </si>
  <si>
    <t>5_L56_veevoer</t>
  </si>
  <si>
    <t>Totaal_landbouw</t>
  </si>
  <si>
    <t>Totaal_industrie</t>
  </si>
  <si>
    <t>Totaal_mobiliteit</t>
  </si>
  <si>
    <t>Totaal_pakket</t>
  </si>
  <si>
    <t>16_Lxx_circulaire_landbouw</t>
  </si>
  <si>
    <t>12_M105_taxien</t>
  </si>
  <si>
    <t>11_M94_binnenvaart</t>
  </si>
  <si>
    <t>receptor_count</t>
  </si>
  <si>
    <t>Gemiddeld (mol N/ha)</t>
  </si>
  <si>
    <t xml:space="preserve">NOx </t>
  </si>
  <si>
    <t>NH3</t>
  </si>
  <si>
    <t>Factor</t>
  </si>
  <si>
    <t>Reducties bronmaatregelpakket</t>
  </si>
  <si>
    <t>Reductie</t>
  </si>
  <si>
    <t>(kton)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</si>
</sst>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/>
    <xf numFmtId="0" fontId="0" fillId="0" borderId="0" xfId="0" applyAlignment="1">
      <alignment textRotation="75"/>
    </xf>
    <xf numFmtId="43" fontId="0" fillId="0" borderId="0" xfId="1" applyFont="1" applyAlignment="1">
      <alignment textRotation="75"/>
    </xf>
    <xf numFmtId="0" fontId="3" fillId="0" borderId="0" xfId="0" applyFont="1"/>
    <xf numFmtId="43" fontId="3" fillId="0" borderId="0" xfId="1" applyFont="1"/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styles.xml" Id="rId3" /><Relationship Type="http://schemas.openxmlformats.org/officeDocument/2006/relationships/theme" Target="theme/theme1.xml" Id="rId2" /><Relationship Type="http://schemas.openxmlformats.org/officeDocument/2006/relationships/worksheet" Target="worksheets/sheet1.xml" Id="rId1" /><Relationship Type="http://schemas.openxmlformats.org/officeDocument/2006/relationships/calcChain" Target="calcChain.xml" Id="rId5" /><Relationship Type="http://schemas.openxmlformats.org/officeDocument/2006/relationships/sharedStrings" Target="sharedStrings.xml" Id="rId4" 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F711A-468C-4455-BD95-CDF48D04232D}">
  <dimension ref="A1:U7854"/>
  <sheetViews>
    <sheetView tabSelected="1" workbookViewId="0">
      <selection activeCell="H32" sqref="H32"/>
    </sheetView>
  </sheetViews>
  <sheetFormatPr defaultRowHeight="15" x14ac:dyDescent="0.25"/>
  <cols>
    <col min="1" max="2" width="9.7109375" customWidth="1"/>
    <col min="3" max="17" width="9.7109375" style="1" customWidth="1"/>
    <col min="18" max="21" width="9.7109375" customWidth="1"/>
  </cols>
  <sheetData>
    <row r="1" spans="1:21" ht="18.75" x14ac:dyDescent="0.3">
      <c r="A1" s="3" t="s">
        <v>25</v>
      </c>
    </row>
    <row r="3" spans="1:21" x14ac:dyDescent="0.25">
      <c r="A3" t="s">
        <v>26</v>
      </c>
      <c r="B3" t="s">
        <v>22</v>
      </c>
      <c r="C3"/>
      <c r="D3"/>
      <c r="E3"/>
      <c r="F3"/>
      <c r="G3"/>
      <c r="H3"/>
      <c r="I3"/>
      <c r="J3">
        <v>0.05</v>
      </c>
      <c r="K3">
        <v>6</v>
      </c>
      <c r="L3">
        <v>5</v>
      </c>
      <c r="M3">
        <v>0.34</v>
      </c>
      <c r="N3">
        <v>2.2000000000000002</v>
      </c>
      <c r="O3">
        <v>0.4</v>
      </c>
      <c r="P3">
        <v>0.3</v>
      </c>
      <c r="Q3"/>
    </row>
    <row r="4" spans="1:21" x14ac:dyDescent="0.25">
      <c r="A4" t="s">
        <v>27</v>
      </c>
      <c r="B4" t="s">
        <v>23</v>
      </c>
      <c r="C4" s="1">
        <v>0.53647058823529414</v>
      </c>
      <c r="D4" s="1">
        <v>0.85000000000000009</v>
      </c>
      <c r="E4" s="1">
        <v>2.96</v>
      </c>
      <c r="F4" s="1">
        <f>6.775*38.9/42.5</f>
        <v>6.2011176470588243</v>
      </c>
      <c r="G4" s="1">
        <v>0.3</v>
      </c>
      <c r="H4">
        <v>1.25</v>
      </c>
      <c r="I4">
        <v>4.8499999999999996</v>
      </c>
      <c r="J4"/>
      <c r="K4"/>
      <c r="L4"/>
      <c r="M4"/>
      <c r="N4">
        <v>-0.03</v>
      </c>
      <c r="O4"/>
      <c r="P4"/>
      <c r="Q4" s="1">
        <v>0.47945205479452058</v>
      </c>
    </row>
    <row r="5" spans="1:21" s="6" customFormat="1" x14ac:dyDescent="0.25">
      <c r="A5" s="6" t="s">
        <v>21</v>
      </c>
      <c r="C5" s="7">
        <f>SUMPRODUCT($B$9:$B$7854,C9:C7854)/SUM($B$9:$B$7854)</f>
        <v>6.5589415189825342</v>
      </c>
      <c r="D5" s="7">
        <f t="shared" ref="D5:U5" si="0">SUMPRODUCT($B$9:$B$7854,D9:D7854)/SUM($B$9:$B$7854)</f>
        <v>9.5531007153044989</v>
      </c>
      <c r="E5" s="7">
        <f t="shared" si="0"/>
        <v>33.498007131703247</v>
      </c>
      <c r="F5" s="7">
        <f t="shared" si="0"/>
        <v>45.596518542629838</v>
      </c>
      <c r="G5" s="7">
        <f t="shared" si="0"/>
        <v>1.9983070807671801</v>
      </c>
      <c r="H5" s="7">
        <f t="shared" si="0"/>
        <v>5.5966326144427292</v>
      </c>
      <c r="I5" s="7">
        <f t="shared" si="0"/>
        <v>35.712890889740848</v>
      </c>
      <c r="J5" s="7">
        <f t="shared" si="0"/>
        <v>4.0645542345101079E-2</v>
      </c>
      <c r="K5" s="7">
        <f t="shared" si="0"/>
        <v>2.9011609334226645</v>
      </c>
      <c r="L5" s="7">
        <f t="shared" si="0"/>
        <v>3.614944828082312</v>
      </c>
      <c r="M5" s="7">
        <f t="shared" si="0"/>
        <v>0.25387838708511073</v>
      </c>
      <c r="N5" s="7">
        <f t="shared" si="0"/>
        <v>1.8113461496554548</v>
      </c>
      <c r="O5" s="7">
        <f t="shared" si="0"/>
        <v>0.21743205957898409</v>
      </c>
      <c r="P5" s="7">
        <f t="shared" si="0"/>
        <v>0.12508633026359664</v>
      </c>
      <c r="Q5" s="7">
        <f t="shared" si="0"/>
        <v>3.1936414532808945</v>
      </c>
      <c r="R5" s="7">
        <f t="shared" si="0"/>
        <v>141.70803994685124</v>
      </c>
      <c r="S5" s="7">
        <f t="shared" si="0"/>
        <v>3.0668928060313578</v>
      </c>
      <c r="T5" s="7">
        <f t="shared" si="0"/>
        <v>5.8976014244018513</v>
      </c>
      <c r="U5" s="7">
        <f t="shared" si="0"/>
        <v>150.67253417728531</v>
      </c>
    </row>
    <row r="6" spans="1:21" x14ac:dyDescent="0.25">
      <c r="B6" t="s">
        <v>24</v>
      </c>
      <c r="C6" s="1">
        <f>C5/(C3+C4)</f>
        <v>12.226097129682355</v>
      </c>
      <c r="D6" s="1">
        <f t="shared" ref="D6:Q6" si="1">D5/(D3+D4)</f>
        <v>11.238942018005291</v>
      </c>
      <c r="E6" s="1">
        <f t="shared" si="1"/>
        <v>11.316894301251097</v>
      </c>
      <c r="F6" s="1">
        <f t="shared" si="1"/>
        <v>7.3529516996433957</v>
      </c>
      <c r="G6" s="1">
        <f t="shared" si="1"/>
        <v>6.6610236025572673</v>
      </c>
      <c r="H6" s="1">
        <f t="shared" si="1"/>
        <v>4.4773060915541834</v>
      </c>
      <c r="I6" s="1">
        <f t="shared" si="1"/>
        <v>7.3634826576785262</v>
      </c>
      <c r="J6" s="1">
        <f t="shared" si="1"/>
        <v>0.81291084690202153</v>
      </c>
      <c r="K6" s="1">
        <f t="shared" si="1"/>
        <v>0.48352682223711074</v>
      </c>
      <c r="L6" s="1">
        <f t="shared" si="1"/>
        <v>0.72298896561646242</v>
      </c>
      <c r="M6" s="1">
        <f t="shared" si="1"/>
        <v>0.74670113848561981</v>
      </c>
      <c r="N6" s="1">
        <f t="shared" si="1"/>
        <v>0.83472172795182231</v>
      </c>
      <c r="O6" s="1">
        <f t="shared" si="1"/>
        <v>0.54358014894746021</v>
      </c>
      <c r="P6" s="1">
        <f t="shared" si="1"/>
        <v>0.4169544342119888</v>
      </c>
      <c r="Q6" s="1">
        <f t="shared" si="1"/>
        <v>6.661023602557294</v>
      </c>
      <c r="R6" s="1"/>
      <c r="S6" s="1"/>
      <c r="T6" s="1"/>
      <c r="U6" s="1"/>
    </row>
    <row r="8" spans="1:21" s="4" customFormat="1" ht="159.75" x14ac:dyDescent="0.25">
      <c r="A8" s="4" t="s">
        <v>0</v>
      </c>
      <c r="B8" s="4" t="s">
        <v>20</v>
      </c>
      <c r="C8" s="5" t="s">
        <v>2</v>
      </c>
      <c r="D8" s="5" t="s">
        <v>10</v>
      </c>
      <c r="E8" s="5" t="s">
        <v>11</v>
      </c>
      <c r="F8" s="5" t="s">
        <v>12</v>
      </c>
      <c r="G8" s="5" t="s">
        <v>1</v>
      </c>
      <c r="H8" s="5" t="s">
        <v>3</v>
      </c>
      <c r="I8" s="5" t="s">
        <v>4</v>
      </c>
      <c r="J8" s="5" t="s">
        <v>5</v>
      </c>
      <c r="K8" s="5" t="s">
        <v>6</v>
      </c>
      <c r="L8" s="5" t="s">
        <v>19</v>
      </c>
      <c r="M8" s="5" t="s">
        <v>18</v>
      </c>
      <c r="N8" s="5" t="s">
        <v>7</v>
      </c>
      <c r="O8" s="5" t="s">
        <v>8</v>
      </c>
      <c r="P8" s="5" t="s">
        <v>9</v>
      </c>
      <c r="Q8" s="5" t="s">
        <v>17</v>
      </c>
      <c r="R8" s="5" t="s">
        <v>13</v>
      </c>
      <c r="S8" s="5" t="s">
        <v>14</v>
      </c>
      <c r="T8" s="5" t="s">
        <v>15</v>
      </c>
      <c r="U8" s="5" t="s">
        <v>16</v>
      </c>
    </row>
    <row r="9" spans="1:21" x14ac:dyDescent="0.25">
      <c r="A9">
        <v>1419969</v>
      </c>
      <c r="B9">
        <v>1</v>
      </c>
      <c r="C9" s="1">
        <f>5.14991306144526*(10.3/7.3)</f>
        <v>7.2663156894364649</v>
      </c>
      <c r="D9" s="1">
        <f>4.74088954000148*(10.3/7.3)</f>
        <v>6.6892003098650985</v>
      </c>
      <c r="E9" s="1">
        <f>17.0723924294453*(10.3/7.3)</f>
        <v>24.088444112778948</v>
      </c>
      <c r="F9" s="1">
        <f>32.2144006174735*(38.9/42.5)</f>
        <v>29.485651388699306</v>
      </c>
      <c r="G9" s="1">
        <v>0.99516057817081116</v>
      </c>
      <c r="H9" s="1">
        <v>4.5482024482744681</v>
      </c>
      <c r="I9" s="1">
        <v>26.768537767697911</v>
      </c>
      <c r="J9" s="1">
        <v>2.7860875869895815E-2</v>
      </c>
      <c r="K9" s="1">
        <v>3.627714148068645</v>
      </c>
      <c r="L9" s="1">
        <v>1.8431408677413825</v>
      </c>
      <c r="M9" s="1">
        <v>8.1904125049650708E-2</v>
      </c>
      <c r="N9" s="1">
        <v>1.1445559434797841</v>
      </c>
      <c r="O9" s="1">
        <v>7.9253333333333342E-2</v>
      </c>
      <c r="P9" s="1">
        <v>6.5821469121434772E-2</v>
      </c>
      <c r="Q9" s="1">
        <v>1.5904392801816631</v>
      </c>
      <c r="R9" s="2">
        <f>C9+D9+E9+F9+G9+H9+I9+Q9</f>
        <v>101.43195157510468</v>
      </c>
      <c r="S9" s="2">
        <f t="shared" ref="S9:S72" si="2">J9+K9+P9</f>
        <v>3.7213964930599754</v>
      </c>
      <c r="T9" s="2">
        <f>L9+M9+N9+O9</f>
        <v>3.1488542696041506</v>
      </c>
      <c r="U9" s="2">
        <f>R9+S9+T9</f>
        <v>108.30220233776879</v>
      </c>
    </row>
    <row r="10" spans="1:21" x14ac:dyDescent="0.25">
      <c r="A10">
        <v>1419977</v>
      </c>
      <c r="B10">
        <v>3</v>
      </c>
      <c r="C10" s="1">
        <f>10.606510814098*(10.3/7.3)</f>
        <v>14.965350874686235</v>
      </c>
      <c r="D10" s="1">
        <f>7.26655484366506*(10.3/7.3)</f>
        <v>10.252810258869879</v>
      </c>
      <c r="E10" s="1">
        <f>26.886632421388*(10.3/7.3)</f>
        <v>37.935933416478925</v>
      </c>
      <c r="F10" s="1">
        <f>41.8226783813806*(38.9/42.5)</f>
        <v>38.280051506722465</v>
      </c>
      <c r="G10" s="1">
        <v>0.62577986114122852</v>
      </c>
      <c r="H10" s="1">
        <v>4.622102340343921</v>
      </c>
      <c r="I10" s="1">
        <v>40.18123267876279</v>
      </c>
      <c r="J10" s="1">
        <v>2.149607023406826E-2</v>
      </c>
      <c r="K10" s="1">
        <v>3.0071449816681191</v>
      </c>
      <c r="L10" s="1">
        <v>1.5207115184714981</v>
      </c>
      <c r="M10" s="1">
        <v>7.1520428447191198E-2</v>
      </c>
      <c r="N10" s="1">
        <v>0.90281896743311074</v>
      </c>
      <c r="O10" s="1">
        <v>6.7360000000000017E-2</v>
      </c>
      <c r="P10" s="1">
        <v>5.868190476565651E-2</v>
      </c>
      <c r="Q10" s="1">
        <v>1.0001048009106401</v>
      </c>
      <c r="R10" s="2">
        <f t="shared" ref="R10:R73" si="3">C10+D10+E10+F10+G10+H10+I10+Q10</f>
        <v>147.86336573791607</v>
      </c>
      <c r="S10" s="2">
        <f t="shared" si="2"/>
        <v>3.087322956667844</v>
      </c>
      <c r="T10" s="2">
        <f t="shared" ref="T10:T73" si="4">L10+M10+N10+O10</f>
        <v>2.5624109143517999</v>
      </c>
      <c r="U10" s="2">
        <f t="shared" ref="U10:U73" si="5">R10+S10+T10</f>
        <v>153.5130996089357</v>
      </c>
    </row>
    <row r="11" spans="1:21" x14ac:dyDescent="0.25">
      <c r="A11">
        <v>1432197</v>
      </c>
      <c r="B11">
        <v>3</v>
      </c>
      <c r="C11" s="1">
        <f>4.07452518318523*(10.3/7.3)</f>
        <v>5.7489875872339535</v>
      </c>
      <c r="D11" s="1">
        <f>3.97440329359211*(10.3/7.3)</f>
        <v>5.6077197156162617</v>
      </c>
      <c r="E11" s="1">
        <f>14.2019347733343*(10.3/7.3)</f>
        <v>20.038346324019653</v>
      </c>
      <c r="F11" s="1">
        <f>29.9079869720514*(38.9/42.5)</f>
        <v>27.374604546183534</v>
      </c>
      <c r="G11" s="1">
        <v>1.1061035472089371</v>
      </c>
      <c r="H11" s="1">
        <v>3.8327171296020439</v>
      </c>
      <c r="I11" s="1">
        <v>24.525685688024225</v>
      </c>
      <c r="J11" s="1">
        <v>2.1767635274530236E-2</v>
      </c>
      <c r="K11" s="1">
        <v>2.9406252859698827</v>
      </c>
      <c r="L11" s="1">
        <v>1.4781735687216446</v>
      </c>
      <c r="M11" s="1">
        <v>6.9397132203935855E-2</v>
      </c>
      <c r="N11" s="1">
        <v>1.5861754530843071</v>
      </c>
      <c r="O11" s="1">
        <v>6.5013333333333326E-2</v>
      </c>
      <c r="P11" s="1">
        <v>5.7420736728101877E-2</v>
      </c>
      <c r="Q11" s="1">
        <v>1.7677453950827779</v>
      </c>
      <c r="R11" s="2">
        <f t="shared" si="3"/>
        <v>90.001909932971387</v>
      </c>
      <c r="S11" s="2">
        <f t="shared" si="2"/>
        <v>3.0198136579725148</v>
      </c>
      <c r="T11" s="2">
        <f t="shared" si="4"/>
        <v>3.1987594873432212</v>
      </c>
      <c r="U11" s="2">
        <f t="shared" si="5"/>
        <v>96.220483078287131</v>
      </c>
    </row>
    <row r="12" spans="1:21" x14ac:dyDescent="0.25">
      <c r="A12">
        <v>1432205</v>
      </c>
      <c r="B12">
        <v>14</v>
      </c>
      <c r="C12" s="1">
        <f>6.28766205687847*(10.3/7.3)</f>
        <v>8.8716327651846854</v>
      </c>
      <c r="D12" s="1">
        <f>4.87366965733569*(10.3/7.3)</f>
        <v>6.8765475987065248</v>
      </c>
      <c r="E12" s="1">
        <f>17.8243845806754*(10.3/7.3)</f>
        <v>25.149474134377616</v>
      </c>
      <c r="F12" s="1">
        <f>29.8410112501335*(38.9/42.5)</f>
        <v>27.313302061886912</v>
      </c>
      <c r="G12" s="1">
        <v>0.64982414650060139</v>
      </c>
      <c r="H12" s="1">
        <v>3.6758478132546153</v>
      </c>
      <c r="I12" s="1">
        <v>26.747872117619004</v>
      </c>
      <c r="J12" s="1">
        <v>2.1783395745628476E-2</v>
      </c>
      <c r="K12" s="1">
        <v>2.9714787309366453</v>
      </c>
      <c r="L12" s="1">
        <v>1.4869358990407124</v>
      </c>
      <c r="M12" s="1">
        <v>7.0518561871823496E-2</v>
      </c>
      <c r="N12" s="1">
        <v>0.91636260487644683</v>
      </c>
      <c r="O12" s="1">
        <v>6.5710476190476194E-2</v>
      </c>
      <c r="P12" s="1">
        <v>5.7763589811828046E-2</v>
      </c>
      <c r="Q12" s="1">
        <v>1.0385317409826971</v>
      </c>
      <c r="R12" s="2">
        <f t="shared" si="3"/>
        <v>100.32303237851265</v>
      </c>
      <c r="S12" s="2">
        <f t="shared" si="2"/>
        <v>3.0510257164941015</v>
      </c>
      <c r="T12" s="2">
        <f t="shared" si="4"/>
        <v>2.5395275419794587</v>
      </c>
      <c r="U12" s="2">
        <f t="shared" si="5"/>
        <v>105.9135856369862</v>
      </c>
    </row>
    <row r="13" spans="1:21" x14ac:dyDescent="0.25">
      <c r="A13">
        <v>1444433</v>
      </c>
      <c r="B13">
        <v>21</v>
      </c>
      <c r="C13" s="1">
        <f>3.5983009462323*(10.3/7.3)</f>
        <v>5.0770547597524232</v>
      </c>
      <c r="D13" s="1">
        <f>3.45619890428609*(10.3/7.3)</f>
        <v>4.8765546183762636</v>
      </c>
      <c r="E13" s="1">
        <f>12.4018518125972*(10.3/7.3)</f>
        <v>17.498503242431667</v>
      </c>
      <c r="F13" s="1">
        <f>24.0590035891789*(38.9/42.5)</f>
        <v>22.021064461624931</v>
      </c>
      <c r="G13" s="1">
        <v>0.78923603989538382</v>
      </c>
      <c r="H13" s="1">
        <v>3.504470444503077</v>
      </c>
      <c r="I13" s="1">
        <v>19.689489092817478</v>
      </c>
      <c r="J13" s="1">
        <v>2.2053748442159817E-2</v>
      </c>
      <c r="K13" s="1">
        <v>2.9148647932234231</v>
      </c>
      <c r="L13" s="1">
        <v>1.4503077118095489</v>
      </c>
      <c r="M13" s="1">
        <v>6.882912653367676E-2</v>
      </c>
      <c r="N13" s="1">
        <v>1.1444382196632223</v>
      </c>
      <c r="O13" s="1">
        <v>6.3956825396825387E-2</v>
      </c>
      <c r="P13" s="1">
        <v>5.6643431787393235E-2</v>
      </c>
      <c r="Q13" s="1">
        <v>1.2613361368191076</v>
      </c>
      <c r="R13" s="2">
        <f t="shared" si="3"/>
        <v>74.717708796220336</v>
      </c>
      <c r="S13" s="2">
        <f t="shared" si="2"/>
        <v>2.9935619734529761</v>
      </c>
      <c r="T13" s="2">
        <f t="shared" si="4"/>
        <v>2.7275318834032731</v>
      </c>
      <c r="U13" s="2">
        <f t="shared" si="5"/>
        <v>80.438802653076579</v>
      </c>
    </row>
    <row r="14" spans="1:21" x14ac:dyDescent="0.25">
      <c r="A14">
        <v>1456661</v>
      </c>
      <c r="B14">
        <v>23</v>
      </c>
      <c r="C14" s="1">
        <f>5.67917360449295*(10.3/7.3)</f>
        <v>8.013080565243472</v>
      </c>
      <c r="D14" s="1">
        <f>4.79822631124396*(10.3/7.3)</f>
        <v>6.7701001377825731</v>
      </c>
      <c r="E14" s="1">
        <f>17.4115533394687*(10.3/7.3)</f>
        <v>24.566986218702404</v>
      </c>
      <c r="F14" s="1">
        <f>30.8717140308143*(38.9/42.5)</f>
        <v>28.256698254086476</v>
      </c>
      <c r="G14" s="1">
        <v>0.81521763204737174</v>
      </c>
      <c r="H14" s="1">
        <v>4.0633256860796427</v>
      </c>
      <c r="I14" s="1">
        <v>26.556289212138434</v>
      </c>
      <c r="J14" s="1">
        <v>2.3506241892270491E-2</v>
      </c>
      <c r="K14" s="1">
        <v>3.1421441457628596</v>
      </c>
      <c r="L14" s="1">
        <v>1.5900365528474105</v>
      </c>
      <c r="M14" s="1">
        <v>7.3189813157842995E-2</v>
      </c>
      <c r="N14" s="1">
        <v>1.209780225555968</v>
      </c>
      <c r="O14" s="1">
        <v>6.8463768115942014E-2</v>
      </c>
      <c r="P14" s="1">
        <v>5.9842648674133712E-2</v>
      </c>
      <c r="Q14" s="1">
        <v>1.3028592292994541</v>
      </c>
      <c r="R14" s="2">
        <f t="shared" si="3"/>
        <v>100.34455693537983</v>
      </c>
      <c r="S14" s="2">
        <f t="shared" si="2"/>
        <v>3.2254930363292638</v>
      </c>
      <c r="T14" s="2">
        <f t="shared" si="4"/>
        <v>2.9414703596771634</v>
      </c>
      <c r="U14" s="2">
        <f t="shared" si="5"/>
        <v>106.51152033138627</v>
      </c>
    </row>
    <row r="15" spans="1:21" x14ac:dyDescent="0.25">
      <c r="A15">
        <v>1481149</v>
      </c>
      <c r="B15">
        <v>4</v>
      </c>
      <c r="C15" s="1">
        <f>2.61050407447623*(10.3/7.3)</f>
        <v>3.6833139680965927</v>
      </c>
      <c r="D15" s="1">
        <f>3.01446054878616*(10.3/7.3)</f>
        <v>4.2532799523969054</v>
      </c>
      <c r="E15" s="1">
        <f>10.7680234981246*(10.3/7.3)</f>
        <v>15.193238634340254</v>
      </c>
      <c r="F15" s="1">
        <f>18.0343166287612*(38.9/42.5)</f>
        <v>16.506703926089628</v>
      </c>
      <c r="G15" s="1">
        <v>0.48349782807355446</v>
      </c>
      <c r="H15" s="1">
        <v>1.9368489894202789</v>
      </c>
      <c r="I15" s="1">
        <v>13.349048220250712</v>
      </c>
      <c r="J15" s="1">
        <v>2.0624091861959886E-2</v>
      </c>
      <c r="K15" s="1">
        <v>2.6533434858195135</v>
      </c>
      <c r="L15" s="1">
        <v>1.391799860316107</v>
      </c>
      <c r="M15" s="1">
        <v>6.5896999587589461E-2</v>
      </c>
      <c r="N15" s="1">
        <v>0.84336032185276333</v>
      </c>
      <c r="O15" s="1">
        <v>6.1946666666666664E-2</v>
      </c>
      <c r="P15" s="1">
        <v>5.5347797094440862E-2</v>
      </c>
      <c r="Q15" s="1">
        <v>0.77271342386184583</v>
      </c>
      <c r="R15" s="2">
        <f t="shared" si="3"/>
        <v>56.178644942529772</v>
      </c>
      <c r="S15" s="2">
        <f t="shared" si="2"/>
        <v>2.7293153747759145</v>
      </c>
      <c r="T15" s="2">
        <f t="shared" si="4"/>
        <v>2.3630038484231264</v>
      </c>
      <c r="U15" s="2">
        <f t="shared" si="5"/>
        <v>61.270964165728813</v>
      </c>
    </row>
    <row r="16" spans="1:21" x14ac:dyDescent="0.25">
      <c r="A16">
        <v>1505613</v>
      </c>
      <c r="B16">
        <v>6</v>
      </c>
      <c r="C16" s="1">
        <f>2.87048905134076*(10.3/7.3)</f>
        <v>4.0501420861383304</v>
      </c>
      <c r="D16" s="1">
        <f>4.55763467227477*(10.3/7.3)</f>
        <v>6.4306352225246721</v>
      </c>
      <c r="E16" s="1">
        <f>16.1251019191093*(10.3/7.3)</f>
        <v>22.751856132441823</v>
      </c>
      <c r="F16" s="1">
        <f>23.9636921146595*(38.9/42.5)</f>
        <v>21.933826429653042</v>
      </c>
      <c r="G16" s="1">
        <v>0.54638160476964892</v>
      </c>
      <c r="H16" s="1">
        <v>1.9826445285966521</v>
      </c>
      <c r="I16" s="1">
        <v>14.833183778123846</v>
      </c>
      <c r="J16" s="1">
        <v>2.2480493505742924E-2</v>
      </c>
      <c r="K16" s="1">
        <v>2.7456141732368482</v>
      </c>
      <c r="L16" s="1">
        <v>1.470821685024567</v>
      </c>
      <c r="M16" s="1">
        <v>6.8273427611351536E-2</v>
      </c>
      <c r="N16" s="1">
        <v>0.94475975954849423</v>
      </c>
      <c r="O16" s="1">
        <v>6.505777777777777E-2</v>
      </c>
      <c r="P16" s="1">
        <v>5.7270069392443355E-2</v>
      </c>
      <c r="Q16" s="1">
        <v>0.87321261036245346</v>
      </c>
      <c r="R16" s="2">
        <f t="shared" si="3"/>
        <v>73.401882392610474</v>
      </c>
      <c r="S16" s="2">
        <f t="shared" si="2"/>
        <v>2.8253647361350342</v>
      </c>
      <c r="T16" s="2">
        <f t="shared" si="4"/>
        <v>2.5489126499621904</v>
      </c>
      <c r="U16" s="2">
        <f t="shared" si="5"/>
        <v>78.776159778707694</v>
      </c>
    </row>
    <row r="17" spans="1:21" x14ac:dyDescent="0.25">
      <c r="A17">
        <v>1517849</v>
      </c>
      <c r="B17">
        <v>7</v>
      </c>
      <c r="C17" s="1">
        <f>2.63942290458869*(10.3/7.3)</f>
        <v>3.7241172489402135</v>
      </c>
      <c r="D17" s="1">
        <f>4.6545379690542*(10.3/7.3)</f>
        <v>6.5673617919531804</v>
      </c>
      <c r="E17" s="1">
        <f>16.4289016415217*(10.3/7.3)</f>
        <v>23.180505055845689</v>
      </c>
      <c r="F17" s="1">
        <f>23.4265163131332*(38.9/42.5)</f>
        <v>21.442152578373708</v>
      </c>
      <c r="G17" s="1">
        <v>0.49496689087858042</v>
      </c>
      <c r="H17" s="1">
        <v>2.5494023155673946</v>
      </c>
      <c r="I17" s="1">
        <v>13.561113093546728</v>
      </c>
      <c r="J17" s="1">
        <v>2.2503528040424964E-2</v>
      </c>
      <c r="K17" s="1">
        <v>2.7403568391279403</v>
      </c>
      <c r="L17" s="1">
        <v>1.4579483458717335</v>
      </c>
      <c r="M17" s="1">
        <v>6.7481314223553149E-2</v>
      </c>
      <c r="N17" s="1">
        <v>0.93433358228855046</v>
      </c>
      <c r="O17" s="1">
        <v>6.4373333333333338E-2</v>
      </c>
      <c r="P17" s="1">
        <v>5.7084249494615359E-2</v>
      </c>
      <c r="Q17" s="1">
        <v>0.79104297628996945</v>
      </c>
      <c r="R17" s="2">
        <f t="shared" si="3"/>
        <v>72.31066195139546</v>
      </c>
      <c r="S17" s="2">
        <f t="shared" si="2"/>
        <v>2.8199446166629807</v>
      </c>
      <c r="T17" s="2">
        <f t="shared" si="4"/>
        <v>2.5241365757171703</v>
      </c>
      <c r="U17" s="2">
        <f t="shared" si="5"/>
        <v>77.654743143775605</v>
      </c>
    </row>
    <row r="18" spans="1:21" x14ac:dyDescent="0.25">
      <c r="A18">
        <v>1517857</v>
      </c>
      <c r="B18">
        <v>8</v>
      </c>
      <c r="C18" s="1">
        <f>5.26940060347415*(10.3/7.3)</f>
        <v>7.4349077007922979</v>
      </c>
      <c r="D18" s="1">
        <f>5.96117728732204*(10.3/7.3)</f>
        <v>8.4109761725228758</v>
      </c>
      <c r="E18" s="1">
        <f>21.3370506197439*(10.3/7.3)</f>
        <v>30.105701559364746</v>
      </c>
      <c r="F18" s="1">
        <f>34.6567384850394*(38.9/42.5)</f>
        <v>31.721108872189028</v>
      </c>
      <c r="G18" s="1">
        <v>0.85972753883969455</v>
      </c>
      <c r="H18" s="1">
        <v>2.0773007729272774</v>
      </c>
      <c r="I18" s="1">
        <v>25.725130105229407</v>
      </c>
      <c r="J18" s="1">
        <v>3.1725373691782445E-2</v>
      </c>
      <c r="K18" s="1">
        <v>3.9592547124732715</v>
      </c>
      <c r="L18" s="1">
        <v>2.2745220465312639</v>
      </c>
      <c r="M18" s="1">
        <v>9.706464419455843E-2</v>
      </c>
      <c r="N18" s="1">
        <v>1.5220622148218905</v>
      </c>
      <c r="O18" s="1">
        <v>9.4200000000000006E-2</v>
      </c>
      <c r="P18" s="1">
        <v>7.6412398384365865E-2</v>
      </c>
      <c r="Q18" s="1">
        <v>1.3739937835337599</v>
      </c>
      <c r="R18" s="2">
        <f t="shared" si="3"/>
        <v>107.70884650539908</v>
      </c>
      <c r="S18" s="2">
        <f t="shared" si="2"/>
        <v>4.06739248454942</v>
      </c>
      <c r="T18" s="2">
        <f t="shared" si="4"/>
        <v>3.9878489055477129</v>
      </c>
      <c r="U18" s="2">
        <f t="shared" si="5"/>
        <v>115.7640878954962</v>
      </c>
    </row>
    <row r="19" spans="1:21" x14ac:dyDescent="0.25">
      <c r="A19">
        <v>1529989</v>
      </c>
      <c r="B19">
        <v>1</v>
      </c>
      <c r="C19" s="1">
        <f>2.78644948011377*(10.3/7.3)</f>
        <v>3.931565704818059</v>
      </c>
      <c r="D19" s="1">
        <f>3.14781565760603*(10.3/7.3)</f>
        <v>4.4414385305948159</v>
      </c>
      <c r="E19" s="1">
        <f>11.2678966364744*(10.3/7.3)</f>
        <v>15.898539089820011</v>
      </c>
      <c r="F19" s="1">
        <f>18.300861812137*(38.9/42.5)</f>
        <v>16.750671164520671</v>
      </c>
      <c r="G19" s="1">
        <v>0.45364301072843011</v>
      </c>
      <c r="H19" s="1">
        <v>1.3825997988993874</v>
      </c>
      <c r="I19" s="1">
        <v>13.593118934500264</v>
      </c>
      <c r="J19" s="1">
        <v>1.9051984869910481E-2</v>
      </c>
      <c r="K19" s="1">
        <v>2.288860907754382</v>
      </c>
      <c r="L19" s="1">
        <v>1.5164047001447374</v>
      </c>
      <c r="M19" s="1">
        <v>6.4627199995619347E-2</v>
      </c>
      <c r="N19" s="1">
        <v>0.87389217237168626</v>
      </c>
      <c r="O19" s="1">
        <v>6.2719999999999998E-2</v>
      </c>
      <c r="P19" s="1">
        <v>5.5773511381419831E-2</v>
      </c>
      <c r="Q19" s="1">
        <v>0.72500024545639596</v>
      </c>
      <c r="R19" s="2">
        <f t="shared" si="3"/>
        <v>57.176576479338017</v>
      </c>
      <c r="S19" s="2">
        <f t="shared" si="2"/>
        <v>2.3636864040057124</v>
      </c>
      <c r="T19" s="2">
        <f t="shared" si="4"/>
        <v>2.5176440725120433</v>
      </c>
      <c r="U19" s="2">
        <f t="shared" si="5"/>
        <v>62.057906955855771</v>
      </c>
    </row>
    <row r="20" spans="1:21" x14ac:dyDescent="0.25">
      <c r="A20">
        <v>1529997</v>
      </c>
      <c r="B20">
        <v>5</v>
      </c>
      <c r="C20" s="1">
        <f>3.2034610017946*(10.3/7.3)</f>
        <v>4.5199518244499206</v>
      </c>
      <c r="D20" s="1">
        <f>3.44851885311202*(10.3/7.3)</f>
        <v>4.8657183817881897</v>
      </c>
      <c r="E20" s="1">
        <f>12.3746991166134*(10.3/7.3)</f>
        <v>17.460191904262729</v>
      </c>
      <c r="F20" s="1">
        <f>20.0929928413997*(38.9/42.5)</f>
        <v>18.390998153657584</v>
      </c>
      <c r="G20" s="1">
        <v>0.48684006548703379</v>
      </c>
      <c r="H20" s="1">
        <v>3.6175340802398117</v>
      </c>
      <c r="I20" s="1">
        <v>15.2631389937393</v>
      </c>
      <c r="J20" s="1">
        <v>2.1978098180888268E-2</v>
      </c>
      <c r="K20" s="1">
        <v>2.5567907233356491</v>
      </c>
      <c r="L20" s="1">
        <v>2.1238899886635698</v>
      </c>
      <c r="M20" s="1">
        <v>6.903846377499398E-2</v>
      </c>
      <c r="N20" s="1">
        <v>1.035518112876699</v>
      </c>
      <c r="O20" s="1">
        <v>6.5568000000000001E-2</v>
      </c>
      <c r="P20" s="1">
        <v>5.8975342015948305E-2</v>
      </c>
      <c r="Q20" s="1">
        <v>0.77805489918019188</v>
      </c>
      <c r="R20" s="2">
        <f t="shared" si="3"/>
        <v>65.382428302804769</v>
      </c>
      <c r="S20" s="2">
        <f t="shared" si="2"/>
        <v>2.6377441635324854</v>
      </c>
      <c r="T20" s="2">
        <f t="shared" si="4"/>
        <v>3.2940145653152628</v>
      </c>
      <c r="U20" s="2">
        <f t="shared" si="5"/>
        <v>71.314187031652523</v>
      </c>
    </row>
    <row r="21" spans="1:21" x14ac:dyDescent="0.25">
      <c r="A21">
        <v>1530045</v>
      </c>
      <c r="B21">
        <v>7</v>
      </c>
      <c r="C21" s="1">
        <f>8.98717012545883*(10.3/7.3)</f>
        <v>12.680527711263835</v>
      </c>
      <c r="D21" s="1">
        <f>8.52898214162796*(10.3/7.3)</f>
        <v>12.034043295721643</v>
      </c>
      <c r="E21" s="1">
        <f>30.7984036355237*(10.3/7.3)</f>
        <v>43.4552818419033</v>
      </c>
      <c r="F21" s="1">
        <f>51.0533367491643*(38.9/42.5)</f>
        <v>46.728818812764501</v>
      </c>
      <c r="G21" s="1">
        <v>1.2227024924248842</v>
      </c>
      <c r="H21" s="1">
        <v>3.9790773054538815</v>
      </c>
      <c r="I21" s="1">
        <v>41.317456940829736</v>
      </c>
      <c r="J21" s="1">
        <v>4.9839458988356337E-2</v>
      </c>
      <c r="K21" s="1">
        <v>4.0222439977340816</v>
      </c>
      <c r="L21" s="1">
        <v>2.2907152674819984</v>
      </c>
      <c r="M21" s="1">
        <v>9.4365677702935566E-2</v>
      </c>
      <c r="N21" s="1">
        <v>1.4733020260134868</v>
      </c>
      <c r="O21" s="1">
        <v>8.9706666666666671E-2</v>
      </c>
      <c r="P21" s="1">
        <v>7.3079862828387437E-2</v>
      </c>
      <c r="Q21" s="1">
        <v>1.95409074131831</v>
      </c>
      <c r="R21" s="2">
        <f t="shared" si="3"/>
        <v>163.37199914168011</v>
      </c>
      <c r="S21" s="2">
        <f t="shared" si="2"/>
        <v>4.1451633195508251</v>
      </c>
      <c r="T21" s="2">
        <f t="shared" si="4"/>
        <v>3.9480896378650874</v>
      </c>
      <c r="U21" s="2">
        <f t="shared" si="5"/>
        <v>171.46525209909601</v>
      </c>
    </row>
    <row r="22" spans="1:21" x14ac:dyDescent="0.25">
      <c r="A22">
        <v>1530053</v>
      </c>
      <c r="B22">
        <v>9</v>
      </c>
      <c r="C22" s="1">
        <f>4.71148229148962*(10.3/7.3)</f>
        <v>6.6477078907319278</v>
      </c>
      <c r="D22" s="1">
        <f>5.18257712682223*(10.3/7.3)</f>
        <v>7.3124033433245135</v>
      </c>
      <c r="E22" s="1">
        <f>18.5805741439847*(10.3/7.3)</f>
        <v>26.216426531923684</v>
      </c>
      <c r="F22" s="1">
        <f>29.9683908936164*(38.9/42.5)</f>
        <v>27.429891900274789</v>
      </c>
      <c r="G22" s="1">
        <v>0.72151079187152645</v>
      </c>
      <c r="H22" s="1">
        <v>3.7416485757386786</v>
      </c>
      <c r="I22" s="1">
        <v>22.505889435709136</v>
      </c>
      <c r="J22" s="1">
        <v>2.5983493940868754E-2</v>
      </c>
      <c r="K22" s="1">
        <v>3.2404580811720902</v>
      </c>
      <c r="L22" s="1">
        <v>1.6993913246804646</v>
      </c>
      <c r="M22" s="1">
        <v>7.5247797142626957E-2</v>
      </c>
      <c r="N22" s="1">
        <v>1.1712713150607668</v>
      </c>
      <c r="O22" s="1">
        <v>7.2023703703703701E-2</v>
      </c>
      <c r="P22" s="1">
        <v>6.2239491792311891E-2</v>
      </c>
      <c r="Q22" s="1">
        <v>1.1530994390640845</v>
      </c>
      <c r="R22" s="2">
        <f t="shared" si="3"/>
        <v>95.728577908638329</v>
      </c>
      <c r="S22" s="2">
        <f t="shared" si="2"/>
        <v>3.3286810669052707</v>
      </c>
      <c r="T22" s="2">
        <f t="shared" si="4"/>
        <v>3.0179341405875624</v>
      </c>
      <c r="U22" s="2">
        <f t="shared" si="5"/>
        <v>102.07519311613116</v>
      </c>
    </row>
    <row r="23" spans="1:21" x14ac:dyDescent="0.25">
      <c r="A23">
        <v>1530061</v>
      </c>
      <c r="B23">
        <v>1</v>
      </c>
      <c r="C23" s="1">
        <f>4.91492089545511*(10.3/7.3)</f>
        <v>6.9347514004366566</v>
      </c>
      <c r="D23" s="1">
        <f>4.45345296982892*(10.3/7.3)</f>
        <v>6.28363912181341</v>
      </c>
      <c r="E23" s="1">
        <f>16.0863359158708*(10.3/7.3)</f>
        <v>22.697158894995798</v>
      </c>
      <c r="F23" s="1">
        <f>28.6619956094556*(38.9/42.5)</f>
        <v>26.234155981360576</v>
      </c>
      <c r="G23" s="1">
        <v>0.79022724077930184</v>
      </c>
      <c r="H23" s="1">
        <v>3.668121915447355</v>
      </c>
      <c r="I23" s="1">
        <v>23.872080532420888</v>
      </c>
      <c r="J23" s="1">
        <v>2.3507348814989767E-2</v>
      </c>
      <c r="K23" s="1">
        <v>3.0677967124236352</v>
      </c>
      <c r="L23" s="1">
        <v>1.5562506384295247</v>
      </c>
      <c r="M23" s="1">
        <v>7.0586839696301099E-2</v>
      </c>
      <c r="N23" s="1">
        <v>1.0186162847114493</v>
      </c>
      <c r="O23" s="1">
        <v>6.7519999999999997E-2</v>
      </c>
      <c r="P23" s="1">
        <v>5.9051590945890985E-2</v>
      </c>
      <c r="Q23" s="1">
        <v>1.2629202478208033</v>
      </c>
      <c r="R23" s="2">
        <f t="shared" si="3"/>
        <v>91.743055335074786</v>
      </c>
      <c r="S23" s="2">
        <f t="shared" si="2"/>
        <v>3.150355652184516</v>
      </c>
      <c r="T23" s="2">
        <f t="shared" si="4"/>
        <v>2.712973762837275</v>
      </c>
      <c r="U23" s="2">
        <f t="shared" si="5"/>
        <v>97.606384750096581</v>
      </c>
    </row>
    <row r="24" spans="1:21" x14ac:dyDescent="0.25">
      <c r="A24">
        <v>1530077</v>
      </c>
      <c r="B24">
        <v>8</v>
      </c>
      <c r="C24" s="1">
        <f>2.93137791129965*(10.3/7.3)</f>
        <v>4.1360537652584064</v>
      </c>
      <c r="D24" s="1">
        <f>3.54412171003515*(10.3/7.3)</f>
        <v>5.0006100840221936</v>
      </c>
      <c r="E24" s="1">
        <f>12.6324707074521*(10.3/7.3)</f>
        <v>17.823897025583136</v>
      </c>
      <c r="F24" s="1">
        <f>21.152524506216*(38.9/42.5)</f>
        <v>19.360781253924806</v>
      </c>
      <c r="G24" s="1">
        <v>0.57681760304542107</v>
      </c>
      <c r="H24" s="1">
        <v>3.7164087767427354</v>
      </c>
      <c r="I24" s="1">
        <v>15.345710011424268</v>
      </c>
      <c r="J24" s="1">
        <v>2.2166496427708762E-2</v>
      </c>
      <c r="K24" s="1">
        <v>2.7893455221744756</v>
      </c>
      <c r="L24" s="1">
        <v>1.4905699325557746</v>
      </c>
      <c r="M24" s="1">
        <v>6.8522894559299677E-2</v>
      </c>
      <c r="N24" s="1">
        <v>0.93655567964245823</v>
      </c>
      <c r="O24" s="1">
        <v>6.5479999999999983E-2</v>
      </c>
      <c r="P24" s="1">
        <v>5.7954302000133448E-2</v>
      </c>
      <c r="Q24" s="1">
        <v>0.92185461673925839</v>
      </c>
      <c r="R24" s="2">
        <f t="shared" si="3"/>
        <v>66.882133136740222</v>
      </c>
      <c r="S24" s="2">
        <f t="shared" si="2"/>
        <v>2.8694663206023177</v>
      </c>
      <c r="T24" s="2">
        <f t="shared" si="4"/>
        <v>2.5611285067575325</v>
      </c>
      <c r="U24" s="2">
        <f t="shared" si="5"/>
        <v>72.312727964100063</v>
      </c>
    </row>
    <row r="25" spans="1:21" x14ac:dyDescent="0.25">
      <c r="A25">
        <v>1530085</v>
      </c>
      <c r="B25">
        <v>25</v>
      </c>
      <c r="C25" s="1">
        <f>5.10992456404626*(10.3/7.3)</f>
        <v>7.2098935629693779</v>
      </c>
      <c r="D25" s="1">
        <f>6.05958648195712*(10.3/7.3)</f>
        <v>8.5498275019395003</v>
      </c>
      <c r="E25" s="1">
        <f>21.6410652642595*(10.3/7.3)</f>
        <v>30.534653729023635</v>
      </c>
      <c r="F25" s="1">
        <f>35.0862006308754*(38.9/42.5)</f>
        <v>32.114193048024802</v>
      </c>
      <c r="G25" s="1">
        <v>0.88438928103835335</v>
      </c>
      <c r="H25" s="1">
        <v>2.9100165135668767</v>
      </c>
      <c r="I25" s="1">
        <v>25.478721211970353</v>
      </c>
      <c r="J25" s="1">
        <v>3.2332533717402814E-2</v>
      </c>
      <c r="K25" s="1">
        <v>4.0886962842272707</v>
      </c>
      <c r="L25" s="1">
        <v>2.3088595375433902</v>
      </c>
      <c r="M25" s="1">
        <v>9.8345279047637693E-2</v>
      </c>
      <c r="N25" s="1">
        <v>1.6146941571770796</v>
      </c>
      <c r="O25" s="1">
        <v>9.5142400000000016E-2</v>
      </c>
      <c r="P25" s="1">
        <v>7.6672914011683677E-2</v>
      </c>
      <c r="Q25" s="1">
        <v>1.4134075267736252</v>
      </c>
      <c r="R25" s="2">
        <f t="shared" si="3"/>
        <v>109.09510237530651</v>
      </c>
      <c r="S25" s="2">
        <f t="shared" si="2"/>
        <v>4.1977017319563572</v>
      </c>
      <c r="T25" s="2">
        <f t="shared" si="4"/>
        <v>4.1170413737681075</v>
      </c>
      <c r="U25" s="2">
        <f t="shared" si="5"/>
        <v>117.40984548103097</v>
      </c>
    </row>
    <row r="26" spans="1:21" x14ac:dyDescent="0.25">
      <c r="A26">
        <v>1530093</v>
      </c>
      <c r="B26">
        <v>16</v>
      </c>
      <c r="C26" s="1">
        <f>5.39486252260449*(10.3/7.3)</f>
        <v>7.6119293127159251</v>
      </c>
      <c r="D26" s="1">
        <f>6.00008981630064*(10.3/7.3)</f>
        <v>8.4658801517666493</v>
      </c>
      <c r="E26" s="1">
        <f>21.4912739627888*(10.3/7.3)</f>
        <v>30.323304358455481</v>
      </c>
      <c r="F26" s="1">
        <f>35.0750822610642*(38.9/42.5)</f>
        <v>32.104016469538792</v>
      </c>
      <c r="G26" s="1">
        <v>0.87345458535934173</v>
      </c>
      <c r="H26" s="1">
        <v>2.0923116885038859</v>
      </c>
      <c r="I26" s="1">
        <v>26.26683530671934</v>
      </c>
      <c r="J26" s="1">
        <v>3.2532112806123593E-2</v>
      </c>
      <c r="K26" s="1">
        <v>4.2727758057987772</v>
      </c>
      <c r="L26" s="1">
        <v>2.4400483094366385</v>
      </c>
      <c r="M26" s="1">
        <v>0.10401763461766021</v>
      </c>
      <c r="N26" s="1">
        <v>1.4006505538907781</v>
      </c>
      <c r="O26" s="1">
        <v>9.9890000000000007E-2</v>
      </c>
      <c r="P26" s="1">
        <v>8.0516494785755108E-2</v>
      </c>
      <c r="Q26" s="1">
        <v>1.3959319857341093</v>
      </c>
      <c r="R26" s="2">
        <f t="shared" si="3"/>
        <v>109.13366385879353</v>
      </c>
      <c r="S26" s="2">
        <f t="shared" si="2"/>
        <v>4.3858244133906554</v>
      </c>
      <c r="T26" s="2">
        <f t="shared" si="4"/>
        <v>4.0446064979450771</v>
      </c>
      <c r="U26" s="2">
        <f t="shared" si="5"/>
        <v>117.56409477012926</v>
      </c>
    </row>
    <row r="27" spans="1:21" x14ac:dyDescent="0.25">
      <c r="A27">
        <v>1542225</v>
      </c>
      <c r="B27">
        <v>25</v>
      </c>
      <c r="C27" s="1">
        <f>3.58908712910252*(10.3/7.3)</f>
        <v>5.0640544424323171</v>
      </c>
      <c r="D27" s="1">
        <f>3.94221508163548*(10.3/7.3)</f>
        <v>5.5623034713486899</v>
      </c>
      <c r="E27" s="1">
        <f>14.1362769951751*(10.3/7.3)</f>
        <v>19.945705897301842</v>
      </c>
      <c r="F27" s="1">
        <f>22.7200971119233*(38.9/42.5)</f>
        <v>20.795571238913357</v>
      </c>
      <c r="G27" s="1">
        <v>0.54182657687258373</v>
      </c>
      <c r="H27" s="1">
        <v>2.7516960720660841</v>
      </c>
      <c r="I27" s="1">
        <v>17.062492437761115</v>
      </c>
      <c r="J27" s="1">
        <v>2.1639320792911955E-2</v>
      </c>
      <c r="K27" s="1">
        <v>2.5359978686391953</v>
      </c>
      <c r="L27" s="1">
        <v>1.8975347589447606</v>
      </c>
      <c r="M27" s="1">
        <v>7.0689015162736332E-2</v>
      </c>
      <c r="N27" s="1">
        <v>1.0076700810132107</v>
      </c>
      <c r="O27" s="1">
        <v>6.7039999999999975E-2</v>
      </c>
      <c r="P27" s="1">
        <v>5.9452099618980958E-2</v>
      </c>
      <c r="Q27" s="1">
        <v>0.86593288541280611</v>
      </c>
      <c r="R27" s="2">
        <f t="shared" si="3"/>
        <v>72.589583022108798</v>
      </c>
      <c r="S27" s="2">
        <f t="shared" si="2"/>
        <v>2.617089289051088</v>
      </c>
      <c r="T27" s="2">
        <f t="shared" si="4"/>
        <v>3.0429338551207077</v>
      </c>
      <c r="U27" s="2">
        <f t="shared" si="5"/>
        <v>78.2496061662806</v>
      </c>
    </row>
    <row r="28" spans="1:21" x14ac:dyDescent="0.25">
      <c r="A28">
        <v>1542273</v>
      </c>
      <c r="B28">
        <v>43</v>
      </c>
      <c r="C28" s="1">
        <f>7.88312111585499*(10.3/7.3)</f>
        <v>11.122759930589925</v>
      </c>
      <c r="D28" s="1">
        <f>7.72178802624789*(10.3/7.3)</f>
        <v>10.895125571281275</v>
      </c>
      <c r="E28" s="1">
        <f>27.6902371710198*(10.3/7.3)</f>
        <v>39.069786693356697</v>
      </c>
      <c r="F28" s="1">
        <f>53.0434752389517*(38.9/42.5)</f>
        <v>48.550380865769938</v>
      </c>
      <c r="G28" s="1">
        <v>1.7167739517689156</v>
      </c>
      <c r="H28" s="1">
        <v>4.9017657796765182</v>
      </c>
      <c r="I28" s="1">
        <v>43.006630906754474</v>
      </c>
      <c r="J28" s="1">
        <v>3.870018920728871E-2</v>
      </c>
      <c r="K28" s="1">
        <v>4.2642297455885352</v>
      </c>
      <c r="L28" s="1">
        <v>2.398712884442642</v>
      </c>
      <c r="M28" s="1">
        <v>9.7103815075056818E-2</v>
      </c>
      <c r="N28" s="1">
        <v>1.5603398456352549</v>
      </c>
      <c r="O28" s="1">
        <v>9.1867286821705404E-2</v>
      </c>
      <c r="P28" s="1">
        <v>7.5478177243649691E-2</v>
      </c>
      <c r="Q28" s="1">
        <v>2.7437026626443881</v>
      </c>
      <c r="R28" s="2">
        <f t="shared" si="3"/>
        <v>162.00692636184212</v>
      </c>
      <c r="S28" s="2">
        <f t="shared" si="2"/>
        <v>4.3784081120394731</v>
      </c>
      <c r="T28" s="2">
        <f t="shared" si="4"/>
        <v>4.1480238319746592</v>
      </c>
      <c r="U28" s="2">
        <f t="shared" si="5"/>
        <v>170.53335830585624</v>
      </c>
    </row>
    <row r="29" spans="1:21" x14ac:dyDescent="0.25">
      <c r="A29">
        <v>1542281</v>
      </c>
      <c r="B29">
        <v>7</v>
      </c>
      <c r="C29" s="1">
        <f>4.04846551925702*(10.3/7.3)</f>
        <v>5.7122184723763487</v>
      </c>
      <c r="D29" s="1">
        <f>4.29790387656849*(10.3/7.3)</f>
        <v>6.0641657436514311</v>
      </c>
      <c r="E29" s="1">
        <f>15.4268718580857*(10.3/7.3)</f>
        <v>21.76668221072363</v>
      </c>
      <c r="F29" s="1">
        <f>25.4002117832888*(38.9/42.5)</f>
        <v>23.248664432233767</v>
      </c>
      <c r="G29" s="1">
        <v>0.63238105465680639</v>
      </c>
      <c r="H29" s="1">
        <v>3.0230334420125198</v>
      </c>
      <c r="I29" s="1">
        <v>19.469020098735058</v>
      </c>
      <c r="J29" s="1">
        <v>3.0515909077983881E-2</v>
      </c>
      <c r="K29" s="1">
        <v>3.1021899447382815</v>
      </c>
      <c r="L29" s="1">
        <v>1.6260858379799785</v>
      </c>
      <c r="M29" s="1">
        <v>7.2537503552963414E-2</v>
      </c>
      <c r="N29" s="1">
        <v>1.2545443828698239</v>
      </c>
      <c r="O29" s="1">
        <v>6.883809523809524E-2</v>
      </c>
      <c r="P29" s="1">
        <v>6.0169726602626948E-2</v>
      </c>
      <c r="Q29" s="1">
        <v>1.0106546535611072</v>
      </c>
      <c r="R29" s="2">
        <f t="shared" si="3"/>
        <v>80.926820107950661</v>
      </c>
      <c r="S29" s="2">
        <f t="shared" si="2"/>
        <v>3.1928755804188924</v>
      </c>
      <c r="T29" s="2">
        <f t="shared" si="4"/>
        <v>3.022005819640861</v>
      </c>
      <c r="U29" s="2">
        <f t="shared" si="5"/>
        <v>87.141701508010414</v>
      </c>
    </row>
    <row r="30" spans="1:21" x14ac:dyDescent="0.25">
      <c r="A30">
        <v>1542289</v>
      </c>
      <c r="B30">
        <v>8</v>
      </c>
      <c r="C30" s="1">
        <f>5.51932871221792*(10.3/7.3)</f>
        <v>7.7875459912115863</v>
      </c>
      <c r="D30" s="1">
        <f>5.27874327274983*(10.3/7.3)</f>
        <v>7.4480898231949642</v>
      </c>
      <c r="E30" s="1">
        <f>19.0396525395992*(10.3/7.3)</f>
        <v>26.864167281900226</v>
      </c>
      <c r="F30" s="1">
        <f>32.233675453263*(38.9/42.5)</f>
        <v>29.503293532515979</v>
      </c>
      <c r="G30" s="1">
        <v>0.81537449258617878</v>
      </c>
      <c r="H30" s="1">
        <v>4.1740842446728657</v>
      </c>
      <c r="I30" s="1">
        <v>26.05141021854719</v>
      </c>
      <c r="J30" s="1">
        <v>2.6507293871343155E-2</v>
      </c>
      <c r="K30" s="1">
        <v>3.3525634453417021</v>
      </c>
      <c r="L30" s="1">
        <v>1.7624164095559633</v>
      </c>
      <c r="M30" s="1">
        <v>7.7365418268871805E-2</v>
      </c>
      <c r="N30" s="1">
        <v>1.2738572857069188</v>
      </c>
      <c r="O30" s="1">
        <v>7.4639999999999998E-2</v>
      </c>
      <c r="P30" s="1">
        <v>6.3645231274675945E-2</v>
      </c>
      <c r="Q30" s="1">
        <v>1.3031099196582778</v>
      </c>
      <c r="R30" s="2">
        <f t="shared" si="3"/>
        <v>103.94707550428727</v>
      </c>
      <c r="S30" s="2">
        <f t="shared" si="2"/>
        <v>3.4427159704877215</v>
      </c>
      <c r="T30" s="2">
        <f t="shared" si="4"/>
        <v>3.1882791135317539</v>
      </c>
      <c r="U30" s="2">
        <f t="shared" si="5"/>
        <v>110.57807058830674</v>
      </c>
    </row>
    <row r="31" spans="1:21" x14ac:dyDescent="0.25">
      <c r="A31">
        <v>1542305</v>
      </c>
      <c r="B31">
        <v>14</v>
      </c>
      <c r="C31" s="1">
        <f>3.62542272164521*(10.3/7.3)</f>
        <v>5.1153224702665252</v>
      </c>
      <c r="D31" s="1">
        <f>3.99098965302703*(10.3/7.3)</f>
        <v>5.6311223871477232</v>
      </c>
      <c r="E31" s="1">
        <f>14.1525888177457*(10.3/7.3)</f>
        <v>19.968721208600076</v>
      </c>
      <c r="F31" s="1">
        <f>30.6070790524292*(38.9/42.5)</f>
        <v>28.014479415046978</v>
      </c>
      <c r="G31" s="1">
        <v>1.2030751821384347</v>
      </c>
      <c r="H31" s="1">
        <v>4.4827002712129076</v>
      </c>
      <c r="I31" s="1">
        <v>24.120745186088051</v>
      </c>
      <c r="J31" s="1">
        <v>2.6179354838106711E-2</v>
      </c>
      <c r="K31" s="1">
        <v>3.0822492279379285</v>
      </c>
      <c r="L31" s="1">
        <v>1.5813341260738405</v>
      </c>
      <c r="M31" s="1">
        <v>7.1477791740895649E-2</v>
      </c>
      <c r="N31" s="1">
        <v>1.0895276281782369</v>
      </c>
      <c r="O31" s="1">
        <v>6.9013333333333329E-2</v>
      </c>
      <c r="P31" s="1">
        <v>5.9937063449827063E-2</v>
      </c>
      <c r="Q31" s="1">
        <v>1.9227228938285508</v>
      </c>
      <c r="R31" s="2">
        <f t="shared" si="3"/>
        <v>90.458889014329245</v>
      </c>
      <c r="S31" s="2">
        <f t="shared" si="2"/>
        <v>3.1683656462258623</v>
      </c>
      <c r="T31" s="2">
        <f t="shared" si="4"/>
        <v>2.8113528793263063</v>
      </c>
      <c r="U31" s="2">
        <f t="shared" si="5"/>
        <v>96.438607539881417</v>
      </c>
    </row>
    <row r="32" spans="1:21" x14ac:dyDescent="0.25">
      <c r="A32">
        <v>1542313</v>
      </c>
      <c r="B32">
        <v>13</v>
      </c>
      <c r="C32" s="1">
        <f>2.94720618088956*(10.3/7.3)</f>
        <v>4.158386803172947</v>
      </c>
      <c r="D32" s="1">
        <f>3.59524899198257*(10.3/7.3)</f>
        <v>5.0727485777288281</v>
      </c>
      <c r="E32" s="1">
        <f>12.8024143135669*(10.3/7.3)</f>
        <v>18.063680469827297</v>
      </c>
      <c r="F32" s="1">
        <f>21.7872042816025*(38.9/42.5)</f>
        <v>19.941699918925597</v>
      </c>
      <c r="G32" s="1">
        <v>0.61590597541296788</v>
      </c>
      <c r="H32" s="1">
        <v>4.1368436085032512</v>
      </c>
      <c r="I32" s="1">
        <v>15.806295486102435</v>
      </c>
      <c r="J32" s="1">
        <v>2.2461562288979948E-2</v>
      </c>
      <c r="K32" s="1">
        <v>2.8968500852943198</v>
      </c>
      <c r="L32" s="1">
        <v>1.5447119939731722</v>
      </c>
      <c r="M32" s="1">
        <v>7.0277174969715042E-2</v>
      </c>
      <c r="N32" s="1">
        <v>0.97799882082107514</v>
      </c>
      <c r="O32" s="1">
        <v>6.7766153846153837E-2</v>
      </c>
      <c r="P32" s="1">
        <v>5.9411501903698406E-2</v>
      </c>
      <c r="Q32" s="1">
        <v>0.98432461823990403</v>
      </c>
      <c r="R32" s="2">
        <f t="shared" si="3"/>
        <v>68.779885457913238</v>
      </c>
      <c r="S32" s="2">
        <f t="shared" si="2"/>
        <v>2.9787231494869983</v>
      </c>
      <c r="T32" s="2">
        <f t="shared" si="4"/>
        <v>2.6607541436101161</v>
      </c>
      <c r="U32" s="2">
        <f t="shared" si="5"/>
        <v>74.419362751010354</v>
      </c>
    </row>
    <row r="33" spans="1:21" x14ac:dyDescent="0.25">
      <c r="A33">
        <v>1542321</v>
      </c>
      <c r="B33">
        <v>60</v>
      </c>
      <c r="C33" s="1">
        <f>5.59347737024363*(10.3/7.3)</f>
        <v>7.8921667004807317</v>
      </c>
      <c r="D33" s="1">
        <f>6.30489309067941*(10.3/7.3)</f>
        <v>8.8959450457531393</v>
      </c>
      <c r="E33" s="1">
        <f>22.5659764737137*(10.3/7.3)</f>
        <v>31.839665435513798</v>
      </c>
      <c r="F33" s="1">
        <f>36.9241223786842*(38.9/42.5)</f>
        <v>33.796432012489767</v>
      </c>
      <c r="G33" s="1">
        <v>0.93056365891606818</v>
      </c>
      <c r="H33" s="1">
        <v>2.3318663064381893</v>
      </c>
      <c r="I33" s="1">
        <v>27.49586315546529</v>
      </c>
      <c r="J33" s="1">
        <v>3.4206445648690645E-2</v>
      </c>
      <c r="K33" s="1">
        <v>4.4241661309858404</v>
      </c>
      <c r="L33" s="1">
        <v>2.5083910662658111</v>
      </c>
      <c r="M33" s="1">
        <v>0.10626822141263134</v>
      </c>
      <c r="N33" s="1">
        <v>1.4116559705544978</v>
      </c>
      <c r="O33" s="1">
        <v>0.101728</v>
      </c>
      <c r="P33" s="1">
        <v>8.1739925373558314E-2</v>
      </c>
      <c r="Q33" s="1">
        <v>1.4872021946147234</v>
      </c>
      <c r="R33" s="2">
        <f t="shared" si="3"/>
        <v>114.6697045096717</v>
      </c>
      <c r="S33" s="2">
        <f t="shared" si="2"/>
        <v>4.540112502008089</v>
      </c>
      <c r="T33" s="2">
        <f t="shared" si="4"/>
        <v>4.1280432582329398</v>
      </c>
      <c r="U33" s="2">
        <f t="shared" si="5"/>
        <v>123.33786026991272</v>
      </c>
    </row>
    <row r="34" spans="1:21" x14ac:dyDescent="0.25">
      <c r="A34">
        <v>1542329</v>
      </c>
      <c r="B34">
        <v>31</v>
      </c>
      <c r="C34" s="1">
        <f>4.29502466665833*(10.3/7.3)</f>
        <v>6.0601032967918922</v>
      </c>
      <c r="D34" s="1">
        <f>4.7589841199784*(10.3/7.3)</f>
        <v>6.7147310185996565</v>
      </c>
      <c r="E34" s="1">
        <f>17.0470759660391*(10.3/7.3)</f>
        <v>24.052723623315451</v>
      </c>
      <c r="F34" s="1">
        <f>27.9222505092846*(38.9/42.5)</f>
        <v>25.557071642615806</v>
      </c>
      <c r="G34" s="1">
        <v>0.70009949030345453</v>
      </c>
      <c r="H34" s="1">
        <v>1.7588824458207657</v>
      </c>
      <c r="I34" s="1">
        <v>20.961375006346998</v>
      </c>
      <c r="J34" s="1">
        <v>2.7469406103907284E-2</v>
      </c>
      <c r="K34" s="1">
        <v>3.720840780359211</v>
      </c>
      <c r="L34" s="1">
        <v>2.1285948446231422</v>
      </c>
      <c r="M34" s="1">
        <v>9.2109633117114509E-2</v>
      </c>
      <c r="N34" s="1">
        <v>1.2007796282051002</v>
      </c>
      <c r="O34" s="1">
        <v>9.0126451612903238E-2</v>
      </c>
      <c r="P34" s="1">
        <v>7.3954006830647637E-2</v>
      </c>
      <c r="Q34" s="1">
        <v>1.1188804639552941</v>
      </c>
      <c r="R34" s="2">
        <f t="shared" si="3"/>
        <v>86.923866987749321</v>
      </c>
      <c r="S34" s="2">
        <f t="shared" si="2"/>
        <v>3.822264193293766</v>
      </c>
      <c r="T34" s="2">
        <f t="shared" si="4"/>
        <v>3.5116105575582601</v>
      </c>
      <c r="U34" s="2">
        <f t="shared" si="5"/>
        <v>94.257741738601339</v>
      </c>
    </row>
    <row r="35" spans="1:21" x14ac:dyDescent="0.25">
      <c r="A35">
        <v>1542337</v>
      </c>
      <c r="B35">
        <v>8</v>
      </c>
      <c r="C35" s="1">
        <f>4.20959589215372*(10.3/7.3)</f>
        <v>5.9395668067374459</v>
      </c>
      <c r="D35" s="1">
        <f>4.67077830677713*(10.3/7.3)</f>
        <v>6.590276241069108</v>
      </c>
      <c r="E35" s="1">
        <f>16.7328922717626*(10.3/7.3)</f>
        <v>23.609423342349999</v>
      </c>
      <c r="F35" s="1">
        <f>27.2600048010815*(38.9/42.5)</f>
        <v>24.950922041460466</v>
      </c>
      <c r="G35" s="1">
        <v>0.67522047584918443</v>
      </c>
      <c r="H35" s="1">
        <v>1.6420891926432599</v>
      </c>
      <c r="I35" s="1">
        <v>20.429433558175493</v>
      </c>
      <c r="J35" s="1">
        <v>2.8120772100025442E-2</v>
      </c>
      <c r="K35" s="1">
        <v>3.804453926102386</v>
      </c>
      <c r="L35" s="1">
        <v>2.2367324868867295</v>
      </c>
      <c r="M35" s="1">
        <v>9.6282164080914029E-2</v>
      </c>
      <c r="N35" s="1">
        <v>1.1452586406461789</v>
      </c>
      <c r="O35" s="1">
        <v>9.3393333333333328E-2</v>
      </c>
      <c r="P35" s="1">
        <v>7.7317120831421199E-2</v>
      </c>
      <c r="Q35" s="1">
        <v>1.0791194819507526</v>
      </c>
      <c r="R35" s="2">
        <f t="shared" si="3"/>
        <v>84.916051140235709</v>
      </c>
      <c r="S35" s="2">
        <f t="shared" si="2"/>
        <v>3.9098918190338328</v>
      </c>
      <c r="T35" s="2">
        <f t="shared" si="4"/>
        <v>3.5716666249471558</v>
      </c>
      <c r="U35" s="2">
        <f t="shared" si="5"/>
        <v>92.397609584216696</v>
      </c>
    </row>
    <row r="36" spans="1:21" x14ac:dyDescent="0.25">
      <c r="A36">
        <v>1554453</v>
      </c>
      <c r="B36">
        <v>5</v>
      </c>
      <c r="C36" s="1">
        <f>3.46505906047653*(10.3/7.3)</f>
        <v>4.8890559346449622</v>
      </c>
      <c r="D36" s="1">
        <f>3.94039791424077*(10.3/7.3)</f>
        <v>5.5597395228328681</v>
      </c>
      <c r="E36" s="1">
        <f>14.1098026922274*(10.3/7.3)</f>
        <v>19.908351743827641</v>
      </c>
      <c r="F36" s="1">
        <f>22.4455704707192*(38.9/42.5)</f>
        <v>20.544298619081808</v>
      </c>
      <c r="G36" s="1">
        <v>0.53016576268006599</v>
      </c>
      <c r="H36" s="1">
        <v>1.3336915066934227</v>
      </c>
      <c r="I36" s="1">
        <v>16.547026346712141</v>
      </c>
      <c r="J36" s="1">
        <v>2.1292396453721781E-2</v>
      </c>
      <c r="K36" s="1">
        <v>2.5642821860633771</v>
      </c>
      <c r="L36" s="1">
        <v>1.7315133369372284</v>
      </c>
      <c r="M36" s="1">
        <v>7.1807984106029316E-2</v>
      </c>
      <c r="N36" s="1">
        <v>0.9952888310076663</v>
      </c>
      <c r="O36" s="1">
        <v>6.826666666666667E-2</v>
      </c>
      <c r="P36" s="1">
        <v>6.0418968167140964E-2</v>
      </c>
      <c r="Q36" s="1">
        <v>0.84729688099554024</v>
      </c>
      <c r="R36" s="2">
        <f t="shared" si="3"/>
        <v>70.159626317468451</v>
      </c>
      <c r="S36" s="2">
        <f t="shared" si="2"/>
        <v>2.6459935506842398</v>
      </c>
      <c r="T36" s="2">
        <f t="shared" si="4"/>
        <v>2.8668768187175906</v>
      </c>
      <c r="U36" s="2">
        <f t="shared" si="5"/>
        <v>75.672496686870275</v>
      </c>
    </row>
    <row r="37" spans="1:21" x14ac:dyDescent="0.25">
      <c r="A37">
        <v>1554461</v>
      </c>
      <c r="B37">
        <v>3</v>
      </c>
      <c r="C37" s="1">
        <f>3.23824515291857*(10.3/7.3)</f>
        <v>4.5690308322001751</v>
      </c>
      <c r="D37" s="1">
        <f>3.55333508886125*(10.3/7.3)</f>
        <v>5.0136097829138233</v>
      </c>
      <c r="E37" s="1">
        <f>12.7420387094483*(10.3/7.3)</f>
        <v>17.978492973605107</v>
      </c>
      <c r="F37" s="1">
        <f>20.4996998636555*(38.9/42.5)</f>
        <v>18.763254698734066</v>
      </c>
      <c r="G37" s="1">
        <v>0.48987293582050673</v>
      </c>
      <c r="H37" s="1">
        <v>1.747396538842229</v>
      </c>
      <c r="I37" s="1">
        <v>15.405210225166494</v>
      </c>
      <c r="J37" s="1">
        <v>2.1020831413259805E-2</v>
      </c>
      <c r="K37" s="1">
        <v>2.4535198009535883</v>
      </c>
      <c r="L37" s="1">
        <v>1.9248854298086167</v>
      </c>
      <c r="M37" s="1">
        <v>6.7571519943405697E-2</v>
      </c>
      <c r="N37" s="1">
        <v>0.98579253255984656</v>
      </c>
      <c r="O37" s="1">
        <v>6.4408888888888891E-2</v>
      </c>
      <c r="P37" s="1">
        <v>5.7705701810885079E-2</v>
      </c>
      <c r="Q37" s="1">
        <v>0.78290195222455505</v>
      </c>
      <c r="R37" s="2">
        <f t="shared" si="3"/>
        <v>64.749769939506962</v>
      </c>
      <c r="S37" s="2">
        <f t="shared" si="2"/>
        <v>2.5322463341777333</v>
      </c>
      <c r="T37" s="2">
        <f t="shared" si="4"/>
        <v>3.042658371200758</v>
      </c>
      <c r="U37" s="2">
        <f t="shared" si="5"/>
        <v>70.324674644885448</v>
      </c>
    </row>
    <row r="38" spans="1:21" x14ac:dyDescent="0.25">
      <c r="A38">
        <v>1554501</v>
      </c>
      <c r="B38">
        <v>2</v>
      </c>
      <c r="C38" s="1">
        <f>6.45830164666163*(10.3/7.3)</f>
        <v>9.1123982137828534</v>
      </c>
      <c r="D38" s="1">
        <f>6.16198029783954*(10.3/7.3)</f>
        <v>8.6943009681845531</v>
      </c>
      <c r="E38" s="1">
        <f>22.1654214767872*(10.3/7.3)</f>
        <v>31.274498796014822</v>
      </c>
      <c r="F38" s="1">
        <f>40.6880915441794*(38.9/42.5)</f>
        <v>37.241570848672481</v>
      </c>
      <c r="G38" s="1">
        <v>1.2135057831926548</v>
      </c>
      <c r="H38" s="1">
        <v>5.5324146471994453</v>
      </c>
      <c r="I38" s="1">
        <v>33.207262213492299</v>
      </c>
      <c r="J38" s="1">
        <v>2.9821236005730702E-2</v>
      </c>
      <c r="K38" s="1">
        <v>3.6509870314058555</v>
      </c>
      <c r="L38" s="1">
        <v>2.0841123691306236</v>
      </c>
      <c r="M38" s="1">
        <v>8.435137290177816E-2</v>
      </c>
      <c r="N38" s="1">
        <v>1.3521594999124553</v>
      </c>
      <c r="O38" s="1">
        <v>8.2479999999999998E-2</v>
      </c>
      <c r="P38" s="1">
        <v>6.8981133581299578E-2</v>
      </c>
      <c r="Q38" s="1">
        <v>1.9393928041891764</v>
      </c>
      <c r="R38" s="2">
        <f t="shared" si="3"/>
        <v>128.2153442747283</v>
      </c>
      <c r="S38" s="2">
        <f t="shared" si="2"/>
        <v>3.7497894009928858</v>
      </c>
      <c r="T38" s="2">
        <f t="shared" si="4"/>
        <v>3.603103241944857</v>
      </c>
      <c r="U38" s="2">
        <f t="shared" si="5"/>
        <v>135.56823691766604</v>
      </c>
    </row>
    <row r="39" spans="1:21" x14ac:dyDescent="0.25">
      <c r="A39">
        <v>1554509</v>
      </c>
      <c r="B39">
        <v>2</v>
      </c>
      <c r="C39" s="1">
        <f>4.82530523893344*(10.3/7.3)</f>
        <v>6.8083073919197812</v>
      </c>
      <c r="D39" s="1">
        <f>4.72824263946132*(10.3/7.3)</f>
        <v>6.67135605293858</v>
      </c>
      <c r="E39" s="1">
        <f>16.9940612790608*(10.3/7.3)</f>
        <v>23.977922078674887</v>
      </c>
      <c r="F39" s="1">
        <f>30.5894492986011*(38.9/42.5)</f>
        <v>27.998343005072492</v>
      </c>
      <c r="G39" s="1">
        <v>0.88888493906804145</v>
      </c>
      <c r="H39" s="1">
        <v>2.9731270213941885</v>
      </c>
      <c r="I39" s="1">
        <v>24.624006926571489</v>
      </c>
      <c r="J39" s="1">
        <v>2.7958469556311837E-2</v>
      </c>
      <c r="K39" s="1">
        <v>3.1630391333206367</v>
      </c>
      <c r="L39" s="1">
        <v>1.728346458565684</v>
      </c>
      <c r="M39" s="1">
        <v>7.4958800472715109E-2</v>
      </c>
      <c r="N39" s="1">
        <v>1.2105881487805603</v>
      </c>
      <c r="O39" s="1">
        <v>7.1866666666666662E-2</v>
      </c>
      <c r="P39" s="1">
        <v>6.2113054625957717E-2</v>
      </c>
      <c r="Q39" s="1">
        <v>1.4205923683735837</v>
      </c>
      <c r="R39" s="2">
        <f t="shared" si="3"/>
        <v>95.362539784013038</v>
      </c>
      <c r="S39" s="2">
        <f t="shared" si="2"/>
        <v>3.2531106575029063</v>
      </c>
      <c r="T39" s="2">
        <f t="shared" si="4"/>
        <v>3.0857600744856262</v>
      </c>
      <c r="U39" s="2">
        <f t="shared" si="5"/>
        <v>101.70141051600156</v>
      </c>
    </row>
    <row r="40" spans="1:21" x14ac:dyDescent="0.25">
      <c r="A40">
        <v>1554517</v>
      </c>
      <c r="B40">
        <v>7</v>
      </c>
      <c r="C40" s="1">
        <f>3.86968939684999*(10.3/7.3)</f>
        <v>5.4599727106239522</v>
      </c>
      <c r="D40" s="1">
        <f>4.35153611755554*(10.3/7.3)</f>
        <v>6.1398386316194653</v>
      </c>
      <c r="E40" s="1">
        <f>15.5831522785363*(10.3/7.3)</f>
        <v>21.987187461496415</v>
      </c>
      <c r="F40" s="1">
        <f>25.1657202782597*(38.9/42.5)</f>
        <v>23.034035737042437</v>
      </c>
      <c r="G40" s="1">
        <v>0.61401829188978851</v>
      </c>
      <c r="H40" s="1">
        <v>4.3293819886402458</v>
      </c>
      <c r="I40" s="1">
        <v>18.709694649159076</v>
      </c>
      <c r="J40" s="1">
        <v>2.3566753667590822E-2</v>
      </c>
      <c r="K40" s="1">
        <v>2.9411603807157749</v>
      </c>
      <c r="L40" s="1">
        <v>1.5199832011766694</v>
      </c>
      <c r="M40" s="1">
        <v>6.9381887526598698E-2</v>
      </c>
      <c r="N40" s="1">
        <v>1.024514804960819</v>
      </c>
      <c r="O40" s="1">
        <v>6.5386666666666676E-2</v>
      </c>
      <c r="P40" s="1">
        <v>5.7770727354462523E-2</v>
      </c>
      <c r="Q40" s="1">
        <v>0.98130777242660372</v>
      </c>
      <c r="R40" s="2">
        <f t="shared" si="3"/>
        <v>81.255437242897969</v>
      </c>
      <c r="S40" s="2">
        <f t="shared" si="2"/>
        <v>3.0224978617378282</v>
      </c>
      <c r="T40" s="2">
        <f t="shared" si="4"/>
        <v>2.6792665603307539</v>
      </c>
      <c r="U40" s="2">
        <f t="shared" si="5"/>
        <v>86.957201664966561</v>
      </c>
    </row>
    <row r="41" spans="1:21" x14ac:dyDescent="0.25">
      <c r="A41">
        <v>1554525</v>
      </c>
      <c r="B41">
        <v>11</v>
      </c>
      <c r="C41" s="1">
        <f>13.2330642379695*(10.3/7.3)</f>
        <v>18.671309815217217</v>
      </c>
      <c r="D41" s="1">
        <f>8.96654512609283*(10.3/7.3)</f>
        <v>12.651426684761111</v>
      </c>
      <c r="E41" s="1">
        <f>33.2057012735846*(10.3/7.3)</f>
        <v>46.851879879167271</v>
      </c>
      <c r="F41" s="1">
        <f>51.6615798603494*(38.9/42.5)</f>
        <v>47.285540154531603</v>
      </c>
      <c r="G41" s="1">
        <v>0.76348153820302767</v>
      </c>
      <c r="H41" s="1">
        <v>4.1161934511230047</v>
      </c>
      <c r="I41" s="1">
        <v>49.950279449083332</v>
      </c>
      <c r="J41" s="1">
        <v>2.3730309885141788E-2</v>
      </c>
      <c r="K41" s="1">
        <v>3.0966582255433206</v>
      </c>
      <c r="L41" s="1">
        <v>1.5579856380627033</v>
      </c>
      <c r="M41" s="1">
        <v>7.0395305707616374E-2</v>
      </c>
      <c r="N41" s="1">
        <v>1.0058268499706733</v>
      </c>
      <c r="O41" s="1">
        <v>6.738424242424243E-2</v>
      </c>
      <c r="P41" s="1">
        <v>5.8923355789560941E-2</v>
      </c>
      <c r="Q41" s="1">
        <v>1.2201759742970775</v>
      </c>
      <c r="R41" s="2">
        <f t="shared" si="3"/>
        <v>181.51028694638362</v>
      </c>
      <c r="S41" s="2">
        <f t="shared" si="2"/>
        <v>3.1793118912180232</v>
      </c>
      <c r="T41" s="2">
        <f t="shared" si="4"/>
        <v>2.7015920361652355</v>
      </c>
      <c r="U41" s="2">
        <f t="shared" si="5"/>
        <v>187.39119087376687</v>
      </c>
    </row>
    <row r="42" spans="1:21" x14ac:dyDescent="0.25">
      <c r="A42">
        <v>1554533</v>
      </c>
      <c r="B42">
        <v>3</v>
      </c>
      <c r="C42" s="1">
        <f>7.20377114498633*(10.3/7.3)</f>
        <v>10.164225040186196</v>
      </c>
      <c r="D42" s="1">
        <f>7.31125071274786*(10.3/7.3)</f>
        <v>10.315874293329177</v>
      </c>
      <c r="E42" s="1">
        <f>26.1931321092462*(10.3/7.3)</f>
        <v>36.957432976059714</v>
      </c>
      <c r="F42" s="1">
        <f>48.8126489832725*(38.9/42.5)</f>
        <v>44.677930481160011</v>
      </c>
      <c r="G42" s="1">
        <v>1.5282376102511683</v>
      </c>
      <c r="H42" s="1">
        <v>5.7697900580891996</v>
      </c>
      <c r="I42" s="1">
        <v>38.874234610499656</v>
      </c>
      <c r="J42" s="1">
        <v>3.908839301149563E-2</v>
      </c>
      <c r="K42" s="1">
        <v>3.5384195893295973</v>
      </c>
      <c r="L42" s="1">
        <v>1.9035212051895334</v>
      </c>
      <c r="M42" s="1">
        <v>8.1462715965386956E-2</v>
      </c>
      <c r="N42" s="1">
        <v>1.1052816824621468</v>
      </c>
      <c r="O42" s="1">
        <v>7.9875555555555547E-2</v>
      </c>
      <c r="P42" s="1">
        <v>6.5536506541735082E-2</v>
      </c>
      <c r="Q42" s="1">
        <v>2.442388874830637</v>
      </c>
      <c r="R42" s="2">
        <f t="shared" si="3"/>
        <v>150.73011394440576</v>
      </c>
      <c r="S42" s="2">
        <f t="shared" si="2"/>
        <v>3.6430444888828282</v>
      </c>
      <c r="T42" s="2">
        <f t="shared" si="4"/>
        <v>3.1701411591726227</v>
      </c>
      <c r="U42" s="2">
        <f t="shared" si="5"/>
        <v>157.54329959246121</v>
      </c>
    </row>
    <row r="43" spans="1:21" x14ac:dyDescent="0.25">
      <c r="A43">
        <v>1554541</v>
      </c>
      <c r="B43">
        <v>36</v>
      </c>
      <c r="C43" s="1">
        <f>3.90845962708767*(10.3/7.3)</f>
        <v>5.5146759121921889</v>
      </c>
      <c r="D43" s="1">
        <f>4.25412774211989*(10.3/7.3)</f>
        <v>6.0023994169636774</v>
      </c>
      <c r="E43" s="1">
        <f>15.2139567900887*(10.3/7.3)</f>
        <v>21.466267799714206</v>
      </c>
      <c r="F43" s="1">
        <f>26.8515879922843*(38.9/42.5)</f>
        <v>24.577100538820211</v>
      </c>
      <c r="G43" s="1">
        <v>0.78204898193982686</v>
      </c>
      <c r="H43" s="1">
        <v>5.6334671511277499</v>
      </c>
      <c r="I43" s="1">
        <v>20.596874312871858</v>
      </c>
      <c r="J43" s="1">
        <v>2.6963909742328266E-2</v>
      </c>
      <c r="K43" s="1">
        <v>3.3714665500928307</v>
      </c>
      <c r="L43" s="1">
        <v>1.7930901629914306</v>
      </c>
      <c r="M43" s="1">
        <v>7.8984915870695893E-2</v>
      </c>
      <c r="N43" s="1">
        <v>1.1558832076291325</v>
      </c>
      <c r="O43" s="1">
        <v>7.6551111111111111E-2</v>
      </c>
      <c r="P43" s="1">
        <v>6.476152518686111E-2</v>
      </c>
      <c r="Q43" s="1">
        <v>1.2498499711367104</v>
      </c>
      <c r="R43" s="2">
        <f t="shared" si="3"/>
        <v>85.822684084766436</v>
      </c>
      <c r="S43" s="2">
        <f t="shared" si="2"/>
        <v>3.4631919850220201</v>
      </c>
      <c r="T43" s="2">
        <f t="shared" si="4"/>
        <v>3.1045093976023703</v>
      </c>
      <c r="U43" s="2">
        <f t="shared" si="5"/>
        <v>92.390385467390828</v>
      </c>
    </row>
    <row r="44" spans="1:21" x14ac:dyDescent="0.25">
      <c r="A44">
        <v>1554549</v>
      </c>
      <c r="B44">
        <v>51</v>
      </c>
      <c r="C44" s="1">
        <f>5.29696864421677*(10.3/7.3)</f>
        <v>7.4738050733469468</v>
      </c>
      <c r="D44" s="1">
        <f>6.13604680341271*(10.3/7.3)</f>
        <v>8.6577098733083417</v>
      </c>
      <c r="E44" s="1">
        <f>21.8795759847174*(10.3/7.3)</f>
        <v>30.871182553779324</v>
      </c>
      <c r="F44" s="1">
        <f>38.4374311890191*(38.9/42.5)</f>
        <v>35.181554664772747</v>
      </c>
      <c r="G44" s="1">
        <v>1.1342590020319594</v>
      </c>
      <c r="H44" s="1">
        <v>5.3602647827592227</v>
      </c>
      <c r="I44" s="1">
        <v>28.695069720662822</v>
      </c>
      <c r="J44" s="1">
        <v>3.2726249778025539E-2</v>
      </c>
      <c r="K44" s="1">
        <v>4.2275138364572973</v>
      </c>
      <c r="L44" s="1">
        <v>2.3761593690006708</v>
      </c>
      <c r="M44" s="1">
        <v>0.10091755848791845</v>
      </c>
      <c r="N44" s="1">
        <v>1.3397800096254917</v>
      </c>
      <c r="O44" s="1">
        <v>9.6625359477124168E-2</v>
      </c>
      <c r="P44" s="1">
        <v>7.7896411940361718E-2</v>
      </c>
      <c r="Q44" s="1">
        <v>1.8127426973113514</v>
      </c>
      <c r="R44" s="2">
        <f t="shared" si="3"/>
        <v>119.1865883679727</v>
      </c>
      <c r="S44" s="2">
        <f t="shared" si="2"/>
        <v>4.3381364981756843</v>
      </c>
      <c r="T44" s="2">
        <f t="shared" si="4"/>
        <v>3.9134822965912051</v>
      </c>
      <c r="U44" s="2">
        <f t="shared" si="5"/>
        <v>127.43820716273959</v>
      </c>
    </row>
    <row r="45" spans="1:21" x14ac:dyDescent="0.25">
      <c r="A45">
        <v>1554557</v>
      </c>
      <c r="B45">
        <v>66</v>
      </c>
      <c r="C45" s="1">
        <f>5.34857618687916*(10.3/7.3)</f>
        <v>7.5466211951856579</v>
      </c>
      <c r="D45" s="1">
        <f>5.92540657511484*(10.3/7.3)</f>
        <v>8.3605051676277871</v>
      </c>
      <c r="E45" s="1">
        <f>21.226575617796*(10.3/7.3)</f>
        <v>29.949825871684737</v>
      </c>
      <c r="F45" s="1">
        <f>34.7125415641823*(38.9/42.5)</f>
        <v>31.772185102275127</v>
      </c>
      <c r="G45" s="1">
        <v>0.86702278199013372</v>
      </c>
      <c r="H45" s="1">
        <v>2.1128956331311843</v>
      </c>
      <c r="I45" s="1">
        <v>26.052626469756888</v>
      </c>
      <c r="J45" s="1">
        <v>3.2348256716052293E-2</v>
      </c>
      <c r="K45" s="1">
        <v>4.2758083341055899</v>
      </c>
      <c r="L45" s="1">
        <v>2.4516878338745323</v>
      </c>
      <c r="M45" s="1">
        <v>0.1042102553026584</v>
      </c>
      <c r="N45" s="1">
        <v>1.3168889970973174</v>
      </c>
      <c r="O45" s="1">
        <v>0.10007757575757575</v>
      </c>
      <c r="P45" s="1">
        <v>8.0826841958041809E-2</v>
      </c>
      <c r="Q45" s="1">
        <v>1.3856528479294385</v>
      </c>
      <c r="R45" s="2">
        <f t="shared" si="3"/>
        <v>108.04733506958095</v>
      </c>
      <c r="S45" s="2">
        <f t="shared" si="2"/>
        <v>4.3889834327796846</v>
      </c>
      <c r="T45" s="2">
        <f t="shared" si="4"/>
        <v>3.9728646620320838</v>
      </c>
      <c r="U45" s="2">
        <f t="shared" si="5"/>
        <v>116.40918316439272</v>
      </c>
    </row>
    <row r="46" spans="1:21" x14ac:dyDescent="0.25">
      <c r="A46">
        <v>1554565</v>
      </c>
      <c r="B46">
        <v>54</v>
      </c>
      <c r="C46" s="1">
        <f>3.552069593551*(10.3/7.3)</f>
        <v>5.0118242210377071</v>
      </c>
      <c r="D46" s="1">
        <f>3.94491311404618*(10.3/7.3)</f>
        <v>5.5661102842021384</v>
      </c>
      <c r="E46" s="1">
        <f>14.1289754693299*(10.3/7.3)</f>
        <v>19.935403744397</v>
      </c>
      <c r="F46" s="1">
        <f>23.1612931016364*(38.9/42.5)</f>
        <v>21.199395333027191</v>
      </c>
      <c r="G46" s="1">
        <v>0.58242674412992979</v>
      </c>
      <c r="H46" s="1">
        <v>1.5075080339797411</v>
      </c>
      <c r="I46" s="1">
        <v>17.37149081924407</v>
      </c>
      <c r="J46" s="1">
        <v>2.4581193676955434E-2</v>
      </c>
      <c r="K46" s="1">
        <v>3.36736845137772</v>
      </c>
      <c r="L46" s="1">
        <v>1.9305068084498258</v>
      </c>
      <c r="M46" s="1">
        <v>8.5303723128566683E-2</v>
      </c>
      <c r="N46" s="1">
        <v>1.099330921258326</v>
      </c>
      <c r="O46" s="1">
        <v>8.2928395061728402E-2</v>
      </c>
      <c r="P46" s="1">
        <v>6.9501793917467691E-2</v>
      </c>
      <c r="Q46" s="1">
        <v>0.93081899746792529</v>
      </c>
      <c r="R46" s="2">
        <f t="shared" si="3"/>
        <v>72.104978177485705</v>
      </c>
      <c r="S46" s="2">
        <f t="shared" si="2"/>
        <v>3.4614514389721429</v>
      </c>
      <c r="T46" s="2">
        <f t="shared" si="4"/>
        <v>3.1980698478984473</v>
      </c>
      <c r="U46" s="2">
        <f t="shared" si="5"/>
        <v>78.764499464356305</v>
      </c>
    </row>
    <row r="47" spans="1:21" x14ac:dyDescent="0.25">
      <c r="A47">
        <v>1554573</v>
      </c>
      <c r="B47">
        <v>1</v>
      </c>
      <c r="C47" s="1">
        <f>4.5524753513008*(10.3/7.3)</f>
        <v>6.4233556326572918</v>
      </c>
      <c r="D47" s="1">
        <f>5.04653647382478*(10.3/7.3)</f>
        <v>7.120455572656879</v>
      </c>
      <c r="E47" s="1">
        <f>18.080932917676*(10.3/7.3)</f>
        <v>25.511453294803182</v>
      </c>
      <c r="F47" s="1">
        <f>29.4033981059077*(38.9/42.5)</f>
        <v>26.912757325171967</v>
      </c>
      <c r="G47" s="1">
        <v>0.72488462168431267</v>
      </c>
      <c r="H47" s="1">
        <v>1.7205238508169736</v>
      </c>
      <c r="I47" s="1">
        <v>22.03744397204856</v>
      </c>
      <c r="J47" s="1">
        <v>2.9778803968158518E-2</v>
      </c>
      <c r="K47" s="1">
        <v>4.0292729862734102</v>
      </c>
      <c r="L47" s="1">
        <v>2.3753893149705476</v>
      </c>
      <c r="M47" s="1">
        <v>0.10185266896294209</v>
      </c>
      <c r="N47" s="1">
        <v>1.2035440001773583</v>
      </c>
      <c r="O47" s="1">
        <v>9.8186666666666672E-2</v>
      </c>
      <c r="P47" s="1">
        <v>8.0949720778217368E-2</v>
      </c>
      <c r="Q47" s="1">
        <v>1.1584914045183092</v>
      </c>
      <c r="R47" s="2">
        <f t="shared" si="3"/>
        <v>91.609365674357491</v>
      </c>
      <c r="S47" s="2">
        <f t="shared" si="2"/>
        <v>4.1400015110197854</v>
      </c>
      <c r="T47" s="2">
        <f t="shared" si="4"/>
        <v>3.778972650777515</v>
      </c>
      <c r="U47" s="2">
        <f t="shared" si="5"/>
        <v>99.5283398361548</v>
      </c>
    </row>
    <row r="48" spans="1:21" x14ac:dyDescent="0.25">
      <c r="A48">
        <v>1566737</v>
      </c>
      <c r="B48">
        <v>22</v>
      </c>
      <c r="C48" s="1">
        <f>6.51768333421539*(10.3/7.3)</f>
        <v>9.1961833345778725</v>
      </c>
      <c r="D48" s="1">
        <f>6.47155198671681*(10.3/7.3)</f>
        <v>9.1310938990661832</v>
      </c>
      <c r="E48" s="1">
        <f>23.188520854238*(10.3/7.3)</f>
        <v>32.718049972417958</v>
      </c>
      <c r="F48" s="1">
        <f>44.449936307827*(38.9/42.5)</f>
        <v>40.68476523234046</v>
      </c>
      <c r="G48" s="1">
        <v>1.4465747803512181</v>
      </c>
      <c r="H48" s="1">
        <v>5.3222122062655322</v>
      </c>
      <c r="I48" s="1">
        <v>35.842658917243128</v>
      </c>
      <c r="J48" s="1">
        <v>3.1557092088229127E-2</v>
      </c>
      <c r="K48" s="1">
        <v>3.7990420102517617</v>
      </c>
      <c r="L48" s="1">
        <v>2.1578513751377737</v>
      </c>
      <c r="M48" s="1">
        <v>8.7311631272401408E-2</v>
      </c>
      <c r="N48" s="1">
        <v>1.3977832330334519</v>
      </c>
      <c r="O48" s="1">
        <v>8.4540606060606038E-2</v>
      </c>
      <c r="P48" s="1">
        <v>7.0498734735343196E-2</v>
      </c>
      <c r="Q48" s="1">
        <v>2.3118775028444154</v>
      </c>
      <c r="R48" s="2">
        <f t="shared" si="3"/>
        <v>136.65341584510676</v>
      </c>
      <c r="S48" s="2">
        <f t="shared" si="2"/>
        <v>3.9010978370753344</v>
      </c>
      <c r="T48" s="2">
        <f t="shared" si="4"/>
        <v>3.7274868455042331</v>
      </c>
      <c r="U48" s="2">
        <f t="shared" si="5"/>
        <v>144.28200052768634</v>
      </c>
    </row>
    <row r="49" spans="1:21" x14ac:dyDescent="0.25">
      <c r="A49">
        <v>1566761</v>
      </c>
      <c r="B49">
        <v>5</v>
      </c>
      <c r="C49" s="1">
        <f>15.5931242347705*(10.3/7.3)</f>
        <v>22.001257481936392</v>
      </c>
      <c r="D49" s="1">
        <f>10.4074831534544*(10.3/7.3)</f>
        <v>14.684531024737014</v>
      </c>
      <c r="E49" s="1">
        <f>38.6052192040992*(10.3/7.3)</f>
        <v>54.470377781126302</v>
      </c>
      <c r="F49" s="1">
        <f>59.2445593607161*(38.9/42.5)</f>
        <v>54.226196685455406</v>
      </c>
      <c r="G49" s="1">
        <v>0.80282366685771189</v>
      </c>
      <c r="H49" s="1">
        <v>4.7430294364575696</v>
      </c>
      <c r="I49" s="1">
        <v>57.842070693329013</v>
      </c>
      <c r="J49" s="1">
        <v>2.6302771450245233E-2</v>
      </c>
      <c r="K49" s="1">
        <v>3.2880581049461037</v>
      </c>
      <c r="L49" s="1">
        <v>1.6327592317056954</v>
      </c>
      <c r="M49" s="1">
        <v>7.2200543992305244E-2</v>
      </c>
      <c r="N49" s="1">
        <v>1.0481256000538326</v>
      </c>
      <c r="O49" s="1">
        <v>7.0207999999999993E-2</v>
      </c>
      <c r="P49" s="1">
        <v>6.0556906861033231E-2</v>
      </c>
      <c r="Q49" s="1">
        <v>1.28305152237534</v>
      </c>
      <c r="R49" s="2">
        <f t="shared" si="3"/>
        <v>210.05333829227473</v>
      </c>
      <c r="S49" s="2">
        <f t="shared" si="2"/>
        <v>3.3749177832573825</v>
      </c>
      <c r="T49" s="2">
        <f t="shared" si="4"/>
        <v>2.8232933757518333</v>
      </c>
      <c r="U49" s="2">
        <f t="shared" si="5"/>
        <v>216.25154945128395</v>
      </c>
    </row>
    <row r="50" spans="1:21" x14ac:dyDescent="0.25">
      <c r="A50">
        <v>1566769</v>
      </c>
      <c r="B50">
        <v>23</v>
      </c>
      <c r="C50" s="1">
        <f>4.24842284942496*(10.3/7.3)</f>
        <v>5.9943500478187799</v>
      </c>
      <c r="D50" s="1">
        <f>4.4343646304629*(10.3/7.3)</f>
        <v>6.2567062594202545</v>
      </c>
      <c r="E50" s="1">
        <f>15.8803103620567*(10.3/7.3)</f>
        <v>22.406465305367636</v>
      </c>
      <c r="F50" s="1">
        <f>28.688437376336*(38.9/42.5)</f>
        <v>26.25835797504639</v>
      </c>
      <c r="G50" s="1">
        <v>0.85920389287743193</v>
      </c>
      <c r="H50" s="1">
        <v>4.3086411973623688</v>
      </c>
      <c r="I50" s="1">
        <v>22.484296615167132</v>
      </c>
      <c r="J50" s="1">
        <v>3.2426194138423028E-2</v>
      </c>
      <c r="K50" s="1">
        <v>3.1715417494879206</v>
      </c>
      <c r="L50" s="1">
        <v>1.6340493491567352</v>
      </c>
      <c r="M50" s="1">
        <v>7.2480345579465408E-2</v>
      </c>
      <c r="N50" s="1">
        <v>1.0764342519728782</v>
      </c>
      <c r="O50" s="1">
        <v>7.0671304347826092E-2</v>
      </c>
      <c r="P50" s="1">
        <v>6.0534378757821493E-2</v>
      </c>
      <c r="Q50" s="1">
        <v>1.373156906425121</v>
      </c>
      <c r="R50" s="2">
        <f t="shared" si="3"/>
        <v>89.941178199485108</v>
      </c>
      <c r="S50" s="2">
        <f t="shared" si="2"/>
        <v>3.2645023223841654</v>
      </c>
      <c r="T50" s="2">
        <f t="shared" si="4"/>
        <v>2.8536352510569047</v>
      </c>
      <c r="U50" s="2">
        <f t="shared" si="5"/>
        <v>96.059315772926169</v>
      </c>
    </row>
    <row r="51" spans="1:21" x14ac:dyDescent="0.25">
      <c r="A51">
        <v>1566777</v>
      </c>
      <c r="B51">
        <v>6</v>
      </c>
      <c r="C51" s="1">
        <f>4.33441058709807*(10.3/7.3)</f>
        <v>6.1156752119328948</v>
      </c>
      <c r="D51" s="1">
        <f>5.06637371841737*(10.3/7.3)</f>
        <v>7.148445109547791</v>
      </c>
      <c r="E51" s="1">
        <f>17.9780224946498*(10.3/7.3)</f>
        <v>25.366250917108609</v>
      </c>
      <c r="F51" s="1">
        <f>35.5778626471182*(38.9/42.5)</f>
        <v>32.564208399362265</v>
      </c>
      <c r="G51" s="1">
        <v>1.2703184544747514</v>
      </c>
      <c r="H51" s="1">
        <v>7.2002008477668555</v>
      </c>
      <c r="I51" s="1">
        <v>27.073482584170662</v>
      </c>
      <c r="J51" s="1">
        <v>2.8928748815462438E-2</v>
      </c>
      <c r="K51" s="1">
        <v>3.6626522633289902</v>
      </c>
      <c r="L51" s="1">
        <v>2.0236186232562017</v>
      </c>
      <c r="M51" s="1">
        <v>8.6834210440776716E-2</v>
      </c>
      <c r="N51" s="1">
        <v>1.1750278077093965</v>
      </c>
      <c r="O51" s="1">
        <v>8.456000000000001E-2</v>
      </c>
      <c r="P51" s="1">
        <v>6.9761899241261652E-2</v>
      </c>
      <c r="Q51" s="1">
        <v>2.0301893108043991</v>
      </c>
      <c r="R51" s="2">
        <f t="shared" si="3"/>
        <v>108.76877083516823</v>
      </c>
      <c r="S51" s="2">
        <f t="shared" si="2"/>
        <v>3.7613429113857144</v>
      </c>
      <c r="T51" s="2">
        <f t="shared" si="4"/>
        <v>3.370040641406375</v>
      </c>
      <c r="U51" s="2">
        <f t="shared" si="5"/>
        <v>115.90015438796031</v>
      </c>
    </row>
    <row r="52" spans="1:21" x14ac:dyDescent="0.25">
      <c r="A52">
        <v>1566785</v>
      </c>
      <c r="B52">
        <v>55</v>
      </c>
      <c r="C52" s="1">
        <f>5.64256381806499*(10.3/7.3)</f>
        <v>7.9614256611053973</v>
      </c>
      <c r="D52" s="1">
        <f>6.28379931688832*(10.3/7.3)</f>
        <v>8.8661825978013358</v>
      </c>
      <c r="E52" s="1">
        <f>22.4929657591457*(10.3/7.3)</f>
        <v>31.736650317698732</v>
      </c>
      <c r="F52" s="1">
        <f>37.3623501109573*(38.9/42.5)</f>
        <v>34.197539278029133</v>
      </c>
      <c r="G52" s="1">
        <v>0.96948587418785392</v>
      </c>
      <c r="H52" s="1">
        <v>2.4731606606843131</v>
      </c>
      <c r="I52" s="1">
        <v>28.060094479638948</v>
      </c>
      <c r="J52" s="1">
        <v>3.3377195052598126E-2</v>
      </c>
      <c r="K52" s="1">
        <v>4.3606911114092366</v>
      </c>
      <c r="L52" s="1">
        <v>2.4873030958901321</v>
      </c>
      <c r="M52" s="1">
        <v>0.10495216927415117</v>
      </c>
      <c r="N52" s="1">
        <v>1.3359080752863139</v>
      </c>
      <c r="O52" s="1">
        <v>0.10048096969696969</v>
      </c>
      <c r="P52" s="1">
        <v>8.0738306703944746E-2</v>
      </c>
      <c r="Q52" s="1">
        <v>1.5494066482454298</v>
      </c>
      <c r="R52" s="2">
        <f t="shared" si="3"/>
        <v>115.81394551739115</v>
      </c>
      <c r="S52" s="2">
        <f t="shared" si="2"/>
        <v>4.4748066131657795</v>
      </c>
      <c r="T52" s="2">
        <f t="shared" si="4"/>
        <v>4.0286443101475671</v>
      </c>
      <c r="U52" s="2">
        <f t="shared" si="5"/>
        <v>124.3173964407045</v>
      </c>
    </row>
    <row r="53" spans="1:21" x14ac:dyDescent="0.25">
      <c r="A53">
        <v>1566793</v>
      </c>
      <c r="B53">
        <v>55</v>
      </c>
      <c r="C53" s="1">
        <f>4.95861712749161*(10.3/7.3)</f>
        <v>6.9964049881045991</v>
      </c>
      <c r="D53" s="1">
        <f>5.47784776279533*(10.3/7.3)</f>
        <v>7.7290180762728591</v>
      </c>
      <c r="E53" s="1">
        <f>19.6278134464825*(10.3/7.3)</f>
        <v>27.694038150516448</v>
      </c>
      <c r="F53" s="1">
        <f>32.0123796643158*(38.9/42.5)</f>
        <v>29.300742798632566</v>
      </c>
      <c r="G53" s="1">
        <v>0.79351436760942706</v>
      </c>
      <c r="H53" s="1">
        <v>1.9456864393231303</v>
      </c>
      <c r="I53" s="1">
        <v>24.045062590656393</v>
      </c>
      <c r="J53" s="1">
        <v>3.0628833404468179E-2</v>
      </c>
      <c r="K53" s="1">
        <v>4.083647135061736</v>
      </c>
      <c r="L53" s="1">
        <v>2.3660340882662267</v>
      </c>
      <c r="M53" s="1">
        <v>0.10137923854703654</v>
      </c>
      <c r="N53" s="1">
        <v>1.2563193926123539</v>
      </c>
      <c r="O53" s="1">
        <v>9.7466181818181799E-2</v>
      </c>
      <c r="P53" s="1">
        <v>7.9043421596949312E-2</v>
      </c>
      <c r="Q53" s="1">
        <v>1.2681736468643832</v>
      </c>
      <c r="R53" s="2">
        <f t="shared" si="3"/>
        <v>99.772641057979811</v>
      </c>
      <c r="S53" s="2">
        <f t="shared" si="2"/>
        <v>4.1933193900631531</v>
      </c>
      <c r="T53" s="2">
        <f t="shared" si="4"/>
        <v>3.8211989012437986</v>
      </c>
      <c r="U53" s="2">
        <f t="shared" si="5"/>
        <v>107.78715934928677</v>
      </c>
    </row>
    <row r="54" spans="1:21" x14ac:dyDescent="0.25">
      <c r="A54">
        <v>1566801</v>
      </c>
      <c r="B54">
        <v>52</v>
      </c>
      <c r="C54" s="1">
        <f>4.01730137379434*(10.3/7.3)</f>
        <v>5.6682471438468101</v>
      </c>
      <c r="D54" s="1">
        <f>4.46229871460203*(10.3/7.3)</f>
        <v>6.2961201041645092</v>
      </c>
      <c r="E54" s="1">
        <f>15.9851864617771*(10.3/7.3)</f>
        <v>22.554441172096492</v>
      </c>
      <c r="F54" s="1">
        <f>26.0394715128014*(38.9/42.5)</f>
        <v>23.833775102305289</v>
      </c>
      <c r="G54" s="1">
        <v>0.64516241712535438</v>
      </c>
      <c r="H54" s="1">
        <v>1.605901500740019</v>
      </c>
      <c r="I54" s="1">
        <v>19.504469601598736</v>
      </c>
      <c r="J54" s="1">
        <v>2.6773799707325366E-2</v>
      </c>
      <c r="K54" s="1">
        <v>3.6411969780822329</v>
      </c>
      <c r="L54" s="1">
        <v>2.1323505207026185</v>
      </c>
      <c r="M54" s="1">
        <v>9.2229167347496421E-2</v>
      </c>
      <c r="N54" s="1">
        <v>1.1164404016324245</v>
      </c>
      <c r="O54" s="1">
        <v>9.0290256410256425E-2</v>
      </c>
      <c r="P54" s="1">
        <v>7.4586075394381418E-2</v>
      </c>
      <c r="Q54" s="1">
        <v>1.0310814885565032</v>
      </c>
      <c r="R54" s="2">
        <f t="shared" si="3"/>
        <v>81.139198530433717</v>
      </c>
      <c r="S54" s="2">
        <f t="shared" si="2"/>
        <v>3.7425568531839395</v>
      </c>
      <c r="T54" s="2">
        <f t="shared" si="4"/>
        <v>3.4313103460927961</v>
      </c>
      <c r="U54" s="2">
        <f t="shared" si="5"/>
        <v>88.313065729710459</v>
      </c>
    </row>
    <row r="55" spans="1:21" x14ac:dyDescent="0.25">
      <c r="A55">
        <v>1579005</v>
      </c>
      <c r="B55">
        <v>1</v>
      </c>
      <c r="C55" s="1">
        <f>3.48943451905042*(10.3/7.3)</f>
        <v>4.9234487049615518</v>
      </c>
      <c r="D55" s="1">
        <f>3.68289580677529*(10.3/7.3)</f>
        <v>5.1964146314774684</v>
      </c>
      <c r="E55" s="1">
        <f>13.193397530965*(10.3/7.3)</f>
        <v>18.615341721772527</v>
      </c>
      <c r="F55" s="1">
        <f>23.2284094068991*(38.9/42.5)</f>
        <v>21.260826492432319</v>
      </c>
      <c r="G55" s="1">
        <v>0.6657651091697987</v>
      </c>
      <c r="H55" s="1">
        <v>5.20994239089638</v>
      </c>
      <c r="I55" s="1">
        <v>18.04806189195801</v>
      </c>
      <c r="J55" s="1">
        <v>2.8268223430588778E-2</v>
      </c>
      <c r="K55" s="1">
        <v>3.1336326992015837</v>
      </c>
      <c r="L55" s="1">
        <v>1.6038063847032635</v>
      </c>
      <c r="M55" s="1">
        <v>7.2197780920773558E-2</v>
      </c>
      <c r="N55" s="1">
        <v>1.1823518360475256</v>
      </c>
      <c r="O55" s="1">
        <v>6.9653333333333331E-2</v>
      </c>
      <c r="P55" s="1">
        <v>6.0796047608872403E-2</v>
      </c>
      <c r="Q55" s="1">
        <v>1.0640081653398621</v>
      </c>
      <c r="R55" s="2">
        <f t="shared" si="3"/>
        <v>74.983809108007904</v>
      </c>
      <c r="S55" s="2">
        <f t="shared" si="2"/>
        <v>3.2226969702410448</v>
      </c>
      <c r="T55" s="2">
        <f t="shared" si="4"/>
        <v>2.9280093350048957</v>
      </c>
      <c r="U55" s="2">
        <f t="shared" si="5"/>
        <v>81.134515413253851</v>
      </c>
    </row>
    <row r="56" spans="1:21" x14ac:dyDescent="0.25">
      <c r="A56">
        <v>1579013</v>
      </c>
      <c r="B56">
        <v>62</v>
      </c>
      <c r="C56" s="1">
        <f>5.76893561789171*(10.3/7.3)</f>
        <v>8.1397310772992686</v>
      </c>
      <c r="D56" s="1">
        <f>6.43183432573778*(10.3/7.3)</f>
        <v>9.0750539116574132</v>
      </c>
      <c r="E56" s="1">
        <f>22.9909064104379*(10.3/7.3)</f>
        <v>32.439224113357575</v>
      </c>
      <c r="F56" s="1">
        <f>39.7253977298982*(38.9/42.5)</f>
        <v>36.360422863365613</v>
      </c>
      <c r="G56" s="1">
        <v>1.1203962716939604</v>
      </c>
      <c r="H56" s="1">
        <v>3.8640541512831081</v>
      </c>
      <c r="I56" s="1">
        <v>30.045108150711002</v>
      </c>
      <c r="J56" s="1">
        <v>3.4694623959666278E-2</v>
      </c>
      <c r="K56" s="1">
        <v>4.4175663171135353</v>
      </c>
      <c r="L56" s="1">
        <v>2.4798811633255515</v>
      </c>
      <c r="M56" s="1">
        <v>0.10404613996979328</v>
      </c>
      <c r="N56" s="1">
        <v>1.3576036376739322</v>
      </c>
      <c r="O56" s="1">
        <v>9.9401290322580618E-2</v>
      </c>
      <c r="P56" s="1">
        <v>8.0136467827164617E-2</v>
      </c>
      <c r="Q56" s="1">
        <v>1.7905876488259662</v>
      </c>
      <c r="R56" s="2">
        <f t="shared" si="3"/>
        <v>122.83457818819392</v>
      </c>
      <c r="S56" s="2">
        <f t="shared" si="2"/>
        <v>4.5323974089003665</v>
      </c>
      <c r="T56" s="2">
        <f t="shared" si="4"/>
        <v>4.0409322312918574</v>
      </c>
      <c r="U56" s="2">
        <f t="shared" si="5"/>
        <v>131.40790782838613</v>
      </c>
    </row>
    <row r="57" spans="1:21" x14ac:dyDescent="0.25">
      <c r="A57">
        <v>1579021</v>
      </c>
      <c r="B57">
        <v>68</v>
      </c>
      <c r="C57" s="1">
        <f>4.49506275880241*(10.3/7.3)</f>
        <v>6.342348824063671</v>
      </c>
      <c r="D57" s="1">
        <f>4.96822383359119*(10.3/7.3)</f>
        <v>7.0099596556149635</v>
      </c>
      <c r="E57" s="1">
        <f>17.7958521071146*(10.3/7.3)</f>
        <v>25.10921598675068</v>
      </c>
      <c r="F57" s="1">
        <f>29.2983649686539*(38.9/42.5)</f>
        <v>26.816621112485567</v>
      </c>
      <c r="G57" s="1">
        <v>0.74260879922449441</v>
      </c>
      <c r="H57" s="1">
        <v>1.923175533454488</v>
      </c>
      <c r="I57" s="1">
        <v>22.04161538850078</v>
      </c>
      <c r="J57" s="1">
        <v>2.7686530115518332E-2</v>
      </c>
      <c r="K57" s="1">
        <v>3.71530017656</v>
      </c>
      <c r="L57" s="1">
        <v>2.1225425345710205</v>
      </c>
      <c r="M57" s="1">
        <v>9.1547806519395244E-2</v>
      </c>
      <c r="N57" s="1">
        <v>1.1448323831907796</v>
      </c>
      <c r="O57" s="1">
        <v>8.9234509803921558E-2</v>
      </c>
      <c r="P57" s="1">
        <v>7.3212134456424063E-2</v>
      </c>
      <c r="Q57" s="1">
        <v>1.1868177156555866</v>
      </c>
      <c r="R57" s="2">
        <f t="shared" si="3"/>
        <v>91.172363015750221</v>
      </c>
      <c r="S57" s="2">
        <f t="shared" si="2"/>
        <v>3.8161988411319423</v>
      </c>
      <c r="T57" s="2">
        <f t="shared" si="4"/>
        <v>3.4481572340851168</v>
      </c>
      <c r="U57" s="2">
        <f t="shared" si="5"/>
        <v>98.436719090967273</v>
      </c>
    </row>
    <row r="58" spans="1:21" x14ac:dyDescent="0.25">
      <c r="A58">
        <v>1579029</v>
      </c>
      <c r="B58">
        <v>61</v>
      </c>
      <c r="C58" s="1">
        <f>4.81354583657311*(10.3/7.3)</f>
        <v>6.7917153584524659</v>
      </c>
      <c r="D58" s="1">
        <f>5.32644783314756*(10.3/7.3)</f>
        <v>7.515398997454775</v>
      </c>
      <c r="E58" s="1">
        <f>19.0867721058441*(10.3/7.3)</f>
        <v>26.930651053451239</v>
      </c>
      <c r="F58" s="1">
        <f>30.9769029224736*(38.9/42.5)</f>
        <v>28.352977027864092</v>
      </c>
      <c r="G58" s="1">
        <v>0.75936851216204471</v>
      </c>
      <c r="H58" s="1">
        <v>1.8364728916079109</v>
      </c>
      <c r="I58" s="1">
        <v>23.226820548421077</v>
      </c>
      <c r="J58" s="1">
        <v>3.0459107783660087E-2</v>
      </c>
      <c r="K58" s="1">
        <v>4.0529884123237228</v>
      </c>
      <c r="L58" s="1">
        <v>2.3827043482920751</v>
      </c>
      <c r="M58" s="1">
        <v>0.10125136222658326</v>
      </c>
      <c r="N58" s="1">
        <v>1.2345850791537447</v>
      </c>
      <c r="O58" s="1">
        <v>9.7603497267759604E-2</v>
      </c>
      <c r="P58" s="1">
        <v>7.9145511976554075E-2</v>
      </c>
      <c r="Q58" s="1">
        <v>1.2136026450078352</v>
      </c>
      <c r="R58" s="2">
        <f t="shared" si="3"/>
        <v>96.627007034421439</v>
      </c>
      <c r="S58" s="2">
        <f t="shared" si="2"/>
        <v>4.1625930320839366</v>
      </c>
      <c r="T58" s="2">
        <f t="shared" si="4"/>
        <v>3.8161442869401627</v>
      </c>
      <c r="U58" s="2">
        <f t="shared" si="5"/>
        <v>104.60574435344553</v>
      </c>
    </row>
    <row r="59" spans="1:21" x14ac:dyDescent="0.25">
      <c r="A59">
        <v>1579037</v>
      </c>
      <c r="B59">
        <v>43</v>
      </c>
      <c r="C59" s="1">
        <f>4.42962548541482*(10.3/7.3)</f>
        <v>6.250019520516795</v>
      </c>
      <c r="D59" s="1">
        <f>4.92141194421856*(10.3/7.3)</f>
        <v>6.9439100034864563</v>
      </c>
      <c r="E59" s="1">
        <f>17.6321722412051*(10.3/7.3)</f>
        <v>24.878270422522281</v>
      </c>
      <c r="F59" s="1">
        <f>28.5962572504357*(38.9/42.5)</f>
        <v>26.173986048045833</v>
      </c>
      <c r="G59" s="1">
        <v>0.70111754462776643</v>
      </c>
      <c r="H59" s="1">
        <v>1.7064235014316289</v>
      </c>
      <c r="I59" s="1">
        <v>21.39859568004859</v>
      </c>
      <c r="J59" s="1">
        <v>2.9325669278550456E-2</v>
      </c>
      <c r="K59" s="1">
        <v>3.9696121751139959</v>
      </c>
      <c r="L59" s="1">
        <v>2.3475353630101696</v>
      </c>
      <c r="M59" s="1">
        <v>9.8917864823981252E-2</v>
      </c>
      <c r="N59" s="1">
        <v>1.1959157928611004</v>
      </c>
      <c r="O59" s="1">
        <v>9.7014573643410873E-2</v>
      </c>
      <c r="P59" s="1">
        <v>7.9768659405898515E-2</v>
      </c>
      <c r="Q59" s="1">
        <v>1.1205074914142401</v>
      </c>
      <c r="R59" s="2">
        <f t="shared" si="3"/>
        <v>89.172830212093587</v>
      </c>
      <c r="S59" s="2">
        <f t="shared" si="2"/>
        <v>4.0787065037984451</v>
      </c>
      <c r="T59" s="2">
        <f t="shared" si="4"/>
        <v>3.739383594338662</v>
      </c>
      <c r="U59" s="2">
        <f t="shared" si="5"/>
        <v>96.990920310230692</v>
      </c>
    </row>
    <row r="60" spans="1:21" x14ac:dyDescent="0.25">
      <c r="A60">
        <v>1591233</v>
      </c>
      <c r="B60">
        <v>1</v>
      </c>
      <c r="C60" s="1">
        <f>5.38092230936779*(10.3/7.3)</f>
        <v>7.5922602447244101</v>
      </c>
      <c r="D60" s="1">
        <f>5.40279459842917*(10.3/7.3)</f>
        <v>7.6231211457288257</v>
      </c>
      <c r="E60" s="1">
        <f>19.4470932341897*(10.3/7.3)</f>
        <v>27.439049357829262</v>
      </c>
      <c r="F60" s="1">
        <f>32.2317215931945*(38.9/42.5)</f>
        <v>29.501505175888632</v>
      </c>
      <c r="G60" s="1">
        <v>0.79398256371579534</v>
      </c>
      <c r="H60" s="1">
        <v>6.4326496960454991</v>
      </c>
      <c r="I60" s="1">
        <v>25.388204500236142</v>
      </c>
      <c r="J60" s="1">
        <v>3.0932955390121916E-2</v>
      </c>
      <c r="K60" s="1">
        <v>4.2982644569707587</v>
      </c>
      <c r="L60" s="1">
        <v>2.0688139163012091</v>
      </c>
      <c r="M60" s="1">
        <v>8.801512641610669E-2</v>
      </c>
      <c r="N60" s="1">
        <v>1.2938915967335318</v>
      </c>
      <c r="O60" s="1">
        <v>8.5599999999999996E-2</v>
      </c>
      <c r="P60" s="1">
        <v>7.0546520612556646E-2</v>
      </c>
      <c r="Q60" s="1">
        <v>1.2689219054818661</v>
      </c>
      <c r="R60" s="2">
        <f t="shared" si="3"/>
        <v>106.03969458965044</v>
      </c>
      <c r="S60" s="2">
        <f t="shared" si="2"/>
        <v>4.3997439329734371</v>
      </c>
      <c r="T60" s="2">
        <f t="shared" si="4"/>
        <v>3.5363206394508477</v>
      </c>
      <c r="U60" s="2">
        <f t="shared" si="5"/>
        <v>113.97575916207472</v>
      </c>
    </row>
    <row r="61" spans="1:21" x14ac:dyDescent="0.25">
      <c r="A61">
        <v>1591241</v>
      </c>
      <c r="B61">
        <v>26</v>
      </c>
      <c r="C61" s="1">
        <f>5.41767238799949*(10.3/7.3)</f>
        <v>7.6441130953965439</v>
      </c>
      <c r="D61" s="1">
        <f>5.85388461207426*(10.3/7.3)</f>
        <v>8.2595906170362809</v>
      </c>
      <c r="E61" s="1">
        <f>20.9824729221402*(10.3/7.3)</f>
        <v>29.605406999732036</v>
      </c>
      <c r="F61" s="1">
        <f>35.0515360663752*(38.9/42.5)</f>
        <v>32.08246477604699</v>
      </c>
      <c r="G61" s="1">
        <v>0.90938652626419558</v>
      </c>
      <c r="H61" s="1">
        <v>3.7292702002663614</v>
      </c>
      <c r="I61" s="1">
        <v>26.716401948272448</v>
      </c>
      <c r="J61" s="1">
        <v>3.4065092563527105E-2</v>
      </c>
      <c r="K61" s="1">
        <v>4.3205542546744899</v>
      </c>
      <c r="L61" s="1">
        <v>2.3551589721762474</v>
      </c>
      <c r="M61" s="1">
        <v>9.8867986067526809E-2</v>
      </c>
      <c r="N61" s="1">
        <v>1.3257762224263274</v>
      </c>
      <c r="O61" s="1">
        <v>9.5439999999999983E-2</v>
      </c>
      <c r="P61" s="1">
        <v>7.7103785467532035E-2</v>
      </c>
      <c r="Q61" s="1">
        <v>1.4533574620660674</v>
      </c>
      <c r="R61" s="2">
        <f t="shared" si="3"/>
        <v>110.39999162508092</v>
      </c>
      <c r="S61" s="2">
        <f t="shared" si="2"/>
        <v>4.4317231327055495</v>
      </c>
      <c r="T61" s="2">
        <f t="shared" si="4"/>
        <v>3.8752431806701018</v>
      </c>
      <c r="U61" s="2">
        <f t="shared" si="5"/>
        <v>118.70695793845657</v>
      </c>
    </row>
    <row r="62" spans="1:21" x14ac:dyDescent="0.25">
      <c r="A62">
        <v>1591249</v>
      </c>
      <c r="B62">
        <v>64</v>
      </c>
      <c r="C62" s="1">
        <f>4.48571168719216*(10.3/7.3)</f>
        <v>6.3291548463122229</v>
      </c>
      <c r="D62" s="1">
        <f>4.95088710704219*(10.3/7.3)</f>
        <v>6.9854982469225462</v>
      </c>
      <c r="E62" s="1">
        <f>17.7290598177354*(10.3/7.3)</f>
        <v>25.014974811325352</v>
      </c>
      <c r="F62" s="1">
        <f>29.4873668039372*(38.9/42.5)</f>
        <v>26.989613380544867</v>
      </c>
      <c r="G62" s="1">
        <v>0.76446807251179072</v>
      </c>
      <c r="H62" s="1">
        <v>2.0559128425165514</v>
      </c>
      <c r="I62" s="1">
        <v>22.241505524515617</v>
      </c>
      <c r="J62" s="1">
        <v>2.7428201686776957E-2</v>
      </c>
      <c r="K62" s="1">
        <v>3.6892034175667101</v>
      </c>
      <c r="L62" s="1">
        <v>2.0771959277796599</v>
      </c>
      <c r="M62" s="1">
        <v>8.9086510295001267E-2</v>
      </c>
      <c r="N62" s="1">
        <v>1.1414276539032633</v>
      </c>
      <c r="O62" s="1">
        <v>8.7509166666666638E-2</v>
      </c>
      <c r="P62" s="1">
        <v>7.2033298155693523E-2</v>
      </c>
      <c r="Q62" s="1">
        <v>1.2217526273019499</v>
      </c>
      <c r="R62" s="2">
        <f t="shared" si="3"/>
        <v>91.602880351950901</v>
      </c>
      <c r="S62" s="2">
        <f t="shared" si="2"/>
        <v>3.7886649174091809</v>
      </c>
      <c r="T62" s="2">
        <f t="shared" si="4"/>
        <v>3.3952192586445911</v>
      </c>
      <c r="U62" s="2">
        <f t="shared" si="5"/>
        <v>98.786764528004667</v>
      </c>
    </row>
    <row r="63" spans="1:21" x14ac:dyDescent="0.25">
      <c r="A63">
        <v>1591257</v>
      </c>
      <c r="B63">
        <v>60</v>
      </c>
      <c r="C63" s="1">
        <f>4.01751634924389*(10.3/7.3)</f>
        <v>5.6685504653715153</v>
      </c>
      <c r="D63" s="1">
        <f>4.44565129834506*(10.3/7.3)</f>
        <v>6.2726312839663185</v>
      </c>
      <c r="E63" s="1">
        <f>15.9259918431897*(10.3/7.3)</f>
        <v>22.470919997925165</v>
      </c>
      <c r="F63" s="1">
        <f>26.0739323732662*(38.9/42.5)</f>
        <v>23.865316925177744</v>
      </c>
      <c r="G63" s="1">
        <v>0.65266618511750552</v>
      </c>
      <c r="H63" s="1">
        <v>1.7084423381589522</v>
      </c>
      <c r="I63" s="1">
        <v>19.583940392543933</v>
      </c>
      <c r="J63" s="1">
        <v>2.5463748627317911E-2</v>
      </c>
      <c r="K63" s="1">
        <v>3.4720798122793868</v>
      </c>
      <c r="L63" s="1">
        <v>1.9946211192296781</v>
      </c>
      <c r="M63" s="1">
        <v>8.6779715768206589E-2</v>
      </c>
      <c r="N63" s="1">
        <v>1.0706804455674643</v>
      </c>
      <c r="O63" s="1">
        <v>8.5051555555555505E-2</v>
      </c>
      <c r="P63" s="1">
        <v>7.0600529193014683E-2</v>
      </c>
      <c r="Q63" s="1">
        <v>1.0430738118316305</v>
      </c>
      <c r="R63" s="2">
        <f t="shared" si="3"/>
        <v>81.265541400092758</v>
      </c>
      <c r="S63" s="2">
        <f t="shared" si="2"/>
        <v>3.568144090099719</v>
      </c>
      <c r="T63" s="2">
        <f t="shared" si="4"/>
        <v>3.237132836120904</v>
      </c>
      <c r="U63" s="2">
        <f t="shared" si="5"/>
        <v>88.070818326313386</v>
      </c>
    </row>
    <row r="64" spans="1:21" x14ac:dyDescent="0.25">
      <c r="A64">
        <v>1591265</v>
      </c>
      <c r="B64">
        <v>61</v>
      </c>
      <c r="C64" s="1">
        <f>4.7545594729289*(10.3/7.3)</f>
        <v>6.7084880234476243</v>
      </c>
      <c r="D64" s="1">
        <f>5.26672547969788*(10.3/7.3)</f>
        <v>7.4311332110805752</v>
      </c>
      <c r="E64" s="1">
        <f>18.8735797067198*(10.3/7.3)</f>
        <v>26.629845339618338</v>
      </c>
      <c r="F64" s="1">
        <f>30.5395362622872*(38.9/42.5)</f>
        <v>27.952657896540472</v>
      </c>
      <c r="G64" s="1">
        <v>0.74357680756071443</v>
      </c>
      <c r="H64" s="1">
        <v>1.7961363260781991</v>
      </c>
      <c r="I64" s="1">
        <v>22.874088142506487</v>
      </c>
      <c r="J64" s="1">
        <v>3.0417649596130553E-2</v>
      </c>
      <c r="K64" s="1">
        <v>4.0873320653808172</v>
      </c>
      <c r="L64" s="1">
        <v>2.4220102200184153</v>
      </c>
      <c r="M64" s="1">
        <v>0.10204494329453867</v>
      </c>
      <c r="N64" s="1">
        <v>1.2375766969976452</v>
      </c>
      <c r="O64" s="1">
        <v>9.8795191256830561E-2</v>
      </c>
      <c r="P64" s="1">
        <v>8.0323413867880861E-2</v>
      </c>
      <c r="Q64" s="1">
        <v>1.1883647609417822</v>
      </c>
      <c r="R64" s="2">
        <f t="shared" si="3"/>
        <v>95.324290507774194</v>
      </c>
      <c r="S64" s="2">
        <f t="shared" si="2"/>
        <v>4.198073128844829</v>
      </c>
      <c r="T64" s="2">
        <f t="shared" si="4"/>
        <v>3.8604270515674299</v>
      </c>
      <c r="U64" s="2">
        <f t="shared" si="5"/>
        <v>103.38279068818645</v>
      </c>
    </row>
    <row r="65" spans="1:21" x14ac:dyDescent="0.25">
      <c r="A65">
        <v>1603469</v>
      </c>
      <c r="B65">
        <v>45</v>
      </c>
      <c r="C65" s="1">
        <f>4.96716792957337*(10.3/7.3)</f>
        <v>7.008469818439135</v>
      </c>
      <c r="D65" s="1">
        <f>5.16981786206528*(10.3/7.3)</f>
        <v>7.2944005451058098</v>
      </c>
      <c r="E65" s="1">
        <f>18.5730638941109*(10.3/7.3)</f>
        <v>26.205829877992155</v>
      </c>
      <c r="F65" s="1">
        <f>30.7310538756754*(38.9/42.5)</f>
        <v>28.127952841500566</v>
      </c>
      <c r="G65" s="1">
        <v>0.76698238788541195</v>
      </c>
      <c r="H65" s="1">
        <v>3.939424094968996</v>
      </c>
      <c r="I65" s="1">
        <v>23.793573095238749</v>
      </c>
      <c r="J65" s="1">
        <v>3.0287422658523758E-2</v>
      </c>
      <c r="K65" s="1">
        <v>4.1580466409308388</v>
      </c>
      <c r="L65" s="1">
        <v>2.0854605609228583</v>
      </c>
      <c r="M65" s="1">
        <v>8.8602088937083018E-2</v>
      </c>
      <c r="N65" s="1">
        <v>1.3097991685267436</v>
      </c>
      <c r="O65" s="1">
        <v>8.6563555555555546E-2</v>
      </c>
      <c r="P65" s="1">
        <v>7.1273312988747284E-2</v>
      </c>
      <c r="Q65" s="1">
        <v>1.2257709395428975</v>
      </c>
      <c r="R65" s="2">
        <f t="shared" si="3"/>
        <v>98.362403600673716</v>
      </c>
      <c r="S65" s="2">
        <f t="shared" si="2"/>
        <v>4.2596073765781099</v>
      </c>
      <c r="T65" s="2">
        <f t="shared" si="4"/>
        <v>3.5704253739422405</v>
      </c>
      <c r="U65" s="2">
        <f t="shared" si="5"/>
        <v>106.19243635119406</v>
      </c>
    </row>
    <row r="66" spans="1:21" x14ac:dyDescent="0.25">
      <c r="A66">
        <v>1603477</v>
      </c>
      <c r="B66">
        <v>71</v>
      </c>
      <c r="C66" s="1">
        <f>5.35331115059472*(10.3/7.3)</f>
        <v>7.5533020344007769</v>
      </c>
      <c r="D66" s="1">
        <f>5.82507821487587*(10.3/7.3)</f>
        <v>8.2189459744138951</v>
      </c>
      <c r="E66" s="1">
        <f>20.878269221876*(10.3/7.3)</f>
        <v>29.458379861003174</v>
      </c>
      <c r="F66" s="1">
        <f>34.5457507539787*(38.9/42.5)</f>
        <v>31.619522454818114</v>
      </c>
      <c r="G66" s="1">
        <v>0.87973842314324158</v>
      </c>
      <c r="H66" s="1">
        <v>2.5537711549888047</v>
      </c>
      <c r="I66" s="1">
        <v>26.201145137322857</v>
      </c>
      <c r="J66" s="1">
        <v>3.2427041220128378E-2</v>
      </c>
      <c r="K66" s="1">
        <v>4.2770895071722528</v>
      </c>
      <c r="L66" s="1">
        <v>2.3654856650790981</v>
      </c>
      <c r="M66" s="1">
        <v>9.9117915910532539E-2</v>
      </c>
      <c r="N66" s="1">
        <v>1.303208426442922</v>
      </c>
      <c r="O66" s="1">
        <v>9.6172769953051615E-2</v>
      </c>
      <c r="P66" s="1">
        <v>7.7453729231072133E-2</v>
      </c>
      <c r="Q66" s="1">
        <v>1.4059746488590636</v>
      </c>
      <c r="R66" s="2">
        <f t="shared" si="3"/>
        <v>107.89077968894992</v>
      </c>
      <c r="S66" s="2">
        <f t="shared" si="2"/>
        <v>4.3869702776234529</v>
      </c>
      <c r="T66" s="2">
        <f t="shared" si="4"/>
        <v>3.8639847773856042</v>
      </c>
      <c r="U66" s="2">
        <f t="shared" si="5"/>
        <v>116.14173474395898</v>
      </c>
    </row>
    <row r="67" spans="1:21" x14ac:dyDescent="0.25">
      <c r="A67">
        <v>1603485</v>
      </c>
      <c r="B67">
        <v>71</v>
      </c>
      <c r="C67" s="1">
        <f>3.54688390486816*(10.3/7.3)</f>
        <v>5.0045074274167201</v>
      </c>
      <c r="D67" s="1">
        <f>3.9221352681319*(10.3/7.3)</f>
        <v>5.5339716796929581</v>
      </c>
      <c r="E67" s="1">
        <f>14.0480945887732*(10.3/7.3)</f>
        <v>19.821284145803322</v>
      </c>
      <c r="F67" s="1">
        <f>23.1478599178185*(38.9/42.5)</f>
        <v>21.187100018897443</v>
      </c>
      <c r="G67" s="1">
        <v>0.58799138887738656</v>
      </c>
      <c r="H67" s="1">
        <v>1.6286836008264356</v>
      </c>
      <c r="I67" s="1">
        <v>17.413486869472401</v>
      </c>
      <c r="J67" s="1">
        <v>2.3128329121633723E-2</v>
      </c>
      <c r="K67" s="1">
        <v>3.189143504959302</v>
      </c>
      <c r="L67" s="1">
        <v>1.7896590148395013</v>
      </c>
      <c r="M67" s="1">
        <v>7.9050215839367263E-2</v>
      </c>
      <c r="N67" s="1">
        <v>0.99586283438694112</v>
      </c>
      <c r="O67" s="1">
        <v>7.7506854460093866E-2</v>
      </c>
      <c r="P67" s="1">
        <v>6.5478354281847229E-2</v>
      </c>
      <c r="Q67" s="1">
        <v>0.93971226532915741</v>
      </c>
      <c r="R67" s="2">
        <f t="shared" si="3"/>
        <v>72.116737396315827</v>
      </c>
      <c r="S67" s="2">
        <f t="shared" si="2"/>
        <v>3.2777501883627829</v>
      </c>
      <c r="T67" s="2">
        <f t="shared" si="4"/>
        <v>2.9420789195259034</v>
      </c>
      <c r="U67" s="2">
        <f t="shared" si="5"/>
        <v>78.336566504204512</v>
      </c>
    </row>
    <row r="68" spans="1:21" x14ac:dyDescent="0.25">
      <c r="A68">
        <v>1603493</v>
      </c>
      <c r="B68">
        <v>69</v>
      </c>
      <c r="C68" s="1">
        <f>3.88393389513161*(10.3/7.3)</f>
        <v>5.4800711123089814</v>
      </c>
      <c r="D68" s="1">
        <f>4.30466488154898*(10.3/7.3)</f>
        <v>6.0737052438293802</v>
      </c>
      <c r="E68" s="1">
        <f>15.4221147155649*(10.3/7.3)</f>
        <v>21.759970078125761</v>
      </c>
      <c r="F68" s="1">
        <f>25.1272742566945*(38.9/42.5)</f>
        <v>22.99884631965686</v>
      </c>
      <c r="G68" s="1">
        <v>0.62224223808511125</v>
      </c>
      <c r="H68" s="1">
        <v>1.6195273316553895</v>
      </c>
      <c r="I68" s="1">
        <v>18.841184900036591</v>
      </c>
      <c r="J68" s="1">
        <v>2.5698932807739744E-2</v>
      </c>
      <c r="K68" s="1">
        <v>3.5237702278964438</v>
      </c>
      <c r="L68" s="1">
        <v>2.0424002162865218</v>
      </c>
      <c r="M68" s="1">
        <v>8.7905991201616671E-2</v>
      </c>
      <c r="N68" s="1">
        <v>1.0811234681706281</v>
      </c>
      <c r="O68" s="1">
        <v>8.6192077294686004E-2</v>
      </c>
      <c r="P68" s="1">
        <v>7.1398908147945472E-2</v>
      </c>
      <c r="Q68" s="1">
        <v>0.99445106543282757</v>
      </c>
      <c r="R68" s="2">
        <f t="shared" si="3"/>
        <v>78.389998289130901</v>
      </c>
      <c r="S68" s="2">
        <f t="shared" si="2"/>
        <v>3.6208680688521291</v>
      </c>
      <c r="T68" s="2">
        <f t="shared" si="4"/>
        <v>3.2976217529534519</v>
      </c>
      <c r="U68" s="2">
        <f t="shared" si="5"/>
        <v>85.30848811093648</v>
      </c>
    </row>
    <row r="69" spans="1:21" x14ac:dyDescent="0.25">
      <c r="A69">
        <v>1603501</v>
      </c>
      <c r="B69">
        <v>4</v>
      </c>
      <c r="C69" s="1">
        <f>4.7665571974359*(10.3/7.3)</f>
        <v>6.7254163196698284</v>
      </c>
      <c r="D69" s="1">
        <f>5.28464745468652*(10.3/7.3)</f>
        <v>7.4564203812700258</v>
      </c>
      <c r="E69" s="1">
        <f>18.9375189279259*(10.3/7.3)</f>
        <v>26.720060953100873</v>
      </c>
      <c r="F69" s="1">
        <f>30.6151988686085*(38.9/42.5)</f>
        <v>28.021911435032205</v>
      </c>
      <c r="G69" s="1">
        <v>0.74406359239569086</v>
      </c>
      <c r="H69" s="1">
        <v>1.7938359028358735</v>
      </c>
      <c r="I69" s="1">
        <v>22.917218488345263</v>
      </c>
      <c r="J69" s="1">
        <v>3.0809902481162582E-2</v>
      </c>
      <c r="K69" s="1">
        <v>4.1358183759204294</v>
      </c>
      <c r="L69" s="1">
        <v>2.4610081853824206</v>
      </c>
      <c r="M69" s="1">
        <v>0.10348845554836479</v>
      </c>
      <c r="N69" s="1">
        <v>1.2516442307789859</v>
      </c>
      <c r="O69" s="1">
        <v>0.10010666666666666</v>
      </c>
      <c r="P69" s="1">
        <v>8.1842170654949573E-2</v>
      </c>
      <c r="Q69" s="1">
        <v>1.1891427275730231</v>
      </c>
      <c r="R69" s="2">
        <f t="shared" si="3"/>
        <v>95.568069800222787</v>
      </c>
      <c r="S69" s="2">
        <f t="shared" si="2"/>
        <v>4.2484704490565415</v>
      </c>
      <c r="T69" s="2">
        <f t="shared" si="4"/>
        <v>3.9162475383764379</v>
      </c>
      <c r="U69" s="2">
        <f t="shared" si="5"/>
        <v>103.73278778765577</v>
      </c>
    </row>
    <row r="70" spans="1:21" x14ac:dyDescent="0.25">
      <c r="A70">
        <v>1615665</v>
      </c>
      <c r="B70">
        <v>2</v>
      </c>
      <c r="C70" s="1">
        <f>4.50667179352306*(10.3/7.3)</f>
        <v>6.358728694970889</v>
      </c>
      <c r="D70" s="1">
        <f>4.70484643174839*(10.3/7.3)</f>
        <v>6.6383449653436255</v>
      </c>
      <c r="E70" s="1">
        <f>16.8668777026354*(10.3/7.3)</f>
        <v>23.798471279060877</v>
      </c>
      <c r="F70" s="1">
        <f>29.5607438883736*(38.9/42.5)</f>
        <v>27.056774994299595</v>
      </c>
      <c r="G70" s="1">
        <v>0.83625677048660929</v>
      </c>
      <c r="H70" s="1">
        <v>4.9227405376264635</v>
      </c>
      <c r="I70" s="1">
        <v>23.061706488444525</v>
      </c>
      <c r="J70" s="1">
        <v>3.0304961234053598E-2</v>
      </c>
      <c r="K70" s="1">
        <v>2.974330360624994</v>
      </c>
      <c r="L70" s="1">
        <v>1.7536044590402027</v>
      </c>
      <c r="M70" s="1">
        <v>7.3590886620139392E-2</v>
      </c>
      <c r="N70" s="1">
        <v>1.3066044191858923</v>
      </c>
      <c r="O70" s="1">
        <v>7.0266666666666658E-2</v>
      </c>
      <c r="P70" s="1">
        <v>6.1503650063227451E-2</v>
      </c>
      <c r="Q70" s="1">
        <v>1.3364834231521168</v>
      </c>
      <c r="R70" s="2">
        <f t="shared" si="3"/>
        <v>94.009507153384703</v>
      </c>
      <c r="S70" s="2">
        <f t="shared" si="2"/>
        <v>3.0661389719222751</v>
      </c>
      <c r="T70" s="2">
        <f t="shared" si="4"/>
        <v>3.2040664315129006</v>
      </c>
      <c r="U70" s="2">
        <f t="shared" si="5"/>
        <v>100.27971255681987</v>
      </c>
    </row>
    <row r="71" spans="1:21" x14ac:dyDescent="0.25">
      <c r="A71">
        <v>1615697</v>
      </c>
      <c r="B71">
        <v>34</v>
      </c>
      <c r="C71" s="1">
        <f>4.53398992568103*(10.3/7.3)</f>
        <v>6.3972734567828295</v>
      </c>
      <c r="D71" s="1">
        <f>4.66221493434683*(10.3/7.3)</f>
        <v>6.5781936744893565</v>
      </c>
      <c r="E71" s="1">
        <f>16.7644091324861*(10.3/7.3)</f>
        <v>23.65389233761741</v>
      </c>
      <c r="F71" s="1">
        <f>27.5374133514334*(38.9/42.5)</f>
        <v>25.204832455782576</v>
      </c>
      <c r="G71" s="1">
        <v>0.67149276558134163</v>
      </c>
      <c r="H71" s="1">
        <v>4.5333928308664317</v>
      </c>
      <c r="I71" s="1">
        <v>21.418251763624031</v>
      </c>
      <c r="J71" s="1">
        <v>2.7043684746299756E-2</v>
      </c>
      <c r="K71" s="1">
        <v>4.1433375476397325</v>
      </c>
      <c r="L71" s="1">
        <v>1.8862186644289338</v>
      </c>
      <c r="M71" s="1">
        <v>8.1053410055730801E-2</v>
      </c>
      <c r="N71" s="1">
        <v>1.2238597228574268</v>
      </c>
      <c r="O71" s="1">
        <v>7.8920784313725498E-2</v>
      </c>
      <c r="P71" s="1">
        <v>6.6723546893698679E-2</v>
      </c>
      <c r="Q71" s="1">
        <v>1.0731619541254327</v>
      </c>
      <c r="R71" s="2">
        <f t="shared" si="3"/>
        <v>89.530491238869402</v>
      </c>
      <c r="S71" s="2">
        <f t="shared" si="2"/>
        <v>4.2371047792797309</v>
      </c>
      <c r="T71" s="2">
        <f t="shared" si="4"/>
        <v>3.270052581655817</v>
      </c>
      <c r="U71" s="2">
        <f t="shared" si="5"/>
        <v>97.037648599804953</v>
      </c>
    </row>
    <row r="72" spans="1:21" x14ac:dyDescent="0.25">
      <c r="A72">
        <v>1615705</v>
      </c>
      <c r="B72">
        <v>48</v>
      </c>
      <c r="C72" s="1">
        <f>4.41806016426427*(10.3/7.3)</f>
        <v>6.2337013276605449</v>
      </c>
      <c r="D72" s="1">
        <f>4.72653131704331*(10.3/7.3)</f>
        <v>6.668941447335083</v>
      </c>
      <c r="E72" s="1">
        <f>16.9572386383848*(10.3/7.3)</f>
        <v>23.925966845940156</v>
      </c>
      <c r="F72" s="1">
        <f>27.9844978044714*(38.9/42.5)</f>
        <v>25.614046225739742</v>
      </c>
      <c r="G72" s="1">
        <v>0.70299421840033505</v>
      </c>
      <c r="H72" s="1">
        <v>2.8949302984790308</v>
      </c>
      <c r="I72" s="1">
        <v>21.38165187513745</v>
      </c>
      <c r="J72" s="1">
        <v>2.8031664821123847E-2</v>
      </c>
      <c r="K72" s="1">
        <v>3.8695880162704053</v>
      </c>
      <c r="L72" s="1">
        <v>2.0191488088266842</v>
      </c>
      <c r="M72" s="1">
        <v>8.6109001191987625E-2</v>
      </c>
      <c r="N72" s="1">
        <v>1.1823137116872622</v>
      </c>
      <c r="O72" s="1">
        <v>8.4343333333333312E-2</v>
      </c>
      <c r="P72" s="1">
        <v>6.999860995230478E-2</v>
      </c>
      <c r="Q72" s="1">
        <v>1.1235067417356965</v>
      </c>
      <c r="R72" s="2">
        <f t="shared" si="3"/>
        <v>88.545738980428027</v>
      </c>
      <c r="S72" s="2">
        <f t="shared" si="2"/>
        <v>3.9676182910438338</v>
      </c>
      <c r="T72" s="2">
        <f t="shared" si="4"/>
        <v>3.3719148550392677</v>
      </c>
      <c r="U72" s="2">
        <f t="shared" si="5"/>
        <v>95.885272126511126</v>
      </c>
    </row>
    <row r="73" spans="1:21" x14ac:dyDescent="0.25">
      <c r="A73">
        <v>1615713</v>
      </c>
      <c r="B73">
        <v>60</v>
      </c>
      <c r="C73" s="1">
        <f>4.84889739028736*(10.3/7.3)</f>
        <v>6.841594947939706</v>
      </c>
      <c r="D73" s="1">
        <f>5.31524389498073*(10.3/7.3)</f>
        <v>7.4995907011371949</v>
      </c>
      <c r="E73" s="1">
        <f>19.0498995724596*(10.3/7.3)</f>
        <v>26.87862542415531</v>
      </c>
      <c r="F73" s="1">
        <f>31.2106085329403*(38.9/42.5)</f>
        <v>28.566886398385357</v>
      </c>
      <c r="G73" s="1">
        <v>0.77926706255179257</v>
      </c>
      <c r="H73" s="1">
        <v>2.065283642750984</v>
      </c>
      <c r="I73" s="1">
        <v>23.547779439612327</v>
      </c>
      <c r="J73" s="1">
        <v>2.9092677920616303E-2</v>
      </c>
      <c r="K73" s="1">
        <v>3.9397510390376724</v>
      </c>
      <c r="L73" s="1">
        <v>2.2120199409408401</v>
      </c>
      <c r="M73" s="1">
        <v>9.3546194965463986E-2</v>
      </c>
      <c r="N73" s="1">
        <v>1.2064578525553278</v>
      </c>
      <c r="O73" s="1">
        <v>9.1431999999999958E-2</v>
      </c>
      <c r="P73" s="1">
        <v>7.4489454297257743E-2</v>
      </c>
      <c r="Q73" s="1">
        <v>1.245403981247158</v>
      </c>
      <c r="R73" s="2">
        <f t="shared" si="3"/>
        <v>97.424431597779844</v>
      </c>
      <c r="S73" s="2">
        <f t="shared" ref="S73:S136" si="6">J73+K73+P73</f>
        <v>4.0433331712555463</v>
      </c>
      <c r="T73" s="2">
        <f t="shared" si="4"/>
        <v>3.603455988461632</v>
      </c>
      <c r="U73" s="2">
        <f t="shared" si="5"/>
        <v>105.07122075749702</v>
      </c>
    </row>
    <row r="74" spans="1:21" x14ac:dyDescent="0.25">
      <c r="A74">
        <v>1615721</v>
      </c>
      <c r="B74">
        <v>59</v>
      </c>
      <c r="C74" s="1">
        <f>4.53571334187381*(10.3/7.3)</f>
        <v>6.3997051262055091</v>
      </c>
      <c r="D74" s="1">
        <f>5.00617330319925*(10.3/7.3)</f>
        <v>7.0635047976646961</v>
      </c>
      <c r="E74" s="1">
        <f>17.9407027454572*(10.3/7.3)</f>
        <v>25.31359428468615</v>
      </c>
      <c r="F74" s="1">
        <f>29.1534297196097*(38.9/42.5)</f>
        <v>26.683962731595727</v>
      </c>
      <c r="G74" s="1">
        <v>0.71600278283596641</v>
      </c>
      <c r="H74" s="1">
        <v>2.0415386053966347</v>
      </c>
      <c r="I74" s="1">
        <v>21.89106820882952</v>
      </c>
      <c r="J74" s="1">
        <v>2.7698914940044027E-2</v>
      </c>
      <c r="K74" s="1">
        <v>3.7573223445915733</v>
      </c>
      <c r="L74" s="1">
        <v>2.1796867013726127</v>
      </c>
      <c r="M74" s="1">
        <v>9.289288803919879E-2</v>
      </c>
      <c r="N74" s="1">
        <v>1.1595047564811169</v>
      </c>
      <c r="O74" s="1">
        <v>9.080225988700566E-2</v>
      </c>
      <c r="P74" s="1">
        <v>7.4108470573603799E-2</v>
      </c>
      <c r="Q74" s="1">
        <v>1.1442966848976643</v>
      </c>
      <c r="R74" s="2">
        <f t="shared" ref="R74:R137" si="7">C74+D74+E74+F74+G74+H74+I74+Q74</f>
        <v>91.253673222111885</v>
      </c>
      <c r="S74" s="2">
        <f t="shared" si="6"/>
        <v>3.8591297301052214</v>
      </c>
      <c r="T74" s="2">
        <f t="shared" ref="T74:T137" si="8">L74+M74+N74+O74</f>
        <v>3.522886605779934</v>
      </c>
      <c r="U74" s="2">
        <f t="shared" ref="U74:U137" si="9">R74+S74+T74</f>
        <v>98.63568955799704</v>
      </c>
    </row>
    <row r="75" spans="1:21" x14ac:dyDescent="0.25">
      <c r="A75">
        <v>1615729</v>
      </c>
      <c r="B75">
        <v>3</v>
      </c>
      <c r="C75" s="1">
        <f>4.91359325609923*(10.3/7.3)</f>
        <v>6.9328781558660362</v>
      </c>
      <c r="D75" s="1">
        <f>5.4364991841087*(10.3/7.3)</f>
        <v>7.670676931002693</v>
      </c>
      <c r="E75" s="1">
        <f>19.4843372381824*(10.3/7.3)</f>
        <v>27.491599116887482</v>
      </c>
      <c r="F75" s="1">
        <f>31.4674191187322*(38.9/42.5)</f>
        <v>28.801943616910169</v>
      </c>
      <c r="G75" s="1">
        <v>0.7621517312064684</v>
      </c>
      <c r="H75" s="1">
        <v>1.8494007838047608</v>
      </c>
      <c r="I75" s="1">
        <v>23.573080579122717</v>
      </c>
      <c r="J75" s="1">
        <v>3.1360104568348562E-2</v>
      </c>
      <c r="K75" s="1">
        <v>4.1920184007925796</v>
      </c>
      <c r="L75" s="1">
        <v>2.4910911038419856</v>
      </c>
      <c r="M75" s="1">
        <v>0.10400501614615835</v>
      </c>
      <c r="N75" s="1">
        <v>1.2777046359901092</v>
      </c>
      <c r="O75" s="1">
        <v>0.10048000000000001</v>
      </c>
      <c r="P75" s="1">
        <v>8.1309777788726056E-2</v>
      </c>
      <c r="Q75" s="1">
        <v>1.2180507119738093</v>
      </c>
      <c r="R75" s="2">
        <f t="shared" si="7"/>
        <v>98.29978162677412</v>
      </c>
      <c r="S75" s="2">
        <f t="shared" si="6"/>
        <v>4.3046882831496545</v>
      </c>
      <c r="T75" s="2">
        <f t="shared" si="8"/>
        <v>3.9732807559782533</v>
      </c>
      <c r="U75" s="2">
        <f t="shared" si="9"/>
        <v>106.57775066590203</v>
      </c>
    </row>
    <row r="76" spans="1:21" x14ac:dyDescent="0.25">
      <c r="A76">
        <v>1627925</v>
      </c>
      <c r="B76">
        <v>8</v>
      </c>
      <c r="C76" s="1">
        <f>6.83867032212027*(10.3/7.3)</f>
        <v>9.649082783265591</v>
      </c>
      <c r="D76" s="1">
        <f>6.97702036662594*(10.3/7.3)</f>
        <v>9.8442890104448217</v>
      </c>
      <c r="E76" s="1">
        <f>25.1139337760458*(10.3/7.3)</f>
        <v>35.434728478530346</v>
      </c>
      <c r="F76" s="1">
        <f>40.4912861306888*(38.9/42.5)</f>
        <v>37.061436011383421</v>
      </c>
      <c r="G76" s="1">
        <v>0.93818696447715055</v>
      </c>
      <c r="H76" s="1">
        <v>2.4101022186900494</v>
      </c>
      <c r="I76" s="1">
        <v>31.521749564430685</v>
      </c>
      <c r="J76" s="1">
        <v>3.5779754881804599E-2</v>
      </c>
      <c r="K76" s="1">
        <v>7.0369598124567334</v>
      </c>
      <c r="L76" s="1">
        <v>2.5132118963543046</v>
      </c>
      <c r="M76" s="1">
        <v>0.10184475243488295</v>
      </c>
      <c r="N76" s="1">
        <v>1.542992432468776</v>
      </c>
      <c r="O76" s="1">
        <v>9.8140000000000005E-2</v>
      </c>
      <c r="P76" s="1">
        <v>7.922764745817984E-2</v>
      </c>
      <c r="Q76" s="1">
        <v>1.4993855596666805</v>
      </c>
      <c r="R76" s="2">
        <f t="shared" si="7"/>
        <v>128.35896059088873</v>
      </c>
      <c r="S76" s="2">
        <f t="shared" si="6"/>
        <v>7.1519672147967182</v>
      </c>
      <c r="T76" s="2">
        <f t="shared" si="8"/>
        <v>4.2561890812579639</v>
      </c>
      <c r="U76" s="2">
        <f t="shared" si="9"/>
        <v>139.7671168869434</v>
      </c>
    </row>
    <row r="77" spans="1:21" x14ac:dyDescent="0.25">
      <c r="A77">
        <v>1627933</v>
      </c>
      <c r="B77">
        <v>23</v>
      </c>
      <c r="C77" s="1">
        <f>4.73316129529058*(10.3/7.3)</f>
        <v>6.6782960741771156</v>
      </c>
      <c r="D77" s="1">
        <f>4.96237271084484*(10.3/7.3)</f>
        <v>7.0017039618769719</v>
      </c>
      <c r="E77" s="1">
        <f>17.8266450290616*(10.3/7.3)</f>
        <v>25.152663534155359</v>
      </c>
      <c r="F77" s="1">
        <f>29.2046680985013*(38.9/42.5)</f>
        <v>26.730860918392995</v>
      </c>
      <c r="G77" s="1">
        <v>0.71419711255697482</v>
      </c>
      <c r="H77" s="1">
        <v>4.3148774135508381</v>
      </c>
      <c r="I77" s="1">
        <v>22.497793523284383</v>
      </c>
      <c r="J77" s="1">
        <v>2.8719478925812957E-2</v>
      </c>
      <c r="K77" s="1">
        <v>4.1671393812233903</v>
      </c>
      <c r="L77" s="1">
        <v>2.0365517256193635</v>
      </c>
      <c r="M77" s="1">
        <v>8.6422242698555612E-2</v>
      </c>
      <c r="N77" s="1">
        <v>1.2307008233893355</v>
      </c>
      <c r="O77" s="1">
        <v>8.3939710144927529E-2</v>
      </c>
      <c r="P77" s="1">
        <v>6.9987722119801532E-2</v>
      </c>
      <c r="Q77" s="1">
        <v>1.1414109104791847</v>
      </c>
      <c r="R77" s="2">
        <f t="shared" si="7"/>
        <v>94.231803448473812</v>
      </c>
      <c r="S77" s="2">
        <f t="shared" si="6"/>
        <v>4.2658465822690053</v>
      </c>
      <c r="T77" s="2">
        <f t="shared" si="8"/>
        <v>3.4376145018521824</v>
      </c>
      <c r="U77" s="2">
        <f t="shared" si="9"/>
        <v>101.935264532595</v>
      </c>
    </row>
    <row r="78" spans="1:21" x14ac:dyDescent="0.25">
      <c r="A78">
        <v>1627941</v>
      </c>
      <c r="B78">
        <v>38</v>
      </c>
      <c r="C78" s="1">
        <f>3.37410807826587*(10.3/7.3)</f>
        <v>4.7607278364573196</v>
      </c>
      <c r="D78" s="1">
        <f>3.68721345415891*(10.3/7.3)</f>
        <v>5.2025066544981824</v>
      </c>
      <c r="E78" s="1">
        <f>13.2142699563243*(10.3/7.3)</f>
        <v>18.644791856183652</v>
      </c>
      <c r="F78" s="1">
        <f>21.7919225407963*(38.9/42.5)</f>
        <v>19.946018513811236</v>
      </c>
      <c r="G78" s="1">
        <v>0.55173882235223581</v>
      </c>
      <c r="H78" s="1">
        <v>1.6243655941266029</v>
      </c>
      <c r="I78" s="1">
        <v>16.485332575694478</v>
      </c>
      <c r="J78" s="1">
        <v>2.2758981668124578E-2</v>
      </c>
      <c r="K78" s="1">
        <v>3.2086993212698318</v>
      </c>
      <c r="L78" s="1">
        <v>1.7050068277001216</v>
      </c>
      <c r="M78" s="1">
        <v>7.5246322632122567E-2</v>
      </c>
      <c r="N78" s="1">
        <v>0.9961026988215318</v>
      </c>
      <c r="O78" s="1">
        <v>7.3838596491228065E-2</v>
      </c>
      <c r="P78" s="1">
        <v>6.3179079187131351E-2</v>
      </c>
      <c r="Q78" s="1">
        <v>0.8817743736222956</v>
      </c>
      <c r="R78" s="2">
        <f t="shared" si="7"/>
        <v>68.097256226745984</v>
      </c>
      <c r="S78" s="2">
        <f t="shared" si="6"/>
        <v>3.2946373821250878</v>
      </c>
      <c r="T78" s="2">
        <f t="shared" si="8"/>
        <v>2.8501944456450041</v>
      </c>
      <c r="U78" s="2">
        <f t="shared" si="9"/>
        <v>74.242088054516074</v>
      </c>
    </row>
    <row r="79" spans="1:21" x14ac:dyDescent="0.25">
      <c r="A79">
        <v>1627949</v>
      </c>
      <c r="B79">
        <v>66</v>
      </c>
      <c r="C79" s="1">
        <f>4.08859212563318*(10.3/7.3)</f>
        <v>5.7688354649344804</v>
      </c>
      <c r="D79" s="1">
        <f>4.50999516116533*(10.3/7.3)</f>
        <v>6.3634178301373812</v>
      </c>
      <c r="E79" s="1">
        <f>16.1607071351787*(10.3/7.3)</f>
        <v>22.802093629087707</v>
      </c>
      <c r="F79" s="1">
        <f>26.3772769943709*(38.9/42.5)</f>
        <v>24.142966472494781</v>
      </c>
      <c r="G79" s="1">
        <v>0.65455603919268901</v>
      </c>
      <c r="H79" s="1">
        <v>1.7737093792002918</v>
      </c>
      <c r="I79" s="1">
        <v>19.829013020163458</v>
      </c>
      <c r="J79" s="1">
        <v>2.5371272501796969E-2</v>
      </c>
      <c r="K79" s="1">
        <v>3.4985142274941388</v>
      </c>
      <c r="L79" s="1">
        <v>1.9770938661847608</v>
      </c>
      <c r="M79" s="1">
        <v>8.548202064170686E-2</v>
      </c>
      <c r="N79" s="1">
        <v>1.0833190474704417</v>
      </c>
      <c r="O79" s="1">
        <v>8.366141414141412E-2</v>
      </c>
      <c r="P79" s="1">
        <v>6.9487208519859581E-2</v>
      </c>
      <c r="Q79" s="1">
        <v>1.0460941265636594</v>
      </c>
      <c r="R79" s="2">
        <f t="shared" si="7"/>
        <v>82.380685961774446</v>
      </c>
      <c r="S79" s="2">
        <f t="shared" si="6"/>
        <v>3.5933727085157954</v>
      </c>
      <c r="T79" s="2">
        <f t="shared" si="8"/>
        <v>3.2295563484383236</v>
      </c>
      <c r="U79" s="2">
        <f t="shared" si="9"/>
        <v>89.20361501872857</v>
      </c>
    </row>
    <row r="80" spans="1:21" x14ac:dyDescent="0.25">
      <c r="A80">
        <v>1627957</v>
      </c>
      <c r="B80">
        <v>10</v>
      </c>
      <c r="C80" s="1">
        <f>4.22089742217062*(10.3/7.3)</f>
        <v>5.9555128011448515</v>
      </c>
      <c r="D80" s="1">
        <f>4.67593162170342*(10.3/7.3)</f>
        <v>6.5975473566500247</v>
      </c>
      <c r="E80" s="1">
        <f>16.7557627800477*(10.3/7.3)</f>
        <v>23.64169268965636</v>
      </c>
      <c r="F80" s="1">
        <f>27.1433607560961*(38.9/42.5)</f>
        <v>24.844158433226792</v>
      </c>
      <c r="G80" s="1">
        <v>0.66273939183239527</v>
      </c>
      <c r="H80" s="1">
        <v>1.8191802067296923</v>
      </c>
      <c r="I80" s="1">
        <v>20.334195138443114</v>
      </c>
      <c r="J80" s="1">
        <v>2.7085218223076295E-2</v>
      </c>
      <c r="K80" s="1">
        <v>3.6912259538160832</v>
      </c>
      <c r="L80" s="1">
        <v>2.1510328413934241</v>
      </c>
      <c r="M80" s="1">
        <v>9.1661935670966074E-2</v>
      </c>
      <c r="N80" s="1">
        <v>1.1381229604622152</v>
      </c>
      <c r="O80" s="1">
        <v>8.9445333333333335E-2</v>
      </c>
      <c r="P80" s="1">
        <v>7.3605094386436323E-2</v>
      </c>
      <c r="Q80" s="1">
        <v>1.0591725440243771</v>
      </c>
      <c r="R80" s="2">
        <f t="shared" si="7"/>
        <v>84.914198561707607</v>
      </c>
      <c r="S80" s="2">
        <f t="shared" si="6"/>
        <v>3.7919162664255954</v>
      </c>
      <c r="T80" s="2">
        <f t="shared" si="8"/>
        <v>3.4702630708599389</v>
      </c>
      <c r="U80" s="2">
        <f t="shared" si="9"/>
        <v>92.176377898993152</v>
      </c>
    </row>
    <row r="81" spans="1:21" x14ac:dyDescent="0.25">
      <c r="A81">
        <v>1640153</v>
      </c>
      <c r="B81">
        <v>18</v>
      </c>
      <c r="C81" s="1">
        <f>7.67751712180829*(10.3/7.3)</f>
        <v>10.832661144469238</v>
      </c>
      <c r="D81" s="1">
        <f>7.85504009029712*(10.3/7.3)</f>
        <v>11.083138757542505</v>
      </c>
      <c r="E81" s="1">
        <f>28.2722765586719*(10.3/7.3)</f>
        <v>39.891020349906974</v>
      </c>
      <c r="F81" s="1">
        <f>45.4700710572059*(38.9/42.5)</f>
        <v>41.618488567654346</v>
      </c>
      <c r="G81" s="1">
        <v>1.048217926516414</v>
      </c>
      <c r="H81" s="1">
        <v>2.5721827837395983</v>
      </c>
      <c r="I81" s="1">
        <v>35.335262441170123</v>
      </c>
      <c r="J81" s="1">
        <v>3.9848397951121849E-2</v>
      </c>
      <c r="K81" s="1">
        <v>8.9287089740668719</v>
      </c>
      <c r="L81" s="1">
        <v>2.7640985498963673</v>
      </c>
      <c r="M81" s="1">
        <v>0.10847387705435149</v>
      </c>
      <c r="N81" s="1">
        <v>1.7011971265231376</v>
      </c>
      <c r="O81" s="1">
        <v>0.10386370370370371</v>
      </c>
      <c r="P81" s="1">
        <v>8.3522761944392579E-2</v>
      </c>
      <c r="Q81" s="1">
        <v>1.6752341291358228</v>
      </c>
      <c r="R81" s="2">
        <f t="shared" si="7"/>
        <v>144.056206100135</v>
      </c>
      <c r="S81" s="2">
        <f t="shared" si="6"/>
        <v>9.0520801339623862</v>
      </c>
      <c r="T81" s="2">
        <f t="shared" si="8"/>
        <v>4.6776332571775603</v>
      </c>
      <c r="U81" s="2">
        <f t="shared" si="9"/>
        <v>157.78591949127494</v>
      </c>
    </row>
    <row r="82" spans="1:21" x14ac:dyDescent="0.25">
      <c r="A82">
        <v>1640161</v>
      </c>
      <c r="B82">
        <v>46</v>
      </c>
      <c r="C82" s="1">
        <f>6.84507762509863*(10.3/7.3)</f>
        <v>9.6581232244542363</v>
      </c>
      <c r="D82" s="1">
        <f>7.10175896328897*(10.3/7.3)</f>
        <v>10.020290044092652</v>
      </c>
      <c r="E82" s="1">
        <f>25.5402300216508*(10.3/7.3)</f>
        <v>36.036214962055297</v>
      </c>
      <c r="F82" s="1">
        <f>41.1497736039785*(38.9/42.5)</f>
        <v>37.664145722229712</v>
      </c>
      <c r="G82" s="1">
        <v>0.96002148497933515</v>
      </c>
      <c r="H82" s="1">
        <v>2.623643332209217</v>
      </c>
      <c r="I82" s="1">
        <v>31.771315873571449</v>
      </c>
      <c r="J82" s="1">
        <v>3.637421850383489E-2</v>
      </c>
      <c r="K82" s="1">
        <v>5.8951425785815772</v>
      </c>
      <c r="L82" s="1">
        <v>2.5842524263972351</v>
      </c>
      <c r="M82" s="1">
        <v>0.10462865676704514</v>
      </c>
      <c r="N82" s="1">
        <v>1.5352071628748083</v>
      </c>
      <c r="O82" s="1">
        <v>0.10070144927536231</v>
      </c>
      <c r="P82" s="1">
        <v>8.0779696151779129E-2</v>
      </c>
      <c r="Q82" s="1">
        <v>1.5342809120674326</v>
      </c>
      <c r="R82" s="2">
        <f t="shared" si="7"/>
        <v>130.26803555565931</v>
      </c>
      <c r="S82" s="2">
        <f t="shared" si="6"/>
        <v>6.0122964932371916</v>
      </c>
      <c r="T82" s="2">
        <f t="shared" si="8"/>
        <v>4.3247896953144513</v>
      </c>
      <c r="U82" s="2">
        <f t="shared" si="9"/>
        <v>140.60512174421095</v>
      </c>
    </row>
    <row r="83" spans="1:21" x14ac:dyDescent="0.25">
      <c r="A83">
        <v>1640177</v>
      </c>
      <c r="B83">
        <v>45</v>
      </c>
      <c r="C83" s="1">
        <f>4.91987741571704*(10.3/7.3)</f>
        <v>6.9417448468336387</v>
      </c>
      <c r="D83" s="1">
        <f>5.38398136171326*(10.3/7.3)</f>
        <v>7.5965764418693933</v>
      </c>
      <c r="E83" s="1">
        <f>19.3037268764974*(10.3/7.3)</f>
        <v>27.236765318893603</v>
      </c>
      <c r="F83" s="1">
        <f>31.3353312311735*(38.9/42.5)</f>
        <v>28.681044350415256</v>
      </c>
      <c r="G83" s="1">
        <v>0.76460759319033411</v>
      </c>
      <c r="H83" s="1">
        <v>2.0323366075366871</v>
      </c>
      <c r="I83" s="1">
        <v>23.618780749794851</v>
      </c>
      <c r="J83" s="1">
        <v>2.832008480984367E-2</v>
      </c>
      <c r="K83" s="1">
        <v>3.9113090602739931</v>
      </c>
      <c r="L83" s="1">
        <v>2.1917679681758062</v>
      </c>
      <c r="M83" s="1">
        <v>9.2373221120327087E-2</v>
      </c>
      <c r="N83" s="1">
        <v>1.192397190718036</v>
      </c>
      <c r="O83" s="1">
        <v>9.080414814814812E-2</v>
      </c>
      <c r="P83" s="1">
        <v>7.4193833940962892E-2</v>
      </c>
      <c r="Q83" s="1">
        <v>1.2219756055553297</v>
      </c>
      <c r="R83" s="2">
        <f t="shared" si="7"/>
        <v>98.093831514089104</v>
      </c>
      <c r="S83" s="2">
        <f t="shared" si="6"/>
        <v>4.0138229790247992</v>
      </c>
      <c r="T83" s="2">
        <f t="shared" si="8"/>
        <v>3.5673425281623174</v>
      </c>
      <c r="U83" s="2">
        <f t="shared" si="9"/>
        <v>105.67499702127621</v>
      </c>
    </row>
    <row r="84" spans="1:21" x14ac:dyDescent="0.25">
      <c r="A84">
        <v>1640185</v>
      </c>
      <c r="B84">
        <v>54</v>
      </c>
      <c r="C84" s="1">
        <f>3.51776486774999*(10.3/7.3)</f>
        <v>4.9634216627157333</v>
      </c>
      <c r="D84" s="1">
        <f>3.90556011623854*(10.3/7.3)</f>
        <v>5.5105848215420528</v>
      </c>
      <c r="E84" s="1">
        <f>13.9913748322207*(10.3/7.3)</f>
        <v>19.741254900256614</v>
      </c>
      <c r="F84" s="1">
        <f>22.7794797167251*(38.9/42.5)</f>
        <v>20.849923787778977</v>
      </c>
      <c r="G84" s="1">
        <v>0.56355276922318209</v>
      </c>
      <c r="H84" s="1">
        <v>1.6241429646449119</v>
      </c>
      <c r="I84" s="1">
        <v>17.06460722135817</v>
      </c>
      <c r="J84" s="1">
        <v>2.2762116510666449E-2</v>
      </c>
      <c r="K84" s="1">
        <v>3.1706207941554534</v>
      </c>
      <c r="L84" s="1">
        <v>1.8054099993357151</v>
      </c>
      <c r="M84" s="1">
        <v>7.9247040276037919E-2</v>
      </c>
      <c r="N84" s="1">
        <v>0.99412135273034952</v>
      </c>
      <c r="O84" s="1">
        <v>7.751012345679012E-2</v>
      </c>
      <c r="P84" s="1">
        <v>6.5837193727389831E-2</v>
      </c>
      <c r="Q84" s="1">
        <v>0.90065511063065717</v>
      </c>
      <c r="R84" s="2">
        <f t="shared" si="7"/>
        <v>71.21814323815029</v>
      </c>
      <c r="S84" s="2">
        <f t="shared" si="6"/>
        <v>3.2592201043935098</v>
      </c>
      <c r="T84" s="2">
        <f t="shared" si="8"/>
        <v>2.9562885157988927</v>
      </c>
      <c r="U84" s="2">
        <f t="shared" si="9"/>
        <v>77.433651858342685</v>
      </c>
    </row>
    <row r="85" spans="1:21" x14ac:dyDescent="0.25">
      <c r="A85">
        <v>1640193</v>
      </c>
      <c r="B85">
        <v>2</v>
      </c>
      <c r="C85" s="1">
        <f>4.22388461072135*(10.3/7.3)</f>
        <v>5.9597276014287477</v>
      </c>
      <c r="D85" s="1">
        <f>4.69559744134974*(10.3/7.3)</f>
        <v>6.6252950199866252</v>
      </c>
      <c r="E85" s="1">
        <f>16.8266951983917*(10.3/7.3)</f>
        <v>23.74177541690884</v>
      </c>
      <c r="F85" s="1">
        <f>27.0865529201865*(38.9/42.5)</f>
        <v>24.792162555182458</v>
      </c>
      <c r="G85" s="1">
        <v>0.65219229912790033</v>
      </c>
      <c r="H85" s="1">
        <v>1.808363949799527</v>
      </c>
      <c r="I85" s="1">
        <v>20.23291664630862</v>
      </c>
      <c r="J85" s="1">
        <v>2.6541239501400901E-2</v>
      </c>
      <c r="K85" s="1">
        <v>3.5792470663135445</v>
      </c>
      <c r="L85" s="1">
        <v>2.1473836389499454</v>
      </c>
      <c r="M85" s="1">
        <v>9.1546355830500442E-2</v>
      </c>
      <c r="N85" s="1">
        <v>1.1161946826100433</v>
      </c>
      <c r="O85" s="1">
        <v>8.8906666666666662E-2</v>
      </c>
      <c r="P85" s="1">
        <v>7.3319166964315188E-2</v>
      </c>
      <c r="Q85" s="1">
        <v>1.0423164597934491</v>
      </c>
      <c r="R85" s="2">
        <f t="shared" si="7"/>
        <v>84.854749948536167</v>
      </c>
      <c r="S85" s="2">
        <f t="shared" si="6"/>
        <v>3.6791074727792608</v>
      </c>
      <c r="T85" s="2">
        <f t="shared" si="8"/>
        <v>3.4440313440571555</v>
      </c>
      <c r="U85" s="2">
        <f t="shared" si="9"/>
        <v>91.977888765372583</v>
      </c>
    </row>
    <row r="86" spans="1:21" x14ac:dyDescent="0.25">
      <c r="A86">
        <v>1652389</v>
      </c>
      <c r="B86">
        <v>64</v>
      </c>
      <c r="C86" s="1">
        <f>7.31767845284755*(10.3/7.3)</f>
        <v>10.324943570456137</v>
      </c>
      <c r="D86" s="1">
        <f>7.53278084449154*(10.3/7.3)</f>
        <v>10.628444205241482</v>
      </c>
      <c r="E86" s="1">
        <f>27.1060805937355*(10.3/7.3)</f>
        <v>38.245565769243292</v>
      </c>
      <c r="F86" s="1">
        <f>43.4587058651792*(38.9/42.5)</f>
        <v>39.777497838952272</v>
      </c>
      <c r="G86" s="1">
        <v>0.99680856140588869</v>
      </c>
      <c r="H86" s="1">
        <v>2.8300666976628648</v>
      </c>
      <c r="I86" s="1">
        <v>33.655185869245848</v>
      </c>
      <c r="J86" s="1">
        <v>3.8200900425649935E-2</v>
      </c>
      <c r="K86" s="1">
        <v>7.0466200373921239</v>
      </c>
      <c r="L86" s="1">
        <v>2.6933263543179438</v>
      </c>
      <c r="M86" s="1">
        <v>0.10709798150356636</v>
      </c>
      <c r="N86" s="1">
        <v>1.6144030894795578</v>
      </c>
      <c r="O86" s="1">
        <v>0.10286083333333337</v>
      </c>
      <c r="P86" s="1">
        <v>8.2258153169846887E-2</v>
      </c>
      <c r="Q86" s="1">
        <v>1.5930730433427458</v>
      </c>
      <c r="R86" s="2">
        <f t="shared" si="7"/>
        <v>138.05158555555053</v>
      </c>
      <c r="S86" s="2">
        <f t="shared" si="6"/>
        <v>7.1670790909876212</v>
      </c>
      <c r="T86" s="2">
        <f t="shared" si="8"/>
        <v>4.5176882586344016</v>
      </c>
      <c r="U86" s="2">
        <f t="shared" si="9"/>
        <v>149.73635290517254</v>
      </c>
    </row>
    <row r="87" spans="1:21" x14ac:dyDescent="0.25">
      <c r="A87">
        <v>1652413</v>
      </c>
      <c r="B87">
        <v>63</v>
      </c>
      <c r="C87" s="1">
        <f>3.81752581434838*(10.3/7.3)</f>
        <v>5.3863720394230548</v>
      </c>
      <c r="D87" s="1">
        <f>4.2253366767806*(10.3/7.3)</f>
        <v>5.9617764069644048</v>
      </c>
      <c r="E87" s="1">
        <f>15.1403541933553*(10.3/7.3)</f>
        <v>21.362417560487589</v>
      </c>
      <c r="F87" s="1">
        <f>24.5977068392714*(38.9/42.5)</f>
        <v>22.514136377591939</v>
      </c>
      <c r="G87" s="1">
        <v>0.60458144636094002</v>
      </c>
      <c r="H87" s="1">
        <v>1.6968982792614369</v>
      </c>
      <c r="I87" s="1">
        <v>18.445308699363135</v>
      </c>
      <c r="J87" s="1">
        <v>2.3740118849671463E-2</v>
      </c>
      <c r="K87" s="1">
        <v>3.3244247571046981</v>
      </c>
      <c r="L87" s="1">
        <v>1.8687746462476778</v>
      </c>
      <c r="M87" s="1">
        <v>8.1015769015570727E-2</v>
      </c>
      <c r="N87" s="1">
        <v>1.0331623662407732</v>
      </c>
      <c r="O87" s="1">
        <v>7.9602962962962959E-2</v>
      </c>
      <c r="P87" s="1">
        <v>6.7193489238023846E-2</v>
      </c>
      <c r="Q87" s="1">
        <v>0.96622605582798715</v>
      </c>
      <c r="R87" s="2">
        <f t="shared" si="7"/>
        <v>76.937716865280493</v>
      </c>
      <c r="S87" s="2">
        <f t="shared" si="6"/>
        <v>3.4153583651923936</v>
      </c>
      <c r="T87" s="2">
        <f t="shared" si="8"/>
        <v>3.0625557444669846</v>
      </c>
      <c r="U87" s="2">
        <f t="shared" si="9"/>
        <v>83.415630974939873</v>
      </c>
    </row>
    <row r="88" spans="1:21" x14ac:dyDescent="0.25">
      <c r="A88">
        <v>1652421</v>
      </c>
      <c r="B88">
        <v>30</v>
      </c>
      <c r="C88" s="1">
        <f>4.03006254115692*(10.3/7.3)</f>
        <v>5.6862526265638804</v>
      </c>
      <c r="D88" s="1">
        <f>4.47702473948482*(10.3/7.3)</f>
        <v>6.3168979200950153</v>
      </c>
      <c r="E88" s="1">
        <f>16.0420785737112*(10.3/7.3)</f>
        <v>22.634713604003522</v>
      </c>
      <c r="F88" s="1">
        <f>25.9197626804588*(38.9/42.5)</f>
        <v>23.724206312231747</v>
      </c>
      <c r="G88" s="1">
        <v>0.62966036150893845</v>
      </c>
      <c r="H88" s="1">
        <v>1.7735638188068215</v>
      </c>
      <c r="I88" s="1">
        <v>19.382136365957347</v>
      </c>
      <c r="J88" s="1">
        <v>2.5946625214889368E-2</v>
      </c>
      <c r="K88" s="1">
        <v>3.5495527432777196</v>
      </c>
      <c r="L88" s="1">
        <v>2.0868292237781767</v>
      </c>
      <c r="M88" s="1">
        <v>8.8910490555300384E-2</v>
      </c>
      <c r="N88" s="1">
        <v>1.1040737165563188</v>
      </c>
      <c r="O88" s="1">
        <v>8.6874666666666642E-2</v>
      </c>
      <c r="P88" s="1">
        <v>7.2182959209661016E-2</v>
      </c>
      <c r="Q88" s="1">
        <v>1.0063065138270717</v>
      </c>
      <c r="R88" s="2">
        <f t="shared" si="7"/>
        <v>81.153737522994348</v>
      </c>
      <c r="S88" s="2">
        <f t="shared" si="6"/>
        <v>3.6476823277022703</v>
      </c>
      <c r="T88" s="2">
        <f t="shared" si="8"/>
        <v>3.3666880975564624</v>
      </c>
      <c r="U88" s="2">
        <f t="shared" si="9"/>
        <v>88.168107948253081</v>
      </c>
    </row>
    <row r="89" spans="1:21" x14ac:dyDescent="0.25">
      <c r="A89">
        <v>1664617</v>
      </c>
      <c r="B89">
        <v>13</v>
      </c>
      <c r="C89" s="1">
        <f>7.34419453839636*(10.3/7.3)</f>
        <v>10.362356677463351</v>
      </c>
      <c r="D89" s="1">
        <f>7.4903043430602*(10.3/7.3)</f>
        <v>10.568511607331518</v>
      </c>
      <c r="E89" s="1">
        <f>26.9645292632938*(10.3/7.3)</f>
        <v>38.045842659168017</v>
      </c>
      <c r="F89" s="1">
        <f>43.3481463109199*(38.9/42.5)</f>
        <v>39.676303329288992</v>
      </c>
      <c r="G89" s="1">
        <v>0.99649763820534276</v>
      </c>
      <c r="H89" s="1">
        <v>3.367535396411014</v>
      </c>
      <c r="I89" s="1">
        <v>33.735946929188415</v>
      </c>
      <c r="J89" s="1">
        <v>3.872021348548467E-2</v>
      </c>
      <c r="K89" s="1">
        <v>7.2495387142606269</v>
      </c>
      <c r="L89" s="1">
        <v>2.6692765683279172</v>
      </c>
      <c r="M89" s="1">
        <v>0.10474330153101544</v>
      </c>
      <c r="N89" s="1">
        <v>1.6466043705367026</v>
      </c>
      <c r="O89" s="1">
        <v>0.10054974358974358</v>
      </c>
      <c r="P89" s="1">
        <v>8.1127898408731594E-2</v>
      </c>
      <c r="Q89" s="1">
        <v>1.5925761341181295</v>
      </c>
      <c r="R89" s="2">
        <f t="shared" si="7"/>
        <v>138.34557037117477</v>
      </c>
      <c r="S89" s="2">
        <f t="shared" si="6"/>
        <v>7.3693868261548436</v>
      </c>
      <c r="T89" s="2">
        <f t="shared" si="8"/>
        <v>4.5211739839853786</v>
      </c>
      <c r="U89" s="2">
        <f t="shared" si="9"/>
        <v>150.23613118131502</v>
      </c>
    </row>
    <row r="90" spans="1:21" x14ac:dyDescent="0.25">
      <c r="A90">
        <v>1664625</v>
      </c>
      <c r="B90">
        <v>9</v>
      </c>
      <c r="C90" s="1">
        <f>5.84515353747263*(10.3/7.3)</f>
        <v>8.2472714295846696</v>
      </c>
      <c r="D90" s="1">
        <f>6.09341176762961*(10.3/7.3)</f>
        <v>8.5975535899431481</v>
      </c>
      <c r="E90" s="1">
        <f>21.9098728333526*(10.3/7.3)</f>
        <v>30.913930162127656</v>
      </c>
      <c r="F90" s="1">
        <f>35.2196494396436*(38.9/42.5)</f>
        <v>32.236337957697309</v>
      </c>
      <c r="G90" s="1">
        <v>0.81877961675676914</v>
      </c>
      <c r="H90" s="1">
        <v>2.273765315536918</v>
      </c>
      <c r="I90" s="1">
        <v>27.11965716377053</v>
      </c>
      <c r="J90" s="1">
        <v>3.2189886636426829E-2</v>
      </c>
      <c r="K90" s="1">
        <v>5.3929016204982529</v>
      </c>
      <c r="L90" s="1">
        <v>2.3254415819370107</v>
      </c>
      <c r="M90" s="1">
        <v>9.4518253983382122E-2</v>
      </c>
      <c r="N90" s="1">
        <v>1.3865834506734915</v>
      </c>
      <c r="O90" s="1">
        <v>9.3060740740740736E-2</v>
      </c>
      <c r="P90" s="1">
        <v>7.5356934953233284E-2</v>
      </c>
      <c r="Q90" s="1">
        <v>1.3085518989263447</v>
      </c>
      <c r="R90" s="2">
        <f t="shared" si="7"/>
        <v>111.51584713434333</v>
      </c>
      <c r="S90" s="2">
        <f t="shared" si="6"/>
        <v>5.5004484420879134</v>
      </c>
      <c r="T90" s="2">
        <f t="shared" si="8"/>
        <v>3.8996040273346249</v>
      </c>
      <c r="U90" s="2">
        <f t="shared" si="9"/>
        <v>120.91589960376587</v>
      </c>
    </row>
    <row r="91" spans="1:21" x14ac:dyDescent="0.25">
      <c r="A91">
        <v>1664641</v>
      </c>
      <c r="B91">
        <v>2</v>
      </c>
      <c r="C91" s="1">
        <f>3.40718726095387*(10.3/7.3)</f>
        <v>4.8074012038116187</v>
      </c>
      <c r="D91" s="1">
        <f>3.76492990417488*(10.3/7.3)</f>
        <v>5.312161371644013</v>
      </c>
      <c r="E91" s="1">
        <f>13.4895508867849*(10.3/7.3)</f>
        <v>19.033201936148537</v>
      </c>
      <c r="F91" s="1">
        <f>22.0255049118204*(38.9/42.5)</f>
        <v>20.159815083995639</v>
      </c>
      <c r="G91" s="1">
        <v>0.54747243667024947</v>
      </c>
      <c r="H91" s="1">
        <v>1.5829692789876977</v>
      </c>
      <c r="I91" s="1">
        <v>16.545358813279584</v>
      </c>
      <c r="J91" s="1">
        <v>2.1967065851119502E-2</v>
      </c>
      <c r="K91" s="1">
        <v>3.1398091798304169</v>
      </c>
      <c r="L91" s="1">
        <v>1.7120037078229218</v>
      </c>
      <c r="M91" s="1">
        <v>7.5425224283798997E-2</v>
      </c>
      <c r="N91" s="1">
        <v>0.97923835109481205</v>
      </c>
      <c r="O91" s="1">
        <v>7.4346666666666672E-2</v>
      </c>
      <c r="P91" s="1">
        <v>6.4027910624467679E-2</v>
      </c>
      <c r="Q91" s="1">
        <v>0.8749559490163813</v>
      </c>
      <c r="R91" s="2">
        <f t="shared" si="7"/>
        <v>68.863336073553725</v>
      </c>
      <c r="S91" s="2">
        <f t="shared" si="6"/>
        <v>3.2258041563060038</v>
      </c>
      <c r="T91" s="2">
        <f t="shared" si="8"/>
        <v>2.8410139498681994</v>
      </c>
      <c r="U91" s="2">
        <f t="shared" si="9"/>
        <v>74.930154179727921</v>
      </c>
    </row>
    <row r="92" spans="1:21" x14ac:dyDescent="0.25">
      <c r="A92">
        <v>1664649</v>
      </c>
      <c r="B92">
        <v>37</v>
      </c>
      <c r="C92" s="1">
        <f>4.63135865832672*(10.3/7.3)</f>
        <v>6.5346567370911259</v>
      </c>
      <c r="D92" s="1">
        <f>5.12994678965605*(10.3/7.3)</f>
        <v>7.2381441004736047</v>
      </c>
      <c r="E92" s="1">
        <f>18.3874617650264*(10.3/7.3)</f>
        <v>25.943952901338619</v>
      </c>
      <c r="F92" s="1">
        <f>29.5535902267483*(38.9/42.5)</f>
        <v>27.050227289894355</v>
      </c>
      <c r="G92" s="1">
        <v>0.70766523357859901</v>
      </c>
      <c r="H92" s="1">
        <v>3.3004926489288784</v>
      </c>
      <c r="I92" s="1">
        <v>22.10661052556237</v>
      </c>
      <c r="J92" s="1">
        <v>2.8068678172816882E-2</v>
      </c>
      <c r="K92" s="1">
        <v>3.8181020744899241</v>
      </c>
      <c r="L92" s="1">
        <v>2.2338561537735369</v>
      </c>
      <c r="M92" s="1">
        <v>9.3426596200302026E-2</v>
      </c>
      <c r="N92" s="1">
        <v>1.1893138254631974</v>
      </c>
      <c r="O92" s="1">
        <v>9.1142342342342336E-2</v>
      </c>
      <c r="P92" s="1">
        <v>7.4648039846187231E-2</v>
      </c>
      <c r="Q92" s="1">
        <v>1.1309718344863469</v>
      </c>
      <c r="R92" s="2">
        <f t="shared" si="7"/>
        <v>94.012721271353897</v>
      </c>
      <c r="S92" s="2">
        <f t="shared" si="6"/>
        <v>3.920818792508928</v>
      </c>
      <c r="T92" s="2">
        <f t="shared" si="8"/>
        <v>3.6077389177793791</v>
      </c>
      <c r="U92" s="2">
        <f t="shared" si="9"/>
        <v>101.54127898164219</v>
      </c>
    </row>
    <row r="93" spans="1:21" x14ac:dyDescent="0.25">
      <c r="A93">
        <v>1664657</v>
      </c>
      <c r="B93">
        <v>4</v>
      </c>
      <c r="C93" s="1">
        <f>3.53593508749*(10.3/7.3)</f>
        <v>4.9890590960475301</v>
      </c>
      <c r="D93" s="1">
        <f>3.93779165759733*(10.3/7.3)</f>
        <v>5.5560622018154042</v>
      </c>
      <c r="E93" s="1">
        <f>14.1066292031163*(10.3/7.3)</f>
        <v>19.903874081109297</v>
      </c>
      <c r="F93" s="1">
        <f>22.8684866435126*(38.9/42.5)</f>
        <v>20.931391304297399</v>
      </c>
      <c r="G93" s="1">
        <v>0.56069653815375919</v>
      </c>
      <c r="H93" s="1">
        <v>1.7370673493825215</v>
      </c>
      <c r="I93" s="1">
        <v>17.092195671279047</v>
      </c>
      <c r="J93" s="1">
        <v>2.3295188627128847E-2</v>
      </c>
      <c r="K93" s="1">
        <v>3.2000977615588289</v>
      </c>
      <c r="L93" s="1">
        <v>1.8970781012489033</v>
      </c>
      <c r="M93" s="1">
        <v>8.2662051193263253E-2</v>
      </c>
      <c r="N93" s="1">
        <v>1.0054644310488023</v>
      </c>
      <c r="O93" s="1">
        <v>8.1079999999999999E-2</v>
      </c>
      <c r="P93" s="1">
        <v>6.8052582982615489E-2</v>
      </c>
      <c r="Q93" s="1">
        <v>0.89609035777998125</v>
      </c>
      <c r="R93" s="2">
        <f t="shared" si="7"/>
        <v>71.666436599864937</v>
      </c>
      <c r="S93" s="2">
        <f t="shared" si="6"/>
        <v>3.2914455331685728</v>
      </c>
      <c r="T93" s="2">
        <f t="shared" si="8"/>
        <v>3.0662845834909689</v>
      </c>
      <c r="U93" s="2">
        <f t="shared" si="9"/>
        <v>78.024166716524476</v>
      </c>
    </row>
    <row r="94" spans="1:21" x14ac:dyDescent="0.25">
      <c r="A94">
        <v>1676877</v>
      </c>
      <c r="B94">
        <v>2</v>
      </c>
      <c r="C94" s="1">
        <f>5.50240131043049*(10.3/7.3)</f>
        <v>7.7636621229361751</v>
      </c>
      <c r="D94" s="1">
        <f>6.07738475867291*(10.3/7.3)</f>
        <v>8.5749401389494508</v>
      </c>
      <c r="E94" s="1">
        <f>21.7898915877947*(10.3/7.3)</f>
        <v>30.744641555381552</v>
      </c>
      <c r="F94" s="1">
        <f>34.8549531988815*(38.9/42.5)</f>
        <v>31.902533633799749</v>
      </c>
      <c r="G94" s="1">
        <v>0.82343502503200972</v>
      </c>
      <c r="H94" s="1">
        <v>2.194154977262099</v>
      </c>
      <c r="I94" s="1">
        <v>26.082405248739747</v>
      </c>
      <c r="J94" s="1">
        <v>3.2604777670465955E-2</v>
      </c>
      <c r="K94" s="1">
        <v>4.3756162729900527</v>
      </c>
      <c r="L94" s="1">
        <v>2.5586594196345049</v>
      </c>
      <c r="M94" s="1">
        <v>0.10496853164220657</v>
      </c>
      <c r="N94" s="1">
        <v>1.3486929544403159</v>
      </c>
      <c r="O94" s="1">
        <v>0.10109333333333334</v>
      </c>
      <c r="P94" s="1">
        <v>8.1001707897312841E-2</v>
      </c>
      <c r="Q94" s="1">
        <v>1.3159920491379165</v>
      </c>
      <c r="R94" s="2">
        <f t="shared" si="7"/>
        <v>109.4017647512387</v>
      </c>
      <c r="S94" s="2">
        <f t="shared" si="6"/>
        <v>4.4892227585578315</v>
      </c>
      <c r="T94" s="2">
        <f t="shared" si="8"/>
        <v>4.1134142390503605</v>
      </c>
      <c r="U94" s="2">
        <f t="shared" si="9"/>
        <v>118.00440174884689</v>
      </c>
    </row>
    <row r="95" spans="1:21" x14ac:dyDescent="0.25">
      <c r="A95">
        <v>1676885</v>
      </c>
      <c r="B95">
        <v>1</v>
      </c>
      <c r="C95" s="1">
        <f>4.56840702357132*(10.3/7.3)</f>
        <v>6.445834567504737</v>
      </c>
      <c r="D95" s="1">
        <f>5.07347909533935*(10.3/7.3)</f>
        <v>7.1584705043829207</v>
      </c>
      <c r="E95" s="1">
        <f>18.1845135670985*(10.3/7.3)</f>
        <v>25.657601334399203</v>
      </c>
      <c r="F95" s="1">
        <f>29.1344092118903*(38.9/42.5)</f>
        <v>26.666553372765474</v>
      </c>
      <c r="G95" s="1">
        <v>0.69291072925359543</v>
      </c>
      <c r="H95" s="1">
        <v>2.5216658625698987</v>
      </c>
      <c r="I95" s="1">
        <v>21.752203334927128</v>
      </c>
      <c r="J95" s="1">
        <v>2.8183359355444412E-2</v>
      </c>
      <c r="K95" s="1">
        <v>3.7751626359657973</v>
      </c>
      <c r="L95" s="1">
        <v>2.2542135343555616</v>
      </c>
      <c r="M95" s="1">
        <v>9.4923319464589179E-2</v>
      </c>
      <c r="N95" s="1">
        <v>1.1946442194586331</v>
      </c>
      <c r="O95" s="1">
        <v>9.2319999999999999E-2</v>
      </c>
      <c r="P95" s="1">
        <v>7.5260025186892746E-2</v>
      </c>
      <c r="Q95" s="1">
        <v>1.107391576432688</v>
      </c>
      <c r="R95" s="2">
        <f t="shared" si="7"/>
        <v>92.002631282235654</v>
      </c>
      <c r="S95" s="2">
        <f t="shared" si="6"/>
        <v>3.8786060205081343</v>
      </c>
      <c r="T95" s="2">
        <f t="shared" si="8"/>
        <v>3.636101073278784</v>
      </c>
      <c r="U95" s="2">
        <f t="shared" si="9"/>
        <v>99.517338376022565</v>
      </c>
    </row>
    <row r="96" spans="1:21" x14ac:dyDescent="0.25">
      <c r="A96">
        <v>1725621</v>
      </c>
      <c r="B96">
        <v>1</v>
      </c>
      <c r="C96" s="1">
        <f>3.19947808372697*(10.3/7.3)</f>
        <v>4.5143320907380602</v>
      </c>
      <c r="D96" s="1">
        <f>4.86623436717924*(10.3/7.3)</f>
        <v>6.8660567098556458</v>
      </c>
      <c r="E96" s="1">
        <f>17.2457761333185*(10.3/7.3)</f>
        <v>24.333081393586419</v>
      </c>
      <c r="F96" s="1">
        <f>25.5433365118317*(38.9/42.5)</f>
        <v>23.379665654358941</v>
      </c>
      <c r="G96" s="1">
        <v>0.56726835329262293</v>
      </c>
      <c r="H96" s="1">
        <v>1.7893851138816905</v>
      </c>
      <c r="I96" s="1">
        <v>16.095014707347712</v>
      </c>
      <c r="J96" s="1">
        <v>1.8695555754304136E-2</v>
      </c>
      <c r="K96" s="1">
        <v>2.0246008172650214</v>
      </c>
      <c r="L96" s="1">
        <v>1.5897109103519504</v>
      </c>
      <c r="M96" s="1">
        <v>8.1660953206626377E-2</v>
      </c>
      <c r="N96" s="1">
        <v>0.87291845882343833</v>
      </c>
      <c r="O96" s="1">
        <v>8.1599999999999992E-2</v>
      </c>
      <c r="P96" s="1">
        <v>7.2314088438149293E-2</v>
      </c>
      <c r="Q96" s="1">
        <v>0.90659325868684126</v>
      </c>
      <c r="R96" s="2">
        <f t="shared" si="7"/>
        <v>78.45139728174793</v>
      </c>
      <c r="S96" s="2">
        <f t="shared" si="6"/>
        <v>2.1156104614574747</v>
      </c>
      <c r="T96" s="2">
        <f t="shared" si="8"/>
        <v>2.6258903223820149</v>
      </c>
      <c r="U96" s="2">
        <f t="shared" si="9"/>
        <v>83.192898065587428</v>
      </c>
    </row>
    <row r="97" spans="1:21" x14ac:dyDescent="0.25">
      <c r="A97">
        <v>1737849</v>
      </c>
      <c r="B97">
        <v>8</v>
      </c>
      <c r="C97" s="1">
        <f>5.44878127594503*(10.3/7.3)</f>
        <v>7.6880064578402454</v>
      </c>
      <c r="D97" s="1">
        <f>7.77978301550735*(10.3/7.3)</f>
        <v>10.97695411777064</v>
      </c>
      <c r="E97" s="1">
        <f>27.6464095032604*(10.3/7.3)</f>
        <v>39.007947655285207</v>
      </c>
      <c r="F97" s="1">
        <f>40.5539624610933*(38.9/42.5)</f>
        <v>37.118803287918311</v>
      </c>
      <c r="G97" s="1">
        <v>0.85181453693779718</v>
      </c>
      <c r="H97" s="1">
        <v>2.615048453457661</v>
      </c>
      <c r="I97" s="1">
        <v>26.210475760084954</v>
      </c>
      <c r="J97" s="1">
        <v>2.5089003015492918E-2</v>
      </c>
      <c r="K97" s="1">
        <v>2.6235358876124204</v>
      </c>
      <c r="L97" s="1">
        <v>2.1066969010493777</v>
      </c>
      <c r="M97" s="1">
        <v>0.10690162083106423</v>
      </c>
      <c r="N97" s="1">
        <v>1.1247765726095567</v>
      </c>
      <c r="O97" s="1">
        <v>0.10496</v>
      </c>
      <c r="P97" s="1">
        <v>8.6144102593969998E-2</v>
      </c>
      <c r="Q97" s="1">
        <v>1.3613474334622344</v>
      </c>
      <c r="R97" s="2">
        <f t="shared" si="7"/>
        <v>125.83039770275703</v>
      </c>
      <c r="S97" s="2">
        <f t="shared" si="6"/>
        <v>2.7347689932218837</v>
      </c>
      <c r="T97" s="2">
        <f t="shared" si="8"/>
        <v>3.4433350944899983</v>
      </c>
      <c r="U97" s="2">
        <f t="shared" si="9"/>
        <v>132.00850179046893</v>
      </c>
    </row>
    <row r="98" spans="1:21" x14ac:dyDescent="0.25">
      <c r="A98">
        <v>1750077</v>
      </c>
      <c r="B98">
        <v>11</v>
      </c>
      <c r="C98" s="1">
        <f>7.62786743304807*(10.3/7.3)</f>
        <v>10.762607474026733</v>
      </c>
      <c r="D98" s="1">
        <f>9.8727748633457*(10.3/7.3)</f>
        <v>13.930079601706954</v>
      </c>
      <c r="E98" s="1">
        <f>35.2163181703635*(10.3/7.3)</f>
        <v>49.688777692430733</v>
      </c>
      <c r="F98" s="1">
        <f>52.2329424007494*(38.9/42.5)</f>
        <v>47.808504926803586</v>
      </c>
      <c r="G98" s="1">
        <v>1.0812793994858818</v>
      </c>
      <c r="H98" s="1">
        <v>3.2789259962634016</v>
      </c>
      <c r="I98" s="1">
        <v>35.525075012045754</v>
      </c>
      <c r="J98" s="1">
        <v>3.1658928978402362E-2</v>
      </c>
      <c r="K98" s="1">
        <v>3.2583893991968966</v>
      </c>
      <c r="L98" s="1">
        <v>2.6615268800672087</v>
      </c>
      <c r="M98" s="1">
        <v>0.13199677052440562</v>
      </c>
      <c r="N98" s="1">
        <v>1.3776395213975876</v>
      </c>
      <c r="O98" s="1">
        <v>0.12436363636363637</v>
      </c>
      <c r="P98" s="1">
        <v>9.861536289454631E-2</v>
      </c>
      <c r="Q98" s="1">
        <v>1.7280720996349728</v>
      </c>
      <c r="R98" s="2">
        <f t="shared" si="7"/>
        <v>163.80332220239799</v>
      </c>
      <c r="S98" s="2">
        <f t="shared" si="6"/>
        <v>3.3886636910698451</v>
      </c>
      <c r="T98" s="2">
        <f t="shared" si="8"/>
        <v>4.2955268083528377</v>
      </c>
      <c r="U98" s="2">
        <f t="shared" si="9"/>
        <v>171.48751270182066</v>
      </c>
    </row>
    <row r="99" spans="1:21" x14ac:dyDescent="0.25">
      <c r="A99">
        <v>1750085</v>
      </c>
      <c r="B99">
        <v>26</v>
      </c>
      <c r="C99" s="1">
        <f>5.33983697760862*(10.3/7.3)</f>
        <v>7.5342905300505203</v>
      </c>
      <c r="D99" s="1">
        <f>9.47101317985089*(10.3/7.3)</f>
        <v>13.36321037704989</v>
      </c>
      <c r="E99" s="1">
        <f>33.4312370443902*(10.3/7.3)</f>
        <v>47.170101583180745</v>
      </c>
      <c r="F99" s="1">
        <f>47.267995222342*(38.9/42.5)</f>
        <v>43.264117979978934</v>
      </c>
      <c r="G99" s="1">
        <v>0.97560813853003436</v>
      </c>
      <c r="H99" s="1">
        <v>3.1177227542685437</v>
      </c>
      <c r="I99" s="1">
        <v>27.165079385803207</v>
      </c>
      <c r="J99" s="1">
        <v>2.5082556609784833E-2</v>
      </c>
      <c r="K99" s="1">
        <v>2.6238414934778596</v>
      </c>
      <c r="L99" s="1">
        <v>2.0855682071559558</v>
      </c>
      <c r="M99" s="1">
        <v>0.10500814404317788</v>
      </c>
      <c r="N99" s="1">
        <v>1.1325290003999198</v>
      </c>
      <c r="O99" s="1">
        <v>0.10325948717948717</v>
      </c>
      <c r="P99" s="1">
        <v>8.5212442154703361E-2</v>
      </c>
      <c r="Q99" s="1">
        <v>1.5591910889749427</v>
      </c>
      <c r="R99" s="2">
        <f t="shared" si="7"/>
        <v>144.14932183783682</v>
      </c>
      <c r="S99" s="2">
        <f t="shared" si="6"/>
        <v>2.7341364922423477</v>
      </c>
      <c r="T99" s="2">
        <f t="shared" si="8"/>
        <v>3.4263648387785408</v>
      </c>
      <c r="U99" s="2">
        <f t="shared" si="9"/>
        <v>150.30982316885772</v>
      </c>
    </row>
    <row r="100" spans="1:21" x14ac:dyDescent="0.25">
      <c r="A100">
        <v>1762289</v>
      </c>
      <c r="B100">
        <v>1</v>
      </c>
      <c r="C100" s="1">
        <f>3.00272193118606*(10.3/7.3)</f>
        <v>4.2367172453721196</v>
      </c>
      <c r="D100" s="1">
        <f>3.53673190299012*(10.3/7.3)</f>
        <v>4.990183369972355</v>
      </c>
      <c r="E100" s="1">
        <f>12.6344998410522*(10.3/7.3)</f>
        <v>17.826760049703775</v>
      </c>
      <c r="F100" s="1">
        <f>20.5127707866769*(38.9/42.5)</f>
        <v>18.775218437687762</v>
      </c>
      <c r="G100" s="1">
        <v>0.51726891076673642</v>
      </c>
      <c r="H100" s="1">
        <v>1.1525024076831387</v>
      </c>
      <c r="I100" s="1">
        <v>14.946527928322364</v>
      </c>
      <c r="J100" s="1">
        <v>1.8746474199390756E-2</v>
      </c>
      <c r="K100" s="1">
        <v>2.0653169151459432</v>
      </c>
      <c r="L100" s="1">
        <v>1.646526047595533</v>
      </c>
      <c r="M100" s="1">
        <v>8.7036209644880805E-2</v>
      </c>
      <c r="N100" s="1">
        <v>0.87829842957731241</v>
      </c>
      <c r="O100" s="1">
        <v>8.773333333333333E-2</v>
      </c>
      <c r="P100" s="1">
        <v>7.5710568666360376E-2</v>
      </c>
      <c r="Q100" s="1">
        <v>0.82668547382811841</v>
      </c>
      <c r="R100" s="2">
        <f t="shared" si="7"/>
        <v>63.271863823336375</v>
      </c>
      <c r="S100" s="2">
        <f t="shared" si="6"/>
        <v>2.1597739580116939</v>
      </c>
      <c r="T100" s="2">
        <f t="shared" si="8"/>
        <v>2.6995940201510598</v>
      </c>
      <c r="U100" s="2">
        <f t="shared" si="9"/>
        <v>68.131231801499126</v>
      </c>
    </row>
    <row r="101" spans="1:21" x14ac:dyDescent="0.25">
      <c r="A101">
        <v>1762305</v>
      </c>
      <c r="B101">
        <v>7</v>
      </c>
      <c r="C101" s="1">
        <f>6.6133509571515*(10.3/7.3)</f>
        <v>9.3311664189945898</v>
      </c>
      <c r="D101" s="1">
        <f>8.40494218094629*(10.3/7.3)</f>
        <v>11.859028008732444</v>
      </c>
      <c r="E101" s="1">
        <f>29.9955565206592*(10.3/7.3)</f>
        <v>42.322497556546558</v>
      </c>
      <c r="F101" s="1">
        <f>44.9424255514866*(38.9/42.5)</f>
        <v>41.135537740066525</v>
      </c>
      <c r="G101" s="1">
        <v>0.9503419485124136</v>
      </c>
      <c r="H101" s="1">
        <v>2.8851189681114771</v>
      </c>
      <c r="I101" s="1">
        <v>30.935371452985439</v>
      </c>
      <c r="J101" s="1">
        <v>2.9223550447928234E-2</v>
      </c>
      <c r="K101" s="1">
        <v>3.0733233753481199</v>
      </c>
      <c r="L101" s="1">
        <v>2.4927152745182255</v>
      </c>
      <c r="M101" s="1">
        <v>0.12410898067595141</v>
      </c>
      <c r="N101" s="1">
        <v>1.3062473180420089</v>
      </c>
      <c r="O101" s="1">
        <v>0.11874285714285714</v>
      </c>
      <c r="P101" s="1">
        <v>9.4926004716425982E-2</v>
      </c>
      <c r="Q101" s="1">
        <v>1.5188113332390187</v>
      </c>
      <c r="R101" s="2">
        <f t="shared" si="7"/>
        <v>140.93787342718849</v>
      </c>
      <c r="S101" s="2">
        <f t="shared" si="6"/>
        <v>3.1974729305124741</v>
      </c>
      <c r="T101" s="2">
        <f t="shared" si="8"/>
        <v>4.0418144303790431</v>
      </c>
      <c r="U101" s="2">
        <f t="shared" si="9"/>
        <v>148.17716078808002</v>
      </c>
    </row>
    <row r="102" spans="1:21" x14ac:dyDescent="0.25">
      <c r="A102">
        <v>1762313</v>
      </c>
      <c r="B102">
        <v>51</v>
      </c>
      <c r="C102" s="1">
        <f>4.81174769821695*(10.3/7.3)</f>
        <v>6.7891782591280325</v>
      </c>
      <c r="D102" s="1">
        <f>6.59017695625269*(10.3/7.3)</f>
        <v>9.298468856082561</v>
      </c>
      <c r="E102" s="1">
        <f>23.4468888045778*(10.3/7.3)</f>
        <v>33.082596532486427</v>
      </c>
      <c r="F102" s="1">
        <f>34.9747670889284*(38.9/42.5)</f>
        <v>32.012198582572069</v>
      </c>
      <c r="G102" s="1">
        <v>0.75693214789809815</v>
      </c>
      <c r="H102" s="1">
        <v>1.653822941103307</v>
      </c>
      <c r="I102" s="1">
        <v>23.195540675569291</v>
      </c>
      <c r="J102" s="1">
        <v>2.3369236692695999E-2</v>
      </c>
      <c r="K102" s="1">
        <v>2.5129229726255673</v>
      </c>
      <c r="L102" s="1">
        <v>1.9597396325550698</v>
      </c>
      <c r="M102" s="1">
        <v>9.9947159895698828E-2</v>
      </c>
      <c r="N102" s="1">
        <v>1.0730591577129285</v>
      </c>
      <c r="O102" s="1">
        <v>9.8844444444444429E-2</v>
      </c>
      <c r="P102" s="1">
        <v>8.2460178887682187E-2</v>
      </c>
      <c r="Q102" s="1">
        <v>1.2097089121659121</v>
      </c>
      <c r="R102" s="2">
        <f t="shared" si="7"/>
        <v>107.99844690700569</v>
      </c>
      <c r="S102" s="2">
        <f t="shared" si="6"/>
        <v>2.6187523882059454</v>
      </c>
      <c r="T102" s="2">
        <f t="shared" si="8"/>
        <v>3.2315903946081415</v>
      </c>
      <c r="U102" s="2">
        <f t="shared" si="9"/>
        <v>113.84878968981978</v>
      </c>
    </row>
    <row r="103" spans="1:21" x14ac:dyDescent="0.25">
      <c r="A103">
        <v>1774525</v>
      </c>
      <c r="B103">
        <v>20</v>
      </c>
      <c r="C103" s="1">
        <f>3.13762336613668*(10.3/7.3)</f>
        <v>4.4270576261928563</v>
      </c>
      <c r="D103" s="1">
        <f>3.72372684736972*(10.3/7.3)</f>
        <v>5.2540255517682368</v>
      </c>
      <c r="E103" s="1">
        <f>13.3002918738872*(10.3/7.3)</f>
        <v>18.766165246717541</v>
      </c>
      <c r="F103" s="1">
        <f>21.4649467145155*(38.9/42.5)</f>
        <v>19.646739463403609</v>
      </c>
      <c r="G103" s="1">
        <v>0.5354393090323134</v>
      </c>
      <c r="H103" s="1">
        <v>3.3434326623822073</v>
      </c>
      <c r="I103" s="1">
        <v>15.564800823934704</v>
      </c>
      <c r="J103" s="1">
        <v>1.8690888230171197E-2</v>
      </c>
      <c r="K103" s="1">
        <v>2.0928979363960769</v>
      </c>
      <c r="L103" s="1">
        <v>1.624155368107522</v>
      </c>
      <c r="M103" s="1">
        <v>8.6212096625260512E-2</v>
      </c>
      <c r="N103" s="1">
        <v>0.87411556456437844</v>
      </c>
      <c r="O103" s="1">
        <v>8.6717333333333341E-2</v>
      </c>
      <c r="P103" s="1">
        <v>7.4346778151983733E-2</v>
      </c>
      <c r="Q103" s="1">
        <v>0.85572492311100379</v>
      </c>
      <c r="R103" s="2">
        <f t="shared" si="7"/>
        <v>68.393385606542452</v>
      </c>
      <c r="S103" s="2">
        <f t="shared" si="6"/>
        <v>2.1859356027782315</v>
      </c>
      <c r="T103" s="2">
        <f t="shared" si="8"/>
        <v>2.6712003626304943</v>
      </c>
      <c r="U103" s="2">
        <f t="shared" si="9"/>
        <v>73.250521571951182</v>
      </c>
    </row>
    <row r="104" spans="1:21" x14ac:dyDescent="0.25">
      <c r="A104">
        <v>1774533</v>
      </c>
      <c r="B104">
        <v>15</v>
      </c>
      <c r="C104" s="1">
        <f>3.91011032535347*(10.3/7.3)</f>
        <v>5.517004979608326</v>
      </c>
      <c r="D104" s="1">
        <f>4.77203468631982*(10.3/7.3)</f>
        <v>6.733144831382754</v>
      </c>
      <c r="E104" s="1">
        <f>17.0416417384983*(10.3/7.3)</f>
        <v>24.045056151579729</v>
      </c>
      <c r="F104" s="1">
        <f>26.5362234025107*(38.9/42.5)</f>
        <v>24.288449184886236</v>
      </c>
      <c r="G104" s="1">
        <v>0.61288300922789885</v>
      </c>
      <c r="H104" s="1">
        <v>4.2145780264409227</v>
      </c>
      <c r="I104" s="1">
        <v>18.825862430524012</v>
      </c>
      <c r="J104" s="1">
        <v>2.1023660215764614E-2</v>
      </c>
      <c r="K104" s="1">
        <v>2.4002977684602249</v>
      </c>
      <c r="L104" s="1">
        <v>1.866642594167421</v>
      </c>
      <c r="M104" s="1">
        <v>9.327418105344791E-2</v>
      </c>
      <c r="N104" s="1">
        <v>1.1594727699381413</v>
      </c>
      <c r="O104" s="1">
        <v>9.2913777777777762E-2</v>
      </c>
      <c r="P104" s="1">
        <v>7.9135948341531745E-2</v>
      </c>
      <c r="Q104" s="1">
        <v>0.97949339374321864</v>
      </c>
      <c r="R104" s="2">
        <f t="shared" si="7"/>
        <v>85.216472007393079</v>
      </c>
      <c r="S104" s="2">
        <f t="shared" si="6"/>
        <v>2.5004573770175216</v>
      </c>
      <c r="T104" s="2">
        <f t="shared" si="8"/>
        <v>3.2123033229367879</v>
      </c>
      <c r="U104" s="2">
        <f t="shared" si="9"/>
        <v>90.929232707347396</v>
      </c>
    </row>
    <row r="105" spans="1:21" x14ac:dyDescent="0.25">
      <c r="A105">
        <v>1774541</v>
      </c>
      <c r="B105">
        <v>21</v>
      </c>
      <c r="C105" s="1">
        <f>8.40300880887314*(10.3/7.3)</f>
        <v>11.856300100190866</v>
      </c>
      <c r="D105" s="1">
        <f>10.8429509994673*(10.3/7.3)</f>
        <v>15.298958259522308</v>
      </c>
      <c r="E105" s="1">
        <f>38.6843924312423*(10.3/7.3)</f>
        <v>54.582087950930891</v>
      </c>
      <c r="F105" s="1">
        <f>57.2622624503752*(38.9/42.5)</f>
        <v>52.411811983990503</v>
      </c>
      <c r="G105" s="1">
        <v>1.1762795479337533</v>
      </c>
      <c r="H105" s="1">
        <v>2.2404943684580303</v>
      </c>
      <c r="I105" s="1">
        <v>38.978890798965999</v>
      </c>
      <c r="J105" s="1">
        <v>3.319438093539754E-2</v>
      </c>
      <c r="K105" s="1">
        <v>3.4453095309243311</v>
      </c>
      <c r="L105" s="1">
        <v>2.7805642872584979</v>
      </c>
      <c r="M105" s="1">
        <v>0.13864088714249181</v>
      </c>
      <c r="N105" s="1">
        <v>1.4486575354074684</v>
      </c>
      <c r="O105" s="1">
        <v>0.12837079365079365</v>
      </c>
      <c r="P105" s="1">
        <v>0.10113915090812751</v>
      </c>
      <c r="Q105" s="1">
        <v>1.8798988208986949</v>
      </c>
      <c r="R105" s="2">
        <f t="shared" si="7"/>
        <v>178.42472183089103</v>
      </c>
      <c r="S105" s="2">
        <f t="shared" si="6"/>
        <v>3.5796430627678562</v>
      </c>
      <c r="T105" s="2">
        <f t="shared" si="8"/>
        <v>4.4962335034592513</v>
      </c>
      <c r="U105" s="2">
        <f t="shared" si="9"/>
        <v>186.50059839711813</v>
      </c>
    </row>
    <row r="106" spans="1:21" x14ac:dyDescent="0.25">
      <c r="A106">
        <v>1774549</v>
      </c>
      <c r="B106">
        <v>13</v>
      </c>
      <c r="C106" s="1">
        <f>8.10462551100074*(10.3/7.3)</f>
        <v>11.435293529220226</v>
      </c>
      <c r="D106" s="1">
        <f>11.4991287200097*(10.3/7.3)</f>
        <v>16.224798057000033</v>
      </c>
      <c r="E106" s="1">
        <f>40.8848883970032*(10.3/7.3)</f>
        <v>57.686897327278494</v>
      </c>
      <c r="F106" s="1">
        <f>59.420261911585*(38.9/42.5)</f>
        <v>54.387016196721291</v>
      </c>
      <c r="G106" s="1">
        <v>1.2095111100030658</v>
      </c>
      <c r="H106" s="1">
        <v>2.50435365009209</v>
      </c>
      <c r="I106" s="1">
        <v>38.382287408093767</v>
      </c>
      <c r="J106" s="1">
        <v>3.217197088722968E-2</v>
      </c>
      <c r="K106" s="1">
        <v>3.2755276216947831</v>
      </c>
      <c r="L106" s="1">
        <v>2.6323853330606992</v>
      </c>
      <c r="M106" s="1">
        <v>0.13201156911450992</v>
      </c>
      <c r="N106" s="1">
        <v>1.4190351939846768</v>
      </c>
      <c r="O106" s="1">
        <v>0.12261743589743587</v>
      </c>
      <c r="P106" s="1">
        <v>9.7550051696334891E-2</v>
      </c>
      <c r="Q106" s="1">
        <v>1.9330086232925734</v>
      </c>
      <c r="R106" s="2">
        <f t="shared" si="7"/>
        <v>183.76316590170154</v>
      </c>
      <c r="S106" s="2">
        <f t="shared" si="6"/>
        <v>3.4052496442783475</v>
      </c>
      <c r="T106" s="2">
        <f t="shared" si="8"/>
        <v>4.3060495320573215</v>
      </c>
      <c r="U106" s="2">
        <f t="shared" si="9"/>
        <v>191.47446507803721</v>
      </c>
    </row>
    <row r="107" spans="1:21" x14ac:dyDescent="0.25">
      <c r="A107">
        <v>1786097</v>
      </c>
      <c r="B107">
        <v>8</v>
      </c>
      <c r="C107" s="1">
        <f>0.346085708191518*(10.3/7.3)</f>
        <v>0.48831271155789474</v>
      </c>
      <c r="D107" s="1">
        <f>0.46515122446098*(10.3/7.3)</f>
        <v>0.65630926191069794</v>
      </c>
      <c r="E107" s="1">
        <f>1.63620253833165*(10.3/7.3)</f>
        <v>2.3086145403857468</v>
      </c>
      <c r="F107" s="1">
        <f>3.44187801417949*(38.9/42.5)</f>
        <v>3.1503307000372311</v>
      </c>
      <c r="G107" s="1">
        <v>0.136492576873913</v>
      </c>
      <c r="H107" s="1">
        <v>2.0046605381090092</v>
      </c>
      <c r="I107" s="1">
        <v>2.5298690930022771</v>
      </c>
      <c r="J107" s="1">
        <v>9.4024091255262548E-3</v>
      </c>
      <c r="K107" s="1">
        <v>2.4254326334003031</v>
      </c>
      <c r="L107" s="1">
        <v>2.6360505911801244</v>
      </c>
      <c r="M107" s="1">
        <v>4.3314038742557598E-2</v>
      </c>
      <c r="N107" s="1">
        <v>0.37136501215970719</v>
      </c>
      <c r="O107" s="1">
        <v>8.7620000000000003E-2</v>
      </c>
      <c r="P107" s="1">
        <v>6.9435296663934234E-2</v>
      </c>
      <c r="Q107" s="1">
        <v>0.21813882148798905</v>
      </c>
      <c r="R107" s="2">
        <f t="shared" si="7"/>
        <v>11.492728243364759</v>
      </c>
      <c r="S107" s="2">
        <f t="shared" si="6"/>
        <v>2.5042703391897634</v>
      </c>
      <c r="T107" s="2">
        <f t="shared" si="8"/>
        <v>3.1383496420823893</v>
      </c>
      <c r="U107" s="2">
        <f t="shared" si="9"/>
        <v>17.13534822463691</v>
      </c>
    </row>
    <row r="108" spans="1:21" x14ac:dyDescent="0.25">
      <c r="A108">
        <v>1786753</v>
      </c>
      <c r="B108">
        <v>10</v>
      </c>
      <c r="C108" s="1">
        <f>3.63807702133436*(10.3/7.3)</f>
        <v>5.1331771670882098</v>
      </c>
      <c r="D108" s="1">
        <f>4.30451759212864*(10.3/7.3)</f>
        <v>6.0734974245102711</v>
      </c>
      <c r="E108" s="1">
        <f>15.376827605802*(10.3/7.3)</f>
        <v>21.696071827364456</v>
      </c>
      <c r="F108" s="1">
        <f>24.8232335086815*(38.9/42.5)</f>
        <v>22.720559611475579</v>
      </c>
      <c r="G108" s="1">
        <v>0.61882357246362829</v>
      </c>
      <c r="H108" s="1">
        <v>2.3417532162408143</v>
      </c>
      <c r="I108" s="1">
        <v>18.026202984175455</v>
      </c>
      <c r="J108" s="1">
        <v>2.0699196568462648E-2</v>
      </c>
      <c r="K108" s="1">
        <v>2.2788465601329295</v>
      </c>
      <c r="L108" s="1">
        <v>1.8055875699203376</v>
      </c>
      <c r="M108" s="1">
        <v>9.5161013648081105E-2</v>
      </c>
      <c r="N108" s="1">
        <v>0.9603991077552857</v>
      </c>
      <c r="O108" s="1">
        <v>9.6197333333333329E-2</v>
      </c>
      <c r="P108" s="1">
        <v>8.0433893607493617E-2</v>
      </c>
      <c r="Q108" s="1">
        <v>0.98898744457657606</v>
      </c>
      <c r="R108" s="2">
        <f t="shared" si="7"/>
        <v>77.599073247894992</v>
      </c>
      <c r="S108" s="2">
        <f t="shared" si="6"/>
        <v>2.3799796503088859</v>
      </c>
      <c r="T108" s="2">
        <f t="shared" si="8"/>
        <v>2.9573450246570379</v>
      </c>
      <c r="U108" s="2">
        <f t="shared" si="9"/>
        <v>82.93639792286092</v>
      </c>
    </row>
    <row r="109" spans="1:21" x14ac:dyDescent="0.25">
      <c r="A109">
        <v>1786761</v>
      </c>
      <c r="B109">
        <v>25</v>
      </c>
      <c r="C109" s="1">
        <f>3.04157927985386*(10.3/7.3)</f>
        <v>4.291543367465037</v>
      </c>
      <c r="D109" s="1">
        <f>3.62721458596991*(10.3/7.3)</f>
        <v>5.1178507171904153</v>
      </c>
      <c r="E109" s="1">
        <f>12.9548608579117*(10.3/7.3)</f>
        <v>18.278776278971314</v>
      </c>
      <c r="F109" s="1">
        <f>20.7949469025419*(38.9/42.5)</f>
        <v>19.033492576679521</v>
      </c>
      <c r="G109" s="1">
        <v>0.51314878503069783</v>
      </c>
      <c r="H109" s="1">
        <v>2.6667246325302267</v>
      </c>
      <c r="I109" s="1">
        <v>15.026400092359228</v>
      </c>
      <c r="J109" s="1">
        <v>1.8024111191761904E-2</v>
      </c>
      <c r="K109" s="1">
        <v>2.0958504090251062</v>
      </c>
      <c r="L109" s="1">
        <v>1.5483313055658983</v>
      </c>
      <c r="M109" s="1">
        <v>8.2703429438268472E-2</v>
      </c>
      <c r="N109" s="1">
        <v>0.84801381483045324</v>
      </c>
      <c r="O109" s="1">
        <v>8.2301866666666654E-2</v>
      </c>
      <c r="P109" s="1">
        <v>7.1437233715166804E-2</v>
      </c>
      <c r="Q109" s="1">
        <v>0.82010079799426649</v>
      </c>
      <c r="R109" s="2">
        <f t="shared" si="7"/>
        <v>65.748037248220712</v>
      </c>
      <c r="S109" s="2">
        <f t="shared" si="6"/>
        <v>2.185311753932035</v>
      </c>
      <c r="T109" s="2">
        <f t="shared" si="8"/>
        <v>2.5613504165012868</v>
      </c>
      <c r="U109" s="2">
        <f t="shared" si="9"/>
        <v>70.494699418654037</v>
      </c>
    </row>
    <row r="110" spans="1:21" x14ac:dyDescent="0.25">
      <c r="A110">
        <v>1786769</v>
      </c>
      <c r="B110">
        <v>25</v>
      </c>
      <c r="C110" s="1">
        <f>4.12808746535871*(10.3/7.3)</f>
        <v>5.8245617661910636</v>
      </c>
      <c r="D110" s="1">
        <f>5.07419372574324*(10.3/7.3)</f>
        <v>7.1594788185144287</v>
      </c>
      <c r="E110" s="1">
        <f>18.1181042772923*(10.3/7.3)</f>
        <v>25.563900555631538</v>
      </c>
      <c r="F110" s="1">
        <f>28.0441759820816*(38.9/42.5)</f>
        <v>25.668669310658249</v>
      </c>
      <c r="G110" s="1">
        <v>0.63961089434123641</v>
      </c>
      <c r="H110" s="1">
        <v>1.828914837966841</v>
      </c>
      <c r="I110" s="1">
        <v>19.797244187607852</v>
      </c>
      <c r="J110" s="1">
        <v>2.0493995234763571E-2</v>
      </c>
      <c r="K110" s="1">
        <v>2.3619437511690187</v>
      </c>
      <c r="L110" s="1">
        <v>1.8158490670793181</v>
      </c>
      <c r="M110" s="1">
        <v>9.0966829834302432E-2</v>
      </c>
      <c r="N110" s="1">
        <v>1.1467277520434187</v>
      </c>
      <c r="O110" s="1">
        <v>9.0517333333333325E-2</v>
      </c>
      <c r="P110" s="1">
        <v>7.6899115743214647E-2</v>
      </c>
      <c r="Q110" s="1">
        <v>1.0222091918695566</v>
      </c>
      <c r="R110" s="2">
        <f t="shared" si="7"/>
        <v>87.504589562780737</v>
      </c>
      <c r="S110" s="2">
        <f t="shared" si="6"/>
        <v>2.4593368621469969</v>
      </c>
      <c r="T110" s="2">
        <f t="shared" si="8"/>
        <v>3.1440609822903727</v>
      </c>
      <c r="U110" s="2">
        <f t="shared" si="9"/>
        <v>93.107987407218104</v>
      </c>
    </row>
    <row r="111" spans="1:21" x14ac:dyDescent="0.25">
      <c r="A111">
        <v>1786777</v>
      </c>
      <c r="B111">
        <v>37</v>
      </c>
      <c r="C111" s="1">
        <f>5.88331898270386*(10.3/7.3)</f>
        <v>8.3011213043629848</v>
      </c>
      <c r="D111" s="1">
        <f>7.62008111727431*(10.3/7.3)</f>
        <v>10.751621302455527</v>
      </c>
      <c r="E111" s="1">
        <f>27.1713185250788*(10.3/7.3)</f>
        <v>38.337613809357784</v>
      </c>
      <c r="F111" s="1">
        <f>40.739652857664*(38.9/42.5)</f>
        <v>37.288764615603021</v>
      </c>
      <c r="G111" s="1">
        <v>0.8714553108751496</v>
      </c>
      <c r="H111" s="1">
        <v>3.2808465351158205</v>
      </c>
      <c r="I111" s="1">
        <v>27.793692891397576</v>
      </c>
      <c r="J111" s="1">
        <v>2.5714961580569594E-2</v>
      </c>
      <c r="K111" s="1">
        <v>2.8306394084183584</v>
      </c>
      <c r="L111" s="1">
        <v>2.1519607819427691</v>
      </c>
      <c r="M111" s="1">
        <v>0.10840989551499521</v>
      </c>
      <c r="N111" s="1">
        <v>1.1908864117454803</v>
      </c>
      <c r="O111" s="1">
        <v>0.10603099099099099</v>
      </c>
      <c r="P111" s="1">
        <v>8.7291993658742725E-2</v>
      </c>
      <c r="Q111" s="1">
        <v>1.3927367982022949</v>
      </c>
      <c r="R111" s="2">
        <f t="shared" si="7"/>
        <v>128.01785256737014</v>
      </c>
      <c r="S111" s="2">
        <f t="shared" si="6"/>
        <v>2.9436463636576709</v>
      </c>
      <c r="T111" s="2">
        <f t="shared" si="8"/>
        <v>3.5572880801942355</v>
      </c>
      <c r="U111" s="2">
        <f t="shared" si="9"/>
        <v>134.51878701122206</v>
      </c>
    </row>
    <row r="112" spans="1:21" x14ac:dyDescent="0.25">
      <c r="A112">
        <v>1798989</v>
      </c>
      <c r="B112">
        <v>12</v>
      </c>
      <c r="C112" s="1">
        <f>3.70331721928214*(10.3/7.3)</f>
        <v>5.2252284052884947</v>
      </c>
      <c r="D112" s="1">
        <f>4.40019579022972*(10.3/7.3)</f>
        <v>6.2084954300501547</v>
      </c>
      <c r="E112" s="1">
        <f>15.7154081842354*(10.3/7.3)</f>
        <v>22.1737951092637</v>
      </c>
      <c r="F112" s="1">
        <f>25.3731652587473*(38.9/42.5)</f>
        <v>23.223908907418107</v>
      </c>
      <c r="G112" s="1">
        <v>0.6338627466997766</v>
      </c>
      <c r="H112" s="1">
        <v>2.3418987766342845</v>
      </c>
      <c r="I112" s="1">
        <v>18.390851344432502</v>
      </c>
      <c r="J112" s="1">
        <v>1.9498228465044613E-2</v>
      </c>
      <c r="K112" s="1">
        <v>2.1798314813180353</v>
      </c>
      <c r="L112" s="1">
        <v>1.6739125596626214</v>
      </c>
      <c r="M112" s="1">
        <v>8.9507673143410849E-2</v>
      </c>
      <c r="N112" s="1">
        <v>0.89586778363338426</v>
      </c>
      <c r="O112" s="1">
        <v>8.9582222222222216E-2</v>
      </c>
      <c r="P112" s="1">
        <v>7.5741862986606998E-2</v>
      </c>
      <c r="Q112" s="1">
        <v>1.013022654543023</v>
      </c>
      <c r="R112" s="2">
        <f t="shared" si="7"/>
        <v>79.211063374330038</v>
      </c>
      <c r="S112" s="2">
        <f t="shared" si="6"/>
        <v>2.2750715727696869</v>
      </c>
      <c r="T112" s="2">
        <f t="shared" si="8"/>
        <v>2.7488702386616386</v>
      </c>
      <c r="U112" s="2">
        <f t="shared" si="9"/>
        <v>84.235005185761366</v>
      </c>
    </row>
    <row r="113" spans="1:21" x14ac:dyDescent="0.25">
      <c r="A113">
        <v>1798997</v>
      </c>
      <c r="B113">
        <v>40</v>
      </c>
      <c r="C113" s="1">
        <f>2.80406393526786*(10.3/7.3)</f>
        <v>3.9564189771587652</v>
      </c>
      <c r="D113" s="1">
        <f>3.35775764155368*(10.3/7.3)</f>
        <v>4.7376580421921739</v>
      </c>
      <c r="E113" s="1">
        <f>11.9913439783919*(10.3/7.3)</f>
        <v>16.919293558553019</v>
      </c>
      <c r="F113" s="1">
        <f>19.1886323809256*(38.9/42.5)</f>
        <v>17.563242343953039</v>
      </c>
      <c r="G113" s="1">
        <v>0.47080751892173217</v>
      </c>
      <c r="H113" s="1">
        <v>1.5995211752682534</v>
      </c>
      <c r="I113" s="1">
        <v>13.829164006709018</v>
      </c>
      <c r="J113" s="1">
        <v>1.7089503132196975E-2</v>
      </c>
      <c r="K113" s="1">
        <v>2.0786600507691015</v>
      </c>
      <c r="L113" s="1">
        <v>1.4595012259128828</v>
      </c>
      <c r="M113" s="1">
        <v>7.7833851452960762E-2</v>
      </c>
      <c r="N113" s="1">
        <v>0.82543981173049963</v>
      </c>
      <c r="O113" s="1">
        <v>7.7430666666666662E-2</v>
      </c>
      <c r="P113" s="1">
        <v>6.8064569334966268E-2</v>
      </c>
      <c r="Q113" s="1">
        <v>0.75243210786578274</v>
      </c>
      <c r="R113" s="2">
        <f t="shared" si="7"/>
        <v>59.82853773062179</v>
      </c>
      <c r="S113" s="2">
        <f t="shared" si="6"/>
        <v>2.1638141232362651</v>
      </c>
      <c r="T113" s="2">
        <f t="shared" si="8"/>
        <v>2.44020555576301</v>
      </c>
      <c r="U113" s="2">
        <f t="shared" si="9"/>
        <v>64.432557409621069</v>
      </c>
    </row>
    <row r="114" spans="1:21" x14ac:dyDescent="0.25">
      <c r="A114">
        <v>1799005</v>
      </c>
      <c r="B114">
        <v>24</v>
      </c>
      <c r="C114" s="1">
        <f>5.89098475440362*(10.3/7.3)</f>
        <v>8.3119373931996279</v>
      </c>
      <c r="D114" s="1">
        <f>7.38106535994182*(10.3/7.3)</f>
        <v>10.414379891424757</v>
      </c>
      <c r="E114" s="1">
        <f>26.3510182054917*(10.3/7.3)</f>
        <v>37.180203769392335</v>
      </c>
      <c r="F114" s="1">
        <f>39.846305790119*(38.9/42.5)</f>
        <v>36.471089299661884</v>
      </c>
      <c r="G114" s="1">
        <v>0.85944588961945756</v>
      </c>
      <c r="H114" s="1">
        <v>1.9609364353012495</v>
      </c>
      <c r="I114" s="1">
        <v>27.691885722831561</v>
      </c>
      <c r="J114" s="1">
        <v>2.5446139331725459E-2</v>
      </c>
      <c r="K114" s="1">
        <v>2.9026624904185812</v>
      </c>
      <c r="L114" s="1">
        <v>2.2418587653074771</v>
      </c>
      <c r="M114" s="1">
        <v>0.10913552890368251</v>
      </c>
      <c r="N114" s="1">
        <v>1.3177232703104005</v>
      </c>
      <c r="O114" s="1">
        <v>0.1050977777777778</v>
      </c>
      <c r="P114" s="1">
        <v>8.667287681975093E-2</v>
      </c>
      <c r="Q114" s="1">
        <v>1.3735436592091801</v>
      </c>
      <c r="R114" s="2">
        <f t="shared" si="7"/>
        <v>124.26342206064004</v>
      </c>
      <c r="S114" s="2">
        <f t="shared" si="6"/>
        <v>3.0147815065700576</v>
      </c>
      <c r="T114" s="2">
        <f t="shared" si="8"/>
        <v>3.7738153422993381</v>
      </c>
      <c r="U114" s="2">
        <f t="shared" si="9"/>
        <v>131.05201890950943</v>
      </c>
    </row>
    <row r="115" spans="1:21" x14ac:dyDescent="0.25">
      <c r="A115">
        <v>1799013</v>
      </c>
      <c r="B115">
        <v>17</v>
      </c>
      <c r="C115" s="1">
        <f>7.018838792356*(10.3/7.3)</f>
        <v>9.9032930905844871</v>
      </c>
      <c r="D115" s="1">
        <f>9.29103886855473*(10.3/7.3)</f>
        <v>13.109274020015585</v>
      </c>
      <c r="E115" s="1">
        <f>33.1032664143349*(10.3/7.3)</f>
        <v>46.707348502417702</v>
      </c>
      <c r="F115" s="1">
        <f>49.390970230243*(38.9/42.5)</f>
        <v>45.207264516622409</v>
      </c>
      <c r="G115" s="1">
        <v>1.0525507486944021</v>
      </c>
      <c r="H115" s="1">
        <v>3.0055718403187988</v>
      </c>
      <c r="I115" s="1">
        <v>33.293497894085988</v>
      </c>
      <c r="J115" s="1">
        <v>2.6623857174556155E-2</v>
      </c>
      <c r="K115" s="1">
        <v>2.9607605426329844</v>
      </c>
      <c r="L115" s="1">
        <v>2.2091312352709682</v>
      </c>
      <c r="M115" s="1">
        <v>0.1113078637922343</v>
      </c>
      <c r="N115" s="1">
        <v>1.2036975719394254</v>
      </c>
      <c r="O115" s="1">
        <v>0.10719058823529411</v>
      </c>
      <c r="P115" s="1">
        <v>8.7584703592616442E-2</v>
      </c>
      <c r="Q115" s="1">
        <v>1.6821587307901418</v>
      </c>
      <c r="R115" s="2">
        <f t="shared" si="7"/>
        <v>153.96095934352951</v>
      </c>
      <c r="S115" s="2">
        <f t="shared" si="6"/>
        <v>3.0749691034001567</v>
      </c>
      <c r="T115" s="2">
        <f t="shared" si="8"/>
        <v>3.631327259237922</v>
      </c>
      <c r="U115" s="2">
        <f t="shared" si="9"/>
        <v>160.66725570616759</v>
      </c>
    </row>
    <row r="116" spans="1:21" x14ac:dyDescent="0.25">
      <c r="A116">
        <v>1799157</v>
      </c>
      <c r="B116">
        <v>5</v>
      </c>
      <c r="C116" s="1">
        <f>5.14433697615058*(10.3/7.3)</f>
        <v>7.2584480622398582</v>
      </c>
      <c r="D116" s="1">
        <f>6.5423562708176*(10.3/7.3)</f>
        <v>9.2309958341673006</v>
      </c>
      <c r="E116" s="1">
        <f>23.2939943271032*(10.3/7.3)</f>
        <v>32.866868708104541</v>
      </c>
      <c r="F116" s="1">
        <f>37.5833729680525*(38.9/42.5)</f>
        <v>34.399840198993914</v>
      </c>
      <c r="G116" s="1">
        <v>0.96359440651605621</v>
      </c>
      <c r="H116" s="1">
        <v>4.2337919983789805</v>
      </c>
      <c r="I116" s="1">
        <v>26.419423133632598</v>
      </c>
      <c r="J116" s="1">
        <v>3.3285387553123783E-2</v>
      </c>
      <c r="K116" s="1">
        <v>3.644871327174692</v>
      </c>
      <c r="L116" s="1">
        <v>2.2931925718927983</v>
      </c>
      <c r="M116" s="1">
        <v>8.2256342720312653E-2</v>
      </c>
      <c r="N116" s="1">
        <v>2.2852052014766562</v>
      </c>
      <c r="O116" s="1">
        <v>8.0469333333333337E-2</v>
      </c>
      <c r="P116" s="1">
        <v>6.7578633746861766E-2</v>
      </c>
      <c r="Q116" s="1">
        <v>1.5399910606421003</v>
      </c>
      <c r="R116" s="2">
        <f t="shared" si="7"/>
        <v>116.91295340267534</v>
      </c>
      <c r="S116" s="2">
        <f t="shared" si="6"/>
        <v>3.7457353484746774</v>
      </c>
      <c r="T116" s="2">
        <f t="shared" si="8"/>
        <v>4.7411234494231005</v>
      </c>
      <c r="U116" s="2">
        <f t="shared" si="9"/>
        <v>125.39981220057312</v>
      </c>
    </row>
    <row r="117" spans="1:21" x14ac:dyDescent="0.25">
      <c r="A117">
        <v>1799173</v>
      </c>
      <c r="B117">
        <v>5</v>
      </c>
      <c r="C117" s="1">
        <f>6.93266718851634*(10.3/7.3)</f>
        <v>9.7817084988655143</v>
      </c>
      <c r="D117" s="1">
        <f>8.19387755283811*(10.3/7.3)</f>
        <v>11.561224492360626</v>
      </c>
      <c r="E117" s="1">
        <f>29.3068229146534*(10.3/7.3)</f>
        <v>41.35072274259322</v>
      </c>
      <c r="F117" s="1">
        <f>45.5712868509189*(38.9/42.5)</f>
        <v>41.711130788252866</v>
      </c>
      <c r="G117" s="1">
        <v>1.0327781845003732</v>
      </c>
      <c r="H117" s="1">
        <v>4.4306344381639757</v>
      </c>
      <c r="I117" s="1">
        <v>32.812820251740995</v>
      </c>
      <c r="J117" s="1">
        <v>3.7842588388376307E-2</v>
      </c>
      <c r="K117" s="1">
        <v>4.4000724664526034</v>
      </c>
      <c r="L117" s="1">
        <v>2.7629900796097999</v>
      </c>
      <c r="M117" s="1">
        <v>0.10219597349963083</v>
      </c>
      <c r="N117" s="1">
        <v>1.6053116975829429</v>
      </c>
      <c r="O117" s="1">
        <v>9.961600000000001E-2</v>
      </c>
      <c r="P117" s="1">
        <v>8.0337428042204034E-2</v>
      </c>
      <c r="Q117" s="1">
        <v>1.6505587423521959</v>
      </c>
      <c r="R117" s="2">
        <f t="shared" si="7"/>
        <v>144.33157813882977</v>
      </c>
      <c r="S117" s="2">
        <f t="shared" si="6"/>
        <v>4.5182524828831845</v>
      </c>
      <c r="T117" s="2">
        <f t="shared" si="8"/>
        <v>4.5701137506923741</v>
      </c>
      <c r="U117" s="2">
        <f t="shared" si="9"/>
        <v>153.41994437240533</v>
      </c>
    </row>
    <row r="118" spans="1:21" x14ac:dyDescent="0.25">
      <c r="A118">
        <v>1799181</v>
      </c>
      <c r="B118">
        <v>2</v>
      </c>
      <c r="C118" s="1">
        <f>4.0468439026152*(10.3/7.3)</f>
        <v>5.7099304379365199</v>
      </c>
      <c r="D118" s="1">
        <f>4.78420581715932*(10.3/7.3)</f>
        <v>6.7503177968138353</v>
      </c>
      <c r="E118" s="1">
        <f>17.0789317113282*(10.3/7.3)</f>
        <v>24.097670770778119</v>
      </c>
      <c r="F118" s="1">
        <f>28.178836508068*(38.9/42.5)</f>
        <v>25.791923297972797</v>
      </c>
      <c r="G118" s="1">
        <v>0.73813554690308303</v>
      </c>
      <c r="H118" s="1">
        <v>3.1310040635425636</v>
      </c>
      <c r="I118" s="1">
        <v>20.574303591778353</v>
      </c>
      <c r="J118" s="1">
        <v>2.5645923508627828E-2</v>
      </c>
      <c r="K118" s="1">
        <v>3.2638650918883911</v>
      </c>
      <c r="L118" s="1">
        <v>1.9490171954835915</v>
      </c>
      <c r="M118" s="1">
        <v>7.923223928610415E-2</v>
      </c>
      <c r="N118" s="1">
        <v>1.1909677336681921</v>
      </c>
      <c r="O118" s="1">
        <v>7.8000000000000014E-2</v>
      </c>
      <c r="P118" s="1">
        <v>6.6543509554031946E-2</v>
      </c>
      <c r="Q118" s="1">
        <v>1.1796686822652023</v>
      </c>
      <c r="R118" s="2">
        <f t="shared" si="7"/>
        <v>87.972954187990467</v>
      </c>
      <c r="S118" s="2">
        <f t="shared" si="6"/>
        <v>3.3560545249510509</v>
      </c>
      <c r="T118" s="2">
        <f t="shared" si="8"/>
        <v>3.2972171684378875</v>
      </c>
      <c r="U118" s="2">
        <f t="shared" si="9"/>
        <v>94.626225881379398</v>
      </c>
    </row>
    <row r="119" spans="1:21" x14ac:dyDescent="0.25">
      <c r="A119">
        <v>1810561</v>
      </c>
      <c r="B119">
        <v>1</v>
      </c>
      <c r="C119" s="1">
        <f>0.365631878608411*(10.3/7.3)</f>
        <v>0.5158915547488534</v>
      </c>
      <c r="D119" s="1">
        <f>0.490492629223206*(10.3/7.3)</f>
        <v>0.69206494260260554</v>
      </c>
      <c r="E119" s="1">
        <f>1.72563656147601*(10.3/7.3)</f>
        <v>2.4348022716716304</v>
      </c>
      <c r="F119" s="1">
        <f>3.62210693094507*(38.9/42.5)</f>
        <v>3.3152931673826598</v>
      </c>
      <c r="G119" s="1">
        <v>0.1432387462919712</v>
      </c>
      <c r="H119" s="1">
        <v>2.0641583489399267</v>
      </c>
      <c r="I119" s="1">
        <v>2.6626429426208582</v>
      </c>
      <c r="J119" s="1">
        <v>9.4623443785969638E-3</v>
      </c>
      <c r="K119" s="1">
        <v>2.4978071169632261</v>
      </c>
      <c r="L119" s="1">
        <v>2.8763413525255022</v>
      </c>
      <c r="M119" s="1">
        <v>4.218849540798076E-2</v>
      </c>
      <c r="N119" s="1">
        <v>0.36625565990472436</v>
      </c>
      <c r="O119" s="1">
        <v>8.5599999999999996E-2</v>
      </c>
      <c r="P119" s="1">
        <v>6.678034265141794E-2</v>
      </c>
      <c r="Q119" s="1">
        <v>0.22892037078625557</v>
      </c>
      <c r="R119" s="2">
        <f t="shared" si="7"/>
        <v>12.057012345044759</v>
      </c>
      <c r="S119" s="2">
        <f t="shared" si="6"/>
        <v>2.5740498039932409</v>
      </c>
      <c r="T119" s="2">
        <f t="shared" si="8"/>
        <v>3.3703855078382072</v>
      </c>
      <c r="U119" s="2">
        <f t="shared" si="9"/>
        <v>18.001447656876206</v>
      </c>
    </row>
    <row r="120" spans="1:21" x14ac:dyDescent="0.25">
      <c r="A120">
        <v>1811225</v>
      </c>
      <c r="B120">
        <v>2</v>
      </c>
      <c r="C120" s="1">
        <f>3.94607607550417*(10.3/7.3)</f>
        <v>5.5677511750264328</v>
      </c>
      <c r="D120" s="1">
        <f>4.68538799116325*(10.3/7.3)</f>
        <v>6.6108899053399259</v>
      </c>
      <c r="E120" s="1">
        <f>16.7389813774763*(10.3/7.3)</f>
        <v>23.61801482027477</v>
      </c>
      <c r="F120" s="1">
        <f>26.8027332697563*(38.9/42.5)</f>
        <v>24.532384098671038</v>
      </c>
      <c r="G120" s="1">
        <v>0.65621585941700067</v>
      </c>
      <c r="H120" s="1">
        <v>2.5198183652681623</v>
      </c>
      <c r="I120" s="1">
        <v>19.394827771912556</v>
      </c>
      <c r="J120" s="1">
        <v>1.9098660111239882E-2</v>
      </c>
      <c r="K120" s="1">
        <v>2.2563030140105234</v>
      </c>
      <c r="L120" s="1">
        <v>1.5982977247898034</v>
      </c>
      <c r="M120" s="1">
        <v>8.6118208267569996E-2</v>
      </c>
      <c r="N120" s="1">
        <v>0.87726633013586386</v>
      </c>
      <c r="O120" s="1">
        <v>8.4533333333333335E-2</v>
      </c>
      <c r="P120" s="1">
        <v>7.2940816264231476E-2</v>
      </c>
      <c r="Q120" s="1">
        <v>1.0487468072874451</v>
      </c>
      <c r="R120" s="2">
        <f t="shared" si="7"/>
        <v>83.948648803197329</v>
      </c>
      <c r="S120" s="2">
        <f t="shared" si="6"/>
        <v>2.3483424903859946</v>
      </c>
      <c r="T120" s="2">
        <f t="shared" si="8"/>
        <v>2.6462155965265706</v>
      </c>
      <c r="U120" s="2">
        <f t="shared" si="9"/>
        <v>88.943206890109892</v>
      </c>
    </row>
    <row r="121" spans="1:21" x14ac:dyDescent="0.25">
      <c r="A121">
        <v>1811233</v>
      </c>
      <c r="B121">
        <v>21</v>
      </c>
      <c r="C121" s="1">
        <f>3.19352267290204*(10.3/7.3)</f>
        <v>4.5059292508069912</v>
      </c>
      <c r="D121" s="1">
        <f>3.83473041057276*(10.3/7.3)</f>
        <v>5.4106470176574595</v>
      </c>
      <c r="E121" s="1">
        <f>13.6970606669268*(10.3/7.3)</f>
        <v>19.325989708129576</v>
      </c>
      <c r="F121" s="1">
        <f>21.7120647704488*(38.9/42.5)</f>
        <v>19.872925166363707</v>
      </c>
      <c r="G121" s="1">
        <v>0.52111109151264545</v>
      </c>
      <c r="H121" s="1">
        <v>1.2184684585260868</v>
      </c>
      <c r="I121" s="1">
        <v>15.591491597600875</v>
      </c>
      <c r="J121" s="1">
        <v>1.7709920138698838E-2</v>
      </c>
      <c r="K121" s="1">
        <v>2.37289089953275</v>
      </c>
      <c r="L121" s="1">
        <v>1.490784360149302</v>
      </c>
      <c r="M121" s="1">
        <v>7.9708164843148369E-2</v>
      </c>
      <c r="N121" s="1">
        <v>0.95045251945569542</v>
      </c>
      <c r="O121" s="1">
        <v>7.9039999999999985E-2</v>
      </c>
      <c r="P121" s="1">
        <v>6.9044121202302064E-2</v>
      </c>
      <c r="Q121" s="1">
        <v>0.83282594533984555</v>
      </c>
      <c r="R121" s="2">
        <f t="shared" si="7"/>
        <v>67.279388235937191</v>
      </c>
      <c r="S121" s="2">
        <f t="shared" si="6"/>
        <v>2.4596449408737509</v>
      </c>
      <c r="T121" s="2">
        <f t="shared" si="8"/>
        <v>2.5999850444481458</v>
      </c>
      <c r="U121" s="2">
        <f t="shared" si="9"/>
        <v>72.339018221259082</v>
      </c>
    </row>
    <row r="122" spans="1:21" x14ac:dyDescent="0.25">
      <c r="A122">
        <v>1811241</v>
      </c>
      <c r="B122">
        <v>47</v>
      </c>
      <c r="C122" s="1">
        <f>5.67958184438369*(10.3/7.3)</f>
        <v>8.0136565749523303</v>
      </c>
      <c r="D122" s="1">
        <f>7.11466496000804*(10.3/7.3)</f>
        <v>10.038499875079832</v>
      </c>
      <c r="E122" s="1">
        <f>25.3987417224813*(10.3/7.3)</f>
        <v>35.836580786514737</v>
      </c>
      <c r="F122" s="1">
        <f>38.4788050587731*(38.9/42.5)</f>
        <v>35.219423924382895</v>
      </c>
      <c r="G122" s="1">
        <v>0.83438709906716357</v>
      </c>
      <c r="H122" s="1">
        <v>2.7504696483253577</v>
      </c>
      <c r="I122" s="1">
        <v>26.758862270763185</v>
      </c>
      <c r="J122" s="1">
        <v>2.4459270951502746E-2</v>
      </c>
      <c r="K122" s="1">
        <v>2.9017137502240642</v>
      </c>
      <c r="L122" s="1">
        <v>2.1048649397548602</v>
      </c>
      <c r="M122" s="1">
        <v>0.10329683934474813</v>
      </c>
      <c r="N122" s="1">
        <v>1.2864198998911895</v>
      </c>
      <c r="O122" s="1">
        <v>0.10089418439716312</v>
      </c>
      <c r="P122" s="1">
        <v>8.437620040086935E-2</v>
      </c>
      <c r="Q122" s="1">
        <v>1.3334953638059706</v>
      </c>
      <c r="R122" s="2">
        <f t="shared" si="7"/>
        <v>120.78537554289147</v>
      </c>
      <c r="S122" s="2">
        <f t="shared" si="6"/>
        <v>3.0105492215764365</v>
      </c>
      <c r="T122" s="2">
        <f t="shared" si="8"/>
        <v>3.5954758633879611</v>
      </c>
      <c r="U122" s="2">
        <f t="shared" si="9"/>
        <v>127.39140062785587</v>
      </c>
    </row>
    <row r="123" spans="1:21" x14ac:dyDescent="0.25">
      <c r="A123">
        <v>1811393</v>
      </c>
      <c r="B123">
        <v>8</v>
      </c>
      <c r="C123" s="1">
        <f>6.86904007238595*(10.3/7.3)</f>
        <v>9.6919332528185329</v>
      </c>
      <c r="D123" s="1">
        <f>8.57766828273456*(10.3/7.3)</f>
        <v>12.102737440022736</v>
      </c>
      <c r="E123" s="1">
        <f>30.5839043863545*(10.3/7.3)</f>
        <v>43.152632216363159</v>
      </c>
      <c r="F123" s="1">
        <f>48.4323544161119*(38.9/42.5)</f>
        <v>44.32984910086482</v>
      </c>
      <c r="G123" s="1">
        <v>1.1794262275439751</v>
      </c>
      <c r="H123" s="1">
        <v>4.8425423593010919</v>
      </c>
      <c r="I123" s="1">
        <v>34.150999302803179</v>
      </c>
      <c r="J123" s="1">
        <v>4.1615220848919166E-2</v>
      </c>
      <c r="K123" s="1">
        <v>3.9910162320019715</v>
      </c>
      <c r="L123" s="1">
        <v>2.5432718445196096</v>
      </c>
      <c r="M123" s="1">
        <v>8.9412703986603975E-2</v>
      </c>
      <c r="N123" s="1">
        <v>1.8784355525575114</v>
      </c>
      <c r="O123" s="1">
        <v>8.7180000000000007E-2</v>
      </c>
      <c r="P123" s="1">
        <v>7.1598537730919204E-2</v>
      </c>
      <c r="Q123" s="1">
        <v>1.8849277609150308</v>
      </c>
      <c r="R123" s="2">
        <f t="shared" si="7"/>
        <v>151.33504766063251</v>
      </c>
      <c r="S123" s="2">
        <f t="shared" si="6"/>
        <v>4.1042299905818096</v>
      </c>
      <c r="T123" s="2">
        <f t="shared" si="8"/>
        <v>4.5983001010637246</v>
      </c>
      <c r="U123" s="2">
        <f t="shared" si="9"/>
        <v>160.03757775227805</v>
      </c>
    </row>
    <row r="124" spans="1:21" x14ac:dyDescent="0.25">
      <c r="A124">
        <v>1811401</v>
      </c>
      <c r="B124">
        <v>5</v>
      </c>
      <c r="C124" s="1">
        <f>6.8394669057338*(10.3/7.3)</f>
        <v>9.6502067300079641</v>
      </c>
      <c r="D124" s="1">
        <f>8.32392246873514*(10.3/7.3)</f>
        <v>11.744712524379725</v>
      </c>
      <c r="E124" s="1">
        <f>29.7500578411874*(10.3/7.3)</f>
        <v>41.976109008798709</v>
      </c>
      <c r="F124" s="1">
        <f>45.3106329437735*(38.9/42.5)</f>
        <v>41.472555800300917</v>
      </c>
      <c r="G124" s="1">
        <v>0.98333667566790839</v>
      </c>
      <c r="H124" s="1">
        <v>2.9543833214965729</v>
      </c>
      <c r="I124" s="1">
        <v>31.998345793603697</v>
      </c>
      <c r="J124" s="1">
        <v>5.1819701564653611E-2</v>
      </c>
      <c r="K124" s="1">
        <v>3.8093694651325714</v>
      </c>
      <c r="L124" s="1">
        <v>2.3834670547028489</v>
      </c>
      <c r="M124" s="1">
        <v>9.033384197901452E-2</v>
      </c>
      <c r="N124" s="1">
        <v>1.439256891931767</v>
      </c>
      <c r="O124" s="1">
        <v>8.7082666666666669E-2</v>
      </c>
      <c r="P124" s="1">
        <v>7.1535431144683859E-2</v>
      </c>
      <c r="Q124" s="1">
        <v>1.571542632345974</v>
      </c>
      <c r="R124" s="2">
        <f t="shared" si="7"/>
        <v>142.35119248660146</v>
      </c>
      <c r="S124" s="2">
        <f t="shared" si="6"/>
        <v>3.9327245978419088</v>
      </c>
      <c r="T124" s="2">
        <f t="shared" si="8"/>
        <v>4.000140455280297</v>
      </c>
      <c r="U124" s="2">
        <f t="shared" si="9"/>
        <v>150.28405753972368</v>
      </c>
    </row>
    <row r="125" spans="1:21" x14ac:dyDescent="0.25">
      <c r="A125">
        <v>1811409</v>
      </c>
      <c r="B125">
        <v>21</v>
      </c>
      <c r="C125" s="1">
        <f>6.11074462956966*(10.3/7.3)</f>
        <v>8.6220095458311601</v>
      </c>
      <c r="D125" s="1">
        <f>7.43768227582406*(10.3/7.3)</f>
        <v>10.494264033012028</v>
      </c>
      <c r="E125" s="1">
        <f>26.4415471408487*(10.3/7.3)</f>
        <v>37.307936376813977</v>
      </c>
      <c r="F125" s="1">
        <f>47.3181208931244*(38.9/42.5)</f>
        <v>43.309997711589141</v>
      </c>
      <c r="G125" s="1">
        <v>1.4659401237686287</v>
      </c>
      <c r="H125" s="1">
        <v>5.7728292311396743</v>
      </c>
      <c r="I125" s="1">
        <v>34.756463382307778</v>
      </c>
      <c r="J125" s="1">
        <v>3.3877738797631465E-2</v>
      </c>
      <c r="K125" s="1">
        <v>4.1033222510227416</v>
      </c>
      <c r="L125" s="1">
        <v>2.559929943397325</v>
      </c>
      <c r="M125" s="1">
        <v>9.7085353559343335E-2</v>
      </c>
      <c r="N125" s="1">
        <v>1.5014286126212044</v>
      </c>
      <c r="O125" s="1">
        <v>9.4829206349206344E-2</v>
      </c>
      <c r="P125" s="1">
        <v>7.722315260080348E-2</v>
      </c>
      <c r="Q125" s="1">
        <v>2.3428266818220114</v>
      </c>
      <c r="R125" s="2">
        <f t="shared" si="7"/>
        <v>144.07226708628437</v>
      </c>
      <c r="S125" s="2">
        <f t="shared" si="6"/>
        <v>4.2144231424211762</v>
      </c>
      <c r="T125" s="2">
        <f t="shared" si="8"/>
        <v>4.2532731159270787</v>
      </c>
      <c r="U125" s="2">
        <f t="shared" si="9"/>
        <v>152.53996334463261</v>
      </c>
    </row>
    <row r="126" spans="1:21" x14ac:dyDescent="0.25">
      <c r="A126">
        <v>1823461</v>
      </c>
      <c r="B126">
        <v>11</v>
      </c>
      <c r="C126" s="1">
        <f>3.86288740040981*(10.3/7.3)</f>
        <v>5.450375373180969</v>
      </c>
      <c r="D126" s="1">
        <f>4.58038140291445*(10.3/7.3)</f>
        <v>6.4627299246601204</v>
      </c>
      <c r="E126" s="1">
        <f>16.3687729990773*(10.3/7.3)</f>
        <v>23.095666012396794</v>
      </c>
      <c r="F126" s="1">
        <f>26.0155389888365*(38.9/42.5)</f>
        <v>23.811869803899793</v>
      </c>
      <c r="G126" s="1">
        <v>0.62499303157358221</v>
      </c>
      <c r="H126" s="1">
        <v>1.413717150146814</v>
      </c>
      <c r="I126" s="1">
        <v>18.803374843786166</v>
      </c>
      <c r="J126" s="1">
        <v>1.8578289032286463E-2</v>
      </c>
      <c r="K126" s="1">
        <v>2.6988005998935587</v>
      </c>
      <c r="L126" s="1">
        <v>1.5009095000281893</v>
      </c>
      <c r="M126" s="1">
        <v>8.1572887257983381E-2</v>
      </c>
      <c r="N126" s="1">
        <v>0.89839723366192981</v>
      </c>
      <c r="O126" s="1">
        <v>8.1018181818181823E-2</v>
      </c>
      <c r="P126" s="1">
        <v>6.9222160306292607E-2</v>
      </c>
      <c r="Q126" s="1">
        <v>0.99884731073403643</v>
      </c>
      <c r="R126" s="2">
        <f t="shared" si="7"/>
        <v>80.66157345037827</v>
      </c>
      <c r="S126" s="2">
        <f t="shared" si="6"/>
        <v>2.7866010492321376</v>
      </c>
      <c r="T126" s="2">
        <f t="shared" si="8"/>
        <v>2.5618978027662842</v>
      </c>
      <c r="U126" s="2">
        <f t="shared" si="9"/>
        <v>86.010072302376685</v>
      </c>
    </row>
    <row r="127" spans="1:21" x14ac:dyDescent="0.25">
      <c r="A127">
        <v>1823469</v>
      </c>
      <c r="B127">
        <v>26</v>
      </c>
      <c r="C127" s="1">
        <f>4.44879693021727*(10.3/7.3)</f>
        <v>6.2770696412654603</v>
      </c>
      <c r="D127" s="1">
        <f>5.37961034981332*(10.3/7.3)</f>
        <v>7.590409123709204</v>
      </c>
      <c r="E127" s="1">
        <f>19.2230994466393*(10.3/7.3)</f>
        <v>27.123003328819788</v>
      </c>
      <c r="F127" s="1">
        <f>29.7580512563062*(38.9/42.5)</f>
        <v>27.237369267536739</v>
      </c>
      <c r="G127" s="1">
        <v>0.67367192097894357</v>
      </c>
      <c r="H127" s="1">
        <v>1.5873102516687005</v>
      </c>
      <c r="I127" s="1">
        <v>21.171168249585818</v>
      </c>
      <c r="J127" s="1">
        <v>2.1741523251408892E-2</v>
      </c>
      <c r="K127" s="1">
        <v>2.9807695506883647</v>
      </c>
      <c r="L127" s="1">
        <v>1.805274139973436</v>
      </c>
      <c r="M127" s="1">
        <v>9.3315507066583925E-2</v>
      </c>
      <c r="N127" s="1">
        <v>1.0729780396391941</v>
      </c>
      <c r="O127" s="1">
        <v>9.1839999999999977E-2</v>
      </c>
      <c r="P127" s="1">
        <v>7.9237699856375202E-2</v>
      </c>
      <c r="Q127" s="1">
        <v>1.0766446225690891</v>
      </c>
      <c r="R127" s="2">
        <f t="shared" si="7"/>
        <v>92.736646406133744</v>
      </c>
      <c r="S127" s="2">
        <f t="shared" si="6"/>
        <v>3.0817487737961486</v>
      </c>
      <c r="T127" s="2">
        <f t="shared" si="8"/>
        <v>3.0634076866792141</v>
      </c>
      <c r="U127" s="2">
        <f t="shared" si="9"/>
        <v>98.881802866609107</v>
      </c>
    </row>
    <row r="128" spans="1:21" x14ac:dyDescent="0.25">
      <c r="A128">
        <v>1823477</v>
      </c>
      <c r="B128">
        <v>42</v>
      </c>
      <c r="C128" s="1">
        <f>6.9903246691144*(10.3/7.3)</f>
        <v>9.8630608345038873</v>
      </c>
      <c r="D128" s="1">
        <f>8.7633968903868*(10.3/7.3)</f>
        <v>12.364792872737548</v>
      </c>
      <c r="E128" s="1">
        <f>31.2971094792207*(10.3/7.3)</f>
        <v>44.158935292599118</v>
      </c>
      <c r="F128" s="1">
        <f>46.7334801042282*(38.9/42.5)</f>
        <v>42.774879436575937</v>
      </c>
      <c r="G128" s="1">
        <v>0.97131555484480303</v>
      </c>
      <c r="H128" s="1">
        <v>2.3233198319073001</v>
      </c>
      <c r="I128" s="1">
        <v>32.350171104094798</v>
      </c>
      <c r="J128" s="1">
        <v>2.7561022804385708E-2</v>
      </c>
      <c r="K128" s="1">
        <v>3.3987847400067803</v>
      </c>
      <c r="L128" s="1">
        <v>2.2953716488358249</v>
      </c>
      <c r="M128" s="1">
        <v>0.11268529029658113</v>
      </c>
      <c r="N128" s="1">
        <v>1.4613698618592659</v>
      </c>
      <c r="O128" s="1">
        <v>0.10727999999999999</v>
      </c>
      <c r="P128" s="1">
        <v>8.7967569672519105E-2</v>
      </c>
      <c r="Q128" s="1">
        <v>1.5523307954140708</v>
      </c>
      <c r="R128" s="2">
        <f t="shared" si="7"/>
        <v>146.35880572267743</v>
      </c>
      <c r="S128" s="2">
        <f t="shared" si="6"/>
        <v>3.5143133324836855</v>
      </c>
      <c r="T128" s="2">
        <f t="shared" si="8"/>
        <v>3.9767068009916717</v>
      </c>
      <c r="U128" s="2">
        <f t="shared" si="9"/>
        <v>153.84982585615279</v>
      </c>
    </row>
    <row r="129" spans="1:21" x14ac:dyDescent="0.25">
      <c r="A129">
        <v>1823621</v>
      </c>
      <c r="B129">
        <v>24</v>
      </c>
      <c r="C129" s="1">
        <f>4.9257079652216*(10.3/7.3)</f>
        <v>6.9499715125729473</v>
      </c>
      <c r="D129" s="1">
        <f>6.88134809066288*(10.3/7.3)</f>
        <v>9.7092993607983047</v>
      </c>
      <c r="E129" s="1">
        <f>24.3160678487664*(10.3/7.3)</f>
        <v>34.308972444149788</v>
      </c>
      <c r="F129" s="1">
        <f>43.6109464838673*(38.9/42.5)</f>
        <v>39.916842781704425</v>
      </c>
      <c r="G129" s="1">
        <v>1.4090061070174953</v>
      </c>
      <c r="H129" s="1">
        <v>6.0658095121174034</v>
      </c>
      <c r="I129" s="1">
        <v>30.403441338037254</v>
      </c>
      <c r="J129" s="1">
        <v>3.0937905794505338E-2</v>
      </c>
      <c r="K129" s="1">
        <v>3.5109980047612037</v>
      </c>
      <c r="L129" s="1">
        <v>2.5131085102924371</v>
      </c>
      <c r="M129" s="1">
        <v>8.2216966053401341E-2</v>
      </c>
      <c r="N129" s="1">
        <v>1.5049094988629326</v>
      </c>
      <c r="O129" s="1">
        <v>8.0626666666666666E-2</v>
      </c>
      <c r="P129" s="1">
        <v>6.8323348746542181E-2</v>
      </c>
      <c r="Q129" s="1">
        <v>2.2518362440918902</v>
      </c>
      <c r="R129" s="2">
        <f t="shared" si="7"/>
        <v>131.01517930048951</v>
      </c>
      <c r="S129" s="2">
        <f t="shared" si="6"/>
        <v>3.6102592593022513</v>
      </c>
      <c r="T129" s="2">
        <f t="shared" si="8"/>
        <v>4.1808616418754374</v>
      </c>
      <c r="U129" s="2">
        <f t="shared" si="9"/>
        <v>138.80630020166717</v>
      </c>
    </row>
    <row r="130" spans="1:21" x14ac:dyDescent="0.25">
      <c r="A130">
        <v>1823629</v>
      </c>
      <c r="B130">
        <v>3</v>
      </c>
      <c r="C130" s="1">
        <f>8.55663564862457*(10.3/7.3)</f>
        <v>12.073061257648366</v>
      </c>
      <c r="D130" s="1">
        <f>10.4293693149617*(10.3/7.3)</f>
        <v>14.715411499192568</v>
      </c>
      <c r="E130" s="1">
        <f>37.2820388731806*(10.3/7.3)</f>
        <v>52.603424711474013</v>
      </c>
      <c r="F130" s="1">
        <f>56.3022213791846*(38.9/42.5)</f>
        <v>51.533092038830098</v>
      </c>
      <c r="G130" s="1">
        <v>1.1929051545124612</v>
      </c>
      <c r="H130" s="1">
        <v>3.0307913311150489</v>
      </c>
      <c r="I130" s="1">
        <v>39.640281561553003</v>
      </c>
      <c r="J130" s="1">
        <v>6.126903345172844E-2</v>
      </c>
      <c r="K130" s="1">
        <v>3.9963131533192744</v>
      </c>
      <c r="L130" s="1">
        <v>2.5098023011425328</v>
      </c>
      <c r="M130" s="1">
        <v>9.3134688547837088E-2</v>
      </c>
      <c r="N130" s="1">
        <v>1.5887801783636288</v>
      </c>
      <c r="O130" s="1">
        <v>8.9404444444444439E-2</v>
      </c>
      <c r="P130" s="1">
        <v>7.2400725934846311E-2</v>
      </c>
      <c r="Q130" s="1">
        <v>1.9064694250199172</v>
      </c>
      <c r="R130" s="2">
        <f t="shared" si="7"/>
        <v>176.69543697934543</v>
      </c>
      <c r="S130" s="2">
        <f t="shared" si="6"/>
        <v>4.1299829127058496</v>
      </c>
      <c r="T130" s="2">
        <f t="shared" si="8"/>
        <v>4.2811216124984437</v>
      </c>
      <c r="U130" s="2">
        <f t="shared" si="9"/>
        <v>185.10654150454974</v>
      </c>
    </row>
    <row r="131" spans="1:21" x14ac:dyDescent="0.25">
      <c r="A131">
        <v>1823637</v>
      </c>
      <c r="B131">
        <v>13</v>
      </c>
      <c r="C131" s="1">
        <f>6.36623496363681*(10.3/7.3)</f>
        <v>8.9824959075971389</v>
      </c>
      <c r="D131" s="1">
        <f>7.65900811508744*(10.3/7.3)</f>
        <v>10.806545696630227</v>
      </c>
      <c r="E131" s="1">
        <f>27.3755413186456*(10.3/7.3)</f>
        <v>38.625763778363023</v>
      </c>
      <c r="F131" s="1">
        <f>42.334009793903*(38.9/42.5)</f>
        <v>38.748070140772398</v>
      </c>
      <c r="G131" s="1">
        <v>0.95329904425016143</v>
      </c>
      <c r="H131" s="1">
        <v>3.7613494715965103</v>
      </c>
      <c r="I131" s="1">
        <v>30.183345057730172</v>
      </c>
      <c r="J131" s="1">
        <v>3.6598611606875484E-2</v>
      </c>
      <c r="K131" s="1">
        <v>4.1250263745635234</v>
      </c>
      <c r="L131" s="1">
        <v>2.592233851162872</v>
      </c>
      <c r="M131" s="1">
        <v>9.7989307207138623E-2</v>
      </c>
      <c r="N131" s="1">
        <v>1.5665583870242241</v>
      </c>
      <c r="O131" s="1">
        <v>9.4781538461538459E-2</v>
      </c>
      <c r="P131" s="1">
        <v>7.7104451302557359E-2</v>
      </c>
      <c r="Q131" s="1">
        <v>1.5235372853313096</v>
      </c>
      <c r="R131" s="2">
        <f t="shared" si="7"/>
        <v>133.58440638227094</v>
      </c>
      <c r="S131" s="2">
        <f t="shared" si="6"/>
        <v>4.2387294374729558</v>
      </c>
      <c r="T131" s="2">
        <f t="shared" si="8"/>
        <v>4.3515630838557735</v>
      </c>
      <c r="U131" s="2">
        <f t="shared" si="9"/>
        <v>142.17469890359968</v>
      </c>
    </row>
    <row r="132" spans="1:21" x14ac:dyDescent="0.25">
      <c r="A132">
        <v>1835705</v>
      </c>
      <c r="B132">
        <v>46</v>
      </c>
      <c r="C132" s="1">
        <f>4.16271218431308*(10.3/7.3)</f>
        <v>5.8734158217020127</v>
      </c>
      <c r="D132" s="1">
        <f>5.01596327728587*(10.3/7.3)</f>
        <v>7.0773180487732139</v>
      </c>
      <c r="E132" s="1">
        <f>17.9258289243565*(10.3/7.3)</f>
        <v>25.292607934366014</v>
      </c>
      <c r="F132" s="1">
        <f>27.789186183173*(38.9/42.5)</f>
        <v>25.43527864765715</v>
      </c>
      <c r="G132" s="1">
        <v>0.63045341107316699</v>
      </c>
      <c r="H132" s="1">
        <v>2.1322893759169999</v>
      </c>
      <c r="I132" s="1">
        <v>19.810811488049822</v>
      </c>
      <c r="J132" s="1">
        <v>2.0719194972257538E-2</v>
      </c>
      <c r="K132" s="1">
        <v>2.6657956767964888</v>
      </c>
      <c r="L132" s="1">
        <v>1.6954311892224658</v>
      </c>
      <c r="M132" s="1">
        <v>8.8650943103372931E-2</v>
      </c>
      <c r="N132" s="1">
        <v>1.0192498216535697</v>
      </c>
      <c r="O132" s="1">
        <v>8.6876521739130436E-2</v>
      </c>
      <c r="P132" s="1">
        <v>7.59997681125512E-2</v>
      </c>
      <c r="Q132" s="1">
        <v>1.0075739446374825</v>
      </c>
      <c r="R132" s="2">
        <f t="shared" si="7"/>
        <v>87.25974867217586</v>
      </c>
      <c r="S132" s="2">
        <f t="shared" si="6"/>
        <v>2.7625146398812976</v>
      </c>
      <c r="T132" s="2">
        <f t="shared" si="8"/>
        <v>2.8902084757185387</v>
      </c>
      <c r="U132" s="2">
        <f t="shared" si="9"/>
        <v>92.912471787775701</v>
      </c>
    </row>
    <row r="133" spans="1:21" x14ac:dyDescent="0.25">
      <c r="A133">
        <v>1835713</v>
      </c>
      <c r="B133">
        <v>4</v>
      </c>
      <c r="C133" s="1">
        <f>11.8491812511985*(10.3/7.3)</f>
        <v>16.718707792786912</v>
      </c>
      <c r="D133" s="1">
        <f>14.7763877299387*(10.3/7.3)</f>
        <v>20.84887583813272</v>
      </c>
      <c r="E133" s="1">
        <f>52.8188020771787*(10.3/7.3)</f>
        <v>74.525159095197353</v>
      </c>
      <c r="F133" s="1">
        <f>77.1387176327725*(38.9/42.5)</f>
        <v>70.604614492114138</v>
      </c>
      <c r="G133" s="1">
        <v>1.4892537816723297</v>
      </c>
      <c r="H133" s="1">
        <v>2.3112191244721174</v>
      </c>
      <c r="I133" s="1">
        <v>53.185557049624862</v>
      </c>
      <c r="J133" s="1">
        <v>3.3022733240551959E-2</v>
      </c>
      <c r="K133" s="1">
        <v>4.8036346157458008</v>
      </c>
      <c r="L133" s="1">
        <v>2.6356285991979327</v>
      </c>
      <c r="M133" s="1">
        <v>0.1290037156495798</v>
      </c>
      <c r="N133" s="1">
        <v>1.4583947371219843</v>
      </c>
      <c r="O133" s="1">
        <v>0.11950666666666665</v>
      </c>
      <c r="P133" s="1">
        <v>9.4974693129035989E-2</v>
      </c>
      <c r="Q133" s="1">
        <v>2.3800859524443649</v>
      </c>
      <c r="R133" s="2">
        <f t="shared" si="7"/>
        <v>242.06347312644476</v>
      </c>
      <c r="S133" s="2">
        <f t="shared" si="6"/>
        <v>4.9316320421153881</v>
      </c>
      <c r="T133" s="2">
        <f t="shared" si="8"/>
        <v>4.3425337186361634</v>
      </c>
      <c r="U133" s="2">
        <f t="shared" si="9"/>
        <v>251.33763888719631</v>
      </c>
    </row>
    <row r="134" spans="1:21" x14ac:dyDescent="0.25">
      <c r="A134">
        <v>1835809</v>
      </c>
      <c r="B134">
        <v>4</v>
      </c>
      <c r="C134" s="1">
        <f>9.06113860385767*(10.3/7.3)</f>
        <v>12.784894194484112</v>
      </c>
      <c r="D134" s="1">
        <f>14.1820939489952*(10.3/7.3)</f>
        <v>20.010351736253472</v>
      </c>
      <c r="E134" s="1">
        <f>50.3851163741305*(10.3/7.3)</f>
        <v>71.091328582677264</v>
      </c>
      <c r="F134" s="1">
        <f>65.7706744175569*(38.9/42.5)</f>
        <v>60.199511408069718</v>
      </c>
      <c r="G134" s="1">
        <v>0.93204432910245738</v>
      </c>
      <c r="H134" s="1">
        <v>4.2173324769635112</v>
      </c>
      <c r="I134" s="1">
        <v>38.499941952449348</v>
      </c>
      <c r="J134" s="1">
        <v>2.927386272104953E-2</v>
      </c>
      <c r="K134" s="1">
        <v>2.5916218649129816</v>
      </c>
      <c r="L134" s="1">
        <v>1.9704270712049574</v>
      </c>
      <c r="M134" s="1">
        <v>8.3218940865511751E-2</v>
      </c>
      <c r="N134" s="1">
        <v>1.4196945491137609</v>
      </c>
      <c r="O134" s="1">
        <v>8.2453333333333337E-2</v>
      </c>
      <c r="P134" s="1">
        <v>7.0781908179214453E-2</v>
      </c>
      <c r="Q134" s="1">
        <v>1.4895685624925137</v>
      </c>
      <c r="R134" s="2">
        <f t="shared" si="7"/>
        <v>209.22497324249241</v>
      </c>
      <c r="S134" s="2">
        <f t="shared" si="6"/>
        <v>2.6916776358132455</v>
      </c>
      <c r="T134" s="2">
        <f t="shared" si="8"/>
        <v>3.5557938945175636</v>
      </c>
      <c r="U134" s="2">
        <f t="shared" si="9"/>
        <v>215.47244477282322</v>
      </c>
    </row>
    <row r="135" spans="1:21" x14ac:dyDescent="0.25">
      <c r="A135">
        <v>1835817</v>
      </c>
      <c r="B135">
        <v>15</v>
      </c>
      <c r="C135" s="1">
        <f>10.2679627783495*(10.3/7.3)</f>
        <v>14.487673509178039</v>
      </c>
      <c r="D135" s="1">
        <f>15.3806890589538*(10.3/7.3)</f>
        <v>21.701520179071757</v>
      </c>
      <c r="E135" s="1">
        <f>54.6925809563503*(10.3/7.3)</f>
        <v>77.168984089097066</v>
      </c>
      <c r="F135" s="1">
        <f>73.3833909756323*(38.9/42.5)</f>
        <v>67.16738609299054</v>
      </c>
      <c r="G135" s="1">
        <v>1.1467111058955548</v>
      </c>
      <c r="H135" s="1">
        <v>5.1772472871323192</v>
      </c>
      <c r="I135" s="1">
        <v>44.578199538909914</v>
      </c>
      <c r="J135" s="1">
        <v>3.5488458943871558E-2</v>
      </c>
      <c r="K135" s="1">
        <v>3.3197444682819599</v>
      </c>
      <c r="L135" s="1">
        <v>2.6438023711644605</v>
      </c>
      <c r="M135" s="1">
        <v>0.10314948979796368</v>
      </c>
      <c r="N135" s="1">
        <v>1.5721170138003933</v>
      </c>
      <c r="O135" s="1">
        <v>9.9072000000000007E-2</v>
      </c>
      <c r="P135" s="1">
        <v>8.1770346310204162E-2</v>
      </c>
      <c r="Q135" s="1">
        <v>1.8326433199244048</v>
      </c>
      <c r="R135" s="2">
        <f t="shared" si="7"/>
        <v>233.2603651221996</v>
      </c>
      <c r="S135" s="2">
        <f t="shared" si="6"/>
        <v>3.4370032735360359</v>
      </c>
      <c r="T135" s="2">
        <f t="shared" si="8"/>
        <v>4.418140874762817</v>
      </c>
      <c r="U135" s="2">
        <f t="shared" si="9"/>
        <v>241.11550927049848</v>
      </c>
    </row>
    <row r="136" spans="1:21" x14ac:dyDescent="0.25">
      <c r="A136">
        <v>1847933</v>
      </c>
      <c r="B136">
        <v>58</v>
      </c>
      <c r="C136" s="1">
        <f>3.8528208559207*(10.3/7.3)</f>
        <v>5.4361718926004405</v>
      </c>
      <c r="D136" s="1">
        <f>4.53857523225163*(10.3/7.3)</f>
        <v>6.4037431359166792</v>
      </c>
      <c r="E136" s="1">
        <f>16.2280592313898*(10.3/7.3)</f>
        <v>22.897124668947225</v>
      </c>
      <c r="F136" s="1">
        <f>25.6104780995584*(38.9/42.5)</f>
        <v>23.441119954654614</v>
      </c>
      <c r="G136" s="1">
        <v>0.60255728941900344</v>
      </c>
      <c r="H136" s="1">
        <v>1.2915338190482852</v>
      </c>
      <c r="I136" s="1">
        <v>18.535900084525448</v>
      </c>
      <c r="J136" s="1">
        <v>1.9732214327403866E-2</v>
      </c>
      <c r="K136" s="1">
        <v>2.8215986607058885</v>
      </c>
      <c r="L136" s="1">
        <v>1.6056532669637251</v>
      </c>
      <c r="M136" s="1">
        <v>8.6098500328625219E-2</v>
      </c>
      <c r="N136" s="1">
        <v>0.95576662769219656</v>
      </c>
      <c r="O136" s="1">
        <v>8.4086436781609222E-2</v>
      </c>
      <c r="P136" s="1">
        <v>7.316340509016965E-2</v>
      </c>
      <c r="Q136" s="1">
        <v>0.96299110181119396</v>
      </c>
      <c r="R136" s="2">
        <f t="shared" si="7"/>
        <v>79.571141946922879</v>
      </c>
      <c r="S136" s="2">
        <f t="shared" si="6"/>
        <v>2.9144942801234617</v>
      </c>
      <c r="T136" s="2">
        <f t="shared" si="8"/>
        <v>2.7316048317661563</v>
      </c>
      <c r="U136" s="2">
        <f t="shared" si="9"/>
        <v>85.217241058812505</v>
      </c>
    </row>
    <row r="137" spans="1:21" x14ac:dyDescent="0.25">
      <c r="A137">
        <v>1847941</v>
      </c>
      <c r="B137">
        <v>65</v>
      </c>
      <c r="C137" s="1">
        <f>4.75874761424022*(10.3/7.3)</f>
        <v>6.714397318722499</v>
      </c>
      <c r="D137" s="1">
        <f>5.72578877775919*(10.3/7.3)</f>
        <v>8.0788526590300975</v>
      </c>
      <c r="E137" s="1">
        <f>20.4716122766916*(10.3/7.3)</f>
        <v>28.884603623277155</v>
      </c>
      <c r="F137" s="1">
        <f>31.3535295627704*(38.9/42.5)</f>
        <v>28.697701176276926</v>
      </c>
      <c r="G137" s="1">
        <v>0.68737926236999536</v>
      </c>
      <c r="H137" s="1">
        <v>1.4262627491158071</v>
      </c>
      <c r="I137" s="1">
        <v>22.297285550010198</v>
      </c>
      <c r="J137" s="1">
        <v>2.1897281469327713E-2</v>
      </c>
      <c r="K137" s="1">
        <v>2.7857445497042814</v>
      </c>
      <c r="L137" s="1">
        <v>1.7482993629332237</v>
      </c>
      <c r="M137" s="1">
        <v>9.0867786245745416E-2</v>
      </c>
      <c r="N137" s="1">
        <v>1.0707730198787311</v>
      </c>
      <c r="O137" s="1">
        <v>8.8818871794871787E-2</v>
      </c>
      <c r="P137" s="1">
        <v>7.7369629865645689E-2</v>
      </c>
      <c r="Q137" s="1">
        <v>1.0985513325547882</v>
      </c>
      <c r="R137" s="2">
        <f t="shared" si="7"/>
        <v>97.885033671357476</v>
      </c>
      <c r="S137" s="2">
        <f t="shared" ref="S137:S200" si="10">J137+K137+P137</f>
        <v>2.8850114610392552</v>
      </c>
      <c r="T137" s="2">
        <f t="shared" si="8"/>
        <v>2.9987590408525717</v>
      </c>
      <c r="U137" s="2">
        <f t="shared" si="9"/>
        <v>103.76880417324931</v>
      </c>
    </row>
    <row r="138" spans="1:21" x14ac:dyDescent="0.25">
      <c r="A138">
        <v>1847949</v>
      </c>
      <c r="B138">
        <v>2</v>
      </c>
      <c r="C138" s="1">
        <f>10.9589990630832*(10.3/7.3)</f>
        <v>15.462697308185948</v>
      </c>
      <c r="D138" s="1">
        <f>13.5972691394977*(10.3/7.3)</f>
        <v>19.185187963948881</v>
      </c>
      <c r="E138" s="1">
        <f>48.6187005281513*(10.3/7.3)</f>
        <v>68.598988416432604</v>
      </c>
      <c r="F138" s="1">
        <f>70.8274316128471*(38.9/42.5)</f>
        <v>64.827931523288299</v>
      </c>
      <c r="G138" s="1">
        <v>1.3519162571377057</v>
      </c>
      <c r="H138" s="1">
        <v>2.3948603659507253</v>
      </c>
      <c r="I138" s="1">
        <v>48.922650625725055</v>
      </c>
      <c r="J138" s="1">
        <v>3.4055953355434633E-2</v>
      </c>
      <c r="K138" s="1">
        <v>5.7407157996152431</v>
      </c>
      <c r="L138" s="1">
        <v>2.6209240668583282</v>
      </c>
      <c r="M138" s="1">
        <v>0.12737086623564087</v>
      </c>
      <c r="N138" s="1">
        <v>1.6752379595911404</v>
      </c>
      <c r="O138" s="1">
        <v>0.11850666666666665</v>
      </c>
      <c r="P138" s="1">
        <v>9.5286615843608841E-2</v>
      </c>
      <c r="Q138" s="1">
        <v>2.1605967579826366</v>
      </c>
      <c r="R138" s="2">
        <f t="shared" ref="R138:R201" si="11">C138+D138+E138+F138+G138+H138+I138+Q138</f>
        <v>222.90482921865186</v>
      </c>
      <c r="S138" s="2">
        <f t="shared" si="10"/>
        <v>5.8700583688142869</v>
      </c>
      <c r="T138" s="2">
        <f t="shared" ref="T138:T201" si="12">L138+M138+N138+O138</f>
        <v>4.5420395593517764</v>
      </c>
      <c r="U138" s="2">
        <f t="shared" ref="U138:U201" si="13">R138+S138+T138</f>
        <v>233.3169271468179</v>
      </c>
    </row>
    <row r="139" spans="1:21" x14ac:dyDescent="0.25">
      <c r="A139">
        <v>1848045</v>
      </c>
      <c r="B139">
        <v>8</v>
      </c>
      <c r="C139" s="1">
        <f>8.9048090697032*(10.3/7.3)</f>
        <v>12.564319646293558</v>
      </c>
      <c r="D139" s="1">
        <f>14.0444630533033*(10.3/7.3)</f>
        <v>19.816160198496402</v>
      </c>
      <c r="E139" s="1">
        <f>49.8725205318923*(10.3/7.3)</f>
        <v>70.368076914861788</v>
      </c>
      <c r="F139" s="1">
        <f>65.5895600666444*(38.9/42.5)</f>
        <v>60.033738508058072</v>
      </c>
      <c r="G139" s="1">
        <v>0.96860508026274905</v>
      </c>
      <c r="H139" s="1">
        <v>5.7772080396795049</v>
      </c>
      <c r="I139" s="1">
        <v>38.388443486884157</v>
      </c>
      <c r="J139" s="1">
        <v>3.0847030514038244E-2</v>
      </c>
      <c r="K139" s="1">
        <v>2.8635806440789815</v>
      </c>
      <c r="L139" s="1">
        <v>2.2205578908037378</v>
      </c>
      <c r="M139" s="1">
        <v>9.0303883931778739E-2</v>
      </c>
      <c r="N139" s="1">
        <v>1.4492994906597654</v>
      </c>
      <c r="O139" s="1">
        <v>8.9213333333333325E-2</v>
      </c>
      <c r="P139" s="1">
        <v>7.5045571822234036E-2</v>
      </c>
      <c r="Q139" s="1">
        <v>1.5479989867212898</v>
      </c>
      <c r="R139" s="2">
        <f t="shared" si="11"/>
        <v>209.46455086125755</v>
      </c>
      <c r="S139" s="2">
        <f t="shared" si="10"/>
        <v>2.9694732464152533</v>
      </c>
      <c r="T139" s="2">
        <f t="shared" si="12"/>
        <v>3.8493745987286152</v>
      </c>
      <c r="U139" s="2">
        <f t="shared" si="13"/>
        <v>216.28339870640141</v>
      </c>
    </row>
    <row r="140" spans="1:21" x14ac:dyDescent="0.25">
      <c r="A140">
        <v>1848053</v>
      </c>
      <c r="B140">
        <v>2</v>
      </c>
      <c r="C140" s="1">
        <f>12.0065065148699*(10.3/7.3)</f>
        <v>16.940687274405427</v>
      </c>
      <c r="D140" s="1">
        <f>17.1758978994618*(10.3/7.3)</f>
        <v>24.234486077322799</v>
      </c>
      <c r="E140" s="1">
        <f>61.1629863831308*(10.3/7.3)</f>
        <v>86.298460239212019</v>
      </c>
      <c r="F140" s="1">
        <f>83.1772820920838*(38.9/42.5)</f>
        <v>76.131677020754353</v>
      </c>
      <c r="G140" s="1">
        <v>1.3363584906865178</v>
      </c>
      <c r="H140" s="1">
        <v>3.5791061363636967</v>
      </c>
      <c r="I140" s="1">
        <v>52.078698174109661</v>
      </c>
      <c r="J140" s="1">
        <v>4.006857307941307E-2</v>
      </c>
      <c r="K140" s="1">
        <v>3.6764537321382154</v>
      </c>
      <c r="L140" s="1">
        <v>2.9812797974949423</v>
      </c>
      <c r="M140" s="1">
        <v>0.1132295523294162</v>
      </c>
      <c r="N140" s="1">
        <v>1.6971286327967143</v>
      </c>
      <c r="O140" s="1">
        <v>0.10775999999999999</v>
      </c>
      <c r="P140" s="1">
        <v>8.7456778073174007E-2</v>
      </c>
      <c r="Q140" s="1">
        <v>2.1357327476725194</v>
      </c>
      <c r="R140" s="2">
        <f t="shared" si="11"/>
        <v>262.73520616052696</v>
      </c>
      <c r="S140" s="2">
        <f t="shared" si="10"/>
        <v>3.8039790832908023</v>
      </c>
      <c r="T140" s="2">
        <f t="shared" si="12"/>
        <v>4.8993979826210721</v>
      </c>
      <c r="U140" s="2">
        <f t="shared" si="13"/>
        <v>271.43858322643882</v>
      </c>
    </row>
    <row r="141" spans="1:21" x14ac:dyDescent="0.25">
      <c r="A141">
        <v>1848085</v>
      </c>
      <c r="B141">
        <v>9</v>
      </c>
      <c r="C141" s="1">
        <f>4.59850018230452*(10.3/7.3)</f>
        <v>6.4882947777721345</v>
      </c>
      <c r="D141" s="1">
        <f>8.56534123861745*(10.3/7.3)</f>
        <v>12.085344487364345</v>
      </c>
      <c r="E141" s="1">
        <f>30.0047415736679*(10.3/7.3)</f>
        <v>42.335457288873826</v>
      </c>
      <c r="F141" s="1">
        <f>51.5560309681947*(38.9/42.5)</f>
        <v>47.188931874418216</v>
      </c>
      <c r="G141" s="1">
        <v>1.6607349407787562</v>
      </c>
      <c r="H141" s="1">
        <v>5.9873841847381435</v>
      </c>
      <c r="I141" s="1">
        <v>32.009718552365605</v>
      </c>
      <c r="J141" s="1">
        <v>2.664354785865828E-2</v>
      </c>
      <c r="K141" s="1">
        <v>3.0100282660344617</v>
      </c>
      <c r="L141" s="1">
        <v>2.3836085719502851</v>
      </c>
      <c r="M141" s="1">
        <v>7.6233280684352714E-2</v>
      </c>
      <c r="N141" s="1">
        <v>1.2637799856990999</v>
      </c>
      <c r="O141" s="1">
        <v>7.4820740740740743E-2</v>
      </c>
      <c r="P141" s="1">
        <v>6.4895328221993218E-2</v>
      </c>
      <c r="Q141" s="1">
        <v>2.6541425994181065</v>
      </c>
      <c r="R141" s="2">
        <f t="shared" si="11"/>
        <v>150.41000870572913</v>
      </c>
      <c r="S141" s="2">
        <f t="shared" si="10"/>
        <v>3.1015671421151132</v>
      </c>
      <c r="T141" s="2">
        <f t="shared" si="12"/>
        <v>3.7984425790744787</v>
      </c>
      <c r="U141" s="2">
        <f t="shared" si="13"/>
        <v>157.3100184269187</v>
      </c>
    </row>
    <row r="142" spans="1:21" x14ac:dyDescent="0.25">
      <c r="A142">
        <v>1860161</v>
      </c>
      <c r="B142">
        <v>26</v>
      </c>
      <c r="C142" s="1">
        <f>6.02132957789572*(10.3/7.3)</f>
        <v>8.495848582510396</v>
      </c>
      <c r="D142" s="1">
        <f>6.93005419526823*(10.3/7.3)</f>
        <v>9.7780216727757203</v>
      </c>
      <c r="E142" s="1">
        <f>24.7983510088791*(10.3/7.3)</f>
        <v>34.989454163212969</v>
      </c>
      <c r="F142" s="1">
        <f>39.5594019659927*(38.9/42.5)</f>
        <v>36.20848791710862</v>
      </c>
      <c r="G142" s="1">
        <v>0.94633725326789231</v>
      </c>
      <c r="H142" s="1">
        <v>1.705407963802767</v>
      </c>
      <c r="I142" s="1">
        <v>29.017289492776264</v>
      </c>
      <c r="J142" s="1">
        <v>2.5112585436374377E-2</v>
      </c>
      <c r="K142" s="1">
        <v>3.1835706235605059</v>
      </c>
      <c r="L142" s="1">
        <v>1.9979395629586685</v>
      </c>
      <c r="M142" s="1">
        <v>0.10685976229961226</v>
      </c>
      <c r="N142" s="1">
        <v>1.1923521138572033</v>
      </c>
      <c r="O142" s="1">
        <v>0.10247794871794871</v>
      </c>
      <c r="P142" s="1">
        <v>8.4259567360629145E-2</v>
      </c>
      <c r="Q142" s="1">
        <v>1.5124111353596468</v>
      </c>
      <c r="R142" s="2">
        <f t="shared" si="11"/>
        <v>122.65325818081426</v>
      </c>
      <c r="S142" s="2">
        <f t="shared" si="10"/>
        <v>3.2929427763575094</v>
      </c>
      <c r="T142" s="2">
        <f t="shared" si="12"/>
        <v>3.3996293878334325</v>
      </c>
      <c r="U142" s="2">
        <f t="shared" si="13"/>
        <v>129.3458303450052</v>
      </c>
    </row>
    <row r="143" spans="1:21" x14ac:dyDescent="0.25">
      <c r="A143">
        <v>1860169</v>
      </c>
      <c r="B143">
        <v>55</v>
      </c>
      <c r="C143" s="1">
        <f>6.1439769944335*(10.3/7.3)</f>
        <v>8.6688990469404246</v>
      </c>
      <c r="D143" s="1">
        <f>7.28750480613586*(10.3/7.3)</f>
        <v>10.282369794958811</v>
      </c>
      <c r="E143" s="1">
        <f>26.0710575592567*(10.3/7.3)</f>
        <v>36.785190802786872</v>
      </c>
      <c r="F143" s="1">
        <f>40.0182543822864*(38.9/42.5)</f>
        <v>36.628472834610328</v>
      </c>
      <c r="G143" s="1">
        <v>0.87652748808559022</v>
      </c>
      <c r="H143" s="1">
        <v>1.6541971708273659</v>
      </c>
      <c r="I143" s="1">
        <v>28.672939407697857</v>
      </c>
      <c r="J143" s="1">
        <v>2.4930442206001584E-2</v>
      </c>
      <c r="K143" s="1">
        <v>3.0101932839060499</v>
      </c>
      <c r="L143" s="1">
        <v>1.9908445496366431</v>
      </c>
      <c r="M143" s="1">
        <v>0.10482742288533389</v>
      </c>
      <c r="N143" s="1">
        <v>1.1777528242333648</v>
      </c>
      <c r="O143" s="1">
        <v>0.10139636363636363</v>
      </c>
      <c r="P143" s="1">
        <v>8.4116839403276855E-2</v>
      </c>
      <c r="Q143" s="1">
        <v>1.4008430174883875</v>
      </c>
      <c r="R143" s="2">
        <f t="shared" si="11"/>
        <v>124.96943956339562</v>
      </c>
      <c r="S143" s="2">
        <f t="shared" si="10"/>
        <v>3.1192405655153284</v>
      </c>
      <c r="T143" s="2">
        <f t="shared" si="12"/>
        <v>3.3748211603917055</v>
      </c>
      <c r="U143" s="2">
        <f t="shared" si="13"/>
        <v>131.46350128930268</v>
      </c>
    </row>
    <row r="144" spans="1:21" x14ac:dyDescent="0.25">
      <c r="A144">
        <v>1860177</v>
      </c>
      <c r="B144">
        <v>31</v>
      </c>
      <c r="C144" s="1">
        <f>8.66914237726611*(10.3/7.3)</f>
        <v>12.23180362819739</v>
      </c>
      <c r="D144" s="1">
        <f>10.4353841928437*(10.3/7.3)</f>
        <v>14.723898244697235</v>
      </c>
      <c r="E144" s="1">
        <f>37.3446214549718*(10.3/7.3)</f>
        <v>52.691726162494483</v>
      </c>
      <c r="F144" s="1">
        <f>55.4259177783859*(38.9/42.5)</f>
        <v>50.731016507746126</v>
      </c>
      <c r="G144" s="1">
        <v>1.1055532279952021</v>
      </c>
      <c r="H144" s="1">
        <v>2.0293105405974985</v>
      </c>
      <c r="I144" s="1">
        <v>39.079604365768773</v>
      </c>
      <c r="J144" s="1">
        <v>3.0191079120311475E-2</v>
      </c>
      <c r="K144" s="1">
        <v>4.0230150411492174</v>
      </c>
      <c r="L144" s="1">
        <v>2.3240233457568946</v>
      </c>
      <c r="M144" s="1">
        <v>0.11769627597592908</v>
      </c>
      <c r="N144" s="1">
        <v>1.4214302887750232</v>
      </c>
      <c r="O144" s="1">
        <v>0.11110193548387096</v>
      </c>
      <c r="P144" s="1">
        <v>9.0470630403002891E-2</v>
      </c>
      <c r="Q144" s="1">
        <v>1.7668658894900504</v>
      </c>
      <c r="R144" s="2">
        <f t="shared" si="11"/>
        <v>174.35977856698676</v>
      </c>
      <c r="S144" s="2">
        <f t="shared" si="10"/>
        <v>4.1436767506725314</v>
      </c>
      <c r="T144" s="2">
        <f t="shared" si="12"/>
        <v>3.9742518459917178</v>
      </c>
      <c r="U144" s="2">
        <f t="shared" si="13"/>
        <v>182.47770716365102</v>
      </c>
    </row>
    <row r="145" spans="1:21" x14ac:dyDescent="0.25">
      <c r="A145">
        <v>1860281</v>
      </c>
      <c r="B145">
        <v>6</v>
      </c>
      <c r="C145" s="1">
        <f>9.33994286859175*(10.3/7.3)</f>
        <v>13.178275554314393</v>
      </c>
      <c r="D145" s="1">
        <f>13.6883870559388*(10.3/7.3)</f>
        <v>19.31375159947525</v>
      </c>
      <c r="E145" s="1">
        <f>48.7027849598252*(10.3/7.3)</f>
        <v>68.717628093999949</v>
      </c>
      <c r="F145" s="1">
        <f>65.9867967844869*(38.9/42.5)</f>
        <v>60.397326939212753</v>
      </c>
      <c r="G145" s="1">
        <v>1.060181312442672</v>
      </c>
      <c r="H145" s="1">
        <v>3.2893289838246935</v>
      </c>
      <c r="I145" s="1">
        <v>40.728871862040783</v>
      </c>
      <c r="J145" s="1">
        <v>3.3941386853989737E-2</v>
      </c>
      <c r="K145" s="1">
        <v>3.1870252994727295</v>
      </c>
      <c r="L145" s="1">
        <v>2.5253333956384627</v>
      </c>
      <c r="M145" s="1">
        <v>9.890940275654396E-2</v>
      </c>
      <c r="N145" s="1">
        <v>1.5092049425295675</v>
      </c>
      <c r="O145" s="1">
        <v>9.6311111111111125E-2</v>
      </c>
      <c r="P145" s="1">
        <v>7.990420204974176E-2</v>
      </c>
      <c r="Q145" s="1">
        <v>1.6943536956846377</v>
      </c>
      <c r="R145" s="2">
        <f t="shared" si="11"/>
        <v>208.37971804099513</v>
      </c>
      <c r="S145" s="2">
        <f t="shared" si="10"/>
        <v>3.300870888376461</v>
      </c>
      <c r="T145" s="2">
        <f t="shared" si="12"/>
        <v>4.2297588520356859</v>
      </c>
      <c r="U145" s="2">
        <f t="shared" si="13"/>
        <v>215.91034778140727</v>
      </c>
    </row>
    <row r="146" spans="1:21" x14ac:dyDescent="0.25">
      <c r="A146">
        <v>1860289</v>
      </c>
      <c r="B146">
        <v>4</v>
      </c>
      <c r="C146" s="1">
        <f>10.6035236255473*(10.3/7.3)</f>
        <v>14.961136074402342</v>
      </c>
      <c r="D146" s="1">
        <f>14.2115638327077*(10.3/7.3)</f>
        <v>20.051932531080798</v>
      </c>
      <c r="E146" s="1">
        <f>50.7042944556332*(10.3/7.3)</f>
        <v>71.541675738770124</v>
      </c>
      <c r="F146" s="1">
        <f>70.842892648927*(38.9/42.5)</f>
        <v>64.842082918664957</v>
      </c>
      <c r="G146" s="1">
        <v>1.2177171096285797</v>
      </c>
      <c r="H146" s="1">
        <v>3.2668790923702611</v>
      </c>
      <c r="I146" s="1">
        <v>46.387107806617266</v>
      </c>
      <c r="J146" s="1">
        <v>3.840099400282624E-2</v>
      </c>
      <c r="K146" s="1">
        <v>3.4989244026685693</v>
      </c>
      <c r="L146" s="1">
        <v>2.8713661367953294</v>
      </c>
      <c r="M146" s="1">
        <v>0.10896930446457485</v>
      </c>
      <c r="N146" s="1">
        <v>1.6149654107073306</v>
      </c>
      <c r="O146" s="1">
        <v>0.10369333333333333</v>
      </c>
      <c r="P146" s="1">
        <v>8.488052317240509E-2</v>
      </c>
      <c r="Q146" s="1">
        <v>1.9461232345662256</v>
      </c>
      <c r="R146" s="2">
        <f t="shared" si="11"/>
        <v>224.21465450610057</v>
      </c>
      <c r="S146" s="2">
        <f t="shared" si="10"/>
        <v>3.6222059198438004</v>
      </c>
      <c r="T146" s="2">
        <f t="shared" si="12"/>
        <v>4.6989941853005677</v>
      </c>
      <c r="U146" s="2">
        <f t="shared" si="13"/>
        <v>232.53585461124493</v>
      </c>
    </row>
    <row r="147" spans="1:21" x14ac:dyDescent="0.25">
      <c r="A147">
        <v>1860297</v>
      </c>
      <c r="B147">
        <v>6</v>
      </c>
      <c r="C147" s="1">
        <f>9.43686054157074*(10.3/7.3)</f>
        <v>13.31502240796968</v>
      </c>
      <c r="D147" s="1">
        <f>12.2038958598728*(10.3/7.3)</f>
        <v>17.219195528313701</v>
      </c>
      <c r="E147" s="1">
        <f>43.5740257368006*(10.3/7.3)</f>
        <v>61.481159601239149</v>
      </c>
      <c r="F147" s="1">
        <f>62.5824142163128*(38.9/42.5)</f>
        <v>57.281315600342751</v>
      </c>
      <c r="G147" s="1">
        <v>1.1653482371546675</v>
      </c>
      <c r="H147" s="1">
        <v>3.4878509666112674</v>
      </c>
      <c r="I147" s="1">
        <v>42.140243074706738</v>
      </c>
      <c r="J147" s="1">
        <v>4.2423551164669254E-2</v>
      </c>
      <c r="K147" s="1">
        <v>3.3975028776520855</v>
      </c>
      <c r="L147" s="1">
        <v>2.8269857036448394</v>
      </c>
      <c r="M147" s="1">
        <v>0.10188445179479021</v>
      </c>
      <c r="N147" s="1">
        <v>1.6081675739304453</v>
      </c>
      <c r="O147" s="1">
        <v>9.8657777777777775E-2</v>
      </c>
      <c r="P147" s="1">
        <v>8.1372357764699435E-2</v>
      </c>
      <c r="Q147" s="1">
        <v>1.8624286895165942</v>
      </c>
      <c r="R147" s="2">
        <f t="shared" si="11"/>
        <v>197.95256410585458</v>
      </c>
      <c r="S147" s="2">
        <f t="shared" si="10"/>
        <v>3.5212987865814545</v>
      </c>
      <c r="T147" s="2">
        <f t="shared" si="12"/>
        <v>4.6356955071478527</v>
      </c>
      <c r="U147" s="2">
        <f t="shared" si="13"/>
        <v>206.1095583995839</v>
      </c>
    </row>
    <row r="148" spans="1:21" x14ac:dyDescent="0.25">
      <c r="A148">
        <v>1860321</v>
      </c>
      <c r="B148">
        <v>1</v>
      </c>
      <c r="C148" s="1">
        <f>4.95076715806377*(10.3/7.3)</f>
        <v>6.9853290038434066</v>
      </c>
      <c r="D148" s="1">
        <f>10.878952995301*(10.3/7.3)</f>
        <v>15.349755596109633</v>
      </c>
      <c r="E148" s="1">
        <f>38.2151488155029*(10.3/7.3)</f>
        <v>53.920004493106802</v>
      </c>
      <c r="F148" s="1">
        <f>51.4022833611449*(38.9/42.5)</f>
        <v>47.048207594083181</v>
      </c>
      <c r="G148" s="1">
        <v>0.98110494089422062</v>
      </c>
      <c r="H148" s="1">
        <v>6.3083635139286933</v>
      </c>
      <c r="I148" s="1">
        <v>25.989888158780005</v>
      </c>
      <c r="J148" s="1">
        <v>2.6783102115562351E-2</v>
      </c>
      <c r="K148" s="1">
        <v>2.9819899652534354</v>
      </c>
      <c r="L148" s="1">
        <v>2.3041904382446181</v>
      </c>
      <c r="M148" s="1">
        <v>7.8187573459847004E-2</v>
      </c>
      <c r="N148" s="1">
        <v>1.2840303659148018</v>
      </c>
      <c r="O148" s="1">
        <v>7.5093333333333331E-2</v>
      </c>
      <c r="P148" s="1">
        <v>6.5191847345722947E-2</v>
      </c>
      <c r="Q148" s="1">
        <v>1.5679759329359706</v>
      </c>
      <c r="R148" s="2">
        <f t="shared" si="11"/>
        <v>158.15062923368194</v>
      </c>
      <c r="S148" s="2">
        <f t="shared" si="10"/>
        <v>3.0739649147147206</v>
      </c>
      <c r="T148" s="2">
        <f t="shared" si="12"/>
        <v>3.7415017109526003</v>
      </c>
      <c r="U148" s="2">
        <f t="shared" si="13"/>
        <v>164.96609585934925</v>
      </c>
    </row>
    <row r="149" spans="1:21" x14ac:dyDescent="0.25">
      <c r="A149">
        <v>1872389</v>
      </c>
      <c r="B149">
        <v>10</v>
      </c>
      <c r="C149" s="1">
        <f>6.68054847483537*(10.3/7.3)</f>
        <v>9.4259793549047028</v>
      </c>
      <c r="D149" s="1">
        <f>7.6198955039569*(10.3/7.3)</f>
        <v>10.75135940969261</v>
      </c>
      <c r="E149" s="1">
        <f>27.2346082073459*(10.3/7.3)</f>
        <v>38.426912950090781</v>
      </c>
      <c r="F149" s="1">
        <f>45.6629099641813*(38.9/42.5)</f>
        <v>41.794992884862431</v>
      </c>
      <c r="G149" s="1">
        <v>1.2211773714772061</v>
      </c>
      <c r="H149" s="1">
        <v>3.0916691664455964</v>
      </c>
      <c r="I149" s="1">
        <v>33.992082896425387</v>
      </c>
      <c r="J149" s="1">
        <v>2.7296529770185773E-2</v>
      </c>
      <c r="K149" s="1">
        <v>3.1259389142378238</v>
      </c>
      <c r="L149" s="1">
        <v>2.1414633506615646</v>
      </c>
      <c r="M149" s="1">
        <v>0.11440619375505592</v>
      </c>
      <c r="N149" s="1">
        <v>1.3296630191457277</v>
      </c>
      <c r="O149" s="1">
        <v>0.109056</v>
      </c>
      <c r="P149" s="1">
        <v>8.8383879386504646E-2</v>
      </c>
      <c r="Q149" s="1">
        <v>1.951653333411062</v>
      </c>
      <c r="R149" s="2">
        <f t="shared" si="11"/>
        <v>140.65582736730977</v>
      </c>
      <c r="S149" s="2">
        <f t="shared" si="10"/>
        <v>3.2416193233945143</v>
      </c>
      <c r="T149" s="2">
        <f t="shared" si="12"/>
        <v>3.6945885635623479</v>
      </c>
      <c r="U149" s="2">
        <f t="shared" si="13"/>
        <v>147.59203525426662</v>
      </c>
    </row>
    <row r="150" spans="1:21" x14ac:dyDescent="0.25">
      <c r="A150">
        <v>1872397</v>
      </c>
      <c r="B150">
        <v>66</v>
      </c>
      <c r="C150" s="1">
        <f>5.11851439067878*(10.3/7.3)</f>
        <v>7.2220134553412931</v>
      </c>
      <c r="D150" s="1">
        <f>5.90637910830363*(10.3/7.3)</f>
        <v>8.3336581939078656</v>
      </c>
      <c r="E150" s="1">
        <f>21.1400589931037*(10.3/7.3)</f>
        <v>29.82775446972159</v>
      </c>
      <c r="F150" s="1">
        <f>33.3484391622577*(38.9/42.5)</f>
        <v>30.523630197925325</v>
      </c>
      <c r="G150" s="1">
        <v>0.77619761439750956</v>
      </c>
      <c r="H150" s="1">
        <v>1.4420505316310179</v>
      </c>
      <c r="I150" s="1">
        <v>24.369928667250246</v>
      </c>
      <c r="J150" s="1">
        <v>2.2506724219878455E-2</v>
      </c>
      <c r="K150" s="1">
        <v>2.7786034763229615</v>
      </c>
      <c r="L150" s="1">
        <v>1.7992602581776023</v>
      </c>
      <c r="M150" s="1">
        <v>9.6683489717610399E-2</v>
      </c>
      <c r="N150" s="1">
        <v>1.0840093719300083</v>
      </c>
      <c r="O150" s="1">
        <v>9.3825454545454531E-2</v>
      </c>
      <c r="P150" s="1">
        <v>7.9390457111922483E-2</v>
      </c>
      <c r="Q150" s="1">
        <v>1.2404984704983042</v>
      </c>
      <c r="R150" s="2">
        <f t="shared" si="11"/>
        <v>103.73573160067315</v>
      </c>
      <c r="S150" s="2">
        <f t="shared" si="10"/>
        <v>2.8805006576547627</v>
      </c>
      <c r="T150" s="2">
        <f t="shared" si="12"/>
        <v>3.0737785743706754</v>
      </c>
      <c r="U150" s="2">
        <f t="shared" si="13"/>
        <v>109.69001083269859</v>
      </c>
    </row>
    <row r="151" spans="1:21" x14ac:dyDescent="0.25">
      <c r="A151">
        <v>1872405</v>
      </c>
      <c r="B151">
        <v>35</v>
      </c>
      <c r="C151" s="1">
        <f>7.99314757343752*(10.3/7.3)</f>
        <v>11.278002740603629</v>
      </c>
      <c r="D151" s="1">
        <f>9.46417985959851*(10.3/7.3)</f>
        <v>13.353568842995163</v>
      </c>
      <c r="E151" s="1">
        <f>33.8743970027635*(10.3/7.3)</f>
        <v>47.795382072392322</v>
      </c>
      <c r="F151" s="1">
        <f>51.3233321906916*(38.9/42.5)</f>
        <v>46.975944052185966</v>
      </c>
      <c r="G151" s="1">
        <v>1.0813521370952643</v>
      </c>
      <c r="H151" s="1">
        <v>1.8648397829011754</v>
      </c>
      <c r="I151" s="1">
        <v>36.683360254450321</v>
      </c>
      <c r="J151" s="1">
        <v>2.7334961072786872E-2</v>
      </c>
      <c r="K151" s="1">
        <v>3.0376412517681168</v>
      </c>
      <c r="L151" s="1">
        <v>2.1490653780371947</v>
      </c>
      <c r="M151" s="1">
        <v>0.11196090616274634</v>
      </c>
      <c r="N151" s="1">
        <v>1.2724420262571203</v>
      </c>
      <c r="O151" s="1">
        <v>0.10644419047619048</v>
      </c>
      <c r="P151" s="1">
        <v>8.7349417493068252E-2</v>
      </c>
      <c r="Q151" s="1">
        <v>1.728188346955903</v>
      </c>
      <c r="R151" s="2">
        <f t="shared" si="11"/>
        <v>160.76063822957974</v>
      </c>
      <c r="S151" s="2">
        <f t="shared" si="10"/>
        <v>3.152325630333972</v>
      </c>
      <c r="T151" s="2">
        <f t="shared" si="12"/>
        <v>3.639912500933252</v>
      </c>
      <c r="U151" s="2">
        <f t="shared" si="13"/>
        <v>167.55287636084697</v>
      </c>
    </row>
    <row r="152" spans="1:21" x14ac:dyDescent="0.25">
      <c r="A152">
        <v>1872517</v>
      </c>
      <c r="B152">
        <v>34</v>
      </c>
      <c r="C152" s="1">
        <f>11.2646294524493*(10.3/7.3)</f>
        <v>15.893929227428471</v>
      </c>
      <c r="D152" s="1">
        <f>15.6763629974555*(10.3/7.3)</f>
        <v>22.118703955313983</v>
      </c>
      <c r="E152" s="1">
        <f>55.8704375478115*(10.3/7.3)</f>
        <v>78.830891334583313</v>
      </c>
      <c r="F152" s="1">
        <f>76.7074881571742*(38.9/42.5)</f>
        <v>70.209912689742964</v>
      </c>
      <c r="G152" s="1">
        <v>1.2595100670314818</v>
      </c>
      <c r="H152" s="1">
        <v>3.9825224856781278</v>
      </c>
      <c r="I152" s="1">
        <v>48.9208854380175</v>
      </c>
      <c r="J152" s="1">
        <v>3.8463144457858443E-2</v>
      </c>
      <c r="K152" s="1">
        <v>3.4886434318369024</v>
      </c>
      <c r="L152" s="1">
        <v>2.8369131382359849</v>
      </c>
      <c r="M152" s="1">
        <v>0.10968342207938045</v>
      </c>
      <c r="N152" s="1">
        <v>1.6871617990213643</v>
      </c>
      <c r="O152" s="1">
        <v>0.10426823529411765</v>
      </c>
      <c r="P152" s="1">
        <v>8.5186840367366831E-2</v>
      </c>
      <c r="Q152" s="1">
        <v>2.0129156322420965</v>
      </c>
      <c r="R152" s="2">
        <f t="shared" si="11"/>
        <v>243.2292708300379</v>
      </c>
      <c r="S152" s="2">
        <f t="shared" si="10"/>
        <v>3.6122934166621277</v>
      </c>
      <c r="T152" s="2">
        <f t="shared" si="12"/>
        <v>4.7380265946308473</v>
      </c>
      <c r="U152" s="2">
        <f t="shared" si="13"/>
        <v>251.57959084133088</v>
      </c>
    </row>
    <row r="153" spans="1:21" x14ac:dyDescent="0.25">
      <c r="A153">
        <v>1872525</v>
      </c>
      <c r="B153">
        <v>38</v>
      </c>
      <c r="C153" s="1">
        <f>11.5990959220047*(10.3/7.3)</f>
        <v>16.365847670773739</v>
      </c>
      <c r="D153" s="1">
        <f>15.0193322675455*(10.3/7.3)</f>
        <v>21.191660596673842</v>
      </c>
      <c r="E153" s="1">
        <f>53.6428874927018*(10.3/7.3)</f>
        <v>75.687909749976569</v>
      </c>
      <c r="F153" s="1">
        <f>76.0786057064664*(38.9/42.5)</f>
        <v>69.634300281918641</v>
      </c>
      <c r="G153" s="1">
        <v>1.3546268661745733</v>
      </c>
      <c r="H153" s="1">
        <v>3.7502692476245585</v>
      </c>
      <c r="I153" s="1">
        <v>50.979489128378582</v>
      </c>
      <c r="J153" s="1">
        <v>4.3740284288488189E-2</v>
      </c>
      <c r="K153" s="1">
        <v>3.8150631474490972</v>
      </c>
      <c r="L153" s="1">
        <v>3.1776185851731422</v>
      </c>
      <c r="M153" s="1">
        <v>0.1157502259245195</v>
      </c>
      <c r="N153" s="1">
        <v>1.7343523097760665</v>
      </c>
      <c r="O153" s="1">
        <v>0.10879157894736842</v>
      </c>
      <c r="P153" s="1">
        <v>8.8261055743797195E-2</v>
      </c>
      <c r="Q153" s="1">
        <v>2.1649287815575398</v>
      </c>
      <c r="R153" s="2">
        <f t="shared" si="11"/>
        <v>241.12903232307809</v>
      </c>
      <c r="S153" s="2">
        <f t="shared" si="10"/>
        <v>3.9470644874813825</v>
      </c>
      <c r="T153" s="2">
        <f t="shared" si="12"/>
        <v>5.1365126998210968</v>
      </c>
      <c r="U153" s="2">
        <f t="shared" si="13"/>
        <v>250.21260951038056</v>
      </c>
    </row>
    <row r="154" spans="1:21" x14ac:dyDescent="0.25">
      <c r="A154">
        <v>1884625</v>
      </c>
      <c r="B154">
        <v>36</v>
      </c>
      <c r="C154" s="1">
        <f>6.24079006552385*(10.3/7.3)</f>
        <v>8.8054983116295453</v>
      </c>
      <c r="D154" s="1">
        <f>7.00158144087941*(10.3/7.3)</f>
        <v>9.8789436768572525</v>
      </c>
      <c r="E154" s="1">
        <f>25.0822626335851*(10.3/7.3)</f>
        <v>35.390041798072112</v>
      </c>
      <c r="F154" s="1">
        <f>40.1954842714223*(38.9/42.5)</f>
        <v>36.79069030960769</v>
      </c>
      <c r="G154" s="1">
        <v>0.96117490559554375</v>
      </c>
      <c r="H154" s="1">
        <v>1.6673569840225624</v>
      </c>
      <c r="I154" s="1">
        <v>29.86852432603823</v>
      </c>
      <c r="J154" s="1">
        <v>2.5100200358741127E-2</v>
      </c>
      <c r="K154" s="1">
        <v>2.8445636233320837</v>
      </c>
      <c r="L154" s="1">
        <v>1.9713082392378185</v>
      </c>
      <c r="M154" s="1">
        <v>0.10601340002732343</v>
      </c>
      <c r="N154" s="1">
        <v>1.2052337755106126</v>
      </c>
      <c r="O154" s="1">
        <v>0.10128888888888886</v>
      </c>
      <c r="P154" s="1">
        <v>8.4015837305443167E-2</v>
      </c>
      <c r="Q154" s="1">
        <v>1.5361242783490441</v>
      </c>
      <c r="R154" s="2">
        <f t="shared" si="11"/>
        <v>124.89835459017198</v>
      </c>
      <c r="S154" s="2">
        <f t="shared" si="10"/>
        <v>2.9536796609962681</v>
      </c>
      <c r="T154" s="2">
        <f t="shared" si="12"/>
        <v>3.3838443036646435</v>
      </c>
      <c r="U154" s="2">
        <f t="shared" si="13"/>
        <v>131.23587855483288</v>
      </c>
    </row>
    <row r="155" spans="1:21" x14ac:dyDescent="0.25">
      <c r="A155">
        <v>1884633</v>
      </c>
      <c r="B155">
        <v>62</v>
      </c>
      <c r="C155" s="1">
        <f>6.66168743056673*(10.3/7.3)</f>
        <v>9.3993671965530528</v>
      </c>
      <c r="D155" s="1">
        <f>7.75397436527473*(10.3/7.3)</f>
        <v>10.940539172921877</v>
      </c>
      <c r="E155" s="1">
        <f>27.7572026362142*(10.3/7.3)</f>
        <v>39.164272212740642</v>
      </c>
      <c r="F155" s="1">
        <f>42.9910668214315*(38.9/42.5)</f>
        <v>39.34947057302788</v>
      </c>
      <c r="G155" s="1">
        <v>0.95650844094196996</v>
      </c>
      <c r="H155" s="1">
        <v>1.6664967449726493</v>
      </c>
      <c r="I155" s="1">
        <v>31.153291123682166</v>
      </c>
      <c r="J155" s="1">
        <v>2.5309067881320913E-2</v>
      </c>
      <c r="K155" s="1">
        <v>2.7711289249534752</v>
      </c>
      <c r="L155" s="1">
        <v>1.9911708548860327</v>
      </c>
      <c r="M155" s="1">
        <v>0.10601224233184543</v>
      </c>
      <c r="N155" s="1">
        <v>1.2358515331843614</v>
      </c>
      <c r="O155" s="1">
        <v>0.10114838709677422</v>
      </c>
      <c r="P155" s="1">
        <v>8.3939539593322052E-2</v>
      </c>
      <c r="Q155" s="1">
        <v>1.5286664581264378</v>
      </c>
      <c r="R155" s="2">
        <f t="shared" si="11"/>
        <v>134.15861192296671</v>
      </c>
      <c r="S155" s="2">
        <f t="shared" si="10"/>
        <v>2.8803775324281182</v>
      </c>
      <c r="T155" s="2">
        <f t="shared" si="12"/>
        <v>3.4341830174990138</v>
      </c>
      <c r="U155" s="2">
        <f t="shared" si="13"/>
        <v>140.47317247289385</v>
      </c>
    </row>
    <row r="156" spans="1:21" x14ac:dyDescent="0.25">
      <c r="A156">
        <v>1884641</v>
      </c>
      <c r="B156">
        <v>1</v>
      </c>
      <c r="C156" s="1">
        <f>12.3908581083961*(10.3/7.3)</f>
        <v>17.482991577600036</v>
      </c>
      <c r="D156" s="1">
        <f>14.3315749865095*(10.3/7.3)</f>
        <v>20.221263337129887</v>
      </c>
      <c r="E156" s="1">
        <f>51.3303295686722*(10.3/7.3)</f>
        <v>72.424985555797704</v>
      </c>
      <c r="F156" s="1">
        <f>78.9357856504359*(38.9/42.5)</f>
        <v>72.249460277693117</v>
      </c>
      <c r="G156" s="1">
        <v>1.7156461072723741</v>
      </c>
      <c r="H156" s="1">
        <v>2.3943565030502514</v>
      </c>
      <c r="I156" s="1">
        <v>57.279174404062609</v>
      </c>
      <c r="J156" s="1">
        <v>3.5498642632888877E-2</v>
      </c>
      <c r="K156" s="1">
        <v>3.5940984424521498</v>
      </c>
      <c r="L156" s="1">
        <v>2.7143073792070807</v>
      </c>
      <c r="M156" s="1">
        <v>0.14014375207002214</v>
      </c>
      <c r="N156" s="1">
        <v>1.676058871191294</v>
      </c>
      <c r="O156" s="1">
        <v>0.12586666666666665</v>
      </c>
      <c r="P156" s="1">
        <v>9.9688183262505684E-2</v>
      </c>
      <c r="Q156" s="1">
        <v>2.7419001714398701</v>
      </c>
      <c r="R156" s="2">
        <f t="shared" si="11"/>
        <v>246.50977793404587</v>
      </c>
      <c r="S156" s="2">
        <f t="shared" si="10"/>
        <v>3.7292852683475441</v>
      </c>
      <c r="T156" s="2">
        <f t="shared" si="12"/>
        <v>4.6563766691350637</v>
      </c>
      <c r="U156" s="2">
        <f t="shared" si="13"/>
        <v>254.89543987152848</v>
      </c>
    </row>
    <row r="157" spans="1:21" x14ac:dyDescent="0.25">
      <c r="A157">
        <v>1884745</v>
      </c>
      <c r="B157">
        <v>18</v>
      </c>
      <c r="C157" s="1">
        <f>10.5682305460036*(10.3/7.3)</f>
        <v>14.911338989566683</v>
      </c>
      <c r="D157" s="1">
        <f>15.8224232571754*(10.3/7.3)</f>
        <v>22.324788979302266</v>
      </c>
      <c r="E157" s="1">
        <f>56.2659895985323*(10.3/7.3)</f>
        <v>79.38899902258666</v>
      </c>
      <c r="F157" s="1">
        <f>75.4173019994459*(38.9/42.5)</f>
        <v>69.02901288890456</v>
      </c>
      <c r="G157" s="1">
        <v>1.1728171572172492</v>
      </c>
      <c r="H157" s="1">
        <v>4.333556852672741</v>
      </c>
      <c r="I157" s="1">
        <v>45.803819490638922</v>
      </c>
      <c r="J157" s="1">
        <v>3.8224193846275484E-2</v>
      </c>
      <c r="K157" s="1">
        <v>3.1705118454723378</v>
      </c>
      <c r="L157" s="1">
        <v>2.5312847121728432</v>
      </c>
      <c r="M157" s="1">
        <v>0.10169637296878759</v>
      </c>
      <c r="N157" s="1">
        <v>1.5518185455692128</v>
      </c>
      <c r="O157" s="1">
        <v>9.8263703703703686E-2</v>
      </c>
      <c r="P157" s="1">
        <v>8.1119802414684791E-2</v>
      </c>
      <c r="Q157" s="1">
        <v>1.8743653197535965</v>
      </c>
      <c r="R157" s="2">
        <f t="shared" si="11"/>
        <v>238.83869870064265</v>
      </c>
      <c r="S157" s="2">
        <f t="shared" si="10"/>
        <v>3.2898558417332979</v>
      </c>
      <c r="T157" s="2">
        <f t="shared" si="12"/>
        <v>4.283063334414547</v>
      </c>
      <c r="U157" s="2">
        <f t="shared" si="13"/>
        <v>246.4116178767905</v>
      </c>
    </row>
    <row r="158" spans="1:21" x14ac:dyDescent="0.25">
      <c r="A158">
        <v>1884753</v>
      </c>
      <c r="B158">
        <v>29</v>
      </c>
      <c r="C158" s="1">
        <f>11.9811669154396*(10.3/7.3)</f>
        <v>16.904934140962734</v>
      </c>
      <c r="D158" s="1">
        <f>15.8347299591618*(10.3/7.3)</f>
        <v>22.342153230050155</v>
      </c>
      <c r="E158" s="1">
        <f>56.5287993476908*(10.3/7.3)</f>
        <v>79.759812778248673</v>
      </c>
      <c r="F158" s="1">
        <f>78.9942585965751*(38.9/42.5)</f>
        <v>72.302980221335758</v>
      </c>
      <c r="G158" s="1">
        <v>1.3465996078177631</v>
      </c>
      <c r="H158" s="1">
        <v>3.9806674934583319</v>
      </c>
      <c r="I158" s="1">
        <v>52.105932269828244</v>
      </c>
      <c r="J158" s="1">
        <v>4.0912677992357642E-2</v>
      </c>
      <c r="K158" s="1">
        <v>3.7002664389159357</v>
      </c>
      <c r="L158" s="1">
        <v>3.049410428656087</v>
      </c>
      <c r="M158" s="1">
        <v>0.11494806611377154</v>
      </c>
      <c r="N158" s="1">
        <v>1.7014249572979834</v>
      </c>
      <c r="O158" s="1">
        <v>0.10824827586206898</v>
      </c>
      <c r="P158" s="1">
        <v>8.7957225900431257E-2</v>
      </c>
      <c r="Q158" s="1">
        <v>2.1520998298457426</v>
      </c>
      <c r="R158" s="2">
        <f t="shared" si="11"/>
        <v>250.8951795715474</v>
      </c>
      <c r="S158" s="2">
        <f t="shared" si="10"/>
        <v>3.8291363428087242</v>
      </c>
      <c r="T158" s="2">
        <f t="shared" si="12"/>
        <v>4.9740317279299102</v>
      </c>
      <c r="U158" s="2">
        <f t="shared" si="13"/>
        <v>259.69834764228602</v>
      </c>
    </row>
    <row r="159" spans="1:21" x14ac:dyDescent="0.25">
      <c r="A159">
        <v>1884761</v>
      </c>
      <c r="B159">
        <v>22</v>
      </c>
      <c r="C159" s="1">
        <f>9.36474558564927*(10.3/7.3)</f>
        <v>13.213271168792799</v>
      </c>
      <c r="D159" s="1">
        <f>11.9684227944787*(10.3/7.3)</f>
        <v>16.886952710017919</v>
      </c>
      <c r="E159" s="1">
        <f>42.7498153907445*(10.3/7.3)</f>
        <v>60.318232674612041</v>
      </c>
      <c r="F159" s="1">
        <f>61.6794791108682*(38.9/42.5)</f>
        <v>56.454864409712343</v>
      </c>
      <c r="G159" s="1">
        <v>1.1589024122874825</v>
      </c>
      <c r="H159" s="1">
        <v>4.4804099853016659</v>
      </c>
      <c r="I159" s="1">
        <v>41.844039739683474</v>
      </c>
      <c r="J159" s="1">
        <v>3.6675167311026699E-2</v>
      </c>
      <c r="K159" s="1">
        <v>3.2951326138579775</v>
      </c>
      <c r="L159" s="1">
        <v>2.7193859439161723</v>
      </c>
      <c r="M159" s="1">
        <v>9.9563657509768033E-2</v>
      </c>
      <c r="N159" s="1">
        <v>1.5407638347054964</v>
      </c>
      <c r="O159" s="1">
        <v>9.6414545454545447E-2</v>
      </c>
      <c r="P159" s="1">
        <v>7.9761106191625422E-2</v>
      </c>
      <c r="Q159" s="1">
        <v>1.8521271429252024</v>
      </c>
      <c r="R159" s="2">
        <f t="shared" si="11"/>
        <v>196.20880024333292</v>
      </c>
      <c r="S159" s="2">
        <f t="shared" si="10"/>
        <v>3.4115688873606294</v>
      </c>
      <c r="T159" s="2">
        <f t="shared" si="12"/>
        <v>4.4561279815859818</v>
      </c>
      <c r="U159" s="2">
        <f t="shared" si="13"/>
        <v>204.07649711227953</v>
      </c>
    </row>
    <row r="160" spans="1:21" x14ac:dyDescent="0.25">
      <c r="A160">
        <v>1884777</v>
      </c>
      <c r="B160">
        <v>3</v>
      </c>
      <c r="C160" s="1">
        <f>9.47536208289116*(10.3/7.3)</f>
        <v>13.369346500517672</v>
      </c>
      <c r="D160" s="1">
        <f>9.93578246062185*(10.3/7.3)</f>
        <v>14.018980732110283</v>
      </c>
      <c r="E160" s="1">
        <f>35.8495864233398*(10.3/7.3)</f>
        <v>50.582293172657458</v>
      </c>
      <c r="F160" s="1">
        <f>50.8662767693572*(38.9/42.5)</f>
        <v>46.557603913599884</v>
      </c>
      <c r="G160" s="1">
        <v>0.7761358385223639</v>
      </c>
      <c r="H160" s="1">
        <v>5.3084755803223169</v>
      </c>
      <c r="I160" s="1">
        <v>38.175518869786863</v>
      </c>
      <c r="J160" s="1">
        <v>2.7985343180107553E-2</v>
      </c>
      <c r="K160" s="1">
        <v>2.9624619614974095</v>
      </c>
      <c r="L160" s="1">
        <v>3.5756082348182114</v>
      </c>
      <c r="M160" s="1">
        <v>8.0109379004718498E-2</v>
      </c>
      <c r="N160" s="1">
        <v>1.2298249559005889</v>
      </c>
      <c r="O160" s="1">
        <v>7.9484444444444455E-2</v>
      </c>
      <c r="P160" s="1">
        <v>6.7862444908145927E-2</v>
      </c>
      <c r="Q160" s="1">
        <v>1.2403997419307196</v>
      </c>
      <c r="R160" s="2">
        <f t="shared" si="11"/>
        <v>170.02875434944755</v>
      </c>
      <c r="S160" s="2">
        <f t="shared" si="10"/>
        <v>3.0583097495856628</v>
      </c>
      <c r="T160" s="2">
        <f t="shared" si="12"/>
        <v>4.9650270141679638</v>
      </c>
      <c r="U160" s="2">
        <f t="shared" si="13"/>
        <v>178.05209111320119</v>
      </c>
    </row>
    <row r="161" spans="1:21" x14ac:dyDescent="0.25">
      <c r="A161">
        <v>1896861</v>
      </c>
      <c r="B161">
        <v>64</v>
      </c>
      <c r="C161" s="1">
        <f>7.03464233766662*(10.3/7.3)</f>
        <v>9.9255912435570099</v>
      </c>
      <c r="D161" s="1">
        <f>7.99636468196574*(10.3/7.3)</f>
        <v>11.282541948527003</v>
      </c>
      <c r="E161" s="1">
        <f>28.6458638106424*(10.3/7.3)</f>
        <v>40.418136609536546</v>
      </c>
      <c r="F161" s="1">
        <f>44.9761547181034*(38.9/42.5)</f>
        <v>41.166409847864081</v>
      </c>
      <c r="G161" s="1">
        <v>1.0263331115106153</v>
      </c>
      <c r="H161" s="1">
        <v>1.760412997104462</v>
      </c>
      <c r="I161" s="1">
        <v>33.068291920704141</v>
      </c>
      <c r="J161" s="1">
        <v>2.6125538133310911E-2</v>
      </c>
      <c r="K161" s="1">
        <v>2.7843814136441862</v>
      </c>
      <c r="L161" s="1">
        <v>2.043458898462029</v>
      </c>
      <c r="M161" s="1">
        <v>0.10994836524780395</v>
      </c>
      <c r="N161" s="1">
        <v>1.358748866626762</v>
      </c>
      <c r="O161" s="1">
        <v>0.10412166666666665</v>
      </c>
      <c r="P161" s="1">
        <v>8.5885428047152365E-2</v>
      </c>
      <c r="Q161" s="1">
        <v>1.6402583973913971</v>
      </c>
      <c r="R161" s="2">
        <f t="shared" si="11"/>
        <v>140.28797607619526</v>
      </c>
      <c r="S161" s="2">
        <f t="shared" si="10"/>
        <v>2.8963923798246491</v>
      </c>
      <c r="T161" s="2">
        <f t="shared" si="12"/>
        <v>3.6162777970032614</v>
      </c>
      <c r="U161" s="2">
        <f t="shared" si="13"/>
        <v>146.80064625302316</v>
      </c>
    </row>
    <row r="162" spans="1:21" x14ac:dyDescent="0.25">
      <c r="A162">
        <v>1896869</v>
      </c>
      <c r="B162">
        <v>48</v>
      </c>
      <c r="C162" s="1">
        <f>9.80237625173551*(10.3/7.3)</f>
        <v>13.830750053818605</v>
      </c>
      <c r="D162" s="1">
        <f>11.4758814596953*(10.3/7.3)</f>
        <v>16.191997128063168</v>
      </c>
      <c r="E162" s="1">
        <f>41.0557109392082*(10.3/7.3)</f>
        <v>57.927920914225318</v>
      </c>
      <c r="F162" s="1">
        <f>64.2631992375944*(38.9/42.5)</f>
        <v>58.819728243351079</v>
      </c>
      <c r="G162" s="1">
        <v>1.4755893238682909</v>
      </c>
      <c r="H162" s="1">
        <v>2.1039775142690154</v>
      </c>
      <c r="I162" s="1">
        <v>46.556042470261389</v>
      </c>
      <c r="J162" s="1">
        <v>3.1138220371877356E-2</v>
      </c>
      <c r="K162" s="1">
        <v>3.1606619058202647</v>
      </c>
      <c r="L162" s="1">
        <v>2.3939890074361379</v>
      </c>
      <c r="M162" s="1">
        <v>0.12553491633133285</v>
      </c>
      <c r="N162" s="1">
        <v>1.6270733485887021</v>
      </c>
      <c r="O162" s="1">
        <v>0.11532111111111111</v>
      </c>
      <c r="P162" s="1">
        <v>9.282733280318857E-2</v>
      </c>
      <c r="Q162" s="1">
        <v>2.3582477778716995</v>
      </c>
      <c r="R162" s="2">
        <f t="shared" si="11"/>
        <v>199.26425342572855</v>
      </c>
      <c r="S162" s="2">
        <f t="shared" si="10"/>
        <v>3.284627458995331</v>
      </c>
      <c r="T162" s="2">
        <f t="shared" si="12"/>
        <v>4.2619183834672842</v>
      </c>
      <c r="U162" s="2">
        <f t="shared" si="13"/>
        <v>206.81079926819115</v>
      </c>
    </row>
    <row r="163" spans="1:21" x14ac:dyDescent="0.25">
      <c r="A163">
        <v>1896925</v>
      </c>
      <c r="B163">
        <v>5</v>
      </c>
      <c r="C163" s="1">
        <f>9.40924564296851*(10.3/7.3)</f>
        <v>13.276058920900777</v>
      </c>
      <c r="D163" s="1">
        <f>14.5109590399174*(10.3/7.3)</f>
        <v>20.47436686454099</v>
      </c>
      <c r="E163" s="1">
        <f>51.5671496096477*(10.3/7.3)</f>
        <v>72.759128901283702</v>
      </c>
      <c r="F163" s="1">
        <f>68.0220602720985*(38.9/42.5)</f>
        <v>62.260191637285473</v>
      </c>
      <c r="G163" s="1">
        <v>1.0033579116664715</v>
      </c>
      <c r="H163" s="1">
        <v>3.7104463990871324</v>
      </c>
      <c r="I163" s="1">
        <v>40.351836919185452</v>
      </c>
      <c r="J163" s="1">
        <v>2.2662102626551869E-2</v>
      </c>
      <c r="K163" s="1">
        <v>2.1007078721494272</v>
      </c>
      <c r="L163" s="1">
        <v>1.695552636593805</v>
      </c>
      <c r="M163" s="1">
        <v>8.1338438799796381E-2</v>
      </c>
      <c r="N163" s="1">
        <v>1.2348934016853548</v>
      </c>
      <c r="O163" s="1">
        <v>7.8506666666666655E-2</v>
      </c>
      <c r="P163" s="1">
        <v>6.8751230944523664E-2</v>
      </c>
      <c r="Q163" s="1">
        <v>1.6035400414760974</v>
      </c>
      <c r="R163" s="2">
        <f t="shared" si="11"/>
        <v>215.43892759542612</v>
      </c>
      <c r="S163" s="2">
        <f t="shared" si="10"/>
        <v>2.1921212057205026</v>
      </c>
      <c r="T163" s="2">
        <f t="shared" si="12"/>
        <v>3.0902911437456231</v>
      </c>
      <c r="U163" s="2">
        <f t="shared" si="13"/>
        <v>220.72133994489224</v>
      </c>
    </row>
    <row r="164" spans="1:21" x14ac:dyDescent="0.25">
      <c r="A164">
        <v>1896981</v>
      </c>
      <c r="B164">
        <v>4</v>
      </c>
      <c r="C164" s="1">
        <f>8.35815356492102*(10.3/7.3)</f>
        <v>11.79301119434062</v>
      </c>
      <c r="D164" s="1">
        <f>11.8311264100567*(10.3/7.3)</f>
        <v>16.693233153915621</v>
      </c>
      <c r="E164" s="1">
        <f>42.1359248130895*(10.3/7.3)</f>
        <v>59.452058297920779</v>
      </c>
      <c r="F164" s="1">
        <f>57.9089900699132*(38.9/42.5)</f>
        <v>53.003757969873469</v>
      </c>
      <c r="G164" s="1">
        <v>0.96525211335516536</v>
      </c>
      <c r="H164" s="1">
        <v>3.4493614394917609</v>
      </c>
      <c r="I164" s="1">
        <v>36.620962763279408</v>
      </c>
      <c r="J164" s="1">
        <v>3.1344546154572099E-2</v>
      </c>
      <c r="K164" s="1">
        <v>2.8327051531512533</v>
      </c>
      <c r="L164" s="1">
        <v>2.2530976964980671</v>
      </c>
      <c r="M164" s="1">
        <v>9.0362150484299436E-2</v>
      </c>
      <c r="N164" s="1">
        <v>1.4205103543526247</v>
      </c>
      <c r="O164" s="1">
        <v>8.9906666666666663E-2</v>
      </c>
      <c r="P164" s="1">
        <v>7.5205145562254272E-2</v>
      </c>
      <c r="Q164" s="1">
        <v>1.5426403638096267</v>
      </c>
      <c r="R164" s="2">
        <f t="shared" si="11"/>
        <v>183.52027729598646</v>
      </c>
      <c r="S164" s="2">
        <f t="shared" si="10"/>
        <v>2.9392548448680795</v>
      </c>
      <c r="T164" s="2">
        <f t="shared" si="12"/>
        <v>3.8538768680016582</v>
      </c>
      <c r="U164" s="2">
        <f t="shared" si="13"/>
        <v>190.31340900885621</v>
      </c>
    </row>
    <row r="165" spans="1:21" x14ac:dyDescent="0.25">
      <c r="A165">
        <v>1896989</v>
      </c>
      <c r="B165">
        <v>1</v>
      </c>
      <c r="C165" s="1">
        <f>12.940500801729*(10.3/7.3)</f>
        <v>18.258514829836869</v>
      </c>
      <c r="D165" s="1">
        <f>16.6337480623491*(10.3/7.3)</f>
        <v>23.469534937287062</v>
      </c>
      <c r="E165" s="1">
        <f>59.4337390298907*(10.3/7.3)</f>
        <v>83.858563288749963</v>
      </c>
      <c r="F165" s="1">
        <f>84.0053478091052*(38.9/42.5)</f>
        <v>76.889600700569261</v>
      </c>
      <c r="G165" s="1">
        <v>1.4699406922846483</v>
      </c>
      <c r="H165" s="1">
        <v>3.9737987417346345</v>
      </c>
      <c r="I165" s="1">
        <v>56.441008099029304</v>
      </c>
      <c r="J165" s="1">
        <v>4.4052941407441114E-2</v>
      </c>
      <c r="K165" s="1">
        <v>3.9749597792834641</v>
      </c>
      <c r="L165" s="1">
        <v>3.3195247799144174</v>
      </c>
      <c r="M165" s="1">
        <v>0.12173293435213781</v>
      </c>
      <c r="N165" s="1">
        <v>1.8008107744508361</v>
      </c>
      <c r="O165" s="1">
        <v>0.11295999999999999</v>
      </c>
      <c r="P165" s="1">
        <v>9.1139196120930063E-2</v>
      </c>
      <c r="Q165" s="1">
        <v>2.3492202844731844</v>
      </c>
      <c r="R165" s="2">
        <f t="shared" si="11"/>
        <v>266.71018157396492</v>
      </c>
      <c r="S165" s="2">
        <f t="shared" si="10"/>
        <v>4.1101519168118354</v>
      </c>
      <c r="T165" s="2">
        <f t="shared" si="12"/>
        <v>5.3550284887173918</v>
      </c>
      <c r="U165" s="2">
        <f t="shared" si="13"/>
        <v>276.17536197949414</v>
      </c>
    </row>
    <row r="166" spans="1:21" x14ac:dyDescent="0.25">
      <c r="A166">
        <v>1909017</v>
      </c>
      <c r="B166">
        <v>25</v>
      </c>
      <c r="C166" s="1">
        <f>2.79089441667724*(10.3/7.3)</f>
        <v>3.9378373276404965</v>
      </c>
      <c r="D166" s="1">
        <f>3.18315449136286*(10.3/7.3)</f>
        <v>4.4913001727448627</v>
      </c>
      <c r="E166" s="1">
        <f>11.3550606761547*(10.3/7.3)</f>
        <v>16.021523967725152</v>
      </c>
      <c r="F166" s="1">
        <f>20.1428836516996*(38.9/42.5)</f>
        <v>18.43666291884972</v>
      </c>
      <c r="G166" s="1">
        <v>0.60189028486827345</v>
      </c>
      <c r="H166" s="1">
        <v>1.1545178592850331</v>
      </c>
      <c r="I166" s="1">
        <v>15.163800693087524</v>
      </c>
      <c r="J166" s="1">
        <v>1.8142581440663438E-2</v>
      </c>
      <c r="K166" s="1">
        <v>1.8039549041473355</v>
      </c>
      <c r="L166" s="1">
        <v>1.6481923177413569</v>
      </c>
      <c r="M166" s="1">
        <v>9.3736936277356339E-2</v>
      </c>
      <c r="N166" s="1">
        <v>0.85749419481209732</v>
      </c>
      <c r="O166" s="1">
        <v>9.3506133333333311E-2</v>
      </c>
      <c r="P166" s="1">
        <v>8.100864020635383E-2</v>
      </c>
      <c r="Q166" s="1">
        <v>0.96192511280317761</v>
      </c>
      <c r="R166" s="2">
        <f t="shared" si="11"/>
        <v>60.769458337004245</v>
      </c>
      <c r="S166" s="2">
        <f t="shared" si="10"/>
        <v>1.9031061257943529</v>
      </c>
      <c r="T166" s="2">
        <f t="shared" si="12"/>
        <v>2.6929295821641439</v>
      </c>
      <c r="U166" s="2">
        <f t="shared" si="13"/>
        <v>65.365494044962745</v>
      </c>
    </row>
    <row r="167" spans="1:21" x14ac:dyDescent="0.25">
      <c r="A167">
        <v>1909089</v>
      </c>
      <c r="B167">
        <v>1</v>
      </c>
      <c r="C167" s="1">
        <f>10.8614175704263*(10.3/7.3)</f>
        <v>15.32501383224535</v>
      </c>
      <c r="D167" s="1">
        <f>12.0751381532463*(10.3/7.3)</f>
        <v>17.037523695676246</v>
      </c>
      <c r="E167" s="1">
        <f>43.311653893283*(10.3/7.3)</f>
        <v>61.110963712440352</v>
      </c>
      <c r="F167" s="1">
        <f>67.693304405642*(38.9/42.5)</f>
        <v>61.959283326575864</v>
      </c>
      <c r="G167" s="1">
        <v>1.5085668710600111</v>
      </c>
      <c r="H167" s="1">
        <v>2.4937854487436959</v>
      </c>
      <c r="I167" s="1">
        <v>50.258260017327544</v>
      </c>
      <c r="J167" s="1">
        <v>3.3410986384337441E-2</v>
      </c>
      <c r="K167" s="1">
        <v>3.2861653075494979</v>
      </c>
      <c r="L167" s="1">
        <v>2.5517422249614032</v>
      </c>
      <c r="M167" s="1">
        <v>0.13831394443324449</v>
      </c>
      <c r="N167" s="1">
        <v>2.0600235091516952</v>
      </c>
      <c r="O167" s="1">
        <v>0.12304</v>
      </c>
      <c r="P167" s="1">
        <v>9.7354545026122133E-2</v>
      </c>
      <c r="Q167" s="1">
        <v>2.4109516204155454</v>
      </c>
      <c r="R167" s="2">
        <f t="shared" si="11"/>
        <v>212.10434852448461</v>
      </c>
      <c r="S167" s="2">
        <f t="shared" si="10"/>
        <v>3.4169308389599573</v>
      </c>
      <c r="T167" s="2">
        <f t="shared" si="12"/>
        <v>4.8731196785463426</v>
      </c>
      <c r="U167" s="2">
        <f t="shared" si="13"/>
        <v>220.39439904199091</v>
      </c>
    </row>
    <row r="168" spans="1:21" x14ac:dyDescent="0.25">
      <c r="A168">
        <v>1909097</v>
      </c>
      <c r="B168">
        <v>47</v>
      </c>
      <c r="C168" s="1">
        <f>9.10825567716835*(10.3/7.3)</f>
        <v>12.851374448607405</v>
      </c>
      <c r="D168" s="1">
        <f>10.6788775017498*(10.3/7.3)</f>
        <v>15.06745729698941</v>
      </c>
      <c r="E168" s="1">
        <f>38.22874756052*(10.3/7.3)</f>
        <v>53.939191763473367</v>
      </c>
      <c r="F168" s="1">
        <f>58.4845639721722*(38.9/42.5)</f>
        <v>53.530577376882292</v>
      </c>
      <c r="G168" s="1">
        <v>1.2612565976988175</v>
      </c>
      <c r="H168" s="1">
        <v>1.9949826182493824</v>
      </c>
      <c r="I168" s="1">
        <v>42.105978165110116</v>
      </c>
      <c r="J168" s="1">
        <v>3.0109773861221541E-2</v>
      </c>
      <c r="K168" s="1">
        <v>3.0198459371079678</v>
      </c>
      <c r="L168" s="1">
        <v>2.3281940300154504</v>
      </c>
      <c r="M168" s="1">
        <v>0.12345140314971793</v>
      </c>
      <c r="N168" s="1">
        <v>1.5606281329361977</v>
      </c>
      <c r="O168" s="1">
        <v>0.11427404255319146</v>
      </c>
      <c r="P168" s="1">
        <v>9.2005156378990566E-2</v>
      </c>
      <c r="Q168" s="1">
        <v>2.0157068912994816</v>
      </c>
      <c r="R168" s="2">
        <f t="shared" si="11"/>
        <v>182.76652515831029</v>
      </c>
      <c r="S168" s="2">
        <f t="shared" si="10"/>
        <v>3.14196086734818</v>
      </c>
      <c r="T168" s="2">
        <f t="shared" si="12"/>
        <v>4.1265476086545574</v>
      </c>
      <c r="U168" s="2">
        <f t="shared" si="13"/>
        <v>190.03503363431304</v>
      </c>
    </row>
    <row r="169" spans="1:21" x14ac:dyDescent="0.25">
      <c r="A169">
        <v>1909161</v>
      </c>
      <c r="B169">
        <v>4</v>
      </c>
      <c r="C169" s="1">
        <f>9.15573290796388*(10.3/7.3)</f>
        <v>12.918362870140813</v>
      </c>
      <c r="D169" s="1">
        <f>14.5946121588639*(10.3/7.3)</f>
        <v>20.592397977575036</v>
      </c>
      <c r="E169" s="1">
        <f>51.755124211484*(10.3/7.3)</f>
        <v>73.024353339491142</v>
      </c>
      <c r="F169" s="1">
        <f>70.6152497960821*(38.9/42.5)</f>
        <v>64.633722754531632</v>
      </c>
      <c r="G169" s="1">
        <v>1.2267298846761645</v>
      </c>
      <c r="H169" s="1">
        <v>3.9981521152575219</v>
      </c>
      <c r="I169" s="1">
        <v>41.893896359292285</v>
      </c>
      <c r="J169" s="1">
        <v>2.3276094210221369E-2</v>
      </c>
      <c r="K169" s="1">
        <v>2.1808804857577773</v>
      </c>
      <c r="L169" s="1">
        <v>1.6996415402084151</v>
      </c>
      <c r="M169" s="1">
        <v>8.3175910507459358E-2</v>
      </c>
      <c r="N169" s="1">
        <v>1.2021090280124171</v>
      </c>
      <c r="O169" s="1">
        <v>8.0626666666666666E-2</v>
      </c>
      <c r="P169" s="1">
        <v>7.0366008338277386E-2</v>
      </c>
      <c r="Q169" s="1">
        <v>1.9605272129527764</v>
      </c>
      <c r="R169" s="2">
        <f t="shared" si="11"/>
        <v>220.24814251391734</v>
      </c>
      <c r="S169" s="2">
        <f t="shared" si="10"/>
        <v>2.2745225883062763</v>
      </c>
      <c r="T169" s="2">
        <f t="shared" si="12"/>
        <v>3.0655531453949583</v>
      </c>
      <c r="U169" s="2">
        <f t="shared" si="13"/>
        <v>225.58821824761858</v>
      </c>
    </row>
    <row r="170" spans="1:21" x14ac:dyDescent="0.25">
      <c r="A170">
        <v>1921245</v>
      </c>
      <c r="B170">
        <v>22</v>
      </c>
      <c r="C170" s="1">
        <f>4.20330016598091*(10.3/7.3)</f>
        <v>5.9306837958360843</v>
      </c>
      <c r="D170" s="1">
        <f>4.84365684207973*(10.3/7.3)</f>
        <v>6.8342007497837347</v>
      </c>
      <c r="E170" s="1">
        <f>17.2643892795056*(10.3/7.3)</f>
        <v>24.359343777932548</v>
      </c>
      <c r="F170" s="1">
        <f>30.8951923008055*(38.9/42.5)</f>
        <v>28.278187776501987</v>
      </c>
      <c r="G170" s="1">
        <v>0.9409132313881895</v>
      </c>
      <c r="H170" s="1">
        <v>3.0897025742764752</v>
      </c>
      <c r="I170" s="1">
        <v>23.199257218704101</v>
      </c>
      <c r="J170" s="1">
        <v>2.3089200372005705E-2</v>
      </c>
      <c r="K170" s="1">
        <v>2.1731026242683558</v>
      </c>
      <c r="L170" s="1">
        <v>2.0663984096486261</v>
      </c>
      <c r="M170" s="1">
        <v>0.11917045508205458</v>
      </c>
      <c r="N170" s="1">
        <v>1.1157451906349436</v>
      </c>
      <c r="O170" s="1">
        <v>0.11503272727272727</v>
      </c>
      <c r="P170" s="1">
        <v>9.4234267635563557E-2</v>
      </c>
      <c r="Q170" s="1">
        <v>1.5037426072414006</v>
      </c>
      <c r="R170" s="2">
        <f t="shared" si="11"/>
        <v>94.136031731664531</v>
      </c>
      <c r="S170" s="2">
        <f t="shared" si="10"/>
        <v>2.2904260922759252</v>
      </c>
      <c r="T170" s="2">
        <f t="shared" si="12"/>
        <v>3.4163467826383518</v>
      </c>
      <c r="U170" s="2">
        <f t="shared" si="13"/>
        <v>99.84280460657881</v>
      </c>
    </row>
    <row r="171" spans="1:21" x14ac:dyDescent="0.25">
      <c r="A171">
        <v>1921253</v>
      </c>
      <c r="B171">
        <v>24</v>
      </c>
      <c r="C171" s="1">
        <f>3.13533650734619*(10.3/7.3)</f>
        <v>4.423830962419963</v>
      </c>
      <c r="D171" s="1">
        <f>3.56222702968365*(10.3/7.3)</f>
        <v>5.0261559459920004</v>
      </c>
      <c r="E171" s="1">
        <f>12.7102284816792*(10.3/7.3)</f>
        <v>17.933610049492597</v>
      </c>
      <c r="F171" s="1">
        <f>22.5213568708777*(38.9/42.5)</f>
        <v>20.613665465344535</v>
      </c>
      <c r="G171" s="1">
        <v>0.67070961770284854</v>
      </c>
      <c r="H171" s="1">
        <v>1.2487542178652642</v>
      </c>
      <c r="I171" s="1">
        <v>16.977892330430873</v>
      </c>
      <c r="J171" s="1">
        <v>1.8771933421934065E-2</v>
      </c>
      <c r="K171" s="1">
        <v>1.828666090168549</v>
      </c>
      <c r="L171" s="1">
        <v>1.6842895289163033</v>
      </c>
      <c r="M171" s="1">
        <v>9.7328279515773386E-2</v>
      </c>
      <c r="N171" s="1">
        <v>0.8732606393340413</v>
      </c>
      <c r="O171" s="1">
        <v>9.5553333333333337E-2</v>
      </c>
      <c r="P171" s="1">
        <v>8.1331680972861642E-2</v>
      </c>
      <c r="Q171" s="1">
        <v>1.0719103479269276</v>
      </c>
      <c r="R171" s="2">
        <f t="shared" si="11"/>
        <v>67.966528937175013</v>
      </c>
      <c r="S171" s="2">
        <f t="shared" si="10"/>
        <v>1.9287697045633447</v>
      </c>
      <c r="T171" s="2">
        <f t="shared" si="12"/>
        <v>2.7504317810994512</v>
      </c>
      <c r="U171" s="2">
        <f t="shared" si="13"/>
        <v>72.645730422837815</v>
      </c>
    </row>
    <row r="172" spans="1:21" x14ac:dyDescent="0.25">
      <c r="A172">
        <v>1921325</v>
      </c>
      <c r="B172">
        <v>49</v>
      </c>
      <c r="C172" s="1">
        <f>9.34888411323337*(10.3/7.3)</f>
        <v>13.190891283055301</v>
      </c>
      <c r="D172" s="1">
        <f>10.7968420066265*(10.3/7.3)</f>
        <v>15.233900365514142</v>
      </c>
      <c r="E172" s="1">
        <f>38.650657899539*(10.3/7.3)</f>
        <v>54.534489913048198</v>
      </c>
      <c r="F172" s="1">
        <f>60.5582421742684*(38.9/42.5)</f>
        <v>55.428602837153925</v>
      </c>
      <c r="G172" s="1">
        <v>1.3849937546762903</v>
      </c>
      <c r="H172" s="1">
        <v>2.8409709806414147</v>
      </c>
      <c r="I172" s="1">
        <v>44.167736054851538</v>
      </c>
      <c r="J172" s="1">
        <v>2.9714896123815102E-2</v>
      </c>
      <c r="K172" s="1">
        <v>2.8574758407017855</v>
      </c>
      <c r="L172" s="1">
        <v>2.2739393031104207</v>
      </c>
      <c r="M172" s="1">
        <v>0.12344944414262032</v>
      </c>
      <c r="N172" s="1">
        <v>1.4140730871195082</v>
      </c>
      <c r="O172" s="1">
        <v>0.11269877551020413</v>
      </c>
      <c r="P172" s="1">
        <v>9.0898711724148817E-2</v>
      </c>
      <c r="Q172" s="1">
        <v>2.2134603385237543</v>
      </c>
      <c r="R172" s="2">
        <f t="shared" si="11"/>
        <v>188.99504552746455</v>
      </c>
      <c r="S172" s="2">
        <f t="shared" si="10"/>
        <v>2.9780894485497491</v>
      </c>
      <c r="T172" s="2">
        <f t="shared" si="12"/>
        <v>3.9241606098827533</v>
      </c>
      <c r="U172" s="2">
        <f t="shared" si="13"/>
        <v>195.89729558589707</v>
      </c>
    </row>
    <row r="173" spans="1:21" x14ac:dyDescent="0.25">
      <c r="A173">
        <v>1921333</v>
      </c>
      <c r="B173">
        <v>22</v>
      </c>
      <c r="C173" s="1">
        <f>12.9551651818871*(10.3/7.3)</f>
        <v>18.279205667594177</v>
      </c>
      <c r="D173" s="1">
        <f>15.4644064540198*(10.3/7.3)</f>
        <v>21.819641983069065</v>
      </c>
      <c r="E173" s="1">
        <f>55.3440686442971*(10.3/7.3)</f>
        <v>78.088206443323301</v>
      </c>
      <c r="F173" s="1">
        <f>83.1130310673989*(38.9/42.5)</f>
        <v>76.07286843580745</v>
      </c>
      <c r="G173" s="1">
        <v>1.7122809477578536</v>
      </c>
      <c r="H173" s="1">
        <v>2.4680273665285792</v>
      </c>
      <c r="I173" s="1">
        <v>59.032050144060328</v>
      </c>
      <c r="J173" s="1">
        <v>3.7829318732990093E-2</v>
      </c>
      <c r="K173" s="1">
        <v>3.5464636979512365</v>
      </c>
      <c r="L173" s="1">
        <v>2.8911921065164239</v>
      </c>
      <c r="M173" s="1">
        <v>0.15247656838730264</v>
      </c>
      <c r="N173" s="1">
        <v>1.7801883852541707</v>
      </c>
      <c r="O173" s="1">
        <v>0.13313939393939395</v>
      </c>
      <c r="P173" s="1">
        <v>0.1036733435722125</v>
      </c>
      <c r="Q173" s="1">
        <v>2.7365220626267095</v>
      </c>
      <c r="R173" s="2">
        <f t="shared" si="11"/>
        <v>260.20880305076747</v>
      </c>
      <c r="S173" s="2">
        <f t="shared" si="10"/>
        <v>3.6879663602564392</v>
      </c>
      <c r="T173" s="2">
        <f t="shared" si="12"/>
        <v>4.9569964540972906</v>
      </c>
      <c r="U173" s="2">
        <f t="shared" si="13"/>
        <v>268.8537658651212</v>
      </c>
    </row>
    <row r="174" spans="1:21" x14ac:dyDescent="0.25">
      <c r="A174">
        <v>1921341</v>
      </c>
      <c r="B174">
        <v>7</v>
      </c>
      <c r="C174" s="1">
        <f>10.8011048111165*(10.3/7.3)</f>
        <v>15.239915007465738</v>
      </c>
      <c r="D174" s="1">
        <f>11.2175061769088*(10.3/7.3)</f>
        <v>15.827440222213788</v>
      </c>
      <c r="E174" s="1">
        <f>40.430929966787*(10.3/7.3)</f>
        <v>57.046380638069309</v>
      </c>
      <c r="F174" s="1">
        <f>60.5666727056327*(38.9/42.5)</f>
        <v>55.436319252920264</v>
      </c>
      <c r="G174" s="1">
        <v>1.1365139990701754</v>
      </c>
      <c r="H174" s="1">
        <v>4.602907563183023</v>
      </c>
      <c r="I174" s="1">
        <v>46.160582192130114</v>
      </c>
      <c r="J174" s="1">
        <v>2.7959075728277154E-2</v>
      </c>
      <c r="K174" s="1">
        <v>2.6206249701991586</v>
      </c>
      <c r="L174" s="1">
        <v>2.0372531492995472</v>
      </c>
      <c r="M174" s="1">
        <v>0.10783378274008952</v>
      </c>
      <c r="N174" s="1">
        <v>1.560748172487642</v>
      </c>
      <c r="O174" s="1">
        <v>0.10147047619047621</v>
      </c>
      <c r="P174" s="1">
        <v>8.4677114698126124E-2</v>
      </c>
      <c r="Q174" s="1">
        <v>1.8163465738564462</v>
      </c>
      <c r="R174" s="2">
        <f t="shared" si="11"/>
        <v>197.26640544890884</v>
      </c>
      <c r="S174" s="2">
        <f t="shared" si="10"/>
        <v>2.7332611606255619</v>
      </c>
      <c r="T174" s="2">
        <f t="shared" si="12"/>
        <v>3.8073055807177552</v>
      </c>
      <c r="U174" s="2">
        <f t="shared" si="13"/>
        <v>203.80697219025217</v>
      </c>
    </row>
    <row r="175" spans="1:21" x14ac:dyDescent="0.25">
      <c r="A175">
        <v>1921389</v>
      </c>
      <c r="B175">
        <v>23</v>
      </c>
      <c r="C175" s="1">
        <f>10.3050212334135*(10.3/7.3)</f>
        <v>14.539961466323181</v>
      </c>
      <c r="D175" s="1">
        <f>16.0004999175227*(10.3/7.3)</f>
        <v>22.576047828833413</v>
      </c>
      <c r="E175" s="1">
        <f>56.8526193046344*(10.3/7.3)</f>
        <v>80.216709429826679</v>
      </c>
      <c r="F175" s="1">
        <f>74.6805592950742*(38.9/42.5)</f>
        <v>68.354676625373784</v>
      </c>
      <c r="G175" s="1">
        <v>1.0849711088209668</v>
      </c>
      <c r="H175" s="1">
        <v>4.2063643309271166</v>
      </c>
      <c r="I175" s="1">
        <v>44.047362612537988</v>
      </c>
      <c r="J175" s="1">
        <v>2.3375256037156355E-2</v>
      </c>
      <c r="K175" s="1">
        <v>2.1172888011639852</v>
      </c>
      <c r="L175" s="1">
        <v>1.6788346375432996</v>
      </c>
      <c r="M175" s="1">
        <v>8.2178370002567738E-2</v>
      </c>
      <c r="N175" s="1">
        <v>1.2378499254588271</v>
      </c>
      <c r="O175" s="1">
        <v>7.9707826086956535E-2</v>
      </c>
      <c r="P175" s="1">
        <v>6.9462576873286372E-2</v>
      </c>
      <c r="Q175" s="1">
        <v>1.7339720917230079</v>
      </c>
      <c r="R175" s="2">
        <f t="shared" si="11"/>
        <v>236.76006549436619</v>
      </c>
      <c r="S175" s="2">
        <f t="shared" si="10"/>
        <v>2.2101266340744279</v>
      </c>
      <c r="T175" s="2">
        <f t="shared" si="12"/>
        <v>3.0785707590916513</v>
      </c>
      <c r="U175" s="2">
        <f t="shared" si="13"/>
        <v>242.04876288753229</v>
      </c>
    </row>
    <row r="176" spans="1:21" x14ac:dyDescent="0.25">
      <c r="A176">
        <v>1933481</v>
      </c>
      <c r="B176">
        <v>39</v>
      </c>
      <c r="C176" s="1">
        <f>4.10589832242564*(10.3/7.3)</f>
        <v>5.7932537973950762</v>
      </c>
      <c r="D176" s="1">
        <f>4.68376063907874*(10.3/7.3)</f>
        <v>6.608593778426167</v>
      </c>
      <c r="E176" s="1">
        <f>16.6985744142898*(10.3/7.3)</f>
        <v>23.561002255778721</v>
      </c>
      <c r="F176" s="1">
        <f>30.0923439718181*(38.9/42.5)</f>
        <v>27.543345423617026</v>
      </c>
      <c r="G176" s="1">
        <v>0.92469531342911804</v>
      </c>
      <c r="H176" s="1">
        <v>1.5913626874750737</v>
      </c>
      <c r="I176" s="1">
        <v>22.72031630834136</v>
      </c>
      <c r="J176" s="1">
        <v>2.1941933028865213E-2</v>
      </c>
      <c r="K176" s="1">
        <v>2.0594299263578395</v>
      </c>
      <c r="L176" s="1">
        <v>1.9477395684245262</v>
      </c>
      <c r="M176" s="1">
        <v>0.11358504881030441</v>
      </c>
      <c r="N176" s="1">
        <v>1.0301492015698073</v>
      </c>
      <c r="O176" s="1">
        <v>0.10847726495726498</v>
      </c>
      <c r="P176" s="1">
        <v>8.9564475328235041E-2</v>
      </c>
      <c r="Q176" s="1">
        <v>1.4778235602748475</v>
      </c>
      <c r="R176" s="2">
        <f t="shared" si="11"/>
        <v>90.220393124737384</v>
      </c>
      <c r="S176" s="2">
        <f t="shared" si="10"/>
        <v>2.17093633471494</v>
      </c>
      <c r="T176" s="2">
        <f t="shared" si="12"/>
        <v>3.1999510837619032</v>
      </c>
      <c r="U176" s="2">
        <f t="shared" si="13"/>
        <v>95.591280543214225</v>
      </c>
    </row>
    <row r="177" spans="1:21" x14ac:dyDescent="0.25">
      <c r="A177">
        <v>1933561</v>
      </c>
      <c r="B177">
        <v>48</v>
      </c>
      <c r="C177" s="1">
        <f>10.5187206616907*(10.3/7.3)</f>
        <v>14.841482577453968</v>
      </c>
      <c r="D177" s="1">
        <f>13.090450255755*(10.3/7.3)</f>
        <v>18.470087347161169</v>
      </c>
      <c r="E177" s="1">
        <f>46.7600557679907*(10.3/7.3)</f>
        <v>65.976517042507425</v>
      </c>
      <c r="F177" s="1">
        <f>70.1190788434477*(38.9/42.5)</f>
        <v>64.179580400237967</v>
      </c>
      <c r="G177" s="1">
        <v>1.4705017554138504</v>
      </c>
      <c r="H177" s="1">
        <v>2.2408182803226206</v>
      </c>
      <c r="I177" s="1">
        <v>48.77261789707137</v>
      </c>
      <c r="J177" s="1">
        <v>3.2432927918298611E-2</v>
      </c>
      <c r="K177" s="1">
        <v>3.027995542000506</v>
      </c>
      <c r="L177" s="1">
        <v>2.4829321206746093</v>
      </c>
      <c r="M177" s="1">
        <v>0.13394629799729743</v>
      </c>
      <c r="N177" s="1">
        <v>1.524874769621863</v>
      </c>
      <c r="O177" s="1">
        <v>0.12058222222222222</v>
      </c>
      <c r="P177" s="1">
        <v>9.5388421304345314E-2</v>
      </c>
      <c r="Q177" s="1">
        <v>2.3501169607070693</v>
      </c>
      <c r="R177" s="2">
        <f t="shared" si="11"/>
        <v>218.30172226087547</v>
      </c>
      <c r="S177" s="2">
        <f t="shared" si="10"/>
        <v>3.1558168912231501</v>
      </c>
      <c r="T177" s="2">
        <f t="shared" si="12"/>
        <v>4.2623354105159921</v>
      </c>
      <c r="U177" s="2">
        <f t="shared" si="13"/>
        <v>225.71987456261459</v>
      </c>
    </row>
    <row r="178" spans="1:21" x14ac:dyDescent="0.25">
      <c r="A178">
        <v>1933569</v>
      </c>
      <c r="B178">
        <v>26</v>
      </c>
      <c r="C178" s="1">
        <f>9.48991505275366*(10.3/7.3)</f>
        <v>13.389880142926394</v>
      </c>
      <c r="D178" s="1">
        <f>10.7741230907519*(10.3/7.3)</f>
        <v>15.201844908869088</v>
      </c>
      <c r="E178" s="1">
        <f>38.6277763225438*(10.3/7.3)</f>
        <v>54.5022049482467</v>
      </c>
      <c r="F178" s="1">
        <f>59.2149037717206*(38.9/42.5)</f>
        <v>54.199053099292485</v>
      </c>
      <c r="G178" s="1">
        <v>1.2627376542172364</v>
      </c>
      <c r="H178" s="1">
        <v>4.33763943412273</v>
      </c>
      <c r="I178" s="1">
        <v>43.330954253555177</v>
      </c>
      <c r="J178" s="1">
        <v>2.8227423394461684E-2</v>
      </c>
      <c r="K178" s="1">
        <v>2.6862107693095556</v>
      </c>
      <c r="L178" s="1">
        <v>2.1269200674191411</v>
      </c>
      <c r="M178" s="1">
        <v>0.11331706133561227</v>
      </c>
      <c r="N178" s="1">
        <v>1.5158488688046745</v>
      </c>
      <c r="O178" s="1">
        <v>0.10630358974358975</v>
      </c>
      <c r="P178" s="1">
        <v>8.6799603568675915E-2</v>
      </c>
      <c r="Q178" s="1">
        <v>2.0180738766028909</v>
      </c>
      <c r="R178" s="2">
        <f t="shared" si="11"/>
        <v>188.24238831783271</v>
      </c>
      <c r="S178" s="2">
        <f t="shared" si="10"/>
        <v>2.8012377962726931</v>
      </c>
      <c r="T178" s="2">
        <f t="shared" si="12"/>
        <v>3.8623895873030176</v>
      </c>
      <c r="U178" s="2">
        <f t="shared" si="13"/>
        <v>194.90601570140842</v>
      </c>
    </row>
    <row r="179" spans="1:21" x14ac:dyDescent="0.25">
      <c r="A179">
        <v>1933577</v>
      </c>
      <c r="B179">
        <v>3</v>
      </c>
      <c r="C179" s="1">
        <f>10.9888709485905*(10.3/7.3)</f>
        <v>15.504845311024907</v>
      </c>
      <c r="D179" s="1">
        <f>10.9659249541116*(10.3/7.3)</f>
        <v>15.472469455801251</v>
      </c>
      <c r="E179" s="1">
        <f>39.6251326334941*(10.3/7.3)</f>
        <v>55.909433715752009</v>
      </c>
      <c r="F179" s="1">
        <f>58.6413550213311*(38.9/42.5)</f>
        <v>53.674087301877137</v>
      </c>
      <c r="G179" s="1">
        <v>1.0226280830777359</v>
      </c>
      <c r="H179" s="1">
        <v>4.8370838445459619</v>
      </c>
      <c r="I179" s="1">
        <v>45.559784610722431</v>
      </c>
      <c r="J179" s="1">
        <v>2.5934461364118675E-2</v>
      </c>
      <c r="K179" s="1">
        <v>2.4071882065158205</v>
      </c>
      <c r="L179" s="1">
        <v>1.8539434765038372</v>
      </c>
      <c r="M179" s="1">
        <v>9.8880048998569836E-2</v>
      </c>
      <c r="N179" s="1">
        <v>1.8622065417188043</v>
      </c>
      <c r="O179" s="1">
        <v>9.5075555555555538E-2</v>
      </c>
      <c r="P179" s="1">
        <v>8.0343204388770198E-2</v>
      </c>
      <c r="Q179" s="1">
        <v>1.6343371190740088</v>
      </c>
      <c r="R179" s="2">
        <f t="shared" si="11"/>
        <v>193.61466944187546</v>
      </c>
      <c r="S179" s="2">
        <f t="shared" si="10"/>
        <v>2.5134658722687098</v>
      </c>
      <c r="T179" s="2">
        <f t="shared" si="12"/>
        <v>3.9101056227767663</v>
      </c>
      <c r="U179" s="2">
        <f t="shared" si="13"/>
        <v>200.03824093692094</v>
      </c>
    </row>
    <row r="180" spans="1:21" x14ac:dyDescent="0.25">
      <c r="A180">
        <v>1933617</v>
      </c>
      <c r="B180">
        <v>5</v>
      </c>
      <c r="C180" s="1">
        <f>10.8422995637017*(10.3/7.3)</f>
        <v>15.298039110428421</v>
      </c>
      <c r="D180" s="1">
        <f>15.6180418012458*(10.3/7.3)</f>
        <v>22.036415144223533</v>
      </c>
      <c r="E180" s="1">
        <f>55.6419621661214*(10.3/7.3)</f>
        <v>78.508521960417909</v>
      </c>
      <c r="F180" s="1">
        <f>73.5933034138444*(38.9/42.5)</f>
        <v>67.359517712906978</v>
      </c>
      <c r="G180" s="1">
        <v>1.0467479858241293</v>
      </c>
      <c r="H180" s="1">
        <v>3.4107487458854719</v>
      </c>
      <c r="I180" s="1">
        <v>45.348579442269468</v>
      </c>
      <c r="J180" s="1">
        <v>2.3420787458342512E-2</v>
      </c>
      <c r="K180" s="1">
        <v>2.0796107552288441</v>
      </c>
      <c r="L180" s="1">
        <v>1.6581421849667091</v>
      </c>
      <c r="M180" s="1">
        <v>8.0732081233996722E-2</v>
      </c>
      <c r="N180" s="1">
        <v>1.3350224626013589</v>
      </c>
      <c r="O180" s="1">
        <v>7.7663999999999997E-2</v>
      </c>
      <c r="P180" s="1">
        <v>6.8767407025447549E-2</v>
      </c>
      <c r="Q180" s="1">
        <v>1.67288490885135</v>
      </c>
      <c r="R180" s="2">
        <f t="shared" si="11"/>
        <v>234.68145501080727</v>
      </c>
      <c r="S180" s="2">
        <f t="shared" si="10"/>
        <v>2.1717989497126338</v>
      </c>
      <c r="T180" s="2">
        <f t="shared" si="12"/>
        <v>3.1515607288020644</v>
      </c>
      <c r="U180" s="2">
        <f t="shared" si="13"/>
        <v>240.00481468932196</v>
      </c>
    </row>
    <row r="181" spans="1:21" x14ac:dyDescent="0.25">
      <c r="A181">
        <v>1933625</v>
      </c>
      <c r="B181">
        <v>35</v>
      </c>
      <c r="C181" s="1">
        <f>11.2236355192625*(10.3/7.3)</f>
        <v>15.836088472384036</v>
      </c>
      <c r="D181" s="1">
        <f>19.1565769549067*(10.3/7.3)</f>
        <v>27.029142826786202</v>
      </c>
      <c r="E181" s="1">
        <f>67.8108296293025*(10.3/7.3)</f>
        <v>95.678293860522743</v>
      </c>
      <c r="F181" s="1">
        <f>90.6040815078971*(38.9/42.5)</f>
        <v>82.929382838992922</v>
      </c>
      <c r="G181" s="1">
        <v>1.5042720078485603</v>
      </c>
      <c r="H181" s="1">
        <v>3.8852916242457405</v>
      </c>
      <c r="I181" s="1">
        <v>51.360981795862223</v>
      </c>
      <c r="J181" s="1">
        <v>2.4278157086086754E-2</v>
      </c>
      <c r="K181" s="1">
        <v>2.215801138986484</v>
      </c>
      <c r="L181" s="1">
        <v>1.7575283561014727</v>
      </c>
      <c r="M181" s="1">
        <v>8.5817400280360501E-2</v>
      </c>
      <c r="N181" s="1">
        <v>1.1985286827240875</v>
      </c>
      <c r="O181" s="1">
        <v>8.3491047619047618E-2</v>
      </c>
      <c r="P181" s="1">
        <v>7.1325997982195993E-2</v>
      </c>
      <c r="Q181" s="1">
        <v>2.4040876837762406</v>
      </c>
      <c r="R181" s="2">
        <f t="shared" si="11"/>
        <v>280.62754111041869</v>
      </c>
      <c r="S181" s="2">
        <f t="shared" si="10"/>
        <v>2.3114052940547665</v>
      </c>
      <c r="T181" s="2">
        <f t="shared" si="12"/>
        <v>3.1253654867249683</v>
      </c>
      <c r="U181" s="2">
        <f t="shared" si="13"/>
        <v>286.06431189119843</v>
      </c>
    </row>
    <row r="182" spans="1:21" x14ac:dyDescent="0.25">
      <c r="A182">
        <v>1945709</v>
      </c>
      <c r="B182">
        <v>3</v>
      </c>
      <c r="C182" s="1">
        <f>5.41013037519707*(10.3/7.3)</f>
        <v>7.6334716252780588</v>
      </c>
      <c r="D182" s="1">
        <f>6.06857829733166*(10.3/7.3)</f>
        <v>8.5625145839063137</v>
      </c>
      <c r="E182" s="1">
        <f>21.6125215797769*(10.3/7.3)</f>
        <v>30.494379763246894</v>
      </c>
      <c r="F182" s="1">
        <f>41.023162931267*(38.9/42.5)</f>
        <v>37.54825971826557</v>
      </c>
      <c r="G182" s="1">
        <v>1.3645770601807412</v>
      </c>
      <c r="H182" s="1">
        <v>2.3957001374515143</v>
      </c>
      <c r="I182" s="1">
        <v>31.472002974353412</v>
      </c>
      <c r="J182" s="1">
        <v>2.515936947780012E-2</v>
      </c>
      <c r="K182" s="1">
        <v>2.284857461023345</v>
      </c>
      <c r="L182" s="1">
        <v>2.1864519294800857</v>
      </c>
      <c r="M182" s="1">
        <v>0.12864446247987071</v>
      </c>
      <c r="N182" s="1">
        <v>1.3331920382009421</v>
      </c>
      <c r="O182" s="1">
        <v>0.1211911111111111</v>
      </c>
      <c r="P182" s="1">
        <v>9.7835907239969114E-2</v>
      </c>
      <c r="Q182" s="1">
        <v>2.1808309180970773</v>
      </c>
      <c r="R182" s="2">
        <f t="shared" si="11"/>
        <v>121.65173678077957</v>
      </c>
      <c r="S182" s="2">
        <f t="shared" si="10"/>
        <v>2.4078527377411145</v>
      </c>
      <c r="T182" s="2">
        <f t="shared" si="12"/>
        <v>3.7694795412720099</v>
      </c>
      <c r="U182" s="2">
        <f t="shared" si="13"/>
        <v>127.82906905979269</v>
      </c>
    </row>
    <row r="183" spans="1:21" x14ac:dyDescent="0.25">
      <c r="A183">
        <v>1945717</v>
      </c>
      <c r="B183">
        <v>34</v>
      </c>
      <c r="C183" s="1">
        <f>3.86612485252896*(10.3/7.3)</f>
        <v>5.4549432850751023</v>
      </c>
      <c r="D183" s="1">
        <f>4.38838691545462*(10.3/7.3)</f>
        <v>6.1918335930387158</v>
      </c>
      <c r="E183" s="1">
        <f>15.6467060958575*(10.3/7.3)</f>
        <v>22.076859285935996</v>
      </c>
      <c r="F183" s="1">
        <f>28.3292449396393*(38.9/42.5)</f>
        <v>25.92959125063453</v>
      </c>
      <c r="G183" s="1">
        <v>0.87618626722228499</v>
      </c>
      <c r="H183" s="1">
        <v>1.7347011696832388</v>
      </c>
      <c r="I183" s="1">
        <v>21.451162849483868</v>
      </c>
      <c r="J183" s="1">
        <v>2.1764140871436053E-2</v>
      </c>
      <c r="K183" s="1">
        <v>2.0537582733029867</v>
      </c>
      <c r="L183" s="1">
        <v>1.9040828384176227</v>
      </c>
      <c r="M183" s="1">
        <v>0.11171065909060029</v>
      </c>
      <c r="N183" s="1">
        <v>1.0260357360692394</v>
      </c>
      <c r="O183" s="1">
        <v>0.10722039215686274</v>
      </c>
      <c r="P183" s="1">
        <v>8.9501430787628761E-2</v>
      </c>
      <c r="Q183" s="1">
        <v>1.4002976873415527</v>
      </c>
      <c r="R183" s="2">
        <f t="shared" si="11"/>
        <v>85.115575388415294</v>
      </c>
      <c r="S183" s="2">
        <f t="shared" si="10"/>
        <v>2.1650238449620516</v>
      </c>
      <c r="T183" s="2">
        <f t="shared" si="12"/>
        <v>3.149049625734325</v>
      </c>
      <c r="U183" s="2">
        <f t="shared" si="13"/>
        <v>90.429648859111666</v>
      </c>
    </row>
    <row r="184" spans="1:21" x14ac:dyDescent="0.25">
      <c r="A184">
        <v>1945789</v>
      </c>
      <c r="B184">
        <v>36</v>
      </c>
      <c r="C184" s="1">
        <f>12.5047031831626*(10.3/7.3)</f>
        <v>17.643622299530733</v>
      </c>
      <c r="D184" s="1">
        <f>19.4287772881745*(10.3/7.3)</f>
        <v>27.413206310711988</v>
      </c>
      <c r="E184" s="1">
        <f>68.8838317423036*(10.3/7.3)</f>
        <v>97.192255745989996</v>
      </c>
      <c r="F184" s="1">
        <f>97.8723989047377*(38.9/42.5)</f>
        <v>89.582030997512831</v>
      </c>
      <c r="G184" s="1">
        <v>1.9363160360168097</v>
      </c>
      <c r="H184" s="1">
        <v>3.2866790381999795</v>
      </c>
      <c r="I184" s="1">
        <v>59.956967719557809</v>
      </c>
      <c r="J184" s="1">
        <v>3.604837325299072E-2</v>
      </c>
      <c r="K184" s="1">
        <v>3.2141040812629296</v>
      </c>
      <c r="L184" s="1">
        <v>2.7299766229681497</v>
      </c>
      <c r="M184" s="1">
        <v>0.14782391856259339</v>
      </c>
      <c r="N184" s="1">
        <v>1.6660137729982938</v>
      </c>
      <c r="O184" s="1">
        <v>0.12931703703703701</v>
      </c>
      <c r="P184" s="1">
        <v>0.10146184882416927</v>
      </c>
      <c r="Q184" s="1">
        <v>3.0945690073328036</v>
      </c>
      <c r="R184" s="2">
        <f t="shared" si="11"/>
        <v>300.10564715485293</v>
      </c>
      <c r="S184" s="2">
        <f t="shared" si="10"/>
        <v>3.3516143033400896</v>
      </c>
      <c r="T184" s="2">
        <f t="shared" si="12"/>
        <v>4.6731313515660737</v>
      </c>
      <c r="U184" s="2">
        <f t="shared" si="13"/>
        <v>308.13039280975914</v>
      </c>
    </row>
    <row r="185" spans="1:21" x14ac:dyDescent="0.25">
      <c r="A185">
        <v>1945797</v>
      </c>
      <c r="B185">
        <v>30</v>
      </c>
      <c r="C185" s="1">
        <f>11.4058824702713*(10.3/7.3)</f>
        <v>16.093231430656772</v>
      </c>
      <c r="D185" s="1">
        <f>13.9860240234317*(10.3/7.3)</f>
        <v>19.73370512895151</v>
      </c>
      <c r="E185" s="1">
        <f>50.0057739717188*(10.3/7.3)</f>
        <v>70.556092042288185</v>
      </c>
      <c r="F185" s="1">
        <f>74.3402882308727*(38.9/42.5)</f>
        <v>68.04322852190468</v>
      </c>
      <c r="G185" s="1">
        <v>1.5061455818904814</v>
      </c>
      <c r="H185" s="1">
        <v>2.3452354687307544</v>
      </c>
      <c r="I185" s="1">
        <v>51.958169332529955</v>
      </c>
      <c r="J185" s="1">
        <v>3.400956099435571E-2</v>
      </c>
      <c r="K185" s="1">
        <v>3.1282319779435275</v>
      </c>
      <c r="L185" s="1">
        <v>2.5864391224349346</v>
      </c>
      <c r="M185" s="1">
        <v>0.13870377961037852</v>
      </c>
      <c r="N185" s="1">
        <v>1.6723158406446608</v>
      </c>
      <c r="O185" s="1">
        <v>0.12333688888888887</v>
      </c>
      <c r="P185" s="1">
        <v>9.7447736943267804E-2</v>
      </c>
      <c r="Q185" s="1">
        <v>2.4070819801902701</v>
      </c>
      <c r="R185" s="2">
        <f t="shared" si="11"/>
        <v>232.64288948714261</v>
      </c>
      <c r="S185" s="2">
        <f t="shared" si="10"/>
        <v>3.2596892758811506</v>
      </c>
      <c r="T185" s="2">
        <f t="shared" si="12"/>
        <v>4.5207956315788627</v>
      </c>
      <c r="U185" s="2">
        <f t="shared" si="13"/>
        <v>240.42337439460263</v>
      </c>
    </row>
    <row r="186" spans="1:21" x14ac:dyDescent="0.25">
      <c r="A186">
        <v>1945805</v>
      </c>
      <c r="B186">
        <v>22</v>
      </c>
      <c r="C186" s="1">
        <f>10.6675218772249*(10.3/7.3)</f>
        <v>15.051434977454292</v>
      </c>
      <c r="D186" s="1">
        <f>11.6037519845306*(10.3/7.3)</f>
        <v>16.372417183652818</v>
      </c>
      <c r="E186" s="1">
        <f>41.7265611832411*(10.3/7.3)</f>
        <v>58.874463039367605</v>
      </c>
      <c r="F186" s="1">
        <f>62.2429996605609*(38.9/42.5)</f>
        <v>56.970651454019269</v>
      </c>
      <c r="G186" s="1">
        <v>1.1871014736106074</v>
      </c>
      <c r="H186" s="1">
        <v>4.8610555037503111</v>
      </c>
      <c r="I186" s="1">
        <v>46.268445105784103</v>
      </c>
      <c r="J186" s="1">
        <v>2.8376232253499792E-2</v>
      </c>
      <c r="K186" s="1">
        <v>2.6421716714689234</v>
      </c>
      <c r="L186" s="1">
        <v>2.0862773673132615</v>
      </c>
      <c r="M186" s="1">
        <v>0.11107443400149997</v>
      </c>
      <c r="N186" s="1">
        <v>1.8602257928993082</v>
      </c>
      <c r="O186" s="1">
        <v>0.10422545454545454</v>
      </c>
      <c r="P186" s="1">
        <v>8.5786099009025285E-2</v>
      </c>
      <c r="Q186" s="1">
        <v>1.8971941359073652</v>
      </c>
      <c r="R186" s="2">
        <f t="shared" si="11"/>
        <v>201.48276287354639</v>
      </c>
      <c r="S186" s="2">
        <f t="shared" si="10"/>
        <v>2.7563340027314482</v>
      </c>
      <c r="T186" s="2">
        <f t="shared" si="12"/>
        <v>4.1618030487595243</v>
      </c>
      <c r="U186" s="2">
        <f t="shared" si="13"/>
        <v>208.40089992503738</v>
      </c>
    </row>
    <row r="187" spans="1:21" x14ac:dyDescent="0.25">
      <c r="A187">
        <v>1945853</v>
      </c>
      <c r="B187">
        <v>4</v>
      </c>
      <c r="C187" s="1">
        <f>12.037374129894*(10.3/7.3)</f>
        <v>16.984240210672358</v>
      </c>
      <c r="D187" s="1">
        <f>21.7183169313891*(10.3/7.3)</f>
        <v>30.643652656617562</v>
      </c>
      <c r="E187" s="1">
        <f>76.8365356859044*(10.3/7.3)</f>
        <v>108.41319418696098</v>
      </c>
      <c r="F187" s="1">
        <f>97.8600543014335*(38.9/42.5)</f>
        <v>89.570732054723806</v>
      </c>
      <c r="G187" s="1">
        <v>1.3510310738741036</v>
      </c>
      <c r="H187" s="1">
        <v>3.268222726771524</v>
      </c>
      <c r="I187" s="1">
        <v>52.330575437293945</v>
      </c>
      <c r="J187" s="1">
        <v>2.8300047458767918E-2</v>
      </c>
      <c r="K187" s="1">
        <v>2.481335905705131</v>
      </c>
      <c r="L187" s="1">
        <v>2.0003735802409057</v>
      </c>
      <c r="M187" s="1">
        <v>9.4908638504496823E-2</v>
      </c>
      <c r="N187" s="1">
        <v>1.3980061236919472</v>
      </c>
      <c r="O187" s="1">
        <v>9.2706666666666673E-2</v>
      </c>
      <c r="P187" s="1">
        <v>7.7979238888827657E-2</v>
      </c>
      <c r="Q187" s="1">
        <v>2.1591820815339582</v>
      </c>
      <c r="R187" s="2">
        <f t="shared" si="11"/>
        <v>304.72083042844827</v>
      </c>
      <c r="S187" s="2">
        <f t="shared" si="10"/>
        <v>2.5876151920527266</v>
      </c>
      <c r="T187" s="2">
        <f t="shared" si="12"/>
        <v>3.5859950091040158</v>
      </c>
      <c r="U187" s="2">
        <f t="shared" si="13"/>
        <v>310.89444062960501</v>
      </c>
    </row>
    <row r="188" spans="1:21" x14ac:dyDescent="0.25">
      <c r="A188">
        <v>1957937</v>
      </c>
      <c r="B188">
        <v>1</v>
      </c>
      <c r="C188" s="1">
        <f>6.78290946917346*(10.3/7.3)</f>
        <v>9.5704065112995345</v>
      </c>
      <c r="D188" s="1">
        <f>7.5035440260275*(10.3/7.3)</f>
        <v>10.587192255901813</v>
      </c>
      <c r="E188" s="1">
        <f>26.7136800530574*(10.3/7.3)</f>
        <v>37.691904732396075</v>
      </c>
      <c r="F188" s="1">
        <f>52.1153034032911*(38.9/42.5)</f>
        <v>47.700830644424073</v>
      </c>
      <c r="G188" s="1">
        <v>1.7982632118752337</v>
      </c>
      <c r="H188" s="1">
        <v>5.7574734094109585</v>
      </c>
      <c r="I188" s="1">
        <v>40.375851845206725</v>
      </c>
      <c r="J188" s="1">
        <v>2.7776011794751448E-2</v>
      </c>
      <c r="K188" s="1">
        <v>2.4276127285765026</v>
      </c>
      <c r="L188" s="1">
        <v>2.3660520679932131</v>
      </c>
      <c r="M188" s="1">
        <v>0.1437839347525853</v>
      </c>
      <c r="N188" s="1">
        <v>1.5442057927981439</v>
      </c>
      <c r="O188" s="1">
        <v>0.12890666666666667</v>
      </c>
      <c r="P188" s="1">
        <v>0.10180810822863431</v>
      </c>
      <c r="Q188" s="1">
        <v>2.8739366399832535</v>
      </c>
      <c r="R188" s="2">
        <f t="shared" si="11"/>
        <v>156.35585925049764</v>
      </c>
      <c r="S188" s="2">
        <f t="shared" si="10"/>
        <v>2.5571968485998884</v>
      </c>
      <c r="T188" s="2">
        <f t="shared" si="12"/>
        <v>4.1829484622106081</v>
      </c>
      <c r="U188" s="2">
        <f t="shared" si="13"/>
        <v>163.09600456130815</v>
      </c>
    </row>
    <row r="189" spans="1:21" x14ac:dyDescent="0.25">
      <c r="A189">
        <v>1957945</v>
      </c>
      <c r="B189">
        <v>6</v>
      </c>
      <c r="C189" s="1">
        <f>4.95388711055008*(10.3/7.3)</f>
        <v>6.9897311285843653</v>
      </c>
      <c r="D189" s="1">
        <f>5.46780685597427*(10.3/7.3)</f>
        <v>7.7148507693883488</v>
      </c>
      <c r="E189" s="1">
        <f>19.4891237308184*(10.3/7.3)</f>
        <v>27.498352661291651</v>
      </c>
      <c r="F189" s="1">
        <f>36.9762414021493*(38.9/42.5)</f>
        <v>33.844136248084865</v>
      </c>
      <c r="G189" s="1">
        <v>1.2233948002587547</v>
      </c>
      <c r="H189" s="1">
        <v>2.3839433364404652</v>
      </c>
      <c r="I189" s="1">
        <v>28.543818373648662</v>
      </c>
      <c r="J189" s="1">
        <v>2.279166178127227E-2</v>
      </c>
      <c r="K189" s="1">
        <v>2.1007486555040678</v>
      </c>
      <c r="L189" s="1">
        <v>1.9803497646204482</v>
      </c>
      <c r="M189" s="1">
        <v>0.11704886043710322</v>
      </c>
      <c r="N189" s="1">
        <v>1.1637382893503552</v>
      </c>
      <c r="O189" s="1">
        <v>0.11117333333333333</v>
      </c>
      <c r="P189" s="1">
        <v>9.1672543528423633E-2</v>
      </c>
      <c r="Q189" s="1">
        <v>1.9551971693633086</v>
      </c>
      <c r="R189" s="2">
        <f t="shared" si="11"/>
        <v>110.15342448706042</v>
      </c>
      <c r="S189" s="2">
        <f t="shared" si="10"/>
        <v>2.2152128608137636</v>
      </c>
      <c r="T189" s="2">
        <f t="shared" si="12"/>
        <v>3.3723102477412401</v>
      </c>
      <c r="U189" s="2">
        <f t="shared" si="13"/>
        <v>115.74094759561542</v>
      </c>
    </row>
    <row r="190" spans="1:21" x14ac:dyDescent="0.25">
      <c r="A190">
        <v>1957953</v>
      </c>
      <c r="B190">
        <v>12</v>
      </c>
      <c r="C190" s="1">
        <f>5.51966062205689*(10.3/7.3)</f>
        <v>7.7880143023542416</v>
      </c>
      <c r="D190" s="1">
        <f>6.21544372063045*(10.3/7.3)</f>
        <v>8.7697356606155665</v>
      </c>
      <c r="E190" s="1">
        <f>22.1556248531291*(10.3/7.3)</f>
        <v>31.260676162634208</v>
      </c>
      <c r="F190" s="1">
        <f>40.8282811018074*(38.9/42.5)</f>
        <v>37.369885526124925</v>
      </c>
      <c r="G190" s="1">
        <v>1.2974819570487219</v>
      </c>
      <c r="H190" s="1">
        <v>3.7718057034114651</v>
      </c>
      <c r="I190" s="1">
        <v>31.114590371099748</v>
      </c>
      <c r="J190" s="1">
        <v>2.6184103185168353E-2</v>
      </c>
      <c r="K190" s="1">
        <v>2.3144850434791882</v>
      </c>
      <c r="L190" s="1">
        <v>2.2137253840133106</v>
      </c>
      <c r="M190" s="1">
        <v>0.132781153657451</v>
      </c>
      <c r="N190" s="1">
        <v>1.1861123599955581</v>
      </c>
      <c r="O190" s="1">
        <v>0.12167111111111113</v>
      </c>
      <c r="P190" s="1">
        <v>9.7559123967007097E-2</v>
      </c>
      <c r="Q190" s="1">
        <v>2.0736013012194205</v>
      </c>
      <c r="R190" s="2">
        <f t="shared" si="11"/>
        <v>123.44579098450831</v>
      </c>
      <c r="S190" s="2">
        <f t="shared" si="10"/>
        <v>2.4382282706313636</v>
      </c>
      <c r="T190" s="2">
        <f t="shared" si="12"/>
        <v>3.6542900087774304</v>
      </c>
      <c r="U190" s="2">
        <f t="shared" si="13"/>
        <v>129.53830926391711</v>
      </c>
    </row>
    <row r="191" spans="1:21" x14ac:dyDescent="0.25">
      <c r="A191">
        <v>1958025</v>
      </c>
      <c r="B191">
        <v>53</v>
      </c>
      <c r="C191" s="1">
        <f>10.8548795728436*(10.3/7.3)</f>
        <v>15.315788986340971</v>
      </c>
      <c r="D191" s="1">
        <f>15.6274630503552*(10.3/7.3)</f>
        <v>22.049708139542339</v>
      </c>
      <c r="E191" s="1">
        <f>55.5502056103906*(10.3/7.3)</f>
        <v>78.37905723109904</v>
      </c>
      <c r="F191" s="1">
        <f>79.7730805973847*(38.9/42.5)</f>
        <v>73.015831417370919</v>
      </c>
      <c r="G191" s="1">
        <v>1.5742192283810286</v>
      </c>
      <c r="H191" s="1">
        <v>2.4145046811710733</v>
      </c>
      <c r="I191" s="1">
        <v>50.926891772472295</v>
      </c>
      <c r="J191" s="1">
        <v>3.3360388181043817E-2</v>
      </c>
      <c r="K191" s="1">
        <v>2.97118443983759</v>
      </c>
      <c r="L191" s="1">
        <v>2.5237123819535134</v>
      </c>
      <c r="M191" s="1">
        <v>0.1384035413885899</v>
      </c>
      <c r="N191" s="1">
        <v>1.5984073330134454</v>
      </c>
      <c r="O191" s="1">
        <v>0.12219371069182391</v>
      </c>
      <c r="P191" s="1">
        <v>9.6585201274087151E-2</v>
      </c>
      <c r="Q191" s="1">
        <v>2.5158754791477658</v>
      </c>
      <c r="R191" s="2">
        <f t="shared" si="11"/>
        <v>246.19187693552541</v>
      </c>
      <c r="S191" s="2">
        <f t="shared" si="10"/>
        <v>3.1011300292927211</v>
      </c>
      <c r="T191" s="2">
        <f t="shared" si="12"/>
        <v>4.3827169670473722</v>
      </c>
      <c r="U191" s="2">
        <f t="shared" si="13"/>
        <v>253.67572393186552</v>
      </c>
    </row>
    <row r="192" spans="1:21" x14ac:dyDescent="0.25">
      <c r="A192">
        <v>1958033</v>
      </c>
      <c r="B192">
        <v>16</v>
      </c>
      <c r="C192" s="1">
        <f>9.34342792190093*(10.3/7.3)</f>
        <v>13.18319282131227</v>
      </c>
      <c r="D192" s="1">
        <f>15.1119844907098*(10.3/7.3)</f>
        <v>21.322389075933028</v>
      </c>
      <c r="E192" s="1">
        <f>53.5802302127886*(10.3/7.3)</f>
        <v>75.599502902975729</v>
      </c>
      <c r="F192" s="1">
        <f>72.2059869053496*(38.9/42.5)</f>
        <v>66.089715073367074</v>
      </c>
      <c r="G192" s="1">
        <v>1.2043991250716579</v>
      </c>
      <c r="H192" s="1">
        <v>2.643852615934732</v>
      </c>
      <c r="I192" s="1">
        <v>42.254202539451626</v>
      </c>
      <c r="J192" s="1">
        <v>2.8979490460392509E-2</v>
      </c>
      <c r="K192" s="1">
        <v>2.681657668362786</v>
      </c>
      <c r="L192" s="1">
        <v>2.1815777466395692</v>
      </c>
      <c r="M192" s="1">
        <v>0.11772540628022322</v>
      </c>
      <c r="N192" s="1">
        <v>1.890430261026848</v>
      </c>
      <c r="O192" s="1">
        <v>0.10851999999999998</v>
      </c>
      <c r="P192" s="1">
        <v>8.8043074361466342E-2</v>
      </c>
      <c r="Q192" s="1">
        <v>1.9248387843610986</v>
      </c>
      <c r="R192" s="2">
        <f t="shared" si="11"/>
        <v>224.2220929384072</v>
      </c>
      <c r="S192" s="2">
        <f t="shared" si="10"/>
        <v>2.7986802331846445</v>
      </c>
      <c r="T192" s="2">
        <f t="shared" si="12"/>
        <v>4.2982534139466413</v>
      </c>
      <c r="U192" s="2">
        <f t="shared" si="13"/>
        <v>231.3190265855385</v>
      </c>
    </row>
    <row r="193" spans="1:21" x14ac:dyDescent="0.25">
      <c r="A193">
        <v>1958041</v>
      </c>
      <c r="B193">
        <v>5</v>
      </c>
      <c r="C193" s="1">
        <f>16.4550277046055*(10.3/7.3)</f>
        <v>23.217367857183149</v>
      </c>
      <c r="D193" s="1">
        <f>19.0367114776558*(10.3/7.3)</f>
        <v>26.860017564363606</v>
      </c>
      <c r="E193" s="1">
        <f>68.3200311561848*(10.3/7.3)</f>
        <v>96.396756288863486</v>
      </c>
      <c r="F193" s="1">
        <f>98.1394255033399*(38.9/42.5)</f>
        <v>89.826438872468756</v>
      </c>
      <c r="G193" s="1">
        <v>1.7023415345830823</v>
      </c>
      <c r="H193" s="1">
        <v>5.8038287962545239</v>
      </c>
      <c r="I193" s="1">
        <v>70.018259431444719</v>
      </c>
      <c r="J193" s="1">
        <v>3.9180046212651545E-2</v>
      </c>
      <c r="K193" s="1">
        <v>3.3746231158708659</v>
      </c>
      <c r="L193" s="1">
        <v>2.8874457077053068</v>
      </c>
      <c r="M193" s="1">
        <v>0.14932545542072406</v>
      </c>
      <c r="N193" s="1">
        <v>2.3381303629631356</v>
      </c>
      <c r="O193" s="1">
        <v>0.129664</v>
      </c>
      <c r="P193" s="1">
        <v>0.10241000238555927</v>
      </c>
      <c r="Q193" s="1">
        <v>2.72063715572639</v>
      </c>
      <c r="R193" s="2">
        <f t="shared" si="11"/>
        <v>316.54564750088764</v>
      </c>
      <c r="S193" s="2">
        <f t="shared" si="10"/>
        <v>3.5162131644690766</v>
      </c>
      <c r="T193" s="2">
        <f t="shared" si="12"/>
        <v>5.5045655260891664</v>
      </c>
      <c r="U193" s="2">
        <f t="shared" si="13"/>
        <v>325.56642619144588</v>
      </c>
    </row>
    <row r="194" spans="1:21" x14ac:dyDescent="0.25">
      <c r="A194">
        <v>1970173</v>
      </c>
      <c r="B194">
        <v>6</v>
      </c>
      <c r="C194" s="1">
        <f>7.09689617683827*(10.3/7.3)</f>
        <v>10.013428852251256</v>
      </c>
      <c r="D194" s="1">
        <f>7.34524258944002*(10.3/7.3)</f>
        <v>10.363835434415375</v>
      </c>
      <c r="E194" s="1">
        <f>26.284015373725*(10.3/7.3)</f>
        <v>37.085665527310574</v>
      </c>
      <c r="F194" s="1">
        <f>49.1246132740398*(38.9/42.5)</f>
        <v>44.963469561415224</v>
      </c>
      <c r="G194" s="1">
        <v>1.5555978202170504</v>
      </c>
      <c r="H194" s="1">
        <v>2.6166720116925206</v>
      </c>
      <c r="I194" s="1">
        <v>38.822845041075738</v>
      </c>
      <c r="J194" s="1">
        <v>2.6278160868453363E-2</v>
      </c>
      <c r="K194" s="1">
        <v>2.3423738138110233</v>
      </c>
      <c r="L194" s="1">
        <v>2.2672727672832145</v>
      </c>
      <c r="M194" s="1">
        <v>0.13580690512360136</v>
      </c>
      <c r="N194" s="1">
        <v>1.6838006545426598</v>
      </c>
      <c r="O194" s="1">
        <v>0.12535111111111111</v>
      </c>
      <c r="P194" s="1">
        <v>9.9752692538232199E-2</v>
      </c>
      <c r="Q194" s="1">
        <v>2.486115237789809</v>
      </c>
      <c r="R194" s="2">
        <f t="shared" si="11"/>
        <v>147.90762948616754</v>
      </c>
      <c r="S194" s="2">
        <f t="shared" si="10"/>
        <v>2.4684046672177087</v>
      </c>
      <c r="T194" s="2">
        <f t="shared" si="12"/>
        <v>4.212231438060587</v>
      </c>
      <c r="U194" s="2">
        <f t="shared" si="13"/>
        <v>154.58826559144583</v>
      </c>
    </row>
    <row r="195" spans="1:21" x14ac:dyDescent="0.25">
      <c r="A195">
        <v>1970253</v>
      </c>
      <c r="B195">
        <v>5</v>
      </c>
      <c r="C195" s="1">
        <f>13.2479820765501*(10.3/7.3)</f>
        <v>18.69235827239255</v>
      </c>
      <c r="D195" s="1">
        <f>16.7355941655411*(10.3/7.3)</f>
        <v>23.613235603434678</v>
      </c>
      <c r="E195" s="1">
        <f>59.7213144092596*(10.3/7.3)</f>
        <v>84.26432033087309</v>
      </c>
      <c r="F195" s="1">
        <f>90.5164492632776*(38.9/42.5)</f>
        <v>82.849173560976439</v>
      </c>
      <c r="G195" s="1">
        <v>1.9733685556568794</v>
      </c>
      <c r="H195" s="1">
        <v>3.1527709408430207</v>
      </c>
      <c r="I195" s="1">
        <v>62.701365669078896</v>
      </c>
      <c r="J195" s="1">
        <v>3.9008620780859912E-2</v>
      </c>
      <c r="K195" s="1">
        <v>3.3355051530939193</v>
      </c>
      <c r="L195" s="1">
        <v>2.9352212108763385</v>
      </c>
      <c r="M195" s="1">
        <v>0.15964269008067866</v>
      </c>
      <c r="N195" s="1">
        <v>1.8739775923814119</v>
      </c>
      <c r="O195" s="1">
        <v>0.13450666666666664</v>
      </c>
      <c r="P195" s="1">
        <v>0.10556735457389362</v>
      </c>
      <c r="Q195" s="1">
        <v>3.153785362921957</v>
      </c>
      <c r="R195" s="2">
        <f t="shared" si="11"/>
        <v>280.40037829617751</v>
      </c>
      <c r="S195" s="2">
        <f t="shared" si="10"/>
        <v>3.4800811284486728</v>
      </c>
      <c r="T195" s="2">
        <f t="shared" si="12"/>
        <v>5.1033481600050958</v>
      </c>
      <c r="U195" s="2">
        <f t="shared" si="13"/>
        <v>288.98380758463128</v>
      </c>
    </row>
    <row r="196" spans="1:21" x14ac:dyDescent="0.25">
      <c r="A196">
        <v>1970261</v>
      </c>
      <c r="B196">
        <v>10</v>
      </c>
      <c r="C196" s="1">
        <f>10.8008772157983*(10.3/7.3)</f>
        <v>15.239593879825062</v>
      </c>
      <c r="D196" s="1">
        <f>16.6563972450376*(10.3/7.3)</f>
        <v>23.501492003272194</v>
      </c>
      <c r="E196" s="1">
        <f>59.1172798513857*(10.3/7.3)</f>
        <v>83.412052393051042</v>
      </c>
      <c r="F196" s="1">
        <f>81.6731644334515*(38.9/42.5)</f>
        <v>74.754966975559157</v>
      </c>
      <c r="G196" s="1">
        <v>1.4606060324139356</v>
      </c>
      <c r="H196" s="1">
        <v>2.4041986250395011</v>
      </c>
      <c r="I196" s="1">
        <v>49.56282732461959</v>
      </c>
      <c r="J196" s="1">
        <v>3.188767623549605E-2</v>
      </c>
      <c r="K196" s="1">
        <v>2.8553932502013133</v>
      </c>
      <c r="L196" s="1">
        <v>2.4182570895482405</v>
      </c>
      <c r="M196" s="1">
        <v>0.13095358760856993</v>
      </c>
      <c r="N196" s="1">
        <v>1.8767165773524674</v>
      </c>
      <c r="O196" s="1">
        <v>0.11820800000000001</v>
      </c>
      <c r="P196" s="1">
        <v>9.3852924315348391E-2</v>
      </c>
      <c r="Q196" s="1">
        <v>2.3343018782871141</v>
      </c>
      <c r="R196" s="2">
        <f t="shared" si="11"/>
        <v>252.6700391120676</v>
      </c>
      <c r="S196" s="2">
        <f t="shared" si="10"/>
        <v>2.9811338507521579</v>
      </c>
      <c r="T196" s="2">
        <f t="shared" si="12"/>
        <v>4.5441352545092784</v>
      </c>
      <c r="U196" s="2">
        <f t="shared" si="13"/>
        <v>260.195308217329</v>
      </c>
    </row>
    <row r="197" spans="1:21" x14ac:dyDescent="0.25">
      <c r="A197">
        <v>1970269</v>
      </c>
      <c r="B197">
        <v>28</v>
      </c>
      <c r="C197" s="1">
        <f>10.5548751262927*(10.3/7.3)</f>
        <v>14.892495041207464</v>
      </c>
      <c r="D197" s="1">
        <f>12.9675201634704*(10.3/7.3)</f>
        <v>18.296638038869137</v>
      </c>
      <c r="E197" s="1">
        <f>46.3945058412624*(10.3/7.3)</f>
        <v>65.460741118493459</v>
      </c>
      <c r="F197" s="1">
        <f>67.2525891925311*(38.9/42.5)</f>
        <v>61.555899284457851</v>
      </c>
      <c r="G197" s="1">
        <v>1.2544464671247957</v>
      </c>
      <c r="H197" s="1">
        <v>4.1263012462779587</v>
      </c>
      <c r="I197" s="1">
        <v>46.618605794049181</v>
      </c>
      <c r="J197" s="1">
        <v>3.0462869031018656E-2</v>
      </c>
      <c r="K197" s="1">
        <v>2.7489877096415642</v>
      </c>
      <c r="L197" s="1">
        <v>2.2831651829601651</v>
      </c>
      <c r="M197" s="1">
        <v>0.12092331535466656</v>
      </c>
      <c r="N197" s="1">
        <v>1.9559767472229754</v>
      </c>
      <c r="O197" s="1">
        <v>0.11046476190476191</v>
      </c>
      <c r="P197" s="1">
        <v>9.0076967453329007E-2</v>
      </c>
      <c r="Q197" s="1">
        <v>2.0048231209757028</v>
      </c>
      <c r="R197" s="2">
        <f t="shared" si="11"/>
        <v>214.20995011145558</v>
      </c>
      <c r="S197" s="2">
        <f t="shared" si="10"/>
        <v>2.8695275461259118</v>
      </c>
      <c r="T197" s="2">
        <f t="shared" si="12"/>
        <v>4.4705300074425693</v>
      </c>
      <c r="U197" s="2">
        <f t="shared" si="13"/>
        <v>221.55000766502405</v>
      </c>
    </row>
    <row r="198" spans="1:21" x14ac:dyDescent="0.25">
      <c r="A198">
        <v>1982417</v>
      </c>
      <c r="B198">
        <v>27</v>
      </c>
      <c r="C198" s="1">
        <f>5.74858990165521*(10.3/7.3)</f>
        <v>8.1110241078148828</v>
      </c>
      <c r="D198" s="1">
        <f>6.4039871211715*(10.3/7.3)</f>
        <v>9.0357626504200557</v>
      </c>
      <c r="E198" s="1">
        <f>22.7942147906637*(10.3/7.3)</f>
        <v>32.16170032107339</v>
      </c>
      <c r="F198" s="1">
        <f>44.3091068321345*(38.9/42.5)</f>
        <v>40.555864841647789</v>
      </c>
      <c r="G198" s="1">
        <v>1.5239179954025244</v>
      </c>
      <c r="H198" s="1">
        <v>4.7501581634198251</v>
      </c>
      <c r="I198" s="1">
        <v>34.21761353043653</v>
      </c>
      <c r="J198" s="1">
        <v>2.6312263654205817E-2</v>
      </c>
      <c r="K198" s="1">
        <v>2.2769813710950659</v>
      </c>
      <c r="L198" s="1">
        <v>2.1748123043068297</v>
      </c>
      <c r="M198" s="1">
        <v>0.13268303377398921</v>
      </c>
      <c r="N198" s="1">
        <v>1.2026181037276531</v>
      </c>
      <c r="O198" s="1">
        <v>0.11900444444444444</v>
      </c>
      <c r="P198" s="1">
        <v>9.6093162728897646E-2</v>
      </c>
      <c r="Q198" s="1">
        <v>2.4354853807802925</v>
      </c>
      <c r="R198" s="2">
        <f t="shared" si="11"/>
        <v>132.79152699099529</v>
      </c>
      <c r="S198" s="2">
        <f t="shared" si="10"/>
        <v>2.3993867974781695</v>
      </c>
      <c r="T198" s="2">
        <f t="shared" si="12"/>
        <v>3.6291178862529163</v>
      </c>
      <c r="U198" s="2">
        <f t="shared" si="13"/>
        <v>138.82003167472638</v>
      </c>
    </row>
    <row r="199" spans="1:21" x14ac:dyDescent="0.25">
      <c r="A199">
        <v>1982449</v>
      </c>
      <c r="B199">
        <v>2</v>
      </c>
      <c r="C199" s="1">
        <f>8.15303328443809*(10.3/7.3)</f>
        <v>11.503594908179769</v>
      </c>
      <c r="D199" s="1">
        <f>9.04777949621249*(10.3/7.3)</f>
        <v>12.766045042601188</v>
      </c>
      <c r="E199" s="1">
        <f>32.3975131982761*(10.3/7.3)</f>
        <v>45.711559718115559</v>
      </c>
      <c r="F199" s="1">
        <f>53.5585722038221*(38.9/42.5)</f>
        <v>49.021846087733593</v>
      </c>
      <c r="G199" s="1">
        <v>1.3728387706410272</v>
      </c>
      <c r="H199" s="1">
        <v>3.0515616795679028</v>
      </c>
      <c r="I199" s="1">
        <v>40.250625284741837</v>
      </c>
      <c r="J199" s="1">
        <v>3.1548219934918575E-2</v>
      </c>
      <c r="K199" s="1">
        <v>2.6380838672788105</v>
      </c>
      <c r="L199" s="1">
        <v>2.5065276328339543</v>
      </c>
      <c r="M199" s="1">
        <v>0.15063660926080025</v>
      </c>
      <c r="N199" s="1">
        <v>1.4221110088515119</v>
      </c>
      <c r="O199" s="1">
        <v>0.12834666666666666</v>
      </c>
      <c r="P199" s="1">
        <v>0.1012853488643965</v>
      </c>
      <c r="Q199" s="1">
        <v>2.1940345649514157</v>
      </c>
      <c r="R199" s="2">
        <f t="shared" si="11"/>
        <v>165.87210605653229</v>
      </c>
      <c r="S199" s="2">
        <f t="shared" si="10"/>
        <v>2.7709174360781255</v>
      </c>
      <c r="T199" s="2">
        <f t="shared" si="12"/>
        <v>4.2076219176129328</v>
      </c>
      <c r="U199" s="2">
        <f t="shared" si="13"/>
        <v>172.85064541022334</v>
      </c>
    </row>
    <row r="200" spans="1:21" x14ac:dyDescent="0.25">
      <c r="A200">
        <v>1982489</v>
      </c>
      <c r="B200">
        <v>9</v>
      </c>
      <c r="C200" s="1">
        <f>11.284049432047*(10.3/7.3)</f>
        <v>15.921330020559505</v>
      </c>
      <c r="D200" s="1">
        <f>13.932664534189*(10.3/7.3)</f>
        <v>19.658417082485887</v>
      </c>
      <c r="E200" s="1">
        <f>49.7580201113973*(10.3/7.3)</f>
        <v>70.206521527040067</v>
      </c>
      <c r="F200" s="1">
        <f>76.0300918174564*(38.9/42.5)</f>
        <v>69.589895804683593</v>
      </c>
      <c r="G200" s="1">
        <v>1.6772583616993282</v>
      </c>
      <c r="H200" s="1">
        <v>2.7644904574203313</v>
      </c>
      <c r="I200" s="1">
        <v>53.368781721763895</v>
      </c>
      <c r="J200" s="1">
        <v>3.412950222055975E-2</v>
      </c>
      <c r="K200" s="1">
        <v>2.9627292509018881</v>
      </c>
      <c r="L200" s="1">
        <v>2.5715623358425939</v>
      </c>
      <c r="M200" s="1">
        <v>0.14140535666651485</v>
      </c>
      <c r="N200" s="1">
        <v>1.8816315713587137</v>
      </c>
      <c r="O200" s="1">
        <v>0.12282074074074073</v>
      </c>
      <c r="P200" s="1">
        <v>9.7460442145903339E-2</v>
      </c>
      <c r="Q200" s="1">
        <v>2.6805498931267833</v>
      </c>
      <c r="R200" s="2">
        <f t="shared" si="11"/>
        <v>235.86724486877941</v>
      </c>
      <c r="S200" s="2">
        <f t="shared" si="10"/>
        <v>3.0943191952683513</v>
      </c>
      <c r="T200" s="2">
        <f t="shared" si="12"/>
        <v>4.717420004608563</v>
      </c>
      <c r="U200" s="2">
        <f t="shared" si="13"/>
        <v>243.67898406865632</v>
      </c>
    </row>
    <row r="201" spans="1:21" x14ac:dyDescent="0.25">
      <c r="A201">
        <v>1982497</v>
      </c>
      <c r="B201">
        <v>29</v>
      </c>
      <c r="C201" s="1">
        <f>11.6954955505889*(10.3/7.3)</f>
        <v>16.501863585077515</v>
      </c>
      <c r="D201" s="1">
        <f>16.7425644604302*(10.3/7.3)</f>
        <v>23.623070403072749</v>
      </c>
      <c r="E201" s="1">
        <f>59.5711682603111*(10.3/7.3)</f>
        <v>84.052470285096476</v>
      </c>
      <c r="F201" s="1">
        <f>83.3592379413237*(38.9/42.5)</f>
        <v>76.29822013923507</v>
      </c>
      <c r="G201" s="1">
        <v>1.4994172024669583</v>
      </c>
      <c r="H201" s="1">
        <v>3.4154838988444056</v>
      </c>
      <c r="I201" s="1">
        <v>52.805264552659601</v>
      </c>
      <c r="J201" s="1">
        <v>3.4254944979911078E-2</v>
      </c>
      <c r="K201" s="1">
        <v>2.9984353392994332</v>
      </c>
      <c r="L201" s="1">
        <v>2.5659965526617308</v>
      </c>
      <c r="M201" s="1">
        <v>0.13764281550451549</v>
      </c>
      <c r="N201" s="1">
        <v>2.5528797663650211</v>
      </c>
      <c r="O201" s="1">
        <v>0.12180229885057471</v>
      </c>
      <c r="P201" s="1">
        <v>9.6797227373853878E-2</v>
      </c>
      <c r="Q201" s="1">
        <v>2.3963288623901193</v>
      </c>
      <c r="R201" s="2">
        <f t="shared" si="11"/>
        <v>260.59211892884292</v>
      </c>
      <c r="S201" s="2">
        <f t="shared" ref="S201:S264" si="14">J201+K201+P201</f>
        <v>3.1294875116531982</v>
      </c>
      <c r="T201" s="2">
        <f t="shared" si="12"/>
        <v>5.3783214333818421</v>
      </c>
      <c r="U201" s="2">
        <f t="shared" si="13"/>
        <v>269.09992787387796</v>
      </c>
    </row>
    <row r="202" spans="1:21" x14ac:dyDescent="0.25">
      <c r="A202">
        <v>1982505</v>
      </c>
      <c r="B202">
        <v>14</v>
      </c>
      <c r="C202" s="1">
        <f>15.6278325207884*(10.3/7.3)</f>
        <v>22.050229447139753</v>
      </c>
      <c r="D202" s="1">
        <f>18.5421533036527*(10.3/7.3)</f>
        <v>26.162216305153862</v>
      </c>
      <c r="E202" s="1">
        <f>66.4593616575285*(10.3/7.3)</f>
        <v>93.771428092129298</v>
      </c>
      <c r="F202" s="1">
        <f>95.7250244207533*(38.9/42.5)</f>
        <v>87.61655176393657</v>
      </c>
      <c r="G202" s="1">
        <v>1.7066026765273485</v>
      </c>
      <c r="H202" s="1">
        <v>3.9407597315464407</v>
      </c>
      <c r="I202" s="1">
        <v>67.441735981912572</v>
      </c>
      <c r="J202" s="1">
        <v>3.775481468779842E-2</v>
      </c>
      <c r="K202" s="1">
        <v>3.238612251883592</v>
      </c>
      <c r="L202" s="1">
        <v>2.7957680091632446</v>
      </c>
      <c r="M202" s="1">
        <v>0.14565159697307203</v>
      </c>
      <c r="N202" s="1">
        <v>2.0386813714389582</v>
      </c>
      <c r="O202" s="1">
        <v>0.12702095238095237</v>
      </c>
      <c r="P202" s="1">
        <v>0.10049316543025404</v>
      </c>
      <c r="Q202" s="1">
        <v>2.7274471999295558</v>
      </c>
      <c r="R202" s="2">
        <f t="shared" ref="R202:R265" si="15">C202+D202+E202+F202+G202+H202+I202+Q202</f>
        <v>305.41697119827541</v>
      </c>
      <c r="S202" s="2">
        <f t="shared" si="14"/>
        <v>3.3768602320016448</v>
      </c>
      <c r="T202" s="2">
        <f t="shared" ref="T202:T265" si="16">L202+M202+N202+O202</f>
        <v>5.1071219299562269</v>
      </c>
      <c r="U202" s="2">
        <f t="shared" ref="U202:U265" si="17">R202+S202+T202</f>
        <v>313.9009533602333</v>
      </c>
    </row>
    <row r="203" spans="1:21" x14ac:dyDescent="0.25">
      <c r="A203">
        <v>1994685</v>
      </c>
      <c r="B203">
        <v>31</v>
      </c>
      <c r="C203" s="1">
        <f>4.99072481996806*(10.3/7.3)</f>
        <v>7.0417076226946573</v>
      </c>
      <c r="D203" s="1">
        <f>5.31877708611128*(10.3/7.3)</f>
        <v>7.50457588862277</v>
      </c>
      <c r="E203" s="1">
        <f>19.0576819366604*(10.3/7.3)</f>
        <v>26.889606020219418</v>
      </c>
      <c r="F203" s="1">
        <f>32.8627325675418*(38.9/42.5)</f>
        <v>30.079065808879466</v>
      </c>
      <c r="G203" s="1">
        <v>0.90723410454990427</v>
      </c>
      <c r="H203" s="1">
        <v>3.4448727253730258</v>
      </c>
      <c r="I203" s="1">
        <v>25.340864599646462</v>
      </c>
      <c r="J203" s="1">
        <v>2.188315991875902E-2</v>
      </c>
      <c r="K203" s="1">
        <v>1.9705453542181826</v>
      </c>
      <c r="L203" s="1">
        <v>1.7578558454217847</v>
      </c>
      <c r="M203" s="1">
        <v>0.10425499995951019</v>
      </c>
      <c r="N203" s="1">
        <v>1.0490358861743014</v>
      </c>
      <c r="O203" s="1">
        <v>9.5387526881720447E-2</v>
      </c>
      <c r="P203" s="1">
        <v>8.178598650765595E-2</v>
      </c>
      <c r="Q203" s="1">
        <v>1.449917518687063</v>
      </c>
      <c r="R203" s="2">
        <f t="shared" si="15"/>
        <v>102.65784428867276</v>
      </c>
      <c r="S203" s="2">
        <f t="shared" si="14"/>
        <v>2.0742145006445973</v>
      </c>
      <c r="T203" s="2">
        <f t="shared" si="16"/>
        <v>3.0065342584373167</v>
      </c>
      <c r="U203" s="2">
        <f t="shared" si="17"/>
        <v>107.73859304775468</v>
      </c>
    </row>
    <row r="204" spans="1:21" x14ac:dyDescent="0.25">
      <c r="A204">
        <v>1994725</v>
      </c>
      <c r="B204">
        <v>8</v>
      </c>
      <c r="C204" s="1">
        <f>11.9532349857153*(10.3/7.3)</f>
        <v>16.865523336009286</v>
      </c>
      <c r="D204" s="1">
        <f>14.7420504066053*(10.3/7.3)</f>
        <v>20.800427286032182</v>
      </c>
      <c r="E204" s="1">
        <f>52.6640799925153*(10.3/7.3)</f>
        <v>74.306852592179126</v>
      </c>
      <c r="F204" s="1">
        <f>79.8339023154998*(38.9/42.5)</f>
        <v>73.071501178186892</v>
      </c>
      <c r="G204" s="1">
        <v>1.7207426169719013</v>
      </c>
      <c r="H204" s="1">
        <v>2.4918119857168413</v>
      </c>
      <c r="I204" s="1">
        <v>55.945921500921273</v>
      </c>
      <c r="J204" s="1">
        <v>3.4710467534985565E-2</v>
      </c>
      <c r="K204" s="1">
        <v>2.9527220309978883</v>
      </c>
      <c r="L204" s="1">
        <v>2.5844670649947901</v>
      </c>
      <c r="M204" s="1">
        <v>0.14137117815783773</v>
      </c>
      <c r="N204" s="1">
        <v>3.1396795329577412</v>
      </c>
      <c r="O204" s="1">
        <v>0.12339333333333334</v>
      </c>
      <c r="P204" s="1">
        <v>9.7446965127094123E-2</v>
      </c>
      <c r="Q204" s="1">
        <v>2.7500452782655982</v>
      </c>
      <c r="R204" s="2">
        <f t="shared" si="15"/>
        <v>247.9528257742831</v>
      </c>
      <c r="S204" s="2">
        <f t="shared" si="14"/>
        <v>3.0848794636599677</v>
      </c>
      <c r="T204" s="2">
        <f t="shared" si="16"/>
        <v>5.9889111094437029</v>
      </c>
      <c r="U204" s="2">
        <f t="shared" si="17"/>
        <v>257.02661634738678</v>
      </c>
    </row>
    <row r="205" spans="1:21" x14ac:dyDescent="0.25">
      <c r="A205">
        <v>1994733</v>
      </c>
      <c r="B205">
        <v>45</v>
      </c>
      <c r="C205" s="1">
        <f>12.7411778797668*(10.3/7.3)</f>
        <v>17.977278378301065</v>
      </c>
      <c r="D205" s="1">
        <f>15.8960657121186*(10.3/7.3)</f>
        <v>22.428695456824844</v>
      </c>
      <c r="E205" s="1">
        <f>56.8252188585307*(10.3/7.3)</f>
        <v>80.178048526420014</v>
      </c>
      <c r="F205" s="1">
        <f>82.7269235061639*(38.9/42.5)</f>
        <v>75.719466456230037</v>
      </c>
      <c r="G205" s="1">
        <v>1.5805546235035763</v>
      </c>
      <c r="H205" s="1">
        <v>2.9759859768146537</v>
      </c>
      <c r="I205" s="1">
        <v>56.970828012276542</v>
      </c>
      <c r="J205" s="1">
        <v>3.5235563999941336E-2</v>
      </c>
      <c r="K205" s="1">
        <v>3.0474790629677546</v>
      </c>
      <c r="L205" s="1">
        <v>2.6291170934609247</v>
      </c>
      <c r="M205" s="1">
        <v>0.1393689841570982</v>
      </c>
      <c r="N205" s="1">
        <v>1.9154771875109806</v>
      </c>
      <c r="O205" s="1">
        <v>0.12277688888888889</v>
      </c>
      <c r="P205" s="1">
        <v>9.7953231770343777E-2</v>
      </c>
      <c r="Q205" s="1">
        <v>2.5260005398459011</v>
      </c>
      <c r="R205" s="2">
        <f t="shared" si="15"/>
        <v>260.35685797021665</v>
      </c>
      <c r="S205" s="2">
        <f t="shared" si="14"/>
        <v>3.1806678587380399</v>
      </c>
      <c r="T205" s="2">
        <f t="shared" si="16"/>
        <v>4.8067401540178922</v>
      </c>
      <c r="U205" s="2">
        <f t="shared" si="17"/>
        <v>268.34426598297262</v>
      </c>
    </row>
    <row r="206" spans="1:21" x14ac:dyDescent="0.25">
      <c r="A206">
        <v>2006881</v>
      </c>
      <c r="B206">
        <v>8</v>
      </c>
      <c r="C206" s="1">
        <f>5.07672694195256*(10.3/7.3)</f>
        <v>7.1630530824810155</v>
      </c>
      <c r="D206" s="1">
        <f>5.75557242410818*(10.3/7.3)</f>
        <v>8.1208761600430552</v>
      </c>
      <c r="E206" s="1">
        <f>20.437544469893*(10.3/7.3)</f>
        <v>28.836535347931232</v>
      </c>
      <c r="F206" s="1">
        <f>41.2803913375997*(38.9/42.5)</f>
        <v>37.783699365473609</v>
      </c>
      <c r="G206" s="1">
        <v>1.5032021240078774</v>
      </c>
      <c r="H206" s="1">
        <v>4.9214808803752792</v>
      </c>
      <c r="I206" s="1">
        <v>31.871057458050814</v>
      </c>
      <c r="J206" s="1">
        <v>2.5275703980810523E-2</v>
      </c>
      <c r="K206" s="1">
        <v>2.0349917567478077</v>
      </c>
      <c r="L206" s="1">
        <v>1.8723822540972657</v>
      </c>
      <c r="M206" s="1">
        <v>0.11499856272027718</v>
      </c>
      <c r="N206" s="1">
        <v>1.1218268059073275</v>
      </c>
      <c r="O206" s="1">
        <v>0.10687999999999999</v>
      </c>
      <c r="P206" s="1">
        <v>8.8575221010917471E-2</v>
      </c>
      <c r="Q206" s="1">
        <v>2.4023778237568845</v>
      </c>
      <c r="R206" s="2">
        <f t="shared" si="15"/>
        <v>122.60228224211976</v>
      </c>
      <c r="S206" s="2">
        <f t="shared" si="14"/>
        <v>2.1488426817395361</v>
      </c>
      <c r="T206" s="2">
        <f t="shared" si="16"/>
        <v>3.2160876227248703</v>
      </c>
      <c r="U206" s="2">
        <f t="shared" si="17"/>
        <v>127.96721254658416</v>
      </c>
    </row>
    <row r="207" spans="1:21" x14ac:dyDescent="0.25">
      <c r="A207">
        <v>2006905</v>
      </c>
      <c r="B207">
        <v>4</v>
      </c>
      <c r="C207" s="1">
        <f>4.06616105524321*(10.3/7.3)</f>
        <v>5.7371861464390452</v>
      </c>
      <c r="D207" s="1">
        <f>4.46183818406857*(10.3/7.3)</f>
        <v>6.2954703145077113</v>
      </c>
      <c r="E207" s="1">
        <f>15.9577411485956*(10.3/7.3)</f>
        <v>22.515716963086945</v>
      </c>
      <c r="F207" s="1">
        <f>27.7830095264329*(38.9/42.5)</f>
        <v>25.429625190076219</v>
      </c>
      <c r="G207" s="1">
        <v>0.79065642054347252</v>
      </c>
      <c r="H207" s="1">
        <v>1.4302988201442159</v>
      </c>
      <c r="I207" s="1">
        <v>21.186986110501273</v>
      </c>
      <c r="J207" s="1">
        <v>2.1228748397363505E-2</v>
      </c>
      <c r="K207" s="1">
        <v>1.9299736219609658</v>
      </c>
      <c r="L207" s="1">
        <v>1.750847602658135</v>
      </c>
      <c r="M207" s="1">
        <v>0.10628173991069029</v>
      </c>
      <c r="N207" s="1">
        <v>1.0186052213851922</v>
      </c>
      <c r="O207" s="1">
        <v>9.5293333333333341E-2</v>
      </c>
      <c r="P207" s="1">
        <v>8.2585873831256512E-2</v>
      </c>
      <c r="Q207" s="1">
        <v>1.263606151553496</v>
      </c>
      <c r="R207" s="2">
        <f t="shared" si="15"/>
        <v>84.649546116852378</v>
      </c>
      <c r="S207" s="2">
        <f t="shared" si="14"/>
        <v>2.0337882441895858</v>
      </c>
      <c r="T207" s="2">
        <f t="shared" si="16"/>
        <v>2.9710278972873505</v>
      </c>
      <c r="U207" s="2">
        <f t="shared" si="17"/>
        <v>89.654362258329314</v>
      </c>
    </row>
    <row r="208" spans="1:21" x14ac:dyDescent="0.25">
      <c r="A208">
        <v>2006913</v>
      </c>
      <c r="B208">
        <v>31</v>
      </c>
      <c r="C208" s="1">
        <f>5.00565433866027*(10.3/7.3)</f>
        <v>7.0627725600275051</v>
      </c>
      <c r="D208" s="1">
        <f>5.48809506506145*(10.3/7.3)</f>
        <v>7.7434765986483489</v>
      </c>
      <c r="E208" s="1">
        <f>19.6485162369354*(10.3/7.3)</f>
        <v>27.723248937045842</v>
      </c>
      <c r="F208" s="1">
        <f>33.2285253880303*(38.9/42.5)</f>
        <v>30.413873825750052</v>
      </c>
      <c r="G208" s="1">
        <v>0.89090796787576543</v>
      </c>
      <c r="H208" s="1">
        <v>2.2379422886774449</v>
      </c>
      <c r="I208" s="1">
        <v>25.216749713932582</v>
      </c>
      <c r="J208" s="1">
        <v>2.3551697138129733E-2</v>
      </c>
      <c r="K208" s="1">
        <v>2.1002186598354591</v>
      </c>
      <c r="L208" s="1">
        <v>1.9057881505719361</v>
      </c>
      <c r="M208" s="1">
        <v>0.11510549001587489</v>
      </c>
      <c r="N208" s="1">
        <v>1.1240040103317792</v>
      </c>
      <c r="O208" s="1">
        <v>0.10305720430107528</v>
      </c>
      <c r="P208" s="1">
        <v>8.6428491956676012E-2</v>
      </c>
      <c r="Q208" s="1">
        <v>1.4238255194361562</v>
      </c>
      <c r="R208" s="2">
        <f t="shared" si="15"/>
        <v>102.71279741139368</v>
      </c>
      <c r="S208" s="2">
        <f t="shared" si="14"/>
        <v>2.2101988489302649</v>
      </c>
      <c r="T208" s="2">
        <f t="shared" si="16"/>
        <v>3.2479548552206654</v>
      </c>
      <c r="U208" s="2">
        <f t="shared" si="17"/>
        <v>108.17095111554461</v>
      </c>
    </row>
    <row r="209" spans="1:21" x14ac:dyDescent="0.25">
      <c r="A209">
        <v>2006921</v>
      </c>
      <c r="B209">
        <v>21</v>
      </c>
      <c r="C209" s="1">
        <f>9.21761038508598*(10.3/7.3)</f>
        <v>13.005669447450083</v>
      </c>
      <c r="D209" s="1">
        <f>9.01084398713934*(10.3/7.3)</f>
        <v>12.713930557196607</v>
      </c>
      <c r="E209" s="1">
        <f>32.4791884642972*(10.3/7.3)</f>
        <v>45.826800161953592</v>
      </c>
      <c r="F209" s="1">
        <f>54.0182170712235*(38.9/42.5)</f>
        <v>49.442556331072815</v>
      </c>
      <c r="G209" s="1">
        <v>1.3242801458948568</v>
      </c>
      <c r="H209" s="1">
        <v>2.9069690227796312</v>
      </c>
      <c r="I209" s="1">
        <v>43.114255142530297</v>
      </c>
      <c r="J209" s="1">
        <v>2.7950185206119169E-2</v>
      </c>
      <c r="K209" s="1">
        <v>2.3555740116612389</v>
      </c>
      <c r="L209" s="1">
        <v>2.1674030684153034</v>
      </c>
      <c r="M209" s="1">
        <v>0.12818222856469286</v>
      </c>
      <c r="N209" s="1">
        <v>1.2801524373514994</v>
      </c>
      <c r="O209" s="1">
        <v>0.1129320634920635</v>
      </c>
      <c r="P209" s="1">
        <v>9.2630868855611254E-2</v>
      </c>
      <c r="Q209" s="1">
        <v>2.1164294569095903</v>
      </c>
      <c r="R209" s="2">
        <f t="shared" si="15"/>
        <v>170.45089026578748</v>
      </c>
      <c r="S209" s="2">
        <f t="shared" si="14"/>
        <v>2.4761550657229692</v>
      </c>
      <c r="T209" s="2">
        <f t="shared" si="16"/>
        <v>3.6886697978235587</v>
      </c>
      <c r="U209" s="2">
        <f t="shared" si="17"/>
        <v>176.61571512933401</v>
      </c>
    </row>
    <row r="210" spans="1:21" x14ac:dyDescent="0.25">
      <c r="A210">
        <v>2006953</v>
      </c>
      <c r="B210">
        <v>3</v>
      </c>
      <c r="C210" s="1">
        <f>9.96260572649787*(10.3/7.3)</f>
        <v>14.056827257935351</v>
      </c>
      <c r="D210" s="1">
        <f>12.1732695731738*(10.3/7.3)</f>
        <v>17.175983096395896</v>
      </c>
      <c r="E210" s="1">
        <f>43.3465091382827*(10.3/7.3)</f>
        <v>61.160143030727717</v>
      </c>
      <c r="F210" s="1">
        <f>73.6820988740768*(38.9/42.5)</f>
        <v>67.44079167533144</v>
      </c>
      <c r="G210" s="1">
        <v>2.0793759574070427</v>
      </c>
      <c r="H210" s="1">
        <v>2.7314967682337676</v>
      </c>
      <c r="I210" s="1">
        <v>53.403546839592856</v>
      </c>
      <c r="J210" s="1">
        <v>3.1775938536555963E-2</v>
      </c>
      <c r="K210" s="1">
        <v>2.7036258868187937</v>
      </c>
      <c r="L210" s="1">
        <v>2.3305290539967145</v>
      </c>
      <c r="M210" s="1">
        <v>0.1314693692866061</v>
      </c>
      <c r="N210" s="1">
        <v>3.0863865748321255</v>
      </c>
      <c r="O210" s="1">
        <v>0.11614222222222222</v>
      </c>
      <c r="P210" s="1">
        <v>9.292408720987462E-2</v>
      </c>
      <c r="Q210" s="1">
        <v>3.3232035848971031</v>
      </c>
      <c r="R210" s="2">
        <f t="shared" si="15"/>
        <v>221.37136821052118</v>
      </c>
      <c r="S210" s="2">
        <f t="shared" si="14"/>
        <v>2.8283259125652243</v>
      </c>
      <c r="T210" s="2">
        <f t="shared" si="16"/>
        <v>5.6645272203376686</v>
      </c>
      <c r="U210" s="2">
        <f t="shared" si="17"/>
        <v>229.86422134342408</v>
      </c>
    </row>
    <row r="211" spans="1:21" x14ac:dyDescent="0.25">
      <c r="A211">
        <v>2006961</v>
      </c>
      <c r="B211">
        <v>32</v>
      </c>
      <c r="C211" s="1">
        <f>13.7414407318915*(10.3/7.3)</f>
        <v>19.388608155956447</v>
      </c>
      <c r="D211" s="1">
        <f>17.033101302325*(10.3/7.3)</f>
        <v>24.033005947116052</v>
      </c>
      <c r="E211" s="1">
        <f>60.8775118681477*(10.3/7.3)</f>
        <v>85.895667430400167</v>
      </c>
      <c r="F211" s="1">
        <f>90.1389370684937*(38.9/42.5)</f>
        <v>82.503638869750716</v>
      </c>
      <c r="G211" s="1">
        <v>1.8138880376645738</v>
      </c>
      <c r="H211" s="1">
        <v>2.6447553702980797</v>
      </c>
      <c r="I211" s="1">
        <v>62.590521451581459</v>
      </c>
      <c r="J211" s="1">
        <v>3.8262294280012175E-2</v>
      </c>
      <c r="K211" s="1">
        <v>3.2267588159918978</v>
      </c>
      <c r="L211" s="1">
        <v>2.8640437863963881</v>
      </c>
      <c r="M211" s="1">
        <v>0.15160486485862565</v>
      </c>
      <c r="N211" s="1">
        <v>2.1037395062550752</v>
      </c>
      <c r="O211" s="1">
        <v>0.13089666666666666</v>
      </c>
      <c r="P211" s="1">
        <v>0.10310634284142293</v>
      </c>
      <c r="Q211" s="1">
        <v>2.8989078227516045</v>
      </c>
      <c r="R211" s="2">
        <f t="shared" si="15"/>
        <v>281.76899308551913</v>
      </c>
      <c r="S211" s="2">
        <f t="shared" si="14"/>
        <v>3.3681274531133329</v>
      </c>
      <c r="T211" s="2">
        <f t="shared" si="16"/>
        <v>5.2502848241767559</v>
      </c>
      <c r="U211" s="2">
        <f t="shared" si="17"/>
        <v>290.3874053628092</v>
      </c>
    </row>
    <row r="212" spans="1:21" x14ac:dyDescent="0.25">
      <c r="A212">
        <v>2006969</v>
      </c>
      <c r="B212">
        <v>4</v>
      </c>
      <c r="C212" s="1">
        <f>15.350166232645*(10.3/7.3)</f>
        <v>21.658453725512864</v>
      </c>
      <c r="D212" s="1">
        <f>18.8250563951934*(10.3/7.3)</f>
        <v>26.561380941163268</v>
      </c>
      <c r="E212" s="1">
        <f>67.3557638026951*(10.3/7.3)</f>
        <v>95.036214680515045</v>
      </c>
      <c r="F212" s="1">
        <f>97.6916107501227*(38.9/42.5)</f>
        <v>89.416556663053456</v>
      </c>
      <c r="G212" s="1">
        <v>1.8237457603728693</v>
      </c>
      <c r="H212" s="1">
        <v>2.9507051223231162</v>
      </c>
      <c r="I212" s="1">
        <v>67.791852865871448</v>
      </c>
      <c r="J212" s="1">
        <v>3.7760270235486268E-2</v>
      </c>
      <c r="K212" s="1">
        <v>3.1912621346576446</v>
      </c>
      <c r="L212" s="1">
        <v>2.824048716645116</v>
      </c>
      <c r="M212" s="1">
        <v>0.14811857545348139</v>
      </c>
      <c r="N212" s="1">
        <v>1.8644998478361319</v>
      </c>
      <c r="O212" s="1">
        <v>0.12786666666666666</v>
      </c>
      <c r="P212" s="1">
        <v>0.10153229056827329</v>
      </c>
      <c r="Q212" s="1">
        <v>2.9146621741118945</v>
      </c>
      <c r="R212" s="2">
        <f t="shared" si="15"/>
        <v>308.15357193292391</v>
      </c>
      <c r="S212" s="2">
        <f t="shared" si="14"/>
        <v>3.3305546954614043</v>
      </c>
      <c r="T212" s="2">
        <f t="shared" si="16"/>
        <v>4.9645338066013958</v>
      </c>
      <c r="U212" s="2">
        <f t="shared" si="17"/>
        <v>316.44866043498672</v>
      </c>
    </row>
    <row r="213" spans="1:21" x14ac:dyDescent="0.25">
      <c r="A213">
        <v>2019085</v>
      </c>
      <c r="B213">
        <v>3</v>
      </c>
      <c r="C213" s="1">
        <f>9.00936066897849*(10.3/7.3)</f>
        <v>12.711837656229919</v>
      </c>
      <c r="D213" s="1">
        <f>12.8554538734101*(10.3/7.3)</f>
        <v>18.138517109058117</v>
      </c>
      <c r="E213" s="1">
        <f>45.3513157782474*(10.3/7.3)</f>
        <v>63.988842810403874</v>
      </c>
      <c r="F213" s="1">
        <f>83.1675442339037*(38.9/42.5)</f>
        <v>76.122764016443625</v>
      </c>
      <c r="G213" s="1">
        <v>2.7957485137686362</v>
      </c>
      <c r="H213" s="1">
        <v>7.414622504301704</v>
      </c>
      <c r="I213" s="1">
        <v>57.904758882890654</v>
      </c>
      <c r="J213" s="1">
        <v>2.8090008872785611E-2</v>
      </c>
      <c r="K213" s="1">
        <v>2.2493301506487051</v>
      </c>
      <c r="L213" s="1">
        <v>2.2031468288256852</v>
      </c>
      <c r="M213" s="1">
        <v>0.14007612652277435</v>
      </c>
      <c r="N213" s="1">
        <v>1.3097628886379284</v>
      </c>
      <c r="O213" s="1">
        <v>0.12524444444444446</v>
      </c>
      <c r="P213" s="1">
        <v>9.7508582860002024E-2</v>
      </c>
      <c r="Q213" s="1">
        <v>4.4680912320503365</v>
      </c>
      <c r="R213" s="2">
        <f t="shared" si="15"/>
        <v>243.5451827251469</v>
      </c>
      <c r="S213" s="2">
        <f t="shared" si="14"/>
        <v>2.3749287423814929</v>
      </c>
      <c r="T213" s="2">
        <f t="shared" si="16"/>
        <v>3.7782302884308328</v>
      </c>
      <c r="U213" s="2">
        <f t="shared" si="17"/>
        <v>249.69834175595921</v>
      </c>
    </row>
    <row r="214" spans="1:21" x14ac:dyDescent="0.25">
      <c r="A214">
        <v>2019117</v>
      </c>
      <c r="B214">
        <v>16</v>
      </c>
      <c r="C214" s="1">
        <f>5.89870165815965*(10.3/7.3)</f>
        <v>8.3228256272663614</v>
      </c>
      <c r="D214" s="1">
        <f>6.5623605811235*(10.3/7.3)</f>
        <v>9.2592210939139772</v>
      </c>
      <c r="E214" s="1">
        <f>23.3586516311257*(10.3/7.3)</f>
        <v>32.95809750693072</v>
      </c>
      <c r="F214" s="1">
        <f>45.449680712864*(38.9/42.5)</f>
        <v>41.599825405421406</v>
      </c>
      <c r="G214" s="1">
        <v>1.564722360828221</v>
      </c>
      <c r="H214" s="1">
        <v>5.1959392011207202</v>
      </c>
      <c r="I214" s="1">
        <v>35.121742455452242</v>
      </c>
      <c r="J214" s="1">
        <v>2.7262053739658371E-2</v>
      </c>
      <c r="K214" s="1">
        <v>2.1335208790643767</v>
      </c>
      <c r="L214" s="1">
        <v>1.986785668687481</v>
      </c>
      <c r="M214" s="1">
        <v>0.1231743647254329</v>
      </c>
      <c r="N214" s="1">
        <v>1.2846507742017774</v>
      </c>
      <c r="O214" s="1">
        <v>0.11077000000000001</v>
      </c>
      <c r="P214" s="1">
        <v>9.0944605807004086E-2</v>
      </c>
      <c r="Q214" s="1">
        <v>2.5006978369400823</v>
      </c>
      <c r="R214" s="2">
        <f t="shared" si="15"/>
        <v>136.52307148787375</v>
      </c>
      <c r="S214" s="2">
        <f t="shared" si="14"/>
        <v>2.2517275386110391</v>
      </c>
      <c r="T214" s="2">
        <f t="shared" si="16"/>
        <v>3.5053808076146913</v>
      </c>
      <c r="U214" s="2">
        <f t="shared" si="17"/>
        <v>142.2801798340995</v>
      </c>
    </row>
    <row r="215" spans="1:21" x14ac:dyDescent="0.25">
      <c r="A215">
        <v>2019133</v>
      </c>
      <c r="B215">
        <v>1</v>
      </c>
      <c r="C215" s="1">
        <f>8.36412794202247*(10.3/7.3)</f>
        <v>11.801440794908411</v>
      </c>
      <c r="D215" s="1">
        <f>9.09738366911026*(10.3/7.3)</f>
        <v>12.83603449203229</v>
      </c>
      <c r="E215" s="1">
        <f>32.4974575183375*(10.3/7.3)</f>
        <v>45.852577046421473</v>
      </c>
      <c r="F215" s="1">
        <f>59.2917145813114*(38.9/42.5)</f>
        <v>54.26935758148268</v>
      </c>
      <c r="G215" s="1">
        <v>1.83259759300889</v>
      </c>
      <c r="H215" s="1">
        <v>7.0339260906105876</v>
      </c>
      <c r="I215" s="1">
        <v>45.747022262168926</v>
      </c>
      <c r="J215" s="1">
        <v>3.082263209243424E-2</v>
      </c>
      <c r="K215" s="1">
        <v>2.5375607685601835</v>
      </c>
      <c r="L215" s="1">
        <v>2.4413248055762207</v>
      </c>
      <c r="M215" s="1">
        <v>0.15609985351308167</v>
      </c>
      <c r="N215" s="1">
        <v>1.4002820491611874</v>
      </c>
      <c r="O215" s="1">
        <v>0.12639999999999998</v>
      </c>
      <c r="P215" s="1">
        <v>0.10141532243848175</v>
      </c>
      <c r="Q215" s="1">
        <v>2.9288089385986855</v>
      </c>
      <c r="R215" s="2">
        <f t="shared" si="15"/>
        <v>182.3017647992319</v>
      </c>
      <c r="S215" s="2">
        <f t="shared" si="14"/>
        <v>2.6697987230910996</v>
      </c>
      <c r="T215" s="2">
        <f t="shared" si="16"/>
        <v>4.1241067082504896</v>
      </c>
      <c r="U215" s="2">
        <f t="shared" si="17"/>
        <v>189.09567023057349</v>
      </c>
    </row>
    <row r="216" spans="1:21" x14ac:dyDescent="0.25">
      <c r="A216">
        <v>2019141</v>
      </c>
      <c r="B216">
        <v>47</v>
      </c>
      <c r="C216" s="1">
        <f>4.44583483861345*(10.3/7.3)</f>
        <v>6.27289025174227</v>
      </c>
      <c r="D216" s="1">
        <f>4.87638533998543*(10.3/7.3)</f>
        <v>6.8803793153219113</v>
      </c>
      <c r="E216" s="1">
        <f>17.4489117538883*(10.3/7.3)</f>
        <v>24.619697406171095</v>
      </c>
      <c r="F216" s="1">
        <f>29.9691344832805*(38.9/42.5)</f>
        <v>27.430572503520295</v>
      </c>
      <c r="G216" s="1">
        <v>0.82997202638681211</v>
      </c>
      <c r="H216" s="1">
        <v>1.5087942277456468</v>
      </c>
      <c r="I216" s="1">
        <v>22.802932903808102</v>
      </c>
      <c r="J216" s="1">
        <v>2.2300292767457649E-2</v>
      </c>
      <c r="K216" s="1">
        <v>2.0069578527964764</v>
      </c>
      <c r="L216" s="1">
        <v>1.8147154130136851</v>
      </c>
      <c r="M216" s="1">
        <v>0.11080720409957306</v>
      </c>
      <c r="N216" s="1">
        <v>1.0726033264829744</v>
      </c>
      <c r="O216" s="1">
        <v>9.8971914893617036E-2</v>
      </c>
      <c r="P216" s="1">
        <v>8.4510531183780338E-2</v>
      </c>
      <c r="Q216" s="1">
        <v>1.326439311577098</v>
      </c>
      <c r="R216" s="2">
        <f t="shared" si="15"/>
        <v>91.671677946273235</v>
      </c>
      <c r="S216" s="2">
        <f t="shared" si="14"/>
        <v>2.1137686767477146</v>
      </c>
      <c r="T216" s="2">
        <f t="shared" si="16"/>
        <v>3.0970978584898496</v>
      </c>
      <c r="U216" s="2">
        <f t="shared" si="17"/>
        <v>96.882544481510791</v>
      </c>
    </row>
    <row r="217" spans="1:21" x14ac:dyDescent="0.25">
      <c r="A217">
        <v>2019149</v>
      </c>
      <c r="B217">
        <v>31</v>
      </c>
      <c r="C217" s="1">
        <f>4.63267333381094*(10.3/7.3)</f>
        <v>6.536511690171606</v>
      </c>
      <c r="D217" s="1">
        <f>5.004293350909*(10.3/7.3)</f>
        <v>7.0608522622414611</v>
      </c>
      <c r="E217" s="1">
        <f>17.9245545382717*(10.3/7.3)</f>
        <v>25.290809827972424</v>
      </c>
      <c r="F217" s="1">
        <f>30.5915218468347*(38.9/42.5)</f>
        <v>28.000239996279333</v>
      </c>
      <c r="G217" s="1">
        <v>0.83119314149482137</v>
      </c>
      <c r="H217" s="1">
        <v>2.8493501200585056</v>
      </c>
      <c r="I217" s="1">
        <v>23.407819580776358</v>
      </c>
      <c r="J217" s="1">
        <v>2.1698101483928076E-2</v>
      </c>
      <c r="K217" s="1">
        <v>1.9391110717345588</v>
      </c>
      <c r="L217" s="1">
        <v>1.730823782283651</v>
      </c>
      <c r="M217" s="1">
        <v>0.10338924555048093</v>
      </c>
      <c r="N217" s="1">
        <v>1.0428823276228003</v>
      </c>
      <c r="O217" s="1">
        <v>9.4050752688172048E-2</v>
      </c>
      <c r="P217" s="1">
        <v>8.1328351537942684E-2</v>
      </c>
      <c r="Q217" s="1">
        <v>1.3283908654026837</v>
      </c>
      <c r="R217" s="2">
        <f t="shared" si="15"/>
        <v>95.305167484397202</v>
      </c>
      <c r="S217" s="2">
        <f t="shared" si="14"/>
        <v>2.0421375247564297</v>
      </c>
      <c r="T217" s="2">
        <f t="shared" si="16"/>
        <v>2.971146108145104</v>
      </c>
      <c r="U217" s="2">
        <f t="shared" si="17"/>
        <v>100.31845111729874</v>
      </c>
    </row>
    <row r="218" spans="1:21" x14ac:dyDescent="0.25">
      <c r="A218">
        <v>2019157</v>
      </c>
      <c r="B218">
        <v>37</v>
      </c>
      <c r="C218" s="1">
        <f>6.64189264029251*(10.3/7.3)</f>
        <v>9.3714375609606684</v>
      </c>
      <c r="D218" s="1">
        <f>6.65947403333199*(10.3/7.3)</f>
        <v>9.3962441840163748</v>
      </c>
      <c r="E218" s="1">
        <f>23.9348945645066*(10.3/7.3)</f>
        <v>33.77115260471485</v>
      </c>
      <c r="F218" s="1">
        <f>41.5465358956966*(38.9/42.5)</f>
        <v>38.027299913943473</v>
      </c>
      <c r="G218" s="1">
        <v>1.1340524294189183</v>
      </c>
      <c r="H218" s="1">
        <v>2.5591786824754243</v>
      </c>
      <c r="I218" s="1">
        <v>32.954776090527332</v>
      </c>
      <c r="J218" s="1">
        <v>2.3522257368731345E-2</v>
      </c>
      <c r="K218" s="1">
        <v>2.0215149309095897</v>
      </c>
      <c r="L218" s="1">
        <v>1.7818047885194317</v>
      </c>
      <c r="M218" s="1">
        <v>0.10737520454982986</v>
      </c>
      <c r="N218" s="1">
        <v>1.0784969548507291</v>
      </c>
      <c r="O218" s="1">
        <v>9.6575135135135132E-2</v>
      </c>
      <c r="P218" s="1">
        <v>8.228031032784186E-2</v>
      </c>
      <c r="Q218" s="1">
        <v>1.8124125584320627</v>
      </c>
      <c r="R218" s="2">
        <f t="shared" si="15"/>
        <v>129.02655402448912</v>
      </c>
      <c r="S218" s="2">
        <f t="shared" si="14"/>
        <v>2.1273174986061631</v>
      </c>
      <c r="T218" s="2">
        <f t="shared" si="16"/>
        <v>3.0642520830551256</v>
      </c>
      <c r="U218" s="2">
        <f t="shared" si="17"/>
        <v>134.21812360615041</v>
      </c>
    </row>
    <row r="219" spans="1:21" x14ac:dyDescent="0.25">
      <c r="A219">
        <v>2019189</v>
      </c>
      <c r="B219">
        <v>26</v>
      </c>
      <c r="C219" s="1">
        <f>14.1635630268043*(10.3/7.3)</f>
        <v>19.984205366586846</v>
      </c>
      <c r="D219" s="1">
        <f>17.263543917615*(10.3/7.3)</f>
        <v>24.358151007045802</v>
      </c>
      <c r="E219" s="1">
        <f>61.6350374293703*(10.3/7.3)</f>
        <v>86.964504866097755</v>
      </c>
      <c r="F219" s="1">
        <f>96.939153386025*(38.9/42.5)</f>
        <v>88.727836863914632</v>
      </c>
      <c r="G219" s="1">
        <v>2.2963593420233446</v>
      </c>
      <c r="H219" s="1">
        <v>2.880519604199463</v>
      </c>
      <c r="I219" s="1">
        <v>68.994116454692843</v>
      </c>
      <c r="J219" s="1">
        <v>3.9740867189240199E-2</v>
      </c>
      <c r="K219" s="1">
        <v>3.3158550865212981</v>
      </c>
      <c r="L219" s="1">
        <v>2.9360780804196955</v>
      </c>
      <c r="M219" s="1">
        <v>0.16104858013748918</v>
      </c>
      <c r="N219" s="1">
        <v>2.6302330546297057</v>
      </c>
      <c r="O219" s="1">
        <v>0.13428307692307689</v>
      </c>
      <c r="P219" s="1">
        <v>0.10477714947497371</v>
      </c>
      <c r="Q219" s="1">
        <v>3.6699806835989559</v>
      </c>
      <c r="R219" s="2">
        <f t="shared" si="15"/>
        <v>297.87567418815968</v>
      </c>
      <c r="S219" s="2">
        <f t="shared" si="14"/>
        <v>3.4603731031855118</v>
      </c>
      <c r="T219" s="2">
        <f t="shared" si="16"/>
        <v>5.8616427921099676</v>
      </c>
      <c r="U219" s="2">
        <f t="shared" si="17"/>
        <v>307.1976900834552</v>
      </c>
    </row>
    <row r="220" spans="1:21" x14ac:dyDescent="0.25">
      <c r="A220">
        <v>2019197</v>
      </c>
      <c r="B220">
        <v>52</v>
      </c>
      <c r="C220" s="1">
        <f>12.1017135756019*(10.3/7.3)</f>
        <v>17.075020524479338</v>
      </c>
      <c r="D220" s="1">
        <f>14.8723970577301*(10.3/7.3)</f>
        <v>20.98434105405757</v>
      </c>
      <c r="E220" s="1">
        <f>53.1717836065274*(10.3/7.3)</f>
        <v>75.023201527018131</v>
      </c>
      <c r="F220" s="1">
        <f>78.9317915352695*(38.9/42.5)</f>
        <v>72.245804487576123</v>
      </c>
      <c r="G220" s="1">
        <v>1.5937879413474068</v>
      </c>
      <c r="H220" s="1">
        <v>2.3972181859337098</v>
      </c>
      <c r="I220" s="1">
        <v>55.083405219114219</v>
      </c>
      <c r="J220" s="1">
        <v>3.3765946698643204E-2</v>
      </c>
      <c r="K220" s="1">
        <v>2.9024697496893332</v>
      </c>
      <c r="L220" s="1">
        <v>2.5260718122723067</v>
      </c>
      <c r="M220" s="1">
        <v>0.13610324573203458</v>
      </c>
      <c r="N220" s="1">
        <v>1.7266995721539229</v>
      </c>
      <c r="O220" s="1">
        <v>0.11990461538461542</v>
      </c>
      <c r="P220" s="1">
        <v>9.6139290908722294E-2</v>
      </c>
      <c r="Q220" s="1">
        <v>2.5471496779524796</v>
      </c>
      <c r="R220" s="2">
        <f t="shared" si="15"/>
        <v>246.94992861747897</v>
      </c>
      <c r="S220" s="2">
        <f t="shared" si="14"/>
        <v>3.032374987296699</v>
      </c>
      <c r="T220" s="2">
        <f t="shared" si="16"/>
        <v>4.5087792455428799</v>
      </c>
      <c r="U220" s="2">
        <f t="shared" si="17"/>
        <v>254.49108285031855</v>
      </c>
    </row>
    <row r="221" spans="1:21" x14ac:dyDescent="0.25">
      <c r="A221">
        <v>2019205</v>
      </c>
      <c r="B221">
        <v>4</v>
      </c>
      <c r="C221" s="1">
        <f>9.63567453511326*(10.3/7.3)</f>
        <v>13.59554078242008</v>
      </c>
      <c r="D221" s="1">
        <f>11.7251597079087*(10.3/7.3)</f>
        <v>16.543718491980794</v>
      </c>
      <c r="E221" s="1">
        <f>41.9499814738824*(10.3/7.3)</f>
        <v>59.189699887806654</v>
      </c>
      <c r="F221" s="1">
        <f>61.7195344830528*(38.9/42.5)</f>
        <v>56.491526856253046</v>
      </c>
      <c r="G221" s="1">
        <v>1.204010180910378</v>
      </c>
      <c r="H221" s="1">
        <v>2.447430061900131</v>
      </c>
      <c r="I221" s="1">
        <v>43.17620712595955</v>
      </c>
      <c r="J221" s="1">
        <v>2.6233607229002569E-2</v>
      </c>
      <c r="K221" s="1">
        <v>2.3413535314831972</v>
      </c>
      <c r="L221" s="1">
        <v>1.9438279178399087</v>
      </c>
      <c r="M221" s="1">
        <v>0.10465296507228194</v>
      </c>
      <c r="N221" s="1">
        <v>1.3250858485758537</v>
      </c>
      <c r="O221" s="1">
        <v>9.746666666666666E-2</v>
      </c>
      <c r="P221" s="1">
        <v>8.229272135485044E-2</v>
      </c>
      <c r="Q221" s="1">
        <v>1.924217184103346</v>
      </c>
      <c r="R221" s="2">
        <f t="shared" si="15"/>
        <v>194.572350571334</v>
      </c>
      <c r="S221" s="2">
        <f t="shared" si="14"/>
        <v>2.4498798600670502</v>
      </c>
      <c r="T221" s="2">
        <f t="shared" si="16"/>
        <v>3.4710333981547108</v>
      </c>
      <c r="U221" s="2">
        <f t="shared" si="17"/>
        <v>200.49326382955576</v>
      </c>
    </row>
    <row r="222" spans="1:21" x14ac:dyDescent="0.25">
      <c r="A222">
        <v>2031313</v>
      </c>
      <c r="B222">
        <v>7</v>
      </c>
      <c r="C222" s="1">
        <f>9.01846448170449*(10.3/7.3)</f>
        <v>12.724682761857027</v>
      </c>
      <c r="D222" s="1">
        <f>12.6208065781119*(10.3/7.3)</f>
        <v>17.807439418431848</v>
      </c>
      <c r="E222" s="1">
        <f>44.7061302378114*(10.3/7.3)</f>
        <v>63.078512527322886</v>
      </c>
      <c r="F222" s="1">
        <f>74.5449247105154*(38.9/42.5)</f>
        <v>68.230531087977667</v>
      </c>
      <c r="G222" s="1">
        <v>2.1180021361824055</v>
      </c>
      <c r="H222" s="1">
        <v>6.4883145498120998</v>
      </c>
      <c r="I222" s="1">
        <v>50.817270623035867</v>
      </c>
      <c r="J222" s="1">
        <v>2.9216276384344424E-2</v>
      </c>
      <c r="K222" s="1">
        <v>2.2926553513527907</v>
      </c>
      <c r="L222" s="1">
        <v>2.2359862628004072</v>
      </c>
      <c r="M222" s="1">
        <v>0.14323738613475262</v>
      </c>
      <c r="N222" s="1">
        <v>1.3363885093394325</v>
      </c>
      <c r="O222" s="1">
        <v>0.12623238095238096</v>
      </c>
      <c r="P222" s="1">
        <v>9.8664124486715715E-2</v>
      </c>
      <c r="Q222" s="1">
        <v>3.384934920839465</v>
      </c>
      <c r="R222" s="2">
        <f t="shared" si="15"/>
        <v>224.64968802545926</v>
      </c>
      <c r="S222" s="2">
        <f t="shared" si="14"/>
        <v>2.4205357522238509</v>
      </c>
      <c r="T222" s="2">
        <f t="shared" si="16"/>
        <v>3.8418445392269738</v>
      </c>
      <c r="U222" s="2">
        <f t="shared" si="17"/>
        <v>230.91206831691008</v>
      </c>
    </row>
    <row r="223" spans="1:21" x14ac:dyDescent="0.25">
      <c r="A223">
        <v>2031361</v>
      </c>
      <c r="B223">
        <v>1</v>
      </c>
      <c r="C223" s="1">
        <f>6.28504471071974*(10.3/7.3)</f>
        <v>8.8679397973168932</v>
      </c>
      <c r="D223" s="1">
        <f>6.74744160940401*(10.3/7.3)</f>
        <v>9.520362818748124</v>
      </c>
      <c r="E223" s="1">
        <f>24.0666061389531*(10.3/7.3)</f>
        <v>33.956992223454328</v>
      </c>
      <c r="F223" s="1">
        <f>46.5622920026602*(38.9/42.5)</f>
        <v>42.618191974199583</v>
      </c>
      <c r="G223" s="1">
        <v>1.5740167850960429</v>
      </c>
      <c r="H223" s="1">
        <v>6.1975136758245144</v>
      </c>
      <c r="I223" s="1">
        <v>36.44360082024096</v>
      </c>
      <c r="J223" s="1">
        <v>2.5467708950824654E-2</v>
      </c>
      <c r="K223" s="1">
        <v>2.1987993016777927</v>
      </c>
      <c r="L223" s="1">
        <v>2.0530954452593986</v>
      </c>
      <c r="M223" s="1">
        <v>0.12794277845649527</v>
      </c>
      <c r="N223" s="1">
        <v>1.2123657200745104</v>
      </c>
      <c r="O223" s="1">
        <v>0.11333333333333333</v>
      </c>
      <c r="P223" s="1">
        <v>9.2918305086961889E-2</v>
      </c>
      <c r="Q223" s="1">
        <v>2.5155519396512127</v>
      </c>
      <c r="R223" s="2">
        <f t="shared" si="15"/>
        <v>141.69417003453165</v>
      </c>
      <c r="S223" s="2">
        <f t="shared" si="14"/>
        <v>2.3171853157155793</v>
      </c>
      <c r="T223" s="2">
        <f t="shared" si="16"/>
        <v>3.5067372771237375</v>
      </c>
      <c r="U223" s="2">
        <f t="shared" si="17"/>
        <v>147.51809262737098</v>
      </c>
    </row>
    <row r="224" spans="1:21" x14ac:dyDescent="0.25">
      <c r="A224">
        <v>2031369</v>
      </c>
      <c r="B224">
        <v>38</v>
      </c>
      <c r="C224" s="1">
        <f>3.9681183825995*(10.3/7.3)</f>
        <v>5.5988519644897066</v>
      </c>
      <c r="D224" s="1">
        <f>4.34630759312904*(10.3/7.3)</f>
        <v>6.132461398524538</v>
      </c>
      <c r="E224" s="1">
        <f>15.5415592700979*(10.3/7.3)</f>
        <v>21.928501435891601</v>
      </c>
      <c r="F224" s="1">
        <f>27.2813087439836*(38.9/42.5)</f>
        <v>24.970421415081439</v>
      </c>
      <c r="G224" s="1">
        <v>0.78822816661461204</v>
      </c>
      <c r="H224" s="1">
        <v>1.4912662311015144</v>
      </c>
      <c r="I224" s="1">
        <v>20.850805975015447</v>
      </c>
      <c r="J224" s="1">
        <v>2.1144554301759738E-2</v>
      </c>
      <c r="K224" s="1">
        <v>1.9049487570429273</v>
      </c>
      <c r="L224" s="1">
        <v>1.7159797212239432</v>
      </c>
      <c r="M224" s="1">
        <v>0.10523121894414007</v>
      </c>
      <c r="N224" s="1">
        <v>1.0212432883859155</v>
      </c>
      <c r="O224" s="1">
        <v>9.4623157894736853E-2</v>
      </c>
      <c r="P224" s="1">
        <v>8.1775282157809159E-2</v>
      </c>
      <c r="Q224" s="1">
        <v>1.2597253804343127</v>
      </c>
      <c r="R224" s="2">
        <f t="shared" si="15"/>
        <v>83.020261967153161</v>
      </c>
      <c r="S224" s="2">
        <f t="shared" si="14"/>
        <v>2.0078685935024962</v>
      </c>
      <c r="T224" s="2">
        <f t="shared" si="16"/>
        <v>2.9370773864487356</v>
      </c>
      <c r="U224" s="2">
        <f t="shared" si="17"/>
        <v>87.965207947104389</v>
      </c>
    </row>
    <row r="225" spans="1:21" x14ac:dyDescent="0.25">
      <c r="A225">
        <v>2031377</v>
      </c>
      <c r="B225">
        <v>59</v>
      </c>
      <c r="C225" s="1">
        <f>4.10445107436117*(10.3/7.3)</f>
        <v>5.7912117898520581</v>
      </c>
      <c r="D225" s="1">
        <f>4.47739572266757*(10.3/7.3)</f>
        <v>6.3174213621199895</v>
      </c>
      <c r="E225" s="1">
        <f>16.0267003126135*(10.3/7.3)</f>
        <v>22.613015509577938</v>
      </c>
      <c r="F225" s="1">
        <f>27.4769896143911*(38.9/42.5)</f>
        <v>25.149526964701533</v>
      </c>
      <c r="G225" s="1">
        <v>0.75655663343345203</v>
      </c>
      <c r="H225" s="1">
        <v>1.6175137778421975</v>
      </c>
      <c r="I225" s="1">
        <v>20.950274042393104</v>
      </c>
      <c r="J225" s="1">
        <v>2.1484131728581855E-2</v>
      </c>
      <c r="K225" s="1">
        <v>1.9252940780706465</v>
      </c>
      <c r="L225" s="1">
        <v>1.7293912524862662</v>
      </c>
      <c r="M225" s="1">
        <v>0.10525578950763301</v>
      </c>
      <c r="N225" s="1">
        <v>1.0437529927374425</v>
      </c>
      <c r="O225" s="1">
        <v>9.3867570621468902E-2</v>
      </c>
      <c r="P225" s="1">
        <v>8.1338499056607338E-2</v>
      </c>
      <c r="Q225" s="1">
        <v>1.2091087748936458</v>
      </c>
      <c r="R225" s="2">
        <f t="shared" si="15"/>
        <v>84.404628854813922</v>
      </c>
      <c r="S225" s="2">
        <f t="shared" si="14"/>
        <v>2.0281167088558356</v>
      </c>
      <c r="T225" s="2">
        <f t="shared" si="16"/>
        <v>2.9722676053528105</v>
      </c>
      <c r="U225" s="2">
        <f t="shared" si="17"/>
        <v>89.405013169022567</v>
      </c>
    </row>
    <row r="226" spans="1:21" x14ac:dyDescent="0.25">
      <c r="A226">
        <v>2031385</v>
      </c>
      <c r="B226">
        <v>46</v>
      </c>
      <c r="C226" s="1">
        <f>6.84098214630301*(10.3/7.3)</f>
        <v>9.6523446721809556</v>
      </c>
      <c r="D226" s="1">
        <f>7.29653256525154*(10.3/7.3)</f>
        <v>10.295107592067241</v>
      </c>
      <c r="E226" s="1">
        <f>26.1649172004256*(10.3/7.3)</f>
        <v>36.917622899230622</v>
      </c>
      <c r="F226" s="1">
        <f>44.0212522317463*(38.9/42.5)</f>
        <v>40.292393219174869</v>
      </c>
      <c r="G226" s="1">
        <v>1.1538637909652378</v>
      </c>
      <c r="H226" s="1">
        <v>2.0972891602362806</v>
      </c>
      <c r="I226" s="1">
        <v>33.793682088924122</v>
      </c>
      <c r="J226" s="1">
        <v>2.6301775219797884E-2</v>
      </c>
      <c r="K226" s="1">
        <v>2.2299017002894068</v>
      </c>
      <c r="L226" s="1">
        <v>2.047703775773448</v>
      </c>
      <c r="M226" s="1">
        <v>0.12160941324146859</v>
      </c>
      <c r="N226" s="1">
        <v>1.2113546520034986</v>
      </c>
      <c r="O226" s="1">
        <v>0.10716637681159419</v>
      </c>
      <c r="P226" s="1">
        <v>8.8923338344467057E-2</v>
      </c>
      <c r="Q226" s="1">
        <v>1.8440745517709289</v>
      </c>
      <c r="R226" s="2">
        <f t="shared" si="15"/>
        <v>136.04637797455024</v>
      </c>
      <c r="S226" s="2">
        <f t="shared" si="14"/>
        <v>2.3451268138536716</v>
      </c>
      <c r="T226" s="2">
        <f t="shared" si="16"/>
        <v>3.487834217830009</v>
      </c>
      <c r="U226" s="2">
        <f t="shared" si="17"/>
        <v>141.87933900623392</v>
      </c>
    </row>
    <row r="227" spans="1:21" x14ac:dyDescent="0.25">
      <c r="A227">
        <v>2031417</v>
      </c>
      <c r="B227">
        <v>3</v>
      </c>
      <c r="C227" s="1">
        <f>10.5162313378984*(10.3/7.3)</f>
        <v>14.837970243884049</v>
      </c>
      <c r="D227" s="1">
        <f>13.3113599478726*(10.3/7.3)</f>
        <v>18.781781844258564</v>
      </c>
      <c r="E227" s="1">
        <f>47.0865930455295*(10.3/7.3)</f>
        <v>66.437247721774526</v>
      </c>
      <c r="F227" s="1">
        <f>91.9127341632626*(38.9/42.5)</f>
        <v>84.127184916492126</v>
      </c>
      <c r="G227" s="1">
        <v>3.2835828457093323</v>
      </c>
      <c r="H227" s="1">
        <v>3.2519311596562126</v>
      </c>
      <c r="I227" s="1">
        <v>67.802081027455003</v>
      </c>
      <c r="J227" s="1">
        <v>3.1278069295709005E-2</v>
      </c>
      <c r="K227" s="1">
        <v>2.679553349903113</v>
      </c>
      <c r="L227" s="1">
        <v>2.2621190701297049</v>
      </c>
      <c r="M227" s="1">
        <v>0.12784294809111141</v>
      </c>
      <c r="N227" s="1">
        <v>2.5062000980479344</v>
      </c>
      <c r="O227" s="1">
        <v>0.11354666666666667</v>
      </c>
      <c r="P227" s="1">
        <v>9.0858080588043413E-2</v>
      </c>
      <c r="Q227" s="1">
        <v>5.2477351415445996</v>
      </c>
      <c r="R227" s="2">
        <f t="shared" si="15"/>
        <v>263.76951490077437</v>
      </c>
      <c r="S227" s="2">
        <f t="shared" si="14"/>
        <v>2.8016894997868653</v>
      </c>
      <c r="T227" s="2">
        <f t="shared" si="16"/>
        <v>5.0097087829354177</v>
      </c>
      <c r="U227" s="2">
        <f t="shared" si="17"/>
        <v>271.58091318349665</v>
      </c>
    </row>
    <row r="228" spans="1:21" x14ac:dyDescent="0.25">
      <c r="A228">
        <v>2031425</v>
      </c>
      <c r="B228">
        <v>6</v>
      </c>
      <c r="C228" s="1">
        <f>11.4011029685901*(10.3/7.3)</f>
        <v>16.086487750202537</v>
      </c>
      <c r="D228" s="1">
        <f>13.9196880964014*(10.3/7.3)</f>
        <v>19.640107862045848</v>
      </c>
      <c r="E228" s="1">
        <f>49.7578081644523*(10.3/7.3)</f>
        <v>70.206222478610769</v>
      </c>
      <c r="F228" s="1">
        <f>75.0068972955936*(38.9/42.5)</f>
        <v>68.653371877613949</v>
      </c>
      <c r="G228" s="1">
        <v>1.5820639056742438</v>
      </c>
      <c r="H228" s="1">
        <v>2.3884221177780076</v>
      </c>
      <c r="I228" s="1">
        <v>52.74016616223912</v>
      </c>
      <c r="J228" s="1">
        <v>3.3378455155532102E-2</v>
      </c>
      <c r="K228" s="1">
        <v>2.8472013870199313</v>
      </c>
      <c r="L228" s="1">
        <v>2.475835091449321</v>
      </c>
      <c r="M228" s="1">
        <v>0.1358453360759817</v>
      </c>
      <c r="N228" s="1">
        <v>1.7434135273574871</v>
      </c>
      <c r="O228" s="1">
        <v>0.11959111111111111</v>
      </c>
      <c r="P228" s="1">
        <v>9.5653409999662528E-2</v>
      </c>
      <c r="Q228" s="1">
        <v>2.5284126346392046</v>
      </c>
      <c r="R228" s="2">
        <f t="shared" si="15"/>
        <v>233.82525478880368</v>
      </c>
      <c r="S228" s="2">
        <f t="shared" si="14"/>
        <v>2.9762332521751262</v>
      </c>
      <c r="T228" s="2">
        <f t="shared" si="16"/>
        <v>4.474685065993901</v>
      </c>
      <c r="U228" s="2">
        <f t="shared" si="17"/>
        <v>241.27617310697269</v>
      </c>
    </row>
    <row r="229" spans="1:21" x14ac:dyDescent="0.25">
      <c r="A229">
        <v>2031433</v>
      </c>
      <c r="B229">
        <v>39</v>
      </c>
      <c r="C229" s="1">
        <f>10.7574531962508*(10.3/7.3)</f>
        <v>15.178324372792158</v>
      </c>
      <c r="D229" s="1">
        <f>13.2430341360671*(10.3/7.3)</f>
        <v>18.685376931711172</v>
      </c>
      <c r="E229" s="1">
        <f>47.3466331264766*(10.3/7.3)</f>
        <v>66.804153589412252</v>
      </c>
      <c r="F229" s="1">
        <f>70.0916204120155*(38.9/42.5)</f>
        <v>64.154447859468334</v>
      </c>
      <c r="G229" s="1">
        <v>1.404314704499213</v>
      </c>
      <c r="H229" s="1">
        <v>2.2197098700091935</v>
      </c>
      <c r="I229" s="1">
        <v>48.834163758167911</v>
      </c>
      <c r="J229" s="1">
        <v>3.0798043270661647E-2</v>
      </c>
      <c r="K229" s="1">
        <v>2.66755813999124</v>
      </c>
      <c r="L229" s="1">
        <v>2.2970858359851527</v>
      </c>
      <c r="M229" s="1">
        <v>0.12349534762058625</v>
      </c>
      <c r="N229" s="1">
        <v>1.5334835261270789</v>
      </c>
      <c r="O229" s="1">
        <v>0.10943316239316243</v>
      </c>
      <c r="P229" s="1">
        <v>8.9937271997039672E-2</v>
      </c>
      <c r="Q229" s="1">
        <v>2.2443385688343609</v>
      </c>
      <c r="R229" s="2">
        <f t="shared" si="15"/>
        <v>219.52482965489455</v>
      </c>
      <c r="S229" s="2">
        <f t="shared" si="14"/>
        <v>2.7882934552589411</v>
      </c>
      <c r="T229" s="2">
        <f t="shared" si="16"/>
        <v>4.0634978721259802</v>
      </c>
      <c r="U229" s="2">
        <f t="shared" si="17"/>
        <v>226.37662098227949</v>
      </c>
    </row>
    <row r="230" spans="1:21" x14ac:dyDescent="0.25">
      <c r="A230">
        <v>2043549</v>
      </c>
      <c r="B230">
        <v>10</v>
      </c>
      <c r="C230" s="1">
        <f>6.82990790237149*(10.3/7.3)</f>
        <v>9.6367193690994952</v>
      </c>
      <c r="D230" s="1">
        <f>10.4801567184183*(10.3/7.3)</f>
        <v>14.787070438316258</v>
      </c>
      <c r="E230" s="1">
        <f>37.0208090993071*(10.3/7.3)</f>
        <v>52.234840236008679</v>
      </c>
      <c r="F230" s="1">
        <f>60.2432214534412*(38.9/42.5)</f>
        <v>55.140266224443785</v>
      </c>
      <c r="G230" s="1">
        <v>1.6770199284970111</v>
      </c>
      <c r="H230" s="1">
        <v>5.4202211746940039</v>
      </c>
      <c r="I230" s="1">
        <v>39.251728808268624</v>
      </c>
      <c r="J230" s="1">
        <v>2.6973197643885734E-2</v>
      </c>
      <c r="K230" s="1">
        <v>2.0985940882547398</v>
      </c>
      <c r="L230" s="1">
        <v>1.9784406923675424</v>
      </c>
      <c r="M230" s="1">
        <v>0.12677442036865899</v>
      </c>
      <c r="N230" s="1">
        <v>1.2233774350888713</v>
      </c>
      <c r="O230" s="1">
        <v>0.11483199999999998</v>
      </c>
      <c r="P230" s="1">
        <v>9.2696497999898458E-2</v>
      </c>
      <c r="Q230" s="1">
        <v>2.6801688354975091</v>
      </c>
      <c r="R230" s="2">
        <f t="shared" si="15"/>
        <v>180.82803501482539</v>
      </c>
      <c r="S230" s="2">
        <f t="shared" si="14"/>
        <v>2.2182637838985237</v>
      </c>
      <c r="T230" s="2">
        <f t="shared" si="16"/>
        <v>3.4434245478250727</v>
      </c>
      <c r="U230" s="2">
        <f t="shared" si="17"/>
        <v>186.48972334654897</v>
      </c>
    </row>
    <row r="231" spans="1:21" x14ac:dyDescent="0.25">
      <c r="A231">
        <v>2043581</v>
      </c>
      <c r="B231">
        <v>8</v>
      </c>
      <c r="C231" s="1">
        <f>5.05034010975452*(10.3/7.3)</f>
        <v>7.1258223466399366</v>
      </c>
      <c r="D231" s="1">
        <f>5.56744356195649*(10.3/7.3)</f>
        <v>7.8554340668701208</v>
      </c>
      <c r="E231" s="1">
        <f>19.8722143444638*(10.3/7.3)</f>
        <v>28.0388777736955</v>
      </c>
      <c r="F231" s="1">
        <f>36.3573692307166*(38.9/42.5)</f>
        <v>33.277686189997112</v>
      </c>
      <c r="G231" s="1">
        <v>1.1340002318800326</v>
      </c>
      <c r="H231" s="1">
        <v>4.244373119288924</v>
      </c>
      <c r="I231" s="1">
        <v>27.910821422887881</v>
      </c>
      <c r="J231" s="1">
        <v>2.5140982261518844E-2</v>
      </c>
      <c r="K231" s="1">
        <v>2.1141069290089871</v>
      </c>
      <c r="L231" s="1">
        <v>1.9420482090910662</v>
      </c>
      <c r="M231" s="1">
        <v>0.12427201013432342</v>
      </c>
      <c r="N231" s="1">
        <v>1.1969773930098591</v>
      </c>
      <c r="O231" s="1">
        <v>0.10918666666666667</v>
      </c>
      <c r="P231" s="1">
        <v>9.1247504063132256E-2</v>
      </c>
      <c r="Q231" s="1">
        <v>1.8123291377078166</v>
      </c>
      <c r="R231" s="2">
        <f t="shared" si="15"/>
        <v>111.39934428896733</v>
      </c>
      <c r="S231" s="2">
        <f t="shared" si="14"/>
        <v>2.230495415333638</v>
      </c>
      <c r="T231" s="2">
        <f t="shared" si="16"/>
        <v>3.3724842789019154</v>
      </c>
      <c r="U231" s="2">
        <f t="shared" si="17"/>
        <v>117.00232398320288</v>
      </c>
    </row>
    <row r="232" spans="1:21" x14ac:dyDescent="0.25">
      <c r="A232">
        <v>2043597</v>
      </c>
      <c r="B232">
        <v>18</v>
      </c>
      <c r="C232" s="1">
        <f>5.17301398623751*(10.3/7.3)</f>
        <v>7.2989101449652596</v>
      </c>
      <c r="D232" s="1">
        <f>5.61574833333829*(10.3/7.3)</f>
        <v>7.9235901141622493</v>
      </c>
      <c r="E232" s="1">
        <f>20.061578255759*(10.3/7.3)</f>
        <v>28.306062470454545</v>
      </c>
      <c r="F232" s="1">
        <f>36.6449095841104*(38.9/42.5)</f>
        <v>33.540870184044557</v>
      </c>
      <c r="G232" s="1">
        <v>1.1341671351216547</v>
      </c>
      <c r="H232" s="1">
        <v>3.7721042888339684</v>
      </c>
      <c r="I232" s="1">
        <v>28.301310204113353</v>
      </c>
      <c r="J232" s="1">
        <v>2.4251323873755386E-2</v>
      </c>
      <c r="K232" s="1">
        <v>2.1030121203295526</v>
      </c>
      <c r="L232" s="1">
        <v>1.9274621497248221</v>
      </c>
      <c r="M232" s="1">
        <v>0.1215208246177658</v>
      </c>
      <c r="N232" s="1">
        <v>1.1626860318043581</v>
      </c>
      <c r="O232" s="1">
        <v>0.10571259259259261</v>
      </c>
      <c r="P232" s="1">
        <v>8.9088913677176376E-2</v>
      </c>
      <c r="Q232" s="1">
        <v>1.812595878048308</v>
      </c>
      <c r="R232" s="2">
        <f t="shared" si="15"/>
        <v>112.08961041974391</v>
      </c>
      <c r="S232" s="2">
        <f t="shared" si="14"/>
        <v>2.2163523578804845</v>
      </c>
      <c r="T232" s="2">
        <f t="shared" si="16"/>
        <v>3.317381598739539</v>
      </c>
      <c r="U232" s="2">
        <f t="shared" si="17"/>
        <v>117.62334437636393</v>
      </c>
    </row>
    <row r="233" spans="1:21" x14ac:dyDescent="0.25">
      <c r="A233">
        <v>2043605</v>
      </c>
      <c r="B233">
        <v>68</v>
      </c>
      <c r="C233" s="1">
        <f>4.0610066906851*(10.3/7.3)</f>
        <v>5.7299135498707567</v>
      </c>
      <c r="D233" s="1">
        <f>4.43899656791856*(10.3/7.3)</f>
        <v>6.2632417328166046</v>
      </c>
      <c r="E233" s="1">
        <f>15.8805513621498*(10.3/7.3)</f>
        <v>22.406805346594911</v>
      </c>
      <c r="F233" s="1">
        <f>27.580108518572*(38.9/42.5)</f>
        <v>25.243911091116459</v>
      </c>
      <c r="G233" s="1">
        <v>0.77994901657412574</v>
      </c>
      <c r="H233" s="1">
        <v>1.455916790750645</v>
      </c>
      <c r="I233" s="1">
        <v>21.058224910958078</v>
      </c>
      <c r="J233" s="1">
        <v>2.1231868400126162E-2</v>
      </c>
      <c r="K233" s="1">
        <v>1.8972039935820595</v>
      </c>
      <c r="L233" s="1">
        <v>1.711371263062043</v>
      </c>
      <c r="M233" s="1">
        <v>0.10515680906599612</v>
      </c>
      <c r="N233" s="1">
        <v>1.0295356624267096</v>
      </c>
      <c r="O233" s="1">
        <v>9.3314509803921586E-2</v>
      </c>
      <c r="P233" s="1">
        <v>8.1265466754646826E-2</v>
      </c>
      <c r="Q233" s="1">
        <v>1.2464938621047681</v>
      </c>
      <c r="R233" s="2">
        <f t="shared" si="15"/>
        <v>84.184456300786351</v>
      </c>
      <c r="S233" s="2">
        <f t="shared" si="14"/>
        <v>1.9997013287368326</v>
      </c>
      <c r="T233" s="2">
        <f t="shared" si="16"/>
        <v>2.9393782443586702</v>
      </c>
      <c r="U233" s="2">
        <f t="shared" si="17"/>
        <v>89.123535873881849</v>
      </c>
    </row>
    <row r="234" spans="1:21" x14ac:dyDescent="0.25">
      <c r="A234">
        <v>2043613</v>
      </c>
      <c r="B234">
        <v>49</v>
      </c>
      <c r="C234" s="1">
        <f>6.00306223993577*(10.3/7.3)</f>
        <v>8.4700741193614331</v>
      </c>
      <c r="D234" s="1">
        <f>6.43098326757548*(10.3/7.3)</f>
        <v>9.0738531035654084</v>
      </c>
      <c r="E234" s="1">
        <f>23.0268783706044*(10.3/7.3)</f>
        <v>32.489979070852819</v>
      </c>
      <c r="F234" s="1">
        <f>40.192785536239*(38.9/42.5)</f>
        <v>36.788220173169336</v>
      </c>
      <c r="G234" s="1">
        <v>1.1392117004449624</v>
      </c>
      <c r="H234" s="1">
        <v>2.8239493264662339</v>
      </c>
      <c r="I234" s="1">
        <v>30.984584557977357</v>
      </c>
      <c r="J234" s="1">
        <v>2.4789489117630081E-2</v>
      </c>
      <c r="K234" s="1">
        <v>2.1321135229592589</v>
      </c>
      <c r="L234" s="1">
        <v>1.9428670952969394</v>
      </c>
      <c r="M234" s="1">
        <v>0.11752233368295961</v>
      </c>
      <c r="N234" s="1">
        <v>1.1712227694327841</v>
      </c>
      <c r="O234" s="1">
        <v>0.10409795918367344</v>
      </c>
      <c r="P234" s="1">
        <v>8.739930631301393E-2</v>
      </c>
      <c r="Q234" s="1">
        <v>1.820657968747659</v>
      </c>
      <c r="R234" s="2">
        <f t="shared" si="15"/>
        <v>123.59053002058519</v>
      </c>
      <c r="S234" s="2">
        <f t="shared" si="14"/>
        <v>2.2443023183899031</v>
      </c>
      <c r="T234" s="2">
        <f t="shared" si="16"/>
        <v>3.3357101575963561</v>
      </c>
      <c r="U234" s="2">
        <f t="shared" si="17"/>
        <v>129.17054249657144</v>
      </c>
    </row>
    <row r="235" spans="1:21" x14ac:dyDescent="0.25">
      <c r="A235">
        <v>2043653</v>
      </c>
      <c r="B235">
        <v>1</v>
      </c>
      <c r="C235" s="1">
        <f>15.7763384658814*(10.3/7.3)</f>
        <v>22.25976523268201</v>
      </c>
      <c r="D235" s="1">
        <f>19.1083753422473*(10.3/7.3)</f>
        <v>26.961132332211946</v>
      </c>
      <c r="E235" s="1">
        <f>68.2582028933004*(10.3/7.3)</f>
        <v>96.309519150821146</v>
      </c>
      <c r="F235" s="1">
        <f>106.519309814681*(38.9/42.5)</f>
        <v>97.496497689201746</v>
      </c>
      <c r="G235" s="1">
        <v>2.4656377451606728</v>
      </c>
      <c r="H235" s="1">
        <v>2.9996638008191283</v>
      </c>
      <c r="I235" s="1">
        <v>75.882198699622705</v>
      </c>
      <c r="J235" s="1">
        <v>4.0412272583747751E-2</v>
      </c>
      <c r="K235" s="1">
        <v>3.5651140496145843</v>
      </c>
      <c r="L235" s="1">
        <v>2.9532333182145454</v>
      </c>
      <c r="M235" s="1">
        <v>0.16134907725749009</v>
      </c>
      <c r="N235" s="1">
        <v>2.3471488812228967</v>
      </c>
      <c r="O235" s="1">
        <v>0.13418666666666665</v>
      </c>
      <c r="P235" s="1">
        <v>0.10449988572846657</v>
      </c>
      <c r="Q235" s="1">
        <v>3.9405169443207142</v>
      </c>
      <c r="R235" s="2">
        <f t="shared" si="15"/>
        <v>328.31493159484012</v>
      </c>
      <c r="S235" s="2">
        <f t="shared" si="14"/>
        <v>3.7100262079267989</v>
      </c>
      <c r="T235" s="2">
        <f t="shared" si="16"/>
        <v>5.5959179433615986</v>
      </c>
      <c r="U235" s="2">
        <f t="shared" si="17"/>
        <v>337.62087574612849</v>
      </c>
    </row>
    <row r="236" spans="1:21" x14ac:dyDescent="0.25">
      <c r="A236">
        <v>2043661</v>
      </c>
      <c r="B236">
        <v>18</v>
      </c>
      <c r="C236" s="1">
        <f>8.0162864307828*(10.3/7.3)</f>
        <v>11.310650717405872</v>
      </c>
      <c r="D236" s="1">
        <f>9.81962441816848*(10.3/7.3)</f>
        <v>13.855086507826766</v>
      </c>
      <c r="E236" s="1">
        <f>35.0828848164524*(10.3/7.3)</f>
        <v>49.500508713624683</v>
      </c>
      <c r="F236" s="1">
        <f>53.5517701506537*(38.9/42.5)</f>
        <v>49.015620208480662</v>
      </c>
      <c r="G236" s="1">
        <v>1.173383436072752</v>
      </c>
      <c r="H236" s="1">
        <v>1.9276488260894107</v>
      </c>
      <c r="I236" s="1">
        <v>37.72301268508221</v>
      </c>
      <c r="J236" s="1">
        <v>2.6760471695523851E-2</v>
      </c>
      <c r="K236" s="1">
        <v>2.3654097709569646</v>
      </c>
      <c r="L236" s="1">
        <v>1.9853615374913294</v>
      </c>
      <c r="M236" s="1">
        <v>0.10933141767287757</v>
      </c>
      <c r="N236" s="1">
        <v>1.37240663569415</v>
      </c>
      <c r="O236" s="1">
        <v>9.9724444444444449E-2</v>
      </c>
      <c r="P236" s="1">
        <v>8.3913948970178856E-2</v>
      </c>
      <c r="Q236" s="1">
        <v>1.8752703316231221</v>
      </c>
      <c r="R236" s="2">
        <f t="shared" si="15"/>
        <v>166.38118142620547</v>
      </c>
      <c r="S236" s="2">
        <f t="shared" si="14"/>
        <v>2.4760841916226672</v>
      </c>
      <c r="T236" s="2">
        <f t="shared" si="16"/>
        <v>3.5668240353028016</v>
      </c>
      <c r="U236" s="2">
        <f t="shared" si="17"/>
        <v>172.42408965313095</v>
      </c>
    </row>
    <row r="237" spans="1:21" x14ac:dyDescent="0.25">
      <c r="A237">
        <v>2043669</v>
      </c>
      <c r="B237">
        <v>16</v>
      </c>
      <c r="C237" s="1">
        <f>15.2570655228142*(10.3/7.3)</f>
        <v>21.527092449998111</v>
      </c>
      <c r="D237" s="1">
        <f>19.1416927352741*(10.3/7.3)</f>
        <v>27.008141804564776</v>
      </c>
      <c r="E237" s="1">
        <f>68.4044649045079*(10.3/7.3)</f>
        <v>96.515888837867379</v>
      </c>
      <c r="F237" s="1">
        <f>99.8819564073675*(38.9/42.5)</f>
        <v>91.42136715874345</v>
      </c>
      <c r="G237" s="1">
        <v>1.9338571936179141</v>
      </c>
      <c r="H237" s="1">
        <v>3.2072973043892654</v>
      </c>
      <c r="I237" s="1">
        <v>68.652999832256782</v>
      </c>
      <c r="J237" s="1">
        <v>3.3694750635601414E-2</v>
      </c>
      <c r="K237" s="1">
        <v>2.8353294572531458</v>
      </c>
      <c r="L237" s="1">
        <v>2.4951723904596483</v>
      </c>
      <c r="M237" s="1">
        <v>0.13378760768668235</v>
      </c>
      <c r="N237" s="1">
        <v>1.6022310869311887</v>
      </c>
      <c r="O237" s="1">
        <v>0.11734333333333334</v>
      </c>
      <c r="P237" s="1">
        <v>9.412484416925089E-2</v>
      </c>
      <c r="Q237" s="1">
        <v>3.0906393505309167</v>
      </c>
      <c r="R237" s="2">
        <f t="shared" si="15"/>
        <v>313.3572839319686</v>
      </c>
      <c r="S237" s="2">
        <f t="shared" si="14"/>
        <v>2.9631490520579979</v>
      </c>
      <c r="T237" s="2">
        <f t="shared" si="16"/>
        <v>4.3485344184108525</v>
      </c>
      <c r="U237" s="2">
        <f t="shared" si="17"/>
        <v>320.66896740243743</v>
      </c>
    </row>
    <row r="238" spans="1:21" x14ac:dyDescent="0.25">
      <c r="A238">
        <v>2055777</v>
      </c>
      <c r="B238">
        <v>3</v>
      </c>
      <c r="C238" s="1">
        <f>6.0434143479502*(10.3/7.3)</f>
        <v>8.5270092854639827</v>
      </c>
      <c r="D238" s="1">
        <f>9.99451515149929*(10.3/7.3)</f>
        <v>14.101850145266129</v>
      </c>
      <c r="E238" s="1">
        <f>35.243335732955*(10.3/7.3)</f>
        <v>49.726898362936453</v>
      </c>
      <c r="F238" s="1">
        <f>55.725246073766*(38.9/42.5)</f>
        <v>51.004989935752867</v>
      </c>
      <c r="G238" s="1">
        <v>1.4942608789209879</v>
      </c>
      <c r="H238" s="1">
        <v>4.8393232352147342</v>
      </c>
      <c r="I238" s="1">
        <v>34.840471098819584</v>
      </c>
      <c r="J238" s="1">
        <v>2.8007973600146053E-2</v>
      </c>
      <c r="K238" s="1">
        <v>2.0347404382685497</v>
      </c>
      <c r="L238" s="1">
        <v>1.8787643422342963</v>
      </c>
      <c r="M238" s="1">
        <v>0.12121545509754143</v>
      </c>
      <c r="N238" s="1">
        <v>1.2367711518906195</v>
      </c>
      <c r="O238" s="1">
        <v>0.11022222222222222</v>
      </c>
      <c r="P238" s="1">
        <v>9.0436409214162336E-2</v>
      </c>
      <c r="Q238" s="1">
        <v>2.3880881626591157</v>
      </c>
      <c r="R238" s="2">
        <f t="shared" si="15"/>
        <v>166.92289110503381</v>
      </c>
      <c r="S238" s="2">
        <f t="shared" si="14"/>
        <v>2.1531848210828581</v>
      </c>
      <c r="T238" s="2">
        <f t="shared" si="16"/>
        <v>3.3469731714446795</v>
      </c>
      <c r="U238" s="2">
        <f t="shared" si="17"/>
        <v>172.42304909756135</v>
      </c>
    </row>
    <row r="239" spans="1:21" x14ac:dyDescent="0.25">
      <c r="A239">
        <v>2055817</v>
      </c>
      <c r="B239">
        <v>7</v>
      </c>
      <c r="C239" s="1">
        <f>5.94592768667583*(10.3/7.3)</f>
        <v>8.3894596127070002</v>
      </c>
      <c r="D239" s="1">
        <f>6.38029035037245*(10.3/7.3)</f>
        <v>9.0023274806625047</v>
      </c>
      <c r="E239" s="1">
        <f>22.81990378401*(10.3/7.3)</f>
        <v>32.197946434973048</v>
      </c>
      <c r="F239" s="1">
        <f>41.0114292516527*(38.9/42.5)</f>
        <v>37.537519950336282</v>
      </c>
      <c r="G239" s="1">
        <v>1.2287416648207146</v>
      </c>
      <c r="H239" s="1">
        <v>5.5468587170130208</v>
      </c>
      <c r="I239" s="1">
        <v>31.743597803526679</v>
      </c>
      <c r="J239" s="1">
        <v>2.6529722234059885E-2</v>
      </c>
      <c r="K239" s="1">
        <v>2.2099975522653286</v>
      </c>
      <c r="L239" s="1">
        <v>2.0636146231856514</v>
      </c>
      <c r="M239" s="1">
        <v>0.13390284702304245</v>
      </c>
      <c r="N239" s="1">
        <v>1.2690290208817767</v>
      </c>
      <c r="O239" s="1">
        <v>0.11570285714285714</v>
      </c>
      <c r="P239" s="1">
        <v>9.5003571973693537E-2</v>
      </c>
      <c r="Q239" s="1">
        <v>1.9637423866997747</v>
      </c>
      <c r="R239" s="2">
        <f t="shared" si="15"/>
        <v>127.61019405073903</v>
      </c>
      <c r="S239" s="2">
        <f t="shared" si="14"/>
        <v>2.3315308464730817</v>
      </c>
      <c r="T239" s="2">
        <f t="shared" si="16"/>
        <v>3.582249348233328</v>
      </c>
      <c r="U239" s="2">
        <f t="shared" si="17"/>
        <v>133.52397424544543</v>
      </c>
    </row>
    <row r="240" spans="1:21" x14ac:dyDescent="0.25">
      <c r="A240">
        <v>2055833</v>
      </c>
      <c r="B240">
        <v>35</v>
      </c>
      <c r="C240" s="1">
        <f>5.18281196468388*(10.3/7.3)</f>
        <v>7.3127346898964358</v>
      </c>
      <c r="D240" s="1">
        <f>5.67210913341648*(10.3/7.3)</f>
        <v>8.0031128868753072</v>
      </c>
      <c r="E240" s="1">
        <f>20.2849282082006*(10.3/7.3)</f>
        <v>28.621200074584415</v>
      </c>
      <c r="F240" s="1">
        <f>35.5220597579852*(38.9/42.5)</f>
        <v>32.513132343191202</v>
      </c>
      <c r="G240" s="1">
        <v>1.0213006913785505</v>
      </c>
      <c r="H240" s="1">
        <v>2.0219106444087931</v>
      </c>
      <c r="I240" s="1">
        <v>27.147260963352434</v>
      </c>
      <c r="J240" s="1">
        <v>2.4485467898225134E-2</v>
      </c>
      <c r="K240" s="1">
        <v>2.1013111211911819</v>
      </c>
      <c r="L240" s="1">
        <v>1.9464728015471842</v>
      </c>
      <c r="M240" s="1">
        <v>0.122407774030886</v>
      </c>
      <c r="N240" s="1">
        <v>1.1684916181030955</v>
      </c>
      <c r="O240" s="1">
        <v>0.10489295238095238</v>
      </c>
      <c r="P240" s="1">
        <v>8.8390976288415052E-2</v>
      </c>
      <c r="Q240" s="1">
        <v>1.6322157168150373</v>
      </c>
      <c r="R240" s="2">
        <f t="shared" si="15"/>
        <v>108.27286801050219</v>
      </c>
      <c r="S240" s="2">
        <f t="shared" si="14"/>
        <v>2.2141875653778218</v>
      </c>
      <c r="T240" s="2">
        <f t="shared" si="16"/>
        <v>3.3422651460621182</v>
      </c>
      <c r="U240" s="2">
        <f t="shared" si="17"/>
        <v>113.82932072194214</v>
      </c>
    </row>
    <row r="241" spans="1:21" x14ac:dyDescent="0.25">
      <c r="A241">
        <v>2055841</v>
      </c>
      <c r="B241">
        <v>40</v>
      </c>
      <c r="C241" s="1">
        <f>4.91008165000293*(10.3/7.3)</f>
        <v>6.9279234239767442</v>
      </c>
      <c r="D241" s="1">
        <f>5.29460945679922*(10.3/7.3)</f>
        <v>7.470476356853692</v>
      </c>
      <c r="E241" s="1">
        <f>18.9591249213503*(10.3/7.3)</f>
        <v>26.750546121905153</v>
      </c>
      <c r="F241" s="1">
        <f>32.7099148953923*(38.9/42.5)</f>
        <v>29.939192692488437</v>
      </c>
      <c r="G241" s="1">
        <v>0.90815779285283182</v>
      </c>
      <c r="H241" s="1">
        <v>1.8740676720212761</v>
      </c>
      <c r="I241" s="1">
        <v>25.095016439547372</v>
      </c>
      <c r="J241" s="1">
        <v>2.281952548594467E-2</v>
      </c>
      <c r="K241" s="1">
        <v>1.9895456227719659</v>
      </c>
      <c r="L241" s="1">
        <v>1.8066457921216668</v>
      </c>
      <c r="M241" s="1">
        <v>0.10885948069664515</v>
      </c>
      <c r="N241" s="1">
        <v>1.0932685147236199</v>
      </c>
      <c r="O241" s="1">
        <v>9.7894666666666644E-2</v>
      </c>
      <c r="P241" s="1">
        <v>8.4059417240928885E-2</v>
      </c>
      <c r="Q241" s="1">
        <v>1.4513937328698243</v>
      </c>
      <c r="R241" s="2">
        <f t="shared" si="15"/>
        <v>100.41677423251532</v>
      </c>
      <c r="S241" s="2">
        <f t="shared" si="14"/>
        <v>2.0964245654988392</v>
      </c>
      <c r="T241" s="2">
        <f t="shared" si="16"/>
        <v>3.1066684542085983</v>
      </c>
      <c r="U241" s="2">
        <f t="shared" si="17"/>
        <v>105.61986725222276</v>
      </c>
    </row>
    <row r="242" spans="1:21" x14ac:dyDescent="0.25">
      <c r="A242">
        <v>2055849</v>
      </c>
      <c r="B242">
        <v>5</v>
      </c>
      <c r="C242" s="1">
        <f>7.63525393564622*(10.3/7.3)</f>
        <v>10.773029525637822</v>
      </c>
      <c r="D242" s="1">
        <f>8.25293926587863*(10.3/7.3)</f>
        <v>11.644558142267107</v>
      </c>
      <c r="E242" s="1">
        <f>29.4586006731594*(10.3/7.3)</f>
        <v>41.56487492240305</v>
      </c>
      <c r="F242" s="1">
        <f>55.3496532065608*(38.9/42.5)</f>
        <v>50.66121199376974</v>
      </c>
      <c r="G242" s="1">
        <v>1.7923405311296783</v>
      </c>
      <c r="H242" s="1">
        <v>3.8524013735805438</v>
      </c>
      <c r="I242" s="1">
        <v>43.014623684337039</v>
      </c>
      <c r="J242" s="1">
        <v>2.6903609102267349E-2</v>
      </c>
      <c r="K242" s="1">
        <v>2.2362453308995081</v>
      </c>
      <c r="L242" s="1">
        <v>2.0767102586942623</v>
      </c>
      <c r="M242" s="1">
        <v>0.12765801557963541</v>
      </c>
      <c r="N242" s="1">
        <v>1.2509002160112002</v>
      </c>
      <c r="O242" s="1">
        <v>0.10929066666666667</v>
      </c>
      <c r="P242" s="1">
        <v>8.9712439674356936E-2</v>
      </c>
      <c r="Q242" s="1">
        <v>2.8644711684720918</v>
      </c>
      <c r="R242" s="2">
        <f t="shared" si="15"/>
        <v>166.16751134159708</v>
      </c>
      <c r="S242" s="2">
        <f t="shared" si="14"/>
        <v>2.3528613796761322</v>
      </c>
      <c r="T242" s="2">
        <f t="shared" si="16"/>
        <v>3.5645591569517645</v>
      </c>
      <c r="U242" s="2">
        <f t="shared" si="17"/>
        <v>172.08493187822498</v>
      </c>
    </row>
    <row r="243" spans="1:21" x14ac:dyDescent="0.25">
      <c r="A243">
        <v>2055897</v>
      </c>
      <c r="B243">
        <v>6</v>
      </c>
      <c r="C243" s="1">
        <f>14.8211019493282*(10.3/7.3)</f>
        <v>20.911965764120637</v>
      </c>
      <c r="D243" s="1">
        <f>18.5619861676779*(10.3/7.3)</f>
        <v>26.190199661244169</v>
      </c>
      <c r="E243" s="1">
        <f>66.2763335516881*(10.3/7.3)</f>
        <v>93.513182956491477</v>
      </c>
      <c r="F243" s="1">
        <f>99.8583624984083*(38.9/42.5)</f>
        <v>91.3997717926608</v>
      </c>
      <c r="G243" s="1">
        <v>2.1308775291075261</v>
      </c>
      <c r="H243" s="1">
        <v>3.3689393220995121</v>
      </c>
      <c r="I243" s="1">
        <v>69.340205978390614</v>
      </c>
      <c r="J243" s="1">
        <v>3.787059353317395E-2</v>
      </c>
      <c r="K243" s="1">
        <v>3.1111122806824603</v>
      </c>
      <c r="L243" s="1">
        <v>2.8120500384760745</v>
      </c>
      <c r="M243" s="1">
        <v>0.15107296267181949</v>
      </c>
      <c r="N243" s="1">
        <v>1.7858977514772685</v>
      </c>
      <c r="O243" s="1">
        <v>0.12825777777777778</v>
      </c>
      <c r="P243" s="1">
        <v>0.10172050030571415</v>
      </c>
      <c r="Q243" s="1">
        <v>3.4055120328202517</v>
      </c>
      <c r="R243" s="2">
        <f t="shared" si="15"/>
        <v>310.26065503693496</v>
      </c>
      <c r="S243" s="2">
        <f t="shared" si="14"/>
        <v>3.2507033745213483</v>
      </c>
      <c r="T243" s="2">
        <f t="shared" si="16"/>
        <v>4.8772785304029407</v>
      </c>
      <c r="U243" s="2">
        <f t="shared" si="17"/>
        <v>318.3886369418592</v>
      </c>
    </row>
    <row r="244" spans="1:21" x14ac:dyDescent="0.25">
      <c r="A244">
        <v>2055905</v>
      </c>
      <c r="B244">
        <v>11</v>
      </c>
      <c r="C244" s="1">
        <f>14.5311334445561*(10.3/7.3)</f>
        <v>20.502832120401056</v>
      </c>
      <c r="D244" s="1">
        <f>18.6491187578387*(10.3/7.3)</f>
        <v>26.313140165169735</v>
      </c>
      <c r="E244" s="1">
        <f>66.5792499902966*(10.3/7.3)</f>
        <v>93.940585602747291</v>
      </c>
      <c r="F244" s="1">
        <f>97.1061639319906*(38.9/42.5)</f>
        <v>88.880700634222009</v>
      </c>
      <c r="G244" s="1">
        <v>1.8971696393454816</v>
      </c>
      <c r="H244" s="1">
        <v>4.3276021093035073</v>
      </c>
      <c r="I244" s="1">
        <v>65.967403641600242</v>
      </c>
      <c r="J244" s="1">
        <v>3.1256981858854956E-2</v>
      </c>
      <c r="K244" s="1">
        <v>2.6577871431309159</v>
      </c>
      <c r="L244" s="1">
        <v>2.320842136354929</v>
      </c>
      <c r="M244" s="1">
        <v>0.12415537502020002</v>
      </c>
      <c r="N244" s="1">
        <v>1.4908591614654128</v>
      </c>
      <c r="O244" s="1">
        <v>0.1122569696969697</v>
      </c>
      <c r="P244" s="1">
        <v>9.0584666850578338E-2</v>
      </c>
      <c r="Q244" s="1">
        <v>3.0320062729265715</v>
      </c>
      <c r="R244" s="2">
        <f t="shared" si="15"/>
        <v>304.86144018571594</v>
      </c>
      <c r="S244" s="2">
        <f t="shared" si="14"/>
        <v>2.7796287918403495</v>
      </c>
      <c r="T244" s="2">
        <f t="shared" si="16"/>
        <v>4.048113642537511</v>
      </c>
      <c r="U244" s="2">
        <f t="shared" si="17"/>
        <v>311.68918262009379</v>
      </c>
    </row>
    <row r="245" spans="1:21" x14ac:dyDescent="0.25">
      <c r="A245">
        <v>2068045</v>
      </c>
      <c r="B245">
        <v>28</v>
      </c>
      <c r="C245" s="1">
        <f>5.60998277237865*(10.3/7.3)</f>
        <v>7.9154551445890542</v>
      </c>
      <c r="D245" s="1">
        <f>6.12944658719204*(10.3/7.3)</f>
        <v>8.6483972394627493</v>
      </c>
      <c r="E245" s="1">
        <f>21.9212443586444*(10.3/7.3)</f>
        <v>30.929974916991451</v>
      </c>
      <c r="F245" s="1">
        <f>38.4428096030976*(38.9/42.5)</f>
        <v>35.186477495541133</v>
      </c>
      <c r="G245" s="1">
        <v>1.1076593238540557</v>
      </c>
      <c r="H245" s="1">
        <v>2.9529964988466983</v>
      </c>
      <c r="I245" s="1">
        <v>29.407670940132387</v>
      </c>
      <c r="J245" s="1">
        <v>2.4785765489843136E-2</v>
      </c>
      <c r="K245" s="1">
        <v>2.0496980511764682</v>
      </c>
      <c r="L245" s="1">
        <v>1.9178887351970924</v>
      </c>
      <c r="M245" s="1">
        <v>0.12553809973921989</v>
      </c>
      <c r="N245" s="1">
        <v>1.1806929029385791</v>
      </c>
      <c r="O245" s="1">
        <v>0.10733333333333332</v>
      </c>
      <c r="P245" s="1">
        <v>8.9100970356546599E-2</v>
      </c>
      <c r="Q245" s="1">
        <v>1.7702317961137901</v>
      </c>
      <c r="R245" s="2">
        <f t="shared" si="15"/>
        <v>117.91886335553131</v>
      </c>
      <c r="S245" s="2">
        <f t="shared" si="14"/>
        <v>2.1635847870228577</v>
      </c>
      <c r="T245" s="2">
        <f t="shared" si="16"/>
        <v>3.3314530712082249</v>
      </c>
      <c r="U245" s="2">
        <f t="shared" si="17"/>
        <v>123.4139012137624</v>
      </c>
    </row>
    <row r="246" spans="1:21" x14ac:dyDescent="0.25">
      <c r="A246">
        <v>2068053</v>
      </c>
      <c r="B246">
        <v>4</v>
      </c>
      <c r="C246" s="1">
        <f>7.42316354854494*(10.3/7.3)</f>
        <v>10.473778705481214</v>
      </c>
      <c r="D246" s="1">
        <f>7.84881776402917*(10.3/7.3)</f>
        <v>11.074359310890474</v>
      </c>
      <c r="E246" s="1">
        <f>28.0789875176071*(10.3/7.3)</f>
        <v>39.61829745634973</v>
      </c>
      <c r="F246" s="1">
        <f>51.2192212925127*(38.9/42.5)</f>
        <v>46.880651959499879</v>
      </c>
      <c r="G246" s="1">
        <v>1.5675790886334826</v>
      </c>
      <c r="H246" s="1">
        <v>4.9731268276738181</v>
      </c>
      <c r="I246" s="1">
        <v>39.982543868474892</v>
      </c>
      <c r="J246" s="1">
        <v>2.8474018812813869E-2</v>
      </c>
      <c r="K246" s="1">
        <v>2.2924840335195187</v>
      </c>
      <c r="L246" s="1">
        <v>2.1966894084748083</v>
      </c>
      <c r="M246" s="1">
        <v>0.14479364101462952</v>
      </c>
      <c r="N246" s="1">
        <v>1.3359080517734641</v>
      </c>
      <c r="O246" s="1">
        <v>0.11954666666666666</v>
      </c>
      <c r="P246" s="1">
        <v>9.6124183207529287E-2</v>
      </c>
      <c r="Q246" s="1">
        <v>2.5052633836608194</v>
      </c>
      <c r="R246" s="2">
        <f t="shared" si="15"/>
        <v>157.07560060066433</v>
      </c>
      <c r="S246" s="2">
        <f t="shared" si="14"/>
        <v>2.417082235539862</v>
      </c>
      <c r="T246" s="2">
        <f t="shared" si="16"/>
        <v>3.7969377679295682</v>
      </c>
      <c r="U246" s="2">
        <f t="shared" si="17"/>
        <v>163.28962060413375</v>
      </c>
    </row>
    <row r="247" spans="1:21" x14ac:dyDescent="0.25">
      <c r="A247">
        <v>2068061</v>
      </c>
      <c r="B247">
        <v>5</v>
      </c>
      <c r="C247" s="1">
        <f>5.77045169638198*(10.3/7.3)</f>
        <v>8.1418702017444318</v>
      </c>
      <c r="D247" s="1">
        <f>6.29747717371158*(10.3/7.3)</f>
        <v>8.8854814916752503</v>
      </c>
      <c r="E247" s="1">
        <f>22.4898020192872*(10.3/7.3)</f>
        <v>31.732186410775125</v>
      </c>
      <c r="F247" s="1">
        <f>41.1335997450299*(38.9/42.5)</f>
        <v>37.649341884274399</v>
      </c>
      <c r="G247" s="1">
        <v>1.2781187966885537</v>
      </c>
      <c r="H247" s="1">
        <v>5.4232443520968454</v>
      </c>
      <c r="I247" s="1">
        <v>31.705998903106909</v>
      </c>
      <c r="J247" s="1">
        <v>2.5859780977991631E-2</v>
      </c>
      <c r="K247" s="1">
        <v>2.1764086880245941</v>
      </c>
      <c r="L247" s="1">
        <v>2.0127025569425383</v>
      </c>
      <c r="M247" s="1">
        <v>0.12920276649997167</v>
      </c>
      <c r="N247" s="1">
        <v>1.2410494407171568</v>
      </c>
      <c r="O247" s="1">
        <v>0.11120000000000001</v>
      </c>
      <c r="P247" s="1">
        <v>9.257057480002541E-2</v>
      </c>
      <c r="Q247" s="1">
        <v>2.0426556111460927</v>
      </c>
      <c r="R247" s="2">
        <f t="shared" si="15"/>
        <v>126.8588976515076</v>
      </c>
      <c r="S247" s="2">
        <f t="shared" si="14"/>
        <v>2.2948390438026114</v>
      </c>
      <c r="T247" s="2">
        <f t="shared" si="16"/>
        <v>3.4941547641596671</v>
      </c>
      <c r="U247" s="2">
        <f t="shared" si="17"/>
        <v>132.64789145946989</v>
      </c>
    </row>
    <row r="248" spans="1:21" x14ac:dyDescent="0.25">
      <c r="A248">
        <v>2068069</v>
      </c>
      <c r="B248">
        <v>15</v>
      </c>
      <c r="C248" s="1">
        <f>8.01150692910165*(10.3/7.3)</f>
        <v>11.303907036951639</v>
      </c>
      <c r="D248" s="1">
        <f>8.72534625028461*(10.3/7.3)</f>
        <v>12.311104983278288</v>
      </c>
      <c r="E248" s="1">
        <f>31.248644616951*(10.3/7.3)</f>
        <v>44.090553363643131</v>
      </c>
      <c r="F248" s="1">
        <f>52.8745782935105*(38.9/42.5)</f>
        <v>48.395790485119065</v>
      </c>
      <c r="G248" s="1">
        <v>1.415442015231039</v>
      </c>
      <c r="H248" s="1">
        <v>2.2851414201342757</v>
      </c>
      <c r="I248" s="1">
        <v>40.24948219622388</v>
      </c>
      <c r="J248" s="1">
        <v>3.1188113376055988E-2</v>
      </c>
      <c r="K248" s="1">
        <v>2.5334192921496794</v>
      </c>
      <c r="L248" s="1">
        <v>2.428219275904254</v>
      </c>
      <c r="M248" s="1">
        <v>0.15365502591964078</v>
      </c>
      <c r="N248" s="1">
        <v>1.4403352458371821</v>
      </c>
      <c r="O248" s="1">
        <v>0.12484977777777775</v>
      </c>
      <c r="P248" s="1">
        <v>0.10109222634420109</v>
      </c>
      <c r="Q248" s="1">
        <v>2.2621219421500642</v>
      </c>
      <c r="R248" s="2">
        <f t="shared" si="15"/>
        <v>162.31354344273137</v>
      </c>
      <c r="S248" s="2">
        <f t="shared" si="14"/>
        <v>2.6656996318699364</v>
      </c>
      <c r="T248" s="2">
        <f t="shared" si="16"/>
        <v>4.1470593254388541</v>
      </c>
      <c r="U248" s="2">
        <f t="shared" si="17"/>
        <v>169.12630240004015</v>
      </c>
    </row>
    <row r="249" spans="1:21" x14ac:dyDescent="0.25">
      <c r="A249">
        <v>2068077</v>
      </c>
      <c r="B249">
        <v>45</v>
      </c>
      <c r="C249" s="1">
        <f>10.759454867895*(10.3/7.3)</f>
        <v>15.181148649221699</v>
      </c>
      <c r="D249" s="1">
        <f>11.1099683978943*(10.3/7.3)</f>
        <v>15.675708835385164</v>
      </c>
      <c r="E249" s="1">
        <f>39.8544905320043*(10.3/7.3)</f>
        <v>56.233048284882763</v>
      </c>
      <c r="F249" s="1">
        <f>69.7626115147364*(38.9/42.5)</f>
        <v>63.853307951135179</v>
      </c>
      <c r="G249" s="1">
        <v>1.960302416169905</v>
      </c>
      <c r="H249" s="1">
        <v>5.1217850449024187</v>
      </c>
      <c r="I249" s="1">
        <v>54.678377747214398</v>
      </c>
      <c r="J249" s="1">
        <v>3.2647398294871781E-2</v>
      </c>
      <c r="K249" s="1">
        <v>2.6056821632211222</v>
      </c>
      <c r="L249" s="1">
        <v>2.5237413897654406</v>
      </c>
      <c r="M249" s="1">
        <v>0.15426657312776826</v>
      </c>
      <c r="N249" s="1">
        <v>1.4901230545483075</v>
      </c>
      <c r="O249" s="1">
        <v>0.12823703703703707</v>
      </c>
      <c r="P249" s="1">
        <v>0.10183776014100729</v>
      </c>
      <c r="Q249" s="1">
        <v>3.1329034048377511</v>
      </c>
      <c r="R249" s="2">
        <f t="shared" si="15"/>
        <v>215.83658233374928</v>
      </c>
      <c r="S249" s="2">
        <f t="shared" si="14"/>
        <v>2.7401673216570011</v>
      </c>
      <c r="T249" s="2">
        <f t="shared" si="16"/>
        <v>4.2963680544785534</v>
      </c>
      <c r="U249" s="2">
        <f t="shared" si="17"/>
        <v>222.87311770988484</v>
      </c>
    </row>
    <row r="250" spans="1:21" x14ac:dyDescent="0.25">
      <c r="A250">
        <v>2068085</v>
      </c>
      <c r="B250">
        <v>23</v>
      </c>
      <c r="C250" s="1">
        <f>6.82758741967122*(10.3/7.3)</f>
        <v>9.6334452633717156</v>
      </c>
      <c r="D250" s="1">
        <f>7.13445676310403*(10.3/7.3)</f>
        <v>10.066425295886512</v>
      </c>
      <c r="E250" s="1">
        <f>25.6012918913814*(10.3/7.3)</f>
        <v>36.122370750853179</v>
      </c>
      <c r="F250" s="1">
        <f>43.5862116922799*(38.9/42.5)</f>
        <v>39.894203172463236</v>
      </c>
      <c r="G250" s="1">
        <v>1.1621115064332135</v>
      </c>
      <c r="H250" s="1">
        <v>3.5109020857778575</v>
      </c>
      <c r="I250" s="1">
        <v>33.837837092603365</v>
      </c>
      <c r="J250" s="1">
        <v>2.4885467600486343E-2</v>
      </c>
      <c r="K250" s="1">
        <v>2.0974859604682701</v>
      </c>
      <c r="L250" s="1">
        <v>1.8820549395325796</v>
      </c>
      <c r="M250" s="1">
        <v>0.11599480604584948</v>
      </c>
      <c r="N250" s="1">
        <v>1.1977245173058779</v>
      </c>
      <c r="O250" s="1">
        <v>0.10075362318840581</v>
      </c>
      <c r="P250" s="1">
        <v>8.5381936361839536E-2</v>
      </c>
      <c r="Q250" s="1">
        <v>1.8572558321992012</v>
      </c>
      <c r="R250" s="2">
        <f t="shared" si="15"/>
        <v>136.08455099958829</v>
      </c>
      <c r="S250" s="2">
        <f t="shared" si="14"/>
        <v>2.2077533644305958</v>
      </c>
      <c r="T250" s="2">
        <f t="shared" si="16"/>
        <v>3.2965278860727132</v>
      </c>
      <c r="U250" s="2">
        <f t="shared" si="17"/>
        <v>141.5888322500916</v>
      </c>
    </row>
    <row r="251" spans="1:21" x14ac:dyDescent="0.25">
      <c r="A251">
        <v>2068133</v>
      </c>
      <c r="B251">
        <v>32</v>
      </c>
      <c r="C251" s="1">
        <f>14.3012896527727*(10.3/7.3)</f>
        <v>20.17853197582993</v>
      </c>
      <c r="D251" s="1">
        <f>18.3410563146103*(10.3/7.3)</f>
        <v>25.878476717874783</v>
      </c>
      <c r="E251" s="1">
        <f>65.4349762704442*(10.3/7.3)</f>
        <v>92.326062408982935</v>
      </c>
      <c r="F251" s="1">
        <f>97.7597150948572*(38.9/42.5)</f>
        <v>89.478892169175197</v>
      </c>
      <c r="G251" s="1">
        <v>2.0589563889398583</v>
      </c>
      <c r="H251" s="1">
        <v>3.1340062466578851</v>
      </c>
      <c r="I251" s="1">
        <v>66.937821794957344</v>
      </c>
      <c r="J251" s="1">
        <v>3.162618880395747E-2</v>
      </c>
      <c r="K251" s="1">
        <v>2.6532278690976625</v>
      </c>
      <c r="L251" s="1">
        <v>2.3394911235217806</v>
      </c>
      <c r="M251" s="1">
        <v>0.12751967440484327</v>
      </c>
      <c r="N251" s="1">
        <v>1.4890358606807377</v>
      </c>
      <c r="O251" s="1">
        <v>0.11264833333333335</v>
      </c>
      <c r="P251" s="1">
        <v>9.0841533400920771E-2</v>
      </c>
      <c r="Q251" s="1">
        <v>3.2905695713650749</v>
      </c>
      <c r="R251" s="2">
        <f t="shared" si="15"/>
        <v>303.28331727378304</v>
      </c>
      <c r="S251" s="2">
        <f t="shared" si="14"/>
        <v>2.775695591302541</v>
      </c>
      <c r="T251" s="2">
        <f t="shared" si="16"/>
        <v>4.0686949919406947</v>
      </c>
      <c r="U251" s="2">
        <f t="shared" si="17"/>
        <v>310.12770785702628</v>
      </c>
    </row>
    <row r="252" spans="1:21" x14ac:dyDescent="0.25">
      <c r="A252">
        <v>2080249</v>
      </c>
      <c r="B252">
        <v>3</v>
      </c>
      <c r="C252" s="1">
        <f>3.94999261160401*(10.3/7.3)</f>
        <v>5.5732772465097629</v>
      </c>
      <c r="D252" s="1">
        <f>5.84317934698523*(10.3/7.3)</f>
        <v>8.2444859279380669</v>
      </c>
      <c r="E252" s="1">
        <f>20.6091794822888*(10.3/7.3)</f>
        <v>29.078705296927996</v>
      </c>
      <c r="F252" s="1">
        <f>36.5519871321045*(38.9/42.5)</f>
        <v>33.455818810326214</v>
      </c>
      <c r="G252" s="1">
        <v>1.17666785343467</v>
      </c>
      <c r="H252" s="1">
        <v>4.7016007090853007</v>
      </c>
      <c r="I252" s="1">
        <v>24.871984662309185</v>
      </c>
      <c r="J252" s="1">
        <v>2.7979685575097928E-2</v>
      </c>
      <c r="K252" s="1">
        <v>1.810342039491073</v>
      </c>
      <c r="L252" s="1">
        <v>1.6836344285806935</v>
      </c>
      <c r="M252" s="1">
        <v>0.10706846845495105</v>
      </c>
      <c r="N252" s="1">
        <v>1.2766803993841347</v>
      </c>
      <c r="O252" s="1">
        <v>9.7333333333333341E-2</v>
      </c>
      <c r="P252" s="1">
        <v>8.2029897586089973E-2</v>
      </c>
      <c r="Q252" s="1">
        <v>1.880519400466369</v>
      </c>
      <c r="R252" s="2">
        <f t="shared" si="15"/>
        <v>108.98305990699757</v>
      </c>
      <c r="S252" s="2">
        <f t="shared" si="14"/>
        <v>1.920351622652261</v>
      </c>
      <c r="T252" s="2">
        <f t="shared" si="16"/>
        <v>3.1647166297531122</v>
      </c>
      <c r="U252" s="2">
        <f t="shared" si="17"/>
        <v>114.06812815940295</v>
      </c>
    </row>
    <row r="253" spans="1:21" x14ac:dyDescent="0.25">
      <c r="A253">
        <v>2080273</v>
      </c>
      <c r="B253">
        <v>1</v>
      </c>
      <c r="C253" s="1">
        <f>8.55929092733632*(10.3/7.3)</f>
        <v>12.076807746789608</v>
      </c>
      <c r="D253" s="1">
        <f>9.56323336086397*(10.3/7.3)</f>
        <v>13.493329262588896</v>
      </c>
      <c r="E253" s="1">
        <f>34.1840974450349*(10.3/7.3)</f>
        <v>48.232356669021897</v>
      </c>
      <c r="F253" s="1">
        <f>58.8890451403543*(38.9/42.5)</f>
        <v>53.900796610818432</v>
      </c>
      <c r="G253" s="1">
        <v>1.6523420920571958</v>
      </c>
      <c r="H253" s="1">
        <v>2.6765197273154331</v>
      </c>
      <c r="I253" s="1">
        <v>44.472783611339565</v>
      </c>
      <c r="J253" s="1">
        <v>3.4514219361214217E-2</v>
      </c>
      <c r="K253" s="1">
        <v>2.6237385522650891</v>
      </c>
      <c r="L253" s="1">
        <v>2.5715809799258729</v>
      </c>
      <c r="M253" s="1">
        <v>0.17626710712423474</v>
      </c>
      <c r="N253" s="1">
        <v>1.6175530550995372</v>
      </c>
      <c r="O253" s="1">
        <v>0.13573333333333334</v>
      </c>
      <c r="P253" s="1">
        <v>0.10715699937255528</v>
      </c>
      <c r="Q253" s="1">
        <v>2.6407293708676671</v>
      </c>
      <c r="R253" s="2">
        <f t="shared" si="15"/>
        <v>179.14566509079867</v>
      </c>
      <c r="S253" s="2">
        <f t="shared" si="14"/>
        <v>2.7654097709988585</v>
      </c>
      <c r="T253" s="2">
        <f t="shared" si="16"/>
        <v>4.5011344754829778</v>
      </c>
      <c r="U253" s="2">
        <f t="shared" si="17"/>
        <v>186.41220933728053</v>
      </c>
    </row>
    <row r="254" spans="1:21" x14ac:dyDescent="0.25">
      <c r="A254">
        <v>2080281</v>
      </c>
      <c r="B254">
        <v>38</v>
      </c>
      <c r="C254" s="1">
        <f>8.96512931570112*(10.3/7.3)</f>
        <v>12.649429034482408</v>
      </c>
      <c r="D254" s="1">
        <f>8.2556111154715*(10.3/7.3)</f>
        <v>11.648328012240606</v>
      </c>
      <c r="E254" s="1">
        <f>29.8440310976849*(10.3/7.3)</f>
        <v>42.108701411801981</v>
      </c>
      <c r="F254" s="1">
        <f>50.5051143566722*(38.9/42.5)</f>
        <v>46.227034081754113</v>
      </c>
      <c r="G254" s="1">
        <v>1.2525131413638271</v>
      </c>
      <c r="H254" s="1">
        <v>2.8259725353558904</v>
      </c>
      <c r="I254" s="1">
        <v>41.560624522013441</v>
      </c>
      <c r="J254" s="1">
        <v>2.6942780572741885E-2</v>
      </c>
      <c r="K254" s="1">
        <v>2.1818490810160656</v>
      </c>
      <c r="L254" s="1">
        <v>2.0528939988513568</v>
      </c>
      <c r="M254" s="1">
        <v>0.13691638023373692</v>
      </c>
      <c r="N254" s="1">
        <v>1.2758809043693855</v>
      </c>
      <c r="O254" s="1">
        <v>0.11400842105263158</v>
      </c>
      <c r="P254" s="1">
        <v>9.3526954924410544E-2</v>
      </c>
      <c r="Q254" s="1">
        <v>2.0017333309467578</v>
      </c>
      <c r="R254" s="2">
        <f t="shared" si="15"/>
        <v>160.27433606995902</v>
      </c>
      <c r="S254" s="2">
        <f t="shared" si="14"/>
        <v>2.302318816513218</v>
      </c>
      <c r="T254" s="2">
        <f t="shared" si="16"/>
        <v>3.5796997045071106</v>
      </c>
      <c r="U254" s="2">
        <f t="shared" si="17"/>
        <v>166.15635459097933</v>
      </c>
    </row>
    <row r="255" spans="1:21" x14ac:dyDescent="0.25">
      <c r="A255">
        <v>2080297</v>
      </c>
      <c r="B255">
        <v>20</v>
      </c>
      <c r="C255" s="1">
        <f>5.87599902517416*(10.3/7.3)</f>
        <v>8.2907931451087489</v>
      </c>
      <c r="D255" s="1">
        <f>6.40939409664489*(10.3/7.3)</f>
        <v>9.0433916706085498</v>
      </c>
      <c r="E255" s="1">
        <f>22.9239769431809*(10.3/7.3)</f>
        <v>32.344789385584015</v>
      </c>
      <c r="F255" s="1">
        <f>40.2228292363052*(38.9/42.5)</f>
        <v>36.815718995112313</v>
      </c>
      <c r="G255" s="1">
        <v>1.1594291329071464</v>
      </c>
      <c r="H255" s="1">
        <v>2.8808865197474995</v>
      </c>
      <c r="I255" s="1">
        <v>30.794222104684394</v>
      </c>
      <c r="J255" s="1">
        <v>2.6116494805303342E-2</v>
      </c>
      <c r="K255" s="1">
        <v>2.1700093810470955</v>
      </c>
      <c r="L255" s="1">
        <v>2.0120635492345458</v>
      </c>
      <c r="M255" s="1">
        <v>0.13094277945416216</v>
      </c>
      <c r="N255" s="1">
        <v>1.2392483082278396</v>
      </c>
      <c r="O255" s="1">
        <v>0.10913066666666667</v>
      </c>
      <c r="P255" s="1">
        <v>9.1567512218811084E-2</v>
      </c>
      <c r="Q255" s="1">
        <v>1.8529689338698709</v>
      </c>
      <c r="R255" s="2">
        <f t="shared" si="15"/>
        <v>123.18219988762256</v>
      </c>
      <c r="S255" s="2">
        <f t="shared" si="14"/>
        <v>2.2876933880712098</v>
      </c>
      <c r="T255" s="2">
        <f t="shared" si="16"/>
        <v>3.4913853035832143</v>
      </c>
      <c r="U255" s="2">
        <f t="shared" si="17"/>
        <v>128.96127857927698</v>
      </c>
    </row>
    <row r="256" spans="1:21" x14ac:dyDescent="0.25">
      <c r="A256">
        <v>2080313</v>
      </c>
      <c r="B256">
        <v>18</v>
      </c>
      <c r="C256" s="1">
        <f>16.2673437543298*(10.3/7.3)</f>
        <v>22.952553516383116</v>
      </c>
      <c r="D256" s="1">
        <f>14.5207422003213*(10.3/7.3)</f>
        <v>20.488170501823216</v>
      </c>
      <c r="E256" s="1">
        <f>52.5467712390585*(10.3/7.3)</f>
        <v>74.141334761959214</v>
      </c>
      <c r="F256" s="1">
        <f>91.219253133721*(38.9/42.5)</f>
        <v>83.492445809452846</v>
      </c>
      <c r="G256" s="1">
        <v>2.3621577353550709</v>
      </c>
      <c r="H256" s="1">
        <v>6.363228585313589</v>
      </c>
      <c r="I256" s="1">
        <v>76.351585442733793</v>
      </c>
      <c r="J256" s="1">
        <v>3.2852769356721157E-2</v>
      </c>
      <c r="K256" s="1">
        <v>2.5855058211044568</v>
      </c>
      <c r="L256" s="1">
        <v>2.4823192498016891</v>
      </c>
      <c r="M256" s="1">
        <v>0.15556056782457761</v>
      </c>
      <c r="N256" s="1">
        <v>1.5178537375064569</v>
      </c>
      <c r="O256" s="1">
        <v>0.12610370370370372</v>
      </c>
      <c r="P256" s="1">
        <v>0.10099588939889503</v>
      </c>
      <c r="Q256" s="1">
        <v>3.7751379332158703</v>
      </c>
      <c r="R256" s="2">
        <f t="shared" si="15"/>
        <v>289.92661428623671</v>
      </c>
      <c r="S256" s="2">
        <f t="shared" si="14"/>
        <v>2.7193544798600731</v>
      </c>
      <c r="T256" s="2">
        <f t="shared" si="16"/>
        <v>4.2818372588364273</v>
      </c>
      <c r="U256" s="2">
        <f t="shared" si="17"/>
        <v>296.92780602493326</v>
      </c>
    </row>
    <row r="257" spans="1:21" x14ac:dyDescent="0.25">
      <c r="A257">
        <v>2080321</v>
      </c>
      <c r="B257">
        <v>28</v>
      </c>
      <c r="C257" s="1">
        <f>10.1507511895021*(10.3/7.3)</f>
        <v>14.322292774228981</v>
      </c>
      <c r="D257" s="1">
        <f>11.0463182367077*(10.3/7.3)</f>
        <v>15.585901073710913</v>
      </c>
      <c r="E257" s="1">
        <f>39.5808189748999*(10.3/7.3)</f>
        <v>55.846908964584841</v>
      </c>
      <c r="F257" s="1">
        <f>66.055524561677*(38.9/42.5)</f>
        <v>60.460233069393787</v>
      </c>
      <c r="G257" s="1">
        <v>1.7152245914325637</v>
      </c>
      <c r="H257" s="1">
        <v>3.5967653313517221</v>
      </c>
      <c r="I257" s="1">
        <v>50.17616406274044</v>
      </c>
      <c r="J257" s="1">
        <v>3.1393342997780106E-2</v>
      </c>
      <c r="K257" s="1">
        <v>2.4979536734740373</v>
      </c>
      <c r="L257" s="1">
        <v>2.3338149032412372</v>
      </c>
      <c r="M257" s="1">
        <v>0.14570789663689387</v>
      </c>
      <c r="N257" s="1">
        <v>1.5312917170974809</v>
      </c>
      <c r="O257" s="1">
        <v>0.11971238095238092</v>
      </c>
      <c r="P257" s="1">
        <v>9.6605682747139252E-2</v>
      </c>
      <c r="Q257" s="1">
        <v>2.7412265159881177</v>
      </c>
      <c r="R257" s="2">
        <f t="shared" si="15"/>
        <v>204.44471638343137</v>
      </c>
      <c r="S257" s="2">
        <f t="shared" si="14"/>
        <v>2.6259526992189564</v>
      </c>
      <c r="T257" s="2">
        <f t="shared" si="16"/>
        <v>4.130526897927993</v>
      </c>
      <c r="U257" s="2">
        <f t="shared" si="17"/>
        <v>211.20119598057835</v>
      </c>
    </row>
    <row r="258" spans="1:21" x14ac:dyDescent="0.25">
      <c r="A258">
        <v>2092509</v>
      </c>
      <c r="B258">
        <v>66</v>
      </c>
      <c r="C258" s="1">
        <f>5.80778853590383*(10.3/7.3)</f>
        <v>8.1945509479191028</v>
      </c>
      <c r="D258" s="1">
        <f>6.10851570853846*(10.3/7.3)</f>
        <v>8.6188646298556399</v>
      </c>
      <c r="E258" s="1">
        <f>21.8980079640357*(10.3/7.3)</f>
        <v>30.897189319118905</v>
      </c>
      <c r="F258" s="1">
        <f>37.992717781209*(38.9/42.5)</f>
        <v>34.774511098565419</v>
      </c>
      <c r="G258" s="1">
        <v>1.056460128805601</v>
      </c>
      <c r="H258" s="1">
        <v>1.9707401313824338</v>
      </c>
      <c r="I258" s="1">
        <v>29.496898094522493</v>
      </c>
      <c r="J258" s="1">
        <v>2.5280879403575009E-2</v>
      </c>
      <c r="K258" s="1">
        <v>2.0487973086934539</v>
      </c>
      <c r="L258" s="1">
        <v>1.9073342273041742</v>
      </c>
      <c r="M258" s="1">
        <v>0.12830707149444104</v>
      </c>
      <c r="N258" s="1">
        <v>1.2368516058526122</v>
      </c>
      <c r="O258" s="1">
        <v>0.10641535353535354</v>
      </c>
      <c r="P258" s="1">
        <v>8.948015884568343E-2</v>
      </c>
      <c r="Q258" s="1">
        <v>1.6884065985477661</v>
      </c>
      <c r="R258" s="2">
        <f t="shared" si="15"/>
        <v>116.69762094871736</v>
      </c>
      <c r="S258" s="2">
        <f t="shared" si="14"/>
        <v>2.163558346942712</v>
      </c>
      <c r="T258" s="2">
        <f t="shared" si="16"/>
        <v>3.378908258186581</v>
      </c>
      <c r="U258" s="2">
        <f t="shared" si="17"/>
        <v>122.24008755384665</v>
      </c>
    </row>
    <row r="259" spans="1:21" x14ac:dyDescent="0.25">
      <c r="A259">
        <v>2092517</v>
      </c>
      <c r="B259">
        <v>2</v>
      </c>
      <c r="C259" s="1">
        <f>25.2915297294489*(10.3/7.3)</f>
        <v>35.68530907031829</v>
      </c>
      <c r="D259" s="1">
        <f>17.1182167149952*(10.3/7.3)</f>
        <v>24.153100296500131</v>
      </c>
      <c r="E259" s="1">
        <f>63.4363483687301*(10.3/7.3)</f>
        <v>89.506080575057538</v>
      </c>
      <c r="F259" s="1">
        <f>96.8423922829436*(38.9/42.5)</f>
        <v>88.639271995447217</v>
      </c>
      <c r="G259" s="1">
        <v>1.3014876348476485</v>
      </c>
      <c r="H259" s="1">
        <v>3.3631169063607067</v>
      </c>
      <c r="I259" s="1">
        <v>93.810928190140743</v>
      </c>
      <c r="J259" s="1">
        <v>2.6070243884349663E-2</v>
      </c>
      <c r="K259" s="1">
        <v>2.0768952993071892</v>
      </c>
      <c r="L259" s="1">
        <v>1.9301921160520219</v>
      </c>
      <c r="M259" s="1">
        <v>0.13245200639342261</v>
      </c>
      <c r="N259" s="1">
        <v>1.2643346145849881</v>
      </c>
      <c r="O259" s="1">
        <v>0.11002666666666666</v>
      </c>
      <c r="P259" s="1">
        <v>8.9605576107613605E-2</v>
      </c>
      <c r="Q259" s="1">
        <v>2.0800030693912213</v>
      </c>
      <c r="R259" s="2">
        <f t="shared" si="15"/>
        <v>338.53929773806357</v>
      </c>
      <c r="S259" s="2">
        <f t="shared" si="14"/>
        <v>2.1925711192991528</v>
      </c>
      <c r="T259" s="2">
        <f t="shared" si="16"/>
        <v>3.4370054036970994</v>
      </c>
      <c r="U259" s="2">
        <f t="shared" si="17"/>
        <v>344.16887426105978</v>
      </c>
    </row>
    <row r="260" spans="1:21" x14ac:dyDescent="0.25">
      <c r="A260">
        <v>2092525</v>
      </c>
      <c r="B260">
        <v>5</v>
      </c>
      <c r="C260" s="1">
        <f>6.64430392041994*(10.3/7.3)</f>
        <v>9.3748397781267681</v>
      </c>
      <c r="D260" s="1">
        <f>7.29174323751477*(10.3/7.3)</f>
        <v>10.288350047452345</v>
      </c>
      <c r="E260" s="1">
        <f>26.0417740340292*(10.3/7.3)</f>
        <v>36.743872952123375</v>
      </c>
      <c r="F260" s="1">
        <f>47.1948814618471*(38.9/42.5)</f>
        <v>43.197197385078915</v>
      </c>
      <c r="G260" s="1">
        <v>1.4461212153731746</v>
      </c>
      <c r="H260" s="1">
        <v>5.7265698181819138</v>
      </c>
      <c r="I260" s="1">
        <v>36.239139351345557</v>
      </c>
      <c r="J260" s="1">
        <v>2.8948833313246602E-2</v>
      </c>
      <c r="K260" s="1">
        <v>2.3295123655514063</v>
      </c>
      <c r="L260" s="1">
        <v>2.1866556997192688</v>
      </c>
      <c r="M260" s="1">
        <v>0.14558313899694622</v>
      </c>
      <c r="N260" s="1">
        <v>1.3600995795586437</v>
      </c>
      <c r="O260" s="1">
        <v>0.11730133333333334</v>
      </c>
      <c r="P260" s="1">
        <v>9.6834671524628782E-2</v>
      </c>
      <c r="Q260" s="1">
        <v>2.3111526273087284</v>
      </c>
      <c r="R260" s="2">
        <f t="shared" si="15"/>
        <v>145.32724317499077</v>
      </c>
      <c r="S260" s="2">
        <f t="shared" si="14"/>
        <v>2.4552958703892815</v>
      </c>
      <c r="T260" s="2">
        <f t="shared" si="16"/>
        <v>3.8096397516081919</v>
      </c>
      <c r="U260" s="2">
        <f t="shared" si="17"/>
        <v>151.59217879698824</v>
      </c>
    </row>
    <row r="261" spans="1:21" x14ac:dyDescent="0.25">
      <c r="A261">
        <v>2092533</v>
      </c>
      <c r="B261">
        <v>1</v>
      </c>
      <c r="C261" s="1">
        <f>8.4756496479161*(10.3/7.3)</f>
        <v>11.958793338840524</v>
      </c>
      <c r="D261" s="1">
        <f>9.18706941806307*(10.3/7.3)</f>
        <v>12.962577398088985</v>
      </c>
      <c r="E261" s="1">
        <f>32.8970845711168*(10.3/7.3)</f>
        <v>46.41643439486338</v>
      </c>
      <c r="F261" s="1">
        <f>56.3271149475572*(38.9/42.5)</f>
        <v>51.555876975528825</v>
      </c>
      <c r="G261" s="1">
        <v>1.5429012521936674</v>
      </c>
      <c r="H261" s="1">
        <v>2.7625123289962494</v>
      </c>
      <c r="I261" s="1">
        <v>43.058607317416758</v>
      </c>
      <c r="J261" s="1">
        <v>3.3631632979712799E-2</v>
      </c>
      <c r="K261" s="1">
        <v>2.5946770901307836</v>
      </c>
      <c r="L261" s="1">
        <v>2.5047653458931705</v>
      </c>
      <c r="M261" s="1">
        <v>0.1701646075163378</v>
      </c>
      <c r="N261" s="1">
        <v>1.5511508482057419</v>
      </c>
      <c r="O261" s="1">
        <v>0.13018666666666667</v>
      </c>
      <c r="P261" s="1">
        <v>0.10399734357721033</v>
      </c>
      <c r="Q261" s="1">
        <v>2.4658239190309779</v>
      </c>
      <c r="R261" s="2">
        <f t="shared" si="15"/>
        <v>172.7235269249594</v>
      </c>
      <c r="S261" s="2">
        <f t="shared" si="14"/>
        <v>2.7323060666877068</v>
      </c>
      <c r="T261" s="2">
        <f t="shared" si="16"/>
        <v>4.3562674682819171</v>
      </c>
      <c r="U261" s="2">
        <f t="shared" si="17"/>
        <v>179.81210045992901</v>
      </c>
    </row>
    <row r="262" spans="1:21" x14ac:dyDescent="0.25">
      <c r="A262">
        <v>2092541</v>
      </c>
      <c r="B262">
        <v>16</v>
      </c>
      <c r="C262" s="1">
        <f>11.2480095553656*(10.3/7.3)</f>
        <v>15.870479235652875</v>
      </c>
      <c r="D262" s="1">
        <f>11.2174594520201*(10.3/7.3)</f>
        <v>15.827374295315995</v>
      </c>
      <c r="E262" s="1">
        <f>40.2416140576652*(10.3/7.3)</f>
        <v>56.779263670404269</v>
      </c>
      <c r="F262" s="1">
        <f>74.232564884897*(38.9/42.5)</f>
        <v>67.944629976999835</v>
      </c>
      <c r="G262" s="1">
        <v>2.2700256557722462</v>
      </c>
      <c r="H262" s="1">
        <v>5.573983336488511</v>
      </c>
      <c r="I262" s="1">
        <v>59.478632998554481</v>
      </c>
      <c r="J262" s="1">
        <v>3.0513408618626954E-2</v>
      </c>
      <c r="K262" s="1">
        <v>2.4388630890988452</v>
      </c>
      <c r="L262" s="1">
        <v>2.3270962604106176</v>
      </c>
      <c r="M262" s="1">
        <v>0.1458921856950727</v>
      </c>
      <c r="N262" s="1">
        <v>1.426405203409028</v>
      </c>
      <c r="O262" s="1">
        <v>0.12105333333333336</v>
      </c>
      <c r="P262" s="1">
        <v>9.7612314852658852E-2</v>
      </c>
      <c r="Q262" s="1">
        <v>3.6278948836542777</v>
      </c>
      <c r="R262" s="2">
        <f t="shared" si="15"/>
        <v>227.3722840528425</v>
      </c>
      <c r="S262" s="2">
        <f t="shared" si="14"/>
        <v>2.566988812570131</v>
      </c>
      <c r="T262" s="2">
        <f t="shared" si="16"/>
        <v>4.0204469828480516</v>
      </c>
      <c r="U262" s="2">
        <f t="shared" si="17"/>
        <v>233.9597198482607</v>
      </c>
    </row>
    <row r="263" spans="1:21" x14ac:dyDescent="0.25">
      <c r="A263">
        <v>2104737</v>
      </c>
      <c r="B263">
        <v>3</v>
      </c>
      <c r="C263" s="1">
        <f>11.2464329836305*(10.3/7.3)</f>
        <v>15.868254757725262</v>
      </c>
      <c r="D263" s="1">
        <f>12.3321495287223*(10.3/7.3)</f>
        <v>17.400156184361609</v>
      </c>
      <c r="E263" s="1">
        <f>44.1363634508038*(10.3/7.3)</f>
        <v>62.274595005928653</v>
      </c>
      <c r="F263" s="1">
        <f>75.391308681291*(38.9/42.5)</f>
        <v>69.005221357699256</v>
      </c>
      <c r="G263" s="1">
        <v>2.0643546656610678</v>
      </c>
      <c r="H263" s="1">
        <v>3.1387299613498243</v>
      </c>
      <c r="I263" s="1">
        <v>57.314091667831804</v>
      </c>
      <c r="J263" s="1">
        <v>4.1922853121317494E-2</v>
      </c>
      <c r="K263" s="1">
        <v>2.9505467143225146</v>
      </c>
      <c r="L263" s="1">
        <v>3.0372378028356137</v>
      </c>
      <c r="M263" s="1">
        <v>0.21206555885581949</v>
      </c>
      <c r="N263" s="1">
        <v>1.9578544172156978</v>
      </c>
      <c r="O263" s="1">
        <v>0.15279999999999999</v>
      </c>
      <c r="P263" s="1">
        <v>0.11644344690388646</v>
      </c>
      <c r="Q263" s="1">
        <v>3.2991969542528516</v>
      </c>
      <c r="R263" s="2">
        <f t="shared" si="15"/>
        <v>230.36460055481029</v>
      </c>
      <c r="S263" s="2">
        <f t="shared" si="14"/>
        <v>3.1089130143477188</v>
      </c>
      <c r="T263" s="2">
        <f t="shared" si="16"/>
        <v>5.3599577789071313</v>
      </c>
      <c r="U263" s="2">
        <f t="shared" si="17"/>
        <v>238.83347134806513</v>
      </c>
    </row>
    <row r="264" spans="1:21" x14ac:dyDescent="0.25">
      <c r="A264">
        <v>2104745</v>
      </c>
      <c r="B264">
        <v>11</v>
      </c>
      <c r="C264" s="1">
        <f>12.8691703599724*(10.3/7.3)</f>
        <v>18.157870507906264</v>
      </c>
      <c r="D264" s="1">
        <f>12.0294741085761*(10.3/7.3)</f>
        <v>16.973093605251165</v>
      </c>
      <c r="E264" s="1">
        <f>43.4789251186582*(10.3/7.3)</f>
        <v>61.346976537284867</v>
      </c>
      <c r="F264" s="1">
        <f>72.0078010666972*(38.9/42.5)</f>
        <v>65.908316741047571</v>
      </c>
      <c r="G264" s="1">
        <v>1.7067698894224803</v>
      </c>
      <c r="H264" s="1">
        <v>3.4964115463950693</v>
      </c>
      <c r="I264" s="1">
        <v>58.701678510339825</v>
      </c>
      <c r="J264" s="1">
        <v>3.6222301746392668E-2</v>
      </c>
      <c r="K264" s="1">
        <v>2.6759369718054846</v>
      </c>
      <c r="L264" s="1">
        <v>2.6581204548493504</v>
      </c>
      <c r="M264" s="1">
        <v>0.18521257725293994</v>
      </c>
      <c r="N264" s="1">
        <v>1.6496564622106193</v>
      </c>
      <c r="O264" s="1">
        <v>0.13842424242424242</v>
      </c>
      <c r="P264" s="1">
        <v>0.10821144990818943</v>
      </c>
      <c r="Q264" s="1">
        <v>2.727714435150085</v>
      </c>
      <c r="R264" s="2">
        <f t="shared" si="15"/>
        <v>229.01883177279734</v>
      </c>
      <c r="S264" s="2">
        <f t="shared" si="14"/>
        <v>2.8203707234600666</v>
      </c>
      <c r="T264" s="2">
        <f t="shared" si="16"/>
        <v>4.6314137367371524</v>
      </c>
      <c r="U264" s="2">
        <f t="shared" si="17"/>
        <v>236.47061623299456</v>
      </c>
    </row>
    <row r="265" spans="1:21" x14ac:dyDescent="0.25">
      <c r="A265">
        <v>2104761</v>
      </c>
      <c r="B265">
        <v>47</v>
      </c>
      <c r="C265" s="1">
        <f>5.12403256829943*(10.3/7.3)</f>
        <v>7.2297993771896039</v>
      </c>
      <c r="D265" s="1">
        <f>5.60476991090984*(10.3/7.3)</f>
        <v>7.9081000112837447</v>
      </c>
      <c r="E265" s="1">
        <f>20.0312032523847*(10.3/7.3)</f>
        <v>28.263204588981193</v>
      </c>
      <c r="F265" s="1">
        <f>35.7534375109033*(38.9/42.5)</f>
        <v>32.724911039391465</v>
      </c>
      <c r="G265" s="1">
        <v>1.0650620908245707</v>
      </c>
      <c r="H265" s="1">
        <v>2.3322777349153139</v>
      </c>
      <c r="I265" s="1">
        <v>27.420492000133155</v>
      </c>
      <c r="J265" s="1">
        <v>2.5203727508567069E-2</v>
      </c>
      <c r="K265" s="1">
        <v>2.0700413295839244</v>
      </c>
      <c r="L265" s="1">
        <v>1.911607431142736</v>
      </c>
      <c r="M265" s="1">
        <v>0.12687933529109299</v>
      </c>
      <c r="N265" s="1">
        <v>1.2079538186642322</v>
      </c>
      <c r="O265" s="1">
        <v>0.10377758865248228</v>
      </c>
      <c r="P265" s="1">
        <v>8.8305222666381522E-2</v>
      </c>
      <c r="Q265" s="1">
        <v>1.7021540264319641</v>
      </c>
      <c r="R265" s="2">
        <f t="shared" si="15"/>
        <v>108.646000869151</v>
      </c>
      <c r="S265" s="2">
        <f t="shared" ref="S265:S328" si="18">J265+K265+P265</f>
        <v>2.1835502797588728</v>
      </c>
      <c r="T265" s="2">
        <f t="shared" si="16"/>
        <v>3.3502181737505436</v>
      </c>
      <c r="U265" s="2">
        <f t="shared" si="17"/>
        <v>114.17976932266042</v>
      </c>
    </row>
    <row r="266" spans="1:21" x14ac:dyDescent="0.25">
      <c r="A266">
        <v>2104769</v>
      </c>
      <c r="B266">
        <v>4</v>
      </c>
      <c r="C266" s="1">
        <f>8.52344466472766*(10.3/7.3)</f>
        <v>12.026230143382858</v>
      </c>
      <c r="D266" s="1">
        <f>8.75116776303277*(10.3/7.3)</f>
        <v>12.347538076607879</v>
      </c>
      <c r="E266" s="1">
        <f>31.444306887705*(10.3/7.3)</f>
        <v>44.366624786761868</v>
      </c>
      <c r="F266" s="1">
        <f>52.9425414514291*(38.9/42.5)</f>
        <v>48.457996763778645</v>
      </c>
      <c r="G266" s="1">
        <v>1.3669911963542016</v>
      </c>
      <c r="H266" s="1">
        <v>2.3542994024626052</v>
      </c>
      <c r="I266" s="1">
        <v>41.363007431305661</v>
      </c>
      <c r="J266" s="1">
        <v>3.1138750772347009E-2</v>
      </c>
      <c r="K266" s="1">
        <v>2.4277512284400089</v>
      </c>
      <c r="L266" s="1">
        <v>2.2957501248960366</v>
      </c>
      <c r="M266" s="1">
        <v>0.15006466153432976</v>
      </c>
      <c r="N266" s="1">
        <v>1.4712492190790858</v>
      </c>
      <c r="O266" s="1">
        <v>0.12110666666666667</v>
      </c>
      <c r="P266" s="1">
        <v>9.897914105376901E-2</v>
      </c>
      <c r="Q266" s="1">
        <v>2.1846891265934749</v>
      </c>
      <c r="R266" s="2">
        <f t="shared" ref="R266:R329" si="19">C266+D266+E266+F266+G266+H266+I266+Q266</f>
        <v>164.46737692724719</v>
      </c>
      <c r="S266" s="2">
        <f t="shared" si="18"/>
        <v>2.5578691202661248</v>
      </c>
      <c r="T266" s="2">
        <f t="shared" ref="T266:T329" si="20">L266+M266+N266+O266</f>
        <v>4.0381706721761192</v>
      </c>
      <c r="U266" s="2">
        <f t="shared" ref="U266:U329" si="21">R266+S266+T266</f>
        <v>171.06341671968943</v>
      </c>
    </row>
    <row r="267" spans="1:21" x14ac:dyDescent="0.25">
      <c r="A267">
        <v>2104777</v>
      </c>
      <c r="B267">
        <v>13</v>
      </c>
      <c r="C267" s="1">
        <f>14.2876462435266*(10.3/7.3)</f>
        <v>20.159281686071751</v>
      </c>
      <c r="D267" s="1">
        <f>13.2790469757321*(10.3/7.3)</f>
        <v>18.73618956849878</v>
      </c>
      <c r="E267" s="1">
        <f>47.9151419891353*(10.3/7.3)</f>
        <v>67.606296231245764</v>
      </c>
      <c r="F267" s="1">
        <f>84.1969611445802*(38.9/42.5)</f>
        <v>77.064983259392207</v>
      </c>
      <c r="G267" s="1">
        <v>2.2813380502773701</v>
      </c>
      <c r="H267" s="1">
        <v>5.3921082087598897</v>
      </c>
      <c r="I267" s="1">
        <v>69.229595189964826</v>
      </c>
      <c r="J267" s="1">
        <v>3.1658216832317239E-2</v>
      </c>
      <c r="K267" s="1">
        <v>2.4838889303392344</v>
      </c>
      <c r="L267" s="1">
        <v>2.3645584809626263</v>
      </c>
      <c r="M267" s="1">
        <v>0.1516935459033257</v>
      </c>
      <c r="N267" s="1">
        <v>1.478723837561823</v>
      </c>
      <c r="O267" s="1">
        <v>0.12180102564102563</v>
      </c>
      <c r="P267" s="1">
        <v>9.8287648496736241E-2</v>
      </c>
      <c r="Q267" s="1">
        <v>3.6459740529547044</v>
      </c>
      <c r="R267" s="2">
        <f t="shared" si="19"/>
        <v>264.11576624716531</v>
      </c>
      <c r="S267" s="2">
        <f t="shared" si="18"/>
        <v>2.6138347956682879</v>
      </c>
      <c r="T267" s="2">
        <f t="shared" si="20"/>
        <v>4.1167768900688007</v>
      </c>
      <c r="U267" s="2">
        <f t="shared" si="21"/>
        <v>270.84637793290244</v>
      </c>
    </row>
    <row r="268" spans="1:21" x14ac:dyDescent="0.25">
      <c r="A268">
        <v>2104873</v>
      </c>
      <c r="B268">
        <v>19</v>
      </c>
      <c r="C268" s="1">
        <f>15.8857638991079*(10.3/7.3)</f>
        <v>22.414160022028927</v>
      </c>
      <c r="D268" s="1">
        <f>26.2454346789942*(10.3/7.3)</f>
        <v>37.031229752553529</v>
      </c>
      <c r="E268" s="1">
        <f>93.0986987942853*(10.3/7.3)</f>
        <v>131.35843802481347</v>
      </c>
      <c r="F268" s="1">
        <f>119.820304440869*(38.9/42.5)</f>
        <v>109.67081982940726</v>
      </c>
      <c r="G268" s="1">
        <v>1.6433631996225719</v>
      </c>
      <c r="H268" s="1">
        <v>5.4224310996960812</v>
      </c>
      <c r="I268" s="1">
        <v>67.595069811411761</v>
      </c>
      <c r="J268" s="1">
        <v>2.8987781457207595E-2</v>
      </c>
      <c r="K268" s="1">
        <v>2.4537300854747754</v>
      </c>
      <c r="L268" s="1">
        <v>2.0814606696628317</v>
      </c>
      <c r="M268" s="1">
        <v>0.10506318781045625</v>
      </c>
      <c r="N268" s="1">
        <v>1.4695334710876786</v>
      </c>
      <c r="O268" s="1">
        <v>9.7308070175438618E-2</v>
      </c>
      <c r="P268" s="1">
        <v>8.162616105892094E-2</v>
      </c>
      <c r="Q268" s="1">
        <v>2.626379542775803</v>
      </c>
      <c r="R268" s="2">
        <f t="shared" si="19"/>
        <v>377.76189128230936</v>
      </c>
      <c r="S268" s="2">
        <f t="shared" si="18"/>
        <v>2.564344027990904</v>
      </c>
      <c r="T268" s="2">
        <f t="shared" si="20"/>
        <v>3.7533653987364053</v>
      </c>
      <c r="U268" s="2">
        <f t="shared" si="21"/>
        <v>384.07960070903664</v>
      </c>
    </row>
    <row r="269" spans="1:21" x14ac:dyDescent="0.25">
      <c r="A269">
        <v>2104881</v>
      </c>
      <c r="B269">
        <v>9</v>
      </c>
      <c r="C269" s="1">
        <f>12.6231949956745*(10.3/7.3)</f>
        <v>17.8108093774586</v>
      </c>
      <c r="D269" s="1">
        <f>18.9130625929571*(10.3/7.3)</f>
        <v>26.685554069514755</v>
      </c>
      <c r="E269" s="1">
        <f>67.2499963851595*(10.3/7.3)</f>
        <v>94.886981200978468</v>
      </c>
      <c r="F269" s="1">
        <f>90.3740569719648*(38.9/42.5)</f>
        <v>82.718842734339532</v>
      </c>
      <c r="G269" s="1">
        <v>1.4221348352200784</v>
      </c>
      <c r="H269" s="1">
        <v>3.8863505361191155</v>
      </c>
      <c r="I269" s="1">
        <v>54.933549034612824</v>
      </c>
      <c r="J269" s="1">
        <v>2.6892482479081756E-2</v>
      </c>
      <c r="K269" s="1">
        <v>2.2921254500475716</v>
      </c>
      <c r="L269" s="1">
        <v>1.9019289724060877</v>
      </c>
      <c r="M269" s="1">
        <v>9.6861445621625367E-2</v>
      </c>
      <c r="N269" s="1">
        <v>1.3256991993811482</v>
      </c>
      <c r="O269" s="1">
        <v>8.9671111111111104E-2</v>
      </c>
      <c r="P269" s="1">
        <v>7.7363251376914882E-2</v>
      </c>
      <c r="Q269" s="1">
        <v>2.2728182298037805</v>
      </c>
      <c r="R269" s="2">
        <f t="shared" si="19"/>
        <v>284.61704001804713</v>
      </c>
      <c r="S269" s="2">
        <f t="shared" si="18"/>
        <v>2.3963811839035682</v>
      </c>
      <c r="T269" s="2">
        <f t="shared" si="20"/>
        <v>3.4141607285199727</v>
      </c>
      <c r="U269" s="2">
        <f t="shared" si="21"/>
        <v>290.42758193047064</v>
      </c>
    </row>
    <row r="270" spans="1:21" x14ac:dyDescent="0.25">
      <c r="A270">
        <v>2116957</v>
      </c>
      <c r="B270">
        <v>5</v>
      </c>
      <c r="C270" s="1">
        <f>6.99958021205251*(10.3/7.3)</f>
        <v>9.8761200252247807</v>
      </c>
      <c r="D270" s="1">
        <f>8.34201996775142*(10.3/7.3)</f>
        <v>11.770247351758858</v>
      </c>
      <c r="E270" s="1">
        <f>29.543656655963*(10.3/7.3)</f>
        <v>41.684885418687458</v>
      </c>
      <c r="F270" s="1">
        <f>60.010724828239*(38.9/42.5)</f>
        <v>54.927463431023483</v>
      </c>
      <c r="G270" s="1">
        <v>2.2272283861638487</v>
      </c>
      <c r="H270" s="1">
        <v>6.0315748272685621</v>
      </c>
      <c r="I270" s="1">
        <v>45.566585349492087</v>
      </c>
      <c r="J270" s="1">
        <v>3.6411780081442274E-2</v>
      </c>
      <c r="K270" s="1">
        <v>2.2273557452692132</v>
      </c>
      <c r="L270" s="1">
        <v>2.1306355653688351</v>
      </c>
      <c r="M270" s="1">
        <v>0.14950867125606707</v>
      </c>
      <c r="N270" s="1">
        <v>1.9004626300129857</v>
      </c>
      <c r="O270" s="1">
        <v>0.12105599999999998</v>
      </c>
      <c r="P270" s="1">
        <v>9.6313648530168758E-2</v>
      </c>
      <c r="Q270" s="1">
        <v>3.5594974208098078</v>
      </c>
      <c r="R270" s="2">
        <f t="shared" si="19"/>
        <v>175.64360221042887</v>
      </c>
      <c r="S270" s="2">
        <f t="shared" si="18"/>
        <v>2.3600811738808241</v>
      </c>
      <c r="T270" s="2">
        <f t="shared" si="20"/>
        <v>4.301662866637888</v>
      </c>
      <c r="U270" s="2">
        <f t="shared" si="21"/>
        <v>182.30534625094757</v>
      </c>
    </row>
    <row r="271" spans="1:21" x14ac:dyDescent="0.25">
      <c r="A271">
        <v>2116973</v>
      </c>
      <c r="B271">
        <v>42</v>
      </c>
      <c r="C271" s="1">
        <f>10.5841306078132*(10.3/7.3)</f>
        <v>14.933773323352924</v>
      </c>
      <c r="D271" s="1">
        <f>10.9090733901716*(10.3/7.3)</f>
        <v>15.392254235447567</v>
      </c>
      <c r="E271" s="1">
        <f>39.18077865928*(10.3/7.3)</f>
        <v>55.282468519258146</v>
      </c>
      <c r="F271" s="1">
        <f>66.4187423690492*(38.9/42.5)</f>
        <v>60.792684191906218</v>
      </c>
      <c r="G271" s="1">
        <v>1.7440792666486828</v>
      </c>
      <c r="H271" s="1">
        <v>3.0656298516620772</v>
      </c>
      <c r="I271" s="1">
        <v>51.852456703956172</v>
      </c>
      <c r="J271" s="1">
        <v>3.8160545789917205E-2</v>
      </c>
      <c r="K271" s="1">
        <v>2.7005293039014586</v>
      </c>
      <c r="L271" s="1">
        <v>2.6910472001971275</v>
      </c>
      <c r="M271" s="1">
        <v>0.1902360402731588</v>
      </c>
      <c r="N271" s="1">
        <v>1.8421823557481516</v>
      </c>
      <c r="O271" s="1">
        <v>0.14064380952380953</v>
      </c>
      <c r="P271" s="1">
        <v>0.10888206979126828</v>
      </c>
      <c r="Q271" s="1">
        <v>2.7873412937307749</v>
      </c>
      <c r="R271" s="2">
        <f t="shared" si="19"/>
        <v>205.85068738596254</v>
      </c>
      <c r="S271" s="2">
        <f t="shared" si="18"/>
        <v>2.8475719194826441</v>
      </c>
      <c r="T271" s="2">
        <f t="shared" si="20"/>
        <v>4.8641094057422469</v>
      </c>
      <c r="U271" s="2">
        <f t="shared" si="21"/>
        <v>213.56236871118745</v>
      </c>
    </row>
    <row r="272" spans="1:21" x14ac:dyDescent="0.25">
      <c r="A272">
        <v>2116989</v>
      </c>
      <c r="B272">
        <v>36</v>
      </c>
      <c r="C272" s="1">
        <f>6.5544448633497*(10.3/7.3)</f>
        <v>9.248052341438612</v>
      </c>
      <c r="D272" s="1">
        <f>7.20670641814415*(10.3/7.3)</f>
        <v>10.168366589984208</v>
      </c>
      <c r="E272" s="1">
        <f>25.7022954197597*(10.3/7.3)</f>
        <v>36.264882578565114</v>
      </c>
      <c r="F272" s="1">
        <f>48.2542032800523*(38.9/42.5)</f>
        <v>44.166788413977287</v>
      </c>
      <c r="G272" s="1">
        <v>1.5687682742300391</v>
      </c>
      <c r="H272" s="1">
        <v>3.6429101088347711</v>
      </c>
      <c r="I272" s="1">
        <v>37.242182729284508</v>
      </c>
      <c r="J272" s="1">
        <v>2.9299793410676973E-2</v>
      </c>
      <c r="K272" s="1">
        <v>2.3004732240982606</v>
      </c>
      <c r="L272" s="1">
        <v>2.1491948900021649</v>
      </c>
      <c r="M272" s="1">
        <v>0.14759775527005037</v>
      </c>
      <c r="N272" s="1">
        <v>1.3886499552317695</v>
      </c>
      <c r="O272" s="1">
        <v>0.11707703703703702</v>
      </c>
      <c r="P272" s="1">
        <v>9.6414444462024948E-2</v>
      </c>
      <c r="Q272" s="1">
        <v>2.5071639085868234</v>
      </c>
      <c r="R272" s="2">
        <f t="shared" si="19"/>
        <v>144.80911494490135</v>
      </c>
      <c r="S272" s="2">
        <f t="shared" si="18"/>
        <v>2.4261874619709625</v>
      </c>
      <c r="T272" s="2">
        <f t="shared" si="20"/>
        <v>3.8025196375410215</v>
      </c>
      <c r="U272" s="2">
        <f t="shared" si="21"/>
        <v>151.03782204441333</v>
      </c>
    </row>
    <row r="273" spans="1:21" x14ac:dyDescent="0.25">
      <c r="A273">
        <v>2116997</v>
      </c>
      <c r="B273">
        <v>6</v>
      </c>
      <c r="C273" s="1">
        <f>8.49556423825425*(10.3/7.3)</f>
        <v>11.986892007399831</v>
      </c>
      <c r="D273" s="1">
        <f>8.99106715376409*(10.3/7.3)</f>
        <v>12.686026258050704</v>
      </c>
      <c r="E273" s="1">
        <f>32.2465872699545*(10.3/7.3)</f>
        <v>45.498609435689183</v>
      </c>
      <c r="F273" s="1">
        <f>54.6565166596677*(38.9/42.5)</f>
        <v>50.026788189672352</v>
      </c>
      <c r="G273" s="1">
        <v>1.4511640776021801</v>
      </c>
      <c r="H273" s="1">
        <v>2.520882075835829</v>
      </c>
      <c r="I273" s="1">
        <v>42.158473525957511</v>
      </c>
      <c r="J273" s="1">
        <v>3.2205916517287422E-2</v>
      </c>
      <c r="K273" s="1">
        <v>2.4972567631390663</v>
      </c>
      <c r="L273" s="1">
        <v>2.3906093082575293</v>
      </c>
      <c r="M273" s="1">
        <v>0.15681193047921174</v>
      </c>
      <c r="N273" s="1">
        <v>1.5119663528086236</v>
      </c>
      <c r="O273" s="1">
        <v>0.12531555555555557</v>
      </c>
      <c r="P273" s="1">
        <v>0.10131037873679211</v>
      </c>
      <c r="Q273" s="1">
        <v>2.3192119961678701</v>
      </c>
      <c r="R273" s="2">
        <f t="shared" si="19"/>
        <v>168.64804756637545</v>
      </c>
      <c r="S273" s="2">
        <f t="shared" si="18"/>
        <v>2.6307730583931455</v>
      </c>
      <c r="T273" s="2">
        <f t="shared" si="20"/>
        <v>4.1847031471009206</v>
      </c>
      <c r="U273" s="2">
        <f t="shared" si="21"/>
        <v>175.46352377186952</v>
      </c>
    </row>
    <row r="274" spans="1:21" x14ac:dyDescent="0.25">
      <c r="A274">
        <v>2117101</v>
      </c>
      <c r="B274">
        <v>15</v>
      </c>
      <c r="C274" s="1">
        <f>14.5615484552543*(10.3/7.3)</f>
        <v>20.545746450564359</v>
      </c>
      <c r="D274" s="1">
        <f>20.3020544432919*(10.3/7.3)</f>
        <v>28.645364488480375</v>
      </c>
      <c r="E274" s="1">
        <f>72.3801830352187*(10.3/7.3)</f>
        <v>102.12546373462361</v>
      </c>
      <c r="F274" s="1">
        <f>97.9159103635717*(38.9/42.5)</f>
        <v>89.621856779833891</v>
      </c>
      <c r="G274" s="1">
        <v>1.5110704196843403</v>
      </c>
      <c r="H274" s="1">
        <v>3.760048902400416</v>
      </c>
      <c r="I274" s="1">
        <v>62.009742735287638</v>
      </c>
      <c r="J274" s="1">
        <v>2.5567282798994052E-2</v>
      </c>
      <c r="K274" s="1">
        <v>2.2160179317933886</v>
      </c>
      <c r="L274" s="1">
        <v>1.8514367432480519</v>
      </c>
      <c r="M274" s="1">
        <v>9.6346986602609236E-2</v>
      </c>
      <c r="N274" s="1">
        <v>1.2975282309547975</v>
      </c>
      <c r="O274" s="1">
        <v>8.9063111111111093E-2</v>
      </c>
      <c r="P274" s="1">
        <v>7.6868924859198065E-2</v>
      </c>
      <c r="Q274" s="1">
        <v>2.4149527255229208</v>
      </c>
      <c r="R274" s="2">
        <f t="shared" si="19"/>
        <v>310.63424623639759</v>
      </c>
      <c r="S274" s="2">
        <f t="shared" si="18"/>
        <v>2.318454139451581</v>
      </c>
      <c r="T274" s="2">
        <f t="shared" si="20"/>
        <v>3.3343750719165692</v>
      </c>
      <c r="U274" s="2">
        <f t="shared" si="21"/>
        <v>316.28707544776574</v>
      </c>
    </row>
    <row r="275" spans="1:21" x14ac:dyDescent="0.25">
      <c r="A275">
        <v>2117109</v>
      </c>
      <c r="B275">
        <v>57</v>
      </c>
      <c r="C275" s="1">
        <f>11.7897169832063*(10.3/7.3)</f>
        <v>16.634806154387029</v>
      </c>
      <c r="D275" s="1">
        <f>18.9728762870593*(10.3/7.3)</f>
        <v>26.769948733796017</v>
      </c>
      <c r="E275" s="1">
        <f>67.3264171973365*(10.3/7.3)</f>
        <v>94.994807826378874</v>
      </c>
      <c r="F275" s="1">
        <f>88.4755643697789*(38.9/42.5)</f>
        <v>80.981163623162359</v>
      </c>
      <c r="G275" s="1">
        <v>1.3194265960430294</v>
      </c>
      <c r="H275" s="1">
        <v>3.2126416396859558</v>
      </c>
      <c r="I275" s="1">
        <v>51.213937681112256</v>
      </c>
      <c r="J275" s="1">
        <v>2.4743237740908006E-2</v>
      </c>
      <c r="K275" s="1">
        <v>2.1480242206111986</v>
      </c>
      <c r="L275" s="1">
        <v>1.7749316412405334</v>
      </c>
      <c r="M275" s="1">
        <v>9.1881773498025857E-2</v>
      </c>
      <c r="N275" s="1">
        <v>1.2335669498680373</v>
      </c>
      <c r="O275" s="1">
        <v>8.5486783625730964E-2</v>
      </c>
      <c r="P275" s="1">
        <v>7.4214905127669609E-2</v>
      </c>
      <c r="Q275" s="1">
        <v>2.1086726420779027</v>
      </c>
      <c r="R275" s="2">
        <f t="shared" si="19"/>
        <v>277.23540489664344</v>
      </c>
      <c r="S275" s="2">
        <f t="shared" si="18"/>
        <v>2.2469823634797761</v>
      </c>
      <c r="T275" s="2">
        <f t="shared" si="20"/>
        <v>3.1858671482323278</v>
      </c>
      <c r="U275" s="2">
        <f t="shared" si="21"/>
        <v>282.66825440835555</v>
      </c>
    </row>
    <row r="276" spans="1:21" x14ac:dyDescent="0.25">
      <c r="A276">
        <v>2128721</v>
      </c>
      <c r="B276">
        <v>20</v>
      </c>
      <c r="C276" s="1">
        <f>0.457856346464378*(10.3/7.3)</f>
        <v>0.64601648884699847</v>
      </c>
      <c r="D276" s="1">
        <f>0.790131817735725*(10.3/7.3)</f>
        <v>1.1148435236545156</v>
      </c>
      <c r="E276" s="1">
        <f>2.70633103014042*(10.3/7.3)</f>
        <v>3.8185218644447043</v>
      </c>
      <c r="F276" s="1">
        <f>8.07725173711419*(38.9/42.5)</f>
        <v>7.3930610017351075</v>
      </c>
      <c r="G276" s="1">
        <v>0.43559600164505213</v>
      </c>
      <c r="H276" s="1">
        <v>2.9269731797108123</v>
      </c>
      <c r="I276" s="1">
        <v>6.0246405186788055</v>
      </c>
      <c r="J276" s="1">
        <v>1.0773494339577442E-2</v>
      </c>
      <c r="K276" s="1">
        <v>1.8244078863115809</v>
      </c>
      <c r="L276" s="1">
        <v>1.8253357693792853</v>
      </c>
      <c r="M276" s="1">
        <v>4.9431557740284932E-2</v>
      </c>
      <c r="N276" s="1">
        <v>0.45277026826486882</v>
      </c>
      <c r="O276" s="1">
        <v>8.8765333333333335E-2</v>
      </c>
      <c r="P276" s="1">
        <v>7.776319890617589E-2</v>
      </c>
      <c r="Q276" s="1">
        <v>0.69615799349665963</v>
      </c>
      <c r="R276" s="2">
        <f t="shared" si="19"/>
        <v>23.055810572212653</v>
      </c>
      <c r="S276" s="2">
        <f t="shared" si="18"/>
        <v>1.9129445795573341</v>
      </c>
      <c r="T276" s="2">
        <f t="shared" si="20"/>
        <v>2.4163029287177724</v>
      </c>
      <c r="U276" s="2">
        <f t="shared" si="21"/>
        <v>27.385058080487759</v>
      </c>
    </row>
    <row r="277" spans="1:21" x14ac:dyDescent="0.25">
      <c r="A277">
        <v>2128729</v>
      </c>
      <c r="B277">
        <v>9</v>
      </c>
      <c r="C277" s="1">
        <f>0.551545643076328*(10.3/7.3)</f>
        <v>0.77820823612139423</v>
      </c>
      <c r="D277" s="1">
        <f>0.764404299124412*(10.3/7.3)</f>
        <v>1.0785430521892385</v>
      </c>
      <c r="E277" s="1">
        <f>2.68515666673692*(10.3/7.3)</f>
        <v>3.7886457078616838</v>
      </c>
      <c r="F277" s="1">
        <f>5.66203640196686*(38.9/42.5)</f>
        <v>5.1824286126237835</v>
      </c>
      <c r="G277" s="1">
        <v>0.22639232560004435</v>
      </c>
      <c r="H277" s="1">
        <v>3.8028212641739469</v>
      </c>
      <c r="I277" s="1">
        <v>4.1248901517945304</v>
      </c>
      <c r="J277" s="1">
        <v>1.1423647448600123E-2</v>
      </c>
      <c r="K277" s="1">
        <v>1.911031326688805</v>
      </c>
      <c r="L277" s="1">
        <v>2.0049050164944524</v>
      </c>
      <c r="M277" s="1">
        <v>5.5311238184060016E-2</v>
      </c>
      <c r="N277" s="1">
        <v>0.49540847264504073</v>
      </c>
      <c r="O277" s="1">
        <v>9.681777777777778E-2</v>
      </c>
      <c r="P277" s="1">
        <v>8.2453497617907878E-2</v>
      </c>
      <c r="Q277" s="1">
        <v>0.36181421899550503</v>
      </c>
      <c r="R277" s="2">
        <f t="shared" si="19"/>
        <v>19.343743569360125</v>
      </c>
      <c r="S277" s="2">
        <f t="shared" si="18"/>
        <v>2.0049084717553129</v>
      </c>
      <c r="T277" s="2">
        <f t="shared" si="20"/>
        <v>2.6524425051013312</v>
      </c>
      <c r="U277" s="2">
        <f t="shared" si="21"/>
        <v>24.00109454621677</v>
      </c>
    </row>
    <row r="278" spans="1:21" x14ac:dyDescent="0.25">
      <c r="A278">
        <v>2129217</v>
      </c>
      <c r="B278">
        <v>1</v>
      </c>
      <c r="C278" s="1">
        <f>6.20538634936714*(10.3/7.3)</f>
        <v>8.7555451230796688</v>
      </c>
      <c r="D278" s="1">
        <f>6.14396192324724*(10.3/7.3)</f>
        <v>8.6688777821159739</v>
      </c>
      <c r="E278" s="1">
        <f>22.0736025336198*(10.3/7.3)</f>
        <v>31.144946040586913</v>
      </c>
      <c r="F278" s="1">
        <f>39.5229910695145*(38.9/42.5)</f>
        <v>36.175161237743886</v>
      </c>
      <c r="G278" s="1">
        <v>1.1416181726940626</v>
      </c>
      <c r="H278" s="1">
        <v>4.4104799221450346</v>
      </c>
      <c r="I278" s="1">
        <v>31.650989223014683</v>
      </c>
      <c r="J278" s="1">
        <v>2.8047576835213424E-2</v>
      </c>
      <c r="K278" s="1">
        <v>2.1005768339021835</v>
      </c>
      <c r="L278" s="1">
        <v>1.861674197680306</v>
      </c>
      <c r="M278" s="1">
        <v>0.13304782981022428</v>
      </c>
      <c r="N278" s="1">
        <v>1.4195643752503877</v>
      </c>
      <c r="O278" s="1">
        <v>0.10464000000000001</v>
      </c>
      <c r="P278" s="1">
        <v>8.906548770367731E-2</v>
      </c>
      <c r="Q278" s="1">
        <v>1.8245039289631158</v>
      </c>
      <c r="R278" s="2">
        <f t="shared" si="19"/>
        <v>123.77212143034333</v>
      </c>
      <c r="S278" s="2">
        <f t="shared" si="18"/>
        <v>2.217689898441074</v>
      </c>
      <c r="T278" s="2">
        <f t="shared" si="20"/>
        <v>3.5189264027409175</v>
      </c>
      <c r="U278" s="2">
        <f t="shared" si="21"/>
        <v>129.50873773152534</v>
      </c>
    </row>
    <row r="279" spans="1:21" x14ac:dyDescent="0.25">
      <c r="A279">
        <v>2129225</v>
      </c>
      <c r="B279">
        <v>12</v>
      </c>
      <c r="C279" s="1">
        <f>7.74511609234501*(10.3/7.3)</f>
        <v>10.928040513856656</v>
      </c>
      <c r="D279" s="1">
        <f>8.42328144106128*(10.3/7.3)</f>
        <v>11.884903951086459</v>
      </c>
      <c r="E279" s="1">
        <f>30.145385353152*(10.3/7.3)</f>
        <v>42.533899881844562</v>
      </c>
      <c r="F279" s="1">
        <f>52.1943841807052*(38.9/42.5)</f>
        <v>47.773212814810186</v>
      </c>
      <c r="G279" s="1">
        <v>1.464307707879908</v>
      </c>
      <c r="H279" s="1">
        <v>2.6728247327119603</v>
      </c>
      <c r="I279" s="1">
        <v>39.918416795542846</v>
      </c>
      <c r="J279" s="1">
        <v>3.2716515369406035E-2</v>
      </c>
      <c r="K279" s="1">
        <v>2.4971005632315029</v>
      </c>
      <c r="L279" s="1">
        <v>2.3945603041379404</v>
      </c>
      <c r="M279" s="1">
        <v>0.16289991726855466</v>
      </c>
      <c r="N279" s="1">
        <v>1.5238266555982427</v>
      </c>
      <c r="O279" s="1">
        <v>0.12491555555555556</v>
      </c>
      <c r="P279" s="1">
        <v>0.10143168345876818</v>
      </c>
      <c r="Q279" s="1">
        <v>2.3402177979815901</v>
      </c>
      <c r="R279" s="2">
        <f t="shared" si="19"/>
        <v>159.51582419571415</v>
      </c>
      <c r="S279" s="2">
        <f t="shared" si="18"/>
        <v>2.6312487620596769</v>
      </c>
      <c r="T279" s="2">
        <f t="shared" si="20"/>
        <v>4.2062024325602936</v>
      </c>
      <c r="U279" s="2">
        <f t="shared" si="21"/>
        <v>166.35327539033412</v>
      </c>
    </row>
    <row r="280" spans="1:21" x14ac:dyDescent="0.25">
      <c r="A280">
        <v>2129233</v>
      </c>
      <c r="B280">
        <v>11</v>
      </c>
      <c r="C280" s="1">
        <f>9.58724587224549*(10.3/7.3)</f>
        <v>13.527209929332678</v>
      </c>
      <c r="D280" s="1">
        <f>9.69294000861416*(10.3/7.3)</f>
        <v>13.676340012154224</v>
      </c>
      <c r="E280" s="1">
        <f>34.8644097986407*(10.3/7.3)</f>
        <v>49.192249441917681</v>
      </c>
      <c r="F280" s="1">
        <f>58.3614848626054*(38.9/42.5)</f>
        <v>53.41792379189063</v>
      </c>
      <c r="G280" s="1">
        <v>1.4766417490570405</v>
      </c>
      <c r="H280" s="1">
        <v>2.5961764975490151</v>
      </c>
      <c r="I280" s="1">
        <v>45.885374955876848</v>
      </c>
      <c r="J280" s="1">
        <v>3.2945005462635638E-2</v>
      </c>
      <c r="K280" s="1">
        <v>2.5078318588112674</v>
      </c>
      <c r="L280" s="1">
        <v>2.3913409157383141</v>
      </c>
      <c r="M280" s="1">
        <v>0.15740802911091442</v>
      </c>
      <c r="N280" s="1">
        <v>1.5578497181739837</v>
      </c>
      <c r="O280" s="1">
        <v>0.12479515151515153</v>
      </c>
      <c r="P280" s="1">
        <v>0.10122889925501745</v>
      </c>
      <c r="Q280" s="1">
        <v>2.3599297359359124</v>
      </c>
      <c r="R280" s="2">
        <f t="shared" si="19"/>
        <v>182.131846113714</v>
      </c>
      <c r="S280" s="2">
        <f t="shared" si="18"/>
        <v>2.6420057635289202</v>
      </c>
      <c r="T280" s="2">
        <f t="shared" si="20"/>
        <v>4.2313938145383636</v>
      </c>
      <c r="U280" s="2">
        <f t="shared" si="21"/>
        <v>189.00524569178128</v>
      </c>
    </row>
    <row r="281" spans="1:21" x14ac:dyDescent="0.25">
      <c r="A281">
        <v>2129337</v>
      </c>
      <c r="B281">
        <v>67</v>
      </c>
      <c r="C281" s="1">
        <f>12.3186900108722*(10.3/7.3)</f>
        <v>17.381165357806008</v>
      </c>
      <c r="D281" s="1">
        <f>17.5820827501878*(10.3/7.3)</f>
        <v>24.80759620916907</v>
      </c>
      <c r="E281" s="1">
        <f>62.615781795112*(10.3/7.3)</f>
        <v>88.348294861596415</v>
      </c>
      <c r="F281" s="1">
        <f>85.1192934746504*(38.9/42.5)</f>
        <v>77.909188615621218</v>
      </c>
      <c r="G281" s="1">
        <v>1.3632062472026438</v>
      </c>
      <c r="H281" s="1">
        <v>3.0051987723825389</v>
      </c>
      <c r="I281" s="1">
        <v>53.34986530113293</v>
      </c>
      <c r="J281" s="1">
        <v>2.4471252713271312E-2</v>
      </c>
      <c r="K281" s="1">
        <v>2.1386885408982188</v>
      </c>
      <c r="L281" s="1">
        <v>1.7773495404959632</v>
      </c>
      <c r="M281" s="1">
        <v>9.2739554495256976E-2</v>
      </c>
      <c r="N281" s="1">
        <v>1.2376648030536279</v>
      </c>
      <c r="O281" s="1">
        <v>8.583721393034828E-2</v>
      </c>
      <c r="P281" s="1">
        <v>7.4865590292902656E-2</v>
      </c>
      <c r="Q281" s="1">
        <v>2.1786401211001185</v>
      </c>
      <c r="R281" s="2">
        <f t="shared" si="19"/>
        <v>268.34315548601091</v>
      </c>
      <c r="S281" s="2">
        <f t="shared" si="18"/>
        <v>2.2380253839043927</v>
      </c>
      <c r="T281" s="2">
        <f t="shared" si="20"/>
        <v>3.1935911119751963</v>
      </c>
      <c r="U281" s="2">
        <f t="shared" si="21"/>
        <v>273.77477198189052</v>
      </c>
    </row>
    <row r="282" spans="1:21" x14ac:dyDescent="0.25">
      <c r="A282">
        <v>2129345</v>
      </c>
      <c r="B282">
        <v>55</v>
      </c>
      <c r="C282" s="1">
        <f>13.4756601566342*(10.3/7.3)</f>
        <v>19.013602686757846</v>
      </c>
      <c r="D282" s="1">
        <f>19.1030919020007*(10.3/7.3)</f>
        <v>26.953677615151729</v>
      </c>
      <c r="E282" s="1">
        <f>68.047390932548*(10.3/7.3)</f>
        <v>96.012072137704735</v>
      </c>
      <c r="F282" s="1">
        <f>92.6852605530978*(38.9/42.5)</f>
        <v>84.834273776835374</v>
      </c>
      <c r="G282" s="1">
        <v>1.4901121412006708</v>
      </c>
      <c r="H282" s="1">
        <v>3.2771120898216966</v>
      </c>
      <c r="I282" s="1">
        <v>58.348653198257104</v>
      </c>
      <c r="J282" s="1">
        <v>2.7414645132954902E-2</v>
      </c>
      <c r="K282" s="1">
        <v>2.3649593209163413</v>
      </c>
      <c r="L282" s="1">
        <v>1.993716497707763</v>
      </c>
      <c r="M282" s="1">
        <v>0.10079640337399244</v>
      </c>
      <c r="N282" s="1">
        <v>1.3585549790106086</v>
      </c>
      <c r="O282" s="1">
        <v>9.3394424242424265E-2</v>
      </c>
      <c r="P282" s="1">
        <v>7.9463729472975489E-2</v>
      </c>
      <c r="Q282" s="1">
        <v>2.3814577599097508</v>
      </c>
      <c r="R282" s="2">
        <f t="shared" si="19"/>
        <v>292.31096140563892</v>
      </c>
      <c r="S282" s="2">
        <f t="shared" si="18"/>
        <v>2.4718376955222716</v>
      </c>
      <c r="T282" s="2">
        <f t="shared" si="20"/>
        <v>3.5464623043347885</v>
      </c>
      <c r="U282" s="2">
        <f t="shared" si="21"/>
        <v>298.32926140549597</v>
      </c>
    </row>
    <row r="283" spans="1:21" x14ac:dyDescent="0.25">
      <c r="A283">
        <v>2140709</v>
      </c>
      <c r="B283">
        <v>10</v>
      </c>
      <c r="C283" s="1">
        <f>0.850233519896922*(10.3/7.3)</f>
        <v>1.1996445554709991</v>
      </c>
      <c r="D283" s="1">
        <f>1.01900518706758*(10.3/7.3)</f>
        <v>1.4377744420268532</v>
      </c>
      <c r="E283" s="1">
        <f>3.61457335817922*(10.3/7.3)</f>
        <v>5.1000144642802727</v>
      </c>
      <c r="F283" s="1">
        <f>7.00513465311694*(38.9/42.5)</f>
        <v>6.411758541323505</v>
      </c>
      <c r="G283" s="1">
        <v>0.24453590013036072</v>
      </c>
      <c r="H283" s="1">
        <v>2.7987232761102812</v>
      </c>
      <c r="I283" s="1">
        <v>5.2618976449017953</v>
      </c>
      <c r="J283" s="1">
        <v>1.6315118446504635E-2</v>
      </c>
      <c r="K283" s="1">
        <v>1.363430737170181</v>
      </c>
      <c r="L283" s="1">
        <v>1.1568152069434463</v>
      </c>
      <c r="M283" s="1">
        <v>4.4204797444205593E-2</v>
      </c>
      <c r="N283" s="1">
        <v>0.39374155543722572</v>
      </c>
      <c r="O283" s="1">
        <v>8.0320000000000003E-2</v>
      </c>
      <c r="P283" s="1">
        <v>6.520802169374286E-2</v>
      </c>
      <c r="Q283" s="1">
        <v>0.39081079929509738</v>
      </c>
      <c r="R283" s="2">
        <f t="shared" si="19"/>
        <v>22.845159623539161</v>
      </c>
      <c r="S283" s="2">
        <f t="shared" si="18"/>
        <v>1.4449538773104287</v>
      </c>
      <c r="T283" s="2">
        <f t="shared" si="20"/>
        <v>1.6750815598248776</v>
      </c>
      <c r="U283" s="2">
        <f t="shared" si="21"/>
        <v>25.965195060674468</v>
      </c>
    </row>
    <row r="284" spans="1:21" x14ac:dyDescent="0.25">
      <c r="A284">
        <v>2140949</v>
      </c>
      <c r="B284">
        <v>35</v>
      </c>
      <c r="C284" s="1">
        <f>0.479213322131304*(10.3/7.3)</f>
        <v>0.67615030382909957</v>
      </c>
      <c r="D284" s="1">
        <f>0.866326699384085*(10.3/7.3)</f>
        <v>1.2223513703638462</v>
      </c>
      <c r="E284" s="1">
        <f>2.94484229620076*(10.3/7.3)</f>
        <v>4.1550514590229879</v>
      </c>
      <c r="F284" s="1">
        <f>9.71587792268883*(38.9/42.5)</f>
        <v>8.8928859104140106</v>
      </c>
      <c r="G284" s="1">
        <v>0.55360510894327419</v>
      </c>
      <c r="H284" s="1">
        <v>2.3932336085863395</v>
      </c>
      <c r="I284" s="1">
        <v>7.3314134037283578</v>
      </c>
      <c r="J284" s="1">
        <v>1.0588854358941909E-2</v>
      </c>
      <c r="K284" s="1">
        <v>1.7958602805738646</v>
      </c>
      <c r="L284" s="1">
        <v>1.8081852467686472</v>
      </c>
      <c r="M284" s="1">
        <v>4.8167382216916819E-2</v>
      </c>
      <c r="N284" s="1">
        <v>0.44538363304360978</v>
      </c>
      <c r="O284" s="1">
        <v>8.7721142857142859E-2</v>
      </c>
      <c r="P284" s="1">
        <v>7.6123335664477668E-2</v>
      </c>
      <c r="Q284" s="1">
        <v>0.88475702342532536</v>
      </c>
      <c r="R284" s="2">
        <f t="shared" si="19"/>
        <v>26.109448188313245</v>
      </c>
      <c r="S284" s="2">
        <f t="shared" si="18"/>
        <v>1.8825724705972842</v>
      </c>
      <c r="T284" s="2">
        <f t="shared" si="20"/>
        <v>2.3894574048863166</v>
      </c>
      <c r="U284" s="2">
        <f t="shared" si="21"/>
        <v>30.381478063796848</v>
      </c>
    </row>
    <row r="285" spans="1:21" x14ac:dyDescent="0.25">
      <c r="A285">
        <v>2140957</v>
      </c>
      <c r="B285">
        <v>65</v>
      </c>
      <c r="C285" s="1">
        <f>0.453942363517149*(10.3/7.3)</f>
        <v>0.64049401975707321</v>
      </c>
      <c r="D285" s="1">
        <f>0.649208025255775*(10.3/7.3)</f>
        <v>0.91600584385403916</v>
      </c>
      <c r="E285" s="1">
        <f>2.27391420384263*(10.3/7.3)</f>
        <v>3.2083994930930295</v>
      </c>
      <c r="F285" s="1">
        <f>4.98230607029801*(38.9/42.5)</f>
        <v>4.5602754384609998</v>
      </c>
      <c r="G285" s="1">
        <v>0.20852854326213938</v>
      </c>
      <c r="H285" s="1">
        <v>2.0147591133950389</v>
      </c>
      <c r="I285" s="1">
        <v>3.6280293430293913</v>
      </c>
      <c r="J285" s="1">
        <v>1.0305109924838334E-2</v>
      </c>
      <c r="K285" s="1">
        <v>1.7661098141642035</v>
      </c>
      <c r="L285" s="1">
        <v>1.7891223375913523</v>
      </c>
      <c r="M285" s="1">
        <v>4.8137235890354686E-2</v>
      </c>
      <c r="N285" s="1">
        <v>0.44426193174407019</v>
      </c>
      <c r="O285" s="1">
        <v>8.7380512820512873E-2</v>
      </c>
      <c r="P285" s="1">
        <v>7.6483183368116367E-2</v>
      </c>
      <c r="Q285" s="1">
        <v>0.33326479516780289</v>
      </c>
      <c r="R285" s="2">
        <f t="shared" si="19"/>
        <v>15.509756590019514</v>
      </c>
      <c r="S285" s="2">
        <f t="shared" si="18"/>
        <v>1.8528981074571582</v>
      </c>
      <c r="T285" s="2">
        <f t="shared" si="20"/>
        <v>2.3689020180462901</v>
      </c>
      <c r="U285" s="2">
        <f t="shared" si="21"/>
        <v>19.731556715522963</v>
      </c>
    </row>
    <row r="286" spans="1:21" x14ac:dyDescent="0.25">
      <c r="A286">
        <v>2140965</v>
      </c>
      <c r="B286">
        <v>16</v>
      </c>
      <c r="C286" s="1">
        <f>0.550588636373967*(10.3/7.3)</f>
        <v>0.77685793899340561</v>
      </c>
      <c r="D286" s="1">
        <f>0.727248314028229*(10.3/7.3)</f>
        <v>1.0261174841768168</v>
      </c>
      <c r="E286" s="1">
        <f>2.56173356215402*(10.3/7.3)</f>
        <v>3.6145007794775901</v>
      </c>
      <c r="F286" s="1">
        <f>5.30299887749782*(38.9/42.5)</f>
        <v>4.8538036784627145</v>
      </c>
      <c r="G286" s="1">
        <v>0.20579840285366588</v>
      </c>
      <c r="H286" s="1">
        <v>2.8941885003200012</v>
      </c>
      <c r="I286" s="1">
        <v>3.9056213430345057</v>
      </c>
      <c r="J286" s="1">
        <v>1.0960725705364702E-2</v>
      </c>
      <c r="K286" s="1">
        <v>1.799870101863942</v>
      </c>
      <c r="L286" s="1">
        <v>1.9140677655687806</v>
      </c>
      <c r="M286" s="1">
        <v>5.2356653586465053E-2</v>
      </c>
      <c r="N286" s="1">
        <v>0.47397920689180451</v>
      </c>
      <c r="O286" s="1">
        <v>9.3253333333333327E-2</v>
      </c>
      <c r="P286" s="1">
        <v>7.8995149147870078E-2</v>
      </c>
      <c r="Q286" s="1">
        <v>0.32890155707206914</v>
      </c>
      <c r="R286" s="2">
        <f t="shared" si="19"/>
        <v>17.605789684390768</v>
      </c>
      <c r="S286" s="2">
        <f t="shared" si="18"/>
        <v>1.8898259767171768</v>
      </c>
      <c r="T286" s="2">
        <f t="shared" si="20"/>
        <v>2.5336569593803833</v>
      </c>
      <c r="U286" s="2">
        <f t="shared" si="21"/>
        <v>22.029272620488328</v>
      </c>
    </row>
    <row r="287" spans="1:21" x14ac:dyDescent="0.25">
      <c r="A287">
        <v>2141437</v>
      </c>
      <c r="B287">
        <v>1</v>
      </c>
      <c r="C287" s="1">
        <f>8.16498203864098*(10.3/7.3)</f>
        <v>11.520454109315354</v>
      </c>
      <c r="D287" s="1">
        <f>8.65478161038192*(10.3/7.3)</f>
        <v>12.211541176292295</v>
      </c>
      <c r="E287" s="1">
        <f>31.0205821842264*(10.3/7.3)</f>
        <v>43.768766643497592</v>
      </c>
      <c r="F287" s="1">
        <f>53.4483313009112*(38.9/42.5)</f>
        <v>48.920943237775226</v>
      </c>
      <c r="G287" s="1">
        <v>1.4699406922846483</v>
      </c>
      <c r="H287" s="1">
        <v>3.7789717535515335</v>
      </c>
      <c r="I287" s="1">
        <v>41.308059387050676</v>
      </c>
      <c r="J287" s="1">
        <v>3.2681155338095881E-2</v>
      </c>
      <c r="K287" s="1">
        <v>2.3246346558935334</v>
      </c>
      <c r="L287" s="1">
        <v>2.1949457012870286</v>
      </c>
      <c r="M287" s="1">
        <v>0.15848159472783263</v>
      </c>
      <c r="N287" s="1">
        <v>1.7648754799730166</v>
      </c>
      <c r="O287" s="1">
        <v>0.12373333333333333</v>
      </c>
      <c r="P287" s="1">
        <v>9.8469379913391733E-2</v>
      </c>
      <c r="Q287" s="1">
        <v>2.3492202844731844</v>
      </c>
      <c r="R287" s="2">
        <f t="shared" si="19"/>
        <v>165.32789728424049</v>
      </c>
      <c r="S287" s="2">
        <f t="shared" si="18"/>
        <v>2.4557851911450208</v>
      </c>
      <c r="T287" s="2">
        <f t="shared" si="20"/>
        <v>4.2420361093212113</v>
      </c>
      <c r="U287" s="2">
        <f t="shared" si="21"/>
        <v>172.02571858470674</v>
      </c>
    </row>
    <row r="288" spans="1:21" x14ac:dyDescent="0.25">
      <c r="A288">
        <v>2141453</v>
      </c>
      <c r="B288">
        <v>52</v>
      </c>
      <c r="C288" s="1">
        <f>6.76399060835222*(10.3/7.3)</f>
        <v>9.5437127761681957</v>
      </c>
      <c r="D288" s="1">
        <f>7.27383501357116*(10.3/7.3)</f>
        <v>10.263082279422328</v>
      </c>
      <c r="E288" s="1">
        <f>26.0447333897987*(10.3/7.3)</f>
        <v>36.748048481496731</v>
      </c>
      <c r="F288" s="1">
        <f>45.2040062231249*(38.9/42.5)</f>
        <v>41.374960990107304</v>
      </c>
      <c r="G288" s="1">
        <v>1.2688534658566686</v>
      </c>
      <c r="H288" s="1">
        <v>2.7939779211527447</v>
      </c>
      <c r="I288" s="1">
        <v>34.75709829734798</v>
      </c>
      <c r="J288" s="1">
        <v>3.1669967242721857E-2</v>
      </c>
      <c r="K288" s="1">
        <v>2.3767053130356497</v>
      </c>
      <c r="L288" s="1">
        <v>2.2170666624976203</v>
      </c>
      <c r="M288" s="1">
        <v>0.1566828649590524</v>
      </c>
      <c r="N288" s="1">
        <v>1.506137576936875</v>
      </c>
      <c r="O288" s="1">
        <v>0.11890358974358972</v>
      </c>
      <c r="P288" s="1">
        <v>9.7722787675132983E-2</v>
      </c>
      <c r="Q288" s="1">
        <v>2.0278480047937646</v>
      </c>
      <c r="R288" s="2">
        <f t="shared" si="19"/>
        <v>138.77758221634571</v>
      </c>
      <c r="S288" s="2">
        <f t="shared" si="18"/>
        <v>2.5060980679535048</v>
      </c>
      <c r="T288" s="2">
        <f t="shared" si="20"/>
        <v>3.9987906941371376</v>
      </c>
      <c r="U288" s="2">
        <f t="shared" si="21"/>
        <v>145.28247097843635</v>
      </c>
    </row>
    <row r="289" spans="1:21" x14ac:dyDescent="0.25">
      <c r="A289">
        <v>2141461</v>
      </c>
      <c r="B289">
        <v>7</v>
      </c>
      <c r="C289" s="1">
        <f>8.29812529975889*(10.3/7.3)</f>
        <v>11.708313779111856</v>
      </c>
      <c r="D289" s="1">
        <f>8.98409638584452*(10.3/7.3)</f>
        <v>12.676190790986107</v>
      </c>
      <c r="E289" s="1">
        <f>32.1918930086*(10.3/7.3)</f>
        <v>45.421438080627375</v>
      </c>
      <c r="F289" s="1">
        <f>54.1328663856563*(38.9/42.5)</f>
        <v>49.547494174165458</v>
      </c>
      <c r="G289" s="1">
        <v>1.4262716512802796</v>
      </c>
      <c r="H289" s="1">
        <v>2.4787655356152949</v>
      </c>
      <c r="I289" s="1">
        <v>41.27144676421397</v>
      </c>
      <c r="J289" s="1">
        <v>3.4531192176243099E-2</v>
      </c>
      <c r="K289" s="1">
        <v>2.5584441824546853</v>
      </c>
      <c r="L289" s="1">
        <v>2.4544754509889111</v>
      </c>
      <c r="M289" s="1">
        <v>0.17290789594838793</v>
      </c>
      <c r="N289" s="1">
        <v>1.6475530994834082</v>
      </c>
      <c r="O289" s="1">
        <v>0.12731428571428571</v>
      </c>
      <c r="P289" s="1">
        <v>0.10302114018233631</v>
      </c>
      <c r="Q289" s="1">
        <v>2.2794295796716817</v>
      </c>
      <c r="R289" s="2">
        <f t="shared" si="19"/>
        <v>166.809350355672</v>
      </c>
      <c r="S289" s="2">
        <f t="shared" si="18"/>
        <v>2.695996514813265</v>
      </c>
      <c r="T289" s="2">
        <f t="shared" si="20"/>
        <v>4.4022507321349931</v>
      </c>
      <c r="U289" s="2">
        <f t="shared" si="21"/>
        <v>173.90759760262026</v>
      </c>
    </row>
    <row r="290" spans="1:21" x14ac:dyDescent="0.25">
      <c r="A290">
        <v>2141469</v>
      </c>
      <c r="B290">
        <v>4</v>
      </c>
      <c r="C290" s="1">
        <f>13.3188780181539*(10.3/7.3)</f>
        <v>18.792389532463677</v>
      </c>
      <c r="D290" s="1">
        <f>13.1288871821403*(10.3/7.3)</f>
        <v>18.52432027069106</v>
      </c>
      <c r="E290" s="1">
        <f>47.3075989891954*(10.3/7.3)</f>
        <v>66.74907802585102</v>
      </c>
      <c r="F290" s="1">
        <f>78.3072800310518*(38.9/42.5)</f>
        <v>71.674192781362748</v>
      </c>
      <c r="G290" s="1">
        <v>1.9055581529179089</v>
      </c>
      <c r="H290" s="1">
        <v>3.348588859397053</v>
      </c>
      <c r="I290" s="1">
        <v>62.214015728954585</v>
      </c>
      <c r="J290" s="1">
        <v>3.872772069213206E-2</v>
      </c>
      <c r="K290" s="1">
        <v>2.8062219349705062</v>
      </c>
      <c r="L290" s="1">
        <v>2.7779346644635767</v>
      </c>
      <c r="M290" s="1">
        <v>0.18802614355847219</v>
      </c>
      <c r="N290" s="1">
        <v>1.7761057111074603</v>
      </c>
      <c r="O290" s="1">
        <v>0.13835999999999998</v>
      </c>
      <c r="P290" s="1">
        <v>0.10898955254110392</v>
      </c>
      <c r="Q290" s="1">
        <v>3.0454125731564785</v>
      </c>
      <c r="R290" s="2">
        <f t="shared" si="19"/>
        <v>246.25355592479451</v>
      </c>
      <c r="S290" s="2">
        <f t="shared" si="18"/>
        <v>2.9539392082037419</v>
      </c>
      <c r="T290" s="2">
        <f t="shared" si="20"/>
        <v>4.8804265191295082</v>
      </c>
      <c r="U290" s="2">
        <f t="shared" si="21"/>
        <v>254.08792165212776</v>
      </c>
    </row>
    <row r="291" spans="1:21" x14ac:dyDescent="0.25">
      <c r="A291">
        <v>2141565</v>
      </c>
      <c r="B291">
        <v>43</v>
      </c>
      <c r="C291" s="1">
        <f>14.0539579666355*(10.3/7.3)</f>
        <v>19.829557131006244</v>
      </c>
      <c r="D291" s="1">
        <f>18.4561367942804*(10.3/7.3)</f>
        <v>26.040850545354498</v>
      </c>
      <c r="E291" s="1">
        <f>65.8778915160341*(10.3/7.3)</f>
        <v>92.95099761851381</v>
      </c>
      <c r="F291" s="1">
        <f>93.4133122722723*(38.9/42.5)</f>
        <v>85.500655232738623</v>
      </c>
      <c r="G291" s="1">
        <v>1.6766206915070845</v>
      </c>
      <c r="H291" s="1">
        <v>3.7449824902963327</v>
      </c>
      <c r="I291" s="1">
        <v>62.13953757176359</v>
      </c>
      <c r="J291" s="1">
        <v>2.5545468126654605E-2</v>
      </c>
      <c r="K291" s="1">
        <v>2.2179087101084871</v>
      </c>
      <c r="L291" s="1">
        <v>1.8771968340371448</v>
      </c>
      <c r="M291" s="1">
        <v>9.8267941440132095E-2</v>
      </c>
      <c r="N291" s="1">
        <v>1.2961273958209862</v>
      </c>
      <c r="O291" s="1">
        <v>9.0177984496124033E-2</v>
      </c>
      <c r="P291" s="1">
        <v>7.7723564322861732E-2</v>
      </c>
      <c r="Q291" s="1">
        <v>2.6795307855136086</v>
      </c>
      <c r="R291" s="2">
        <f t="shared" si="19"/>
        <v>294.56273206669385</v>
      </c>
      <c r="S291" s="2">
        <f t="shared" si="18"/>
        <v>2.3211777425580031</v>
      </c>
      <c r="T291" s="2">
        <f t="shared" si="20"/>
        <v>3.3617701557943871</v>
      </c>
      <c r="U291" s="2">
        <f t="shared" si="21"/>
        <v>300.24567996504624</v>
      </c>
    </row>
    <row r="292" spans="1:21" x14ac:dyDescent="0.25">
      <c r="A292">
        <v>2141573</v>
      </c>
      <c r="B292">
        <v>55</v>
      </c>
      <c r="C292" s="1">
        <f>10.2405168520289*(10.3/7.3)</f>
        <v>14.448948435054485</v>
      </c>
      <c r="D292" s="1">
        <f>14.341035268998*(10.3/7.3)</f>
        <v>20.234611406942346</v>
      </c>
      <c r="E292" s="1">
        <f>51.0872058903484*(10.3/7.3)</f>
        <v>72.081948037066979</v>
      </c>
      <c r="F292" s="1">
        <f>70.6934051372404*(38.9/42.5)</f>
        <v>64.705257878556495</v>
      </c>
      <c r="G292" s="1">
        <v>1.2028738299438808</v>
      </c>
      <c r="H292" s="1">
        <v>2.277069434678205</v>
      </c>
      <c r="I292" s="1">
        <v>45.080935852967272</v>
      </c>
      <c r="J292" s="1">
        <v>2.2434204010209631E-2</v>
      </c>
      <c r="K292" s="1">
        <v>1.9820323540979323</v>
      </c>
      <c r="L292" s="1">
        <v>1.6399088848794752</v>
      </c>
      <c r="M292" s="1">
        <v>8.6974139238804551E-2</v>
      </c>
      <c r="N292" s="1">
        <v>1.1237845007817102</v>
      </c>
      <c r="O292" s="1">
        <v>8.0144484848484854E-2</v>
      </c>
      <c r="P292" s="1">
        <v>7.0550195629266524E-2</v>
      </c>
      <c r="Q292" s="1">
        <v>1.9224010980838298</v>
      </c>
      <c r="R292" s="2">
        <f t="shared" si="19"/>
        <v>221.95404597329352</v>
      </c>
      <c r="S292" s="2">
        <f t="shared" si="18"/>
        <v>2.0750167537374082</v>
      </c>
      <c r="T292" s="2">
        <f t="shared" si="20"/>
        <v>2.9308120097484744</v>
      </c>
      <c r="U292" s="2">
        <f t="shared" si="21"/>
        <v>226.9598747367794</v>
      </c>
    </row>
    <row r="293" spans="1:21" x14ac:dyDescent="0.25">
      <c r="A293">
        <v>2141581</v>
      </c>
      <c r="B293">
        <v>33</v>
      </c>
      <c r="C293" s="1">
        <f>12.3096307187139*(10.3/7.3)</f>
        <v>17.368383068870255</v>
      </c>
      <c r="D293" s="1">
        <f>16.6161140019381*(10.3/7.3)</f>
        <v>23.444654002734566</v>
      </c>
      <c r="E293" s="1">
        <f>59.2862088042922*(10.3/7.3)</f>
        <v>83.650404203316342</v>
      </c>
      <c r="F293" s="1">
        <f>81.8027557361909*(38.9/42.5)</f>
        <v>74.873581132654749</v>
      </c>
      <c r="G293" s="1">
        <v>1.3436252844207714</v>
      </c>
      <c r="H293" s="1">
        <v>2.9190151995978795</v>
      </c>
      <c r="I293" s="1">
        <v>53.115557566553086</v>
      </c>
      <c r="J293" s="1">
        <v>2.5612235042434157E-2</v>
      </c>
      <c r="K293" s="1">
        <v>2.2417798219944221</v>
      </c>
      <c r="L293" s="1">
        <v>1.8653784763237435</v>
      </c>
      <c r="M293" s="1">
        <v>9.4801929139323698E-2</v>
      </c>
      <c r="N293" s="1">
        <v>1.2927661392035661</v>
      </c>
      <c r="O293" s="1">
        <v>8.7486060606060609E-2</v>
      </c>
      <c r="P293" s="1">
        <v>7.6240772866117926E-2</v>
      </c>
      <c r="Q293" s="1">
        <v>2.1473463449647059</v>
      </c>
      <c r="R293" s="2">
        <f t="shared" si="19"/>
        <v>258.86256680311237</v>
      </c>
      <c r="S293" s="2">
        <f t="shared" si="18"/>
        <v>2.3436328299029743</v>
      </c>
      <c r="T293" s="2">
        <f t="shared" si="20"/>
        <v>3.340432605272694</v>
      </c>
      <c r="U293" s="2">
        <f t="shared" si="21"/>
        <v>264.546632238288</v>
      </c>
    </row>
    <row r="294" spans="1:21" x14ac:dyDescent="0.25">
      <c r="A294">
        <v>2152945</v>
      </c>
      <c r="B294">
        <v>1</v>
      </c>
      <c r="C294" s="1">
        <f>1.0176355662794*(10.3/7.3)</f>
        <v>1.4358419633805233</v>
      </c>
      <c r="D294" s="1">
        <f>1.20842310061492*(10.3/7.3)</f>
        <v>1.7050353337443447</v>
      </c>
      <c r="E294" s="1">
        <f>4.28840371525965*(10.3/7.3)</f>
        <v>6.0507614064622421</v>
      </c>
      <c r="F294" s="1">
        <f>8.30764964122327*(38.9/42.5)</f>
        <v>7.6039428480843592</v>
      </c>
      <c r="G294" s="1">
        <v>0.28915986611000927</v>
      </c>
      <c r="H294" s="1">
        <v>4.470943470201858</v>
      </c>
      <c r="I294" s="1">
        <v>6.2609228776501258</v>
      </c>
      <c r="J294" s="1">
        <v>1.1533027812119529E-2</v>
      </c>
      <c r="K294" s="1">
        <v>1.4470087547582369</v>
      </c>
      <c r="L294" s="1">
        <v>1.2252341799721649</v>
      </c>
      <c r="M294" s="1">
        <v>4.5519203794609768E-2</v>
      </c>
      <c r="N294" s="1">
        <v>0.4252546144252275</v>
      </c>
      <c r="O294" s="1">
        <v>8.3680000000000004E-2</v>
      </c>
      <c r="P294" s="1">
        <v>6.8761629523612075E-2</v>
      </c>
      <c r="Q294" s="1">
        <v>0.46212763990184175</v>
      </c>
      <c r="R294" s="2">
        <f t="shared" si="19"/>
        <v>28.278735405535297</v>
      </c>
      <c r="S294" s="2">
        <f t="shared" si="18"/>
        <v>1.5273034120939684</v>
      </c>
      <c r="T294" s="2">
        <f t="shared" si="20"/>
        <v>1.7796879981920022</v>
      </c>
      <c r="U294" s="2">
        <f t="shared" si="21"/>
        <v>31.585726815821268</v>
      </c>
    </row>
    <row r="295" spans="1:21" x14ac:dyDescent="0.25">
      <c r="A295">
        <v>2153177</v>
      </c>
      <c r="B295">
        <v>23</v>
      </c>
      <c r="C295" s="1">
        <f>0.500687435171212*(10.3/7.3)</f>
        <v>0.70644939483061464</v>
      </c>
      <c r="D295" s="1">
        <f>0.703281875871318*(10.3/7.3)</f>
        <v>0.99230182485953022</v>
      </c>
      <c r="E295" s="1">
        <f>2.46390213857409*(10.3/7.3)</f>
        <v>3.4764646612757755</v>
      </c>
      <c r="F295" s="1">
        <f>5.45865908431301*(38.9/42.5)</f>
        <v>4.996278550112379</v>
      </c>
      <c r="G295" s="1">
        <v>0.23034824342631338</v>
      </c>
      <c r="H295" s="1">
        <v>2.1702324430309208</v>
      </c>
      <c r="I295" s="1">
        <v>4.0052647661131378</v>
      </c>
      <c r="J295" s="1">
        <v>1.0617602723279633E-2</v>
      </c>
      <c r="K295" s="1">
        <v>1.8013814916236377</v>
      </c>
      <c r="L295" s="1">
        <v>1.8329590093125017</v>
      </c>
      <c r="M295" s="1">
        <v>4.858135515349675E-2</v>
      </c>
      <c r="N295" s="1">
        <v>0.4469031977289894</v>
      </c>
      <c r="O295" s="1">
        <v>8.7888695652173901E-2</v>
      </c>
      <c r="P295" s="1">
        <v>7.5845941868757455E-2</v>
      </c>
      <c r="Q295" s="1">
        <v>0.36813646209684842</v>
      </c>
      <c r="R295" s="2">
        <f t="shared" si="19"/>
        <v>16.945476345745519</v>
      </c>
      <c r="S295" s="2">
        <f t="shared" si="18"/>
        <v>1.8878450362156747</v>
      </c>
      <c r="T295" s="2">
        <f t="shared" si="20"/>
        <v>2.416332257847162</v>
      </c>
      <c r="U295" s="2">
        <f t="shared" si="21"/>
        <v>21.249653639808358</v>
      </c>
    </row>
    <row r="296" spans="1:21" x14ac:dyDescent="0.25">
      <c r="A296">
        <v>2153185</v>
      </c>
      <c r="B296">
        <v>59</v>
      </c>
      <c r="C296" s="1">
        <f>0.452250220516474*(10.3/7.3)</f>
        <v>0.63810647552324395</v>
      </c>
      <c r="D296" s="1">
        <f>0.67906214969026*(10.3/7.3)</f>
        <v>0.95812878654927136</v>
      </c>
      <c r="E296" s="1">
        <f>2.36090742041111*(10.3/7.3)</f>
        <v>3.3311433466074623</v>
      </c>
      <c r="F296" s="1">
        <f>5.83616354298997*(38.9/42.5)</f>
        <v>5.3418061605249401</v>
      </c>
      <c r="G296" s="1">
        <v>0.27390216178207627</v>
      </c>
      <c r="H296" s="1">
        <v>1.3404005693139649</v>
      </c>
      <c r="I296" s="1">
        <v>4.3090901738133454</v>
      </c>
      <c r="J296" s="1">
        <v>1.0223675818832795E-2</v>
      </c>
      <c r="K296" s="1">
        <v>1.7595550343483986</v>
      </c>
      <c r="L296" s="1">
        <v>1.7770580915342764</v>
      </c>
      <c r="M296" s="1">
        <v>4.6939900972577726E-2</v>
      </c>
      <c r="N296" s="1">
        <v>0.43710597971974685</v>
      </c>
      <c r="O296" s="1">
        <v>8.6083615819209036E-2</v>
      </c>
      <c r="P296" s="1">
        <v>7.5688154581504283E-2</v>
      </c>
      <c r="Q296" s="1">
        <v>0.43774318093025943</v>
      </c>
      <c r="R296" s="2">
        <f t="shared" si="19"/>
        <v>16.630320855044562</v>
      </c>
      <c r="S296" s="2">
        <f t="shared" si="18"/>
        <v>1.8454668647487356</v>
      </c>
      <c r="T296" s="2">
        <f t="shared" si="20"/>
        <v>2.3471875880458097</v>
      </c>
      <c r="U296" s="2">
        <f t="shared" si="21"/>
        <v>20.822975307839108</v>
      </c>
    </row>
    <row r="297" spans="1:21" x14ac:dyDescent="0.25">
      <c r="A297">
        <v>2153193</v>
      </c>
      <c r="B297">
        <v>60</v>
      </c>
      <c r="C297" s="1">
        <f>0.448290704905286*(10.3/7.3)</f>
        <v>0.63251976171567814</v>
      </c>
      <c r="D297" s="1">
        <f>0.608537775606926*(10.3/7.3)</f>
        <v>0.8586217929796357</v>
      </c>
      <c r="E297" s="1">
        <f>2.14021296115781*(10.3/7.3)</f>
        <v>3.0197525342363569</v>
      </c>
      <c r="F297" s="1">
        <f>4.47534026547354*(38.9/42.5)</f>
        <v>4.0962526194569593</v>
      </c>
      <c r="G297" s="1">
        <v>0.17661462595231267</v>
      </c>
      <c r="H297" s="1">
        <v>1.2577761630220767</v>
      </c>
      <c r="I297" s="1">
        <v>3.275023898350466</v>
      </c>
      <c r="J297" s="1">
        <v>1.017576837031061E-2</v>
      </c>
      <c r="K297" s="1">
        <v>1.7337007516214789</v>
      </c>
      <c r="L297" s="1">
        <v>1.7882509402925502</v>
      </c>
      <c r="M297" s="1">
        <v>4.7983564872127918E-2</v>
      </c>
      <c r="N297" s="1">
        <v>0.44279912178912084</v>
      </c>
      <c r="O297" s="1">
        <v>8.7239999999999984E-2</v>
      </c>
      <c r="P297" s="1">
        <v>7.6172585414195068E-2</v>
      </c>
      <c r="Q297" s="1">
        <v>0.28226081773200673</v>
      </c>
      <c r="R297" s="2">
        <f t="shared" si="19"/>
        <v>13.598822213445493</v>
      </c>
      <c r="S297" s="2">
        <f t="shared" si="18"/>
        <v>1.8200491054059844</v>
      </c>
      <c r="T297" s="2">
        <f t="shared" si="20"/>
        <v>2.3662736269537987</v>
      </c>
      <c r="U297" s="2">
        <f t="shared" si="21"/>
        <v>17.785144945805275</v>
      </c>
    </row>
    <row r="298" spans="1:21" x14ac:dyDescent="0.25">
      <c r="A298">
        <v>2153201</v>
      </c>
      <c r="B298">
        <v>10</v>
      </c>
      <c r="C298" s="1">
        <f>0.61735230048261*(10.3/7.3)</f>
        <v>0.87105872533847784</v>
      </c>
      <c r="D298" s="1">
        <f>0.79365877603874*(10.3/7.3)</f>
        <v>1.1198199168765779</v>
      </c>
      <c r="E298" s="1">
        <f>2.7995851355015*(10.3/7.3)</f>
        <v>3.9500995747486884</v>
      </c>
      <c r="F298" s="1">
        <f>5.76311026636579*(38.9/42.5)</f>
        <v>5.2749409261559776</v>
      </c>
      <c r="G298" s="1">
        <v>0.22099539006559782</v>
      </c>
      <c r="H298" s="1">
        <v>2.5225728157907512</v>
      </c>
      <c r="I298" s="1">
        <v>4.2767543899812592</v>
      </c>
      <c r="J298" s="1">
        <v>1.1423553155183296E-2</v>
      </c>
      <c r="K298" s="1">
        <v>1.8408953035869153</v>
      </c>
      <c r="L298" s="1">
        <v>2.0254397576609495</v>
      </c>
      <c r="M298" s="1">
        <v>5.5611203608035356E-2</v>
      </c>
      <c r="N298" s="1">
        <v>0.49632940255676256</v>
      </c>
      <c r="O298" s="1">
        <v>9.696533333333332E-2</v>
      </c>
      <c r="P298" s="1">
        <v>8.1148428832997374E-2</v>
      </c>
      <c r="Q298" s="1">
        <v>0.35318897955689182</v>
      </c>
      <c r="R298" s="2">
        <f t="shared" si="19"/>
        <v>18.589430718514219</v>
      </c>
      <c r="S298" s="2">
        <f t="shared" si="18"/>
        <v>1.9334672855750961</v>
      </c>
      <c r="T298" s="2">
        <f t="shared" si="20"/>
        <v>2.6743456971590804</v>
      </c>
      <c r="U298" s="2">
        <f t="shared" si="21"/>
        <v>23.197243701248393</v>
      </c>
    </row>
    <row r="299" spans="1:21" x14ac:dyDescent="0.25">
      <c r="A299">
        <v>2153681</v>
      </c>
      <c r="B299">
        <v>16</v>
      </c>
      <c r="C299" s="1">
        <f>9.96550993758885*(10.3/7.3)</f>
        <v>14.060924980433583</v>
      </c>
      <c r="D299" s="1">
        <f>10.3672113722884*(10.3/7.3)</f>
        <v>14.627709196516454</v>
      </c>
      <c r="E299" s="1">
        <f>37.1930935605587*(10.3/7.3)</f>
        <v>52.477926530651274</v>
      </c>
      <c r="F299" s="1">
        <f>64.1986334409186*(38.9/42.5)</f>
        <v>58.760631549452526</v>
      </c>
      <c r="G299" s="1">
        <v>1.7587652617038991</v>
      </c>
      <c r="H299" s="1">
        <v>5.758313180911748</v>
      </c>
      <c r="I299" s="1">
        <v>50.046337572048593</v>
      </c>
      <c r="J299" s="1">
        <v>4.1598778434359933E-2</v>
      </c>
      <c r="K299" s="1">
        <v>2.8194006377806242</v>
      </c>
      <c r="L299" s="1">
        <v>2.6894535515210434</v>
      </c>
      <c r="M299" s="1">
        <v>0.19428547728826645</v>
      </c>
      <c r="N299" s="1">
        <v>2.0305460906225443</v>
      </c>
      <c r="O299" s="1">
        <v>0.13832999999999998</v>
      </c>
      <c r="P299" s="1">
        <v>0.10882492377579496</v>
      </c>
      <c r="Q299" s="1">
        <v>2.8108120620838597</v>
      </c>
      <c r="R299" s="2">
        <f t="shared" si="19"/>
        <v>200.30142033380196</v>
      </c>
      <c r="S299" s="2">
        <f t="shared" si="18"/>
        <v>2.9698243399907791</v>
      </c>
      <c r="T299" s="2">
        <f t="shared" si="20"/>
        <v>5.052615119431854</v>
      </c>
      <c r="U299" s="2">
        <f t="shared" si="21"/>
        <v>208.32385979322459</v>
      </c>
    </row>
    <row r="300" spans="1:21" x14ac:dyDescent="0.25">
      <c r="A300">
        <v>2153689</v>
      </c>
      <c r="B300">
        <v>2</v>
      </c>
      <c r="C300" s="1">
        <f>10.7558702416341*(10.3/7.3)</f>
        <v>15.17609088888103</v>
      </c>
      <c r="D300" s="1">
        <f>11.7101088490851*(10.3/7.3)</f>
        <v>16.522482348709161</v>
      </c>
      <c r="E300" s="1">
        <f>41.9442728240652*(10.3/7.3)</f>
        <v>59.181645217516689</v>
      </c>
      <c r="F300" s="1">
        <f>70.7040822687484*(38.9/42.5)</f>
        <v>64.715030594219115</v>
      </c>
      <c r="G300" s="1">
        <v>1.8771249935416001</v>
      </c>
      <c r="H300" s="1">
        <v>3.1221024856341977</v>
      </c>
      <c r="I300" s="1">
        <v>53.793655632101967</v>
      </c>
      <c r="J300" s="1">
        <v>4.3543756956574906E-2</v>
      </c>
      <c r="K300" s="1">
        <v>3.0459824217448954</v>
      </c>
      <c r="L300" s="1">
        <v>3.0317419855842869</v>
      </c>
      <c r="M300" s="1">
        <v>0.21608713796922352</v>
      </c>
      <c r="N300" s="1">
        <v>1.9629707522551567</v>
      </c>
      <c r="O300" s="1">
        <v>0.14893333333333333</v>
      </c>
      <c r="P300" s="1">
        <v>0.11587928846380896</v>
      </c>
      <c r="Q300" s="1">
        <v>2.9999714508655737</v>
      </c>
      <c r="R300" s="2">
        <f t="shared" si="19"/>
        <v>217.38810361146935</v>
      </c>
      <c r="S300" s="2">
        <f t="shared" si="18"/>
        <v>3.2054054671652792</v>
      </c>
      <c r="T300" s="2">
        <f t="shared" si="20"/>
        <v>5.359733209142</v>
      </c>
      <c r="U300" s="2">
        <f t="shared" si="21"/>
        <v>225.95324228777665</v>
      </c>
    </row>
    <row r="301" spans="1:21" x14ac:dyDescent="0.25">
      <c r="A301">
        <v>2153697</v>
      </c>
      <c r="B301">
        <v>4</v>
      </c>
      <c r="C301" s="1">
        <f>9.29513504033092*(10.3/7.3)</f>
        <v>13.115053550055956</v>
      </c>
      <c r="D301" s="1">
        <f>10.0478503617188*(10.3/7.3)</f>
        <v>14.177103935027867</v>
      </c>
      <c r="E301" s="1">
        <f>36.0195232149859*(10.3/7.3)</f>
        <v>50.822067001966403</v>
      </c>
      <c r="F301" s="1">
        <f>59.9136401149172*(38.9/42.5)</f>
        <v>54.838602364006604</v>
      </c>
      <c r="G301" s="1">
        <v>1.5397628751681689</v>
      </c>
      <c r="H301" s="1">
        <v>2.5534932024498103</v>
      </c>
      <c r="I301" s="1">
        <v>45.622488551717915</v>
      </c>
      <c r="J301" s="1">
        <v>3.7240477775227022E-2</v>
      </c>
      <c r="K301" s="1">
        <v>2.6928205976521058</v>
      </c>
      <c r="L301" s="1">
        <v>2.612673814382549</v>
      </c>
      <c r="M301" s="1">
        <v>0.18193786088899508</v>
      </c>
      <c r="N301" s="1">
        <v>1.7757183145859039</v>
      </c>
      <c r="O301" s="1">
        <v>0.13253333333333334</v>
      </c>
      <c r="P301" s="1">
        <v>0.10636131485349945</v>
      </c>
      <c r="Q301" s="1">
        <v>2.4608082479856606</v>
      </c>
      <c r="R301" s="2">
        <f t="shared" si="19"/>
        <v>185.12937972837838</v>
      </c>
      <c r="S301" s="2">
        <f t="shared" si="18"/>
        <v>2.8364223902808323</v>
      </c>
      <c r="T301" s="2">
        <f t="shared" si="20"/>
        <v>4.7028633231907815</v>
      </c>
      <c r="U301" s="2">
        <f t="shared" si="21"/>
        <v>192.66866544184998</v>
      </c>
    </row>
    <row r="302" spans="1:21" x14ac:dyDescent="0.25">
      <c r="A302">
        <v>2153793</v>
      </c>
      <c r="B302">
        <v>10</v>
      </c>
      <c r="C302" s="1">
        <f>24.7080322325411*(10.3/7.3)</f>
        <v>34.862018081530628</v>
      </c>
      <c r="D302" s="1">
        <f>31.9931902731015*(10.3/7.3)</f>
        <v>45.141076686704828</v>
      </c>
      <c r="E302" s="1">
        <f>114.02449150246*(10.3/7.3)</f>
        <v>160.88387157196459</v>
      </c>
      <c r="F302" s="1">
        <f>173.794234698784*(38.9/42.5)</f>
        <v>159.07284070076949</v>
      </c>
      <c r="G302" s="1">
        <v>3.8943771800849341</v>
      </c>
      <c r="H302" s="1">
        <v>7.4709431796213037</v>
      </c>
      <c r="I302" s="1">
        <v>119.18724674181711</v>
      </c>
      <c r="J302" s="1">
        <v>3.6052805043581604E-2</v>
      </c>
      <c r="K302" s="1">
        <v>2.9198200443090068</v>
      </c>
      <c r="L302" s="1">
        <v>2.6809764286816291</v>
      </c>
      <c r="M302" s="1">
        <v>0.13342674672472959</v>
      </c>
      <c r="N302" s="1">
        <v>1.6913957563702806</v>
      </c>
      <c r="O302" s="1">
        <v>0.11616533333333331</v>
      </c>
      <c r="P302" s="1">
        <v>9.4338136849271476E-2</v>
      </c>
      <c r="Q302" s="1">
        <v>6.2238904704553804</v>
      </c>
      <c r="R302" s="2">
        <f t="shared" si="19"/>
        <v>536.73626461294816</v>
      </c>
      <c r="S302" s="2">
        <f t="shared" si="18"/>
        <v>3.05021098620186</v>
      </c>
      <c r="T302" s="2">
        <f t="shared" si="20"/>
        <v>4.6219642651099724</v>
      </c>
      <c r="U302" s="2">
        <f t="shared" si="21"/>
        <v>544.40843986426</v>
      </c>
    </row>
    <row r="303" spans="1:21" x14ac:dyDescent="0.25">
      <c r="A303">
        <v>2153801</v>
      </c>
      <c r="B303">
        <v>66</v>
      </c>
      <c r="C303" s="1">
        <f>12.5661065033718*(10.3/7.3)</f>
        <v>17.730259860921926</v>
      </c>
      <c r="D303" s="1">
        <f>16.9170127393395*(10.3/7.3)</f>
        <v>23.869209755506411</v>
      </c>
      <c r="E303" s="1">
        <f>60.3296002861664*(10.3/7.3)</f>
        <v>85.122586705138858</v>
      </c>
      <c r="F303" s="1">
        <f>85.0863790478234*(38.9/42.5)</f>
        <v>77.879062234360674</v>
      </c>
      <c r="G303" s="1">
        <v>1.5197840694417455</v>
      </c>
      <c r="H303" s="1">
        <v>2.6924601172576859</v>
      </c>
      <c r="I303" s="1">
        <v>55.777960574253051</v>
      </c>
      <c r="J303" s="1">
        <v>2.5458193887853919E-2</v>
      </c>
      <c r="K303" s="1">
        <v>2.2199910832473382</v>
      </c>
      <c r="L303" s="1">
        <v>1.8740202194591478</v>
      </c>
      <c r="M303" s="1">
        <v>9.7625556853456461E-2</v>
      </c>
      <c r="N303" s="1">
        <v>1.2905890989192237</v>
      </c>
      <c r="O303" s="1">
        <v>9.010424242424242E-2</v>
      </c>
      <c r="P303" s="1">
        <v>7.750106745005543E-2</v>
      </c>
      <c r="Q303" s="1">
        <v>2.4288786497927455</v>
      </c>
      <c r="R303" s="2">
        <f t="shared" si="19"/>
        <v>267.02020196667314</v>
      </c>
      <c r="S303" s="2">
        <f t="shared" si="18"/>
        <v>2.3229503445852475</v>
      </c>
      <c r="T303" s="2">
        <f t="shared" si="20"/>
        <v>3.3523391176560704</v>
      </c>
      <c r="U303" s="2">
        <f t="shared" si="21"/>
        <v>272.69549142891447</v>
      </c>
    </row>
    <row r="304" spans="1:21" x14ac:dyDescent="0.25">
      <c r="A304">
        <v>2153809</v>
      </c>
      <c r="B304">
        <v>69</v>
      </c>
      <c r="C304" s="1">
        <f>11.0492496775577*(10.3/7.3)</f>
        <v>15.590037216280072</v>
      </c>
      <c r="D304" s="1">
        <f>14.9440334354394*(10.3/7.3)</f>
        <v>21.085417039044572</v>
      </c>
      <c r="E304" s="1">
        <f>53.2937447826241*(10.3/7.3)</f>
        <v>75.195283734387374</v>
      </c>
      <c r="F304" s="1">
        <f>74.636939743326*(38.9/42.5)</f>
        <v>68.314751906244297</v>
      </c>
      <c r="G304" s="1">
        <v>1.3020474345400448</v>
      </c>
      <c r="H304" s="1">
        <v>2.38197169900383</v>
      </c>
      <c r="I304" s="1">
        <v>48.685019518966321</v>
      </c>
      <c r="J304" s="1">
        <v>2.3867590664406937E-2</v>
      </c>
      <c r="K304" s="1">
        <v>2.1018067280962711</v>
      </c>
      <c r="L304" s="1">
        <v>1.7496261266579023</v>
      </c>
      <c r="M304" s="1">
        <v>9.1382786514140502E-2</v>
      </c>
      <c r="N304" s="1">
        <v>1.1980414745666261</v>
      </c>
      <c r="O304" s="1">
        <v>8.3925797101449262E-2</v>
      </c>
      <c r="P304" s="1">
        <v>7.3396855142162737E-2</v>
      </c>
      <c r="Q304" s="1">
        <v>2.0808977264338644</v>
      </c>
      <c r="R304" s="2">
        <f t="shared" si="19"/>
        <v>234.6354262749004</v>
      </c>
      <c r="S304" s="2">
        <f t="shared" si="18"/>
        <v>2.1990711739028406</v>
      </c>
      <c r="T304" s="2">
        <f t="shared" si="20"/>
        <v>3.1229761848401183</v>
      </c>
      <c r="U304" s="2">
        <f t="shared" si="21"/>
        <v>239.95747363364336</v>
      </c>
    </row>
    <row r="305" spans="1:21" x14ac:dyDescent="0.25">
      <c r="A305">
        <v>2165365</v>
      </c>
      <c r="B305">
        <v>5</v>
      </c>
      <c r="C305" s="1">
        <f>1.35713950236416*(10.3/7.3)</f>
        <v>1.9148680649795673</v>
      </c>
      <c r="D305" s="1">
        <f>1.34119954136683*(10.3/7.3)</f>
        <v>1.8923774350792224</v>
      </c>
      <c r="E305" s="1">
        <f>4.77949227289898*(10.3/7.3)</f>
        <v>6.7436671795697967</v>
      </c>
      <c r="F305" s="1">
        <f>10.5473105809458*(38.9/42.5)</f>
        <v>9.6538913317362915</v>
      </c>
      <c r="G305" s="1">
        <v>0.4139868005190574</v>
      </c>
      <c r="H305" s="1">
        <v>4.9439027794463524</v>
      </c>
      <c r="I305" s="1">
        <v>8.6474460127224937</v>
      </c>
      <c r="J305" s="1">
        <v>1.2493689142753766E-2</v>
      </c>
      <c r="K305" s="1">
        <v>2.4272370310869809</v>
      </c>
      <c r="L305" s="1">
        <v>2.2910215724930039</v>
      </c>
      <c r="M305" s="1">
        <v>5.5028207219459613E-2</v>
      </c>
      <c r="N305" s="1">
        <v>0.5120997938076437</v>
      </c>
      <c r="O305" s="1">
        <v>9.7888000000000003E-2</v>
      </c>
      <c r="P305" s="1">
        <v>8.5480685869446821E-2</v>
      </c>
      <c r="Q305" s="1">
        <v>0.66162274055557191</v>
      </c>
      <c r="R305" s="2">
        <f t="shared" si="19"/>
        <v>34.871762344608356</v>
      </c>
      <c r="S305" s="2">
        <f t="shared" si="18"/>
        <v>2.5252114060991815</v>
      </c>
      <c r="T305" s="2">
        <f t="shared" si="20"/>
        <v>2.9560375735201072</v>
      </c>
      <c r="U305" s="2">
        <f t="shared" si="21"/>
        <v>40.353011324227644</v>
      </c>
    </row>
    <row r="306" spans="1:21" x14ac:dyDescent="0.25">
      <c r="A306">
        <v>2165405</v>
      </c>
      <c r="B306">
        <v>9</v>
      </c>
      <c r="C306" s="1">
        <f>0.544863191651749*(10.3/7.3)</f>
        <v>0.76877957178260514</v>
      </c>
      <c r="D306" s="1">
        <f>0.755739330141305*(10.3/7.3)</f>
        <v>1.0663171370486908</v>
      </c>
      <c r="E306" s="1">
        <f>2.64940800645038*(10.3/7.3)</f>
        <v>3.7382058173203982</v>
      </c>
      <c r="F306" s="1">
        <f>5.85095142789376*(38.9/42.5)</f>
        <v>5.3553414245898177</v>
      </c>
      <c r="G306" s="1">
        <v>0.24562196336691489</v>
      </c>
      <c r="H306" s="1">
        <v>2.7374684766838246</v>
      </c>
      <c r="I306" s="1">
        <v>4.305625597670101</v>
      </c>
      <c r="J306" s="1">
        <v>1.1491538708715617E-2</v>
      </c>
      <c r="K306" s="1">
        <v>1.992009124784484</v>
      </c>
      <c r="L306" s="1">
        <v>2.0443809972170537</v>
      </c>
      <c r="M306" s="1">
        <v>5.3000328524050365E-2</v>
      </c>
      <c r="N306" s="1">
        <v>0.48771663226208478</v>
      </c>
      <c r="O306" s="1">
        <v>9.3771851851851842E-2</v>
      </c>
      <c r="P306" s="1">
        <v>8.2504201104433086E-2</v>
      </c>
      <c r="Q306" s="1">
        <v>0.39254651679643981</v>
      </c>
      <c r="R306" s="2">
        <f t="shared" si="19"/>
        <v>18.609906505258795</v>
      </c>
      <c r="S306" s="2">
        <f t="shared" si="18"/>
        <v>2.086004864597633</v>
      </c>
      <c r="T306" s="2">
        <f t="shared" si="20"/>
        <v>2.678869809855041</v>
      </c>
      <c r="U306" s="2">
        <f t="shared" si="21"/>
        <v>23.374781179711469</v>
      </c>
    </row>
    <row r="307" spans="1:21" x14ac:dyDescent="0.25">
      <c r="A307">
        <v>2165413</v>
      </c>
      <c r="B307">
        <v>71</v>
      </c>
      <c r="C307" s="1">
        <f>0.454063879197305*(10.3/7.3)</f>
        <v>0.64066547338797886</v>
      </c>
      <c r="D307" s="1">
        <f>0.640821730287004*(10.3/7.3)</f>
        <v>0.90417312629536239</v>
      </c>
      <c r="E307" s="1">
        <f>2.24405053618348*(10.3/7.3)</f>
        <v>3.1662630852999727</v>
      </c>
      <c r="F307" s="1">
        <f>5.00192280783952*(38.9/42.5)</f>
        <v>4.5782305229401707</v>
      </c>
      <c r="G307" s="1">
        <v>0.2125014087258997</v>
      </c>
      <c r="H307" s="1">
        <v>1.346794780769963</v>
      </c>
      <c r="I307" s="1">
        <v>3.6701294965344613</v>
      </c>
      <c r="J307" s="1">
        <v>1.0273453693990872E-2</v>
      </c>
      <c r="K307" s="1">
        <v>1.7941197472044401</v>
      </c>
      <c r="L307" s="1">
        <v>1.8140958751867216</v>
      </c>
      <c r="M307" s="1">
        <v>4.6637399099670435E-2</v>
      </c>
      <c r="N307" s="1">
        <v>0.44027882086254455</v>
      </c>
      <c r="O307" s="1">
        <v>8.6215962441314561E-2</v>
      </c>
      <c r="P307" s="1">
        <v>7.6391857909538702E-2</v>
      </c>
      <c r="Q307" s="1">
        <v>0.33961412353454329</v>
      </c>
      <c r="R307" s="2">
        <f t="shared" si="19"/>
        <v>14.858372017488351</v>
      </c>
      <c r="S307" s="2">
        <f t="shared" si="18"/>
        <v>1.8807850588079695</v>
      </c>
      <c r="T307" s="2">
        <f t="shared" si="20"/>
        <v>2.3872280575902511</v>
      </c>
      <c r="U307" s="2">
        <f t="shared" si="21"/>
        <v>19.126385133886572</v>
      </c>
    </row>
    <row r="308" spans="1:21" x14ac:dyDescent="0.25">
      <c r="A308">
        <v>2165421</v>
      </c>
      <c r="B308">
        <v>70</v>
      </c>
      <c r="C308" s="1">
        <f>0.471366973538073*(10.3/7.3)</f>
        <v>0.66507942841673295</v>
      </c>
      <c r="D308" s="1">
        <f>0.649879659701488*(10.3/7.3)</f>
        <v>0.91695349245552404</v>
      </c>
      <c r="E308" s="1">
        <f>2.28104403955079*(10.3/7.3)</f>
        <v>3.2184593982702947</v>
      </c>
      <c r="F308" s="1">
        <f>4.92651213780421*(38.9/42.5)</f>
        <v>4.5092075802490328</v>
      </c>
      <c r="G308" s="1">
        <v>0.20194134132129077</v>
      </c>
      <c r="H308" s="1">
        <v>1.219996042875142</v>
      </c>
      <c r="I308" s="1">
        <v>3.61407986624749</v>
      </c>
      <c r="J308" s="1">
        <v>1.0141984386110284E-2</v>
      </c>
      <c r="K308" s="1">
        <v>1.7195270388390975</v>
      </c>
      <c r="L308" s="1">
        <v>1.78418697159373</v>
      </c>
      <c r="M308" s="1">
        <v>4.7029803811253802E-2</v>
      </c>
      <c r="N308" s="1">
        <v>0.43749753001182246</v>
      </c>
      <c r="O308" s="1">
        <v>8.6419047619047645E-2</v>
      </c>
      <c r="P308" s="1">
        <v>7.5008665568123689E-2</v>
      </c>
      <c r="Q308" s="1">
        <v>0.32273730348151519</v>
      </c>
      <c r="R308" s="2">
        <f t="shared" si="19"/>
        <v>14.668454453317024</v>
      </c>
      <c r="S308" s="2">
        <f t="shared" si="18"/>
        <v>1.8046776887933316</v>
      </c>
      <c r="T308" s="2">
        <f t="shared" si="20"/>
        <v>2.3551333530358538</v>
      </c>
      <c r="U308" s="2">
        <f t="shared" si="21"/>
        <v>18.828265495146209</v>
      </c>
    </row>
    <row r="309" spans="1:21" x14ac:dyDescent="0.25">
      <c r="A309">
        <v>2165429</v>
      </c>
      <c r="B309">
        <v>70</v>
      </c>
      <c r="C309" s="1">
        <f>0.476476488430547*(10.3/7.3)</f>
        <v>0.67228874394994931</v>
      </c>
      <c r="D309" s="1">
        <f>0.624114755889116*(10.3/7.3)</f>
        <v>0.88060027200793023</v>
      </c>
      <c r="E309" s="1">
        <f>2.1996905775019*(10.3/7.3)</f>
        <v>3.1036730066122664</v>
      </c>
      <c r="F309" s="1">
        <f>4.53054427709855*(38.9/42.5)</f>
        <v>4.146780526567845</v>
      </c>
      <c r="G309" s="1">
        <v>0.17449222983283033</v>
      </c>
      <c r="H309" s="1">
        <v>1.2795910272654358</v>
      </c>
      <c r="I309" s="1">
        <v>3.3420555311880076</v>
      </c>
      <c r="J309" s="1">
        <v>1.0250125464722823E-2</v>
      </c>
      <c r="K309" s="1">
        <v>1.7178753153124469</v>
      </c>
      <c r="L309" s="1">
        <v>1.819074765565269</v>
      </c>
      <c r="M309" s="1">
        <v>4.8232632535227887E-2</v>
      </c>
      <c r="N309" s="1">
        <v>0.44879001947942038</v>
      </c>
      <c r="O309" s="1">
        <v>8.8123428571428616E-2</v>
      </c>
      <c r="P309" s="1">
        <v>7.6431214771415693E-2</v>
      </c>
      <c r="Q309" s="1">
        <v>0.27886886046342796</v>
      </c>
      <c r="R309" s="2">
        <f t="shared" si="19"/>
        <v>13.878350197887693</v>
      </c>
      <c r="S309" s="2">
        <f t="shared" si="18"/>
        <v>1.8045566555485855</v>
      </c>
      <c r="T309" s="2">
        <f t="shared" si="20"/>
        <v>2.4042208461513459</v>
      </c>
      <c r="U309" s="2">
        <f t="shared" si="21"/>
        <v>18.087127699587626</v>
      </c>
    </row>
    <row r="310" spans="1:21" x14ac:dyDescent="0.25">
      <c r="A310">
        <v>2165917</v>
      </c>
      <c r="B310">
        <v>29</v>
      </c>
      <c r="C310" s="1">
        <f>8.52495542675331*(10.3/7.3)</f>
        <v>12.028361766514941</v>
      </c>
      <c r="D310" s="1">
        <f>9.22941436554556*(10.3/7.3)</f>
        <v>13.022324378783461</v>
      </c>
      <c r="E310" s="1">
        <f>33.0542463254066*(10.3/7.3)</f>
        <v>46.638183171464064</v>
      </c>
      <c r="F310" s="1">
        <f>56.4215942089546*(38.9/42.5)</f>
        <v>51.642353287725534</v>
      </c>
      <c r="G310" s="1">
        <v>1.5348726307432325</v>
      </c>
      <c r="H310" s="1">
        <v>3.3896073535649127</v>
      </c>
      <c r="I310" s="1">
        <v>43.130549885212993</v>
      </c>
      <c r="J310" s="1">
        <v>3.7130666588337621E-2</v>
      </c>
      <c r="K310" s="1">
        <v>2.7626591952391935</v>
      </c>
      <c r="L310" s="1">
        <v>2.4716692973863292</v>
      </c>
      <c r="M310" s="1">
        <v>0.18027168263608404</v>
      </c>
      <c r="N310" s="1">
        <v>1.8313499056796425</v>
      </c>
      <c r="O310" s="1">
        <v>0.12958896551724136</v>
      </c>
      <c r="P310" s="1">
        <v>0.10337927509218391</v>
      </c>
      <c r="Q310" s="1">
        <v>2.4529927888590497</v>
      </c>
      <c r="R310" s="2">
        <f t="shared" si="19"/>
        <v>173.83924526286822</v>
      </c>
      <c r="S310" s="2">
        <f t="shared" si="18"/>
        <v>2.9031691369197152</v>
      </c>
      <c r="T310" s="2">
        <f t="shared" si="20"/>
        <v>4.6128798512192972</v>
      </c>
      <c r="U310" s="2">
        <f t="shared" si="21"/>
        <v>181.35529425100725</v>
      </c>
    </row>
    <row r="311" spans="1:21" x14ac:dyDescent="0.25">
      <c r="A311">
        <v>2165925</v>
      </c>
      <c r="B311">
        <v>8</v>
      </c>
      <c r="C311" s="1">
        <f>7.45353329881061*(10.3/7.3)</f>
        <v>10.516629175034156</v>
      </c>
      <c r="D311" s="1">
        <f>8.0880719681438*(10.3/7.3)</f>
        <v>11.411937160531664</v>
      </c>
      <c r="E311" s="1">
        <f>28.9778651580574*(10.3/7.3)</f>
        <v>40.886576866848124</v>
      </c>
      <c r="F311" s="1">
        <f>48.7271453923734*(38.9/42.5)</f>
        <v>44.599669547372358</v>
      </c>
      <c r="G311" s="1">
        <v>1.2850044495299675</v>
      </c>
      <c r="H311" s="1">
        <v>2.2871596709745061</v>
      </c>
      <c r="I311" s="1">
        <v>37.11174763405883</v>
      </c>
      <c r="J311" s="1">
        <v>3.2924078753196633E-2</v>
      </c>
      <c r="K311" s="1">
        <v>2.4511693577595381</v>
      </c>
      <c r="L311" s="1">
        <v>2.3436141082194428</v>
      </c>
      <c r="M311" s="1">
        <v>0.16412527913330996</v>
      </c>
      <c r="N311" s="1">
        <v>1.6099361603896694</v>
      </c>
      <c r="O311" s="1">
        <v>0.12227333333333334</v>
      </c>
      <c r="P311" s="1">
        <v>9.9857147175912542E-2</v>
      </c>
      <c r="Q311" s="1">
        <v>2.0536600791574844</v>
      </c>
      <c r="R311" s="2">
        <f t="shared" si="19"/>
        <v>150.15238458350709</v>
      </c>
      <c r="S311" s="2">
        <f t="shared" si="18"/>
        <v>2.5839505836886474</v>
      </c>
      <c r="T311" s="2">
        <f t="shared" si="20"/>
        <v>4.2399488810757555</v>
      </c>
      <c r="U311" s="2">
        <f t="shared" si="21"/>
        <v>156.97628404827148</v>
      </c>
    </row>
    <row r="312" spans="1:21" x14ac:dyDescent="0.25">
      <c r="A312">
        <v>2165933</v>
      </c>
      <c r="B312">
        <v>15</v>
      </c>
      <c r="C312" s="1">
        <f>12.914744598225*(10.3/7.3)</f>
        <v>18.222173885166832</v>
      </c>
      <c r="D312" s="1">
        <f>13.5394342894854*(10.3/7.3)</f>
        <v>19.103585367356136</v>
      </c>
      <c r="E312" s="1">
        <f>48.6406880268714*(10.3/7.3)</f>
        <v>68.630011873530833</v>
      </c>
      <c r="F312" s="1">
        <f>79.586685850147*(38.9/42.5)</f>
        <v>72.84522540166401</v>
      </c>
      <c r="G312" s="1">
        <v>1.9403217138157358</v>
      </c>
      <c r="H312" s="1">
        <v>3.121576228827037</v>
      </c>
      <c r="I312" s="1">
        <v>61.298391031107293</v>
      </c>
      <c r="J312" s="1">
        <v>4.3713485106863646E-2</v>
      </c>
      <c r="K312" s="1">
        <v>2.9606791871658049</v>
      </c>
      <c r="L312" s="1">
        <v>2.973482203243353</v>
      </c>
      <c r="M312" s="1">
        <v>0.20722306622772754</v>
      </c>
      <c r="N312" s="1">
        <v>2.2994068326522208</v>
      </c>
      <c r="O312" s="1">
        <v>0.14350933333333332</v>
      </c>
      <c r="P312" s="1">
        <v>0.11263067192517807</v>
      </c>
      <c r="Q312" s="1">
        <v>3.1009707755046025</v>
      </c>
      <c r="R312" s="2">
        <f t="shared" si="19"/>
        <v>248.26225627697247</v>
      </c>
      <c r="S312" s="2">
        <f t="shared" si="18"/>
        <v>3.1170233441978463</v>
      </c>
      <c r="T312" s="2">
        <f t="shared" si="20"/>
        <v>5.6236214354566352</v>
      </c>
      <c r="U312" s="2">
        <f t="shared" si="21"/>
        <v>257.00290105662691</v>
      </c>
    </row>
    <row r="313" spans="1:21" x14ac:dyDescent="0.25">
      <c r="A313">
        <v>2166029</v>
      </c>
      <c r="B313">
        <v>29</v>
      </c>
      <c r="C313" s="1">
        <f>16.718367259877*(10.3/7.3)</f>
        <v>23.588929147497719</v>
      </c>
      <c r="D313" s="1">
        <f>22.2353286391852*(10.3/7.3)</f>
        <v>31.373134929261315</v>
      </c>
      <c r="E313" s="1">
        <f>79.2195970749018*(10.3/7.3)</f>
        <v>111.77559587280668</v>
      </c>
      <c r="F313" s="1">
        <f>117.560957529947*(38.9/42.5)</f>
        <v>107.60285289211595</v>
      </c>
      <c r="G313" s="1">
        <v>2.4711134869794025</v>
      </c>
      <c r="H313" s="1">
        <v>4.9341035147612802</v>
      </c>
      <c r="I313" s="1">
        <v>78.924851022323864</v>
      </c>
      <c r="J313" s="1">
        <v>2.7858534791960796E-2</v>
      </c>
      <c r="K313" s="1">
        <v>2.3771258116189604</v>
      </c>
      <c r="L313" s="1">
        <v>2.0599977881088378</v>
      </c>
      <c r="M313" s="1">
        <v>0.10648669985817943</v>
      </c>
      <c r="N313" s="1">
        <v>1.3893165705081401</v>
      </c>
      <c r="O313" s="1">
        <v>9.7423448275862037E-2</v>
      </c>
      <c r="P313" s="1">
        <v>8.2097023115244805E-2</v>
      </c>
      <c r="Q313" s="1">
        <v>3.9492681298757608</v>
      </c>
      <c r="R313" s="2">
        <f t="shared" si="19"/>
        <v>364.61984899562191</v>
      </c>
      <c r="S313" s="2">
        <f t="shared" si="18"/>
        <v>2.487081369526166</v>
      </c>
      <c r="T313" s="2">
        <f t="shared" si="20"/>
        <v>3.6532245067510192</v>
      </c>
      <c r="U313" s="2">
        <f t="shared" si="21"/>
        <v>370.76015487189909</v>
      </c>
    </row>
    <row r="314" spans="1:21" x14ac:dyDescent="0.25">
      <c r="A314">
        <v>2166037</v>
      </c>
      <c r="B314">
        <v>64</v>
      </c>
      <c r="C314" s="1">
        <f>13.4837957193917*(10.3/7.3)</f>
        <v>19.025081631470425</v>
      </c>
      <c r="D314" s="1">
        <f>17.9726430193817*(10.3/7.3)</f>
        <v>25.358660698579676</v>
      </c>
      <c r="E314" s="1">
        <f>64.111203553556*(10.3/7.3)</f>
        <v>90.458273507072107</v>
      </c>
      <c r="F314" s="1">
        <f>90.9155492824184*(38.9/42.5)</f>
        <v>83.214467460848823</v>
      </c>
      <c r="G314" s="1">
        <v>1.6469773450050624</v>
      </c>
      <c r="H314" s="1">
        <v>2.8081854014954239</v>
      </c>
      <c r="I314" s="1">
        <v>60.021518294748219</v>
      </c>
      <c r="J314" s="1">
        <v>2.424831827109402E-2</v>
      </c>
      <c r="K314" s="1">
        <v>2.0932615448534628</v>
      </c>
      <c r="L314" s="1">
        <v>1.7813459227921997</v>
      </c>
      <c r="M314" s="1">
        <v>9.4293706868053648E-2</v>
      </c>
      <c r="N314" s="1">
        <v>1.1797542109949861</v>
      </c>
      <c r="O314" s="1">
        <v>8.5674166666666676E-2</v>
      </c>
      <c r="P314" s="1">
        <v>7.3509785949721518E-2</v>
      </c>
      <c r="Q314" s="1">
        <v>2.6321555742090061</v>
      </c>
      <c r="R314" s="2">
        <f t="shared" si="19"/>
        <v>285.16531991342873</v>
      </c>
      <c r="S314" s="2">
        <f t="shared" si="18"/>
        <v>2.1910196490742782</v>
      </c>
      <c r="T314" s="2">
        <f t="shared" si="20"/>
        <v>3.1410680073219059</v>
      </c>
      <c r="U314" s="2">
        <f t="shared" si="21"/>
        <v>290.49740756982493</v>
      </c>
    </row>
    <row r="315" spans="1:21" x14ac:dyDescent="0.25">
      <c r="A315">
        <v>2166045</v>
      </c>
      <c r="B315">
        <v>60</v>
      </c>
      <c r="C315" s="1">
        <f>9.6998658979699*(10.3/7.3)</f>
        <v>13.686112157409582</v>
      </c>
      <c r="D315" s="1">
        <f>12.5475656311239*(10.3/7.3)</f>
        <v>17.704099452133672</v>
      </c>
      <c r="E315" s="1">
        <f>44.8053334309906*(10.3/7.3)</f>
        <v>63.218484156055204</v>
      </c>
      <c r="F315" s="1">
        <f>64.1119265338062*(38.9/42.5)</f>
        <v>58.681269227413203</v>
      </c>
      <c r="G315" s="1">
        <v>1.178402454981526</v>
      </c>
      <c r="H315" s="1">
        <v>2.2753272905283861</v>
      </c>
      <c r="I315" s="1">
        <v>43.110739423285196</v>
      </c>
      <c r="J315" s="1">
        <v>2.2897458994952255E-2</v>
      </c>
      <c r="K315" s="1">
        <v>2.0332747962566331</v>
      </c>
      <c r="L315" s="1">
        <v>1.6817494131603885</v>
      </c>
      <c r="M315" s="1">
        <v>8.8041948011486959E-2</v>
      </c>
      <c r="N315" s="1">
        <v>1.1714252082328318</v>
      </c>
      <c r="O315" s="1">
        <v>8.0200888888888905E-2</v>
      </c>
      <c r="P315" s="1">
        <v>7.1425584191211533E-2</v>
      </c>
      <c r="Q315" s="1">
        <v>1.883291594719336</v>
      </c>
      <c r="R315" s="2">
        <f t="shared" si="19"/>
        <v>201.73772575652612</v>
      </c>
      <c r="S315" s="2">
        <f t="shared" si="18"/>
        <v>2.1275978394427968</v>
      </c>
      <c r="T315" s="2">
        <f t="shared" si="20"/>
        <v>3.021417458293596</v>
      </c>
      <c r="U315" s="2">
        <f t="shared" si="21"/>
        <v>206.8867410542625</v>
      </c>
    </row>
    <row r="316" spans="1:21" x14ac:dyDescent="0.25">
      <c r="A316">
        <v>2166053</v>
      </c>
      <c r="B316">
        <v>1</v>
      </c>
      <c r="C316" s="1">
        <f>13.9800424173804*(10.3/7.3)</f>
        <v>19.725265328632631</v>
      </c>
      <c r="D316" s="1">
        <f>16.1702828483798*(10.3/7.3)</f>
        <v>22.815604566892041</v>
      </c>
      <c r="E316" s="1">
        <f>57.9681050600311*(10.3/7.3)</f>
        <v>81.79061398881106</v>
      </c>
      <c r="F316" s="1">
        <f>86.5268021558603*(38.9/42.5)</f>
        <v>79.19747303206978</v>
      </c>
      <c r="G316" s="1">
        <v>1.7177920060932275</v>
      </c>
      <c r="H316" s="1">
        <v>6.3923406640076159</v>
      </c>
      <c r="I316" s="1">
        <v>62.337608373440929</v>
      </c>
      <c r="J316" s="1">
        <v>2.4788796349669715E-2</v>
      </c>
      <c r="K316" s="1">
        <v>2.1546931768795017</v>
      </c>
      <c r="L316" s="1">
        <v>1.8029962849281316</v>
      </c>
      <c r="M316" s="1">
        <v>9.1775704969876817E-2</v>
      </c>
      <c r="N316" s="1">
        <v>1.2847891838357357</v>
      </c>
      <c r="O316" s="1">
        <v>8.4693333333333329E-2</v>
      </c>
      <c r="P316" s="1">
        <v>7.4185624725586305E-2</v>
      </c>
      <c r="Q316" s="1">
        <v>2.7453296901033344</v>
      </c>
      <c r="R316" s="2">
        <f t="shared" si="19"/>
        <v>276.72202765005062</v>
      </c>
      <c r="S316" s="2">
        <f t="shared" si="18"/>
        <v>2.2536675979547578</v>
      </c>
      <c r="T316" s="2">
        <f t="shared" si="20"/>
        <v>3.2642545070670779</v>
      </c>
      <c r="U316" s="2">
        <f t="shared" si="21"/>
        <v>282.23994975507242</v>
      </c>
    </row>
    <row r="317" spans="1:21" x14ac:dyDescent="0.25">
      <c r="A317">
        <v>2177593</v>
      </c>
      <c r="B317">
        <v>7</v>
      </c>
      <c r="C317" s="1">
        <f>1.89757596507789*(10.3/7.3)</f>
        <v>2.6774017041509897</v>
      </c>
      <c r="D317" s="1">
        <f>1.58366064001559*(10.3/7.3)</f>
        <v>2.2344800811178853</v>
      </c>
      <c r="E317" s="1">
        <f>5.71769303631486*(10.3/7.3)</f>
        <v>8.0674299005538401</v>
      </c>
      <c r="F317" s="1">
        <f>11.8285674169411*(38.9/42.5)</f>
        <v>10.82661817691787</v>
      </c>
      <c r="G317" s="1">
        <v>0.40784339875192827</v>
      </c>
      <c r="H317" s="1">
        <v>3.9238923211163033</v>
      </c>
      <c r="I317" s="1">
        <v>10.295507593775827</v>
      </c>
      <c r="J317" s="1">
        <v>1.1695481898824458E-2</v>
      </c>
      <c r="K317" s="1">
        <v>2.3097867550282567</v>
      </c>
      <c r="L317" s="1">
        <v>2.055950471311732</v>
      </c>
      <c r="M317" s="1">
        <v>5.0136258474720377E-2</v>
      </c>
      <c r="N317" s="1">
        <v>0.47081142517002039</v>
      </c>
      <c r="O317" s="1">
        <v>9.0750476190476187E-2</v>
      </c>
      <c r="P317" s="1">
        <v>8.070133870106469E-2</v>
      </c>
      <c r="Q317" s="1">
        <v>0.65180451855331067</v>
      </c>
      <c r="R317" s="2">
        <f t="shared" si="19"/>
        <v>39.084977694937955</v>
      </c>
      <c r="S317" s="2">
        <f t="shared" si="18"/>
        <v>2.402183575628146</v>
      </c>
      <c r="T317" s="2">
        <f t="shared" si="20"/>
        <v>2.6676486311469492</v>
      </c>
      <c r="U317" s="2">
        <f t="shared" si="21"/>
        <v>44.154809901713044</v>
      </c>
    </row>
    <row r="318" spans="1:21" x14ac:dyDescent="0.25">
      <c r="A318">
        <v>2177641</v>
      </c>
      <c r="B318">
        <v>55</v>
      </c>
      <c r="C318" s="1">
        <f>0.469079123328576*(10.3/7.3)</f>
        <v>0.66185136579237436</v>
      </c>
      <c r="D318" s="1">
        <f>0.645642364056506*(10.3/7.3)</f>
        <v>0.91097484243589155</v>
      </c>
      <c r="E318" s="1">
        <f>2.26640428920344*(10.3/7.3)</f>
        <v>3.1978033121637606</v>
      </c>
      <c r="F318" s="1">
        <f>4.8910044749652*(38.9/42.5)</f>
        <v>4.4767076253210867</v>
      </c>
      <c r="G318" s="1">
        <v>0.20026113041337829</v>
      </c>
      <c r="H318" s="1">
        <v>1.4732401541227542</v>
      </c>
      <c r="I318" s="1">
        <v>3.5891877755022987</v>
      </c>
      <c r="J318" s="1">
        <v>1.0202822008811179E-2</v>
      </c>
      <c r="K318" s="1">
        <v>1.7367006181821081</v>
      </c>
      <c r="L318" s="1">
        <v>1.7820067975787532</v>
      </c>
      <c r="M318" s="1">
        <v>4.6607435140935342E-2</v>
      </c>
      <c r="N318" s="1">
        <v>0.43052958594830198</v>
      </c>
      <c r="O318" s="1">
        <v>8.4910545454545433E-2</v>
      </c>
      <c r="P318" s="1">
        <v>7.3607144096759197E-2</v>
      </c>
      <c r="Q318" s="1">
        <v>0.32005203490722595</v>
      </c>
      <c r="R318" s="2">
        <f t="shared" si="19"/>
        <v>14.83007824065877</v>
      </c>
      <c r="S318" s="2">
        <f t="shared" si="18"/>
        <v>1.8205105842876785</v>
      </c>
      <c r="T318" s="2">
        <f t="shared" si="20"/>
        <v>2.344054364122536</v>
      </c>
      <c r="U318" s="2">
        <f t="shared" si="21"/>
        <v>18.994643189068984</v>
      </c>
    </row>
    <row r="319" spans="1:21" x14ac:dyDescent="0.25">
      <c r="A319">
        <v>2177649</v>
      </c>
      <c r="B319">
        <v>63</v>
      </c>
      <c r="C319" s="1">
        <f>0.467076169581723*(10.3/7.3)</f>
        <v>0.65902528036873298</v>
      </c>
      <c r="D319" s="1">
        <f>0.645575641630026*(10.3/7.3)</f>
        <v>0.91088069983414588</v>
      </c>
      <c r="E319" s="1">
        <f>2.26489014382427*(10.3/7.3)</f>
        <v>3.1956669152589039</v>
      </c>
      <c r="F319" s="1">
        <f>4.93287172752928*(38.9/42.5)</f>
        <v>4.5150284753150336</v>
      </c>
      <c r="G319" s="1">
        <v>0.2040630562030521</v>
      </c>
      <c r="H319" s="1">
        <v>1.1975994702461563</v>
      </c>
      <c r="I319" s="1">
        <v>3.6227609169864099</v>
      </c>
      <c r="J319" s="1">
        <v>1.0284852383091424E-2</v>
      </c>
      <c r="K319" s="1">
        <v>1.7798453851965252</v>
      </c>
      <c r="L319" s="1">
        <v>1.8439467556512106</v>
      </c>
      <c r="M319" s="1">
        <v>4.7795826036788946E-2</v>
      </c>
      <c r="N319" s="1">
        <v>0.44589023553437884</v>
      </c>
      <c r="O319" s="1">
        <v>8.7100952380952348E-2</v>
      </c>
      <c r="P319" s="1">
        <v>7.6841179306230398E-2</v>
      </c>
      <c r="Q319" s="1">
        <v>0.32612817201401062</v>
      </c>
      <c r="R319" s="2">
        <f t="shared" si="19"/>
        <v>14.631152986226446</v>
      </c>
      <c r="S319" s="2">
        <f t="shared" si="18"/>
        <v>1.8669714168858471</v>
      </c>
      <c r="T319" s="2">
        <f t="shared" si="20"/>
        <v>2.4247337696033306</v>
      </c>
      <c r="U319" s="2">
        <f t="shared" si="21"/>
        <v>18.922858172715625</v>
      </c>
    </row>
    <row r="320" spans="1:21" x14ac:dyDescent="0.25">
      <c r="A320">
        <v>2177657</v>
      </c>
      <c r="B320">
        <v>63</v>
      </c>
      <c r="C320" s="1">
        <f>0.477602453046173*(10.3/7.3)</f>
        <v>0.6738774337500798</v>
      </c>
      <c r="D320" s="1">
        <f>0.635902737331878*(10.3/7.3)</f>
        <v>0.89723262938607418</v>
      </c>
      <c r="E320" s="1">
        <f>2.23855652532101*(10.3/7.3)</f>
        <v>3.1585112617543012</v>
      </c>
      <c r="F320" s="1">
        <f>4.66682472946081*(38.9/42.5)</f>
        <v>4.2715172229653087</v>
      </c>
      <c r="G320" s="1">
        <v>0.18287315689427494</v>
      </c>
      <c r="H320" s="1">
        <v>1.1448511562315036</v>
      </c>
      <c r="I320" s="1">
        <v>3.4336232891699749</v>
      </c>
      <c r="J320" s="1">
        <v>1.0259258455666926E-2</v>
      </c>
      <c r="K320" s="1">
        <v>1.7378414989871329</v>
      </c>
      <c r="L320" s="1">
        <v>1.8424463313599482</v>
      </c>
      <c r="M320" s="1">
        <v>4.7907533778961522E-2</v>
      </c>
      <c r="N320" s="1">
        <v>0.44920825509216289</v>
      </c>
      <c r="O320" s="1">
        <v>8.7809523809523837E-2</v>
      </c>
      <c r="P320" s="1">
        <v>7.6684576866163159E-2</v>
      </c>
      <c r="Q320" s="1">
        <v>0.29226303613240312</v>
      </c>
      <c r="R320" s="2">
        <f t="shared" si="19"/>
        <v>14.054749186283921</v>
      </c>
      <c r="S320" s="2">
        <f t="shared" si="18"/>
        <v>1.8247853343089631</v>
      </c>
      <c r="T320" s="2">
        <f t="shared" si="20"/>
        <v>2.4273716440405964</v>
      </c>
      <c r="U320" s="2">
        <f t="shared" si="21"/>
        <v>18.306906164633482</v>
      </c>
    </row>
    <row r="321" spans="1:21" x14ac:dyDescent="0.25">
      <c r="A321">
        <v>2177665</v>
      </c>
      <c r="B321">
        <v>54</v>
      </c>
      <c r="C321" s="1">
        <f>0.503883390200359*(10.3/7.3)</f>
        <v>0.71095875603612269</v>
      </c>
      <c r="D321" s="1">
        <f>0.642115574529743*(10.3/7.3)</f>
        <v>0.90599868735018596</v>
      </c>
      <c r="E321" s="1">
        <f>2.26644285669635*(10.3/7.3)</f>
        <v>3.1978577293112909</v>
      </c>
      <c r="F321" s="1">
        <f>4.63835362473395*(38.9/42.5)</f>
        <v>4.2454577882858944</v>
      </c>
      <c r="G321" s="1">
        <v>0.17629949673658357</v>
      </c>
      <c r="H321" s="1">
        <v>1.2519375739062188</v>
      </c>
      <c r="I321" s="1">
        <v>3.4478804588032483</v>
      </c>
      <c r="J321" s="1">
        <v>1.0594336847606E-2</v>
      </c>
      <c r="K321" s="1">
        <v>1.7633492061600724</v>
      </c>
      <c r="L321" s="1">
        <v>1.928906576878999</v>
      </c>
      <c r="M321" s="1">
        <v>4.9832655097512009E-2</v>
      </c>
      <c r="N321" s="1">
        <v>0.47005838472407974</v>
      </c>
      <c r="O321" s="1">
        <v>9.1034074074074045E-2</v>
      </c>
      <c r="P321" s="1">
        <v>7.9063530113480759E-2</v>
      </c>
      <c r="Q321" s="1">
        <v>0.28175718656531656</v>
      </c>
      <c r="R321" s="2">
        <f t="shared" si="19"/>
        <v>14.218147676994858</v>
      </c>
      <c r="S321" s="2">
        <f t="shared" si="18"/>
        <v>1.8530070731211592</v>
      </c>
      <c r="T321" s="2">
        <f t="shared" si="20"/>
        <v>2.539831690774665</v>
      </c>
      <c r="U321" s="2">
        <f t="shared" si="21"/>
        <v>18.610986440890684</v>
      </c>
    </row>
    <row r="322" spans="1:21" x14ac:dyDescent="0.25">
      <c r="A322">
        <v>2178153</v>
      </c>
      <c r="B322">
        <v>12</v>
      </c>
      <c r="C322" s="1">
        <f>7.44540150775587*(10.3/7.3)</f>
        <v>10.505155552039106</v>
      </c>
      <c r="D322" s="1">
        <f>8.19970847780571*(10.3/7.3)</f>
        <v>11.569451687862845</v>
      </c>
      <c r="E322" s="1">
        <f>29.3313455118988*(10.3/7.3)</f>
        <v>41.385323119528486</v>
      </c>
      <c r="F322" s="1">
        <f>50.5360571405636*(38.9/42.5)</f>
        <v>46.255355829833533</v>
      </c>
      <c r="G322" s="1">
        <v>1.4106602373585702</v>
      </c>
      <c r="H322" s="1">
        <v>2.7062756308267311</v>
      </c>
      <c r="I322" s="1">
        <v>38.405364901710676</v>
      </c>
      <c r="J322" s="1">
        <v>3.348099924633155E-2</v>
      </c>
      <c r="K322" s="1">
        <v>2.5553166810429571</v>
      </c>
      <c r="L322" s="1">
        <v>2.235805832671018</v>
      </c>
      <c r="M322" s="1">
        <v>0.16569623838133321</v>
      </c>
      <c r="N322" s="1">
        <v>1.7825799786961427</v>
      </c>
      <c r="O322" s="1">
        <v>0.12177333333333329</v>
      </c>
      <c r="P322" s="1">
        <v>9.7962987827149142E-2</v>
      </c>
      <c r="Q322" s="1">
        <v>2.2544798313949781</v>
      </c>
      <c r="R322" s="2">
        <f t="shared" si="19"/>
        <v>154.4920667905549</v>
      </c>
      <c r="S322" s="2">
        <f t="shared" si="18"/>
        <v>2.6867606681164378</v>
      </c>
      <c r="T322" s="2">
        <f t="shared" si="20"/>
        <v>4.3058553830818278</v>
      </c>
      <c r="U322" s="2">
        <f t="shared" si="21"/>
        <v>161.48468284175317</v>
      </c>
    </row>
    <row r="323" spans="1:21" x14ac:dyDescent="0.25">
      <c r="A323">
        <v>2178161</v>
      </c>
      <c r="B323">
        <v>15</v>
      </c>
      <c r="C323" s="1">
        <f>11.8677682021808*(10.3/7.3)</f>
        <v>16.744933216775596</v>
      </c>
      <c r="D323" s="1">
        <f>12.9932439290053*(10.3/7.3)</f>
        <v>18.33293321489786</v>
      </c>
      <c r="E323" s="1">
        <f>46.5638637288166*(10.3/7.3)</f>
        <v>65.69969813791937</v>
      </c>
      <c r="F323" s="1">
        <f>76.6391007135583*(38.9/42.5)</f>
        <v>70.147318064880437</v>
      </c>
      <c r="G323" s="1">
        <v>1.933168717746224</v>
      </c>
      <c r="H323" s="1">
        <v>3.0075912437865786</v>
      </c>
      <c r="I323" s="1">
        <v>57.905563317368696</v>
      </c>
      <c r="J323" s="1">
        <v>4.499153807853782E-2</v>
      </c>
      <c r="K323" s="1">
        <v>3.0603855353240426</v>
      </c>
      <c r="L323" s="1">
        <v>3.1156935696659218</v>
      </c>
      <c r="M323" s="1">
        <v>0.22320754049429153</v>
      </c>
      <c r="N323" s="1">
        <v>2.6237192195220067</v>
      </c>
      <c r="O323" s="1">
        <v>0.14911644444444444</v>
      </c>
      <c r="P323" s="1">
        <v>0.11629711048033833</v>
      </c>
      <c r="Q323" s="1">
        <v>3.0895390466263888</v>
      </c>
      <c r="R323" s="2">
        <f t="shared" si="19"/>
        <v>236.86074496000111</v>
      </c>
      <c r="S323" s="2">
        <f t="shared" si="18"/>
        <v>3.2216741838829188</v>
      </c>
      <c r="T323" s="2">
        <f t="shared" si="20"/>
        <v>6.1117367741266646</v>
      </c>
      <c r="U323" s="2">
        <f t="shared" si="21"/>
        <v>246.19415591801069</v>
      </c>
    </row>
    <row r="324" spans="1:21" x14ac:dyDescent="0.25">
      <c r="A324">
        <v>2178169</v>
      </c>
      <c r="B324">
        <v>7</v>
      </c>
      <c r="C324" s="1">
        <f>12.5621235853042*(10.3/7.3)</f>
        <v>17.724640127210062</v>
      </c>
      <c r="D324" s="1">
        <f>13.2067781193614*(10.3/7.3)</f>
        <v>18.634221182112622</v>
      </c>
      <c r="E324" s="1">
        <f>47.4338327129122*(10.3/7.3)</f>
        <v>66.927188622328245</v>
      </c>
      <c r="F324" s="1">
        <f>77.8469931935528*(38.9/42.5)</f>
        <v>71.25289494656954</v>
      </c>
      <c r="G324" s="1">
        <v>1.9144483051757304</v>
      </c>
      <c r="H324" s="1">
        <v>3.6977298592180374</v>
      </c>
      <c r="I324" s="1">
        <v>59.909313741109635</v>
      </c>
      <c r="J324" s="1">
        <v>4.2609039786056235E-2</v>
      </c>
      <c r="K324" s="1">
        <v>2.8220126789498208</v>
      </c>
      <c r="L324" s="1">
        <v>2.8031943913287427</v>
      </c>
      <c r="M324" s="1">
        <v>0.19589876673700193</v>
      </c>
      <c r="N324" s="1">
        <v>3.0647372260933841</v>
      </c>
      <c r="O324" s="1">
        <v>0.1381257142857143</v>
      </c>
      <c r="P324" s="1">
        <v>0.10863905228969085</v>
      </c>
      <c r="Q324" s="1">
        <v>3.0596205790479751</v>
      </c>
      <c r="R324" s="2">
        <f t="shared" si="19"/>
        <v>243.12005736277186</v>
      </c>
      <c r="S324" s="2">
        <f t="shared" si="18"/>
        <v>2.9732607710255681</v>
      </c>
      <c r="T324" s="2">
        <f t="shared" si="20"/>
        <v>6.2019560984448434</v>
      </c>
      <c r="U324" s="2">
        <f t="shared" si="21"/>
        <v>252.29527423224226</v>
      </c>
    </row>
    <row r="325" spans="1:21" x14ac:dyDescent="0.25">
      <c r="A325">
        <v>2178265</v>
      </c>
      <c r="B325">
        <v>68</v>
      </c>
      <c r="C325" s="1">
        <f>13.9724280151923*(10.3/7.3)</f>
        <v>19.714521720065839</v>
      </c>
      <c r="D325" s="1">
        <f>18.6166935715817*(10.3/7.3)</f>
        <v>26.267389559902966</v>
      </c>
      <c r="E325" s="1">
        <f>66.3512297587956*(10.3/7.3)</f>
        <v>93.61885842679375</v>
      </c>
      <c r="F325" s="1">
        <f>97.0106543302292*(38.9/42.5)</f>
        <v>88.793281257551001</v>
      </c>
      <c r="G325" s="1">
        <v>1.9493755133996018</v>
      </c>
      <c r="H325" s="1">
        <v>3.3949343665759026</v>
      </c>
      <c r="I325" s="1">
        <v>64.745106228311769</v>
      </c>
      <c r="J325" s="1">
        <v>2.6756644492134992E-2</v>
      </c>
      <c r="K325" s="1">
        <v>2.2937045594330137</v>
      </c>
      <c r="L325" s="1">
        <v>1.9805437560042387</v>
      </c>
      <c r="M325" s="1">
        <v>0.10312760585026269</v>
      </c>
      <c r="N325" s="1">
        <v>1.3488333674322004</v>
      </c>
      <c r="O325" s="1">
        <v>9.3334117647058817E-2</v>
      </c>
      <c r="P325" s="1">
        <v>7.99182182697383E-2</v>
      </c>
      <c r="Q325" s="1">
        <v>3.1154403182185444</v>
      </c>
      <c r="R325" s="2">
        <f t="shared" si="19"/>
        <v>301.59890739081936</v>
      </c>
      <c r="S325" s="2">
        <f t="shared" si="18"/>
        <v>2.4003794221948871</v>
      </c>
      <c r="T325" s="2">
        <f t="shared" si="20"/>
        <v>3.5258388469337607</v>
      </c>
      <c r="U325" s="2">
        <f t="shared" si="21"/>
        <v>307.525125659948</v>
      </c>
    </row>
    <row r="326" spans="1:21" x14ac:dyDescent="0.25">
      <c r="A326">
        <v>2178273</v>
      </c>
      <c r="B326">
        <v>71</v>
      </c>
      <c r="C326" s="1">
        <f>12.018427220354*(10.3/7.3)</f>
        <v>16.957506899951497</v>
      </c>
      <c r="D326" s="1">
        <f>15.7814793122131*(10.3/7.3)</f>
        <v>22.267018755588374</v>
      </c>
      <c r="E326" s="1">
        <f>56.3133915853282*(10.3/7.3)</f>
        <v>79.455881277928796</v>
      </c>
      <c r="F326" s="1">
        <f>80.7357116917652*(38.9/42.5)</f>
        <v>73.896921995521538</v>
      </c>
      <c r="G326" s="1">
        <v>1.507448585759003</v>
      </c>
      <c r="H326" s="1">
        <v>2.5403584665114094</v>
      </c>
      <c r="I326" s="1">
        <v>53.912919214968404</v>
      </c>
      <c r="J326" s="1">
        <v>2.4915255774321462E-2</v>
      </c>
      <c r="K326" s="1">
        <v>2.1677167852700063</v>
      </c>
      <c r="L326" s="1">
        <v>1.8376686693051465</v>
      </c>
      <c r="M326" s="1">
        <v>9.5955805605703562E-2</v>
      </c>
      <c r="N326" s="1">
        <v>1.2541314757798794</v>
      </c>
      <c r="O326" s="1">
        <v>8.6821408450704213E-2</v>
      </c>
      <c r="P326" s="1">
        <v>7.5586993413059592E-2</v>
      </c>
      <c r="Q326" s="1">
        <v>2.4091644064641637</v>
      </c>
      <c r="R326" s="2">
        <f t="shared" si="19"/>
        <v>252.94721960269317</v>
      </c>
      <c r="S326" s="2">
        <f t="shared" si="18"/>
        <v>2.2682190344573874</v>
      </c>
      <c r="T326" s="2">
        <f t="shared" si="20"/>
        <v>3.2745773591414338</v>
      </c>
      <c r="U326" s="2">
        <f t="shared" si="21"/>
        <v>258.49001599629202</v>
      </c>
    </row>
    <row r="327" spans="1:21" x14ac:dyDescent="0.25">
      <c r="A327">
        <v>2178281</v>
      </c>
      <c r="B327">
        <v>68</v>
      </c>
      <c r="C327" s="1">
        <f>10.9663791759733*(10.3/7.3)</f>
        <v>15.473110344181457</v>
      </c>
      <c r="D327" s="1">
        <f>13.4421012576278*(10.3/7.3)</f>
        <v>18.966252459392692</v>
      </c>
      <c r="E327" s="1">
        <f>48.0826459914527*(10.3/7.3)</f>
        <v>67.842637494789415</v>
      </c>
      <c r="F327" s="1">
        <f>70.4422605929217*(38.9/42.5)</f>
        <v>64.475386754462448</v>
      </c>
      <c r="G327" s="1">
        <v>1.3606418604313237</v>
      </c>
      <c r="H327" s="1">
        <v>3.7562188857125025</v>
      </c>
      <c r="I327" s="1">
        <v>49.037656002251197</v>
      </c>
      <c r="J327" s="1">
        <v>2.4207352634820295E-2</v>
      </c>
      <c r="K327" s="1">
        <v>2.1284142136797888</v>
      </c>
      <c r="L327" s="1">
        <v>1.7704963865369772</v>
      </c>
      <c r="M327" s="1">
        <v>9.1687089721919843E-2</v>
      </c>
      <c r="N327" s="1">
        <v>1.2537975175122409</v>
      </c>
      <c r="O327" s="1">
        <v>8.3923137254901942E-2</v>
      </c>
      <c r="P327" s="1">
        <v>7.3761056882002782E-2</v>
      </c>
      <c r="Q327" s="1">
        <v>2.1745417860774592</v>
      </c>
      <c r="R327" s="2">
        <f t="shared" si="19"/>
        <v>223.0864455872985</v>
      </c>
      <c r="S327" s="2">
        <f t="shared" si="18"/>
        <v>2.2263826231966117</v>
      </c>
      <c r="T327" s="2">
        <f t="shared" si="20"/>
        <v>3.1999041310260399</v>
      </c>
      <c r="U327" s="2">
        <f t="shared" si="21"/>
        <v>228.51273234152114</v>
      </c>
    </row>
    <row r="328" spans="1:21" x14ac:dyDescent="0.25">
      <c r="A328">
        <v>2189869</v>
      </c>
      <c r="B328">
        <v>41</v>
      </c>
      <c r="C328" s="1">
        <f>0.478863324940831*(10.3/7.3)</f>
        <v>0.67565647217678892</v>
      </c>
      <c r="D328" s="1">
        <f>0.65857020658915*(10.3/7.3)</f>
        <v>0.92921549696825345</v>
      </c>
      <c r="E328" s="1">
        <f>2.31122765576914*(10.3/7.3)</f>
        <v>3.2610472403317994</v>
      </c>
      <c r="F328" s="1">
        <f>5.01989650455878*(38.9/42.5)</f>
        <v>4.5946817418196835</v>
      </c>
      <c r="G328" s="1">
        <v>0.20689604972765591</v>
      </c>
      <c r="H328" s="1">
        <v>1.7057602581884643</v>
      </c>
      <c r="I328" s="1">
        <v>3.6898591899901687</v>
      </c>
      <c r="J328" s="1">
        <v>1.055853984680323E-2</v>
      </c>
      <c r="K328" s="1">
        <v>1.8296530304606387</v>
      </c>
      <c r="L328" s="1">
        <v>1.877287285461968</v>
      </c>
      <c r="M328" s="1">
        <v>4.8060967357906645E-2</v>
      </c>
      <c r="N328" s="1">
        <v>0.4461279320616337</v>
      </c>
      <c r="O328" s="1">
        <v>8.6774634146341456E-2</v>
      </c>
      <c r="P328" s="1">
        <v>7.6471220946692578E-2</v>
      </c>
      <c r="Q328" s="1">
        <v>0.33065578723597994</v>
      </c>
      <c r="R328" s="2">
        <f t="shared" si="19"/>
        <v>15.393772236438792</v>
      </c>
      <c r="S328" s="2">
        <f t="shared" si="18"/>
        <v>1.9166827912541347</v>
      </c>
      <c r="T328" s="2">
        <f t="shared" si="20"/>
        <v>2.4582508190278496</v>
      </c>
      <c r="U328" s="2">
        <f t="shared" si="21"/>
        <v>19.768705846720778</v>
      </c>
    </row>
    <row r="329" spans="1:21" x14ac:dyDescent="0.25">
      <c r="A329">
        <v>2189877</v>
      </c>
      <c r="B329">
        <v>68</v>
      </c>
      <c r="C329" s="1">
        <f>0.472268652636745*(10.3/7.3)</f>
        <v>0.66635166056965345</v>
      </c>
      <c r="D329" s="1">
        <f>0.643781435829655*(10.3/7.3)</f>
        <v>0.90834914918430743</v>
      </c>
      <c r="E329" s="1">
        <f>2.2615870948724*(10.3/7.3)</f>
        <v>3.1910064489295493</v>
      </c>
      <c r="F329" s="1">
        <f>4.83946827678499*(38.9/42.5)</f>
        <v>4.4295368462808522</v>
      </c>
      <c r="G329" s="1">
        <v>0.19604679168632777</v>
      </c>
      <c r="H329" s="1">
        <v>1.2190320698750754</v>
      </c>
      <c r="I329" s="1">
        <v>3.5550443895926178</v>
      </c>
      <c r="J329" s="1">
        <v>1.0338441154352049E-2</v>
      </c>
      <c r="K329" s="1">
        <v>1.7963505605134888</v>
      </c>
      <c r="L329" s="1">
        <v>1.8732052085120157</v>
      </c>
      <c r="M329" s="1">
        <v>4.8036876935448121E-2</v>
      </c>
      <c r="N329" s="1">
        <v>0.44661191135950612</v>
      </c>
      <c r="O329" s="1">
        <v>8.6826666666666621E-2</v>
      </c>
      <c r="P329" s="1">
        <v>7.7066571714167587E-2</v>
      </c>
      <c r="Q329" s="1">
        <v>0.31331679036627752</v>
      </c>
      <c r="R329" s="2">
        <f t="shared" si="19"/>
        <v>14.478684146484662</v>
      </c>
      <c r="S329" s="2">
        <f t="shared" ref="S329:S392" si="22">J329+K329+P329</f>
        <v>1.8837555733820086</v>
      </c>
      <c r="T329" s="2">
        <f t="shared" si="20"/>
        <v>2.4546806634736367</v>
      </c>
      <c r="U329" s="2">
        <f t="shared" si="21"/>
        <v>18.81712038334031</v>
      </c>
    </row>
    <row r="330" spans="1:21" x14ac:dyDescent="0.25">
      <c r="A330">
        <v>2189885</v>
      </c>
      <c r="B330">
        <v>61</v>
      </c>
      <c r="C330" s="1">
        <f>0.496330355591598*(10.3/7.3)</f>
        <v>0.70030173460184453</v>
      </c>
      <c r="D330" s="1">
        <f>0.662984553843626*(10.3/7.3)</f>
        <v>0.93544395953278803</v>
      </c>
      <c r="E330" s="1">
        <f>2.33248203455416*(10.3/7.3)</f>
        <v>3.291036295329842</v>
      </c>
      <c r="F330" s="1">
        <f>4.91770210972114*(38.9/42.5)</f>
        <v>4.5011438133682944</v>
      </c>
      <c r="G330" s="1">
        <v>0.19529086416534627</v>
      </c>
      <c r="H330" s="1">
        <v>1.192547118199462</v>
      </c>
      <c r="I330" s="1">
        <v>3.6233553102051266</v>
      </c>
      <c r="J330" s="1">
        <v>1.0178819767110887E-2</v>
      </c>
      <c r="K330" s="1">
        <v>1.7030954581541111</v>
      </c>
      <c r="L330" s="1">
        <v>1.8235148226041853</v>
      </c>
      <c r="M330" s="1">
        <v>4.750686084229816E-2</v>
      </c>
      <c r="N330" s="1">
        <v>0.44099272831476605</v>
      </c>
      <c r="O330" s="1">
        <v>8.6801311475409856E-2</v>
      </c>
      <c r="P330" s="1">
        <v>7.4825088448904856E-2</v>
      </c>
      <c r="Q330" s="1">
        <v>0.31210868702224337</v>
      </c>
      <c r="R330" s="2">
        <f t="shared" ref="R330:R393" si="23">C330+D330+E330+F330+G330+H330+I330+Q330</f>
        <v>14.751227782424946</v>
      </c>
      <c r="S330" s="2">
        <f t="shared" si="22"/>
        <v>1.7880993663701268</v>
      </c>
      <c r="T330" s="2">
        <f t="shared" ref="T330:T393" si="24">L330+M330+N330+O330</f>
        <v>2.3988157232366594</v>
      </c>
      <c r="U330" s="2">
        <f t="shared" ref="U330:U393" si="25">R330+S330+T330</f>
        <v>18.938142872031733</v>
      </c>
    </row>
    <row r="331" spans="1:21" x14ac:dyDescent="0.25">
      <c r="A331">
        <v>2189893</v>
      </c>
      <c r="B331">
        <v>69</v>
      </c>
      <c r="C331" s="1">
        <f>0.491070708358645*(10.3/7.3)</f>
        <v>0.69288058850603396</v>
      </c>
      <c r="D331" s="1">
        <f>0.633870957754553*(10.3/7.3)</f>
        <v>0.89436587190025918</v>
      </c>
      <c r="E331" s="1">
        <f>2.23562513327937*(10.3/7.3)</f>
        <v>3.1543751880517172</v>
      </c>
      <c r="F331" s="1">
        <f>4.59820046703471*(38.9/42.5)</f>
        <v>4.2087058392388315</v>
      </c>
      <c r="G331" s="1">
        <v>0.17628869813140621</v>
      </c>
      <c r="H331" s="1">
        <v>1.1111710451225556</v>
      </c>
      <c r="I331" s="1">
        <v>3.4071654829636304</v>
      </c>
      <c r="J331" s="1">
        <v>1.0359935712515216E-2</v>
      </c>
      <c r="K331" s="1">
        <v>1.7403651341832407</v>
      </c>
      <c r="L331" s="1">
        <v>1.8961920361310844</v>
      </c>
      <c r="M331" s="1">
        <v>4.8376387537935037E-2</v>
      </c>
      <c r="N331" s="1">
        <v>0.45850493571479456</v>
      </c>
      <c r="O331" s="1">
        <v>8.888657004830916E-2</v>
      </c>
      <c r="P331" s="1">
        <v>7.7764945074814046E-2</v>
      </c>
      <c r="Q331" s="1">
        <v>0.28173992852051249</v>
      </c>
      <c r="R331" s="2">
        <f t="shared" si="23"/>
        <v>13.926692642434947</v>
      </c>
      <c r="S331" s="2">
        <f t="shared" si="22"/>
        <v>1.8284900149705701</v>
      </c>
      <c r="T331" s="2">
        <f t="shared" si="24"/>
        <v>2.4919599294321233</v>
      </c>
      <c r="U331" s="2">
        <f t="shared" si="25"/>
        <v>18.24714258683764</v>
      </c>
    </row>
    <row r="332" spans="1:21" x14ac:dyDescent="0.25">
      <c r="A332">
        <v>2189901</v>
      </c>
      <c r="B332">
        <v>51</v>
      </c>
      <c r="C332" s="1">
        <f>0.542036100788059*(10.3/7.3)</f>
        <v>0.7647906627557548</v>
      </c>
      <c r="D332" s="1">
        <f>0.672254807710732*(10.3/7.3)</f>
        <v>0.94852390676993747</v>
      </c>
      <c r="E332" s="1">
        <f>2.37616879767217*(10.3/7.3)</f>
        <v>3.3526765227429274</v>
      </c>
      <c r="F332" s="1">
        <f>4.8398594624434*(38.9/42.5)</f>
        <v>4.4298948962128959</v>
      </c>
      <c r="G332" s="1">
        <v>0.18184388684360037</v>
      </c>
      <c r="H332" s="1">
        <v>1.5189721041844151</v>
      </c>
      <c r="I332" s="1">
        <v>3.6269971400129464</v>
      </c>
      <c r="J332" s="1">
        <v>1.0826326386358493E-2</v>
      </c>
      <c r="K332" s="1">
        <v>1.772750172247973</v>
      </c>
      <c r="L332" s="1">
        <v>2.0271333453173965</v>
      </c>
      <c r="M332" s="1">
        <v>5.1642597451710279E-2</v>
      </c>
      <c r="N332" s="1">
        <v>0.48416652746536099</v>
      </c>
      <c r="O332" s="1">
        <v>9.3081307189542523E-2</v>
      </c>
      <c r="P332" s="1">
        <v>8.0321685232577281E-2</v>
      </c>
      <c r="Q332" s="1">
        <v>0.29061808399662192</v>
      </c>
      <c r="R332" s="2">
        <f t="shared" si="23"/>
        <v>15.114317203519098</v>
      </c>
      <c r="S332" s="2">
        <f t="shared" si="22"/>
        <v>1.8638981838669086</v>
      </c>
      <c r="T332" s="2">
        <f t="shared" si="24"/>
        <v>2.6560237774240099</v>
      </c>
      <c r="U332" s="2">
        <f t="shared" si="25"/>
        <v>19.634239164810019</v>
      </c>
    </row>
    <row r="333" spans="1:21" x14ac:dyDescent="0.25">
      <c r="A333">
        <v>2189909</v>
      </c>
      <c r="B333">
        <v>22</v>
      </c>
      <c r="C333" s="1">
        <f>0.64686210252914*(10.3/7.3)</f>
        <v>0.91269584329454023</v>
      </c>
      <c r="D333" s="1">
        <f>0.756320977476214*(10.3/7.3)</f>
        <v>1.0671378175349326</v>
      </c>
      <c r="E333" s="1">
        <f>2.68209704746817*(10.3/7.3)</f>
        <v>3.7843287108112595</v>
      </c>
      <c r="F333" s="1">
        <f>5.39199886205781*(38.9/42.5)</f>
        <v>4.9352648408011524</v>
      </c>
      <c r="G333" s="1">
        <v>0.19660334833237803</v>
      </c>
      <c r="H333" s="1">
        <v>1.5960086401090436</v>
      </c>
      <c r="I333" s="1">
        <v>4.1141503727413014</v>
      </c>
      <c r="J333" s="1">
        <v>1.1289236468977526E-2</v>
      </c>
      <c r="K333" s="1">
        <v>1.7762781397674721</v>
      </c>
      <c r="L333" s="1">
        <v>2.2714956186517026</v>
      </c>
      <c r="M333" s="1">
        <v>5.3812219694387313E-2</v>
      </c>
      <c r="N333" s="1">
        <v>0.50601227432079277</v>
      </c>
      <c r="O333" s="1">
        <v>9.6882424242424228E-2</v>
      </c>
      <c r="P333" s="1">
        <v>8.1447012755567386E-2</v>
      </c>
      <c r="Q333" s="1">
        <v>0.31420626445813871</v>
      </c>
      <c r="R333" s="2">
        <f t="shared" si="23"/>
        <v>16.920395838082747</v>
      </c>
      <c r="S333" s="2">
        <f t="shared" si="22"/>
        <v>1.869014388992017</v>
      </c>
      <c r="T333" s="2">
        <f t="shared" si="24"/>
        <v>2.928202536909307</v>
      </c>
      <c r="U333" s="2">
        <f t="shared" si="25"/>
        <v>21.717612763984071</v>
      </c>
    </row>
    <row r="334" spans="1:21" x14ac:dyDescent="0.25">
      <c r="A334">
        <v>2190357</v>
      </c>
      <c r="B334">
        <v>2</v>
      </c>
      <c r="C334" s="1">
        <f>7.25488526018758*(10.3/7.3)</f>
        <v>10.236344956155081</v>
      </c>
      <c r="D334" s="1">
        <f>8.28930101718699*(10.3/7.3)</f>
        <v>11.695863079044665</v>
      </c>
      <c r="E334" s="1">
        <f>29.4280034105396*(10.3/7.3)</f>
        <v>41.521703442268169</v>
      </c>
      <c r="F334" s="1">
        <f>59.2016927130201*(38.9/42.5)</f>
        <v>54.186961094976084</v>
      </c>
      <c r="G334" s="1">
        <v>2.1485811943795676</v>
      </c>
      <c r="H334" s="1">
        <v>7.4874027010367712</v>
      </c>
      <c r="I334" s="1">
        <v>45.549815701009706</v>
      </c>
      <c r="J334" s="1">
        <v>4.5491387481138144E-2</v>
      </c>
      <c r="K334" s="1">
        <v>2.5101523099628644</v>
      </c>
      <c r="L334" s="1">
        <v>2.3075200563042921</v>
      </c>
      <c r="M334" s="1">
        <v>0.18304888059008884</v>
      </c>
      <c r="N334" s="1">
        <v>1.740887202655103</v>
      </c>
      <c r="O334" s="1">
        <v>0.12877333333333332</v>
      </c>
      <c r="P334" s="1">
        <v>0.10140954031556902</v>
      </c>
      <c r="Q334" s="1">
        <v>3.4338055617938332</v>
      </c>
      <c r="R334" s="2">
        <f t="shared" si="23"/>
        <v>176.26047773066389</v>
      </c>
      <c r="S334" s="2">
        <f t="shared" si="22"/>
        <v>2.6570532377595715</v>
      </c>
      <c r="T334" s="2">
        <f t="shared" si="24"/>
        <v>4.3602294728828168</v>
      </c>
      <c r="U334" s="2">
        <f t="shared" si="25"/>
        <v>183.2777604413063</v>
      </c>
    </row>
    <row r="335" spans="1:21" x14ac:dyDescent="0.25">
      <c r="A335">
        <v>2190381</v>
      </c>
      <c r="B335">
        <v>12</v>
      </c>
      <c r="C335" s="1">
        <f>6.80481551854542*(10.3/7.3)</f>
        <v>9.6013150467147721</v>
      </c>
      <c r="D335" s="1">
        <f>7.63810861280805*(10.3/7.3)</f>
        <v>10.777057357797666</v>
      </c>
      <c r="E335" s="1">
        <f>27.2787494029265*(10.3/7.3)</f>
        <v>38.489194363033349</v>
      </c>
      <c r="F335" s="1">
        <f>47.8776296037704*(38.9/42.5)</f>
        <v>43.822112743215705</v>
      </c>
      <c r="G335" s="1">
        <v>1.3951024709073823</v>
      </c>
      <c r="H335" s="1">
        <v>3.1857571653940213</v>
      </c>
      <c r="I335" s="1">
        <v>36.212081260970784</v>
      </c>
      <c r="J335" s="1">
        <v>3.6372035406249663E-2</v>
      </c>
      <c r="K335" s="1">
        <v>2.5618761316818195</v>
      </c>
      <c r="L335" s="1">
        <v>2.2699880692318626</v>
      </c>
      <c r="M335" s="1">
        <v>0.17224493829111501</v>
      </c>
      <c r="N335" s="1">
        <v>2.2896884868080756</v>
      </c>
      <c r="O335" s="1">
        <v>0.1238088888888889</v>
      </c>
      <c r="P335" s="1">
        <v>9.9684819984717524E-2</v>
      </c>
      <c r="Q335" s="1">
        <v>2.2296158210848604</v>
      </c>
      <c r="R335" s="2">
        <f t="shared" si="23"/>
        <v>145.71223622911853</v>
      </c>
      <c r="S335" s="2">
        <f t="shared" si="22"/>
        <v>2.6979329870727864</v>
      </c>
      <c r="T335" s="2">
        <f t="shared" si="24"/>
        <v>4.8557303832199423</v>
      </c>
      <c r="U335" s="2">
        <f t="shared" si="25"/>
        <v>153.26589959941126</v>
      </c>
    </row>
    <row r="336" spans="1:21" x14ac:dyDescent="0.25">
      <c r="A336">
        <v>2190389</v>
      </c>
      <c r="B336">
        <v>8</v>
      </c>
      <c r="C336" s="1">
        <f>8.37458310194999*(10.3/7.3)</f>
        <v>11.816192595902049</v>
      </c>
      <c r="D336" s="1">
        <f>9.27182118866073*(10.3/7.3)</f>
        <v>13.082158663452818</v>
      </c>
      <c r="E336" s="1">
        <f>33.1569565462552*(10.3/7.3)</f>
        <v>46.783103072113569</v>
      </c>
      <c r="F336" s="1">
        <f>57.1566041391259*(38.9/42.5)</f>
        <v>52.315103553223487</v>
      </c>
      <c r="G336" s="1">
        <v>1.6003040456514983</v>
      </c>
      <c r="H336" s="1">
        <v>4.2220351973679309</v>
      </c>
      <c r="I336" s="1">
        <v>43.341070949335787</v>
      </c>
      <c r="J336" s="1">
        <v>3.7252146585559372E-2</v>
      </c>
      <c r="K336" s="1">
        <v>2.6346258297734857</v>
      </c>
      <c r="L336" s="1">
        <v>2.5417281986382609</v>
      </c>
      <c r="M336" s="1">
        <v>0.18646089071593336</v>
      </c>
      <c r="N336" s="1">
        <v>3.2701189817664722</v>
      </c>
      <c r="O336" s="1">
        <v>0.13145999999999999</v>
      </c>
      <c r="P336" s="1">
        <v>0.10486379484009156</v>
      </c>
      <c r="Q336" s="1">
        <v>2.5575635432786532</v>
      </c>
      <c r="R336" s="2">
        <f t="shared" si="23"/>
        <v>175.71753162032581</v>
      </c>
      <c r="S336" s="2">
        <f t="shared" si="22"/>
        <v>2.7767417711991365</v>
      </c>
      <c r="T336" s="2">
        <f t="shared" si="24"/>
        <v>6.1297680711206661</v>
      </c>
      <c r="U336" s="2">
        <f t="shared" si="25"/>
        <v>184.62404146264564</v>
      </c>
    </row>
    <row r="337" spans="1:21" x14ac:dyDescent="0.25">
      <c r="A337">
        <v>2190397</v>
      </c>
      <c r="B337">
        <v>27</v>
      </c>
      <c r="C337" s="1">
        <f>9.72363064244009*(10.3/7.3)</f>
        <v>13.719643235223682</v>
      </c>
      <c r="D337" s="1">
        <f>10.5638521397595*(10.3/7.3)</f>
        <v>14.905161238290848</v>
      </c>
      <c r="E337" s="1">
        <f>37.8702744594072*(10.3/7.3)</f>
        <v>53.433400949574526</v>
      </c>
      <c r="F337" s="1">
        <f>62.4509546978979*(38.9/42.5)</f>
        <v>57.160991476428912</v>
      </c>
      <c r="G337" s="1">
        <v>1.5769654090313638</v>
      </c>
      <c r="H337" s="1">
        <v>2.6806501589933878</v>
      </c>
      <c r="I337" s="1">
        <v>47.370957580631789</v>
      </c>
      <c r="J337" s="1">
        <v>4.0081302690684717E-2</v>
      </c>
      <c r="K337" s="1">
        <v>2.7204452784430577</v>
      </c>
      <c r="L337" s="1">
        <v>2.6631198965103655</v>
      </c>
      <c r="M337" s="1">
        <v>0.1918170513450741</v>
      </c>
      <c r="N337" s="1">
        <v>2.5303375126606049</v>
      </c>
      <c r="O337" s="1">
        <v>0.13436444444444448</v>
      </c>
      <c r="P337" s="1">
        <v>0.10693921591735883</v>
      </c>
      <c r="Q337" s="1">
        <v>2.5202643523332333</v>
      </c>
      <c r="R337" s="2">
        <f t="shared" si="23"/>
        <v>193.36803440050775</v>
      </c>
      <c r="S337" s="2">
        <f t="shared" si="22"/>
        <v>2.8674657970511013</v>
      </c>
      <c r="T337" s="2">
        <f t="shared" si="24"/>
        <v>5.5196389049604893</v>
      </c>
      <c r="U337" s="2">
        <f t="shared" si="25"/>
        <v>201.75513910251934</v>
      </c>
    </row>
    <row r="338" spans="1:21" x14ac:dyDescent="0.25">
      <c r="A338">
        <v>2190501</v>
      </c>
      <c r="B338">
        <v>58</v>
      </c>
      <c r="C338" s="1">
        <f>10.9240455234897*(10.3/7.3)</f>
        <v>15.413379300266341</v>
      </c>
      <c r="D338" s="1">
        <f>14.2974814426045*(10.3/7.3)</f>
        <v>20.173158747784459</v>
      </c>
      <c r="E338" s="1">
        <f>50.9945007058962*(10.3/7.3)</f>
        <v>71.951144831606925</v>
      </c>
      <c r="F338" s="1">
        <f>74.6432196176711*(38.9/42.5)</f>
        <v>68.320499838291923</v>
      </c>
      <c r="G338" s="1">
        <v>1.4912886857265872</v>
      </c>
      <c r="H338" s="1">
        <v>2.4128430591227974</v>
      </c>
      <c r="I338" s="1">
        <v>50.275298264696417</v>
      </c>
      <c r="J338" s="1">
        <v>2.3232711109738083E-2</v>
      </c>
      <c r="K338" s="1">
        <v>2.0308816248237394</v>
      </c>
      <c r="L338" s="1">
        <v>1.7132978971525661</v>
      </c>
      <c r="M338" s="1">
        <v>9.1593187864793896E-2</v>
      </c>
      <c r="N338" s="1">
        <v>1.1865136300443517</v>
      </c>
      <c r="O338" s="1">
        <v>8.2640919540229896E-2</v>
      </c>
      <c r="P338" s="1">
        <v>7.2973183922622809E-2</v>
      </c>
      <c r="Q338" s="1">
        <v>2.3833380822114432</v>
      </c>
      <c r="R338" s="2">
        <f t="shared" si="23"/>
        <v>232.42095080970691</v>
      </c>
      <c r="S338" s="2">
        <f t="shared" si="22"/>
        <v>2.1270875198560999</v>
      </c>
      <c r="T338" s="2">
        <f t="shared" si="24"/>
        <v>3.0740456346019416</v>
      </c>
      <c r="U338" s="2">
        <f t="shared" si="25"/>
        <v>237.62208396416494</v>
      </c>
    </row>
    <row r="339" spans="1:21" x14ac:dyDescent="0.25">
      <c r="A339">
        <v>2190509</v>
      </c>
      <c r="B339">
        <v>58</v>
      </c>
      <c r="C339" s="1">
        <f>9.60405153907631*(10.3/7.3)</f>
        <v>13.550922034587117</v>
      </c>
      <c r="D339" s="1">
        <f>12.3386121855643*(10.3/7.3)</f>
        <v>17.409274727576996</v>
      </c>
      <c r="E339" s="1">
        <f>44.0435615854983*(10.3/7.3)</f>
        <v>62.143655387757875</v>
      </c>
      <c r="F339" s="1">
        <f>64.4633519225796*(38.9/42.5)</f>
        <v>59.002926818549369</v>
      </c>
      <c r="G339" s="1">
        <v>1.2747008978425114</v>
      </c>
      <c r="H339" s="1">
        <v>2.1871356458210189</v>
      </c>
      <c r="I339" s="1">
        <v>43.818250817621049</v>
      </c>
      <c r="J339" s="1">
        <v>2.2833703639188616E-2</v>
      </c>
      <c r="K339" s="1">
        <v>2.0149591401911708</v>
      </c>
      <c r="L339" s="1">
        <v>1.6841500365398898</v>
      </c>
      <c r="M339" s="1">
        <v>8.917971324178732E-2</v>
      </c>
      <c r="N339" s="1">
        <v>1.1747885616254512</v>
      </c>
      <c r="O339" s="1">
        <v>8.070620689655171E-2</v>
      </c>
      <c r="P339" s="1">
        <v>7.1622812926955687E-2</v>
      </c>
      <c r="Q339" s="1">
        <v>2.0371932157300434</v>
      </c>
      <c r="R339" s="2">
        <f t="shared" si="23"/>
        <v>201.42405954548599</v>
      </c>
      <c r="S339" s="2">
        <f t="shared" si="22"/>
        <v>2.109415656757315</v>
      </c>
      <c r="T339" s="2">
        <f t="shared" si="24"/>
        <v>3.0288245183036802</v>
      </c>
      <c r="U339" s="2">
        <f t="shared" si="25"/>
        <v>206.56229972054697</v>
      </c>
    </row>
    <row r="340" spans="1:21" x14ac:dyDescent="0.25">
      <c r="A340">
        <v>2190517</v>
      </c>
      <c r="B340">
        <v>32</v>
      </c>
      <c r="C340" s="1">
        <f>12.3979526812041*(10.3/7.3)</f>
        <v>17.493001728274287</v>
      </c>
      <c r="D340" s="1">
        <f>14.8604130694849*(10.3/7.3)</f>
        <v>20.967432139136164</v>
      </c>
      <c r="E340" s="1">
        <f>53.1622847960571*(10.3/7.3)</f>
        <v>75.009799095806585</v>
      </c>
      <c r="F340" s="1">
        <f>80.3310621834009*(38.9/42.5)</f>
        <v>73.52654868080694</v>
      </c>
      <c r="G340" s="1">
        <v>1.6900294400984355</v>
      </c>
      <c r="H340" s="1">
        <v>3.4075093273211778</v>
      </c>
      <c r="I340" s="1">
        <v>57.032681104235181</v>
      </c>
      <c r="J340" s="1">
        <v>2.6039480657109836E-2</v>
      </c>
      <c r="K340" s="1">
        <v>2.251255332822744</v>
      </c>
      <c r="L340" s="1">
        <v>1.8943597629843871</v>
      </c>
      <c r="M340" s="1">
        <v>9.6612665506694451E-2</v>
      </c>
      <c r="N340" s="1">
        <v>1.5560642108716538</v>
      </c>
      <c r="O340" s="1">
        <v>8.8924999999999976E-2</v>
      </c>
      <c r="P340" s="1">
        <v>7.6806997766829366E-2</v>
      </c>
      <c r="Q340" s="1">
        <v>2.700960292394762</v>
      </c>
      <c r="R340" s="2">
        <f t="shared" si="23"/>
        <v>251.82796180807355</v>
      </c>
      <c r="S340" s="2">
        <f t="shared" si="22"/>
        <v>2.3541018112466836</v>
      </c>
      <c r="T340" s="2">
        <f t="shared" si="24"/>
        <v>3.6359616393627356</v>
      </c>
      <c r="U340" s="2">
        <f t="shared" si="25"/>
        <v>257.81802525868301</v>
      </c>
    </row>
    <row r="341" spans="1:21" x14ac:dyDescent="0.25">
      <c r="A341">
        <v>2201953</v>
      </c>
      <c r="B341">
        <v>4</v>
      </c>
      <c r="C341" s="1">
        <f>0.490595932980294*(10.3/7.3)</f>
        <v>0.69221069995849693</v>
      </c>
      <c r="D341" s="1">
        <f>0.825232637531814*(10.3/7.3)</f>
        <v>1.1643693378873536</v>
      </c>
      <c r="E341" s="1">
        <f>2.85251292356346*(10.3/7.3)</f>
        <v>4.024778508589538</v>
      </c>
      <c r="F341" s="1">
        <f>7.30272024574175*(38.9/42.5)</f>
        <v>6.6841368837495043</v>
      </c>
      <c r="G341" s="1">
        <v>0.35638014667324525</v>
      </c>
      <c r="H341" s="1">
        <v>2.4723712754735709</v>
      </c>
      <c r="I341" s="1">
        <v>5.296621196114085</v>
      </c>
      <c r="J341" s="1">
        <v>1.0924128072958693E-2</v>
      </c>
      <c r="K341" s="1">
        <v>3.9166339092738998</v>
      </c>
      <c r="L341" s="1">
        <v>1.912627670230115</v>
      </c>
      <c r="M341" s="1">
        <v>5.3820560698208605E-2</v>
      </c>
      <c r="N341" s="1">
        <v>0.45249655264442912</v>
      </c>
      <c r="O341" s="1">
        <v>9.458666666666668E-2</v>
      </c>
      <c r="P341" s="1">
        <v>9.948313017984009E-2</v>
      </c>
      <c r="Q341" s="1">
        <v>0.56955731203486737</v>
      </c>
      <c r="R341" s="2">
        <f t="shared" si="23"/>
        <v>21.26042536048066</v>
      </c>
      <c r="S341" s="2">
        <f t="shared" si="22"/>
        <v>4.0270411675266988</v>
      </c>
      <c r="T341" s="2">
        <f t="shared" si="24"/>
        <v>2.5135314502394195</v>
      </c>
      <c r="U341" s="2">
        <f t="shared" si="25"/>
        <v>27.800997978246777</v>
      </c>
    </row>
    <row r="342" spans="1:21" x14ac:dyDescent="0.25">
      <c r="A342">
        <v>2201961</v>
      </c>
      <c r="B342">
        <v>4</v>
      </c>
      <c r="C342" s="1">
        <f>0.359199465929189*(10.3/7.3)</f>
        <v>0.5068156848041977</v>
      </c>
      <c r="D342" s="1">
        <f>0.596507622636216*(10.3/7.3)</f>
        <v>0.84164774152781208</v>
      </c>
      <c r="E342" s="1">
        <f>2.08240564685939*(10.3/7.3)</f>
        <v>2.9381887894043421</v>
      </c>
      <c r="F342" s="1">
        <f>4.33070767763513*(38.9/42.5)</f>
        <v>3.9638712625883858</v>
      </c>
      <c r="G342" s="1">
        <v>0.17569546595738039</v>
      </c>
      <c r="H342" s="1">
        <v>1.1645951172945037</v>
      </c>
      <c r="I342" s="1">
        <v>2.9830550861219622</v>
      </c>
      <c r="J342" s="1">
        <v>9.1950225418922053E-3</v>
      </c>
      <c r="K342" s="1">
        <v>4.3684570566138579</v>
      </c>
      <c r="L342" s="1">
        <v>1.6138056498600315</v>
      </c>
      <c r="M342" s="1">
        <v>4.5754132947639456E-2</v>
      </c>
      <c r="N342" s="1">
        <v>0.38652679437529297</v>
      </c>
      <c r="O342" s="1">
        <v>8.0199999999999994E-2</v>
      </c>
      <c r="P342" s="1">
        <v>8.4128155476248925E-2</v>
      </c>
      <c r="Q342" s="1">
        <v>0.28079184057115614</v>
      </c>
      <c r="R342" s="2">
        <f t="shared" si="23"/>
        <v>12.854660988269741</v>
      </c>
      <c r="S342" s="2">
        <f t="shared" si="22"/>
        <v>4.4617802346319984</v>
      </c>
      <c r="T342" s="2">
        <f t="shared" si="24"/>
        <v>2.126286577182964</v>
      </c>
      <c r="U342" s="2">
        <f t="shared" si="25"/>
        <v>19.4427278000847</v>
      </c>
    </row>
    <row r="343" spans="1:21" x14ac:dyDescent="0.25">
      <c r="A343">
        <v>2202097</v>
      </c>
      <c r="B343">
        <v>24</v>
      </c>
      <c r="C343" s="1">
        <f>0.511688803246783*(10.3/7.3)</f>
        <v>0.72197187307422828</v>
      </c>
      <c r="D343" s="1">
        <f>0.705529553869463*(10.3/7.3)</f>
        <v>0.99547320614458479</v>
      </c>
      <c r="E343" s="1">
        <f>2.4748192329436*(10.3/7.3)</f>
        <v>3.4918682327834398</v>
      </c>
      <c r="F343" s="1">
        <f>5.4232340253126*(38.9/42.5)</f>
        <v>4.9638542019920067</v>
      </c>
      <c r="G343" s="1">
        <v>0.22567255537054975</v>
      </c>
      <c r="H343" s="1">
        <v>1.745367091048655</v>
      </c>
      <c r="I343" s="1">
        <v>3.9910318329074426</v>
      </c>
      <c r="J343" s="1">
        <v>1.1136995461445816E-2</v>
      </c>
      <c r="K343" s="1">
        <v>1.9292699046655624</v>
      </c>
      <c r="L343" s="1">
        <v>2.0062405890260533</v>
      </c>
      <c r="M343" s="1">
        <v>4.9179971919195431E-2</v>
      </c>
      <c r="N343" s="1">
        <v>0.46766400507838418</v>
      </c>
      <c r="O343" s="1">
        <v>8.9548888888888886E-2</v>
      </c>
      <c r="P343" s="1">
        <v>7.9948728295203705E-2</v>
      </c>
      <c r="Q343" s="1">
        <v>0.36066390127713466</v>
      </c>
      <c r="R343" s="2">
        <f t="shared" si="23"/>
        <v>16.495902894598043</v>
      </c>
      <c r="S343" s="2">
        <f t="shared" si="22"/>
        <v>2.0203556284222119</v>
      </c>
      <c r="T343" s="2">
        <f t="shared" si="24"/>
        <v>2.6126334549125216</v>
      </c>
      <c r="U343" s="2">
        <f t="shared" si="25"/>
        <v>21.128891977932778</v>
      </c>
    </row>
    <row r="344" spans="1:21" x14ac:dyDescent="0.25">
      <c r="A344">
        <v>2202105</v>
      </c>
      <c r="B344">
        <v>55</v>
      </c>
      <c r="C344" s="1">
        <f>0.482099644575118*(10.3/7.3)</f>
        <v>0.68022278618133136</v>
      </c>
      <c r="D344" s="1">
        <f>0.654756432871706*(10.3/7.3)</f>
        <v>0.92383441898336671</v>
      </c>
      <c r="E344" s="1">
        <f>2.30103715846798*(10.3/7.3)</f>
        <v>3.2466688674274216</v>
      </c>
      <c r="F344" s="1">
        <f>4.89648968342647*(38.9/42.5)</f>
        <v>4.4817282043597579</v>
      </c>
      <c r="G344" s="1">
        <v>0.19703447891365861</v>
      </c>
      <c r="H344" s="1">
        <v>1.2763366400467928</v>
      </c>
      <c r="I344" s="1">
        <v>3.5965681391439546</v>
      </c>
      <c r="J344" s="1">
        <v>1.0391065957313235E-2</v>
      </c>
      <c r="K344" s="1">
        <v>1.8005301051689644</v>
      </c>
      <c r="L344" s="1">
        <v>1.8897868023160007</v>
      </c>
      <c r="M344" s="1">
        <v>4.8061546327212788E-2</v>
      </c>
      <c r="N344" s="1">
        <v>0.44567588179378004</v>
      </c>
      <c r="O344" s="1">
        <v>8.6579393939393928E-2</v>
      </c>
      <c r="P344" s="1">
        <v>7.645761348541194E-2</v>
      </c>
      <c r="Q344" s="1">
        <v>0.31489528593507105</v>
      </c>
      <c r="R344" s="2">
        <f t="shared" si="23"/>
        <v>14.717288820991357</v>
      </c>
      <c r="S344" s="2">
        <f t="shared" si="22"/>
        <v>1.8873787846116896</v>
      </c>
      <c r="T344" s="2">
        <f t="shared" si="24"/>
        <v>2.4701036243763874</v>
      </c>
      <c r="U344" s="2">
        <f t="shared" si="25"/>
        <v>19.074771229979437</v>
      </c>
    </row>
    <row r="345" spans="1:21" x14ac:dyDescent="0.25">
      <c r="A345">
        <v>2202113</v>
      </c>
      <c r="B345">
        <v>34</v>
      </c>
      <c r="C345" s="1">
        <f>0.503019123011827*(10.3/7.3)</f>
        <v>0.70973931055093453</v>
      </c>
      <c r="D345" s="1">
        <f>0.671744606449547*(10.3/7.3)</f>
        <v>0.94780403375757982</v>
      </c>
      <c r="E345" s="1">
        <f>2.36319988132297*(10.3/7.3)</f>
        <v>3.3343779147433681</v>
      </c>
      <c r="F345" s="1">
        <f>4.98890918776967*(38.9/42.5)</f>
        <v>4.5663192330409474</v>
      </c>
      <c r="G345" s="1">
        <v>0.19839465745502635</v>
      </c>
      <c r="H345" s="1">
        <v>1.2294057178260018</v>
      </c>
      <c r="I345" s="1">
        <v>3.6771409049270964</v>
      </c>
      <c r="J345" s="1">
        <v>1.0123535364059992E-2</v>
      </c>
      <c r="K345" s="1">
        <v>1.6804001063009519</v>
      </c>
      <c r="L345" s="1">
        <v>1.8118050136323645</v>
      </c>
      <c r="M345" s="1">
        <v>4.7956258063575785E-2</v>
      </c>
      <c r="N345" s="1">
        <v>0.43451608300579553</v>
      </c>
      <c r="O345" s="1">
        <v>8.5948235294117631E-2</v>
      </c>
      <c r="P345" s="1">
        <v>7.3353995615828421E-2</v>
      </c>
      <c r="Q345" s="1">
        <v>0.3170690872568917</v>
      </c>
      <c r="R345" s="2">
        <f t="shared" si="23"/>
        <v>14.980250859557845</v>
      </c>
      <c r="S345" s="2">
        <f t="shared" si="22"/>
        <v>1.7638776372808405</v>
      </c>
      <c r="T345" s="2">
        <f t="shared" si="24"/>
        <v>2.3802255899958533</v>
      </c>
      <c r="U345" s="2">
        <f t="shared" si="25"/>
        <v>19.124354086834536</v>
      </c>
    </row>
    <row r="346" spans="1:21" x14ac:dyDescent="0.25">
      <c r="A346">
        <v>2202121</v>
      </c>
      <c r="B346">
        <v>52</v>
      </c>
      <c r="C346" s="1">
        <f>0.507469718562964*(10.3/7.3)</f>
        <v>0.7160189179724008</v>
      </c>
      <c r="D346" s="1">
        <f>0.660146914945988*(10.3/7.3)</f>
        <v>0.931440167663518</v>
      </c>
      <c r="E346" s="1">
        <f>2.32686968975896*(10.3/7.3)</f>
        <v>3.2831175074681211</v>
      </c>
      <c r="F346" s="1">
        <f>4.81826161510751*(38.9/42.5)</f>
        <v>4.4101265135925232</v>
      </c>
      <c r="G346" s="1">
        <v>0.18649305108192504</v>
      </c>
      <c r="H346" s="1">
        <v>1.1522052577674746</v>
      </c>
      <c r="I346" s="1">
        <v>3.5662773506660943</v>
      </c>
      <c r="J346" s="1">
        <v>1.0274917898104283E-2</v>
      </c>
      <c r="K346" s="1">
        <v>1.710302871797085</v>
      </c>
      <c r="L346" s="1">
        <v>1.8755058480413485</v>
      </c>
      <c r="M346" s="1">
        <v>4.8326583462720681E-2</v>
      </c>
      <c r="N346" s="1">
        <v>0.45054726935603051</v>
      </c>
      <c r="O346" s="1">
        <v>8.7966153846153833E-2</v>
      </c>
      <c r="P346" s="1">
        <v>7.6014055026773331E-2</v>
      </c>
      <c r="Q346" s="1">
        <v>0.29804825515376171</v>
      </c>
      <c r="R346" s="2">
        <f t="shared" si="23"/>
        <v>14.543727021365818</v>
      </c>
      <c r="S346" s="2">
        <f t="shared" si="22"/>
        <v>1.7965918447219626</v>
      </c>
      <c r="T346" s="2">
        <f t="shared" si="24"/>
        <v>2.4623458547062533</v>
      </c>
      <c r="U346" s="2">
        <f t="shared" si="25"/>
        <v>18.802664720794034</v>
      </c>
    </row>
    <row r="347" spans="1:21" x14ac:dyDescent="0.25">
      <c r="A347">
        <v>2202129</v>
      </c>
      <c r="B347">
        <v>55</v>
      </c>
      <c r="C347" s="1">
        <f>0.508748987282168*(10.3/7.3)</f>
        <v>0.71782391356251163</v>
      </c>
      <c r="D347" s="1">
        <f>0.638818956284536*(10.3/7.3)</f>
        <v>0.90134729448366024</v>
      </c>
      <c r="E347" s="1">
        <f>2.25650763033464*(10.3/7.3)</f>
        <v>3.183839533211883</v>
      </c>
      <c r="F347" s="1">
        <f>4.60710091130822*(38.9/42.5)</f>
        <v>4.2168523635268178</v>
      </c>
      <c r="G347" s="1">
        <v>0.17406750907919652</v>
      </c>
      <c r="H347" s="1">
        <v>1.0962713079902917</v>
      </c>
      <c r="I347" s="1">
        <v>3.4398629826621181</v>
      </c>
      <c r="J347" s="1">
        <v>1.0432109310019417E-2</v>
      </c>
      <c r="K347" s="1">
        <v>1.7271016590167638</v>
      </c>
      <c r="L347" s="1">
        <v>1.9456237708294501</v>
      </c>
      <c r="M347" s="1">
        <v>4.8398966966695538E-2</v>
      </c>
      <c r="N347" s="1">
        <v>0.46565524563654936</v>
      </c>
      <c r="O347" s="1">
        <v>8.9786181818181807E-2</v>
      </c>
      <c r="P347" s="1">
        <v>7.8162370893811395E-2</v>
      </c>
      <c r="Q347" s="1">
        <v>0.2781900830032823</v>
      </c>
      <c r="R347" s="2">
        <f t="shared" si="23"/>
        <v>14.008254987519759</v>
      </c>
      <c r="S347" s="2">
        <f t="shared" si="22"/>
        <v>1.8156961392205946</v>
      </c>
      <c r="T347" s="2">
        <f t="shared" si="24"/>
        <v>2.5494641652508769</v>
      </c>
      <c r="U347" s="2">
        <f t="shared" si="25"/>
        <v>18.373415291991233</v>
      </c>
    </row>
    <row r="348" spans="1:21" x14ac:dyDescent="0.25">
      <c r="A348">
        <v>2202137</v>
      </c>
      <c r="B348">
        <v>39</v>
      </c>
      <c r="C348" s="1">
        <f>0.563296953477574*(10.3/7.3)</f>
        <v>0.79478885216698825</v>
      </c>
      <c r="D348" s="1">
        <f>0.679451836565319*(10.3/7.3)</f>
        <v>0.95867861871544979</v>
      </c>
      <c r="E348" s="1">
        <f>2.40525833478475*(10.3/7.3)</f>
        <v>3.3937206641483475</v>
      </c>
      <c r="F348" s="1">
        <f>4.87027084666556*(38.9/42.5)</f>
        <v>4.457730257300951</v>
      </c>
      <c r="G348" s="1">
        <v>0.18052511388046805</v>
      </c>
      <c r="H348" s="1">
        <v>1.3018353131260478</v>
      </c>
      <c r="I348" s="1">
        <v>3.6805226820938057</v>
      </c>
      <c r="J348" s="1">
        <v>1.0842364800559985E-2</v>
      </c>
      <c r="K348" s="1">
        <v>1.7474313338968159</v>
      </c>
      <c r="L348" s="1">
        <v>2.1474744687993472</v>
      </c>
      <c r="M348" s="1">
        <v>5.1452752072435499E-2</v>
      </c>
      <c r="N348" s="1">
        <v>0.48849084473649002</v>
      </c>
      <c r="O348" s="1">
        <v>9.345641025641023E-2</v>
      </c>
      <c r="P348" s="1">
        <v>8.009985712762778E-2</v>
      </c>
      <c r="Q348" s="1">
        <v>0.28851045597335095</v>
      </c>
      <c r="R348" s="2">
        <f t="shared" si="23"/>
        <v>15.056311957405409</v>
      </c>
      <c r="S348" s="2">
        <f t="shared" si="22"/>
        <v>1.8383735558250036</v>
      </c>
      <c r="T348" s="2">
        <f t="shared" si="24"/>
        <v>2.7808744758646835</v>
      </c>
      <c r="U348" s="2">
        <f t="shared" si="25"/>
        <v>19.675559989095099</v>
      </c>
    </row>
    <row r="349" spans="1:21" x14ac:dyDescent="0.25">
      <c r="A349">
        <v>2202201</v>
      </c>
      <c r="B349">
        <v>4</v>
      </c>
      <c r="C349" s="1">
        <f>1.90174380434151*(10.3/7.3)</f>
        <v>2.6832823540709017</v>
      </c>
      <c r="D349" s="1">
        <f>2.06736824956447*(10.3/7.3)</f>
        <v>2.9169716397964387</v>
      </c>
      <c r="E349" s="1">
        <f>7.35981708328571*(10.3/7.3)</f>
        <v>10.384399446279833</v>
      </c>
      <c r="F349" s="1">
        <f>14.7049459586484*(38.9/42.5)</f>
        <v>13.459350536268792</v>
      </c>
      <c r="G349" s="1">
        <v>0.52217765431943886</v>
      </c>
      <c r="H349" s="1">
        <v>1.8912493969274238</v>
      </c>
      <c r="I349" s="1">
        <v>11.509224574901227</v>
      </c>
      <c r="J349" s="1">
        <v>2.9432982861945223E-2</v>
      </c>
      <c r="K349" s="1">
        <v>2.9165908407755783</v>
      </c>
      <c r="L349" s="1">
        <v>4.1803338422710912</v>
      </c>
      <c r="M349" s="1">
        <v>0.11020718083467454</v>
      </c>
      <c r="N349" s="1">
        <v>1.0298746753122805</v>
      </c>
      <c r="O349" s="1">
        <v>0.20901333333333336</v>
      </c>
      <c r="P349" s="1">
        <v>0.13346537414040754</v>
      </c>
      <c r="Q349" s="1">
        <v>0.83453049777079347</v>
      </c>
      <c r="R349" s="2">
        <f t="shared" si="23"/>
        <v>44.201186100334844</v>
      </c>
      <c r="S349" s="2">
        <f t="shared" si="22"/>
        <v>3.0794891977779311</v>
      </c>
      <c r="T349" s="2">
        <f t="shared" si="24"/>
        <v>5.5294290317513788</v>
      </c>
      <c r="U349" s="2">
        <f t="shared" si="25"/>
        <v>52.810104329864153</v>
      </c>
    </row>
    <row r="350" spans="1:21" x14ac:dyDescent="0.25">
      <c r="A350">
        <v>2202617</v>
      </c>
      <c r="B350">
        <v>3</v>
      </c>
      <c r="C350" s="1">
        <f>7.10021527522796*(10.3/7.3)</f>
        <v>10.018111963677807</v>
      </c>
      <c r="D350" s="1">
        <f>7.91623295953798*(10.3/7.3)</f>
        <v>11.169479381265923</v>
      </c>
      <c r="E350" s="1">
        <f>28.2915001263859*(10.3/7.3)</f>
        <v>39.918144013941749</v>
      </c>
      <c r="F350" s="1">
        <f>49.1570425588915*(38.9/42.5)</f>
        <v>44.993151895079521</v>
      </c>
      <c r="G350" s="1">
        <v>1.4016295798208118</v>
      </c>
      <c r="H350" s="1">
        <v>4.0833049454375505</v>
      </c>
      <c r="I350" s="1">
        <v>37.216696273873794</v>
      </c>
      <c r="J350" s="1">
        <v>3.673200052498702E-2</v>
      </c>
      <c r="K350" s="1">
        <v>2.6045655374581087</v>
      </c>
      <c r="L350" s="1">
        <v>2.3806323493311385</v>
      </c>
      <c r="M350" s="1">
        <v>0.17792224345421195</v>
      </c>
      <c r="N350" s="1">
        <v>2.1183492343720647</v>
      </c>
      <c r="O350" s="1">
        <v>0.12789333333333333</v>
      </c>
      <c r="P350" s="1">
        <v>0.10252437520283859</v>
      </c>
      <c r="Q350" s="1">
        <v>2.2400472736862311</v>
      </c>
      <c r="R350" s="2">
        <f t="shared" si="23"/>
        <v>151.04056532678339</v>
      </c>
      <c r="S350" s="2">
        <f t="shared" si="22"/>
        <v>2.743821913185934</v>
      </c>
      <c r="T350" s="2">
        <f t="shared" si="24"/>
        <v>4.8047971604907493</v>
      </c>
      <c r="U350" s="2">
        <f t="shared" si="25"/>
        <v>158.58918440046008</v>
      </c>
    </row>
    <row r="351" spans="1:21" x14ac:dyDescent="0.25">
      <c r="A351">
        <v>2202625</v>
      </c>
      <c r="B351">
        <v>32</v>
      </c>
      <c r="C351" s="1">
        <f>8.82378158026486*(10.3/7.3)</f>
        <v>12.449993188592883</v>
      </c>
      <c r="D351" s="1">
        <f>9.71812410378816*(10.3/7.3)</f>
        <v>13.71187373548192</v>
      </c>
      <c r="E351" s="1">
        <f>34.8049434852024*(10.3/7.3)</f>
        <v>49.108344917477424</v>
      </c>
      <c r="F351" s="1">
        <f>57.8528445025658*(38.9/42.5)</f>
        <v>52.952368262348479</v>
      </c>
      <c r="G351" s="1">
        <v>1.4964358367883739</v>
      </c>
      <c r="H351" s="1">
        <v>2.6781362874544525</v>
      </c>
      <c r="I351" s="1">
        <v>43.673901688652315</v>
      </c>
      <c r="J351" s="1">
        <v>3.8693775062074311E-2</v>
      </c>
      <c r="K351" s="1">
        <v>2.6691977721782201</v>
      </c>
      <c r="L351" s="1">
        <v>2.5996517464435986</v>
      </c>
      <c r="M351" s="1">
        <v>0.19239778677388009</v>
      </c>
      <c r="N351" s="1">
        <v>2.0788451556243475</v>
      </c>
      <c r="O351" s="1">
        <v>0.13245666666666667</v>
      </c>
      <c r="P351" s="1">
        <v>0.10566761010847177</v>
      </c>
      <c r="Q351" s="1">
        <v>2.3915641227211473</v>
      </c>
      <c r="R351" s="2">
        <f t="shared" si="23"/>
        <v>178.462618039517</v>
      </c>
      <c r="S351" s="2">
        <f t="shared" si="22"/>
        <v>2.8135591573487662</v>
      </c>
      <c r="T351" s="2">
        <f t="shared" si="24"/>
        <v>5.0033513555084923</v>
      </c>
      <c r="U351" s="2">
        <f t="shared" si="25"/>
        <v>186.27952855237427</v>
      </c>
    </row>
    <row r="352" spans="1:21" x14ac:dyDescent="0.25">
      <c r="A352">
        <v>2202729</v>
      </c>
      <c r="B352">
        <v>55</v>
      </c>
      <c r="C352" s="1">
        <f>13.3185883513853*(10.3/7.3)</f>
        <v>18.79198082455736</v>
      </c>
      <c r="D352" s="1">
        <f>17.711706225092*(10.3/7.3)</f>
        <v>24.990489605266738</v>
      </c>
      <c r="E352" s="1">
        <f>63.0899731897823*(10.3/7.3)</f>
        <v>89.017359432158628</v>
      </c>
      <c r="F352" s="1">
        <f>94.2863608475056*(38.9/42.5)</f>
        <v>86.299751458069863</v>
      </c>
      <c r="G352" s="1">
        <v>2.0234655390382592</v>
      </c>
      <c r="H352" s="1">
        <v>3.6002805930417785</v>
      </c>
      <c r="I352" s="1">
        <v>63.451125369883712</v>
      </c>
      <c r="J352" s="1">
        <v>2.6119619346251833E-2</v>
      </c>
      <c r="K352" s="1">
        <v>2.2260397410311032</v>
      </c>
      <c r="L352" s="1">
        <v>1.9289453787386963</v>
      </c>
      <c r="M352" s="1">
        <v>0.10160201587512961</v>
      </c>
      <c r="N352" s="1">
        <v>1.3336149077479806</v>
      </c>
      <c r="O352" s="1">
        <v>9.1395878787878762E-2</v>
      </c>
      <c r="P352" s="1">
        <v>7.8700201586436175E-2</v>
      </c>
      <c r="Q352" s="1">
        <v>3.2338490349926552</v>
      </c>
      <c r="R352" s="2">
        <f t="shared" si="23"/>
        <v>291.40830185700901</v>
      </c>
      <c r="S352" s="2">
        <f t="shared" si="22"/>
        <v>2.3308595619637908</v>
      </c>
      <c r="T352" s="2">
        <f t="shared" si="24"/>
        <v>3.4555581811496854</v>
      </c>
      <c r="U352" s="2">
        <f t="shared" si="25"/>
        <v>297.19471960012248</v>
      </c>
    </row>
    <row r="353" spans="1:21" x14ac:dyDescent="0.25">
      <c r="A353">
        <v>2202737</v>
      </c>
      <c r="B353">
        <v>67</v>
      </c>
      <c r="C353" s="1">
        <f>9.99950221128357*(10.3/7.3)</f>
        <v>14.108886681674084</v>
      </c>
      <c r="D353" s="1">
        <f>12.9904068020524*(10.3/7.3)</f>
        <v>18.328930145361571</v>
      </c>
      <c r="E353" s="1">
        <f>46.3230987041877*(10.3/7.3)</f>
        <v>65.359988582621014</v>
      </c>
      <c r="F353" s="1">
        <f>69.0252874513841*(38.9/42.5)</f>
        <v>63.178439573149241</v>
      </c>
      <c r="G353" s="1">
        <v>1.4517806231589179</v>
      </c>
      <c r="H353" s="1">
        <v>2.2372014137144958</v>
      </c>
      <c r="I353" s="1">
        <v>46.930715611819437</v>
      </c>
      <c r="J353" s="1">
        <v>2.359803937887538E-2</v>
      </c>
      <c r="K353" s="1">
        <v>2.0671983851042439</v>
      </c>
      <c r="L353" s="1">
        <v>1.7459995099578149</v>
      </c>
      <c r="M353" s="1">
        <v>9.249263480877408E-2</v>
      </c>
      <c r="N353" s="1">
        <v>1.220423483272884</v>
      </c>
      <c r="O353" s="1">
        <v>8.3512835820895498E-2</v>
      </c>
      <c r="P353" s="1">
        <v>7.3776618954275966E-2</v>
      </c>
      <c r="Q353" s="1">
        <v>2.3201973429480449</v>
      </c>
      <c r="R353" s="2">
        <f t="shared" si="23"/>
        <v>213.91613997444679</v>
      </c>
      <c r="S353" s="2">
        <f t="shared" si="22"/>
        <v>2.1645730434373953</v>
      </c>
      <c r="T353" s="2">
        <f t="shared" si="24"/>
        <v>3.1424284638603681</v>
      </c>
      <c r="U353" s="2">
        <f t="shared" si="25"/>
        <v>219.22314148174456</v>
      </c>
    </row>
    <row r="354" spans="1:21" x14ac:dyDescent="0.25">
      <c r="A354">
        <v>2202745</v>
      </c>
      <c r="B354">
        <v>67</v>
      </c>
      <c r="C354" s="1">
        <f>13.3213747727634*(10.3/7.3)</f>
        <v>18.795912350611413</v>
      </c>
      <c r="D354" s="1">
        <f>16.6785166979323*(10.3/7.3)</f>
        <v>23.532701642287979</v>
      </c>
      <c r="E354" s="1">
        <f>59.5839357332149*(10.3/7.3)</f>
        <v>84.070484664673089</v>
      </c>
      <c r="F354" s="1">
        <f>88.1871126253149*(38.9/42.5)</f>
        <v>80.717145438229409</v>
      </c>
      <c r="G354" s="1">
        <v>1.7820088290157841</v>
      </c>
      <c r="H354" s="1">
        <v>2.8879315759439717</v>
      </c>
      <c r="I354" s="1">
        <v>60.924659692918269</v>
      </c>
      <c r="J354" s="1">
        <v>2.7677848125741172E-2</v>
      </c>
      <c r="K354" s="1">
        <v>2.3654637215157432</v>
      </c>
      <c r="L354" s="1">
        <v>2.0384401735003999</v>
      </c>
      <c r="M354" s="1">
        <v>0.10386597547128845</v>
      </c>
      <c r="N354" s="1">
        <v>1.6132615770313223</v>
      </c>
      <c r="O354" s="1">
        <v>9.4553631840796015E-2</v>
      </c>
      <c r="P354" s="1">
        <v>8.0356222808290134E-2</v>
      </c>
      <c r="Q354" s="1">
        <v>2.8479593157786525</v>
      </c>
      <c r="R354" s="2">
        <f t="shared" si="23"/>
        <v>275.55880350945858</v>
      </c>
      <c r="S354" s="2">
        <f t="shared" si="22"/>
        <v>2.4734977924497747</v>
      </c>
      <c r="T354" s="2">
        <f t="shared" si="24"/>
        <v>3.8501213578438067</v>
      </c>
      <c r="U354" s="2">
        <f t="shared" si="25"/>
        <v>281.88242265975219</v>
      </c>
    </row>
    <row r="355" spans="1:21" x14ac:dyDescent="0.25">
      <c r="A355">
        <v>2214181</v>
      </c>
      <c r="B355">
        <v>22</v>
      </c>
      <c r="C355" s="1">
        <f>0.348872845630207*(10.3/7.3)</f>
        <v>0.49224524794399038</v>
      </c>
      <c r="D355" s="1">
        <f>0.711514239356998*(10.3/7.3)</f>
        <v>1.0039173514215172</v>
      </c>
      <c r="E355" s="1">
        <f>2.39232070228206*(10.3/7.3)</f>
        <v>3.3754661963705836</v>
      </c>
      <c r="F355" s="1">
        <f>8.8035616564129*(38.9/42.5)</f>
        <v>8.0578481984579238</v>
      </c>
      <c r="G355" s="1">
        <v>0.52962246011496805</v>
      </c>
      <c r="H355" s="1">
        <v>2.1865970337549965</v>
      </c>
      <c r="I355" s="1">
        <v>6.6665649143993759</v>
      </c>
      <c r="J355" s="1">
        <v>9.0306176835898005E-3</v>
      </c>
      <c r="K355" s="1">
        <v>2.8272084554989099</v>
      </c>
      <c r="L355" s="1">
        <v>1.4973136283182362</v>
      </c>
      <c r="M355" s="1">
        <v>4.3013401438302006E-2</v>
      </c>
      <c r="N355" s="1">
        <v>0.37386388647209584</v>
      </c>
      <c r="O355" s="1">
        <v>7.8210909090909067E-2</v>
      </c>
      <c r="P355" s="1">
        <v>8.6250831033587896E-2</v>
      </c>
      <c r="Q355" s="1">
        <v>0.84642858922483555</v>
      </c>
      <c r="R355" s="2">
        <f t="shared" si="23"/>
        <v>23.158689991688192</v>
      </c>
      <c r="S355" s="2">
        <f t="shared" si="22"/>
        <v>2.9224899042160875</v>
      </c>
      <c r="T355" s="2">
        <f t="shared" si="24"/>
        <v>1.992401825319543</v>
      </c>
      <c r="U355" s="2">
        <f t="shared" si="25"/>
        <v>28.073581721223821</v>
      </c>
    </row>
    <row r="356" spans="1:21" x14ac:dyDescent="0.25">
      <c r="A356">
        <v>2214189</v>
      </c>
      <c r="B356">
        <v>16</v>
      </c>
      <c r="C356" s="1">
        <f>0.361061480125806*(10.3/7.3)</f>
        <v>0.50944291031449274</v>
      </c>
      <c r="D356" s="1">
        <f>0.579298075383721*(10.3/7.3)</f>
        <v>0.81736577759620899</v>
      </c>
      <c r="E356" s="1">
        <f>2.0197858247619*(10.3/7.3)</f>
        <v>2.8498347938421387</v>
      </c>
      <c r="F356" s="1">
        <f>4.45197375450916*(38.9/42.5)</f>
        <v>4.0748653894213271</v>
      </c>
      <c r="G356" s="1">
        <v>0.19066311023283355</v>
      </c>
      <c r="H356" s="1">
        <v>1.3660772946213595</v>
      </c>
      <c r="I356" s="1">
        <v>3.1461158126679738</v>
      </c>
      <c r="J356" s="1">
        <v>9.0650213867804301E-3</v>
      </c>
      <c r="K356" s="1">
        <v>3.48922074320495</v>
      </c>
      <c r="L356" s="1">
        <v>1.5464825740873216</v>
      </c>
      <c r="M356" s="1">
        <v>4.5343144697749631E-2</v>
      </c>
      <c r="N356" s="1">
        <v>0.37541888426971848</v>
      </c>
      <c r="O356" s="1">
        <v>7.916999999999999E-2</v>
      </c>
      <c r="P356" s="1">
        <v>8.1898123235962739E-2</v>
      </c>
      <c r="Q356" s="1">
        <v>0.30471273324882109</v>
      </c>
      <c r="R356" s="2">
        <f t="shared" si="23"/>
        <v>13.259077821945155</v>
      </c>
      <c r="S356" s="2">
        <f t="shared" si="22"/>
        <v>3.580183887827693</v>
      </c>
      <c r="T356" s="2">
        <f t="shared" si="24"/>
        <v>2.0464146030547896</v>
      </c>
      <c r="U356" s="2">
        <f t="shared" si="25"/>
        <v>18.885676312827638</v>
      </c>
    </row>
    <row r="357" spans="1:21" x14ac:dyDescent="0.25">
      <c r="A357">
        <v>2214325</v>
      </c>
      <c r="B357">
        <v>8</v>
      </c>
      <c r="C357" s="1">
        <f>0.6126225852773*(10.3/7.3)</f>
        <v>0.86438529155564281</v>
      </c>
      <c r="D357" s="1">
        <f>0.83336750069646*(10.3/7.3)</f>
        <v>1.1758472955032251</v>
      </c>
      <c r="E357" s="1">
        <f>2.92406880319128*(10.3/7.3)</f>
        <v>4.1257409140918098</v>
      </c>
      <c r="F357" s="1">
        <f>6.44854268423304*(38.9/42.5)</f>
        <v>5.9023131862744789</v>
      </c>
      <c r="G357" s="1">
        <v>0.26947124442867842</v>
      </c>
      <c r="H357" s="1">
        <v>3.9404178245782626</v>
      </c>
      <c r="I357" s="1">
        <v>4.7707630571276551</v>
      </c>
      <c r="J357" s="1">
        <v>1.2720064063201367E-2</v>
      </c>
      <c r="K357" s="1">
        <v>2.1357303479662404</v>
      </c>
      <c r="L357" s="1">
        <v>2.3200866801526399</v>
      </c>
      <c r="M357" s="1">
        <v>5.5358138749493316E-2</v>
      </c>
      <c r="N357" s="1">
        <v>0.52123404320970701</v>
      </c>
      <c r="O357" s="1">
        <v>9.6980000000000025E-2</v>
      </c>
      <c r="P357" s="1">
        <v>8.7070482008388544E-2</v>
      </c>
      <c r="Q357" s="1">
        <v>0.43066180616455496</v>
      </c>
      <c r="R357" s="2">
        <f t="shared" si="23"/>
        <v>21.479600619724309</v>
      </c>
      <c r="S357" s="2">
        <f t="shared" si="22"/>
        <v>2.2355208940378302</v>
      </c>
      <c r="T357" s="2">
        <f t="shared" si="24"/>
        <v>2.9936588621118401</v>
      </c>
      <c r="U357" s="2">
        <f t="shared" si="25"/>
        <v>26.708780375873978</v>
      </c>
    </row>
    <row r="358" spans="1:21" x14ac:dyDescent="0.25">
      <c r="A358">
        <v>2214333</v>
      </c>
      <c r="B358">
        <v>46</v>
      </c>
      <c r="C358" s="1">
        <f>0.481075892946905*(10.3/7.3)</f>
        <v>0.67877831470590722</v>
      </c>
      <c r="D358" s="1">
        <f>0.650211804707963*(10.3/7.3)</f>
        <v>0.91742213540986606</v>
      </c>
      <c r="E358" s="1">
        <f>2.28611637096462*(10.3/7.3)</f>
        <v>3.2256162494432363</v>
      </c>
      <c r="F358" s="1">
        <f>4.83495081018128*(38.9/42.5)</f>
        <v>4.4254020356718051</v>
      </c>
      <c r="G358" s="1">
        <v>0.19308424390244877</v>
      </c>
      <c r="H358" s="1">
        <v>1.3150967749576865</v>
      </c>
      <c r="I358" s="1">
        <v>3.5518465463008813</v>
      </c>
      <c r="J358" s="1">
        <v>1.0127973907120613E-2</v>
      </c>
      <c r="K358" s="1">
        <v>1.6734549534556409</v>
      </c>
      <c r="L358" s="1">
        <v>1.8065294587249345</v>
      </c>
      <c r="M358" s="1">
        <v>4.6460736814428694E-2</v>
      </c>
      <c r="N358" s="1">
        <v>0.42542580172919164</v>
      </c>
      <c r="O358" s="1">
        <v>8.4066086956521749E-2</v>
      </c>
      <c r="P358" s="1">
        <v>7.1085227590654346E-2</v>
      </c>
      <c r="Q358" s="1">
        <v>0.30858212495825177</v>
      </c>
      <c r="R358" s="2">
        <f t="shared" si="23"/>
        <v>14.615828425350083</v>
      </c>
      <c r="S358" s="2">
        <f t="shared" si="22"/>
        <v>1.754668154953416</v>
      </c>
      <c r="T358" s="2">
        <f t="shared" si="24"/>
        <v>2.3624820842250767</v>
      </c>
      <c r="U358" s="2">
        <f t="shared" si="25"/>
        <v>18.732978664528574</v>
      </c>
    </row>
    <row r="359" spans="1:21" x14ac:dyDescent="0.25">
      <c r="A359">
        <v>2214341</v>
      </c>
      <c r="B359">
        <v>49</v>
      </c>
      <c r="C359" s="1">
        <f>0.488370782325164*(10.3/7.3)</f>
        <v>0.68907110382865588</v>
      </c>
      <c r="D359" s="1">
        <f>0.654790635364131*(10.3/7.3)</f>
        <v>0.92388267729459639</v>
      </c>
      <c r="E359" s="1">
        <f>2.30337495472902*(10.3/7.3)</f>
        <v>3.2499674018779379</v>
      </c>
      <c r="F359" s="1">
        <f>4.8521078950695*(38.9/42.5)</f>
        <v>4.441105814545967</v>
      </c>
      <c r="G359" s="1">
        <v>0.19263164394706547</v>
      </c>
      <c r="H359" s="1">
        <v>1.2025733549628495</v>
      </c>
      <c r="I359" s="1">
        <v>3.5702107273649371</v>
      </c>
      <c r="J359" s="1">
        <v>1.0394810053244462E-2</v>
      </c>
      <c r="K359" s="1">
        <v>1.7973139477729227</v>
      </c>
      <c r="L359" s="1">
        <v>1.9340920166270232</v>
      </c>
      <c r="M359" s="1">
        <v>4.8067912265435657E-2</v>
      </c>
      <c r="N359" s="1">
        <v>0.45189181350934265</v>
      </c>
      <c r="O359" s="1">
        <v>8.7299047619047596E-2</v>
      </c>
      <c r="P359" s="1">
        <v>7.7366146335112976E-2</v>
      </c>
      <c r="Q359" s="1">
        <v>0.30785879169622377</v>
      </c>
      <c r="R359" s="2">
        <f t="shared" si="23"/>
        <v>14.577301515518235</v>
      </c>
      <c r="S359" s="2">
        <f t="shared" si="22"/>
        <v>1.8850749041612802</v>
      </c>
      <c r="T359" s="2">
        <f t="shared" si="24"/>
        <v>2.5213507900208492</v>
      </c>
      <c r="U359" s="2">
        <f t="shared" si="25"/>
        <v>18.983727209700366</v>
      </c>
    </row>
    <row r="360" spans="1:21" x14ac:dyDescent="0.25">
      <c r="A360">
        <v>2214349</v>
      </c>
      <c r="B360">
        <v>62</v>
      </c>
      <c r="C360" s="1">
        <f>0.507950534850781*(10.3/7.3)</f>
        <v>0.71669732999493696</v>
      </c>
      <c r="D360" s="1">
        <f>0.663771290596051*(10.3/7.3)</f>
        <v>0.93655401275881234</v>
      </c>
      <c r="E360" s="1">
        <f>2.33860543993257*(10.3/7.3)</f>
        <v>3.2996761686719771</v>
      </c>
      <c r="F360" s="1">
        <f>4.87189629250486*(38.9/42.5)</f>
        <v>4.4592180183162089</v>
      </c>
      <c r="G360" s="1">
        <v>0.19006606580283808</v>
      </c>
      <c r="H360" s="1">
        <v>1.1648876828496173</v>
      </c>
      <c r="I360" s="1">
        <v>3.6053176445687867</v>
      </c>
      <c r="J360" s="1">
        <v>1.0316733986743964E-2</v>
      </c>
      <c r="K360" s="1">
        <v>1.7272525340186511</v>
      </c>
      <c r="L360" s="1">
        <v>1.9083570368339977</v>
      </c>
      <c r="M360" s="1">
        <v>4.7986482548829902E-2</v>
      </c>
      <c r="N360" s="1">
        <v>0.45217548113792383</v>
      </c>
      <c r="O360" s="1">
        <v>8.7932903225806477E-2</v>
      </c>
      <c r="P360" s="1">
        <v>7.6328456912025597E-2</v>
      </c>
      <c r="Q360" s="1">
        <v>0.30375855265293777</v>
      </c>
      <c r="R360" s="2">
        <f t="shared" si="23"/>
        <v>14.676175475616114</v>
      </c>
      <c r="S360" s="2">
        <f t="shared" si="22"/>
        <v>1.8138977249174206</v>
      </c>
      <c r="T360" s="2">
        <f t="shared" si="24"/>
        <v>2.496451903746558</v>
      </c>
      <c r="U360" s="2">
        <f t="shared" si="25"/>
        <v>18.986525104280091</v>
      </c>
    </row>
    <row r="361" spans="1:21" x14ac:dyDescent="0.25">
      <c r="A361">
        <v>2214357</v>
      </c>
      <c r="B361">
        <v>64</v>
      </c>
      <c r="C361" s="1">
        <f>0.525471359309977*(10.3/7.3)</f>
        <v>0.74141849327298104</v>
      </c>
      <c r="D361" s="1">
        <f>0.664919647486396*(10.3/7.3)</f>
        <v>0.93817429713834011</v>
      </c>
      <c r="E361" s="1">
        <f>2.34748781731541*(10.3/7.3)</f>
        <v>3.3122088381299566</v>
      </c>
      <c r="F361" s="1">
        <f>4.81336244562857*(38.9/42.5)</f>
        <v>4.4056423325870941</v>
      </c>
      <c r="G361" s="1">
        <v>0.1831038463396864</v>
      </c>
      <c r="H361" s="1">
        <v>1.1346205232882081</v>
      </c>
      <c r="I361" s="1">
        <v>3.5877353738538051</v>
      </c>
      <c r="J361" s="1">
        <v>1.0352223766556107E-2</v>
      </c>
      <c r="K361" s="1">
        <v>1.6998623500855397</v>
      </c>
      <c r="L361" s="1">
        <v>1.9238498344656028</v>
      </c>
      <c r="M361" s="1">
        <v>4.8223720091690285E-2</v>
      </c>
      <c r="N361" s="1">
        <v>0.45808261415684504</v>
      </c>
      <c r="O361" s="1">
        <v>8.8942500000000022E-2</v>
      </c>
      <c r="P361" s="1">
        <v>7.6473774503527589E-2</v>
      </c>
      <c r="Q361" s="1">
        <v>0.29263171789447628</v>
      </c>
      <c r="R361" s="2">
        <f t="shared" si="23"/>
        <v>14.595535422504549</v>
      </c>
      <c r="S361" s="2">
        <f t="shared" si="22"/>
        <v>1.7866883483556233</v>
      </c>
      <c r="T361" s="2">
        <f t="shared" si="24"/>
        <v>2.5190986687141379</v>
      </c>
      <c r="U361" s="2">
        <f t="shared" si="25"/>
        <v>18.901322439574308</v>
      </c>
    </row>
    <row r="362" spans="1:21" x14ac:dyDescent="0.25">
      <c r="A362">
        <v>2214365</v>
      </c>
      <c r="B362">
        <v>67</v>
      </c>
      <c r="C362" s="1">
        <f>0.524639479314322*(10.3/7.3)</f>
        <v>0.7402447447859607</v>
      </c>
      <c r="D362" s="1">
        <f>0.643001899016212*(10.3/7.3)</f>
        <v>0.90724925477629981</v>
      </c>
      <c r="E362" s="1">
        <f>2.27427724626935*(10.3/7.3)</f>
        <v>3.2089117310375803</v>
      </c>
      <c r="F362" s="1">
        <f>4.61852050404318*(38.9/42.5)</f>
        <v>4.2273046495830506</v>
      </c>
      <c r="G362" s="1">
        <v>0.17243738300885328</v>
      </c>
      <c r="H362" s="1">
        <v>1.0749426159386055</v>
      </c>
      <c r="I362" s="1">
        <v>3.4731013979289118</v>
      </c>
      <c r="J362" s="1">
        <v>1.0556077645569524E-2</v>
      </c>
      <c r="K362" s="1">
        <v>1.7288947450548997</v>
      </c>
      <c r="L362" s="1">
        <v>2.0580823606327776</v>
      </c>
      <c r="M362" s="1">
        <v>4.9814929711646062E-2</v>
      </c>
      <c r="N362" s="1">
        <v>0.4765661978400747</v>
      </c>
      <c r="O362" s="1">
        <v>9.1055124378109462E-2</v>
      </c>
      <c r="P362" s="1">
        <v>7.9139827505981253E-2</v>
      </c>
      <c r="Q362" s="1">
        <v>0.27558485868994836</v>
      </c>
      <c r="R362" s="2">
        <f t="shared" si="23"/>
        <v>14.07977663574921</v>
      </c>
      <c r="S362" s="2">
        <f t="shared" si="22"/>
        <v>1.8185906502064504</v>
      </c>
      <c r="T362" s="2">
        <f t="shared" si="24"/>
        <v>2.6755186125626076</v>
      </c>
      <c r="U362" s="2">
        <f t="shared" si="25"/>
        <v>18.57388589851827</v>
      </c>
    </row>
    <row r="363" spans="1:21" x14ac:dyDescent="0.25">
      <c r="A363">
        <v>2214373</v>
      </c>
      <c r="B363">
        <v>18</v>
      </c>
      <c r="C363" s="1">
        <f>0.586794467974851*(10.3/7.3)</f>
        <v>0.82794287947136547</v>
      </c>
      <c r="D363" s="1">
        <f>0.693473826013705*(10.3/7.3)</f>
        <v>0.97846306958098106</v>
      </c>
      <c r="E363" s="1">
        <f>2.45777519649341*(10.3/7.3)</f>
        <v>3.4678197977920786</v>
      </c>
      <c r="F363" s="1">
        <f>4.95070275782384*(38.9/42.5)</f>
        <v>4.5313491124552332</v>
      </c>
      <c r="G363" s="1">
        <v>0.18142978447310554</v>
      </c>
      <c r="H363" s="1">
        <v>1.158026237999441</v>
      </c>
      <c r="I363" s="1">
        <v>3.7644820488615998</v>
      </c>
      <c r="J363" s="1">
        <v>1.0568877625062688E-2</v>
      </c>
      <c r="K363" s="1">
        <v>1.6573182739437267</v>
      </c>
      <c r="L363" s="1">
        <v>2.262874775412437</v>
      </c>
      <c r="M363" s="1">
        <v>5.011260463716001E-2</v>
      </c>
      <c r="N363" s="1">
        <v>0.47261801299274137</v>
      </c>
      <c r="O363" s="1">
        <v>9.1611851851851847E-2</v>
      </c>
      <c r="P363" s="1">
        <v>7.6494232447757951E-2</v>
      </c>
      <c r="Q363" s="1">
        <v>0.28995627655519179</v>
      </c>
      <c r="R363" s="2">
        <f t="shared" si="23"/>
        <v>15.199469207188995</v>
      </c>
      <c r="S363" s="2">
        <f t="shared" si="22"/>
        <v>1.7443813840165474</v>
      </c>
      <c r="T363" s="2">
        <f t="shared" si="24"/>
        <v>2.8772172448941902</v>
      </c>
      <c r="U363" s="2">
        <f t="shared" si="25"/>
        <v>19.821067836099733</v>
      </c>
    </row>
    <row r="364" spans="1:21" x14ac:dyDescent="0.25">
      <c r="A364">
        <v>2214421</v>
      </c>
      <c r="B364">
        <v>18</v>
      </c>
      <c r="C364" s="1">
        <f>2.2740691980358*(10.3/7.3)</f>
        <v>3.2086181835299667</v>
      </c>
      <c r="D364" s="1">
        <f>2.42817821979997*(10.3/7.3)</f>
        <v>3.4260596799917402</v>
      </c>
      <c r="E364" s="1">
        <f>8.65368676266779*(10.3/7.3)</f>
        <v>12.209996391161399</v>
      </c>
      <c r="F364" s="1">
        <f>17.2230248620926*(38.9/42.5)</f>
        <v>15.764133344362442</v>
      </c>
      <c r="G364" s="1">
        <v>0.60542958732346785</v>
      </c>
      <c r="H364" s="1">
        <v>2.335423205283754</v>
      </c>
      <c r="I364" s="1">
        <v>13.563216787865125</v>
      </c>
      <c r="J364" s="1">
        <v>2.5704856894144749E-2</v>
      </c>
      <c r="K364" s="1">
        <v>3.0838337700505565</v>
      </c>
      <c r="L364" s="1">
        <v>4.6413167490650116</v>
      </c>
      <c r="M364" s="1">
        <v>0.11223411442771865</v>
      </c>
      <c r="N364" s="1">
        <v>1.0823922762837801</v>
      </c>
      <c r="O364" s="1">
        <v>0.22535407407407412</v>
      </c>
      <c r="P364" s="1">
        <v>0.13876677874147841</v>
      </c>
      <c r="Q364" s="1">
        <v>0.9675815322521184</v>
      </c>
      <c r="R364" s="2">
        <f t="shared" si="23"/>
        <v>52.080458711770014</v>
      </c>
      <c r="S364" s="2">
        <f t="shared" si="22"/>
        <v>3.2483054056861795</v>
      </c>
      <c r="T364" s="2">
        <f t="shared" si="24"/>
        <v>6.061297213850585</v>
      </c>
      <c r="U364" s="2">
        <f t="shared" si="25"/>
        <v>61.390061331306782</v>
      </c>
    </row>
    <row r="365" spans="1:21" x14ac:dyDescent="0.25">
      <c r="A365">
        <v>2214429</v>
      </c>
      <c r="B365">
        <v>44</v>
      </c>
      <c r="C365" s="1">
        <f>2.42013869501656*(10.3/7.3)</f>
        <v>3.4147162409137741</v>
      </c>
      <c r="D365" s="1">
        <f>2.61217962512744*(10.3/7.3)</f>
        <v>3.6856781012072068</v>
      </c>
      <c r="E365" s="1">
        <f>9.30288664039765*(10.3/7.3)</f>
        <v>13.125990739191199</v>
      </c>
      <c r="F365" s="1">
        <f>18.5816969203397*(38.9/42.5)</f>
        <v>17.007717887087399</v>
      </c>
      <c r="G365" s="1">
        <v>0.65833249598120613</v>
      </c>
      <c r="H365" s="1">
        <v>2.5030458381114897</v>
      </c>
      <c r="I365" s="1">
        <v>14.581571063721363</v>
      </c>
      <c r="J365" s="1">
        <v>2.8835076877973542E-2</v>
      </c>
      <c r="K365" s="1">
        <v>3.137324405861897</v>
      </c>
      <c r="L365" s="1">
        <v>4.6111646431290687</v>
      </c>
      <c r="M365" s="1">
        <v>0.11817310021099611</v>
      </c>
      <c r="N365" s="1">
        <v>1.1093484215897746</v>
      </c>
      <c r="O365" s="1">
        <v>0.230670303030303</v>
      </c>
      <c r="P365" s="1">
        <v>0.14155121053229311</v>
      </c>
      <c r="Q365" s="1">
        <v>1.0521295597873166</v>
      </c>
      <c r="R365" s="2">
        <f t="shared" si="23"/>
        <v>56.029181926000959</v>
      </c>
      <c r="S365" s="2">
        <f t="shared" si="22"/>
        <v>3.3077106932721638</v>
      </c>
      <c r="T365" s="2">
        <f t="shared" si="24"/>
        <v>6.0693564679601426</v>
      </c>
      <c r="U365" s="2">
        <f t="shared" si="25"/>
        <v>65.406249087233263</v>
      </c>
    </row>
    <row r="366" spans="1:21" x14ac:dyDescent="0.25">
      <c r="A366">
        <v>2214845</v>
      </c>
      <c r="B366">
        <v>15</v>
      </c>
      <c r="C366" s="1">
        <f>6.14511152261035*(10.3/7.3)</f>
        <v>8.6704998195735037</v>
      </c>
      <c r="D366" s="1">
        <f>6.98867124001087*(10.3/7.3)</f>
        <v>9.8607279139879349</v>
      </c>
      <c r="E366" s="1">
        <f>24.9375292199599*(10.3/7.3)</f>
        <v>35.185828899395446</v>
      </c>
      <c r="F366" s="1">
        <f>44.0480886972919*(38.9/42.5)</f>
        <v>40.316956478227134</v>
      </c>
      <c r="G366" s="1">
        <v>1.3047064830789286</v>
      </c>
      <c r="H366" s="1">
        <v>3.4204900952946269</v>
      </c>
      <c r="I366" s="1">
        <v>33.17241401568829</v>
      </c>
      <c r="J366" s="1">
        <v>3.3440405930387489E-2</v>
      </c>
      <c r="K366" s="1">
        <v>2.1907249674703748</v>
      </c>
      <c r="L366" s="1">
        <v>2.0004655070339581</v>
      </c>
      <c r="M366" s="1">
        <v>0.15982393229349903</v>
      </c>
      <c r="N366" s="1">
        <v>1.4867513512594039</v>
      </c>
      <c r="O366" s="1">
        <v>0.11186488888888889</v>
      </c>
      <c r="P366" s="1">
        <v>9.1155756136355695E-2</v>
      </c>
      <c r="Q366" s="1">
        <v>2.0851473473864179</v>
      </c>
      <c r="R366" s="2">
        <f t="shared" si="23"/>
        <v>134.01677105263227</v>
      </c>
      <c r="S366" s="2">
        <f t="shared" si="22"/>
        <v>2.3153211295371183</v>
      </c>
      <c r="T366" s="2">
        <f t="shared" si="24"/>
        <v>3.7589056794757503</v>
      </c>
      <c r="U366" s="2">
        <f t="shared" si="25"/>
        <v>140.09099786164515</v>
      </c>
    </row>
    <row r="367" spans="1:21" x14ac:dyDescent="0.25">
      <c r="A367">
        <v>2214853</v>
      </c>
      <c r="B367">
        <v>14</v>
      </c>
      <c r="C367" s="1">
        <f>8.85943225314699*(10.3/7.3)</f>
        <v>12.50029482293343</v>
      </c>
      <c r="D367" s="1">
        <f>9.83877308607944*(10.3/7.3)</f>
        <v>13.882104491317572</v>
      </c>
      <c r="E367" s="1">
        <f>35.2126331926476*(10.3/7.3)</f>
        <v>49.683578340310973</v>
      </c>
      <c r="F367" s="1">
        <f>59.010575674837*(38.9/42.5)</f>
        <v>54.012032794144908</v>
      </c>
      <c r="G367" s="1">
        <v>1.559608607298884</v>
      </c>
      <c r="H367" s="1">
        <v>3.310907112483068</v>
      </c>
      <c r="I367" s="1">
        <v>44.450187757772952</v>
      </c>
      <c r="J367" s="1">
        <v>4.0857202806290363E-2</v>
      </c>
      <c r="K367" s="1">
        <v>2.7535482757848917</v>
      </c>
      <c r="L367" s="1">
        <v>2.6828497144203913</v>
      </c>
      <c r="M367" s="1">
        <v>0.20360645251128154</v>
      </c>
      <c r="N367" s="1">
        <v>2.0373912765188549</v>
      </c>
      <c r="O367" s="1">
        <v>0.13719238095238093</v>
      </c>
      <c r="P367" s="1">
        <v>0.10836549978237613</v>
      </c>
      <c r="Q367" s="1">
        <v>2.4925251714822374</v>
      </c>
      <c r="R367" s="2">
        <f t="shared" si="23"/>
        <v>181.89123909774403</v>
      </c>
      <c r="S367" s="2">
        <f t="shared" si="22"/>
        <v>2.902770978373558</v>
      </c>
      <c r="T367" s="2">
        <f t="shared" si="24"/>
        <v>5.0610398244029087</v>
      </c>
      <c r="U367" s="2">
        <f t="shared" si="25"/>
        <v>189.8550499005205</v>
      </c>
    </row>
    <row r="368" spans="1:21" x14ac:dyDescent="0.25">
      <c r="A368">
        <v>2214861</v>
      </c>
      <c r="B368">
        <v>33</v>
      </c>
      <c r="C368" s="1">
        <f>9.23300755320024*(10.3/7.3)</f>
        <v>13.027394218898969</v>
      </c>
      <c r="D368" s="1">
        <f>10.1243486797462*(10.3/7.3)</f>
        <v>14.285039917998004</v>
      </c>
      <c r="E368" s="1">
        <f>36.2760870650878*(10.3/7.3)</f>
        <v>51.184068050740308</v>
      </c>
      <c r="F368" s="1">
        <f>59.8888071606245*(38.9/42.5)</f>
        <v>54.815872907018665</v>
      </c>
      <c r="G368" s="1">
        <v>1.522398164368967</v>
      </c>
      <c r="H368" s="1">
        <v>2.6853449623600905</v>
      </c>
      <c r="I368" s="1">
        <v>45.243285801256498</v>
      </c>
      <c r="J368" s="1">
        <v>3.9559774374342979E-2</v>
      </c>
      <c r="K368" s="1">
        <v>2.6669626111877323</v>
      </c>
      <c r="L368" s="1">
        <v>2.6030837302856531</v>
      </c>
      <c r="M368" s="1">
        <v>0.19218510855545276</v>
      </c>
      <c r="N368" s="1">
        <v>2.7665884872329158</v>
      </c>
      <c r="O368" s="1">
        <v>0.1325462626262626</v>
      </c>
      <c r="P368" s="1">
        <v>0.10537754049995418</v>
      </c>
      <c r="Q368" s="1">
        <v>2.4330564270736947</v>
      </c>
      <c r="R368" s="2">
        <f t="shared" si="23"/>
        <v>185.1964604497152</v>
      </c>
      <c r="S368" s="2">
        <f t="shared" si="22"/>
        <v>2.8118999260620292</v>
      </c>
      <c r="T368" s="2">
        <f t="shared" si="24"/>
        <v>5.6944035887002844</v>
      </c>
      <c r="U368" s="2">
        <f t="shared" si="25"/>
        <v>193.70276396447753</v>
      </c>
    </row>
    <row r="369" spans="1:21" x14ac:dyDescent="0.25">
      <c r="A369">
        <v>2214957</v>
      </c>
      <c r="B369">
        <v>3</v>
      </c>
      <c r="C369" s="1">
        <f>13.134336147687*(10.3/7.3)</f>
        <v>18.532008537147444</v>
      </c>
      <c r="D369" s="1">
        <f>18.0104480294171*(10.3/7.3)</f>
        <v>25.412002014109042</v>
      </c>
      <c r="E369" s="1">
        <f>63.9758740847053*(10.3/7.3)</f>
        <v>90.267329188008816</v>
      </c>
      <c r="F369" s="1">
        <f>100.401191413981*(38.9/42.5)</f>
        <v>91.896619905973296</v>
      </c>
      <c r="G369" s="1">
        <v>2.4842355349414027</v>
      </c>
      <c r="H369" s="1">
        <v>5.5256964751931319</v>
      </c>
      <c r="I369" s="1">
        <v>67.705340953305239</v>
      </c>
      <c r="J369" s="1">
        <v>2.4633212211905047E-2</v>
      </c>
      <c r="K369" s="1">
        <v>2.0986126230458217</v>
      </c>
      <c r="L369" s="1">
        <v>1.8023848198179211</v>
      </c>
      <c r="M369" s="1">
        <v>9.6288341445949957E-2</v>
      </c>
      <c r="N369" s="1">
        <v>1.2765520172151803</v>
      </c>
      <c r="O369" s="1">
        <v>8.6684444444444453E-2</v>
      </c>
      <c r="P369" s="1">
        <v>7.6034049850412108E-2</v>
      </c>
      <c r="Q369" s="1">
        <v>3.970239439404073</v>
      </c>
      <c r="R369" s="2">
        <f t="shared" si="23"/>
        <v>305.79347204808244</v>
      </c>
      <c r="S369" s="2">
        <f t="shared" si="22"/>
        <v>2.199279885108139</v>
      </c>
      <c r="T369" s="2">
        <f t="shared" si="24"/>
        <v>3.2619096229234956</v>
      </c>
      <c r="U369" s="2">
        <f t="shared" si="25"/>
        <v>311.25466155611406</v>
      </c>
    </row>
    <row r="370" spans="1:21" x14ac:dyDescent="0.25">
      <c r="A370">
        <v>2214965</v>
      </c>
      <c r="B370">
        <v>55</v>
      </c>
      <c r="C370" s="1">
        <f>14.6450449012903*(10.3/7.3)</f>
        <v>20.66355650456028</v>
      </c>
      <c r="D370" s="1">
        <f>18.8466413861338*(10.3/7.3)</f>
        <v>26.591836476325813</v>
      </c>
      <c r="E370" s="1">
        <f>67.2179028892997*(10.3/7.3)</f>
        <v>94.841698597231058</v>
      </c>
      <c r="F370" s="1">
        <f>100.956700426409*(38.9/42.5)</f>
        <v>92.405074037348641</v>
      </c>
      <c r="G370" s="1">
        <v>2.163534207526697</v>
      </c>
      <c r="H370" s="1">
        <v>2.9531374059608564</v>
      </c>
      <c r="I370" s="1">
        <v>69.125201026320852</v>
      </c>
      <c r="J370" s="1">
        <v>2.7607826627647162E-2</v>
      </c>
      <c r="K370" s="1">
        <v>2.3276407933401893</v>
      </c>
      <c r="L370" s="1">
        <v>2.0484583657222393</v>
      </c>
      <c r="M370" s="1">
        <v>0.10664828800418015</v>
      </c>
      <c r="N370" s="1">
        <v>1.3906201373799869</v>
      </c>
      <c r="O370" s="1">
        <v>9.5030303030303048E-2</v>
      </c>
      <c r="P370" s="1">
        <v>8.1039516816224927E-2</v>
      </c>
      <c r="Q370" s="1">
        <v>3.4577030713897026</v>
      </c>
      <c r="R370" s="2">
        <f t="shared" si="23"/>
        <v>312.20174132666392</v>
      </c>
      <c r="S370" s="2">
        <f t="shared" si="22"/>
        <v>2.4362881367840616</v>
      </c>
      <c r="T370" s="2">
        <f t="shared" si="24"/>
        <v>3.6407570941367093</v>
      </c>
      <c r="U370" s="2">
        <f t="shared" si="25"/>
        <v>318.27878655758468</v>
      </c>
    </row>
    <row r="371" spans="1:21" x14ac:dyDescent="0.25">
      <c r="A371">
        <v>2214973</v>
      </c>
      <c r="B371">
        <v>42</v>
      </c>
      <c r="C371" s="1">
        <f>11.2004397630877*(10.3/7.3)</f>
        <v>15.803360213671624</v>
      </c>
      <c r="D371" s="1">
        <f>14.4776120309582*(10.3/7.3)</f>
        <v>20.427315605324569</v>
      </c>
      <c r="E371" s="1">
        <f>51.60558829032*(10.3/7.3)</f>
        <v>72.813364300040476</v>
      </c>
      <c r="F371" s="1">
        <f>78.5011115202649*(38.9/42.5)</f>
        <v>71.851605603254185</v>
      </c>
      <c r="G371" s="1">
        <v>1.7480645073159824</v>
      </c>
      <c r="H371" s="1">
        <v>2.8564947566702896</v>
      </c>
      <c r="I371" s="1">
        <v>53.847298944496906</v>
      </c>
      <c r="J371" s="1">
        <v>2.5412143187337272E-2</v>
      </c>
      <c r="K371" s="1">
        <v>2.20220161373505</v>
      </c>
      <c r="L371" s="1">
        <v>1.8782057816737174</v>
      </c>
      <c r="M371" s="1">
        <v>9.7861758073227528E-2</v>
      </c>
      <c r="N371" s="1">
        <v>1.3473749940069115</v>
      </c>
      <c r="O371" s="1">
        <v>8.8825396825396821E-2</v>
      </c>
      <c r="P371" s="1">
        <v>7.7223701903855496E-2</v>
      </c>
      <c r="Q371" s="1">
        <v>2.7937103998200663</v>
      </c>
      <c r="R371" s="2">
        <f t="shared" si="23"/>
        <v>242.1412143305941</v>
      </c>
      <c r="S371" s="2">
        <f t="shared" si="22"/>
        <v>2.3048374588262428</v>
      </c>
      <c r="T371" s="2">
        <f t="shared" si="24"/>
        <v>3.4122679305792532</v>
      </c>
      <c r="U371" s="2">
        <f t="shared" si="25"/>
        <v>247.8583197199996</v>
      </c>
    </row>
    <row r="372" spans="1:21" x14ac:dyDescent="0.25">
      <c r="A372">
        <v>2214981</v>
      </c>
      <c r="B372">
        <v>23</v>
      </c>
      <c r="C372" s="1">
        <f>13.1782636933315*(10.3/7.3)</f>
        <v>18.593988498810141</v>
      </c>
      <c r="D372" s="1">
        <f>16.278743052682*(10.3/7.3)</f>
        <v>22.96863745789377</v>
      </c>
      <c r="E372" s="1">
        <f>58.1569971613944*(10.3/7.3)</f>
        <v>82.057132981145514</v>
      </c>
      <c r="F372" s="1">
        <f>87.785748640072*(38.9/42.5)</f>
        <v>80.349779343501154</v>
      </c>
      <c r="G372" s="1">
        <v>1.8702441223225588</v>
      </c>
      <c r="H372" s="1">
        <v>3.139504011602726</v>
      </c>
      <c r="I372" s="1">
        <v>61.397631347685035</v>
      </c>
      <c r="J372" s="1">
        <v>2.8465624648859367E-2</v>
      </c>
      <c r="K372" s="1">
        <v>2.4153476357385788</v>
      </c>
      <c r="L372" s="1">
        <v>2.0756016156567516</v>
      </c>
      <c r="M372" s="1">
        <v>0.10476498161808885</v>
      </c>
      <c r="N372" s="1">
        <v>1.5248848587137436</v>
      </c>
      <c r="O372" s="1">
        <v>9.6711884057971015E-2</v>
      </c>
      <c r="P372" s="1">
        <v>8.1718477413668389E-2</v>
      </c>
      <c r="Q372" s="1">
        <v>2.9889746247164215</v>
      </c>
      <c r="R372" s="2">
        <f t="shared" si="23"/>
        <v>273.36589238767738</v>
      </c>
      <c r="S372" s="2">
        <f t="shared" si="22"/>
        <v>2.5255317378011068</v>
      </c>
      <c r="T372" s="2">
        <f t="shared" si="24"/>
        <v>3.8019633400465551</v>
      </c>
      <c r="U372" s="2">
        <f t="shared" si="25"/>
        <v>279.69338746552501</v>
      </c>
    </row>
    <row r="373" spans="1:21" x14ac:dyDescent="0.25">
      <c r="A373">
        <v>2226409</v>
      </c>
      <c r="B373">
        <v>1</v>
      </c>
      <c r="C373" s="1">
        <f>0.454052659709791*(10.3/7.3)</f>
        <v>0.64064964315217088</v>
      </c>
      <c r="D373" s="1">
        <f>0.695891364433913*(10.3/7.3)</f>
        <v>0.98187411694100035</v>
      </c>
      <c r="E373" s="1">
        <f>2.41960628434398*(10.3/7.3)</f>
        <v>3.4139650313346586</v>
      </c>
      <c r="F373" s="1">
        <f>5.87701615253125*(38.9/42.5)</f>
        <v>5.3791983137286046</v>
      </c>
      <c r="G373" s="1">
        <v>0.2726364451894373</v>
      </c>
      <c r="H373" s="1">
        <v>3.6882764314662966</v>
      </c>
      <c r="I373" s="1">
        <v>4.3015118264203371</v>
      </c>
      <c r="J373" s="1">
        <v>1.0446767650271627E-2</v>
      </c>
      <c r="K373" s="1">
        <v>2.8719000523468421</v>
      </c>
      <c r="L373" s="1">
        <v>1.7304666136555567</v>
      </c>
      <c r="M373" s="1">
        <v>5.1443768843909138E-2</v>
      </c>
      <c r="N373" s="1">
        <v>0.42680155282878063</v>
      </c>
      <c r="O373" s="1">
        <v>9.0560000000000002E-2</v>
      </c>
      <c r="P373" s="1">
        <v>9.7308334253592838E-2</v>
      </c>
      <c r="Q373" s="1">
        <v>0.43572034619316508</v>
      </c>
      <c r="R373" s="2">
        <f t="shared" si="23"/>
        <v>19.113832154425673</v>
      </c>
      <c r="S373" s="2">
        <f t="shared" si="22"/>
        <v>2.9796551542507066</v>
      </c>
      <c r="T373" s="2">
        <f t="shared" si="24"/>
        <v>2.2992719353282465</v>
      </c>
      <c r="U373" s="2">
        <f t="shared" si="25"/>
        <v>24.392759244004626</v>
      </c>
    </row>
    <row r="374" spans="1:21" x14ac:dyDescent="0.25">
      <c r="A374">
        <v>2226417</v>
      </c>
      <c r="B374">
        <v>20</v>
      </c>
      <c r="C374" s="1">
        <f>0.324197581950858*(10.3/7.3)</f>
        <v>0.45742946494436182</v>
      </c>
      <c r="D374" s="1">
        <f>0.513024071603883*(10.3/7.3)</f>
        <v>0.72385588185205452</v>
      </c>
      <c r="E374" s="1">
        <f>1.78181320856276*(10.3/7.3)</f>
        <v>2.5140652120817011</v>
      </c>
      <c r="F374" s="1">
        <f>4.32187167902827*(38.9/42.5)</f>
        <v>3.9557837250399897</v>
      </c>
      <c r="G374" s="1">
        <v>0.20103853103166025</v>
      </c>
      <c r="H374" s="1">
        <v>1.3944909633505629</v>
      </c>
      <c r="I374" s="1">
        <v>3.1382412116196923</v>
      </c>
      <c r="J374" s="1">
        <v>8.4646398791622078E-3</v>
      </c>
      <c r="K374" s="1">
        <v>2.6402533833141448</v>
      </c>
      <c r="L374" s="1">
        <v>1.3916138133015599</v>
      </c>
      <c r="M374" s="1">
        <v>4.1451907282613373E-2</v>
      </c>
      <c r="N374" s="1">
        <v>0.34549526860343238</v>
      </c>
      <c r="O374" s="1">
        <v>7.3842666666666668E-2</v>
      </c>
      <c r="P374" s="1">
        <v>7.618076905319264E-2</v>
      </c>
      <c r="Q374" s="1">
        <v>0.321294455986672</v>
      </c>
      <c r="R374" s="2">
        <f t="shared" si="23"/>
        <v>12.706199445906696</v>
      </c>
      <c r="S374" s="2">
        <f t="shared" si="22"/>
        <v>2.7248987922464996</v>
      </c>
      <c r="T374" s="2">
        <f t="shared" si="24"/>
        <v>1.8524036558542725</v>
      </c>
      <c r="U374" s="2">
        <f t="shared" si="25"/>
        <v>17.283501894007468</v>
      </c>
    </row>
    <row r="375" spans="1:21" x14ac:dyDescent="0.25">
      <c r="A375">
        <v>2226425</v>
      </c>
      <c r="B375">
        <v>6</v>
      </c>
      <c r="C375" s="1">
        <f>0.279275576705418*(10.3/7.3)</f>
        <v>0.39404636165285056</v>
      </c>
      <c r="D375" s="1">
        <f>0.442394225608539*(10.3/7.3)</f>
        <v>0.62420007174903491</v>
      </c>
      <c r="E375" s="1">
        <f>1.54724692075478*(10.3/7.3)</f>
        <v>2.1831018196950995</v>
      </c>
      <c r="F375" s="1">
        <f>3.20325883852495*(38.9/42.5)</f>
        <v>2.9319239722028376</v>
      </c>
      <c r="G375" s="1">
        <v>0.1283783969575607</v>
      </c>
      <c r="H375" s="1">
        <v>0.90191459184763267</v>
      </c>
      <c r="I375" s="1">
        <v>2.2329582740616889</v>
      </c>
      <c r="J375" s="1">
        <v>8.007349810246785E-3</v>
      </c>
      <c r="K375" s="1">
        <v>2.9291298654415105</v>
      </c>
      <c r="L375" s="1">
        <v>1.3514081001183389</v>
      </c>
      <c r="M375" s="1">
        <v>3.897708597307642E-2</v>
      </c>
      <c r="N375" s="1">
        <v>0.33010192591608895</v>
      </c>
      <c r="O375" s="1">
        <v>6.9991111111111101E-2</v>
      </c>
      <c r="P375" s="1">
        <v>7.0568664237118037E-2</v>
      </c>
      <c r="Q375" s="1">
        <v>0.20517095404176389</v>
      </c>
      <c r="R375" s="2">
        <f t="shared" si="23"/>
        <v>9.6016944422084691</v>
      </c>
      <c r="S375" s="2">
        <f t="shared" si="22"/>
        <v>3.0077058794888751</v>
      </c>
      <c r="T375" s="2">
        <f t="shared" si="24"/>
        <v>1.7904782231186154</v>
      </c>
      <c r="U375" s="2">
        <f t="shared" si="25"/>
        <v>14.399878544815959</v>
      </c>
    </row>
    <row r="376" spans="1:21" x14ac:dyDescent="0.25">
      <c r="A376">
        <v>2226553</v>
      </c>
      <c r="B376">
        <v>14</v>
      </c>
      <c r="C376" s="1">
        <f>0.611690866943623*(10.3/7.3)</f>
        <v>0.86307067527661829</v>
      </c>
      <c r="D376" s="1">
        <f>0.834184867551575*(10.3/7.3)</f>
        <v>1.1770005665453729</v>
      </c>
      <c r="E376" s="1">
        <f>2.92758592034604*(10.3/7.3)</f>
        <v>4.130703421858116</v>
      </c>
      <c r="F376" s="1">
        <f>6.40797706638333*(38.9/42.5)</f>
        <v>5.8651837148779142</v>
      </c>
      <c r="G376" s="1">
        <v>0.265846208206308</v>
      </c>
      <c r="H376" s="1">
        <v>3.5156913913183843</v>
      </c>
      <c r="I376" s="1">
        <v>4.7297476921608279</v>
      </c>
      <c r="J376" s="1">
        <v>1.2350753793332041E-2</v>
      </c>
      <c r="K376" s="1">
        <v>2.1923943437306384</v>
      </c>
      <c r="L376" s="1">
        <v>2.4167712597076862</v>
      </c>
      <c r="M376" s="1">
        <v>5.4027140330845116E-2</v>
      </c>
      <c r="N376" s="1">
        <v>0.52182295923345701</v>
      </c>
      <c r="O376" s="1">
        <v>9.7417142857142869E-2</v>
      </c>
      <c r="P376" s="1">
        <v>8.8704879464667735E-2</v>
      </c>
      <c r="Q376" s="1">
        <v>0.42486836927948807</v>
      </c>
      <c r="R376" s="2">
        <f t="shared" si="23"/>
        <v>20.972112039523029</v>
      </c>
      <c r="S376" s="2">
        <f t="shared" si="22"/>
        <v>2.2934499769886378</v>
      </c>
      <c r="T376" s="2">
        <f t="shared" si="24"/>
        <v>3.090038502129131</v>
      </c>
      <c r="U376" s="2">
        <f t="shared" si="25"/>
        <v>26.355600518640799</v>
      </c>
    </row>
    <row r="377" spans="1:21" x14ac:dyDescent="0.25">
      <c r="A377">
        <v>2226561</v>
      </c>
      <c r="B377">
        <v>27</v>
      </c>
      <c r="C377" s="1">
        <f>0.521127950278356*(10.3/7.3)</f>
        <v>0.73529012162562513</v>
      </c>
      <c r="D377" s="1">
        <f>0.706458968177803*(10.3/7.3)</f>
        <v>0.99678457153854338</v>
      </c>
      <c r="E377" s="1">
        <f>2.48249347054024*(10.3/7.3)</f>
        <v>3.5026962666526744</v>
      </c>
      <c r="F377" s="1">
        <f>5.30462239298965*(38.9/42.5)</f>
        <v>4.8552896726422938</v>
      </c>
      <c r="G377" s="1">
        <v>0.21435144888303306</v>
      </c>
      <c r="H377" s="1">
        <v>1.7862126437675978</v>
      </c>
      <c r="I377" s="1">
        <v>3.9020715469390046</v>
      </c>
      <c r="J377" s="1">
        <v>1.0963181263094569E-2</v>
      </c>
      <c r="K377" s="1">
        <v>1.8161139649903801</v>
      </c>
      <c r="L377" s="1">
        <v>1.9928265629364474</v>
      </c>
      <c r="M377" s="1">
        <v>4.8366321318612918E-2</v>
      </c>
      <c r="N377" s="1">
        <v>0.45214596080366498</v>
      </c>
      <c r="O377" s="1">
        <v>8.7577283950617285E-2</v>
      </c>
      <c r="P377" s="1">
        <v>7.5989763884921901E-2</v>
      </c>
      <c r="Q377" s="1">
        <v>0.34257080871717643</v>
      </c>
      <c r="R377" s="2">
        <f t="shared" si="23"/>
        <v>16.335267080765949</v>
      </c>
      <c r="S377" s="2">
        <f t="shared" si="22"/>
        <v>1.9030669101383966</v>
      </c>
      <c r="T377" s="2">
        <f t="shared" si="24"/>
        <v>2.5809161290093425</v>
      </c>
      <c r="U377" s="2">
        <f t="shared" si="25"/>
        <v>20.819250119913686</v>
      </c>
    </row>
    <row r="378" spans="1:21" x14ac:dyDescent="0.25">
      <c r="A378">
        <v>2226569</v>
      </c>
      <c r="B378">
        <v>60</v>
      </c>
      <c r="C378" s="1">
        <f>0.49644418434293*(10.3/7.3)</f>
        <v>0.70046234229207971</v>
      </c>
      <c r="D378" s="1">
        <f>0.666956040097272*(10.3/7.3)</f>
        <v>0.94104756342491769</v>
      </c>
      <c r="E378" s="1">
        <f>2.3461210277776*(10.3/7.3)</f>
        <v>3.3102803542615513</v>
      </c>
      <c r="F378" s="1">
        <f>4.93454272991701*(38.9/42.5)</f>
        <v>4.5165579339710957</v>
      </c>
      <c r="G378" s="1">
        <v>0.1956398072481963</v>
      </c>
      <c r="H378" s="1">
        <v>1.2318944053677527</v>
      </c>
      <c r="I378" s="1">
        <v>3.6273799199120584</v>
      </c>
      <c r="J378" s="1">
        <v>1.0564587274597057E-2</v>
      </c>
      <c r="K378" s="1">
        <v>1.8573333447239482</v>
      </c>
      <c r="L378" s="1">
        <v>2.0348555912037685</v>
      </c>
      <c r="M378" s="1">
        <v>4.7292697198019658E-2</v>
      </c>
      <c r="N378" s="1">
        <v>0.46099642111229472</v>
      </c>
      <c r="O378" s="1">
        <v>8.8398222222222239E-2</v>
      </c>
      <c r="P378" s="1">
        <v>7.9439590855846856E-2</v>
      </c>
      <c r="Q378" s="1">
        <v>0.31266635861583919</v>
      </c>
      <c r="R378" s="2">
        <f t="shared" si="23"/>
        <v>14.835928685093492</v>
      </c>
      <c r="S378" s="2">
        <f t="shared" si="22"/>
        <v>1.9473375228543921</v>
      </c>
      <c r="T378" s="2">
        <f t="shared" si="24"/>
        <v>2.631542931736305</v>
      </c>
      <c r="U378" s="2">
        <f t="shared" si="25"/>
        <v>19.414809139684191</v>
      </c>
    </row>
    <row r="379" spans="1:21" x14ac:dyDescent="0.25">
      <c r="A379">
        <v>2226577</v>
      </c>
      <c r="B379">
        <v>33</v>
      </c>
      <c r="C379" s="1">
        <f>0.517079320767859*(10.3/7.3)</f>
        <v>0.72957767176834953</v>
      </c>
      <c r="D379" s="1">
        <f>0.67631017887284*(10.3/7.3)</f>
        <v>0.95424586882058182</v>
      </c>
      <c r="E379" s="1">
        <f>2.38267781482074*(10.3/7.3)</f>
        <v>3.3618604784457036</v>
      </c>
      <c r="F379" s="1">
        <f>4.96431069023439*(38.9/42.5)</f>
        <v>4.543804372943943</v>
      </c>
      <c r="G379" s="1">
        <v>0.19373239581902402</v>
      </c>
      <c r="H379" s="1">
        <v>1.2028785186819984</v>
      </c>
      <c r="I379" s="1">
        <v>3.6727419510768513</v>
      </c>
      <c r="J379" s="1">
        <v>1.0236921937187367E-2</v>
      </c>
      <c r="K379" s="1">
        <v>1.6951868587171748</v>
      </c>
      <c r="L379" s="1">
        <v>1.9008452167477896</v>
      </c>
      <c r="M379" s="1">
        <v>4.8389627450713041E-2</v>
      </c>
      <c r="N379" s="1">
        <v>0.44524884455013741</v>
      </c>
      <c r="O379" s="1">
        <v>8.713858585858586E-2</v>
      </c>
      <c r="P379" s="1">
        <v>7.4480562880764975E-2</v>
      </c>
      <c r="Q379" s="1">
        <v>0.30961798418565517</v>
      </c>
      <c r="R379" s="2">
        <f t="shared" si="23"/>
        <v>14.968459241742107</v>
      </c>
      <c r="S379" s="2">
        <f t="shared" si="22"/>
        <v>1.7799043435351272</v>
      </c>
      <c r="T379" s="2">
        <f t="shared" si="24"/>
        <v>2.4816222746072261</v>
      </c>
      <c r="U379" s="2">
        <f t="shared" si="25"/>
        <v>19.229985859884458</v>
      </c>
    </row>
    <row r="380" spans="1:21" x14ac:dyDescent="0.25">
      <c r="A380">
        <v>2226585</v>
      </c>
      <c r="B380">
        <v>56</v>
      </c>
      <c r="C380" s="1">
        <f>0.520602953207669*(10.3/7.3)</f>
        <v>0.73454937233410811</v>
      </c>
      <c r="D380" s="1">
        <f>0.665171463508418*(10.3/7.3)</f>
        <v>0.93852959919680945</v>
      </c>
      <c r="E380" s="1">
        <f>2.34671680320388*(10.3/7.3)</f>
        <v>3.3111209689041075</v>
      </c>
      <c r="F380" s="1">
        <f>4.8446571131665*(38.9/42.5)</f>
        <v>4.4342861576982822</v>
      </c>
      <c r="G380" s="1">
        <v>0.18617396653885171</v>
      </c>
      <c r="H380" s="1">
        <v>1.1362588275107297</v>
      </c>
      <c r="I380" s="1">
        <v>3.6045443402918935</v>
      </c>
      <c r="J380" s="1">
        <v>1.0417368309953764E-2</v>
      </c>
      <c r="K380" s="1">
        <v>1.7319463378808848</v>
      </c>
      <c r="L380" s="1">
        <v>1.9628590870347971</v>
      </c>
      <c r="M380" s="1">
        <v>4.8604247345486198E-2</v>
      </c>
      <c r="N380" s="1">
        <v>0.46197814334690446</v>
      </c>
      <c r="O380" s="1">
        <v>8.9134285714285694E-2</v>
      </c>
      <c r="P380" s="1">
        <v>7.7330426645736403E-2</v>
      </c>
      <c r="Q380" s="1">
        <v>0.29753830268766274</v>
      </c>
      <c r="R380" s="2">
        <f t="shared" si="23"/>
        <v>14.643001535162444</v>
      </c>
      <c r="S380" s="2">
        <f t="shared" si="22"/>
        <v>1.819694132836575</v>
      </c>
      <c r="T380" s="2">
        <f t="shared" si="24"/>
        <v>2.5625757634414734</v>
      </c>
      <c r="U380" s="2">
        <f t="shared" si="25"/>
        <v>19.02527143144049</v>
      </c>
    </row>
    <row r="381" spans="1:21" x14ac:dyDescent="0.25">
      <c r="A381">
        <v>2226593</v>
      </c>
      <c r="B381">
        <v>60</v>
      </c>
      <c r="C381" s="1">
        <f>0.530896425627928*(10.3/7.3)</f>
        <v>0.74907303889967869</v>
      </c>
      <c r="D381" s="1">
        <f>0.655944441662418*(10.3/7.3)</f>
        <v>0.92551065056478188</v>
      </c>
      <c r="E381" s="1">
        <f>2.31884104525078*(10.3/7.3)</f>
        <v>3.271789420011376</v>
      </c>
      <c r="F381" s="1">
        <f>4.7270040182037*(38.9/42.5)</f>
        <v>4.3265989719558613</v>
      </c>
      <c r="G381" s="1">
        <v>0.17763929263927011</v>
      </c>
      <c r="H381" s="1">
        <v>1.0858469444271615</v>
      </c>
      <c r="I381" s="1">
        <v>3.5475488337482037</v>
      </c>
      <c r="J381" s="1">
        <v>1.057081064010764E-2</v>
      </c>
      <c r="K381" s="1">
        <v>1.7404903709756958</v>
      </c>
      <c r="L381" s="1">
        <v>2.0473530541584961</v>
      </c>
      <c r="M381" s="1">
        <v>4.8716329181398683E-2</v>
      </c>
      <c r="N381" s="1">
        <v>0.47692208770886219</v>
      </c>
      <c r="O381" s="1">
        <v>9.0928888888888892E-2</v>
      </c>
      <c r="P381" s="1">
        <v>7.9210270859894599E-2</v>
      </c>
      <c r="Q381" s="1">
        <v>0.28389841289381118</v>
      </c>
      <c r="R381" s="2">
        <f t="shared" si="23"/>
        <v>14.367905565140145</v>
      </c>
      <c r="S381" s="2">
        <f t="shared" si="22"/>
        <v>1.830271452475698</v>
      </c>
      <c r="T381" s="2">
        <f t="shared" si="24"/>
        <v>2.663920359937646</v>
      </c>
      <c r="U381" s="2">
        <f t="shared" si="25"/>
        <v>18.862097377553489</v>
      </c>
    </row>
    <row r="382" spans="1:21" x14ac:dyDescent="0.25">
      <c r="A382">
        <v>2226601</v>
      </c>
      <c r="B382">
        <v>33</v>
      </c>
      <c r="C382" s="1">
        <f>0.553673889195294*(10.3/7.3)</f>
        <v>0.78121110393308568</v>
      </c>
      <c r="D382" s="1">
        <f>0.663330845383618*(10.3/7.3)</f>
        <v>0.9359325626645566</v>
      </c>
      <c r="E382" s="1">
        <f>2.34905463313243*(10.3/7.3)</f>
        <v>3.3144195508580805</v>
      </c>
      <c r="F382" s="1">
        <f>4.75046475667638*(38.9/42.5)</f>
        <v>4.3480724478755564</v>
      </c>
      <c r="G382" s="1">
        <v>0.17553127218396658</v>
      </c>
      <c r="H382" s="1">
        <v>1.0798240014330163</v>
      </c>
      <c r="I382" s="1">
        <v>3.5975932041755079</v>
      </c>
      <c r="J382" s="1">
        <v>1.0643240842424042E-2</v>
      </c>
      <c r="K382" s="1">
        <v>1.7125442625056906</v>
      </c>
      <c r="L382" s="1">
        <v>2.3012775910476</v>
      </c>
      <c r="M382" s="1">
        <v>5.0056309746994723E-2</v>
      </c>
      <c r="N382" s="1">
        <v>0.48330977985952006</v>
      </c>
      <c r="O382" s="1">
        <v>9.1927272727272732E-2</v>
      </c>
      <c r="P382" s="1">
        <v>7.8942177610227135E-2</v>
      </c>
      <c r="Q382" s="1">
        <v>0.2805294304309971</v>
      </c>
      <c r="R382" s="2">
        <f t="shared" si="23"/>
        <v>14.513113573554767</v>
      </c>
      <c r="S382" s="2">
        <f t="shared" si="22"/>
        <v>1.8021296809583416</v>
      </c>
      <c r="T382" s="2">
        <f t="shared" si="24"/>
        <v>2.926570953381388</v>
      </c>
      <c r="U382" s="2">
        <f t="shared" si="25"/>
        <v>19.2418142078945</v>
      </c>
    </row>
    <row r="383" spans="1:21" x14ac:dyDescent="0.25">
      <c r="A383">
        <v>2226649</v>
      </c>
      <c r="B383">
        <v>49</v>
      </c>
      <c r="C383" s="1">
        <f>2.46022410516223*(10.3/7.3)</f>
        <v>3.4712751072837005</v>
      </c>
      <c r="D383" s="1">
        <f>2.60249647218867*(10.3/7.3)</f>
        <v>3.6720155703483943</v>
      </c>
      <c r="E383" s="1">
        <f>9.28014310568452*(10.3/7.3)</f>
        <v>13.093900546376791</v>
      </c>
      <c r="F383" s="1">
        <f>18.4373434632907*(38.9/42.5)</f>
        <v>16.875592016988406</v>
      </c>
      <c r="G383" s="1">
        <v>0.64487982044194081</v>
      </c>
      <c r="H383" s="1">
        <v>2.4582682557184801</v>
      </c>
      <c r="I383" s="1">
        <v>14.567343009288253</v>
      </c>
      <c r="J383" s="1">
        <v>2.6829863952886807E-2</v>
      </c>
      <c r="K383" s="1">
        <v>3.2158218537173928</v>
      </c>
      <c r="L383" s="1">
        <v>5.0058625971810375</v>
      </c>
      <c r="M383" s="1">
        <v>0.11618157775381625</v>
      </c>
      <c r="N383" s="1">
        <v>1.1378365451079824</v>
      </c>
      <c r="O383" s="1">
        <v>0.2371004081632653</v>
      </c>
      <c r="P383" s="1">
        <v>0.14371161237356625</v>
      </c>
      <c r="Q383" s="1">
        <v>1.0306298500213678</v>
      </c>
      <c r="R383" s="2">
        <f t="shared" si="23"/>
        <v>55.813904176467332</v>
      </c>
      <c r="S383" s="2">
        <f t="shared" si="22"/>
        <v>3.3863633300438458</v>
      </c>
      <c r="T383" s="2">
        <f t="shared" si="24"/>
        <v>6.4969811282061025</v>
      </c>
      <c r="U383" s="2">
        <f t="shared" si="25"/>
        <v>65.697248634717283</v>
      </c>
    </row>
    <row r="384" spans="1:21" x14ac:dyDescent="0.25">
      <c r="A384">
        <v>2226657</v>
      </c>
      <c r="B384">
        <v>60</v>
      </c>
      <c r="C384" s="1">
        <f>2.11942355313104*(10.3/7.3)</f>
        <v>2.9904195338698192</v>
      </c>
      <c r="D384" s="1">
        <f>2.27535046714552*(10.3/7.3)</f>
        <v>3.2104260015888797</v>
      </c>
      <c r="E384" s="1">
        <f>8.1060378356027*(10.3/7.3)</f>
        <v>11.437286261192853</v>
      </c>
      <c r="F384" s="1">
        <f>16.1681590363179*(38.9/42.5)</f>
        <v>14.798620859123899</v>
      </c>
      <c r="G384" s="1">
        <v>0.57089134580183065</v>
      </c>
      <c r="H384" s="1">
        <v>3.6710443202701009</v>
      </c>
      <c r="I384" s="1">
        <v>12.710514907836657</v>
      </c>
      <c r="J384" s="1">
        <v>2.4432367234063383E-2</v>
      </c>
      <c r="K384" s="1">
        <v>2.9149086602747256</v>
      </c>
      <c r="L384" s="1">
        <v>4.2475375861150662</v>
      </c>
      <c r="M384" s="1">
        <v>0.10783345058475938</v>
      </c>
      <c r="N384" s="1">
        <v>1.0191317033094762</v>
      </c>
      <c r="O384" s="1">
        <v>0.20693066666666665</v>
      </c>
      <c r="P384" s="1">
        <v>0.13248695874862884</v>
      </c>
      <c r="Q384" s="1">
        <v>0.91238342936365713</v>
      </c>
      <c r="R384" s="2">
        <f t="shared" si="23"/>
        <v>50.3015866590477</v>
      </c>
      <c r="S384" s="2">
        <f t="shared" si="22"/>
        <v>3.0718279862574178</v>
      </c>
      <c r="T384" s="2">
        <f t="shared" si="24"/>
        <v>5.5814334066759681</v>
      </c>
      <c r="U384" s="2">
        <f t="shared" si="25"/>
        <v>58.954848051981088</v>
      </c>
    </row>
    <row r="385" spans="1:21" x14ac:dyDescent="0.25">
      <c r="A385">
        <v>2226665</v>
      </c>
      <c r="B385">
        <v>19</v>
      </c>
      <c r="C385" s="1">
        <f>2.13903662958389*(10.3/7.3)</f>
        <v>3.0180927787279557</v>
      </c>
      <c r="D385" s="1">
        <f>2.30281208041232*(10.3/7.3)</f>
        <v>3.2491732093488936</v>
      </c>
      <c r="E385" s="1">
        <f>8.20118372403086*(10.3/7.3)</f>
        <v>11.571533199659976</v>
      </c>
      <c r="F385" s="1">
        <f>16.43351330459*(38.9/42.5)</f>
        <v>15.041498059965926</v>
      </c>
      <c r="G385" s="1">
        <v>0.58436777863352918</v>
      </c>
      <c r="H385" s="1">
        <v>2.1939074656618667</v>
      </c>
      <c r="I385" s="1">
        <v>12.914168539136098</v>
      </c>
      <c r="J385" s="1">
        <v>3.2326512834597844E-2</v>
      </c>
      <c r="K385" s="1">
        <v>2.9326197750855871</v>
      </c>
      <c r="L385" s="1">
        <v>4.2936443483221503</v>
      </c>
      <c r="M385" s="1">
        <v>0.11187354284620288</v>
      </c>
      <c r="N385" s="1">
        <v>1.1017131046697468</v>
      </c>
      <c r="O385" s="1">
        <v>0.2173585964912281</v>
      </c>
      <c r="P385" s="1">
        <v>0.13318826356647495</v>
      </c>
      <c r="Q385" s="1">
        <v>0.93392110740518486</v>
      </c>
      <c r="R385" s="2">
        <f t="shared" si="23"/>
        <v>49.506662138539426</v>
      </c>
      <c r="S385" s="2">
        <f t="shared" si="22"/>
        <v>3.0981345514866598</v>
      </c>
      <c r="T385" s="2">
        <f t="shared" si="24"/>
        <v>5.7245895923293277</v>
      </c>
      <c r="U385" s="2">
        <f t="shared" si="25"/>
        <v>58.329386282355415</v>
      </c>
    </row>
    <row r="386" spans="1:21" x14ac:dyDescent="0.25">
      <c r="A386">
        <v>2226673</v>
      </c>
      <c r="B386">
        <v>2</v>
      </c>
      <c r="C386" s="1">
        <f>1.55074914963164*(10.3/7.3)</f>
        <v>2.1880433207131382</v>
      </c>
      <c r="D386" s="1">
        <f>1.69164066335953*(10.3/7.3)</f>
        <v>2.3868354565209784</v>
      </c>
      <c r="E386" s="1">
        <f>6.01988850038041*(10.3/7.3)</f>
        <v>8.493815281358664</v>
      </c>
      <c r="F386" s="1">
        <f>12.0918895779515*(38.9/42.5)</f>
        <v>11.067635401936819</v>
      </c>
      <c r="G386" s="1">
        <v>0.43288143963667247</v>
      </c>
      <c r="H386" s="1">
        <v>1.8150821218058408</v>
      </c>
      <c r="I386" s="1">
        <v>9.4593615223642757</v>
      </c>
      <c r="J386" s="1">
        <v>2.1937363424818973E-2</v>
      </c>
      <c r="K386" s="1">
        <v>2.5468910597340146</v>
      </c>
      <c r="L386" s="1">
        <v>3.2620720781833157</v>
      </c>
      <c r="M386" s="1">
        <v>9.2145558402489752E-2</v>
      </c>
      <c r="N386" s="1">
        <v>1.1027581680422665</v>
      </c>
      <c r="O386" s="1">
        <v>0.16381333333333331</v>
      </c>
      <c r="P386" s="1">
        <v>0.11514569244990616</v>
      </c>
      <c r="Q386" s="1">
        <v>0.69181965238737686</v>
      </c>
      <c r="R386" s="2">
        <f t="shared" si="23"/>
        <v>36.535474196723769</v>
      </c>
      <c r="S386" s="2">
        <f t="shared" si="22"/>
        <v>2.68397411560874</v>
      </c>
      <c r="T386" s="2">
        <f t="shared" si="24"/>
        <v>4.6207891379614061</v>
      </c>
      <c r="U386" s="2">
        <f t="shared" si="25"/>
        <v>43.840237450293913</v>
      </c>
    </row>
    <row r="387" spans="1:21" x14ac:dyDescent="0.25">
      <c r="A387">
        <v>2226681</v>
      </c>
      <c r="B387">
        <v>1</v>
      </c>
      <c r="C387" s="1">
        <f>2.11214145126405*(10.3/7.3)</f>
        <v>2.9801447873999667</v>
      </c>
      <c r="D387" s="1">
        <f>2.29716973883358*(10.3/7.3)</f>
        <v>3.2412120972583431</v>
      </c>
      <c r="E387" s="1">
        <f>8.1764298344558*(10.3/7.3)</f>
        <v>11.536606478752709</v>
      </c>
      <c r="F387" s="1">
        <f>16.401188724007*(38.9/42.5)</f>
        <v>15.011911561502881</v>
      </c>
      <c r="G387" s="1">
        <v>0.58561578821092042</v>
      </c>
      <c r="H387" s="1">
        <v>2.0403088383175123</v>
      </c>
      <c r="I387" s="1">
        <v>12.842045594365011</v>
      </c>
      <c r="J387" s="1">
        <v>2.5196143910362678E-2</v>
      </c>
      <c r="K387" s="1">
        <v>2.8922295836032306</v>
      </c>
      <c r="L387" s="1">
        <v>4.0833141090857161</v>
      </c>
      <c r="M387" s="1">
        <v>0.11357472323718035</v>
      </c>
      <c r="N387" s="1">
        <v>1.0408781583738127</v>
      </c>
      <c r="O387" s="1">
        <v>0.21621333333333331</v>
      </c>
      <c r="P387" s="1">
        <v>0.13199529538340554</v>
      </c>
      <c r="Q387" s="1">
        <v>0.93591564325946286</v>
      </c>
      <c r="R387" s="2">
        <f t="shared" si="23"/>
        <v>49.173760789066812</v>
      </c>
      <c r="S387" s="2">
        <f t="shared" si="22"/>
        <v>3.0494210228969987</v>
      </c>
      <c r="T387" s="2">
        <f t="shared" si="24"/>
        <v>5.4539803240300424</v>
      </c>
      <c r="U387" s="2">
        <f t="shared" si="25"/>
        <v>57.677162135993854</v>
      </c>
    </row>
    <row r="388" spans="1:21" x14ac:dyDescent="0.25">
      <c r="A388">
        <v>2227081</v>
      </c>
      <c r="B388">
        <v>9</v>
      </c>
      <c r="C388" s="1">
        <f>6.15139568222816*(10.3/7.3)</f>
        <v>8.6793665105411044</v>
      </c>
      <c r="D388" s="1">
        <f>6.92335659231888*(10.3/7.3)</f>
        <v>9.7685716302581422</v>
      </c>
      <c r="E388" s="1">
        <f>24.7457909020571*(10.3/7.3)</f>
        <v>34.915294012491557</v>
      </c>
      <c r="F388" s="1">
        <f>42.274605265448*(38.9/42.5)</f>
        <v>38.693697525315933</v>
      </c>
      <c r="G388" s="1">
        <v>1.1695744656657372</v>
      </c>
      <c r="H388" s="1">
        <v>4.0284398740526539</v>
      </c>
      <c r="I388" s="1">
        <v>31.773441452691323</v>
      </c>
      <c r="J388" s="1">
        <v>3.2947062773548232E-2</v>
      </c>
      <c r="K388" s="1">
        <v>2.2524080276072009</v>
      </c>
      <c r="L388" s="1">
        <v>2.0667583885750451</v>
      </c>
      <c r="M388" s="1">
        <v>0.16748306721802203</v>
      </c>
      <c r="N388" s="1">
        <v>1.54528108082411</v>
      </c>
      <c r="O388" s="1">
        <v>0.11528296296296296</v>
      </c>
      <c r="P388" s="1">
        <v>9.4278318287864871E-2</v>
      </c>
      <c r="Q388" s="1">
        <v>1.8691829359954726</v>
      </c>
      <c r="R388" s="2">
        <f t="shared" si="23"/>
        <v>130.8975684070119</v>
      </c>
      <c r="S388" s="2">
        <f t="shared" si="22"/>
        <v>2.3796334086686142</v>
      </c>
      <c r="T388" s="2">
        <f t="shared" si="24"/>
        <v>3.8948054995801402</v>
      </c>
      <c r="U388" s="2">
        <f t="shared" si="25"/>
        <v>137.17200731526066</v>
      </c>
    </row>
    <row r="389" spans="1:21" x14ac:dyDescent="0.25">
      <c r="A389">
        <v>2227089</v>
      </c>
      <c r="B389">
        <v>44</v>
      </c>
      <c r="C389" s="1">
        <f>6.43340840873895*(10.3/7.3)</f>
        <v>9.0772748780837205</v>
      </c>
      <c r="D389" s="1">
        <f>7.12173795680077*(10.3/7.3)</f>
        <v>10.048479582883278</v>
      </c>
      <c r="E389" s="1">
        <f>25.4908536894399*(10.3/7.3)</f>
        <v>35.966546986470028</v>
      </c>
      <c r="F389" s="1">
        <f>42.8051977503093*(38.9/42.5)</f>
        <v>39.179345705577177</v>
      </c>
      <c r="G389" s="1">
        <v>1.1348171365447892</v>
      </c>
      <c r="H389" s="1">
        <v>2.2310667518649709</v>
      </c>
      <c r="I389" s="1">
        <v>32.302148246500501</v>
      </c>
      <c r="J389" s="1">
        <v>3.2977215236610888E-2</v>
      </c>
      <c r="K389" s="1">
        <v>2.3365607207084444</v>
      </c>
      <c r="L389" s="1">
        <v>2.1881528014771567</v>
      </c>
      <c r="M389" s="1">
        <v>0.16616397204171332</v>
      </c>
      <c r="N389" s="1">
        <v>2.0754148580670635</v>
      </c>
      <c r="O389" s="1">
        <v>0.11704363636363638</v>
      </c>
      <c r="P389" s="1">
        <v>9.6568043191458661E-2</v>
      </c>
      <c r="Q389" s="1">
        <v>1.8136346931081129</v>
      </c>
      <c r="R389" s="2">
        <f t="shared" si="23"/>
        <v>131.75331398103256</v>
      </c>
      <c r="S389" s="2">
        <f t="shared" si="22"/>
        <v>2.4661059791365143</v>
      </c>
      <c r="T389" s="2">
        <f t="shared" si="24"/>
        <v>4.5467752679495703</v>
      </c>
      <c r="U389" s="2">
        <f t="shared" si="25"/>
        <v>138.76619522811865</v>
      </c>
    </row>
    <row r="390" spans="1:21" x14ac:dyDescent="0.25">
      <c r="A390">
        <v>2227097</v>
      </c>
      <c r="B390">
        <v>14</v>
      </c>
      <c r="C390" s="1">
        <f>9.42927403096573*(10.3/7.3)</f>
        <v>13.304318153280418</v>
      </c>
      <c r="D390" s="1">
        <f>10.2778573154267*(10.3/7.3)</f>
        <v>14.501634294369186</v>
      </c>
      <c r="E390" s="1">
        <f>36.8335862368164*(10.3/7.3)</f>
        <v>51.970676471124527</v>
      </c>
      <c r="F390" s="1">
        <f>61.0010823413766*(38.9/42.5)</f>
        <v>55.833931837165849</v>
      </c>
      <c r="G390" s="1">
        <v>1.5578459046960398</v>
      </c>
      <c r="H390" s="1">
        <v>3.2235948698724393</v>
      </c>
      <c r="I390" s="1">
        <v>46.237427996557294</v>
      </c>
      <c r="J390" s="1">
        <v>4.0211023491262536E-2</v>
      </c>
      <c r="K390" s="1">
        <v>2.6857883820732575</v>
      </c>
      <c r="L390" s="1">
        <v>2.6058310289509414</v>
      </c>
      <c r="M390" s="1">
        <v>0.19218556596785477</v>
      </c>
      <c r="N390" s="1">
        <v>2.2559585164241622</v>
      </c>
      <c r="O390" s="1">
        <v>0.13330285714285714</v>
      </c>
      <c r="P390" s="1">
        <v>0.10600008668872449</v>
      </c>
      <c r="Q390" s="1">
        <v>2.4897080668658194</v>
      </c>
      <c r="R390" s="2">
        <f t="shared" si="23"/>
        <v>189.11913759393158</v>
      </c>
      <c r="S390" s="2">
        <f t="shared" si="22"/>
        <v>2.8319994922532445</v>
      </c>
      <c r="T390" s="2">
        <f t="shared" si="24"/>
        <v>5.187277968485815</v>
      </c>
      <c r="U390" s="2">
        <f t="shared" si="25"/>
        <v>197.13841505467062</v>
      </c>
    </row>
    <row r="391" spans="1:21" x14ac:dyDescent="0.25">
      <c r="A391">
        <v>2227193</v>
      </c>
      <c r="B391">
        <v>25</v>
      </c>
      <c r="C391" s="1">
        <f>16.0554613640609*(10.3/7.3)</f>
        <v>22.653596171209237</v>
      </c>
      <c r="D391" s="1">
        <f>20.5975938328106*(10.3/7.3)</f>
        <v>29.062358421636848</v>
      </c>
      <c r="E391" s="1">
        <f>73.4555321626031*(10.3/7.3)</f>
        <v>103.64273716093314</v>
      </c>
      <c r="F391" s="1">
        <f>111.189731309728*(38.9/42.5)</f>
        <v>101.7713070105513</v>
      </c>
      <c r="G391" s="1">
        <v>2.4333205089186185</v>
      </c>
      <c r="H391" s="1">
        <v>3.9181050958022929</v>
      </c>
      <c r="I391" s="1">
        <v>76.427369008268357</v>
      </c>
      <c r="J391" s="1">
        <v>2.6595382781343012E-2</v>
      </c>
      <c r="K391" s="1">
        <v>2.2459248175373179</v>
      </c>
      <c r="L391" s="1">
        <v>1.9497413174085352</v>
      </c>
      <c r="M391" s="1">
        <v>0.10315946545586369</v>
      </c>
      <c r="N391" s="1">
        <v>1.3570542139994526</v>
      </c>
      <c r="O391" s="1">
        <v>9.3570133333333333E-2</v>
      </c>
      <c r="P391" s="1">
        <v>7.9918296335363195E-2</v>
      </c>
      <c r="Q391" s="1">
        <v>3.8888683932489387</v>
      </c>
      <c r="R391" s="2">
        <f t="shared" si="23"/>
        <v>343.79766177056865</v>
      </c>
      <c r="S391" s="2">
        <f t="shared" si="22"/>
        <v>2.3524384966540239</v>
      </c>
      <c r="T391" s="2">
        <f t="shared" si="24"/>
        <v>3.5035251301971848</v>
      </c>
      <c r="U391" s="2">
        <f t="shared" si="25"/>
        <v>349.65362539741989</v>
      </c>
    </row>
    <row r="392" spans="1:21" x14ac:dyDescent="0.25">
      <c r="A392">
        <v>2227201</v>
      </c>
      <c r="B392">
        <v>27</v>
      </c>
      <c r="C392" s="1">
        <f>13.5696543409306*(10.3/7.3)</f>
        <v>19.146224618025308</v>
      </c>
      <c r="D392" s="1">
        <f>17.7283150277275*(10.3/7.3)</f>
        <v>25.01392394323193</v>
      </c>
      <c r="E392" s="1">
        <f>63.0696636508037*(10.3/7.3)</f>
        <v>88.988703507298311</v>
      </c>
      <c r="F392" s="1">
        <f>100.627753517159*(38.9/42.5)</f>
        <v>92.103990866294183</v>
      </c>
      <c r="G392" s="1">
        <v>2.5408634204917044</v>
      </c>
      <c r="H392" s="1">
        <v>3.0283777656164834</v>
      </c>
      <c r="I392" s="1">
        <v>69.679396008681877</v>
      </c>
      <c r="J392" s="1">
        <v>2.6772101216932527E-2</v>
      </c>
      <c r="K392" s="1">
        <v>2.2773179274669499</v>
      </c>
      <c r="L392" s="1">
        <v>1.9761637624485726</v>
      </c>
      <c r="M392" s="1">
        <v>0.10353758792971472</v>
      </c>
      <c r="N392" s="1">
        <v>1.3743086035197691</v>
      </c>
      <c r="O392" s="1">
        <v>9.301925925925926E-2</v>
      </c>
      <c r="P392" s="1">
        <v>7.9725349244952365E-2</v>
      </c>
      <c r="Q392" s="1">
        <v>4.0607406263566084</v>
      </c>
      <c r="R392" s="2">
        <f t="shared" si="23"/>
        <v>304.56222075599646</v>
      </c>
      <c r="S392" s="2">
        <f t="shared" si="22"/>
        <v>2.3838153779288347</v>
      </c>
      <c r="T392" s="2">
        <f t="shared" si="24"/>
        <v>3.547029213157316</v>
      </c>
      <c r="U392" s="2">
        <f t="shared" si="25"/>
        <v>310.49306534708262</v>
      </c>
    </row>
    <row r="393" spans="1:21" x14ac:dyDescent="0.25">
      <c r="A393">
        <v>2227209</v>
      </c>
      <c r="B393">
        <v>15</v>
      </c>
      <c r="C393" s="1">
        <f>12.5597338344636*(10.3/7.3)</f>
        <v>17.721268286982941</v>
      </c>
      <c r="D393" s="1">
        <f>16.0097912606144*(10.3/7.3)</f>
        <v>22.589157532099705</v>
      </c>
      <c r="E393" s="1">
        <f>57.0420393400257*(10.3/7.3)</f>
        <v>80.483973315378691</v>
      </c>
      <c r="F393" s="1">
        <f>89.771974020338*(38.9/42.5)</f>
        <v>82.167759750379986</v>
      </c>
      <c r="G393" s="1">
        <v>2.1717211366644382</v>
      </c>
      <c r="H393" s="1">
        <v>3.6154962347312298</v>
      </c>
      <c r="I393" s="1">
        <v>62.603105686730913</v>
      </c>
      <c r="J393" s="1">
        <v>2.7610243967969451E-2</v>
      </c>
      <c r="K393" s="1">
        <v>2.3491684024653861</v>
      </c>
      <c r="L393" s="1">
        <v>2.0152710051550455</v>
      </c>
      <c r="M393" s="1">
        <v>0.10306449310763251</v>
      </c>
      <c r="N393" s="1">
        <v>1.5674433158293604</v>
      </c>
      <c r="O393" s="1">
        <v>9.5111111111111105E-2</v>
      </c>
      <c r="P393" s="1">
        <v>8.0670145219325279E-2</v>
      </c>
      <c r="Q393" s="1">
        <v>3.4707872047148594</v>
      </c>
      <c r="R393" s="2">
        <f t="shared" si="23"/>
        <v>274.82326914768277</v>
      </c>
      <c r="S393" s="2">
        <f t="shared" ref="S393:S456" si="26">J393+K393+P393</f>
        <v>2.457448791652681</v>
      </c>
      <c r="T393" s="2">
        <f t="shared" si="24"/>
        <v>3.7808899252031494</v>
      </c>
      <c r="U393" s="2">
        <f t="shared" si="25"/>
        <v>281.06160786453859</v>
      </c>
    </row>
    <row r="394" spans="1:21" x14ac:dyDescent="0.25">
      <c r="A394">
        <v>2238517</v>
      </c>
      <c r="B394">
        <v>4</v>
      </c>
      <c r="C394" s="1">
        <f>0.318693189181394*(10.3/7.3)</f>
        <v>0.44966299295456974</v>
      </c>
      <c r="D394" s="1">
        <f>0.425318972390845*(10.3/7.3)</f>
        <v>0.60010759118160384</v>
      </c>
      <c r="E394" s="1">
        <f>1.49462454678276*(10.3/7.3)</f>
        <v>2.1088538125838907</v>
      </c>
      <c r="F394" s="1">
        <f>3.24074184670754*(38.9/42.5)</f>
        <v>2.9662319491040758</v>
      </c>
      <c r="G394" s="1">
        <v>0.13264337086400704</v>
      </c>
      <c r="H394" s="1">
        <v>0.82062471057123521</v>
      </c>
      <c r="I394" s="1">
        <v>2.4026493817192542</v>
      </c>
      <c r="J394" s="1">
        <v>8.8046477962281169E-3</v>
      </c>
      <c r="K394" s="1">
        <v>1.220986800274531</v>
      </c>
      <c r="L394" s="1">
        <v>1.0892925696228177</v>
      </c>
      <c r="M394" s="1">
        <v>4.671765987078251E-2</v>
      </c>
      <c r="N394" s="1">
        <v>0.36714849905656777</v>
      </c>
      <c r="O394" s="1">
        <v>8.5386666666666666E-2</v>
      </c>
      <c r="P394" s="1">
        <v>6.3315977354274647E-2</v>
      </c>
      <c r="Q394" s="1">
        <v>0.21198712238539957</v>
      </c>
      <c r="R394" s="2">
        <f t="shared" ref="R394:R457" si="27">C394+D394+E394+F394+G394+H394+I394+Q394</f>
        <v>9.6927609313640364</v>
      </c>
      <c r="S394" s="2">
        <f t="shared" si="26"/>
        <v>1.2931074254250337</v>
      </c>
      <c r="T394" s="2">
        <f t="shared" ref="T394:T457" si="28">L394+M394+N394+O394</f>
        <v>1.5885453952168349</v>
      </c>
      <c r="U394" s="2">
        <f t="shared" ref="U394:U457" si="29">R394+S394+T394</f>
        <v>12.574413752005904</v>
      </c>
    </row>
    <row r="395" spans="1:21" x14ac:dyDescent="0.25">
      <c r="A395">
        <v>2238645</v>
      </c>
      <c r="B395">
        <v>23</v>
      </c>
      <c r="C395" s="1">
        <f>0.325087504383447*(10.3/7.3)</f>
        <v>0.4586851089245903</v>
      </c>
      <c r="D395" s="1">
        <f>0.511715881198819*(10.3/7.3)</f>
        <v>0.72201007895175839</v>
      </c>
      <c r="E395" s="1">
        <f>1.77236310446937*(10.3/7.3)</f>
        <v>2.5007315035663753</v>
      </c>
      <c r="F395" s="1">
        <f>4.56595724437032*(38.9/42.5)</f>
        <v>4.1791938072001233</v>
      </c>
      <c r="G395" s="1">
        <v>0.22229645785067617</v>
      </c>
      <c r="H395" s="1">
        <v>2.06116438098059</v>
      </c>
      <c r="I395" s="1">
        <v>3.3642694825068391</v>
      </c>
      <c r="J395" s="1">
        <v>8.5219766311494215E-3</v>
      </c>
      <c r="K395" s="1">
        <v>2.2340328492423098</v>
      </c>
      <c r="L395" s="1">
        <v>1.3652353324799149</v>
      </c>
      <c r="M395" s="1">
        <v>4.1715538648704989E-2</v>
      </c>
      <c r="N395" s="1">
        <v>0.34375067853649754</v>
      </c>
      <c r="O395" s="1">
        <v>7.3950144927536238E-2</v>
      </c>
      <c r="P395" s="1">
        <v>7.6073731342157627E-2</v>
      </c>
      <c r="Q395" s="1">
        <v>0.35526831163350109</v>
      </c>
      <c r="R395" s="2">
        <f t="shared" si="27"/>
        <v>13.863619131614453</v>
      </c>
      <c r="S395" s="2">
        <f t="shared" si="26"/>
        <v>2.3186285572156167</v>
      </c>
      <c r="T395" s="2">
        <f t="shared" si="28"/>
        <v>1.8246516945926534</v>
      </c>
      <c r="U395" s="2">
        <f t="shared" si="29"/>
        <v>18.006899383422724</v>
      </c>
    </row>
    <row r="396" spans="1:21" x14ac:dyDescent="0.25">
      <c r="A396">
        <v>2238789</v>
      </c>
      <c r="B396">
        <v>22</v>
      </c>
      <c r="C396" s="1">
        <f>0.480702002416841*(10.3/7.3)</f>
        <v>0.67825077053335092</v>
      </c>
      <c r="D396" s="1">
        <f>0.655705238622674*(10.3/7.3)</f>
        <v>0.92517314490596547</v>
      </c>
      <c r="E396" s="1">
        <f>2.30359763350645*(10.3/7.3)</f>
        <v>3.2502815924817021</v>
      </c>
      <c r="F396" s="1">
        <f>4.92000532844503*(38.9/42.5)</f>
        <v>4.5032519359179206</v>
      </c>
      <c r="G396" s="1">
        <v>0.19892482069311954</v>
      </c>
      <c r="H396" s="1">
        <v>2.0287505287521039</v>
      </c>
      <c r="I396" s="1">
        <v>3.6119877959890165</v>
      </c>
      <c r="J396" s="1">
        <v>1.0603380443492594E-2</v>
      </c>
      <c r="K396" s="1">
        <v>1.8281780203199631</v>
      </c>
      <c r="L396" s="1">
        <v>1.9865498755685265</v>
      </c>
      <c r="M396" s="1">
        <v>4.8387637496348994E-2</v>
      </c>
      <c r="N396" s="1">
        <v>0.44420384450260814</v>
      </c>
      <c r="O396" s="1">
        <v>8.59151515151515E-2</v>
      </c>
      <c r="P396" s="1">
        <v>7.548477127908905E-2</v>
      </c>
      <c r="Q396" s="1">
        <v>0.31791638010315942</v>
      </c>
      <c r="R396" s="2">
        <f t="shared" si="27"/>
        <v>15.514536969376339</v>
      </c>
      <c r="S396" s="2">
        <f t="shared" si="26"/>
        <v>1.9142661720425449</v>
      </c>
      <c r="T396" s="2">
        <f t="shared" si="28"/>
        <v>2.5650565090826349</v>
      </c>
      <c r="U396" s="2">
        <f t="shared" si="29"/>
        <v>19.993859650501516</v>
      </c>
    </row>
    <row r="397" spans="1:21" x14ac:dyDescent="0.25">
      <c r="A397">
        <v>2238797</v>
      </c>
      <c r="B397">
        <v>71</v>
      </c>
      <c r="C397" s="1">
        <f>0.499676705687302*(10.3/7.3)</f>
        <v>0.70502329706564537</v>
      </c>
      <c r="D397" s="1">
        <f>0.672838976756688*(10.3/7.3)</f>
        <v>0.9493481452868332</v>
      </c>
      <c r="E397" s="1">
        <f>2.36682854377127*(10.3/7.3)</f>
        <v>3.3394978083348121</v>
      </c>
      <c r="F397" s="1">
        <f>4.965883379236*(38.9/42.5)</f>
        <v>4.5452438459360112</v>
      </c>
      <c r="G397" s="1">
        <v>0.19642379072937835</v>
      </c>
      <c r="H397" s="1">
        <v>1.2654954372794722</v>
      </c>
      <c r="I397" s="1">
        <v>3.6458551529175764</v>
      </c>
      <c r="J397" s="1">
        <v>1.060896560797713E-2</v>
      </c>
      <c r="K397" s="1">
        <v>1.8698780669042323</v>
      </c>
      <c r="L397" s="1">
        <v>2.1501053626003213</v>
      </c>
      <c r="M397" s="1">
        <v>4.6999989514489769E-2</v>
      </c>
      <c r="N397" s="1">
        <v>0.46102288168128841</v>
      </c>
      <c r="O397" s="1">
        <v>8.8321502347417868E-2</v>
      </c>
      <c r="P397" s="1">
        <v>7.9440385420792056E-2</v>
      </c>
      <c r="Q397" s="1">
        <v>0.31391930025243148</v>
      </c>
      <c r="R397" s="2">
        <f t="shared" si="27"/>
        <v>14.96080677780216</v>
      </c>
      <c r="S397" s="2">
        <f t="shared" si="26"/>
        <v>1.9599274179330015</v>
      </c>
      <c r="T397" s="2">
        <f t="shared" si="28"/>
        <v>2.7464497361435174</v>
      </c>
      <c r="U397" s="2">
        <f t="shared" si="29"/>
        <v>19.667183931878679</v>
      </c>
    </row>
    <row r="398" spans="1:21" x14ac:dyDescent="0.25">
      <c r="A398">
        <v>2238805</v>
      </c>
      <c r="B398">
        <v>19</v>
      </c>
      <c r="C398" s="1">
        <f>0.508471898149616*(10.3/7.3)</f>
        <v>0.71743295218370529</v>
      </c>
      <c r="D398" s="1">
        <f>0.672479116573704*(10.3/7.3)</f>
        <v>0.94884039735741832</v>
      </c>
      <c r="E398" s="1">
        <f>2.36794352422934*(10.3/7.3)</f>
        <v>3.3410709999400221</v>
      </c>
      <c r="F398" s="1">
        <f>4.93901941135088*(38.9/42.5)</f>
        <v>4.5206554141541018</v>
      </c>
      <c r="G398" s="1">
        <v>0.19340195478050184</v>
      </c>
      <c r="H398" s="1">
        <v>1.2226189081490353</v>
      </c>
      <c r="I398" s="1">
        <v>3.6419966059544713</v>
      </c>
      <c r="J398" s="1">
        <v>1.0357437044856503E-2</v>
      </c>
      <c r="K398" s="1">
        <v>1.7514066296724335</v>
      </c>
      <c r="L398" s="1">
        <v>1.987428620042929</v>
      </c>
      <c r="M398" s="1">
        <v>4.83052864709844E-2</v>
      </c>
      <c r="N398" s="1">
        <v>0.45031866943889459</v>
      </c>
      <c r="O398" s="1">
        <v>8.7135438596491213E-2</v>
      </c>
      <c r="P398" s="1">
        <v>7.5602951377595623E-2</v>
      </c>
      <c r="Q398" s="1">
        <v>0.30908988206929555</v>
      </c>
      <c r="R398" s="2">
        <f t="shared" si="27"/>
        <v>14.895107114588551</v>
      </c>
      <c r="S398" s="2">
        <f t="shared" si="26"/>
        <v>1.8373670180948856</v>
      </c>
      <c r="T398" s="2">
        <f t="shared" si="28"/>
        <v>2.5731880145492991</v>
      </c>
      <c r="U398" s="2">
        <f t="shared" si="29"/>
        <v>19.305662147232734</v>
      </c>
    </row>
    <row r="399" spans="1:21" x14ac:dyDescent="0.25">
      <c r="A399">
        <v>2238813</v>
      </c>
      <c r="B399">
        <v>71</v>
      </c>
      <c r="C399" s="1">
        <f>0.506739373077648*(10.3/7.3)</f>
        <v>0.71498843050681848</v>
      </c>
      <c r="D399" s="1">
        <f>0.653904028969629*(10.3/7.3)</f>
        <v>0.92263171210783235</v>
      </c>
      <c r="E399" s="1">
        <f>2.30567740026935*(10.3/7.3)</f>
        <v>3.2532160579142921</v>
      </c>
      <c r="F399" s="1">
        <f>4.77425754909477*(38.9/42.5)</f>
        <v>4.3698498508185049</v>
      </c>
      <c r="G399" s="1">
        <v>0.18448836193564527</v>
      </c>
      <c r="H399" s="1">
        <v>1.1165459941282196</v>
      </c>
      <c r="I399" s="1">
        <v>3.5429137522918221</v>
      </c>
      <c r="J399" s="1">
        <v>1.0616495800560359E-2</v>
      </c>
      <c r="K399" s="1">
        <v>1.8160656635005639</v>
      </c>
      <c r="L399" s="1">
        <v>2.08696542538453</v>
      </c>
      <c r="M399" s="1">
        <v>4.8843577758601597E-2</v>
      </c>
      <c r="N399" s="1">
        <v>0.47662096167166379</v>
      </c>
      <c r="O399" s="1">
        <v>9.0529201877934257E-2</v>
      </c>
      <c r="P399" s="1">
        <v>8.0393564123916864E-2</v>
      </c>
      <c r="Q399" s="1">
        <v>0.29484441405240142</v>
      </c>
      <c r="R399" s="2">
        <f t="shared" si="27"/>
        <v>14.399478573755538</v>
      </c>
      <c r="S399" s="2">
        <f t="shared" si="26"/>
        <v>1.9070757234250411</v>
      </c>
      <c r="T399" s="2">
        <f t="shared" si="28"/>
        <v>2.7029591666927297</v>
      </c>
      <c r="U399" s="2">
        <f t="shared" si="29"/>
        <v>19.009513463873308</v>
      </c>
    </row>
    <row r="400" spans="1:21" x14ac:dyDescent="0.25">
      <c r="A400">
        <v>2238821</v>
      </c>
      <c r="B400">
        <v>68</v>
      </c>
      <c r="C400" s="1">
        <f>0.531754705423286*(10.3/7.3)</f>
        <v>0.75028403641915631</v>
      </c>
      <c r="D400" s="1">
        <f>0.663733834753769*(10.3/7.3)</f>
        <v>0.93650116410463291</v>
      </c>
      <c r="E400" s="1">
        <f>2.34477087306837*(10.3/7.3)</f>
        <v>3.308375341452638</v>
      </c>
      <c r="F400" s="1">
        <f>4.80620708972644*(38.9/42.5)</f>
        <v>4.399093077420198</v>
      </c>
      <c r="G400" s="1">
        <v>0.18223414589386344</v>
      </c>
      <c r="H400" s="1">
        <v>1.1013356241232863</v>
      </c>
      <c r="I400" s="1">
        <v>3.5985145611325993</v>
      </c>
      <c r="J400" s="1">
        <v>1.0602143787852118E-2</v>
      </c>
      <c r="K400" s="1">
        <v>1.7562431735911697</v>
      </c>
      <c r="L400" s="1">
        <v>2.0674077516133771</v>
      </c>
      <c r="M400" s="1">
        <v>4.8327138523141785E-2</v>
      </c>
      <c r="N400" s="1">
        <v>0.47827270855032855</v>
      </c>
      <c r="O400" s="1">
        <v>9.0932549019607803E-2</v>
      </c>
      <c r="P400" s="1">
        <v>7.9136967736449723E-2</v>
      </c>
      <c r="Q400" s="1">
        <v>0.29124178567512454</v>
      </c>
      <c r="R400" s="2">
        <f t="shared" si="27"/>
        <v>14.5675797362215</v>
      </c>
      <c r="S400" s="2">
        <f t="shared" si="26"/>
        <v>1.8459822851154715</v>
      </c>
      <c r="T400" s="2">
        <f t="shared" si="28"/>
        <v>2.6849401477064556</v>
      </c>
      <c r="U400" s="2">
        <f t="shared" si="29"/>
        <v>19.098502169043428</v>
      </c>
    </row>
    <row r="401" spans="1:21" x14ac:dyDescent="0.25">
      <c r="A401">
        <v>2238829</v>
      </c>
      <c r="B401">
        <v>69</v>
      </c>
      <c r="C401" s="1">
        <f>0.549157816350759*(10.3/7.3)</f>
        <v>0.77483911074148126</v>
      </c>
      <c r="D401" s="1">
        <f>0.66154757373146*(10.3/7.3)</f>
        <v>0.93341643964849907</v>
      </c>
      <c r="E401" s="1">
        <f>2.34178854139201*(10.3/7.3)</f>
        <v>3.3041673940188629</v>
      </c>
      <c r="F401" s="1">
        <f>4.75332301281306*(38.9/42.5)</f>
        <v>4.3506885929041905</v>
      </c>
      <c r="G401" s="1">
        <v>0.17668211291522937</v>
      </c>
      <c r="H401" s="1">
        <v>1.0666509849792656</v>
      </c>
      <c r="I401" s="1">
        <v>3.59536623084422</v>
      </c>
      <c r="J401" s="1">
        <v>1.0728417986620321E-2</v>
      </c>
      <c r="K401" s="1">
        <v>1.7464640714797552</v>
      </c>
      <c r="L401" s="1">
        <v>2.2481719649883298</v>
      </c>
      <c r="M401" s="1">
        <v>4.9612056757569307E-2</v>
      </c>
      <c r="N401" s="1">
        <v>0.49077199955580686</v>
      </c>
      <c r="O401" s="1">
        <v>9.2362512077294706E-2</v>
      </c>
      <c r="P401" s="1">
        <v>8.0226672959150591E-2</v>
      </c>
      <c r="Q401" s="1">
        <v>0.28236867360881429</v>
      </c>
      <c r="R401" s="2">
        <f t="shared" si="27"/>
        <v>14.484179539660564</v>
      </c>
      <c r="S401" s="2">
        <f t="shared" si="26"/>
        <v>1.8374191624255261</v>
      </c>
      <c r="T401" s="2">
        <f t="shared" si="28"/>
        <v>2.8809185333790008</v>
      </c>
      <c r="U401" s="2">
        <f t="shared" si="29"/>
        <v>19.202517235465095</v>
      </c>
    </row>
    <row r="402" spans="1:21" x14ac:dyDescent="0.25">
      <c r="A402">
        <v>2238877</v>
      </c>
      <c r="B402">
        <v>17</v>
      </c>
      <c r="C402" s="1">
        <f>2.47379041180483*(10.3/7.3)</f>
        <v>3.4904166084369588</v>
      </c>
      <c r="D402" s="1">
        <f>2.58575690489066*(10.3/7.3)</f>
        <v>3.6483967288183283</v>
      </c>
      <c r="E402" s="1">
        <f>9.22662230645052*(10.3/7.3)</f>
        <v>13.018384898142509</v>
      </c>
      <c r="F402" s="1">
        <f>18.3154347411816*(38.9/42.5)</f>
        <v>16.764009680752118</v>
      </c>
      <c r="G402" s="1">
        <v>0.63773588368917988</v>
      </c>
      <c r="H402" s="1">
        <v>2.4867708867959273</v>
      </c>
      <c r="I402" s="1">
        <v>14.535321395091627</v>
      </c>
      <c r="J402" s="1">
        <v>2.673118526959168E-2</v>
      </c>
      <c r="K402" s="1">
        <v>3.2086157977810363</v>
      </c>
      <c r="L402" s="1">
        <v>5.0437914962534505</v>
      </c>
      <c r="M402" s="1">
        <v>0.11550501824928198</v>
      </c>
      <c r="N402" s="1">
        <v>1.1455471167288134</v>
      </c>
      <c r="O402" s="1">
        <v>0.23301333333333332</v>
      </c>
      <c r="P402" s="1">
        <v>0.14326902529488145</v>
      </c>
      <c r="Q402" s="1">
        <v>1.0192125995032564</v>
      </c>
      <c r="R402" s="2">
        <f t="shared" si="27"/>
        <v>55.600248681229907</v>
      </c>
      <c r="S402" s="2">
        <f t="shared" si="26"/>
        <v>3.3786160083455092</v>
      </c>
      <c r="T402" s="2">
        <f t="shared" si="28"/>
        <v>6.5378569645648783</v>
      </c>
      <c r="U402" s="2">
        <f t="shared" si="29"/>
        <v>65.516721654140298</v>
      </c>
    </row>
    <row r="403" spans="1:21" x14ac:dyDescent="0.25">
      <c r="A403">
        <v>2238885</v>
      </c>
      <c r="B403">
        <v>48</v>
      </c>
      <c r="C403" s="1">
        <f>2.1912687568743*(10.3/7.3)</f>
        <v>3.0917901638089416</v>
      </c>
      <c r="D403" s="1">
        <f>2.3295424079515*(10.3/7.3)</f>
        <v>3.2868886030000612</v>
      </c>
      <c r="E403" s="1">
        <f>8.30370019043164*(10.3/7.3)</f>
        <v>11.716179720746013</v>
      </c>
      <c r="F403" s="1">
        <f>16.5452280532575*(38.9/42.5)</f>
        <v>15.143749912275661</v>
      </c>
      <c r="G403" s="1">
        <v>0.58182917091662267</v>
      </c>
      <c r="H403" s="1">
        <v>3.5379643309208642</v>
      </c>
      <c r="I403" s="1">
        <v>13.053029438666995</v>
      </c>
      <c r="J403" s="1">
        <v>2.5507842586361681E-2</v>
      </c>
      <c r="K403" s="1">
        <v>3.0530302973482857</v>
      </c>
      <c r="L403" s="1">
        <v>4.6209237580800258</v>
      </c>
      <c r="M403" s="1">
        <v>0.11070802744259693</v>
      </c>
      <c r="N403" s="1">
        <v>1.0839794451534137</v>
      </c>
      <c r="O403" s="1">
        <v>0.2224477777777778</v>
      </c>
      <c r="P403" s="1">
        <v>0.13798596799392235</v>
      </c>
      <c r="Q403" s="1">
        <v>0.92986397178455771</v>
      </c>
      <c r="R403" s="2">
        <f t="shared" si="27"/>
        <v>51.341295312119712</v>
      </c>
      <c r="S403" s="2">
        <f t="shared" si="26"/>
        <v>3.2165241079285698</v>
      </c>
      <c r="T403" s="2">
        <f t="shared" si="28"/>
        <v>6.038059008453815</v>
      </c>
      <c r="U403" s="2">
        <f t="shared" si="29"/>
        <v>60.595878428502097</v>
      </c>
    </row>
    <row r="404" spans="1:21" x14ac:dyDescent="0.25">
      <c r="A404">
        <v>2238893</v>
      </c>
      <c r="B404">
        <v>53</v>
      </c>
      <c r="C404" s="1">
        <f>2.05406599687416*(10.3/7.3)</f>
        <v>2.8982027079183381</v>
      </c>
      <c r="D404" s="1">
        <f>2.21073408409061*(10.3/7.3)</f>
        <v>3.1192549405662078</v>
      </c>
      <c r="E404" s="1">
        <f>7.87388735055907*(10.3/7.3)</f>
        <v>11.109731467227181</v>
      </c>
      <c r="F404" s="1">
        <f>15.7515941289164*(38.9/42.5)</f>
        <v>14.417341449761112</v>
      </c>
      <c r="G404" s="1">
        <v>0.55881634614444997</v>
      </c>
      <c r="H404" s="1">
        <v>4.4585972446657287</v>
      </c>
      <c r="I404" s="1">
        <v>12.376618488646471</v>
      </c>
      <c r="J404" s="1">
        <v>2.578218639154831E-2</v>
      </c>
      <c r="K404" s="1">
        <v>2.8791555069871717</v>
      </c>
      <c r="L404" s="1">
        <v>4.1359530112218517</v>
      </c>
      <c r="M404" s="1">
        <v>0.10623181975366999</v>
      </c>
      <c r="N404" s="1">
        <v>1.0280562791749237</v>
      </c>
      <c r="O404" s="1">
        <v>0.20172578616352199</v>
      </c>
      <c r="P404" s="1">
        <v>0.13199551259583397</v>
      </c>
      <c r="Q404" s="1">
        <v>0.89308548470574323</v>
      </c>
      <c r="R404" s="2">
        <f t="shared" si="27"/>
        <v>49.831648129635234</v>
      </c>
      <c r="S404" s="2">
        <f t="shared" si="26"/>
        <v>3.0369332059745542</v>
      </c>
      <c r="T404" s="2">
        <f t="shared" si="28"/>
        <v>5.4719668963139672</v>
      </c>
      <c r="U404" s="2">
        <f t="shared" si="29"/>
        <v>58.340548231923755</v>
      </c>
    </row>
    <row r="405" spans="1:21" x14ac:dyDescent="0.25">
      <c r="A405">
        <v>2238909</v>
      </c>
      <c r="B405">
        <v>31</v>
      </c>
      <c r="C405" s="1">
        <f>1.77201309641127*(10.3/7.3)</f>
        <v>2.5002376565802882</v>
      </c>
      <c r="D405" s="1">
        <f>1.93246603679506*(10.3/7.3)</f>
        <v>2.726630161505363</v>
      </c>
      <c r="E405" s="1">
        <f>6.87720713947586*(10.3/7.3)</f>
        <v>9.703456648849496</v>
      </c>
      <c r="F405" s="1">
        <f>13.8030308459473*(38.9/42.5)</f>
        <v>12.633832938996434</v>
      </c>
      <c r="G405" s="1">
        <v>0.4935774955590877</v>
      </c>
      <c r="H405" s="1">
        <v>3.2295119695254653</v>
      </c>
      <c r="I405" s="1">
        <v>10.797824502305263</v>
      </c>
      <c r="J405" s="1">
        <v>2.346929685871536E-2</v>
      </c>
      <c r="K405" s="1">
        <v>2.7341188483279524</v>
      </c>
      <c r="L405" s="1">
        <v>3.7214501636456743</v>
      </c>
      <c r="M405" s="1">
        <v>0.10332255186438635</v>
      </c>
      <c r="N405" s="1">
        <v>1.0122807907897158</v>
      </c>
      <c r="O405" s="1">
        <v>0.18919741935483869</v>
      </c>
      <c r="P405" s="1">
        <v>0.12616565736182503</v>
      </c>
      <c r="Q405" s="1">
        <v>0.78882248148712719</v>
      </c>
      <c r="R405" s="2">
        <f t="shared" si="27"/>
        <v>42.873893854808529</v>
      </c>
      <c r="S405" s="2">
        <f t="shared" si="26"/>
        <v>2.8837538025484926</v>
      </c>
      <c r="T405" s="2">
        <f t="shared" si="28"/>
        <v>5.0262509256546153</v>
      </c>
      <c r="U405" s="2">
        <f t="shared" si="29"/>
        <v>50.783898583011634</v>
      </c>
    </row>
    <row r="406" spans="1:21" x14ac:dyDescent="0.25">
      <c r="A406">
        <v>2239285</v>
      </c>
      <c r="B406">
        <v>11</v>
      </c>
      <c r="C406" s="1">
        <f>7.83765859017395*(10.3/7.3)</f>
        <v>11.058614175176947</v>
      </c>
      <c r="D406" s="1">
        <f>9.52387932320889*(10.3/7.3)</f>
        <v>13.437802332746791</v>
      </c>
      <c r="E406" s="1">
        <f>33.8638015609187*(10.3/7.3)</f>
        <v>47.780432339378386</v>
      </c>
      <c r="F406" s="1">
        <f>60.4459835728757*(38.9/42.5)</f>
        <v>55.325853199643845</v>
      </c>
      <c r="G406" s="1">
        <v>1.8635180442002792</v>
      </c>
      <c r="H406" s="1">
        <v>8.1189108696302714</v>
      </c>
      <c r="I406" s="1">
        <v>44.403379514105907</v>
      </c>
      <c r="J406" s="1">
        <v>4.7089532314425024E-2</v>
      </c>
      <c r="K406" s="1">
        <v>2.7451315593660572</v>
      </c>
      <c r="L406" s="1">
        <v>2.7263480831218447</v>
      </c>
      <c r="M406" s="1">
        <v>0.24377791209309654</v>
      </c>
      <c r="N406" s="1">
        <v>1.9347401784211256</v>
      </c>
      <c r="O406" s="1">
        <v>0.14431515151515154</v>
      </c>
      <c r="P406" s="1">
        <v>0.11027990920178078</v>
      </c>
      <c r="Q406" s="1">
        <v>2.9782251847949697</v>
      </c>
      <c r="R406" s="2">
        <f t="shared" si="27"/>
        <v>184.96673565967743</v>
      </c>
      <c r="S406" s="2">
        <f t="shared" si="26"/>
        <v>2.9025010008822631</v>
      </c>
      <c r="T406" s="2">
        <f t="shared" si="28"/>
        <v>5.0491813251512188</v>
      </c>
      <c r="U406" s="2">
        <f t="shared" si="29"/>
        <v>192.9184179857109</v>
      </c>
    </row>
    <row r="407" spans="1:21" x14ac:dyDescent="0.25">
      <c r="A407">
        <v>2239309</v>
      </c>
      <c r="B407">
        <v>8</v>
      </c>
      <c r="C407" s="1">
        <f>5.52878814262854*(10.3/7.3)</f>
        <v>7.8008928587772566</v>
      </c>
      <c r="D407" s="1">
        <f>6.27067630889249*(10.3/7.3)</f>
        <v>8.8476665728209056</v>
      </c>
      <c r="E407" s="1">
        <f>22.4029232117338*(10.3/7.3)</f>
        <v>31.609603983679165</v>
      </c>
      <c r="F407" s="1">
        <f>38.3455857612298*(38.9/42.5)</f>
        <v>35.097489084984417</v>
      </c>
      <c r="G407" s="1">
        <v>1.0680943143445694</v>
      </c>
      <c r="H407" s="1">
        <v>2.5160393935146104</v>
      </c>
      <c r="I407" s="1">
        <v>28.734943954342189</v>
      </c>
      <c r="J407" s="1">
        <v>3.1372126978994011E-2</v>
      </c>
      <c r="K407" s="1">
        <v>2.1143161992363266</v>
      </c>
      <c r="L407" s="1">
        <v>1.9501371493090316</v>
      </c>
      <c r="M407" s="1">
        <v>0.16024059253495282</v>
      </c>
      <c r="N407" s="1">
        <v>1.4174265109258255</v>
      </c>
      <c r="O407" s="1">
        <v>0.108</v>
      </c>
      <c r="P407" s="1">
        <v>8.9313869883979019E-2</v>
      </c>
      <c r="Q407" s="1">
        <v>1.7070000457561629</v>
      </c>
      <c r="R407" s="2">
        <f t="shared" si="27"/>
        <v>117.38173020821927</v>
      </c>
      <c r="S407" s="2">
        <f t="shared" si="26"/>
        <v>2.2350021960992996</v>
      </c>
      <c r="T407" s="2">
        <f t="shared" si="28"/>
        <v>3.6358042527698098</v>
      </c>
      <c r="U407" s="2">
        <f t="shared" si="29"/>
        <v>123.25253665708838</v>
      </c>
    </row>
    <row r="408" spans="1:21" x14ac:dyDescent="0.25">
      <c r="A408">
        <v>2239317</v>
      </c>
      <c r="B408">
        <v>16</v>
      </c>
      <c r="C408" s="1">
        <f>7.15581017325529*(10.3/7.3)</f>
        <v>10.096554080072535</v>
      </c>
      <c r="D408" s="1">
        <f>8.00959510444709*(10.3/7.3)</f>
        <v>11.301209530932194</v>
      </c>
      <c r="E408" s="1">
        <f>28.6546352378064*(10.3/7.3)</f>
        <v>40.430512732795307</v>
      </c>
      <c r="F408" s="1">
        <f>48.0250048773171*(38.9/42.5)</f>
        <v>43.957004464179633</v>
      </c>
      <c r="G408" s="1">
        <v>1.2736110679779984</v>
      </c>
      <c r="H408" s="1">
        <v>2.8333890436628613</v>
      </c>
      <c r="I408" s="1">
        <v>36.048674328580155</v>
      </c>
      <c r="J408" s="1">
        <v>3.6754100544555871E-2</v>
      </c>
      <c r="K408" s="1">
        <v>2.4781571805167886</v>
      </c>
      <c r="L408" s="1">
        <v>2.3377026545246644</v>
      </c>
      <c r="M408" s="1">
        <v>0.18718267459101728</v>
      </c>
      <c r="N408" s="1">
        <v>1.8660353892144479</v>
      </c>
      <c r="O408" s="1">
        <v>0.12504666666666669</v>
      </c>
      <c r="P408" s="1">
        <v>0.10104526909921865</v>
      </c>
      <c r="Q408" s="1">
        <v>2.0354514785036524</v>
      </c>
      <c r="R408" s="2">
        <f t="shared" si="27"/>
        <v>147.97640672670434</v>
      </c>
      <c r="S408" s="2">
        <f t="shared" si="26"/>
        <v>2.6159565501605631</v>
      </c>
      <c r="T408" s="2">
        <f t="shared" si="28"/>
        <v>4.5159673849967961</v>
      </c>
      <c r="U408" s="2">
        <f t="shared" si="29"/>
        <v>155.10833066186171</v>
      </c>
    </row>
    <row r="409" spans="1:21" x14ac:dyDescent="0.25">
      <c r="A409">
        <v>2239325</v>
      </c>
      <c r="B409">
        <v>33</v>
      </c>
      <c r="C409" s="1">
        <f>9.10712320336576*(10.3/7.3)</f>
        <v>12.84977657461196</v>
      </c>
      <c r="D409" s="1">
        <f>10.0461116363903*(10.3/7.3)</f>
        <v>14.174650665043904</v>
      </c>
      <c r="E409" s="1">
        <f>35.983927030562*(10.3/7.3)</f>
        <v>50.77184224860116</v>
      </c>
      <c r="F409" s="1">
        <f>59.4507576833199*(38.9/42.5)</f>
        <v>54.414928797203402</v>
      </c>
      <c r="G409" s="1">
        <v>1.5177909846278312</v>
      </c>
      <c r="H409" s="1">
        <v>2.7904334590164304</v>
      </c>
      <c r="I409" s="1">
        <v>44.796000577328044</v>
      </c>
      <c r="J409" s="1">
        <v>3.9831339414804941E-2</v>
      </c>
      <c r="K409" s="1">
        <v>2.6611041366527433</v>
      </c>
      <c r="L409" s="1">
        <v>2.5802313231152043</v>
      </c>
      <c r="M409" s="1">
        <v>0.19689526088175222</v>
      </c>
      <c r="N409" s="1">
        <v>2.8082376598192007</v>
      </c>
      <c r="O409" s="1">
        <v>0.1324880808080808</v>
      </c>
      <c r="P409" s="1">
        <v>0.10532362828208493</v>
      </c>
      <c r="Q409" s="1">
        <v>2.4256933544280441</v>
      </c>
      <c r="R409" s="2">
        <f t="shared" si="27"/>
        <v>183.74111666086077</v>
      </c>
      <c r="S409" s="2">
        <f t="shared" si="26"/>
        <v>2.8062591043496332</v>
      </c>
      <c r="T409" s="2">
        <f t="shared" si="28"/>
        <v>5.7178523246242374</v>
      </c>
      <c r="U409" s="2">
        <f t="shared" si="29"/>
        <v>192.26522808983464</v>
      </c>
    </row>
    <row r="410" spans="1:21" x14ac:dyDescent="0.25">
      <c r="A410">
        <v>2239429</v>
      </c>
      <c r="B410">
        <v>15</v>
      </c>
      <c r="C410" s="1">
        <f>15.1810249787064*(10.3/7.3)</f>
        <v>21.41980236721583</v>
      </c>
      <c r="D410" s="1">
        <f>19.4198125277308*(10.3/7.3)</f>
        <v>27.400557402140766</v>
      </c>
      <c r="E410" s="1">
        <f>69.1565314975142*(10.3/7.3)</f>
        <v>97.577023893752965</v>
      </c>
      <c r="F410" s="1">
        <f>110.058654105536*(38.9/42.5)</f>
        <v>100.73603869894936</v>
      </c>
      <c r="G410" s="1">
        <v>2.739454434701579</v>
      </c>
      <c r="H410" s="1">
        <v>3.9686929310098362</v>
      </c>
      <c r="I410" s="1">
        <v>76.870809051714602</v>
      </c>
      <c r="J410" s="1">
        <v>2.7510104359299091E-2</v>
      </c>
      <c r="K410" s="1">
        <v>2.3193463733561552</v>
      </c>
      <c r="L410" s="1">
        <v>2.0215378804015973</v>
      </c>
      <c r="M410" s="1">
        <v>0.10643735457791878</v>
      </c>
      <c r="N410" s="1">
        <v>1.4282609165834932</v>
      </c>
      <c r="O410" s="1">
        <v>9.5790222222222221E-2</v>
      </c>
      <c r="P410" s="1">
        <v>8.1564324437946964E-2</v>
      </c>
      <c r="Q410" s="1">
        <v>4.3781235257787845</v>
      </c>
      <c r="R410" s="2">
        <f t="shared" si="27"/>
        <v>335.09050230526373</v>
      </c>
      <c r="S410" s="2">
        <f t="shared" si="26"/>
        <v>2.4284208021534011</v>
      </c>
      <c r="T410" s="2">
        <f t="shared" si="28"/>
        <v>3.6520263737852314</v>
      </c>
      <c r="U410" s="2">
        <f t="shared" si="29"/>
        <v>341.1709494812024</v>
      </c>
    </row>
    <row r="411" spans="1:21" x14ac:dyDescent="0.25">
      <c r="A411">
        <v>2239461</v>
      </c>
      <c r="B411">
        <v>39</v>
      </c>
      <c r="C411" s="1">
        <f>13.1173832143735*(10.3/7.3)</f>
        <v>18.508088644937988</v>
      </c>
      <c r="D411" s="1">
        <f>15.2961508761023*(10.3/7.3)</f>
        <v>21.582240277240189</v>
      </c>
      <c r="E411" s="1">
        <f>54.8664875793332*(10.3/7.3)</f>
        <v>77.414359187278336</v>
      </c>
      <c r="F411" s="1">
        <f>79.221324432146*(38.9/42.5)</f>
        <v>72.510812244952476</v>
      </c>
      <c r="G411" s="1">
        <v>1.408889870831366</v>
      </c>
      <c r="H411" s="1">
        <v>4.847419493786445</v>
      </c>
      <c r="I411" s="1">
        <v>56.360490013838422</v>
      </c>
      <c r="J411" s="1">
        <v>2.7925067926735794E-2</v>
      </c>
      <c r="K411" s="1">
        <v>2.3547016645153294</v>
      </c>
      <c r="L411" s="1">
        <v>1.9966457667774422</v>
      </c>
      <c r="M411" s="1">
        <v>9.9638255828047598E-2</v>
      </c>
      <c r="N411" s="1">
        <v>1.4444936042185665</v>
      </c>
      <c r="O411" s="1">
        <v>9.1183589743589727E-2</v>
      </c>
      <c r="P411" s="1">
        <v>7.8307560318051042E-2</v>
      </c>
      <c r="Q411" s="1">
        <v>2.251650478497619</v>
      </c>
      <c r="R411" s="2">
        <f t="shared" si="27"/>
        <v>254.88395021136282</v>
      </c>
      <c r="S411" s="2">
        <f t="shared" si="26"/>
        <v>2.4609342927601165</v>
      </c>
      <c r="T411" s="2">
        <f t="shared" si="28"/>
        <v>3.6319612165676456</v>
      </c>
      <c r="U411" s="2">
        <f t="shared" si="29"/>
        <v>260.97684572069056</v>
      </c>
    </row>
    <row r="412" spans="1:21" x14ac:dyDescent="0.25">
      <c r="A412">
        <v>2250873</v>
      </c>
      <c r="B412">
        <v>26</v>
      </c>
      <c r="C412" s="1">
        <f>0.36547409377727*(10.3/7.3)</f>
        <v>0.51566892683642196</v>
      </c>
      <c r="D412" s="1">
        <f>0.531426087932327*(10.3/7.3)</f>
        <v>0.74982037064424245</v>
      </c>
      <c r="E412" s="1">
        <f>1.85746533794831*(10.3/7.3)</f>
        <v>2.6208072576530945</v>
      </c>
      <c r="F412" s="1">
        <f>4.20622895044485*(38.9/42.5)</f>
        <v>3.8499366158189368</v>
      </c>
      <c r="G412" s="1">
        <v>0.18224871081798683</v>
      </c>
      <c r="H412" s="1">
        <v>2.1499700767590348</v>
      </c>
      <c r="I412" s="1">
        <v>3.071747572159377</v>
      </c>
      <c r="J412" s="1">
        <v>8.9809365923260911E-3</v>
      </c>
      <c r="K412" s="1">
        <v>2.2392415488067425</v>
      </c>
      <c r="L412" s="1">
        <v>1.4496520826096737</v>
      </c>
      <c r="M412" s="1">
        <v>4.4456341368354163E-2</v>
      </c>
      <c r="N412" s="1">
        <v>0.36257220726572242</v>
      </c>
      <c r="O412" s="1">
        <v>7.8373333333333337E-2</v>
      </c>
      <c r="P412" s="1">
        <v>8.0848412101799549E-2</v>
      </c>
      <c r="Q412" s="1">
        <v>0.29126506295112081</v>
      </c>
      <c r="R412" s="2">
        <f t="shared" si="27"/>
        <v>13.431464593640216</v>
      </c>
      <c r="S412" s="2">
        <f t="shared" si="26"/>
        <v>2.329070897500868</v>
      </c>
      <c r="T412" s="2">
        <f t="shared" si="28"/>
        <v>1.9350539645770837</v>
      </c>
      <c r="U412" s="2">
        <f t="shared" si="29"/>
        <v>17.695589455718167</v>
      </c>
    </row>
    <row r="413" spans="1:21" x14ac:dyDescent="0.25">
      <c r="A413">
        <v>2250961</v>
      </c>
      <c r="B413">
        <v>9</v>
      </c>
      <c r="C413" s="1">
        <f>0.665103062648972*(10.3/7.3)</f>
        <v>0.93843308839512429</v>
      </c>
      <c r="D413" s="1">
        <f>0.771955079273431*(10.3/7.3)</f>
        <v>1.089196892673471</v>
      </c>
      <c r="E413" s="1">
        <f>2.73304962936998*(10.3/7.3)</f>
        <v>3.8562207099329826</v>
      </c>
      <c r="F413" s="1">
        <f>5.77008794358272*(38.9/42.5)</f>
        <v>5.281327553067479</v>
      </c>
      <c r="G413" s="1">
        <v>0.22313771238841656</v>
      </c>
      <c r="H413" s="1">
        <v>1.8815733630794413</v>
      </c>
      <c r="I413" s="1">
        <v>4.4505642378146986</v>
      </c>
      <c r="J413" s="1">
        <v>1.0759821794137515E-2</v>
      </c>
      <c r="K413" s="1">
        <v>2.6768540165239942</v>
      </c>
      <c r="L413" s="1">
        <v>2.9322504551609088</v>
      </c>
      <c r="M413" s="1">
        <v>4.9165099480444278E-2</v>
      </c>
      <c r="N413" s="1">
        <v>0.45621480325584129</v>
      </c>
      <c r="O413" s="1">
        <v>8.9451851851851852E-2</v>
      </c>
      <c r="P413" s="1">
        <v>8.488212979902085E-2</v>
      </c>
      <c r="Q413" s="1">
        <v>0.35661278235591726</v>
      </c>
      <c r="R413" s="2">
        <f t="shared" si="27"/>
        <v>18.077066339707532</v>
      </c>
      <c r="S413" s="2">
        <f t="shared" si="26"/>
        <v>2.7724959681171524</v>
      </c>
      <c r="T413" s="2">
        <f t="shared" si="28"/>
        <v>3.5270822097490457</v>
      </c>
      <c r="U413" s="2">
        <f t="shared" si="29"/>
        <v>24.37664451757373</v>
      </c>
    </row>
    <row r="414" spans="1:21" x14ac:dyDescent="0.25">
      <c r="A414">
        <v>2250969</v>
      </c>
      <c r="B414">
        <v>6</v>
      </c>
      <c r="C414" s="1">
        <f>1.245724007619*(10.3/7.3)</f>
        <v>1.7576653806131048</v>
      </c>
      <c r="D414" s="1">
        <f>1.22595511909762*(10.3/7.3)</f>
        <v>1.7297722913295155</v>
      </c>
      <c r="E414" s="1">
        <f>4.37128772490985*(10.3/7.3)</f>
        <v>6.1677073378864948</v>
      </c>
      <c r="F414" s="1">
        <f>9.5731253817074*(38.9/42.5)</f>
        <v>8.7622253493745426</v>
      </c>
      <c r="G414" s="1">
        <v>0.37209885553599714</v>
      </c>
      <c r="H414" s="1">
        <v>3.2872575474560795</v>
      </c>
      <c r="I414" s="1">
        <v>7.8545625248153605</v>
      </c>
      <c r="J414" s="1">
        <v>1.1749431203737665E-2</v>
      </c>
      <c r="K414" s="1">
        <v>2.7344505731686701</v>
      </c>
      <c r="L414" s="1">
        <v>2.8228072417609318</v>
      </c>
      <c r="M414" s="1">
        <v>5.3902598791253253E-2</v>
      </c>
      <c r="N414" s="1">
        <v>0.50589613232376818</v>
      </c>
      <c r="O414" s="1">
        <v>9.6479999999999996E-2</v>
      </c>
      <c r="P414" s="1">
        <v>8.9758649291616921E-2</v>
      </c>
      <c r="Q414" s="1">
        <v>0.59467853624474476</v>
      </c>
      <c r="R414" s="2">
        <f t="shared" si="27"/>
        <v>30.525967823255844</v>
      </c>
      <c r="S414" s="2">
        <f t="shared" si="26"/>
        <v>2.8359586536640249</v>
      </c>
      <c r="T414" s="2">
        <f t="shared" si="28"/>
        <v>3.4790859728759536</v>
      </c>
      <c r="U414" s="2">
        <f t="shared" si="29"/>
        <v>36.841012449795826</v>
      </c>
    </row>
    <row r="415" spans="1:21" x14ac:dyDescent="0.25">
      <c r="A415">
        <v>2251001</v>
      </c>
      <c r="B415">
        <v>8</v>
      </c>
      <c r="C415" s="1">
        <f>0.653746214325577*(10.3/7.3)</f>
        <v>0.92240904213060915</v>
      </c>
      <c r="D415" s="1">
        <f>0.933337115965368*(10.3/7.3)</f>
        <v>1.3169003143073001</v>
      </c>
      <c r="E415" s="1">
        <f>3.24543922349098*(10.3/7.3)</f>
        <v>4.5791813701311046</v>
      </c>
      <c r="F415" s="1">
        <f>8.32132818377707*(38.9/42.5)</f>
        <v>7.6164627376218323</v>
      </c>
      <c r="G415" s="1">
        <v>0.39927129935505457</v>
      </c>
      <c r="H415" s="1">
        <v>4.3247392519144539</v>
      </c>
      <c r="I415" s="1">
        <v>6.2639786425711854</v>
      </c>
      <c r="J415" s="1">
        <v>1.1681539943622173E-2</v>
      </c>
      <c r="K415" s="1">
        <v>2.0931198172659697</v>
      </c>
      <c r="L415" s="1">
        <v>2.3006342314124666</v>
      </c>
      <c r="M415" s="1">
        <v>5.3898908982330254E-2</v>
      </c>
      <c r="N415" s="1">
        <v>0.48892113901830131</v>
      </c>
      <c r="O415" s="1">
        <v>9.3666666666666676E-2</v>
      </c>
      <c r="P415" s="1">
        <v>8.1647216792211597E-2</v>
      </c>
      <c r="Q415" s="1">
        <v>0.63810481632086402</v>
      </c>
      <c r="R415" s="2">
        <f t="shared" si="27"/>
        <v>26.061047474352407</v>
      </c>
      <c r="S415" s="2">
        <f t="shared" si="26"/>
        <v>2.1864485740018034</v>
      </c>
      <c r="T415" s="2">
        <f t="shared" si="28"/>
        <v>2.9371209460797645</v>
      </c>
      <c r="U415" s="2">
        <f t="shared" si="29"/>
        <v>31.184616994433977</v>
      </c>
    </row>
    <row r="416" spans="1:21" x14ac:dyDescent="0.25">
      <c r="A416">
        <v>2251009</v>
      </c>
      <c r="B416">
        <v>6</v>
      </c>
      <c r="C416" s="1">
        <f>0.697342571674175*(10.3/7.3)</f>
        <v>0.98392171071835599</v>
      </c>
      <c r="D416" s="1">
        <f>0.971640436413103*(10.3/7.3)</f>
        <v>1.3709447253499953</v>
      </c>
      <c r="E416" s="1">
        <f>3.39229165830755*(10.3/7.3)</f>
        <v>4.7863841206257263</v>
      </c>
      <c r="F416" s="1">
        <f>8.16930740908258*(38.9/42.5)</f>
        <v>7.4773190167838246</v>
      </c>
      <c r="G416" s="1">
        <v>0.37168755826200023</v>
      </c>
      <c r="H416" s="1">
        <v>6.7377666746655862</v>
      </c>
      <c r="I416" s="1">
        <v>6.1125000987448237</v>
      </c>
      <c r="J416" s="1">
        <v>1.1886628125221061E-2</v>
      </c>
      <c r="K416" s="1">
        <v>2.1104573426149464</v>
      </c>
      <c r="L416" s="1">
        <v>2.4081111197846048</v>
      </c>
      <c r="M416" s="1">
        <v>5.468139701331895E-2</v>
      </c>
      <c r="N416" s="1">
        <v>0.49848415995599199</v>
      </c>
      <c r="O416" s="1">
        <v>9.6328888888888894E-2</v>
      </c>
      <c r="P416" s="1">
        <v>8.3465321633230505E-2</v>
      </c>
      <c r="Q416" s="1">
        <v>0.5940212118342475</v>
      </c>
      <c r="R416" s="2">
        <f t="shared" si="27"/>
        <v>28.434545116984559</v>
      </c>
      <c r="S416" s="2">
        <f t="shared" si="26"/>
        <v>2.2058092923733983</v>
      </c>
      <c r="T416" s="2">
        <f t="shared" si="28"/>
        <v>3.0576055656428047</v>
      </c>
      <c r="U416" s="2">
        <f t="shared" si="29"/>
        <v>33.697959975000764</v>
      </c>
    </row>
    <row r="417" spans="1:21" x14ac:dyDescent="0.25">
      <c r="A417">
        <v>2251017</v>
      </c>
      <c r="B417">
        <v>14</v>
      </c>
      <c r="C417" s="1">
        <f>0.590040862304578*(10.3/7.3)</f>
        <v>0.83252340845714434</v>
      </c>
      <c r="D417" s="1">
        <f>0.798140114520023*(10.3/7.3)</f>
        <v>1.1261429013090736</v>
      </c>
      <c r="E417" s="1">
        <f>2.80413630318093*(10.3/7.3)</f>
        <v>3.9565210853100865</v>
      </c>
      <c r="F417" s="1">
        <f>6.03135934210909*(38.9/42.5)</f>
        <v>5.5204677272480822</v>
      </c>
      <c r="G417" s="1">
        <v>0.2453452105427969</v>
      </c>
      <c r="H417" s="1">
        <v>2.8910213620884528</v>
      </c>
      <c r="I417" s="1">
        <v>4.445881390589971</v>
      </c>
      <c r="J417" s="1">
        <v>1.1482109367032908E-2</v>
      </c>
      <c r="K417" s="1">
        <v>1.9812363055734958</v>
      </c>
      <c r="L417" s="1">
        <v>2.2824694964035452</v>
      </c>
      <c r="M417" s="1">
        <v>5.1912752242614504E-2</v>
      </c>
      <c r="N417" s="1">
        <v>0.48269251696971399</v>
      </c>
      <c r="O417" s="1">
        <v>9.2567619047619037E-2</v>
      </c>
      <c r="P417" s="1">
        <v>8.0764052083137375E-2</v>
      </c>
      <c r="Q417" s="1">
        <v>0.39210421776246113</v>
      </c>
      <c r="R417" s="2">
        <f t="shared" si="27"/>
        <v>19.41000730330807</v>
      </c>
      <c r="S417" s="2">
        <f t="shared" si="26"/>
        <v>2.0734824670236662</v>
      </c>
      <c r="T417" s="2">
        <f t="shared" si="28"/>
        <v>2.9096423846634929</v>
      </c>
      <c r="U417" s="2">
        <f t="shared" si="29"/>
        <v>24.393132154995229</v>
      </c>
    </row>
    <row r="418" spans="1:21" x14ac:dyDescent="0.25">
      <c r="A418">
        <v>2251025</v>
      </c>
      <c r="B418">
        <v>14</v>
      </c>
      <c r="C418" s="1">
        <f>0.476812191524818*(10.3/7.3)</f>
        <v>0.67276240721994873</v>
      </c>
      <c r="D418" s="1">
        <f>0.64146258555272*(10.3/7.3)</f>
        <v>0.90507734673876916</v>
      </c>
      <c r="E418" s="1">
        <f>2.25702961395166*(10.3/7.3)</f>
        <v>3.1845760306441204</v>
      </c>
      <c r="F418" s="1">
        <f>4.7109313130284*(38.9/42.5)</f>
        <v>4.3118877194542318</v>
      </c>
      <c r="G418" s="1">
        <v>0.18521406001273769</v>
      </c>
      <c r="H418" s="1">
        <v>1.2886893516397004</v>
      </c>
      <c r="I418" s="1">
        <v>3.4556985440665571</v>
      </c>
      <c r="J418" s="1">
        <v>1.0212785271659299E-2</v>
      </c>
      <c r="K418" s="1">
        <v>1.6942262946738122</v>
      </c>
      <c r="L418" s="1">
        <v>1.9879741704100369</v>
      </c>
      <c r="M418" s="1">
        <v>4.6654999314619465E-2</v>
      </c>
      <c r="N418" s="1">
        <v>0.43328981877480505</v>
      </c>
      <c r="O418" s="1">
        <v>8.4655238095238103E-2</v>
      </c>
      <c r="P418" s="1">
        <v>7.1633711968141486E-2</v>
      </c>
      <c r="Q418" s="1">
        <v>0.29600420549980944</v>
      </c>
      <c r="R418" s="2">
        <f t="shared" si="27"/>
        <v>14.299909665275875</v>
      </c>
      <c r="S418" s="2">
        <f t="shared" si="26"/>
        <v>1.776072791913613</v>
      </c>
      <c r="T418" s="2">
        <f t="shared" si="28"/>
        <v>2.5525742265946993</v>
      </c>
      <c r="U418" s="2">
        <f t="shared" si="29"/>
        <v>18.62855668378419</v>
      </c>
    </row>
    <row r="419" spans="1:21" x14ac:dyDescent="0.25">
      <c r="A419">
        <v>2251033</v>
      </c>
      <c r="B419">
        <v>34</v>
      </c>
      <c r="C419" s="1">
        <f>0.498954203689864*(10.3/7.3)</f>
        <v>0.70400387643912321</v>
      </c>
      <c r="D419" s="1">
        <f>0.663246523325547*(10.3/7.3)</f>
        <v>0.9358135877059095</v>
      </c>
      <c r="E419" s="1">
        <f>2.3351580930987*(10.3/7.3)</f>
        <v>3.2948121039611835</v>
      </c>
      <c r="F419" s="1">
        <f>4.85903588073679*(38.9/42.5)</f>
        <v>4.4474469590743775</v>
      </c>
      <c r="G419" s="1">
        <v>0.18993413578045537</v>
      </c>
      <c r="H419" s="1">
        <v>1.2251871009926258</v>
      </c>
      <c r="I419" s="1">
        <v>3.5754242685277942</v>
      </c>
      <c r="J419" s="1">
        <v>1.0381621992587279E-2</v>
      </c>
      <c r="K419" s="1">
        <v>1.7512066436415861</v>
      </c>
      <c r="L419" s="1">
        <v>2.086114270176477</v>
      </c>
      <c r="M419" s="1">
        <v>4.7293897439084888E-2</v>
      </c>
      <c r="N419" s="1">
        <v>0.45091238557667201</v>
      </c>
      <c r="O419" s="1">
        <v>8.7087058823529406E-2</v>
      </c>
      <c r="P419" s="1">
        <v>7.5153836399363863E-2</v>
      </c>
      <c r="Q419" s="1">
        <v>0.303547705585203</v>
      </c>
      <c r="R419" s="2">
        <f t="shared" si="27"/>
        <v>14.676169738066671</v>
      </c>
      <c r="S419" s="2">
        <f t="shared" si="26"/>
        <v>1.836742102033537</v>
      </c>
      <c r="T419" s="2">
        <f t="shared" si="28"/>
        <v>2.6714076120157637</v>
      </c>
      <c r="U419" s="2">
        <f t="shared" si="29"/>
        <v>19.184319452115972</v>
      </c>
    </row>
    <row r="420" spans="1:21" x14ac:dyDescent="0.25">
      <c r="A420">
        <v>2251041</v>
      </c>
      <c r="B420">
        <v>50</v>
      </c>
      <c r="C420" s="1">
        <f>0.518050187220466*(10.3/7.3)</f>
        <v>0.73094752443435573</v>
      </c>
      <c r="D420" s="1">
        <f>0.670124498349514*(10.3/7.3)</f>
        <v>0.94551812780821898</v>
      </c>
      <c r="E420" s="1">
        <f>2.36262884504668*(10.3/7.3)</f>
        <v>3.3335722060247743</v>
      </c>
      <c r="F420" s="1">
        <f>4.89175577640548*(38.9/42.5)</f>
        <v>4.4773952871099549</v>
      </c>
      <c r="G420" s="1">
        <v>0.1891008958912522</v>
      </c>
      <c r="H420" s="1">
        <v>1.1550754675615567</v>
      </c>
      <c r="I420" s="1">
        <v>3.6271877413615981</v>
      </c>
      <c r="J420" s="1">
        <v>1.0559976326514215E-2</v>
      </c>
      <c r="K420" s="1">
        <v>1.7903700647974354</v>
      </c>
      <c r="L420" s="1">
        <v>2.1427468778954961</v>
      </c>
      <c r="M420" s="1">
        <v>4.892759803830514E-2</v>
      </c>
      <c r="N420" s="1">
        <v>0.47125318872616967</v>
      </c>
      <c r="O420" s="1">
        <v>8.9830399999999991E-2</v>
      </c>
      <c r="P420" s="1">
        <v>7.8751820909792103E-2</v>
      </c>
      <c r="Q420" s="1">
        <v>0.30221604366181898</v>
      </c>
      <c r="R420" s="2">
        <f t="shared" si="27"/>
        <v>14.76101329385353</v>
      </c>
      <c r="S420" s="2">
        <f t="shared" si="26"/>
        <v>1.8796818620337419</v>
      </c>
      <c r="T420" s="2">
        <f t="shared" si="28"/>
        <v>2.7527580646599707</v>
      </c>
      <c r="U420" s="2">
        <f t="shared" si="29"/>
        <v>19.393453220547244</v>
      </c>
    </row>
    <row r="421" spans="1:21" x14ac:dyDescent="0.25">
      <c r="A421">
        <v>2251049</v>
      </c>
      <c r="B421">
        <v>47</v>
      </c>
      <c r="C421" s="1">
        <f>0.540676890533857*(10.3/7.3)</f>
        <v>0.76287287294503181</v>
      </c>
      <c r="D421" s="1">
        <f>0.67956414836133*(10.3/7.3)</f>
        <v>0.9588370860440687</v>
      </c>
      <c r="E421" s="1">
        <f>2.39954109649255*(10.3/7.3)</f>
        <v>3.3856538758730572</v>
      </c>
      <c r="F421" s="1">
        <f>4.93890766402498*(38.9/42.5)</f>
        <v>4.5205531324840411</v>
      </c>
      <c r="G421" s="1">
        <v>0.18848068547460384</v>
      </c>
      <c r="H421" s="1">
        <v>1.1438188130154034</v>
      </c>
      <c r="I421" s="1">
        <v>3.6923763791092714</v>
      </c>
      <c r="J421" s="1">
        <v>1.0512311606180996E-2</v>
      </c>
      <c r="K421" s="1">
        <v>1.7229090462137469</v>
      </c>
      <c r="L421" s="1">
        <v>2.0471662945486604</v>
      </c>
      <c r="M421" s="1">
        <v>4.8660107868546729E-2</v>
      </c>
      <c r="N421" s="1">
        <v>0.47006289653804084</v>
      </c>
      <c r="O421" s="1">
        <v>8.9976737588652489E-2</v>
      </c>
      <c r="P421" s="1">
        <v>7.6930613192580127E-2</v>
      </c>
      <c r="Q421" s="1">
        <v>0.30122483979959547</v>
      </c>
      <c r="R421" s="2">
        <f t="shared" si="27"/>
        <v>14.953817684745072</v>
      </c>
      <c r="S421" s="2">
        <f t="shared" si="26"/>
        <v>1.810351971012508</v>
      </c>
      <c r="T421" s="2">
        <f t="shared" si="28"/>
        <v>2.6558660365439004</v>
      </c>
      <c r="U421" s="2">
        <f t="shared" si="29"/>
        <v>19.420035692301482</v>
      </c>
    </row>
    <row r="422" spans="1:21" x14ac:dyDescent="0.25">
      <c r="A422">
        <v>2251057</v>
      </c>
      <c r="B422">
        <v>63</v>
      </c>
      <c r="C422" s="1">
        <f>0.548725989968133*(10.3/7.3)</f>
        <v>0.77422982146188635</v>
      </c>
      <c r="D422" s="1">
        <f>0.669208392177768*(10.3/7.3)</f>
        <v>0.94422553964808364</v>
      </c>
      <c r="E422" s="1">
        <f>2.36711430216844*(10.3/7.3)</f>
        <v>3.3399010016897108</v>
      </c>
      <c r="F422" s="1">
        <f>4.82691269658437*(38.9/42.5)</f>
        <v>4.418044797579574</v>
      </c>
      <c r="G422" s="1">
        <v>0.18094866033271581</v>
      </c>
      <c r="H422" s="1">
        <v>1.0829320042399775</v>
      </c>
      <c r="I422" s="1">
        <v>3.6387965815284979</v>
      </c>
      <c r="J422" s="1">
        <v>1.0750796567098354E-2</v>
      </c>
      <c r="K422" s="1">
        <v>1.7615528151494495</v>
      </c>
      <c r="L422" s="1">
        <v>2.1777462253423656</v>
      </c>
      <c r="M422" s="1">
        <v>4.854576768444864E-2</v>
      </c>
      <c r="N422" s="1">
        <v>0.49163879879774502</v>
      </c>
      <c r="O422" s="1">
        <v>9.2356402116402128E-2</v>
      </c>
      <c r="P422" s="1">
        <v>8.0327617605221668E-2</v>
      </c>
      <c r="Q422" s="1">
        <v>0.2891873566961215</v>
      </c>
      <c r="R422" s="2">
        <f t="shared" si="27"/>
        <v>14.668265763176565</v>
      </c>
      <c r="S422" s="2">
        <f t="shared" si="26"/>
        <v>1.8526312293217695</v>
      </c>
      <c r="T422" s="2">
        <f t="shared" si="28"/>
        <v>2.8102871939409613</v>
      </c>
      <c r="U422" s="2">
        <f t="shared" si="29"/>
        <v>19.331184186439298</v>
      </c>
    </row>
    <row r="423" spans="1:21" x14ac:dyDescent="0.25">
      <c r="A423">
        <v>2251065</v>
      </c>
      <c r="B423">
        <v>11</v>
      </c>
      <c r="C423" s="1">
        <f>0.594903125919607*(10.3/7.3)</f>
        <v>0.83938386259889697</v>
      </c>
      <c r="D423" s="1">
        <f>0.700896757826718*(10.3/7.3)</f>
        <v>0.98893652131715026</v>
      </c>
      <c r="E423" s="1">
        <f>2.4840580984217*(10.3/7.3)</f>
        <v>3.5049038922936271</v>
      </c>
      <c r="F423" s="1">
        <f>5.02330244235534*(38.9/42.5)</f>
        <v>4.5977991766499455</v>
      </c>
      <c r="G423" s="1">
        <v>0.1848886915876278</v>
      </c>
      <c r="H423" s="1">
        <v>1.1202246449073492</v>
      </c>
      <c r="I423" s="1">
        <v>3.8264957725337569</v>
      </c>
      <c r="J423" s="1">
        <v>1.056557735547374E-2</v>
      </c>
      <c r="K423" s="1">
        <v>1.6492823797077443</v>
      </c>
      <c r="L423" s="1">
        <v>2.4281707902293004</v>
      </c>
      <c r="M423" s="1">
        <v>4.9853013730870789E-2</v>
      </c>
      <c r="N423" s="1">
        <v>0.47867165768019238</v>
      </c>
      <c r="O423" s="1">
        <v>9.1141818181818171E-2</v>
      </c>
      <c r="P423" s="1">
        <v>7.6013044428685464E-2</v>
      </c>
      <c r="Q423" s="1">
        <v>0.29548421029986199</v>
      </c>
      <c r="R423" s="2">
        <f t="shared" si="27"/>
        <v>15.358116772188215</v>
      </c>
      <c r="S423" s="2">
        <f t="shared" si="26"/>
        <v>1.7358610014919036</v>
      </c>
      <c r="T423" s="2">
        <f t="shared" si="28"/>
        <v>3.0478372798221818</v>
      </c>
      <c r="U423" s="2">
        <f t="shared" si="29"/>
        <v>20.141815053502302</v>
      </c>
    </row>
    <row r="424" spans="1:21" x14ac:dyDescent="0.25">
      <c r="A424">
        <v>2251113</v>
      </c>
      <c r="B424">
        <v>67</v>
      </c>
      <c r="C424" s="1">
        <f>2.54439506537086*(10.3/7.3)</f>
        <v>3.5900368730575187</v>
      </c>
      <c r="D424" s="1">
        <f>2.66033486719319*(10.3/7.3)</f>
        <v>3.7536231687794359</v>
      </c>
      <c r="E424" s="1">
        <f>9.49157425799647*(10.3/7.3)</f>
        <v>13.392221213337491</v>
      </c>
      <c r="F424" s="1">
        <f>18.8924613976386*(38.9/42.5)</f>
        <v>17.292158785132735</v>
      </c>
      <c r="G424" s="1">
        <v>0.66039075361548216</v>
      </c>
      <c r="H424" s="1">
        <v>3.0771032670948912</v>
      </c>
      <c r="I424" s="1">
        <v>14.996933767043478</v>
      </c>
      <c r="J424" s="1">
        <v>2.7365117675694252E-2</v>
      </c>
      <c r="K424" s="1">
        <v>3.2397969796658947</v>
      </c>
      <c r="L424" s="1">
        <v>5.1124334412590313</v>
      </c>
      <c r="M424" s="1">
        <v>0.11424497008005284</v>
      </c>
      <c r="N424" s="1">
        <v>1.1704158261285031</v>
      </c>
      <c r="O424" s="1">
        <v>0.23853054726368156</v>
      </c>
      <c r="P424" s="1">
        <v>0.14521442139300711</v>
      </c>
      <c r="Q424" s="1">
        <v>1.0554190126274836</v>
      </c>
      <c r="R424" s="2">
        <f t="shared" si="27"/>
        <v>57.817886840688516</v>
      </c>
      <c r="S424" s="2">
        <f t="shared" si="26"/>
        <v>3.4123765187345958</v>
      </c>
      <c r="T424" s="2">
        <f t="shared" si="28"/>
        <v>6.6356247847312693</v>
      </c>
      <c r="U424" s="2">
        <f t="shared" si="29"/>
        <v>67.865888144154383</v>
      </c>
    </row>
    <row r="425" spans="1:21" x14ac:dyDescent="0.25">
      <c r="A425">
        <v>2251121</v>
      </c>
      <c r="B425">
        <v>57</v>
      </c>
      <c r="C425" s="1">
        <f>2.40805130096227*(10.3/7.3)</f>
        <v>3.3976614246453978</v>
      </c>
      <c r="D425" s="1">
        <f>2.55751788746907*(10.3/7.3)</f>
        <v>3.6085526357440352</v>
      </c>
      <c r="E425" s="1">
        <f>9.11536666800926*(10.3/7.3)</f>
        <v>12.861407764451425</v>
      </c>
      <c r="F425" s="1">
        <f>18.2342976967814*(38.9/42.5)</f>
        <v>16.689745421289349</v>
      </c>
      <c r="G425" s="1">
        <v>0.6445621229258568</v>
      </c>
      <c r="H425" s="1">
        <v>6.6736788496053538</v>
      </c>
      <c r="I425" s="1">
        <v>14.39867889135852</v>
      </c>
      <c r="J425" s="1">
        <v>2.636235496405712E-2</v>
      </c>
      <c r="K425" s="1">
        <v>3.0912099067833112</v>
      </c>
      <c r="L425" s="1">
        <v>4.6459112277566614</v>
      </c>
      <c r="M425" s="1">
        <v>0.11347133921713806</v>
      </c>
      <c r="N425" s="1">
        <v>1.113893235005766</v>
      </c>
      <c r="O425" s="1">
        <v>0.22497029239766081</v>
      </c>
      <c r="P425" s="1">
        <v>0.14002492380744025</v>
      </c>
      <c r="Q425" s="1">
        <v>1.0301221142650692</v>
      </c>
      <c r="R425" s="2">
        <f t="shared" si="27"/>
        <v>59.304409224285003</v>
      </c>
      <c r="S425" s="2">
        <f t="shared" si="26"/>
        <v>3.2575971855548085</v>
      </c>
      <c r="T425" s="2">
        <f t="shared" si="28"/>
        <v>6.0982460943772265</v>
      </c>
      <c r="U425" s="2">
        <f t="shared" si="29"/>
        <v>68.660252504217041</v>
      </c>
    </row>
    <row r="426" spans="1:21" x14ac:dyDescent="0.25">
      <c r="A426">
        <v>2251129</v>
      </c>
      <c r="B426">
        <v>10</v>
      </c>
      <c r="C426" s="1">
        <f>1.81852073131839*(10.3/7.3)</f>
        <v>2.5658580181615629</v>
      </c>
      <c r="D426" s="1">
        <f>1.95693522544755*(10.3/7.3)</f>
        <v>2.7611551811109289</v>
      </c>
      <c r="E426" s="1">
        <f>6.96939658850232*(10.3/7.3)</f>
        <v>9.8335321728183462</v>
      </c>
      <c r="F426" s="1">
        <f>13.9723766089152*(38.9/42.5)</f>
        <v>12.788834119689486</v>
      </c>
      <c r="G426" s="1">
        <v>0.49714037982713066</v>
      </c>
      <c r="H426" s="1">
        <v>2.9549207752570781</v>
      </c>
      <c r="I426" s="1">
        <v>10.98261095475301</v>
      </c>
      <c r="J426" s="1">
        <v>2.6598947072499074E-2</v>
      </c>
      <c r="K426" s="1">
        <v>2.6436158993545673</v>
      </c>
      <c r="L426" s="1">
        <v>3.7358236941963883</v>
      </c>
      <c r="M426" s="1">
        <v>0.10001260289664046</v>
      </c>
      <c r="N426" s="1">
        <v>1.0760103709725743</v>
      </c>
      <c r="O426" s="1">
        <v>0.18459200000000003</v>
      </c>
      <c r="P426" s="1">
        <v>0.12223500374582814</v>
      </c>
      <c r="Q426" s="1">
        <v>0.79451658876482134</v>
      </c>
      <c r="R426" s="2">
        <f t="shared" si="27"/>
        <v>43.178568190382364</v>
      </c>
      <c r="S426" s="2">
        <f t="shared" si="26"/>
        <v>2.7924498501728943</v>
      </c>
      <c r="T426" s="2">
        <f t="shared" si="28"/>
        <v>5.0964386680656037</v>
      </c>
      <c r="U426" s="2">
        <f t="shared" si="29"/>
        <v>51.06745670862086</v>
      </c>
    </row>
    <row r="427" spans="1:21" x14ac:dyDescent="0.25">
      <c r="A427">
        <v>2251137</v>
      </c>
      <c r="B427">
        <v>25</v>
      </c>
      <c r="C427" s="1">
        <f>1.74599975914299*(10.3/7.3)</f>
        <v>2.4635339067359947</v>
      </c>
      <c r="D427" s="1">
        <f>1.89807813101137*(10.3/7.3)</f>
        <v>2.6781102396461738</v>
      </c>
      <c r="E427" s="1">
        <f>6.75556506150836*(10.3/7.3)</f>
        <v>9.5318246758268614</v>
      </c>
      <c r="F427" s="1">
        <f>13.5772429739126*(38.9/42.5)</f>
        <v>12.427170627887033</v>
      </c>
      <c r="G427" s="1">
        <v>0.48599028955397583</v>
      </c>
      <c r="H427" s="1">
        <v>3.9362844692513779</v>
      </c>
      <c r="I427" s="1">
        <v>10.635726224443097</v>
      </c>
      <c r="J427" s="1">
        <v>2.4297263626433533E-2</v>
      </c>
      <c r="K427" s="1">
        <v>2.7456600168620251</v>
      </c>
      <c r="L427" s="1">
        <v>3.7375654791955562</v>
      </c>
      <c r="M427" s="1">
        <v>0.10154854969748825</v>
      </c>
      <c r="N427" s="1">
        <v>0.97304022231054532</v>
      </c>
      <c r="O427" s="1">
        <v>0.18693119999999996</v>
      </c>
      <c r="P427" s="1">
        <v>0.12564963186862696</v>
      </c>
      <c r="Q427" s="1">
        <v>0.77669680978945976</v>
      </c>
      <c r="R427" s="2">
        <f t="shared" si="27"/>
        <v>42.935337243133972</v>
      </c>
      <c r="S427" s="2">
        <f t="shared" si="26"/>
        <v>2.8956069123570853</v>
      </c>
      <c r="T427" s="2">
        <f t="shared" si="28"/>
        <v>4.99908545120359</v>
      </c>
      <c r="U427" s="2">
        <f t="shared" si="29"/>
        <v>50.830029606694652</v>
      </c>
    </row>
    <row r="428" spans="1:21" x14ac:dyDescent="0.25">
      <c r="A428">
        <v>2251145</v>
      </c>
      <c r="B428">
        <v>19</v>
      </c>
      <c r="C428" s="1">
        <f>1.82591638128818*(10.3/7.3)</f>
        <v>2.5762929763381139</v>
      </c>
      <c r="D428" s="1">
        <f>1.9889515275355*(10.3/7.3)</f>
        <v>2.8063288676185758</v>
      </c>
      <c r="E428" s="1">
        <f>7.07885354320968*(10.3/7.3)</f>
        <v>9.9879714376794144</v>
      </c>
      <c r="F428" s="1">
        <f>14.1972901661335*(38.9/42.5)</f>
        <v>12.994696175590454</v>
      </c>
      <c r="G428" s="1">
        <v>0.50701942034608083</v>
      </c>
      <c r="H428" s="1">
        <v>3.5523041659385073</v>
      </c>
      <c r="I428" s="1">
        <v>11.10977665697029</v>
      </c>
      <c r="J428" s="1">
        <v>2.3396132211247932E-2</v>
      </c>
      <c r="K428" s="1">
        <v>2.7472605472147573</v>
      </c>
      <c r="L428" s="1">
        <v>3.7688538588262865</v>
      </c>
      <c r="M428" s="1">
        <v>0.10698775072190382</v>
      </c>
      <c r="N428" s="1">
        <v>0.97744888490958426</v>
      </c>
      <c r="O428" s="1">
        <v>0.19323508771929823</v>
      </c>
      <c r="P428" s="1">
        <v>0.12747515249028057</v>
      </c>
      <c r="Q428" s="1">
        <v>0.81030500968551822</v>
      </c>
      <c r="R428" s="2">
        <f t="shared" si="27"/>
        <v>44.344694710166955</v>
      </c>
      <c r="S428" s="2">
        <f t="shared" si="26"/>
        <v>2.8981318319162859</v>
      </c>
      <c r="T428" s="2">
        <f t="shared" si="28"/>
        <v>5.0465255821770727</v>
      </c>
      <c r="U428" s="2">
        <f t="shared" si="29"/>
        <v>52.289352124260319</v>
      </c>
    </row>
    <row r="429" spans="1:21" x14ac:dyDescent="0.25">
      <c r="A429">
        <v>2251513</v>
      </c>
      <c r="B429">
        <v>2</v>
      </c>
      <c r="C429" s="1">
        <f>7.67508311632252*(10.3/7.3)</f>
        <v>10.829226862756432</v>
      </c>
      <c r="D429" s="1">
        <f>9.43251121770816*(10.3/7.3)</f>
        <v>13.308885690738917</v>
      </c>
      <c r="E429" s="1">
        <f>33.528038206452*(10.3/7.3)</f>
        <v>47.306684044719972</v>
      </c>
      <c r="F429" s="1">
        <f>59.5145019299668*(38.9/42.5)</f>
        <v>54.473273531193179</v>
      </c>
      <c r="G429" s="1">
        <v>1.8234775230202627</v>
      </c>
      <c r="H429" s="1">
        <v>8.7386622372127238</v>
      </c>
      <c r="I429" s="1">
        <v>43.467775182690914</v>
      </c>
      <c r="J429" s="1">
        <v>4.4286317614088126E-2</v>
      </c>
      <c r="K429" s="1">
        <v>2.693520814120701</v>
      </c>
      <c r="L429" s="1">
        <v>2.6542066679188787</v>
      </c>
      <c r="M429" s="1">
        <v>0.24096597949111645</v>
      </c>
      <c r="N429" s="1">
        <v>1.9015091914067765</v>
      </c>
      <c r="O429" s="1">
        <v>0.14194666666666667</v>
      </c>
      <c r="P429" s="1">
        <v>0.10888702383364116</v>
      </c>
      <c r="Q429" s="1">
        <v>2.9142334842789612</v>
      </c>
      <c r="R429" s="2">
        <f t="shared" si="27"/>
        <v>182.86221855661137</v>
      </c>
      <c r="S429" s="2">
        <f t="shared" si="26"/>
        <v>2.84669415556843</v>
      </c>
      <c r="T429" s="2">
        <f t="shared" si="28"/>
        <v>4.9386285054834387</v>
      </c>
      <c r="U429" s="2">
        <f t="shared" si="29"/>
        <v>190.64754121766325</v>
      </c>
    </row>
    <row r="430" spans="1:21" x14ac:dyDescent="0.25">
      <c r="A430">
        <v>2251545</v>
      </c>
      <c r="B430">
        <v>20</v>
      </c>
      <c r="C430" s="1">
        <f>7.71152681664133*(10.3/7.3)</f>
        <v>10.880647426219962</v>
      </c>
      <c r="D430" s="1">
        <f>8.67845457730234*(10.3/7.3)</f>
        <v>12.244942759755361</v>
      </c>
      <c r="E430" s="1">
        <f>31.0326408710704*(10.3/7.3)</f>
        <v>43.785780955071957</v>
      </c>
      <c r="F430" s="1">
        <f>52.3348772320842*(38.9/42.5)</f>
        <v>47.90180527830767</v>
      </c>
      <c r="G430" s="1">
        <v>1.4095658289599347</v>
      </c>
      <c r="H430" s="1">
        <v>3.1691296896783947</v>
      </c>
      <c r="I430" s="1">
        <v>39.237187366462493</v>
      </c>
      <c r="J430" s="1">
        <v>4.0210720405279884E-2</v>
      </c>
      <c r="K430" s="1">
        <v>2.5974382203432187</v>
      </c>
      <c r="L430" s="1">
        <v>2.4950726045538878</v>
      </c>
      <c r="M430" s="1">
        <v>0.20477660921218493</v>
      </c>
      <c r="N430" s="1">
        <v>1.8496555514983761</v>
      </c>
      <c r="O430" s="1">
        <v>0.132048</v>
      </c>
      <c r="P430" s="1">
        <v>0.10447966880430233</v>
      </c>
      <c r="Q430" s="1">
        <v>2.2527307768766098</v>
      </c>
      <c r="R430" s="2">
        <f t="shared" si="27"/>
        <v>160.88179008133238</v>
      </c>
      <c r="S430" s="2">
        <f t="shared" si="26"/>
        <v>2.7421286095528008</v>
      </c>
      <c r="T430" s="2">
        <f t="shared" si="28"/>
        <v>4.6815527652644491</v>
      </c>
      <c r="U430" s="2">
        <f t="shared" si="29"/>
        <v>168.30547145614963</v>
      </c>
    </row>
    <row r="431" spans="1:21" x14ac:dyDescent="0.25">
      <c r="A431">
        <v>2251553</v>
      </c>
      <c r="B431">
        <v>27</v>
      </c>
      <c r="C431" s="1">
        <f>6.69174490006993*(10.3/7.3)</f>
        <v>9.4417770507836014</v>
      </c>
      <c r="D431" s="1">
        <f>7.46497722802252*(10.3/7.3)</f>
        <v>10.5327760888537</v>
      </c>
      <c r="E431" s="1">
        <f>26.7140711950098*(10.3/7.3)</f>
        <v>37.692456617616557</v>
      </c>
      <c r="F431" s="1">
        <f>44.6065113829685*(38.9/42.5)</f>
        <v>40.828077477587662</v>
      </c>
      <c r="G431" s="1">
        <v>1.1717839466738755</v>
      </c>
      <c r="H431" s="1">
        <v>2.4523816034899699</v>
      </c>
      <c r="I431" s="1">
        <v>33.508931836130628</v>
      </c>
      <c r="J431" s="1">
        <v>3.4804328773652186E-2</v>
      </c>
      <c r="K431" s="1">
        <v>2.3776052413830975</v>
      </c>
      <c r="L431" s="1">
        <v>2.2398668615876756</v>
      </c>
      <c r="M431" s="1">
        <v>0.17778390758825757</v>
      </c>
      <c r="N431" s="1">
        <v>2.8499758727810272</v>
      </c>
      <c r="O431" s="1">
        <v>0.11882864197530862</v>
      </c>
      <c r="P431" s="1">
        <v>9.7537676820084462E-2</v>
      </c>
      <c r="Q431" s="1">
        <v>1.8727140700267435</v>
      </c>
      <c r="R431" s="2">
        <f t="shared" si="27"/>
        <v>137.50089869116272</v>
      </c>
      <c r="S431" s="2">
        <f t="shared" si="26"/>
        <v>2.509947246976834</v>
      </c>
      <c r="T431" s="2">
        <f t="shared" si="28"/>
        <v>5.3864552839322695</v>
      </c>
      <c r="U431" s="2">
        <f t="shared" si="29"/>
        <v>145.3973012220718</v>
      </c>
    </row>
    <row r="432" spans="1:21" x14ac:dyDescent="0.25">
      <c r="A432">
        <v>2251689</v>
      </c>
      <c r="B432">
        <v>9</v>
      </c>
      <c r="C432" s="1">
        <f>13.2511684110042*(10.3/7.3)</f>
        <v>18.696854059362039</v>
      </c>
      <c r="D432" s="1">
        <f>15.4196631906623*(10.3/7.3)</f>
        <v>21.75651107723591</v>
      </c>
      <c r="E432" s="1">
        <f>55.3111495187335*(10.3/7.3)</f>
        <v>78.041758909993817</v>
      </c>
      <c r="F432" s="1">
        <f>80.0624362938355*(38.9/42.5)</f>
        <v>73.280676984240046</v>
      </c>
      <c r="G432" s="1">
        <v>1.4350102281451995</v>
      </c>
      <c r="H432" s="1">
        <v>5.4338814577735084</v>
      </c>
      <c r="I432" s="1">
        <v>57.058700276886469</v>
      </c>
      <c r="J432" s="1">
        <v>2.7024493262639657E-2</v>
      </c>
      <c r="K432" s="1">
        <v>2.27877374520674</v>
      </c>
      <c r="L432" s="1">
        <v>1.9247999758108507</v>
      </c>
      <c r="M432" s="1">
        <v>9.7787568126407667E-2</v>
      </c>
      <c r="N432" s="1">
        <v>1.4753977299099985</v>
      </c>
      <c r="O432" s="1">
        <v>8.9120000000000005E-2</v>
      </c>
      <c r="P432" s="1">
        <v>7.7041058959963674E-2</v>
      </c>
      <c r="Q432" s="1">
        <v>2.2933953417845676</v>
      </c>
      <c r="R432" s="2">
        <f t="shared" si="27"/>
        <v>257.99678833542157</v>
      </c>
      <c r="S432" s="2">
        <f t="shared" si="26"/>
        <v>2.3828392974293431</v>
      </c>
      <c r="T432" s="2">
        <f t="shared" si="28"/>
        <v>3.5871052738472566</v>
      </c>
      <c r="U432" s="2">
        <f t="shared" si="29"/>
        <v>263.96673290669821</v>
      </c>
    </row>
    <row r="433" spans="1:21" x14ac:dyDescent="0.25">
      <c r="A433">
        <v>2251697</v>
      </c>
      <c r="B433">
        <v>30</v>
      </c>
      <c r="C433" s="1">
        <f>12.0136757673916*(10.3/7.3)</f>
        <v>16.950802795086776</v>
      </c>
      <c r="D433" s="1">
        <f>14.067162508776*(10.3/7.3)</f>
        <v>19.84818819731413</v>
      </c>
      <c r="E433" s="1">
        <f>50.4245267800724*(10.3/7.3)</f>
        <v>71.146935045855585</v>
      </c>
      <c r="F433" s="1">
        <f>73.9861050923448*(38.9/42.5)</f>
        <v>67.719046778640319</v>
      </c>
      <c r="G433" s="1">
        <v>1.3974093121397997</v>
      </c>
      <c r="H433" s="1">
        <v>4.3655353514227944</v>
      </c>
      <c r="I433" s="1">
        <v>52.74245015439962</v>
      </c>
      <c r="J433" s="1">
        <v>2.7646735520281521E-2</v>
      </c>
      <c r="K433" s="1">
        <v>2.35755141930832</v>
      </c>
      <c r="L433" s="1">
        <v>2.0042680964793225</v>
      </c>
      <c r="M433" s="1">
        <v>9.9259301216686552E-2</v>
      </c>
      <c r="N433" s="1">
        <v>1.539165427666692</v>
      </c>
      <c r="O433" s="1">
        <v>9.1484444444444424E-2</v>
      </c>
      <c r="P433" s="1">
        <v>7.8577952493060779E-2</v>
      </c>
      <c r="Q433" s="1">
        <v>2.2333025536480848</v>
      </c>
      <c r="R433" s="2">
        <f t="shared" si="27"/>
        <v>236.40367018850711</v>
      </c>
      <c r="S433" s="2">
        <f t="shared" si="26"/>
        <v>2.4637761073216624</v>
      </c>
      <c r="T433" s="2">
        <f t="shared" si="28"/>
        <v>3.7341772698071454</v>
      </c>
      <c r="U433" s="2">
        <f t="shared" si="29"/>
        <v>242.60162356563589</v>
      </c>
    </row>
    <row r="434" spans="1:21" x14ac:dyDescent="0.25">
      <c r="A434">
        <v>2262981</v>
      </c>
      <c r="B434">
        <v>23</v>
      </c>
      <c r="C434" s="1">
        <f>0.290266410251318*(10.3/7.3)</f>
        <v>0.40955397610802341</v>
      </c>
      <c r="D434" s="1">
        <f>0.385124846863589*(10.3/7.3)</f>
        <v>0.54339533187602251</v>
      </c>
      <c r="E434" s="1">
        <f>1.35439208125635*(10.3/7.3)</f>
        <v>1.910991566704171</v>
      </c>
      <c r="F434" s="1">
        <f>2.90230780956914*(38.9/42.5)</f>
        <v>2.6564652656997527</v>
      </c>
      <c r="G434" s="1">
        <v>0.11718660160732236</v>
      </c>
      <c r="H434" s="1">
        <v>0.95092803805021797</v>
      </c>
      <c r="I434" s="1">
        <v>2.1502728318180111</v>
      </c>
      <c r="J434" s="1">
        <v>8.565368001744976E-3</v>
      </c>
      <c r="K434" s="1">
        <v>1.1564309899776053</v>
      </c>
      <c r="L434" s="1">
        <v>1.0389062864266141</v>
      </c>
      <c r="M434" s="1">
        <v>4.4624336301089466E-2</v>
      </c>
      <c r="N434" s="1">
        <v>0.32868885778341428</v>
      </c>
      <c r="O434" s="1">
        <v>8.154898550724636E-2</v>
      </c>
      <c r="P434" s="1">
        <v>6.0663944747870117E-2</v>
      </c>
      <c r="Q434" s="1">
        <v>0.18728452311672547</v>
      </c>
      <c r="R434" s="2">
        <f t="shared" si="27"/>
        <v>8.926078134980246</v>
      </c>
      <c r="S434" s="2">
        <f t="shared" si="26"/>
        <v>1.2256603027272204</v>
      </c>
      <c r="T434" s="2">
        <f t="shared" si="28"/>
        <v>1.4937684660183643</v>
      </c>
      <c r="U434" s="2">
        <f t="shared" si="29"/>
        <v>11.645506903725831</v>
      </c>
    </row>
    <row r="435" spans="1:21" x14ac:dyDescent="0.25">
      <c r="A435">
        <v>2263101</v>
      </c>
      <c r="B435">
        <v>15</v>
      </c>
      <c r="C435" s="1">
        <f>0.369073119818843*(10.3/7.3)</f>
        <v>0.52074700467590151</v>
      </c>
      <c r="D435" s="1">
        <f>0.518165022177292*(10.3/7.3)</f>
        <v>0.73110955183919313</v>
      </c>
      <c r="E435" s="1">
        <f>1.81626480207765*(10.3/7.3)</f>
        <v>2.5626749947123013</v>
      </c>
      <c r="F435" s="1">
        <f>3.9796215792124*(38.9/42.5)</f>
        <v>3.6425242219144103</v>
      </c>
      <c r="G435" s="1">
        <v>0.16607110974585249</v>
      </c>
      <c r="H435" s="1">
        <v>2.1252713202906945</v>
      </c>
      <c r="I435" s="1">
        <v>2.9132875693012488</v>
      </c>
      <c r="J435" s="1">
        <v>9.0694237106785439E-3</v>
      </c>
      <c r="K435" s="1">
        <v>1.9932214841062865</v>
      </c>
      <c r="L435" s="1">
        <v>1.4186720300808153</v>
      </c>
      <c r="M435" s="1">
        <v>4.5508151671727219E-2</v>
      </c>
      <c r="N435" s="1">
        <v>0.3622055556872949</v>
      </c>
      <c r="O435" s="1">
        <v>7.8780444444444431E-2</v>
      </c>
      <c r="P435" s="1">
        <v>7.8314937719773894E-2</v>
      </c>
      <c r="Q435" s="1">
        <v>0.26541044936551789</v>
      </c>
      <c r="R435" s="2">
        <f t="shared" si="27"/>
        <v>12.927096221845121</v>
      </c>
      <c r="S435" s="2">
        <f t="shared" si="26"/>
        <v>2.0806058455367391</v>
      </c>
      <c r="T435" s="2">
        <f t="shared" si="28"/>
        <v>1.905166181884282</v>
      </c>
      <c r="U435" s="2">
        <f t="shared" si="29"/>
        <v>16.912868249266143</v>
      </c>
    </row>
    <row r="436" spans="1:21" x14ac:dyDescent="0.25">
      <c r="A436">
        <v>2263197</v>
      </c>
      <c r="B436">
        <v>26</v>
      </c>
      <c r="C436" s="1">
        <f>0.757060811162547*(10.3/7.3)</f>
        <v>1.0681816924622232</v>
      </c>
      <c r="D436" s="1">
        <f>0.812273566446604*(10.3/7.3)</f>
        <v>1.1460846211506879</v>
      </c>
      <c r="E436" s="1">
        <f>2.88636079999572*(10.3/7.3)</f>
        <v>4.0725364712268419</v>
      </c>
      <c r="F436" s="1">
        <f>6.1350862650944*(38.9/42.5)</f>
        <v>5.615408369698164</v>
      </c>
      <c r="G436" s="1">
        <v>0.23498417434046162</v>
      </c>
      <c r="H436" s="1">
        <v>1.9473655125224711</v>
      </c>
      <c r="I436" s="1">
        <v>4.8663532870000212</v>
      </c>
      <c r="J436" s="1">
        <v>1.0416086023104048E-2</v>
      </c>
      <c r="K436" s="1">
        <v>2.5600053024157066</v>
      </c>
      <c r="L436" s="1">
        <v>2.6950546698970328</v>
      </c>
      <c r="M436" s="1">
        <v>4.6616972291205774E-2</v>
      </c>
      <c r="N436" s="1">
        <v>0.44202862931020548</v>
      </c>
      <c r="O436" s="1">
        <v>8.7007179487179481E-2</v>
      </c>
      <c r="P436" s="1">
        <v>8.3259147680136023E-2</v>
      </c>
      <c r="Q436" s="1">
        <v>0.37554548410576111</v>
      </c>
      <c r="R436" s="2">
        <f t="shared" si="27"/>
        <v>19.326459612506628</v>
      </c>
      <c r="S436" s="2">
        <f t="shared" si="26"/>
        <v>2.6536805361189466</v>
      </c>
      <c r="T436" s="2">
        <f t="shared" si="28"/>
        <v>3.2707074509856238</v>
      </c>
      <c r="U436" s="2">
        <f t="shared" si="29"/>
        <v>25.250847599611198</v>
      </c>
    </row>
    <row r="437" spans="1:21" x14ac:dyDescent="0.25">
      <c r="A437">
        <v>2263237</v>
      </c>
      <c r="B437">
        <v>10</v>
      </c>
      <c r="C437" s="1">
        <f>0.666342192714456*(10.3/7.3)</f>
        <v>0.94018144999437003</v>
      </c>
      <c r="D437" s="1">
        <f>0.945893535090444*(10.3/7.3)</f>
        <v>1.3346169056755588</v>
      </c>
      <c r="E437" s="1">
        <f>3.29364567970622*(10.3/7.3)</f>
        <v>4.6471986987635709</v>
      </c>
      <c r="F437" s="1">
        <f>8.25123307460633*(38.9/42.5)</f>
        <v>7.5523050965220317</v>
      </c>
      <c r="G437" s="1">
        <v>0.38864373544477759</v>
      </c>
      <c r="H437" s="1">
        <v>4.6705067696494114</v>
      </c>
      <c r="I437" s="1">
        <v>6.1923041091710189</v>
      </c>
      <c r="J437" s="1">
        <v>1.1765555378015095E-2</v>
      </c>
      <c r="K437" s="1">
        <v>2.1048550180254386</v>
      </c>
      <c r="L437" s="1">
        <v>2.353425804716736</v>
      </c>
      <c r="M437" s="1">
        <v>5.4033979691971636E-2</v>
      </c>
      <c r="N437" s="1">
        <v>0.49232061605358257</v>
      </c>
      <c r="O437" s="1">
        <v>9.4901333333333338E-2</v>
      </c>
      <c r="P437" s="1">
        <v>8.2732879540826754E-2</v>
      </c>
      <c r="Q437" s="1">
        <v>0.6211201251400561</v>
      </c>
      <c r="R437" s="2">
        <f t="shared" si="27"/>
        <v>26.346876890360793</v>
      </c>
      <c r="S437" s="2">
        <f t="shared" si="26"/>
        <v>2.1993534529442806</v>
      </c>
      <c r="T437" s="2">
        <f t="shared" si="28"/>
        <v>2.9946817337956237</v>
      </c>
      <c r="U437" s="2">
        <f t="shared" si="29"/>
        <v>31.540912077100696</v>
      </c>
    </row>
    <row r="438" spans="1:21" x14ac:dyDescent="0.25">
      <c r="A438">
        <v>2263261</v>
      </c>
      <c r="B438">
        <v>4</v>
      </c>
      <c r="C438" s="1">
        <f>0.480140773052766*(10.3/7.3)</f>
        <v>0.67745889896486144</v>
      </c>
      <c r="D438" s="1">
        <f>0.640133582471627*(10.3/7.3)</f>
        <v>0.90320217800791269</v>
      </c>
      <c r="E438" s="1">
        <f>2.25376269954505*(10.3/7.3)</f>
        <v>3.1799665486731503</v>
      </c>
      <c r="F438" s="1">
        <f>4.67629782247347*(38.9/42.5)</f>
        <v>4.280187889275715</v>
      </c>
      <c r="G438" s="1">
        <v>0.18229410483150493</v>
      </c>
      <c r="H438" s="1">
        <v>1.2389148951143505</v>
      </c>
      <c r="I438" s="1">
        <v>3.4355868223563419</v>
      </c>
      <c r="J438" s="1">
        <v>1.0130648970358857E-2</v>
      </c>
      <c r="K438" s="1">
        <v>1.6489089597302349</v>
      </c>
      <c r="L438" s="1">
        <v>2.0592061312772936</v>
      </c>
      <c r="M438" s="1">
        <v>4.6710147861880602E-2</v>
      </c>
      <c r="N438" s="1">
        <v>0.43271907178273128</v>
      </c>
      <c r="O438" s="1">
        <v>8.4760000000000002E-2</v>
      </c>
      <c r="P438" s="1">
        <v>7.0276479298761768E-2</v>
      </c>
      <c r="Q438" s="1">
        <v>0.29133761046130957</v>
      </c>
      <c r="R438" s="2">
        <f t="shared" si="27"/>
        <v>14.188948947685146</v>
      </c>
      <c r="S438" s="2">
        <f t="shared" si="26"/>
        <v>1.7293160879993554</v>
      </c>
      <c r="T438" s="2">
        <f t="shared" si="28"/>
        <v>2.6233953509219057</v>
      </c>
      <c r="U438" s="2">
        <f t="shared" si="29"/>
        <v>18.541660386606409</v>
      </c>
    </row>
    <row r="439" spans="1:21" x14ac:dyDescent="0.25">
      <c r="A439">
        <v>2263277</v>
      </c>
      <c r="B439">
        <v>49</v>
      </c>
      <c r="C439" s="1">
        <f>0.533938616380536*(10.3/7.3)</f>
        <v>0.75336544503007186</v>
      </c>
      <c r="D439" s="1">
        <f>0.67704269237187*(10.3/7.3)</f>
        <v>0.95527941526441884</v>
      </c>
      <c r="E439" s="1">
        <f>2.38944428489434*(10.3/7.3)</f>
        <v>3.3714076896454359</v>
      </c>
      <c r="F439" s="1">
        <f>4.93081583060727*(38.9/42.5)</f>
        <v>4.5131467249558348</v>
      </c>
      <c r="G439" s="1">
        <v>0.18909747997068024</v>
      </c>
      <c r="H439" s="1">
        <v>1.1462366839956175</v>
      </c>
      <c r="I439" s="1">
        <v>3.6775000762488861</v>
      </c>
      <c r="J439" s="1">
        <v>1.0631563503698236E-2</v>
      </c>
      <c r="K439" s="1">
        <v>1.774003005812177</v>
      </c>
      <c r="L439" s="1">
        <v>2.1715191989176224</v>
      </c>
      <c r="M439" s="1">
        <v>4.8616697742080016E-2</v>
      </c>
      <c r="N439" s="1">
        <v>0.47872858237456484</v>
      </c>
      <c r="O439" s="1">
        <v>9.0777687074829902E-2</v>
      </c>
      <c r="P439" s="1">
        <v>7.8947214437970092E-2</v>
      </c>
      <c r="Q439" s="1">
        <v>0.30221058442802817</v>
      </c>
      <c r="R439" s="2">
        <f t="shared" si="27"/>
        <v>14.908244099538974</v>
      </c>
      <c r="S439" s="2">
        <f t="shared" si="26"/>
        <v>1.8635817837538453</v>
      </c>
      <c r="T439" s="2">
        <f t="shared" si="28"/>
        <v>2.7896421661090973</v>
      </c>
      <c r="U439" s="2">
        <f t="shared" si="29"/>
        <v>19.561468049401917</v>
      </c>
    </row>
    <row r="440" spans="1:21" x14ac:dyDescent="0.25">
      <c r="A440">
        <v>2263285</v>
      </c>
      <c r="B440">
        <v>64</v>
      </c>
      <c r="C440" s="1">
        <f>0.554453311561464*(10.3/7.3)</f>
        <v>0.78231083686069569</v>
      </c>
      <c r="D440" s="1">
        <f>0.682443603403695*(10.3/7.3)</f>
        <v>0.96289987877507632</v>
      </c>
      <c r="E440" s="1">
        <f>2.41242393954443*(10.3/7.3)</f>
        <v>3.4038310379873438</v>
      </c>
      <c r="F440" s="1">
        <f>4.94378965036689*(38.9/42.5)</f>
        <v>4.5250215858652201</v>
      </c>
      <c r="G440" s="1">
        <v>0.18684072795818829</v>
      </c>
      <c r="H440" s="1">
        <v>1.1155419645046531</v>
      </c>
      <c r="I440" s="1">
        <v>3.7188123698906161</v>
      </c>
      <c r="J440" s="1">
        <v>1.0726023497543561E-2</v>
      </c>
      <c r="K440" s="1">
        <v>1.7553053000788021</v>
      </c>
      <c r="L440" s="1">
        <v>2.1661238528595583</v>
      </c>
      <c r="M440" s="1">
        <v>4.8724131363009023E-2</v>
      </c>
      <c r="N440" s="1">
        <v>0.48834606254339874</v>
      </c>
      <c r="O440" s="1">
        <v>9.1966666666666683E-2</v>
      </c>
      <c r="P440" s="1">
        <v>7.9604192418173736E-2</v>
      </c>
      <c r="Q440" s="1">
        <v>0.29860390312952495</v>
      </c>
      <c r="R440" s="2">
        <f t="shared" si="27"/>
        <v>14.993862304971318</v>
      </c>
      <c r="S440" s="2">
        <f t="shared" si="26"/>
        <v>1.8456355159945192</v>
      </c>
      <c r="T440" s="2">
        <f t="shared" si="28"/>
        <v>2.7951607134326326</v>
      </c>
      <c r="U440" s="2">
        <f t="shared" si="29"/>
        <v>19.634658534398469</v>
      </c>
    </row>
    <row r="441" spans="1:21" x14ac:dyDescent="0.25">
      <c r="A441">
        <v>2263293</v>
      </c>
      <c r="B441">
        <v>62</v>
      </c>
      <c r="C441" s="1">
        <f>0.580208377471264*(10.3/7.3)</f>
        <v>0.81865017643205695</v>
      </c>
      <c r="D441" s="1">
        <f>0.690587088693453*(10.3/7.3)</f>
        <v>0.97439000185514635</v>
      </c>
      <c r="E441" s="1">
        <f>2.44586698408539*(10.3/7.3)</f>
        <v>3.4510177994629534</v>
      </c>
      <c r="F441" s="1">
        <f>4.969694974789*(38.9/42.5)</f>
        <v>4.5487325769245217</v>
      </c>
      <c r="G441" s="1">
        <v>0.18446077041514097</v>
      </c>
      <c r="H441" s="1">
        <v>1.0957663615136881</v>
      </c>
      <c r="I441" s="1">
        <v>3.7754370048106796</v>
      </c>
      <c r="J441" s="1">
        <v>1.0845491925909596E-2</v>
      </c>
      <c r="K441" s="1">
        <v>1.7369027415775922</v>
      </c>
      <c r="L441" s="1">
        <v>2.3721371569758984</v>
      </c>
      <c r="M441" s="1">
        <v>4.9703924831680173E-2</v>
      </c>
      <c r="N441" s="1">
        <v>0.50031040084692802</v>
      </c>
      <c r="O441" s="1">
        <v>9.3202580645161265E-2</v>
      </c>
      <c r="P441" s="1">
        <v>8.0067151109369392E-2</v>
      </c>
      <c r="Q441" s="1">
        <v>0.29480031801506568</v>
      </c>
      <c r="R441" s="2">
        <f t="shared" si="27"/>
        <v>15.143255009429252</v>
      </c>
      <c r="S441" s="2">
        <f t="shared" si="26"/>
        <v>1.8278153846128711</v>
      </c>
      <c r="T441" s="2">
        <f t="shared" si="28"/>
        <v>3.0153540632996676</v>
      </c>
      <c r="U441" s="2">
        <f t="shared" si="29"/>
        <v>19.986424457341791</v>
      </c>
    </row>
    <row r="442" spans="1:21" x14ac:dyDescent="0.25">
      <c r="A442">
        <v>2263341</v>
      </c>
      <c r="B442">
        <v>29</v>
      </c>
      <c r="C442" s="1">
        <f>2.74123649294606*(10.3/7.3)</f>
        <v>3.8677720379923808</v>
      </c>
      <c r="D442" s="1">
        <f>2.81350842237472*(10.3/7.3)</f>
        <v>3.9697447603369374</v>
      </c>
      <c r="E442" s="1">
        <f>10.0479195483848*(10.3/7.3)</f>
        <v>14.177201554570265</v>
      </c>
      <c r="F442" s="1">
        <f>20.0093503046642*(38.9/42.5)</f>
        <v>18.314440631798536</v>
      </c>
      <c r="G442" s="1">
        <v>0.69627387068145052</v>
      </c>
      <c r="H442" s="1">
        <v>2.8617096135860289</v>
      </c>
      <c r="I442" s="1">
        <v>15.997469353354903</v>
      </c>
      <c r="J442" s="1">
        <v>2.800543743238312E-2</v>
      </c>
      <c r="K442" s="1">
        <v>3.2752186970626109</v>
      </c>
      <c r="L442" s="1">
        <v>5.2767615895216853</v>
      </c>
      <c r="M442" s="1">
        <v>0.11534310658028492</v>
      </c>
      <c r="N442" s="1">
        <v>1.2032253818749699</v>
      </c>
      <c r="O442" s="1">
        <v>0.23873839080459772</v>
      </c>
      <c r="P442" s="1">
        <v>0.14625928688000892</v>
      </c>
      <c r="Q442" s="1">
        <v>1.1127664599931868</v>
      </c>
      <c r="R442" s="2">
        <f t="shared" si="27"/>
        <v>60.997378282313697</v>
      </c>
      <c r="S442" s="2">
        <f t="shared" si="26"/>
        <v>3.4494834213750027</v>
      </c>
      <c r="T442" s="2">
        <f t="shared" si="28"/>
        <v>6.8340684687815383</v>
      </c>
      <c r="U442" s="2">
        <f t="shared" si="29"/>
        <v>71.280930172470235</v>
      </c>
    </row>
    <row r="443" spans="1:21" x14ac:dyDescent="0.25">
      <c r="A443">
        <v>2263349</v>
      </c>
      <c r="B443">
        <v>60</v>
      </c>
      <c r="C443" s="1">
        <f>2.45105458783545*(10.3/7.3)</f>
        <v>3.4583372951650864</v>
      </c>
      <c r="D443" s="1">
        <f>2.56778855974242*(10.3/7.3)</f>
        <v>3.6230441322393112</v>
      </c>
      <c r="E443" s="1">
        <f>9.15907686469655*(10.3/7.3)</f>
        <v>12.92308105566773</v>
      </c>
      <c r="F443" s="1">
        <f>18.2986117623432*(38.9/42.5)</f>
        <v>16.748611707180039</v>
      </c>
      <c r="G443" s="1">
        <v>0.64331006625858422</v>
      </c>
      <c r="H443" s="1">
        <v>5.466873280801182</v>
      </c>
      <c r="I443" s="1">
        <v>14.521803676904222</v>
      </c>
      <c r="J443" s="1">
        <v>2.6404891220668952E-2</v>
      </c>
      <c r="K443" s="1">
        <v>3.1147247097607229</v>
      </c>
      <c r="L443" s="1">
        <v>4.7941131615999346</v>
      </c>
      <c r="M443" s="1">
        <v>0.1103627857072503</v>
      </c>
      <c r="N443" s="1">
        <v>1.1309639009656698</v>
      </c>
      <c r="O443" s="1">
        <v>0.22640444444444441</v>
      </c>
      <c r="P443" s="1">
        <v>0.14081683510544574</v>
      </c>
      <c r="Q443" s="1">
        <v>1.0281211104589254</v>
      </c>
      <c r="R443" s="2">
        <f t="shared" si="27"/>
        <v>58.413182324675077</v>
      </c>
      <c r="S443" s="2">
        <f t="shared" si="26"/>
        <v>3.2819464360868378</v>
      </c>
      <c r="T443" s="2">
        <f t="shared" si="28"/>
        <v>6.2618442927172993</v>
      </c>
      <c r="U443" s="2">
        <f t="shared" si="29"/>
        <v>67.956973053479217</v>
      </c>
    </row>
    <row r="444" spans="1:21" x14ac:dyDescent="0.25">
      <c r="A444">
        <v>2263357</v>
      </c>
      <c r="B444">
        <v>44</v>
      </c>
      <c r="C444" s="1">
        <f>2.46773456592473*(10.3/7.3)</f>
        <v>3.4818720587705152</v>
      </c>
      <c r="D444" s="1">
        <f>2.6229285133268*(10.3/7.3)</f>
        <v>3.7008443407213782</v>
      </c>
      <c r="E444" s="1">
        <f>9.34690764005963*(10.3/7.3)</f>
        <v>13.188102560632082</v>
      </c>
      <c r="F444" s="1">
        <f>18.7586577332255*(38.9/42.5)</f>
        <v>17.1696890781758</v>
      </c>
      <c r="G444" s="1">
        <v>0.66620892006229337</v>
      </c>
      <c r="H444" s="1">
        <v>5.2397542791743978</v>
      </c>
      <c r="I444" s="1">
        <v>14.815098151358558</v>
      </c>
      <c r="J444" s="1">
        <v>2.6440752721514051E-2</v>
      </c>
      <c r="K444" s="1">
        <v>3.059023531259299</v>
      </c>
      <c r="L444" s="1">
        <v>4.5711683155481353</v>
      </c>
      <c r="M444" s="1">
        <v>0.11340456195984591</v>
      </c>
      <c r="N444" s="1">
        <v>1.2100648546419353</v>
      </c>
      <c r="O444" s="1">
        <v>0.22160606060606061</v>
      </c>
      <c r="P444" s="1">
        <v>0.1391113611675108</v>
      </c>
      <c r="Q444" s="1">
        <v>1.0647174521543514</v>
      </c>
      <c r="R444" s="2">
        <f t="shared" si="27"/>
        <v>59.326286841049381</v>
      </c>
      <c r="S444" s="2">
        <f t="shared" si="26"/>
        <v>3.2245756451483238</v>
      </c>
      <c r="T444" s="2">
        <f t="shared" si="28"/>
        <v>6.1162437927559772</v>
      </c>
      <c r="U444" s="2">
        <f t="shared" si="29"/>
        <v>68.667106278953682</v>
      </c>
    </row>
    <row r="445" spans="1:21" x14ac:dyDescent="0.25">
      <c r="A445">
        <v>2263365</v>
      </c>
      <c r="B445">
        <v>13</v>
      </c>
      <c r="C445" s="1">
        <f>2.1361308731637*(10.3/7.3)</f>
        <v>3.0139928758337153</v>
      </c>
      <c r="D445" s="1">
        <f>2.29847837164552*(10.3/7.3)</f>
        <v>3.2430585243765555</v>
      </c>
      <c r="E445" s="1">
        <f>8.18456202304448*(10.3/7.3)</f>
        <v>11.548080662651804</v>
      </c>
      <c r="F445" s="1">
        <f>16.4714266766048*(38.9/42.5)</f>
        <v>15.076199946351252</v>
      </c>
      <c r="G445" s="1">
        <v>0.58908224015229926</v>
      </c>
      <c r="H445" s="1">
        <v>3.9198983309455167</v>
      </c>
      <c r="I445" s="1">
        <v>12.954462450813063</v>
      </c>
      <c r="J445" s="1">
        <v>2.6884286205157561E-2</v>
      </c>
      <c r="K445" s="1">
        <v>2.972615085222043</v>
      </c>
      <c r="L445" s="1">
        <v>4.3774192666284639</v>
      </c>
      <c r="M445" s="1">
        <v>0.11400654988620186</v>
      </c>
      <c r="N445" s="1">
        <v>1.1338923107010206</v>
      </c>
      <c r="O445" s="1">
        <v>0.21885948717948717</v>
      </c>
      <c r="P445" s="1">
        <v>0.13576591713239103</v>
      </c>
      <c r="Q445" s="1">
        <v>0.9414556349465979</v>
      </c>
      <c r="R445" s="2">
        <f t="shared" si="27"/>
        <v>51.2862306660708</v>
      </c>
      <c r="S445" s="2">
        <f t="shared" si="26"/>
        <v>3.1352652885595917</v>
      </c>
      <c r="T445" s="2">
        <f t="shared" si="28"/>
        <v>5.844177614395174</v>
      </c>
      <c r="U445" s="2">
        <f t="shared" si="29"/>
        <v>60.265673569025566</v>
      </c>
    </row>
    <row r="446" spans="1:21" x14ac:dyDescent="0.25">
      <c r="A446">
        <v>2263373</v>
      </c>
      <c r="B446">
        <v>59</v>
      </c>
      <c r="C446" s="1">
        <f>2.23741435055389*(10.3/7.3)</f>
        <v>3.1568997000965902</v>
      </c>
      <c r="D446" s="1">
        <f>2.42154229230776*(10.3/7.3)</f>
        <v>3.4166966590095784</v>
      </c>
      <c r="E446" s="1">
        <f>8.62028074201671*(10.3/7.3)</f>
        <v>12.162861868872898</v>
      </c>
      <c r="F446" s="1">
        <f>17.342551194358*(38.9/42.5)</f>
        <v>15.873535093188833</v>
      </c>
      <c r="G446" s="1">
        <v>0.62090309390570153</v>
      </c>
      <c r="H446" s="1">
        <v>3.7397729279045242</v>
      </c>
      <c r="I446" s="1">
        <v>13.609534539848408</v>
      </c>
      <c r="J446" s="1">
        <v>2.7688414808712605E-2</v>
      </c>
      <c r="K446" s="1">
        <v>3.1172587029111622</v>
      </c>
      <c r="L446" s="1">
        <v>4.5222699561956619</v>
      </c>
      <c r="M446" s="1">
        <v>0.11996002352097564</v>
      </c>
      <c r="N446" s="1">
        <v>1.1415185492964637</v>
      </c>
      <c r="O446" s="1">
        <v>0.23360180790960447</v>
      </c>
      <c r="P446" s="1">
        <v>0.14218506385123042</v>
      </c>
      <c r="Q446" s="1">
        <v>0.99231088067121298</v>
      </c>
      <c r="R446" s="2">
        <f t="shared" si="27"/>
        <v>53.57251476349775</v>
      </c>
      <c r="S446" s="2">
        <f t="shared" si="26"/>
        <v>3.2871321815711054</v>
      </c>
      <c r="T446" s="2">
        <f t="shared" si="28"/>
        <v>6.0173503369227053</v>
      </c>
      <c r="U446" s="2">
        <f t="shared" si="29"/>
        <v>62.876997281991557</v>
      </c>
    </row>
    <row r="447" spans="1:21" x14ac:dyDescent="0.25">
      <c r="A447">
        <v>2263749</v>
      </c>
      <c r="B447">
        <v>13</v>
      </c>
      <c r="C447" s="1">
        <f>6.37665182627522*(10.3/7.3)</f>
        <v>8.9971936726896971</v>
      </c>
      <c r="D447" s="1">
        <f>7.96251593772838*(10.3/7.3)</f>
        <v>11.234782761452371</v>
      </c>
      <c r="E447" s="1">
        <f>28.2296082148134*(10.3/7.3)</f>
        <v>39.830817070216206</v>
      </c>
      <c r="F447" s="1">
        <f>52.7631078296275*(38.9/42.5)</f>
        <v>48.293762225235554</v>
      </c>
      <c r="G447" s="1">
        <v>1.7656620567122672</v>
      </c>
      <c r="H447" s="1">
        <v>6.9096399084937827</v>
      </c>
      <c r="I447" s="1">
        <v>38.746166264267615</v>
      </c>
      <c r="J447" s="1">
        <v>4.0399216572187084E-2</v>
      </c>
      <c r="K447" s="1">
        <v>2.50780417313422</v>
      </c>
      <c r="L447" s="1">
        <v>2.410322424845722</v>
      </c>
      <c r="M447" s="1">
        <v>0.22843252827467156</v>
      </c>
      <c r="N447" s="1">
        <v>1.7882394032814426</v>
      </c>
      <c r="O447" s="1">
        <v>0.13304615384615384</v>
      </c>
      <c r="P447" s="1">
        <v>0.10395468747949098</v>
      </c>
      <c r="Q447" s="1">
        <v>2.821834337211389</v>
      </c>
      <c r="R447" s="2">
        <f t="shared" si="27"/>
        <v>158.59985829627888</v>
      </c>
      <c r="S447" s="2">
        <f t="shared" si="26"/>
        <v>2.6521580771858981</v>
      </c>
      <c r="T447" s="2">
        <f t="shared" si="28"/>
        <v>4.5600405102479904</v>
      </c>
      <c r="U447" s="2">
        <f t="shared" si="29"/>
        <v>165.81205688371278</v>
      </c>
    </row>
    <row r="448" spans="1:21" x14ac:dyDescent="0.25">
      <c r="A448">
        <v>2263773</v>
      </c>
      <c r="B448">
        <v>8</v>
      </c>
      <c r="C448" s="1">
        <f>7.87771407301318*(10.3/7.3)</f>
        <v>11.115130815347365</v>
      </c>
      <c r="D448" s="1">
        <f>8.96985683036258*(10.3/7.3)</f>
        <v>12.656099363388295</v>
      </c>
      <c r="E448" s="1">
        <f>32.036125182686*(10.3/7.3)</f>
        <v>45.201656079680177</v>
      </c>
      <c r="F448" s="1">
        <f>55.025938996032*(38.9/42.5)</f>
        <v>50.36491828107399</v>
      </c>
      <c r="G448" s="1">
        <v>1.5457177443960375</v>
      </c>
      <c r="H448" s="1">
        <v>3.7038541928059368</v>
      </c>
      <c r="I448" s="1">
        <v>41.193406569456748</v>
      </c>
      <c r="J448" s="1">
        <v>4.4288439215966736E-2</v>
      </c>
      <c r="K448" s="1">
        <v>2.7192710051640812</v>
      </c>
      <c r="L448" s="1">
        <v>2.6250983004887196</v>
      </c>
      <c r="M448" s="1">
        <v>0.22409282858855709</v>
      </c>
      <c r="N448" s="1">
        <v>1.9891327250297115</v>
      </c>
      <c r="O448" s="1">
        <v>0.13771333333333335</v>
      </c>
      <c r="P448" s="1">
        <v>0.10791370654906929</v>
      </c>
      <c r="Q448" s="1">
        <v>2.470325162276775</v>
      </c>
      <c r="R448" s="2">
        <f t="shared" si="27"/>
        <v>168.25110820842534</v>
      </c>
      <c r="S448" s="2">
        <f t="shared" si="26"/>
        <v>2.8714731509291171</v>
      </c>
      <c r="T448" s="2">
        <f t="shared" si="28"/>
        <v>4.9760371874403218</v>
      </c>
      <c r="U448" s="2">
        <f t="shared" si="29"/>
        <v>176.09861854679477</v>
      </c>
    </row>
    <row r="449" spans="1:21" x14ac:dyDescent="0.25">
      <c r="A449">
        <v>2263781</v>
      </c>
      <c r="B449">
        <v>17</v>
      </c>
      <c r="C449" s="1">
        <f>6.65733040539407*(10.3/7.3)</f>
        <v>9.3932196130902668</v>
      </c>
      <c r="D449" s="1">
        <f>7.45714967874701*(10.3/7.3)</f>
        <v>10.521731738506055</v>
      </c>
      <c r="E449" s="1">
        <f>26.6771531406232*(10.3/7.3)</f>
        <v>37.640366760057383</v>
      </c>
      <c r="F449" s="1">
        <f>44.7157467022352*(38.9/42.5)</f>
        <v>40.9280599227517</v>
      </c>
      <c r="G449" s="1">
        <v>1.1864927039183812</v>
      </c>
      <c r="H449" s="1">
        <v>4.0423833741873265</v>
      </c>
      <c r="I449" s="1">
        <v>33.554319083674663</v>
      </c>
      <c r="J449" s="1">
        <v>3.687543745199573E-2</v>
      </c>
      <c r="K449" s="1">
        <v>2.4692834684078599</v>
      </c>
      <c r="L449" s="1">
        <v>2.3087559922486123</v>
      </c>
      <c r="M449" s="1">
        <v>0.18884888041498168</v>
      </c>
      <c r="N449" s="1">
        <v>2.6450560096733291</v>
      </c>
      <c r="O449" s="1">
        <v>0.12422901960784313</v>
      </c>
      <c r="P449" s="1">
        <v>0.1009973816783888</v>
      </c>
      <c r="Q449" s="1">
        <v>1.8962212163079182</v>
      </c>
      <c r="R449" s="2">
        <f t="shared" si="27"/>
        <v>139.16279441249367</v>
      </c>
      <c r="S449" s="2">
        <f t="shared" si="26"/>
        <v>2.6071562875382446</v>
      </c>
      <c r="T449" s="2">
        <f t="shared" si="28"/>
        <v>5.2668899019447659</v>
      </c>
      <c r="U449" s="2">
        <f t="shared" si="29"/>
        <v>147.03684060197668</v>
      </c>
    </row>
    <row r="450" spans="1:21" x14ac:dyDescent="0.25">
      <c r="A450">
        <v>2263789</v>
      </c>
      <c r="B450">
        <v>44</v>
      </c>
      <c r="C450" s="1">
        <f>5.56368393615289*(10.3/7.3)</f>
        <v>7.8501293893664048</v>
      </c>
      <c r="D450" s="1">
        <f>6.20611244033321*(10.3/7.3)</f>
        <v>8.7565696075934323</v>
      </c>
      <c r="E450" s="1">
        <f>22.2056318807092*(10.3/7.3)</f>
        <v>31.331234023466461</v>
      </c>
      <c r="F450" s="1">
        <f>37.2571391022926*(38.9/42.5)</f>
        <v>34.101240260686659</v>
      </c>
      <c r="G450" s="1">
        <v>0.98900331166779409</v>
      </c>
      <c r="H450" s="1">
        <v>2.7658408778539223</v>
      </c>
      <c r="I450" s="1">
        <v>28.015068298259472</v>
      </c>
      <c r="J450" s="1">
        <v>3.1726241619823702E-2</v>
      </c>
      <c r="K450" s="1">
        <v>2.2121158312495135</v>
      </c>
      <c r="L450" s="1">
        <v>2.0349399498855654</v>
      </c>
      <c r="M450" s="1">
        <v>0.15856724896584959</v>
      </c>
      <c r="N450" s="1">
        <v>1.7528632179937333</v>
      </c>
      <c r="O450" s="1">
        <v>0.10943030303030304</v>
      </c>
      <c r="P450" s="1">
        <v>9.2335949842394932E-2</v>
      </c>
      <c r="Q450" s="1">
        <v>1.5805988999256995</v>
      </c>
      <c r="R450" s="2">
        <f t="shared" si="27"/>
        <v>115.38968466881987</v>
      </c>
      <c r="S450" s="2">
        <f t="shared" si="26"/>
        <v>2.3361780227117319</v>
      </c>
      <c r="T450" s="2">
        <f t="shared" si="28"/>
        <v>4.0558007198754513</v>
      </c>
      <c r="U450" s="2">
        <f t="shared" si="29"/>
        <v>121.78166341140705</v>
      </c>
    </row>
    <row r="451" spans="1:21" x14ac:dyDescent="0.25">
      <c r="A451">
        <v>2263925</v>
      </c>
      <c r="B451">
        <v>49</v>
      </c>
      <c r="C451" s="1">
        <f>10.378590359779*(10.3/7.3)</f>
        <v>14.643764480236062</v>
      </c>
      <c r="D451" s="1">
        <f>12.431908235373*(10.3/7.3)</f>
        <v>17.540911619772881</v>
      </c>
      <c r="E451" s="1">
        <f>44.5243012322385*(10.3/7.3)</f>
        <v>62.821959272884413</v>
      </c>
      <c r="F451" s="1">
        <f>64.8543742320251*(38.9/42.5)</f>
        <v>59.360827238253528</v>
      </c>
      <c r="G451" s="1">
        <v>1.2113117111329661</v>
      </c>
      <c r="H451" s="1">
        <v>3.3880358402820852</v>
      </c>
      <c r="I451" s="1">
        <v>45.607069172774629</v>
      </c>
      <c r="J451" s="1">
        <v>2.5460261695250765E-2</v>
      </c>
      <c r="K451" s="1">
        <v>2.189202286405048</v>
      </c>
      <c r="L451" s="1">
        <v>1.8413240757519218</v>
      </c>
      <c r="M451" s="1">
        <v>9.3291178313981704E-2</v>
      </c>
      <c r="N451" s="1">
        <v>1.5168021995546033</v>
      </c>
      <c r="O451" s="1">
        <v>8.5384489795918353E-2</v>
      </c>
      <c r="P451" s="1">
        <v>7.4802391654611333E-2</v>
      </c>
      <c r="Q451" s="1">
        <v>1.9358862963312258</v>
      </c>
      <c r="R451" s="2">
        <f t="shared" si="27"/>
        <v>206.50976563166779</v>
      </c>
      <c r="S451" s="2">
        <f t="shared" si="26"/>
        <v>2.2894649397549101</v>
      </c>
      <c r="T451" s="2">
        <f t="shared" si="28"/>
        <v>3.5368019434164251</v>
      </c>
      <c r="U451" s="2">
        <f t="shared" si="29"/>
        <v>212.33603251483913</v>
      </c>
    </row>
    <row r="452" spans="1:21" x14ac:dyDescent="0.25">
      <c r="A452">
        <v>2275329</v>
      </c>
      <c r="B452">
        <v>1</v>
      </c>
      <c r="C452" s="1">
        <f>0.374473956718549*(10.3/7.3)</f>
        <v>0.52836736358918512</v>
      </c>
      <c r="D452" s="1">
        <f>0.512677337676088*(10.3/7.3)</f>
        <v>0.72336665452927451</v>
      </c>
      <c r="E452" s="1">
        <f>1.80062066160566*(10.3/7.3)</f>
        <v>2.540601755416211</v>
      </c>
      <c r="F452" s="1">
        <f>3.85708463701687*(38.9/42.5)</f>
        <v>3.5303668795283851</v>
      </c>
      <c r="G452" s="1">
        <v>0.15654331898126289</v>
      </c>
      <c r="H452" s="1">
        <v>1.5623109000682827</v>
      </c>
      <c r="I452" s="1">
        <v>2.8303602603960298</v>
      </c>
      <c r="J452" s="1">
        <v>9.2501841907360466E-3</v>
      </c>
      <c r="K452" s="1">
        <v>1.9185927150958768</v>
      </c>
      <c r="L452" s="1">
        <v>1.4454816880121426</v>
      </c>
      <c r="M452" s="1">
        <v>4.5707405108186105E-2</v>
      </c>
      <c r="N452" s="1">
        <v>0.36844068219139636</v>
      </c>
      <c r="O452" s="1">
        <v>7.9733333333333323E-2</v>
      </c>
      <c r="P452" s="1">
        <v>8.2486228964816902E-2</v>
      </c>
      <c r="Q452" s="1">
        <v>0.25018338649973548</v>
      </c>
      <c r="R452" s="2">
        <f t="shared" si="27"/>
        <v>12.122100519008367</v>
      </c>
      <c r="S452" s="2">
        <f t="shared" si="26"/>
        <v>2.0103291282514295</v>
      </c>
      <c r="T452" s="2">
        <f t="shared" si="28"/>
        <v>1.9393631086450585</v>
      </c>
      <c r="U452" s="2">
        <f t="shared" si="29"/>
        <v>16.071792755904855</v>
      </c>
    </row>
    <row r="453" spans="1:21" x14ac:dyDescent="0.25">
      <c r="A453">
        <v>2275481</v>
      </c>
      <c r="B453">
        <v>1</v>
      </c>
      <c r="C453" s="1">
        <f>0.454052659709791*(10.3/7.3)</f>
        <v>0.64064964315217088</v>
      </c>
      <c r="D453" s="1">
        <f>0.620969619958504*(10.3/7.3)</f>
        <v>0.87616261446199817</v>
      </c>
      <c r="E453" s="1">
        <f>2.18414746845394*(10.3/7.3)</f>
        <v>3.0817423185034976</v>
      </c>
      <c r="F453" s="1">
        <f>4.52231424618386*(38.9/42.5)</f>
        <v>4.1392476276835755</v>
      </c>
      <c r="G453" s="1">
        <v>0.1767147678972858</v>
      </c>
      <c r="H453" s="1">
        <v>1.2327845631585892</v>
      </c>
      <c r="I453" s="1">
        <v>3.2943342148527464</v>
      </c>
      <c r="J453" s="1">
        <v>1.0158229794780777E-2</v>
      </c>
      <c r="K453" s="1">
        <v>1.7102361779996273</v>
      </c>
      <c r="L453" s="1">
        <v>2.221868763433918</v>
      </c>
      <c r="M453" s="1">
        <v>4.6123729760351187E-2</v>
      </c>
      <c r="N453" s="1">
        <v>0.43758600649756879</v>
      </c>
      <c r="O453" s="1">
        <v>8.4640000000000007E-2</v>
      </c>
      <c r="P453" s="1">
        <v>7.1424525290613508E-2</v>
      </c>
      <c r="Q453" s="1">
        <v>0.28242086193630178</v>
      </c>
      <c r="R453" s="2">
        <f t="shared" si="27"/>
        <v>13.724056611646164</v>
      </c>
      <c r="S453" s="2">
        <f t="shared" si="26"/>
        <v>1.7918189330850218</v>
      </c>
      <c r="T453" s="2">
        <f t="shared" si="28"/>
        <v>2.790218499691838</v>
      </c>
      <c r="U453" s="2">
        <f t="shared" si="29"/>
        <v>18.306094044423023</v>
      </c>
    </row>
    <row r="454" spans="1:21" x14ac:dyDescent="0.25">
      <c r="A454">
        <v>2275513</v>
      </c>
      <c r="B454">
        <v>7</v>
      </c>
      <c r="C454" s="1">
        <f>0.555389475116199*(10.3/7.3)</f>
        <v>0.78363172516395252</v>
      </c>
      <c r="D454" s="1">
        <f>0.692061267508486*(10.3/7.3)</f>
        <v>0.97647000758046687</v>
      </c>
      <c r="E454" s="1">
        <f>2.44462570485423*(10.3/7.3)</f>
        <v>3.4492664054792543</v>
      </c>
      <c r="F454" s="1">
        <f>5.03132958576644*(38.9/42.5)</f>
        <v>4.6051463737956402</v>
      </c>
      <c r="G454" s="1">
        <v>0.19164409255093801</v>
      </c>
      <c r="H454" s="1">
        <v>1.1610920704626402</v>
      </c>
      <c r="I454" s="1">
        <v>3.7722142690280682</v>
      </c>
      <c r="J454" s="1">
        <v>1.0583762514433246E-2</v>
      </c>
      <c r="K454" s="1">
        <v>1.72241730305342</v>
      </c>
      <c r="L454" s="1">
        <v>2.1511161015450182</v>
      </c>
      <c r="M454" s="1">
        <v>4.8372136297693165E-2</v>
      </c>
      <c r="N454" s="1">
        <v>0.47658459447448853</v>
      </c>
      <c r="O454" s="1">
        <v>9.0483809523809522E-2</v>
      </c>
      <c r="P454" s="1">
        <v>7.7151359489589108E-2</v>
      </c>
      <c r="Q454" s="1">
        <v>0.30628051320926197</v>
      </c>
      <c r="R454" s="2">
        <f t="shared" si="27"/>
        <v>15.245745457270225</v>
      </c>
      <c r="S454" s="2">
        <f t="shared" si="26"/>
        <v>1.8101524250574423</v>
      </c>
      <c r="T454" s="2">
        <f t="shared" si="28"/>
        <v>2.7665566418410097</v>
      </c>
      <c r="U454" s="2">
        <f t="shared" si="29"/>
        <v>19.822454524168677</v>
      </c>
    </row>
    <row r="455" spans="1:21" x14ac:dyDescent="0.25">
      <c r="A455">
        <v>2275521</v>
      </c>
      <c r="B455">
        <v>50</v>
      </c>
      <c r="C455" s="1">
        <f>0.56897577763318*(10.3/7.3)</f>
        <v>0.80280143967421236</v>
      </c>
      <c r="D455" s="1">
        <f>0.68634855196199*(10.3/7.3)</f>
        <v>0.96840960071349247</v>
      </c>
      <c r="E455" s="1">
        <f>2.42875419178469*(10.3/7.3)</f>
        <v>3.4268723527920941</v>
      </c>
      <c r="F455" s="1">
        <f>4.96383683999933*(38.9/42.5)</f>
        <v>4.5433706606111492</v>
      </c>
      <c r="G455" s="1">
        <v>0.1861545768102203</v>
      </c>
      <c r="H455" s="1">
        <v>1.1013032188230212</v>
      </c>
      <c r="I455" s="1">
        <v>3.7576274395773681</v>
      </c>
      <c r="J455" s="1">
        <v>1.0868372375588839E-2</v>
      </c>
      <c r="K455" s="1">
        <v>1.7592597757154969</v>
      </c>
      <c r="L455" s="1">
        <v>2.275624403804227</v>
      </c>
      <c r="M455" s="1">
        <v>4.9409781083209772E-2</v>
      </c>
      <c r="N455" s="1">
        <v>0.50190698702781888</v>
      </c>
      <c r="O455" s="1">
        <v>9.3169066666666675E-2</v>
      </c>
      <c r="P455" s="1">
        <v>8.0664831943208851E-2</v>
      </c>
      <c r="Q455" s="1">
        <v>0.29750731453688223</v>
      </c>
      <c r="R455" s="2">
        <f t="shared" si="27"/>
        <v>15.08404660353844</v>
      </c>
      <c r="S455" s="2">
        <f t="shared" si="26"/>
        <v>1.8507929800342946</v>
      </c>
      <c r="T455" s="2">
        <f t="shared" si="28"/>
        <v>2.9201102385819224</v>
      </c>
      <c r="U455" s="2">
        <f t="shared" si="29"/>
        <v>19.854949822154659</v>
      </c>
    </row>
    <row r="456" spans="1:21" x14ac:dyDescent="0.25">
      <c r="A456">
        <v>2275537</v>
      </c>
      <c r="B456">
        <v>4</v>
      </c>
      <c r="C456" s="1">
        <f>1.32322495501829*(10.3/7.3)</f>
        <v>1.86701603242307</v>
      </c>
      <c r="D456" s="1">
        <f>1.35183138776608*(10.3/7.3)</f>
        <v>1.9073785334233728</v>
      </c>
      <c r="E456" s="1">
        <f>4.82814313109154*(10.3/7.3)</f>
        <v>6.8123115411291586</v>
      </c>
      <c r="F456" s="1">
        <f>9.65965030417573*(38.9/42.5)</f>
        <v>8.8414211019396696</v>
      </c>
      <c r="G456" s="1">
        <v>0.33789859307864439</v>
      </c>
      <c r="H456" s="1">
        <v>1.8715147666588772</v>
      </c>
      <c r="I456" s="1">
        <v>7.7410493939955742</v>
      </c>
      <c r="J456" s="1">
        <v>1.3442469502867795E-2</v>
      </c>
      <c r="K456" s="1">
        <v>1.9747268630956816</v>
      </c>
      <c r="L456" s="1">
        <v>3.6944795119989249</v>
      </c>
      <c r="M456" s="1">
        <v>6.5277343332062254E-2</v>
      </c>
      <c r="N456" s="1">
        <v>0.60813557091498738</v>
      </c>
      <c r="O456" s="1">
        <v>0.11206666666666668</v>
      </c>
      <c r="P456" s="1">
        <v>9.0249638749740846E-2</v>
      </c>
      <c r="Q456" s="1">
        <v>0.54002058254577923</v>
      </c>
      <c r="R456" s="2">
        <f t="shared" si="27"/>
        <v>29.918610545194145</v>
      </c>
      <c r="S456" s="2">
        <f t="shared" si="26"/>
        <v>2.0784189713482903</v>
      </c>
      <c r="T456" s="2">
        <f t="shared" si="28"/>
        <v>4.4799590929126412</v>
      </c>
      <c r="U456" s="2">
        <f t="shared" si="29"/>
        <v>36.476988609455077</v>
      </c>
    </row>
    <row r="457" spans="1:21" x14ac:dyDescent="0.25">
      <c r="A457">
        <v>2275577</v>
      </c>
      <c r="B457">
        <v>38</v>
      </c>
      <c r="C457" s="1">
        <f>2.67468670286341*(10.3/7.3)</f>
        <v>3.7738730191086498</v>
      </c>
      <c r="D457" s="1">
        <f>2.76442451420929*(10.3/7.3)</f>
        <v>3.9004893830624261</v>
      </c>
      <c r="E457" s="1">
        <f>9.86740938491688*(10.3/7.3)</f>
        <v>13.922509132142995</v>
      </c>
      <c r="F457" s="1">
        <f>19.7246591618888*(38.9/42.5)</f>
        <v>18.053864503469953</v>
      </c>
      <c r="G457" s="1">
        <v>0.69138883522143768</v>
      </c>
      <c r="H457" s="1">
        <v>2.9542189030764194</v>
      </c>
      <c r="I457" s="1">
        <v>15.735289536574284</v>
      </c>
      <c r="J457" s="1">
        <v>2.7857972625219822E-2</v>
      </c>
      <c r="K457" s="1">
        <v>3.2358867799198698</v>
      </c>
      <c r="L457" s="1">
        <v>5.1446512820479242</v>
      </c>
      <c r="M457" s="1">
        <v>0.1143578773775842</v>
      </c>
      <c r="N457" s="1">
        <v>1.1918405982675244</v>
      </c>
      <c r="O457" s="1">
        <v>0.23712421052631585</v>
      </c>
      <c r="P457" s="1">
        <v>0.14543837469411561</v>
      </c>
      <c r="Q457" s="1">
        <v>1.1049593256963626</v>
      </c>
      <c r="R457" s="2">
        <f t="shared" si="27"/>
        <v>60.136592638352525</v>
      </c>
      <c r="S457" s="2">
        <f t="shared" ref="S457:S520" si="30">J457+K457+P457</f>
        <v>3.4091831272392055</v>
      </c>
      <c r="T457" s="2">
        <f t="shared" si="28"/>
        <v>6.6879739682193486</v>
      </c>
      <c r="U457" s="2">
        <f t="shared" si="29"/>
        <v>70.233749733811081</v>
      </c>
    </row>
    <row r="458" spans="1:21" x14ac:dyDescent="0.25">
      <c r="A458">
        <v>2275585</v>
      </c>
      <c r="B458">
        <v>54</v>
      </c>
      <c r="C458" s="1">
        <f>2.51145111486653*(10.3/7.3)</f>
        <v>3.5435543127568905</v>
      </c>
      <c r="D458" s="1">
        <f>2.64586377168121*(10.3/7.3)</f>
        <v>3.7332050477145846</v>
      </c>
      <c r="E458" s="1">
        <f>9.43331669569906*(10.3/7.3)</f>
        <v>13.310022187082238</v>
      </c>
      <c r="F458" s="1">
        <f>18.9186974629018*(38.9/42.5)</f>
        <v>17.316172501338315</v>
      </c>
      <c r="G458" s="1">
        <v>0.66964958342421399</v>
      </c>
      <c r="H458" s="1">
        <v>3.4982143689839691</v>
      </c>
      <c r="I458" s="1">
        <v>14.989756724599296</v>
      </c>
      <c r="J458" s="1">
        <v>2.6422115484809359E-2</v>
      </c>
      <c r="K458" s="1">
        <v>3.0992042376961737</v>
      </c>
      <c r="L458" s="1">
        <v>4.7022942936951937</v>
      </c>
      <c r="M458" s="1">
        <v>0.11303260544298116</v>
      </c>
      <c r="N458" s="1">
        <v>1.1433537993025165</v>
      </c>
      <c r="O458" s="1">
        <v>0.2233935802469135</v>
      </c>
      <c r="P458" s="1">
        <v>0.14083941714401454</v>
      </c>
      <c r="Q458" s="1">
        <v>1.0702162292167816</v>
      </c>
      <c r="R458" s="2">
        <f t="shared" ref="R458:R521" si="31">C458+D458+E458+F458+G458+H458+I458+Q458</f>
        <v>58.130790955116289</v>
      </c>
      <c r="S458" s="2">
        <f t="shared" si="30"/>
        <v>3.2664657703249977</v>
      </c>
      <c r="T458" s="2">
        <f t="shared" ref="T458:T521" si="32">L458+M458+N458+O458</f>
        <v>6.1820742786876046</v>
      </c>
      <c r="U458" s="2">
        <f t="shared" ref="U458:U521" si="33">R458+S458+T458</f>
        <v>67.579331004128889</v>
      </c>
    </row>
    <row r="459" spans="1:21" x14ac:dyDescent="0.25">
      <c r="A459">
        <v>2275593</v>
      </c>
      <c r="B459">
        <v>22</v>
      </c>
      <c r="C459" s="1">
        <f>2.52622009691327*(10.3/7.3)</f>
        <v>3.5643927394803678</v>
      </c>
      <c r="D459" s="1">
        <f>2.69682036888987*(10.3/7.3)</f>
        <v>3.8051027122692651</v>
      </c>
      <c r="E459" s="1">
        <f>9.60652867307197*(10.3/7.3)</f>
        <v>13.554417168854973</v>
      </c>
      <c r="F459" s="1">
        <f>19.3552046731564*(38.9/42.5)</f>
        <v>17.715704983194939</v>
      </c>
      <c r="G459" s="1">
        <v>0.69184753392871801</v>
      </c>
      <c r="H459" s="1">
        <v>3.9547130258076066</v>
      </c>
      <c r="I459" s="1">
        <v>15.269636036163103</v>
      </c>
      <c r="J459" s="1">
        <v>2.8325313808413174E-2</v>
      </c>
      <c r="K459" s="1">
        <v>3.1839403656238008</v>
      </c>
      <c r="L459" s="1">
        <v>4.7985505769770675</v>
      </c>
      <c r="M459" s="1">
        <v>0.12068527158475476</v>
      </c>
      <c r="N459" s="1">
        <v>1.2383916721934864</v>
      </c>
      <c r="O459" s="1">
        <v>0.23795151515151514</v>
      </c>
      <c r="P459" s="1">
        <v>0.14475393214202326</v>
      </c>
      <c r="Q459" s="1">
        <v>1.1056924058221533</v>
      </c>
      <c r="R459" s="2">
        <f t="shared" si="31"/>
        <v>59.661506605521126</v>
      </c>
      <c r="S459" s="2">
        <f t="shared" si="30"/>
        <v>3.3570196115742372</v>
      </c>
      <c r="T459" s="2">
        <f t="shared" si="32"/>
        <v>6.3955790359068239</v>
      </c>
      <c r="U459" s="2">
        <f t="shared" si="33"/>
        <v>69.414105253002191</v>
      </c>
    </row>
    <row r="460" spans="1:21" x14ac:dyDescent="0.25">
      <c r="A460">
        <v>2275601</v>
      </c>
      <c r="B460">
        <v>50</v>
      </c>
      <c r="C460" s="1">
        <f>1.98101582264155*(10.3/7.3)</f>
        <v>2.7951319141380742</v>
      </c>
      <c r="D460" s="1">
        <f>2.14366475664411*(10.3/7.3)</f>
        <v>3.0246228758129168</v>
      </c>
      <c r="E460" s="1">
        <f>7.6307109650651*(10.3/7.3)</f>
        <v>10.766619580845283</v>
      </c>
      <c r="F460" s="1">
        <f>15.3740441542707*(38.9/42.5)</f>
        <v>14.071772178850086</v>
      </c>
      <c r="G460" s="1">
        <v>0.55147668386996207</v>
      </c>
      <c r="H460" s="1">
        <v>7.1130392841569376</v>
      </c>
      <c r="I460" s="1">
        <v>12.068066285277226</v>
      </c>
      <c r="J460" s="1">
        <v>2.4849219571172518E-2</v>
      </c>
      <c r="K460" s="1">
        <v>2.840645893081966</v>
      </c>
      <c r="L460" s="1">
        <v>4.0538647016045708</v>
      </c>
      <c r="M460" s="1">
        <v>0.10867883884706313</v>
      </c>
      <c r="N460" s="1">
        <v>1.0316394917213785</v>
      </c>
      <c r="O460" s="1">
        <v>0.20284160000000001</v>
      </c>
      <c r="P460" s="1">
        <v>0.13117516981346852</v>
      </c>
      <c r="Q460" s="1">
        <v>0.88135543084240608</v>
      </c>
      <c r="R460" s="2">
        <f t="shared" si="31"/>
        <v>51.272084233792889</v>
      </c>
      <c r="S460" s="2">
        <f t="shared" si="30"/>
        <v>2.9966702824666069</v>
      </c>
      <c r="T460" s="2">
        <f t="shared" si="32"/>
        <v>5.3970246321730126</v>
      </c>
      <c r="U460" s="2">
        <f t="shared" si="33"/>
        <v>59.665779148432513</v>
      </c>
    </row>
    <row r="461" spans="1:21" x14ac:dyDescent="0.25">
      <c r="A461">
        <v>2275609</v>
      </c>
      <c r="B461">
        <v>22</v>
      </c>
      <c r="C461" s="1">
        <f>2.13783127280027*(10.3/7.3)</f>
        <v>3.016392069841471</v>
      </c>
      <c r="D461" s="1">
        <f>2.31770543240304*(10.3/7.3)</f>
        <v>3.2701871169522287</v>
      </c>
      <c r="E461" s="1">
        <f>8.24975673929078*(10.3/7.3)</f>
        <v>11.64006772804041</v>
      </c>
      <c r="F461" s="1">
        <f>16.6050169696272*(38.9/42.5)</f>
        <v>15.198474355729354</v>
      </c>
      <c r="G461" s="1">
        <v>0.59514065274984496</v>
      </c>
      <c r="H461" s="1">
        <v>2.2543589595823157</v>
      </c>
      <c r="I461" s="1">
        <v>13.02346411088299</v>
      </c>
      <c r="J461" s="1">
        <v>2.542527691325247E-2</v>
      </c>
      <c r="K461" s="1">
        <v>2.9291633575364244</v>
      </c>
      <c r="L461" s="1">
        <v>4.1777161163237686</v>
      </c>
      <c r="M461" s="1">
        <v>0.11373878277978017</v>
      </c>
      <c r="N461" s="1">
        <v>1.063932075733004</v>
      </c>
      <c r="O461" s="1">
        <v>0.2136557575757575</v>
      </c>
      <c r="P461" s="1">
        <v>0.13518383973817275</v>
      </c>
      <c r="Q461" s="1">
        <v>0.95113802950888593</v>
      </c>
      <c r="R461" s="2">
        <f t="shared" si="31"/>
        <v>49.949223023287495</v>
      </c>
      <c r="S461" s="2">
        <f t="shared" si="30"/>
        <v>3.0897724741878498</v>
      </c>
      <c r="T461" s="2">
        <f t="shared" si="32"/>
        <v>5.5690427324123108</v>
      </c>
      <c r="U461" s="2">
        <f t="shared" si="33"/>
        <v>58.608038229887654</v>
      </c>
    </row>
    <row r="462" spans="1:21" x14ac:dyDescent="0.25">
      <c r="A462">
        <v>2276017</v>
      </c>
      <c r="B462">
        <v>41</v>
      </c>
      <c r="C462" s="1">
        <f>5.04208284058992*(10.3/7.3)</f>
        <v>7.1141716791885177</v>
      </c>
      <c r="D462" s="1">
        <f>5.67157083549752*(10.3/7.3)</f>
        <v>8.002353370633486</v>
      </c>
      <c r="E462" s="1">
        <f>20.2814480165053*(10.3/7.3)</f>
        <v>28.616289667123979</v>
      </c>
      <c r="F462" s="1">
        <f>34.1828320491689*(38.9/42.5)</f>
        <v>31.287345099121659</v>
      </c>
      <c r="G462" s="1">
        <v>0.91930828875320314</v>
      </c>
      <c r="H462" s="1">
        <v>2.6686545503324317</v>
      </c>
      <c r="I462" s="1">
        <v>25.630389892988529</v>
      </c>
      <c r="J462" s="1">
        <v>3.1668789017288319E-2</v>
      </c>
      <c r="K462" s="1">
        <v>2.1939061891298701</v>
      </c>
      <c r="L462" s="1">
        <v>1.9912608872879995</v>
      </c>
      <c r="M462" s="1">
        <v>0.16237074350718458</v>
      </c>
      <c r="N462" s="1">
        <v>2.190965337179116</v>
      </c>
      <c r="O462" s="1">
        <v>0.10879349593495936</v>
      </c>
      <c r="P462" s="1">
        <v>9.2427321546071042E-2</v>
      </c>
      <c r="Q462" s="1">
        <v>1.4692141601078601</v>
      </c>
      <c r="R462" s="2">
        <f t="shared" si="31"/>
        <v>105.70772670824965</v>
      </c>
      <c r="S462" s="2">
        <f t="shared" si="30"/>
        <v>2.3180022996932292</v>
      </c>
      <c r="T462" s="2">
        <f t="shared" si="32"/>
        <v>4.4533904639092592</v>
      </c>
      <c r="U462" s="2">
        <f t="shared" si="33"/>
        <v>112.47911947185214</v>
      </c>
    </row>
    <row r="463" spans="1:21" x14ac:dyDescent="0.25">
      <c r="A463">
        <v>2276025</v>
      </c>
      <c r="B463">
        <v>2</v>
      </c>
      <c r="C463" s="1">
        <f>8.86398415951*(10.3/7.3)</f>
        <v>12.506717375746986</v>
      </c>
      <c r="D463" s="1">
        <f>9.7986410984535*(10.3/7.3)</f>
        <v>13.825479906037128</v>
      </c>
      <c r="E463" s="1">
        <f>35.0915209805618*(10.3/7.3)</f>
        <v>49.512693986272083</v>
      </c>
      <c r="F463" s="1">
        <f>58.0878009215163*(38.9/42.5)</f>
        <v>53.167422490517275</v>
      </c>
      <c r="G463" s="1">
        <v>1.4908632057879698</v>
      </c>
      <c r="H463" s="1">
        <v>6.1572046437866312</v>
      </c>
      <c r="I463" s="1">
        <v>43.742785394308662</v>
      </c>
      <c r="J463" s="1">
        <v>4.1893150695016965E-2</v>
      </c>
      <c r="K463" s="1">
        <v>2.7026960467757588</v>
      </c>
      <c r="L463" s="1">
        <v>2.6188146069690523</v>
      </c>
      <c r="M463" s="1">
        <v>0.1974593148230504</v>
      </c>
      <c r="N463" s="1">
        <v>2.0337399776466905</v>
      </c>
      <c r="O463" s="1">
        <v>0.13328000000000001</v>
      </c>
      <c r="P463" s="1">
        <v>0.1062905531639773</v>
      </c>
      <c r="Q463" s="1">
        <v>2.3826580914419635</v>
      </c>
      <c r="R463" s="2">
        <f t="shared" si="31"/>
        <v>182.78582509389869</v>
      </c>
      <c r="S463" s="2">
        <f t="shared" si="30"/>
        <v>2.850879750634753</v>
      </c>
      <c r="T463" s="2">
        <f t="shared" si="32"/>
        <v>4.9832938994387934</v>
      </c>
      <c r="U463" s="2">
        <f t="shared" si="33"/>
        <v>190.61999874397225</v>
      </c>
    </row>
    <row r="464" spans="1:21" x14ac:dyDescent="0.25">
      <c r="A464">
        <v>2276057</v>
      </c>
      <c r="B464">
        <v>25</v>
      </c>
      <c r="C464" s="1">
        <f>9.38487018439462*(10.3/7.3)</f>
        <v>13.241666150584186</v>
      </c>
      <c r="D464" s="1">
        <f>10.7719604261872*(10.3/7.3)</f>
        <v>15.198793478044914</v>
      </c>
      <c r="E464" s="1">
        <f>38.578745495842*(10.3/7.3)</f>
        <v>54.433024466735993</v>
      </c>
      <c r="F464" s="1">
        <f>60.1658952375299*(38.9/42.5)</f>
        <v>55.069489993880275</v>
      </c>
      <c r="G464" s="1">
        <v>1.3547660107717991</v>
      </c>
      <c r="H464" s="1">
        <v>2.5937921572296845</v>
      </c>
      <c r="I464" s="1">
        <v>43.964379552687717</v>
      </c>
      <c r="J464" s="1">
        <v>3.0642041340527025E-2</v>
      </c>
      <c r="K464" s="1">
        <v>2.2771187482711444</v>
      </c>
      <c r="L464" s="1">
        <v>2.0796601550256764</v>
      </c>
      <c r="M464" s="1">
        <v>0.13921256464149001</v>
      </c>
      <c r="N464" s="1">
        <v>1.8385944572224349</v>
      </c>
      <c r="O464" s="1">
        <v>0.10641706666666664</v>
      </c>
      <c r="P464" s="1">
        <v>8.9268815564913992E-2</v>
      </c>
      <c r="Q464" s="1">
        <v>2.1651511587677179</v>
      </c>
      <c r="R464" s="2">
        <f t="shared" si="31"/>
        <v>188.02106296870227</v>
      </c>
      <c r="S464" s="2">
        <f t="shared" si="30"/>
        <v>2.3970296051765851</v>
      </c>
      <c r="T464" s="2">
        <f t="shared" si="32"/>
        <v>4.163884243556268</v>
      </c>
      <c r="U464" s="2">
        <f t="shared" si="33"/>
        <v>194.58197681743513</v>
      </c>
    </row>
    <row r="465" spans="1:21" x14ac:dyDescent="0.25">
      <c r="A465">
        <v>2276153</v>
      </c>
      <c r="B465">
        <v>1</v>
      </c>
      <c r="C465" s="1">
        <f>12.1837463688794*(10.3/7.3)</f>
        <v>17.190765424583251</v>
      </c>
      <c r="D465" s="1">
        <f>15.4742744660912*(10.3/7.3)</f>
        <v>21.833565342567066</v>
      </c>
      <c r="E465" s="1">
        <f>55.2731131366838*(10.3/7.3)</f>
        <v>77.988091138060781</v>
      </c>
      <c r="F465" s="1">
        <f>80.4711337115639*(38.9/42.5)</f>
        <v>73.654755326584379</v>
      </c>
      <c r="G465" s="1">
        <v>1.5536307462979349</v>
      </c>
      <c r="H465" s="1">
        <v>3.2055757728126477</v>
      </c>
      <c r="I465" s="1">
        <v>54.921705079616736</v>
      </c>
      <c r="J465" s="1">
        <v>2.7445041901688415E-2</v>
      </c>
      <c r="K465" s="1">
        <v>2.3083280601558633</v>
      </c>
      <c r="L465" s="1">
        <v>1.9791386594741773</v>
      </c>
      <c r="M465" s="1">
        <v>0.10052979337222591</v>
      </c>
      <c r="N465" s="1">
        <v>1.6940999430320862</v>
      </c>
      <c r="O465" s="1">
        <v>9.1999999999999998E-2</v>
      </c>
      <c r="P465" s="1">
        <v>7.9574950295470417E-2</v>
      </c>
      <c r="Q465" s="1">
        <v>2.4829715123483003</v>
      </c>
      <c r="R465" s="2">
        <f t="shared" si="31"/>
        <v>252.8310603428711</v>
      </c>
      <c r="S465" s="2">
        <f t="shared" si="30"/>
        <v>2.4153480523530222</v>
      </c>
      <c r="T465" s="2">
        <f t="shared" si="32"/>
        <v>3.8657683958784896</v>
      </c>
      <c r="U465" s="2">
        <f t="shared" si="33"/>
        <v>259.11217679110257</v>
      </c>
    </row>
    <row r="466" spans="1:21" x14ac:dyDescent="0.25">
      <c r="A466">
        <v>2276161</v>
      </c>
      <c r="B466">
        <v>12</v>
      </c>
      <c r="C466" s="1">
        <f>12.8147069727597*(10.3/7.3)</f>
        <v>18.08102490677059</v>
      </c>
      <c r="D466" s="1">
        <f>16.2758575541912*(10.3/7.3)</f>
        <v>22.964566138105379</v>
      </c>
      <c r="E466" s="1">
        <f>58.1492052162504*(10.3/7.3)</f>
        <v>82.046138866764323</v>
      </c>
      <c r="F466" s="1">
        <f>84.013160316811*(38.9/42.5)</f>
        <v>76.89675144291644</v>
      </c>
      <c r="G466" s="1">
        <v>1.5802756566568654</v>
      </c>
      <c r="H466" s="1">
        <v>3.7924640823308793</v>
      </c>
      <c r="I466" s="1">
        <v>57.200902236208094</v>
      </c>
      <c r="J466" s="1">
        <v>2.9095648163246366E-2</v>
      </c>
      <c r="K466" s="1">
        <v>2.4607329862802874</v>
      </c>
      <c r="L466" s="1">
        <v>2.1364931667285236</v>
      </c>
      <c r="M466" s="1">
        <v>0.10434852645217628</v>
      </c>
      <c r="N466" s="1">
        <v>2.1242457501793792</v>
      </c>
      <c r="O466" s="1">
        <v>9.7413333333333338E-2</v>
      </c>
      <c r="P466" s="1">
        <v>8.1764184681322016E-2</v>
      </c>
      <c r="Q466" s="1">
        <v>2.5255547024196514</v>
      </c>
      <c r="R466" s="2">
        <f t="shared" si="31"/>
        <v>265.08767803217222</v>
      </c>
      <c r="S466" s="2">
        <f t="shared" si="30"/>
        <v>2.5715928191248558</v>
      </c>
      <c r="T466" s="2">
        <f t="shared" si="32"/>
        <v>4.4625007766934122</v>
      </c>
      <c r="U466" s="2">
        <f t="shared" si="33"/>
        <v>272.12177162799048</v>
      </c>
    </row>
    <row r="467" spans="1:21" x14ac:dyDescent="0.25">
      <c r="A467">
        <v>2287445</v>
      </c>
      <c r="B467">
        <v>31</v>
      </c>
      <c r="C467" s="1">
        <f>0.302437101810205*(10.3/7.3)</f>
        <v>0.42672632173220748</v>
      </c>
      <c r="D467" s="1">
        <f>0.400900629398195*(10.3/7.3)</f>
        <v>0.56565431271252209</v>
      </c>
      <c r="E467" s="1">
        <f>1.41029122122975*(10.3/7.3)</f>
        <v>1.9898629559817087</v>
      </c>
      <c r="F467" s="1">
        <f>3.00368465817287*(38.9/42.5)</f>
        <v>2.7492548988923478</v>
      </c>
      <c r="G467" s="1">
        <v>0.12045587695605479</v>
      </c>
      <c r="H467" s="1">
        <v>0.96277906307257599</v>
      </c>
      <c r="I467" s="1">
        <v>2.2231674363625813</v>
      </c>
      <c r="J467" s="1">
        <v>9.6841954963292065E-3</v>
      </c>
      <c r="K467" s="1">
        <v>1.1549197503544628</v>
      </c>
      <c r="L467" s="1">
        <v>1.0687386960440004</v>
      </c>
      <c r="M467" s="1">
        <v>4.588479400984033E-2</v>
      </c>
      <c r="N467" s="1">
        <v>0.31818862865356623</v>
      </c>
      <c r="O467" s="1">
        <v>8.5978494623655907E-2</v>
      </c>
      <c r="P467" s="1">
        <v>6.0325368511976792E-2</v>
      </c>
      <c r="Q467" s="1">
        <v>0.19250939239552159</v>
      </c>
      <c r="R467" s="2">
        <f t="shared" si="31"/>
        <v>9.2304102581055201</v>
      </c>
      <c r="S467" s="2">
        <f t="shared" si="30"/>
        <v>1.2249293143627689</v>
      </c>
      <c r="T467" s="2">
        <f t="shared" si="32"/>
        <v>1.5187906133310629</v>
      </c>
      <c r="U467" s="2">
        <f t="shared" si="33"/>
        <v>11.974130185799352</v>
      </c>
    </row>
    <row r="468" spans="1:21" x14ac:dyDescent="0.25">
      <c r="A468">
        <v>2287549</v>
      </c>
      <c r="B468">
        <v>3</v>
      </c>
      <c r="C468" s="1">
        <f>0.701126343838423*(10.3/7.3)</f>
        <v>0.98926045774462423</v>
      </c>
      <c r="D468" s="1">
        <f>0.928880970812536*(10.3/7.3)</f>
        <v>1.3106128766259064</v>
      </c>
      <c r="E468" s="1">
        <f>3.25372641071637*(10.3/7.3)</f>
        <v>4.5908742507367926</v>
      </c>
      <c r="F468" s="1">
        <f>7.63702414457463*(38.9/42.5)</f>
        <v>6.9901232758577221</v>
      </c>
      <c r="G468" s="1">
        <v>0.33729952965782278</v>
      </c>
      <c r="H468" s="1">
        <v>4.9919377092914958</v>
      </c>
      <c r="I468" s="1">
        <v>5.7634160413337199</v>
      </c>
      <c r="J468" s="1">
        <v>1.3609368850651718E-2</v>
      </c>
      <c r="K468" s="1">
        <v>2.3359740298352247</v>
      </c>
      <c r="L468" s="1">
        <v>1.9456605341460316</v>
      </c>
      <c r="M468" s="1">
        <v>5.6700354902277067E-2</v>
      </c>
      <c r="N468" s="1">
        <v>0.5004445789144808</v>
      </c>
      <c r="O468" s="1">
        <v>0.10600888888888889</v>
      </c>
      <c r="P468" s="1">
        <v>0.10405510704287196</v>
      </c>
      <c r="Q468" s="1">
        <v>0.5390631752522288</v>
      </c>
      <c r="R468" s="2">
        <f t="shared" si="31"/>
        <v>25.512587316500312</v>
      </c>
      <c r="S468" s="2">
        <f t="shared" si="30"/>
        <v>2.4536385057287484</v>
      </c>
      <c r="T468" s="2">
        <f t="shared" si="32"/>
        <v>2.6088143568516782</v>
      </c>
      <c r="U468" s="2">
        <f t="shared" si="33"/>
        <v>30.575040179080737</v>
      </c>
    </row>
    <row r="469" spans="1:21" x14ac:dyDescent="0.25">
      <c r="A469">
        <v>2287557</v>
      </c>
      <c r="B469">
        <v>16</v>
      </c>
      <c r="C469" s="1">
        <f>0.428039226080584*(10.3/7.3)</f>
        <v>0.60394575734657763</v>
      </c>
      <c r="D469" s="1">
        <f>0.577699593811869*(10.3/7.3)</f>
        <v>0.81511038578934969</v>
      </c>
      <c r="E469" s="1">
        <f>2.02793922002585*(10.3/7.3)</f>
        <v>2.8613388994885263</v>
      </c>
      <c r="F469" s="1">
        <f>4.45836315520294*(38.9/42.5)</f>
        <v>4.0807135702916293</v>
      </c>
      <c r="G469" s="1">
        <v>0.18547271745989413</v>
      </c>
      <c r="H469" s="1">
        <v>3.1159301651033973</v>
      </c>
      <c r="I469" s="1">
        <v>3.3038597650974069</v>
      </c>
      <c r="J469" s="1">
        <v>1.0529934443913107E-2</v>
      </c>
      <c r="K469" s="1">
        <v>1.8779261999105559</v>
      </c>
      <c r="L469" s="1">
        <v>1.4851415116478714</v>
      </c>
      <c r="M469" s="1">
        <v>4.7291032198882518E-2</v>
      </c>
      <c r="N469" s="1">
        <v>0.38114530384961837</v>
      </c>
      <c r="O469" s="1">
        <v>8.2523333333333337E-2</v>
      </c>
      <c r="P469" s="1">
        <v>8.2180443979492271E-2</v>
      </c>
      <c r="Q469" s="1">
        <v>0.29641758498156634</v>
      </c>
      <c r="R469" s="2">
        <f t="shared" si="31"/>
        <v>15.262788845558349</v>
      </c>
      <c r="S469" s="2">
        <f t="shared" si="30"/>
        <v>1.9706365783339612</v>
      </c>
      <c r="T469" s="2">
        <f t="shared" si="32"/>
        <v>1.9961011810297056</v>
      </c>
      <c r="U469" s="2">
        <f t="shared" si="33"/>
        <v>19.229526604922015</v>
      </c>
    </row>
    <row r="470" spans="1:21" x14ac:dyDescent="0.25">
      <c r="A470">
        <v>2287709</v>
      </c>
      <c r="B470">
        <v>23</v>
      </c>
      <c r="C470" s="1">
        <f>0.456667532006365*(10.3/7.3)</f>
        <v>0.64433912050213182</v>
      </c>
      <c r="D470" s="1">
        <f>0.630917455729976*(10.3/7.3)</f>
        <v>0.89019860192037692</v>
      </c>
      <c r="E470" s="1">
        <f>2.2181452549733*(10.3/7.3)</f>
        <v>3.1297117981130063</v>
      </c>
      <c r="F470" s="1">
        <f>4.59595697997212*(38.9/42.5)</f>
        <v>4.2066523887274183</v>
      </c>
      <c r="G470" s="1">
        <v>0.18007823104910181</v>
      </c>
      <c r="H470" s="1">
        <v>1.2345809439341904</v>
      </c>
      <c r="I470" s="1">
        <v>3.3379367412550383</v>
      </c>
      <c r="J470" s="1">
        <v>1.0169667996213274E-2</v>
      </c>
      <c r="K470" s="1">
        <v>1.7390678810149454</v>
      </c>
      <c r="L470" s="1">
        <v>2.2034932618488825</v>
      </c>
      <c r="M470" s="1">
        <v>4.6011413200073001E-2</v>
      </c>
      <c r="N470" s="1">
        <v>0.43592429597553378</v>
      </c>
      <c r="O470" s="1">
        <v>8.4774492753623171E-2</v>
      </c>
      <c r="P470" s="1">
        <v>7.2247277958037523E-2</v>
      </c>
      <c r="Q470" s="1">
        <v>0.28779625966751465</v>
      </c>
      <c r="R470" s="2">
        <f t="shared" si="31"/>
        <v>13.911294085168779</v>
      </c>
      <c r="S470" s="2">
        <f t="shared" si="30"/>
        <v>1.8214848269691961</v>
      </c>
      <c r="T470" s="2">
        <f t="shared" si="32"/>
        <v>2.7702034637781123</v>
      </c>
      <c r="U470" s="2">
        <f t="shared" si="33"/>
        <v>18.502982375916087</v>
      </c>
    </row>
    <row r="471" spans="1:21" x14ac:dyDescent="0.25">
      <c r="A471">
        <v>2287717</v>
      </c>
      <c r="B471">
        <v>11</v>
      </c>
      <c r="C471" s="1">
        <f>0.458180411161698*(10.3/7.3)</f>
        <v>0.64647373081719051</v>
      </c>
      <c r="D471" s="1">
        <f>0.625461671039077*(10.3/7.3)</f>
        <v>0.88250071393184826</v>
      </c>
      <c r="E471" s="1">
        <f>2.2004387166655*(10.3/7.3)</f>
        <v>3.1047286002266632</v>
      </c>
      <c r="F471" s="1">
        <f>4.53970000486681*(38.9/42.5)</f>
        <v>4.1551607103369141</v>
      </c>
      <c r="G471" s="1">
        <v>0.17659771887069381</v>
      </c>
      <c r="H471" s="1">
        <v>1.2265244483345241</v>
      </c>
      <c r="I471" s="1">
        <v>3.3061854650910876</v>
      </c>
      <c r="J471" s="1">
        <v>1.01698021686641E-2</v>
      </c>
      <c r="K471" s="1">
        <v>1.6996156962489295</v>
      </c>
      <c r="L471" s="1">
        <v>2.1930133399860092</v>
      </c>
      <c r="M471" s="1">
        <v>4.6623128872570835E-2</v>
      </c>
      <c r="N471" s="1">
        <v>0.43755131070752129</v>
      </c>
      <c r="O471" s="1">
        <v>8.495999999999998E-2</v>
      </c>
      <c r="P471" s="1">
        <v>7.1297445141035518E-2</v>
      </c>
      <c r="Q471" s="1">
        <v>0.28223379728193099</v>
      </c>
      <c r="R471" s="2">
        <f t="shared" si="31"/>
        <v>13.780405184890851</v>
      </c>
      <c r="S471" s="2">
        <f t="shared" si="30"/>
        <v>1.7810829435586291</v>
      </c>
      <c r="T471" s="2">
        <f t="shared" si="32"/>
        <v>2.7621477795661016</v>
      </c>
      <c r="U471" s="2">
        <f t="shared" si="33"/>
        <v>18.323635908015582</v>
      </c>
    </row>
    <row r="472" spans="1:21" x14ac:dyDescent="0.25">
      <c r="A472">
        <v>2287749</v>
      </c>
      <c r="B472">
        <v>14</v>
      </c>
      <c r="C472" s="1">
        <f>0.577864512783538*(10.3/7.3)</f>
        <v>0.81534307968088304</v>
      </c>
      <c r="D472" s="1">
        <f>0.699735352537049*(10.3/7.3)</f>
        <v>0.98729782618241146</v>
      </c>
      <c r="E472" s="1">
        <f>2.47543163903683*(10.3/7.3)</f>
        <v>3.4927323126136027</v>
      </c>
      <c r="F472" s="1">
        <f>5.07206029969067*(38.9/42.5)</f>
        <v>4.6424269566580465</v>
      </c>
      <c r="G472" s="1">
        <v>0.19096966720724123</v>
      </c>
      <c r="H472" s="1">
        <v>1.1402417437716161</v>
      </c>
      <c r="I472" s="1">
        <v>3.8363530428957984</v>
      </c>
      <c r="J472" s="1">
        <v>1.070317839160068E-2</v>
      </c>
      <c r="K472" s="1">
        <v>1.7074001271730996</v>
      </c>
      <c r="L472" s="1">
        <v>2.1786639727391206</v>
      </c>
      <c r="M472" s="1">
        <v>4.884957783377207E-2</v>
      </c>
      <c r="N472" s="1">
        <v>0.48832050508482538</v>
      </c>
      <c r="O472" s="1">
        <v>9.1516190476190459E-2</v>
      </c>
      <c r="P472" s="1">
        <v>7.7600677558392353E-2</v>
      </c>
      <c r="Q472" s="1">
        <v>0.30520266448645889</v>
      </c>
      <c r="R472" s="2">
        <f t="shared" si="31"/>
        <v>15.410567293496056</v>
      </c>
      <c r="S472" s="2">
        <f t="shared" si="30"/>
        <v>1.7957039831230928</v>
      </c>
      <c r="T472" s="2">
        <f t="shared" si="32"/>
        <v>2.8073502461339084</v>
      </c>
      <c r="U472" s="2">
        <f t="shared" si="33"/>
        <v>20.013621522753056</v>
      </c>
    </row>
    <row r="473" spans="1:21" x14ac:dyDescent="0.25">
      <c r="A473">
        <v>2287757</v>
      </c>
      <c r="B473">
        <v>5</v>
      </c>
      <c r="C473" s="1">
        <f>0.61089997321305*(10.3/7.3)</f>
        <v>0.86195475672526289</v>
      </c>
      <c r="D473" s="1">
        <f>0.721208115979911*(10.3/7.3)</f>
        <v>1.017595012957957</v>
      </c>
      <c r="E473" s="1">
        <f>2.55529621996705*(10.3/7.3)</f>
        <v>3.6054179542000879</v>
      </c>
      <c r="F473" s="1">
        <f>5.19260581831387*(38.9/42.5)</f>
        <v>4.7527615607625755</v>
      </c>
      <c r="G473" s="1">
        <v>0.1924012882777249</v>
      </c>
      <c r="H473" s="1">
        <v>1.1533085883238965</v>
      </c>
      <c r="I473" s="1">
        <v>3.9560698016811502</v>
      </c>
      <c r="J473" s="1">
        <v>1.0624982208074797E-2</v>
      </c>
      <c r="K473" s="1">
        <v>1.6404858886586315</v>
      </c>
      <c r="L473" s="1">
        <v>2.2117944739713922</v>
      </c>
      <c r="M473" s="1">
        <v>5.0677918483435079E-2</v>
      </c>
      <c r="N473" s="1">
        <v>0.48487284540382447</v>
      </c>
      <c r="O473" s="1">
        <v>9.1072E-2</v>
      </c>
      <c r="P473" s="1">
        <v>7.523806813832544E-2</v>
      </c>
      <c r="Q473" s="1">
        <v>0.30749064336622733</v>
      </c>
      <c r="R473" s="2">
        <f t="shared" si="31"/>
        <v>15.846999606294885</v>
      </c>
      <c r="S473" s="2">
        <f t="shared" si="30"/>
        <v>1.7263489390050317</v>
      </c>
      <c r="T473" s="2">
        <f t="shared" si="32"/>
        <v>2.8384172378586516</v>
      </c>
      <c r="U473" s="2">
        <f t="shared" si="33"/>
        <v>20.411765783158565</v>
      </c>
    </row>
    <row r="474" spans="1:21" x14ac:dyDescent="0.25">
      <c r="A474">
        <v>2287773</v>
      </c>
      <c r="B474">
        <v>12</v>
      </c>
      <c r="C474" s="1">
        <f>1.16324441263516*(10.3/7.3)</f>
        <v>1.6412900616633139</v>
      </c>
      <c r="D474" s="1">
        <f>1.20322521162911*(10.3/7.3)</f>
        <v>1.6977013259972398</v>
      </c>
      <c r="E474" s="1">
        <f>4.29145160423924*(10.3/7.3)</f>
        <v>6.0550618525567366</v>
      </c>
      <c r="F474" s="1">
        <f>8.73939579533299*(38.9/42.5)</f>
        <v>7.9991175632577258</v>
      </c>
      <c r="G474" s="1">
        <v>0.31426688231399519</v>
      </c>
      <c r="H474" s="1">
        <v>2.6386180402464787</v>
      </c>
      <c r="I474" s="1">
        <v>6.9859605455640832</v>
      </c>
      <c r="J474" s="1">
        <v>1.3369627838368878E-2</v>
      </c>
      <c r="K474" s="1">
        <v>2.0022356702103417</v>
      </c>
      <c r="L474" s="1">
        <v>4.4461242443933076</v>
      </c>
      <c r="M474" s="1">
        <v>6.3439813672704029E-2</v>
      </c>
      <c r="N474" s="1">
        <v>0.62237952998433776</v>
      </c>
      <c r="O474" s="1">
        <v>0.11116444444444444</v>
      </c>
      <c r="P474" s="1">
        <v>9.2453796326946128E-2</v>
      </c>
      <c r="Q474" s="1">
        <v>0.50225300826437635</v>
      </c>
      <c r="R474" s="2">
        <f t="shared" si="31"/>
        <v>27.834269279863946</v>
      </c>
      <c r="S474" s="2">
        <f t="shared" si="30"/>
        <v>2.1080590943756565</v>
      </c>
      <c r="T474" s="2">
        <f t="shared" si="32"/>
        <v>5.2431080324947938</v>
      </c>
      <c r="U474" s="2">
        <f t="shared" si="33"/>
        <v>35.185436406734397</v>
      </c>
    </row>
    <row r="475" spans="1:21" x14ac:dyDescent="0.25">
      <c r="A475">
        <v>2287813</v>
      </c>
      <c r="B475">
        <v>53</v>
      </c>
      <c r="C475" s="1">
        <f>2.51221429874784*(10.3/7.3)</f>
        <v>3.5446311338496872</v>
      </c>
      <c r="D475" s="1">
        <f>2.59586837466407*(10.3/7.3)</f>
        <v>3.6626635971287511</v>
      </c>
      <c r="E475" s="1">
        <f>9.26437312960242*(10.3/7.3)</f>
        <v>13.071649758206153</v>
      </c>
      <c r="F475" s="1">
        <f>18.595398705858*(38.9/42.5)</f>
        <v>17.020259050773543</v>
      </c>
      <c r="G475" s="1">
        <v>0.65548706359105058</v>
      </c>
      <c r="H475" s="1">
        <v>4.0998341837323293</v>
      </c>
      <c r="I475" s="1">
        <v>14.843468688957394</v>
      </c>
      <c r="J475" s="1">
        <v>2.6304500755927419E-2</v>
      </c>
      <c r="K475" s="1">
        <v>3.0534621510858719</v>
      </c>
      <c r="L475" s="1">
        <v>4.7135272550031777</v>
      </c>
      <c r="M475" s="1">
        <v>0.10892120472692429</v>
      </c>
      <c r="N475" s="1">
        <v>1.1393592456113291</v>
      </c>
      <c r="O475" s="1">
        <v>0.21888704402515718</v>
      </c>
      <c r="P475" s="1">
        <v>0.13853564606863597</v>
      </c>
      <c r="Q475" s="1">
        <v>1.0475820650998533</v>
      </c>
      <c r="R475" s="2">
        <f t="shared" si="31"/>
        <v>57.945575541338755</v>
      </c>
      <c r="S475" s="2">
        <f t="shared" si="30"/>
        <v>3.2183022979104354</v>
      </c>
      <c r="T475" s="2">
        <f t="shared" si="32"/>
        <v>6.1806947493665882</v>
      </c>
      <c r="U475" s="2">
        <f t="shared" si="33"/>
        <v>67.344572588615776</v>
      </c>
    </row>
    <row r="476" spans="1:21" x14ac:dyDescent="0.25">
      <c r="A476">
        <v>2287821</v>
      </c>
      <c r="B476">
        <v>58</v>
      </c>
      <c r="C476" s="1">
        <f>2.77035299744045*(10.3/7.3)</f>
        <v>3.9088542292652968</v>
      </c>
      <c r="D476" s="1">
        <f>2.92826125337096*(10.3/7.3)</f>
        <v>4.1316562890028585</v>
      </c>
      <c r="E476" s="1">
        <f>10.4361263740574*(10.3/7.3)</f>
        <v>14.724945431889171</v>
      </c>
      <c r="F476" s="1">
        <f>21.0409029550556*(38.9/42.5)</f>
        <v>19.258614704744978</v>
      </c>
      <c r="G476" s="1">
        <v>0.75081854889943778</v>
      </c>
      <c r="H476" s="1">
        <v>3.3172248417244732</v>
      </c>
      <c r="I476" s="1">
        <v>16.662454590859564</v>
      </c>
      <c r="J476" s="1">
        <v>2.8311533372386601E-2</v>
      </c>
      <c r="K476" s="1">
        <v>3.2224677505574575</v>
      </c>
      <c r="L476" s="1">
        <v>4.9381640037912105</v>
      </c>
      <c r="M476" s="1">
        <v>0.11716240725666953</v>
      </c>
      <c r="N476" s="1">
        <v>1.5322863418310717</v>
      </c>
      <c r="O476" s="1">
        <v>0.23928919540229887</v>
      </c>
      <c r="P476" s="1">
        <v>0.14553584817317394</v>
      </c>
      <c r="Q476" s="1">
        <v>1.1999383201589204</v>
      </c>
      <c r="R476" s="2">
        <f t="shared" si="31"/>
        <v>63.954506956544705</v>
      </c>
      <c r="S476" s="2">
        <f t="shared" si="30"/>
        <v>3.3963151321030183</v>
      </c>
      <c r="T476" s="2">
        <f t="shared" si="32"/>
        <v>6.8269019482812512</v>
      </c>
      <c r="U476" s="2">
        <f t="shared" si="33"/>
        <v>74.177724036928964</v>
      </c>
    </row>
    <row r="477" spans="1:21" x14ac:dyDescent="0.25">
      <c r="A477">
        <v>2287829</v>
      </c>
      <c r="B477">
        <v>59</v>
      </c>
      <c r="C477" s="1">
        <f>2.53273759920576*(10.3/7.3)</f>
        <v>3.5735886673725044</v>
      </c>
      <c r="D477" s="1">
        <f>2.71851695777746*(10.3/7.3)</f>
        <v>3.8357157075490158</v>
      </c>
      <c r="E477" s="1">
        <f>9.68087430074196*(10.3/7.3)</f>
        <v>13.659315794197564</v>
      </c>
      <c r="F477" s="1">
        <f>19.5145541763101*(38.9/42.5)</f>
        <v>17.861556646081475</v>
      </c>
      <c r="G477" s="1">
        <v>0.69899926251818667</v>
      </c>
      <c r="H477" s="1">
        <v>3.1150512517106215</v>
      </c>
      <c r="I477" s="1">
        <v>15.365382236380256</v>
      </c>
      <c r="J477" s="1">
        <v>2.9240564359361537E-2</v>
      </c>
      <c r="K477" s="1">
        <v>3.2623403391037407</v>
      </c>
      <c r="L477" s="1">
        <v>4.9387550662408239</v>
      </c>
      <c r="M477" s="1">
        <v>0.12516638370694722</v>
      </c>
      <c r="N477" s="1">
        <v>1.2258577372229778</v>
      </c>
      <c r="O477" s="1">
        <v>0.24766734463276832</v>
      </c>
      <c r="P477" s="1">
        <v>0.14807155301048422</v>
      </c>
      <c r="Q477" s="1">
        <v>1.1171221090473313</v>
      </c>
      <c r="R477" s="2">
        <f t="shared" si="31"/>
        <v>59.22673167485695</v>
      </c>
      <c r="S477" s="2">
        <f t="shared" si="30"/>
        <v>3.4396524564735866</v>
      </c>
      <c r="T477" s="2">
        <f t="shared" si="32"/>
        <v>6.5374465318035178</v>
      </c>
      <c r="U477" s="2">
        <f t="shared" si="33"/>
        <v>69.203830663134056</v>
      </c>
    </row>
    <row r="478" spans="1:21" x14ac:dyDescent="0.25">
      <c r="A478">
        <v>2287837</v>
      </c>
      <c r="B478">
        <v>52</v>
      </c>
      <c r="C478" s="1">
        <f>2.2180181367426*(10.3/7.3)</f>
        <v>3.1295324395135378</v>
      </c>
      <c r="D478" s="1">
        <f>2.40049389335106*(10.3/7.3)</f>
        <v>3.3869982330843742</v>
      </c>
      <c r="E478" s="1">
        <f>8.54450003868298*(10.3/7.3)</f>
        <v>12.055938410744481</v>
      </c>
      <c r="F478" s="1">
        <f>17.2336243084131*(38.9/42.5)</f>
        <v>15.773834955229887</v>
      </c>
      <c r="G478" s="1">
        <v>0.61909593654473671</v>
      </c>
      <c r="H478" s="1">
        <v>3.2678545192673312</v>
      </c>
      <c r="I478" s="1">
        <v>13.529095508265929</v>
      </c>
      <c r="J478" s="1">
        <v>2.6303783291141178E-2</v>
      </c>
      <c r="K478" s="1">
        <v>3.0148430842527536</v>
      </c>
      <c r="L478" s="1">
        <v>4.3585988533911282</v>
      </c>
      <c r="M478" s="1">
        <v>0.11693199076644716</v>
      </c>
      <c r="N478" s="1">
        <v>1.1026089268279962</v>
      </c>
      <c r="O478" s="1">
        <v>0.22131692307692313</v>
      </c>
      <c r="P478" s="1">
        <v>0.13871185321463295</v>
      </c>
      <c r="Q478" s="1">
        <v>0.98942272963770839</v>
      </c>
      <c r="R478" s="2">
        <f t="shared" si="31"/>
        <v>52.751772732287989</v>
      </c>
      <c r="S478" s="2">
        <f t="shared" si="30"/>
        <v>3.1798587207585278</v>
      </c>
      <c r="T478" s="2">
        <f t="shared" si="32"/>
        <v>5.7994566940624939</v>
      </c>
      <c r="U478" s="2">
        <f t="shared" si="33"/>
        <v>61.731088147109013</v>
      </c>
    </row>
    <row r="479" spans="1:21" x14ac:dyDescent="0.25">
      <c r="A479">
        <v>2288245</v>
      </c>
      <c r="B479">
        <v>20</v>
      </c>
      <c r="C479" s="1">
        <f>8.63277576568409*(10.3/7.3)</f>
        <v>12.180491833773445</v>
      </c>
      <c r="D479" s="1">
        <f>9.69796890578252*(10.3/7.3)</f>
        <v>13.683435579391773</v>
      </c>
      <c r="E479" s="1">
        <f>34.703627908211*(10.3/7.3)</f>
        <v>48.965392801996373</v>
      </c>
      <c r="F479" s="1">
        <f>57.4069241892583*(38.9/42.5)</f>
        <v>52.544220022638761</v>
      </c>
      <c r="G479" s="1">
        <v>1.4812442143234943</v>
      </c>
      <c r="H479" s="1">
        <v>3.6474467410979252</v>
      </c>
      <c r="I479" s="1">
        <v>42.909119034198248</v>
      </c>
      <c r="J479" s="1">
        <v>4.6189818819576275E-2</v>
      </c>
      <c r="K479" s="1">
        <v>2.8356175957422423</v>
      </c>
      <c r="L479" s="1">
        <v>2.7728565390079813</v>
      </c>
      <c r="M479" s="1">
        <v>0.23137042733159011</v>
      </c>
      <c r="N479" s="1">
        <v>2.9559355216029193</v>
      </c>
      <c r="O479" s="1">
        <v>0.14013066666666668</v>
      </c>
      <c r="P479" s="1">
        <v>0.11027565408233894</v>
      </c>
      <c r="Q479" s="1">
        <v>2.3672852740329837</v>
      </c>
      <c r="R479" s="2">
        <f t="shared" si="31"/>
        <v>177.77863550145298</v>
      </c>
      <c r="S479" s="2">
        <f t="shared" si="30"/>
        <v>2.9920830686441575</v>
      </c>
      <c r="T479" s="2">
        <f t="shared" si="32"/>
        <v>6.1002931546091572</v>
      </c>
      <c r="U479" s="2">
        <f t="shared" si="33"/>
        <v>186.87101172470628</v>
      </c>
    </row>
    <row r="480" spans="1:21" x14ac:dyDescent="0.25">
      <c r="A480">
        <v>2288277</v>
      </c>
      <c r="B480">
        <v>2</v>
      </c>
      <c r="C480" s="1">
        <f>10.1863129579631*(10.3/7.3)</f>
        <v>14.372468968084888</v>
      </c>
      <c r="D480" s="1">
        <f>11.4269216922934*(10.3/7.3)</f>
        <v>16.122916908304333</v>
      </c>
      <c r="E480" s="1">
        <f>40.9521545066549*(10.3/7.3)</f>
        <v>57.781807043636427</v>
      </c>
      <c r="F480" s="1">
        <f>64.802881355376*(38.9/42.5)</f>
        <v>59.313696111155927</v>
      </c>
      <c r="G480" s="1">
        <v>1.4999832757765972</v>
      </c>
      <c r="H480" s="1">
        <v>5.7188439203746544</v>
      </c>
      <c r="I480" s="1">
        <v>48.02882050148024</v>
      </c>
      <c r="J480" s="1">
        <v>4.0845079366984026E-2</v>
      </c>
      <c r="K480" s="1">
        <v>2.6368839780554194</v>
      </c>
      <c r="L480" s="1">
        <v>2.4903542999636312</v>
      </c>
      <c r="M480" s="1">
        <v>0.1764806134128401</v>
      </c>
      <c r="N480" s="1">
        <v>1.9107737389202644</v>
      </c>
      <c r="O480" s="1">
        <v>0.12466666666666668</v>
      </c>
      <c r="P480" s="1">
        <v>0.10136332665486641</v>
      </c>
      <c r="Q480" s="1">
        <v>2.3972335457616873</v>
      </c>
      <c r="R480" s="2">
        <f t="shared" si="31"/>
        <v>205.23577027457478</v>
      </c>
      <c r="S480" s="2">
        <f t="shared" si="30"/>
        <v>2.7790923840772699</v>
      </c>
      <c r="T480" s="2">
        <f t="shared" si="32"/>
        <v>4.7022753189634017</v>
      </c>
      <c r="U480" s="2">
        <f t="shared" si="33"/>
        <v>212.71713797761544</v>
      </c>
    </row>
    <row r="481" spans="1:21" x14ac:dyDescent="0.25">
      <c r="A481">
        <v>2288285</v>
      </c>
      <c r="B481">
        <v>52</v>
      </c>
      <c r="C481" s="1">
        <f>7.33959886370294*(10.3/7.3)</f>
        <v>10.35587236933428</v>
      </c>
      <c r="D481" s="1">
        <f>8.40991752101919*(10.3/7.3)</f>
        <v>11.866048009109274</v>
      </c>
      <c r="E481" s="1">
        <f>30.1104811435088*(10.3/7.3)</f>
        <v>42.484651476457671</v>
      </c>
      <c r="F481" s="1">
        <f>47.5280328871942*(38.9/42.5)</f>
        <v>43.502128924984845</v>
      </c>
      <c r="G481" s="1">
        <v>1.1042527094759513</v>
      </c>
      <c r="H481" s="1">
        <v>2.385887730453832</v>
      </c>
      <c r="I481" s="1">
        <v>34.852812129433318</v>
      </c>
      <c r="J481" s="1">
        <v>2.9845879227551463E-2</v>
      </c>
      <c r="K481" s="1">
        <v>2.1970673241269525</v>
      </c>
      <c r="L481" s="1">
        <v>1.9955911259054919</v>
      </c>
      <c r="M481" s="1">
        <v>0.13648293092403035</v>
      </c>
      <c r="N481" s="1">
        <v>1.5205270303294225</v>
      </c>
      <c r="O481" s="1">
        <v>0.10232307692307695</v>
      </c>
      <c r="P481" s="1">
        <v>8.7593962971612788E-2</v>
      </c>
      <c r="Q481" s="1">
        <v>1.7647874352355402</v>
      </c>
      <c r="R481" s="2">
        <f t="shared" si="31"/>
        <v>148.31644078448474</v>
      </c>
      <c r="S481" s="2">
        <f t="shared" si="30"/>
        <v>2.3145071663261167</v>
      </c>
      <c r="T481" s="2">
        <f t="shared" si="32"/>
        <v>3.7549241640820217</v>
      </c>
      <c r="U481" s="2">
        <f t="shared" si="33"/>
        <v>154.38587211489286</v>
      </c>
    </row>
    <row r="482" spans="1:21" x14ac:dyDescent="0.25">
      <c r="A482">
        <v>2288293</v>
      </c>
      <c r="B482">
        <v>31</v>
      </c>
      <c r="C482" s="1">
        <f>7.92793417300302*(10.3/7.3)</f>
        <v>11.185989312593296</v>
      </c>
      <c r="D482" s="1">
        <f>9.38123545599512*(10.3/7.3)</f>
        <v>13.23653769818489</v>
      </c>
      <c r="E482" s="1">
        <f>33.5679280387474*(10.3/7.3)</f>
        <v>47.362966958780589</v>
      </c>
      <c r="F482" s="1">
        <f>51.3871996117371*(38.9/42.5)</f>
        <v>47.034401526978179</v>
      </c>
      <c r="G482" s="1">
        <v>1.1155835744191271</v>
      </c>
      <c r="H482" s="1">
        <v>2.2304005988122926</v>
      </c>
      <c r="I482" s="1">
        <v>36.836138233131869</v>
      </c>
      <c r="J482" s="1">
        <v>2.8565521448675173E-2</v>
      </c>
      <c r="K482" s="1">
        <v>2.1683770194466758</v>
      </c>
      <c r="L482" s="1">
        <v>1.9626227956223465</v>
      </c>
      <c r="M482" s="1">
        <v>0.12998567271260497</v>
      </c>
      <c r="N482" s="1">
        <v>1.557386877846022</v>
      </c>
      <c r="O482" s="1">
        <v>0.10055053763440858</v>
      </c>
      <c r="P482" s="1">
        <v>8.5865392078690164E-2</v>
      </c>
      <c r="Q482" s="1">
        <v>1.7828961235008902</v>
      </c>
      <c r="R482" s="2">
        <f t="shared" si="31"/>
        <v>160.78491402640114</v>
      </c>
      <c r="S482" s="2">
        <f t="shared" si="30"/>
        <v>2.2828079329740412</v>
      </c>
      <c r="T482" s="2">
        <f t="shared" si="32"/>
        <v>3.750545883815382</v>
      </c>
      <c r="U482" s="2">
        <f t="shared" si="33"/>
        <v>166.81826784319057</v>
      </c>
    </row>
    <row r="483" spans="1:21" x14ac:dyDescent="0.25">
      <c r="A483">
        <v>2288301</v>
      </c>
      <c r="B483">
        <v>5</v>
      </c>
      <c r="C483" s="1">
        <f>11.6444592625223*(10.3/7.3)</f>
        <v>16.429853479997249</v>
      </c>
      <c r="D483" s="1">
        <f>14.8652468219277*(10.3/7.3)</f>
        <v>20.974252365185723</v>
      </c>
      <c r="E483" s="1">
        <f>53.1023828093787*(10.3/7.3)</f>
        <v>74.925279854328906</v>
      </c>
      <c r="F483" s="1">
        <f>76.4758411972386*(38.9/42.5)</f>
        <v>69.997887589943133</v>
      </c>
      <c r="G483" s="1">
        <v>1.426808125985493</v>
      </c>
      <c r="H483" s="1">
        <v>5.0151154027132794</v>
      </c>
      <c r="I483" s="1">
        <v>51.881142415708993</v>
      </c>
      <c r="J483" s="1">
        <v>2.908461583347759E-2</v>
      </c>
      <c r="K483" s="1">
        <v>2.2021390189030456</v>
      </c>
      <c r="L483" s="1">
        <v>1.9910168166278379</v>
      </c>
      <c r="M483" s="1">
        <v>0.13097249471644368</v>
      </c>
      <c r="N483" s="1">
        <v>1.5228404972232092</v>
      </c>
      <c r="O483" s="1">
        <v>0.10311466666666666</v>
      </c>
      <c r="P483" s="1">
        <v>8.6385262896977372E-2</v>
      </c>
      <c r="Q483" s="1">
        <v>2.2802869593375479</v>
      </c>
      <c r="R483" s="2">
        <f t="shared" si="31"/>
        <v>242.93062619320034</v>
      </c>
      <c r="S483" s="2">
        <f t="shared" si="30"/>
        <v>2.3176088976335008</v>
      </c>
      <c r="T483" s="2">
        <f t="shared" si="32"/>
        <v>3.7479444752341573</v>
      </c>
      <c r="U483" s="2">
        <f t="shared" si="33"/>
        <v>248.99617956606801</v>
      </c>
    </row>
    <row r="484" spans="1:21" x14ac:dyDescent="0.25">
      <c r="A484">
        <v>2288381</v>
      </c>
      <c r="B484">
        <v>22</v>
      </c>
      <c r="C484" s="1">
        <f>17.893440460557*(10.3/7.3)</f>
        <v>25.246909142977653</v>
      </c>
      <c r="D484" s="1">
        <f>24.3680335906787*(10.3/7.3)</f>
        <v>34.382293970409613</v>
      </c>
      <c r="E484" s="1">
        <f>86.8058508532051*(10.3/7.3)</f>
        <v>122.47948819013875</v>
      </c>
      <c r="F484" s="1">
        <f>125.11184463386*(38.9/42.5)</f>
        <v>114.51413544134466</v>
      </c>
      <c r="G484" s="1">
        <v>2.4274505002350297</v>
      </c>
      <c r="H484" s="1">
        <v>4.6439669365099228</v>
      </c>
      <c r="I484" s="1">
        <v>82.190031711908247</v>
      </c>
      <c r="J484" s="1">
        <v>3.4981357520304339E-2</v>
      </c>
      <c r="K484" s="1">
        <v>2.7792514955490257</v>
      </c>
      <c r="L484" s="1">
        <v>2.5656831165333021</v>
      </c>
      <c r="M484" s="1">
        <v>0.12422354157360666</v>
      </c>
      <c r="N484" s="1">
        <v>2.1888460883915943</v>
      </c>
      <c r="O484" s="1">
        <v>0.10912969696969696</v>
      </c>
      <c r="P484" s="1">
        <v>9.0245174684090046E-2</v>
      </c>
      <c r="Q484" s="1">
        <v>3.8794871008322431</v>
      </c>
      <c r="R484" s="2">
        <f t="shared" si="31"/>
        <v>389.76376299435611</v>
      </c>
      <c r="S484" s="2">
        <f t="shared" si="30"/>
        <v>2.9044780277534201</v>
      </c>
      <c r="T484" s="2">
        <f t="shared" si="32"/>
        <v>4.9878824434681999</v>
      </c>
      <c r="U484" s="2">
        <f t="shared" si="33"/>
        <v>397.65612346557776</v>
      </c>
    </row>
    <row r="485" spans="1:21" x14ac:dyDescent="0.25">
      <c r="A485">
        <v>2288389</v>
      </c>
      <c r="B485">
        <v>2</v>
      </c>
      <c r="C485" s="1">
        <f>14.6431982756408*(10.3/7.3)</f>
        <v>20.660950991657508</v>
      </c>
      <c r="D485" s="1">
        <f>19.2396424423814*(10.3/7.3)</f>
        <v>27.146344815962848</v>
      </c>
      <c r="E485" s="1">
        <f>68.6635254005531*(10.3/7.3)</f>
        <v>96.881412551465274</v>
      </c>
      <c r="F485" s="1">
        <f>97.839511849457*(38.9/42.5)</f>
        <v>89.551929669267722</v>
      </c>
      <c r="G485" s="1">
        <v>1.7880701924761797</v>
      </c>
      <c r="H485" s="1">
        <v>4.397043578132406</v>
      </c>
      <c r="I485" s="1">
        <v>65.17697717078255</v>
      </c>
      <c r="J485" s="1">
        <v>2.9112620978275237E-2</v>
      </c>
      <c r="K485" s="1">
        <v>2.4407852410560054</v>
      </c>
      <c r="L485" s="1">
        <v>2.1524069620292567</v>
      </c>
      <c r="M485" s="1">
        <v>0.10504034358727016</v>
      </c>
      <c r="N485" s="1">
        <v>2.7780615881274251</v>
      </c>
      <c r="O485" s="1">
        <v>9.9066666666666664E-2</v>
      </c>
      <c r="P485" s="1">
        <v>8.1983686813560663E-2</v>
      </c>
      <c r="Q485" s="1">
        <v>2.8576464263317969</v>
      </c>
      <c r="R485" s="2">
        <f t="shared" si="31"/>
        <v>308.46037539607624</v>
      </c>
      <c r="S485" s="2">
        <f t="shared" si="30"/>
        <v>2.5518815488478412</v>
      </c>
      <c r="T485" s="2">
        <f t="shared" si="32"/>
        <v>5.1345755604106182</v>
      </c>
      <c r="U485" s="2">
        <f t="shared" si="33"/>
        <v>316.14683250533471</v>
      </c>
    </row>
    <row r="486" spans="1:21" x14ac:dyDescent="0.25">
      <c r="A486">
        <v>2299673</v>
      </c>
      <c r="B486">
        <v>2</v>
      </c>
      <c r="C486" s="1">
        <f>0.249012037588212*(10.3/7.3)</f>
        <v>0.35134575166555898</v>
      </c>
      <c r="D486" s="1">
        <f>0.328061941987257*(10.3/7.3)</f>
        <v>0.462881918146404</v>
      </c>
      <c r="E486" s="1">
        <f>1.15478142527868*(10.3/7.3)</f>
        <v>1.6293491342973228</v>
      </c>
      <c r="F486" s="1">
        <f>2.4382588196025*(38.9/42.5)</f>
        <v>2.2317239548832273</v>
      </c>
      <c r="G486" s="1">
        <v>9.673711884407582E-2</v>
      </c>
      <c r="H486" s="1">
        <v>0.5398051207073169</v>
      </c>
      <c r="I486" s="1">
        <v>1.804823945921932</v>
      </c>
      <c r="J486" s="1">
        <v>8.0794842741194958E-3</v>
      </c>
      <c r="K486" s="1">
        <v>1.0330495587004493</v>
      </c>
      <c r="L486" s="1">
        <v>0.96826826926037257</v>
      </c>
      <c r="M486" s="1">
        <v>4.2924210952224137E-2</v>
      </c>
      <c r="N486" s="1">
        <v>0.28246256144016313</v>
      </c>
      <c r="O486" s="1">
        <v>7.7146666666666669E-2</v>
      </c>
      <c r="P486" s="1">
        <v>5.3841327787298013E-2</v>
      </c>
      <c r="Q486" s="1">
        <v>0.1546027013489798</v>
      </c>
      <c r="R486" s="2">
        <f t="shared" si="31"/>
        <v>7.2712696458148169</v>
      </c>
      <c r="S486" s="2">
        <f t="shared" si="30"/>
        <v>1.0949703707618668</v>
      </c>
      <c r="T486" s="2">
        <f t="shared" si="32"/>
        <v>1.3708017083194264</v>
      </c>
      <c r="U486" s="2">
        <f t="shared" si="33"/>
        <v>9.7370417248961108</v>
      </c>
    </row>
    <row r="487" spans="1:21" x14ac:dyDescent="0.25">
      <c r="A487">
        <v>2299681</v>
      </c>
      <c r="B487">
        <v>2</v>
      </c>
      <c r="C487" s="1">
        <f>0.463014225361958*(10.3/7.3)</f>
        <v>0.65329404400385849</v>
      </c>
      <c r="D487" s="1">
        <f>0.624390695802504*(10.3/7.3)</f>
        <v>0.88098961188572522</v>
      </c>
      <c r="E487" s="1">
        <f>2.19421319132875*(10.3/7.3)</f>
        <v>3.095944639820019</v>
      </c>
      <c r="F487" s="1">
        <f>4.70759666419176*(38.9/42.5)</f>
        <v>4.3088355349896332</v>
      </c>
      <c r="G487" s="1">
        <v>0.19087770011491889</v>
      </c>
      <c r="H487" s="1">
        <v>1.9370169437204372</v>
      </c>
      <c r="I487" s="1">
        <v>3.4714429469260106</v>
      </c>
      <c r="J487" s="1">
        <v>1.5653178660378568E-2</v>
      </c>
      <c r="K487" s="1">
        <v>1.3619176072518042</v>
      </c>
      <c r="L487" s="1">
        <v>1.365317127788652</v>
      </c>
      <c r="M487" s="1">
        <v>5.5833653834796687E-2</v>
      </c>
      <c r="N487" s="1">
        <v>0.39815901585718494</v>
      </c>
      <c r="O487" s="1">
        <v>0.11890666666666666</v>
      </c>
      <c r="P487" s="1">
        <v>6.9498113710797949E-2</v>
      </c>
      <c r="Q487" s="1">
        <v>0.30505568511516751</v>
      </c>
      <c r="R487" s="2">
        <f t="shared" si="31"/>
        <v>14.843457106575771</v>
      </c>
      <c r="S487" s="2">
        <f t="shared" si="30"/>
        <v>1.4470688996229808</v>
      </c>
      <c r="T487" s="2">
        <f t="shared" si="32"/>
        <v>1.9382164641473003</v>
      </c>
      <c r="U487" s="2">
        <f t="shared" si="33"/>
        <v>18.228742470346052</v>
      </c>
    </row>
    <row r="488" spans="1:21" x14ac:dyDescent="0.25">
      <c r="A488">
        <v>2299769</v>
      </c>
      <c r="B488">
        <v>1</v>
      </c>
      <c r="C488" s="1">
        <f>0.675502904270005*(10.3/7.3)</f>
        <v>0.95310683753165071</v>
      </c>
      <c r="D488" s="1">
        <f>0.816043711003633*(10.3/7.3)</f>
        <v>1.1514041401832089</v>
      </c>
      <c r="E488" s="1">
        <f>2.87535909181602*(10.3/7.3)</f>
        <v>4.0570135131102765</v>
      </c>
      <c r="F488" s="1">
        <f>6.49012540470418*(38.9/42.5)</f>
        <v>5.9403736057174754</v>
      </c>
      <c r="G488" s="1">
        <v>0.27199267554318129</v>
      </c>
      <c r="H488" s="1">
        <v>5.4551556691268361</v>
      </c>
      <c r="I488" s="1">
        <v>4.9964969894098878</v>
      </c>
      <c r="J488" s="1">
        <v>1.0972924916166703E-2</v>
      </c>
      <c r="K488" s="1">
        <v>1.9702166738136182</v>
      </c>
      <c r="L488" s="1">
        <v>1.6537474975667024</v>
      </c>
      <c r="M488" s="1">
        <v>5.3176403731073664E-2</v>
      </c>
      <c r="N488" s="1">
        <v>0.52858823097898366</v>
      </c>
      <c r="O488" s="1">
        <v>9.3226666666666666E-2</v>
      </c>
      <c r="P488" s="1">
        <v>9.5604312016574558E-2</v>
      </c>
      <c r="Q488" s="1">
        <v>0.43469149059412576</v>
      </c>
      <c r="R488" s="2">
        <f t="shared" si="31"/>
        <v>23.260234921216643</v>
      </c>
      <c r="S488" s="2">
        <f t="shared" si="30"/>
        <v>2.0767939107463596</v>
      </c>
      <c r="T488" s="2">
        <f t="shared" si="32"/>
        <v>2.3287387989434265</v>
      </c>
      <c r="U488" s="2">
        <f t="shared" si="33"/>
        <v>27.66576763090643</v>
      </c>
    </row>
    <row r="489" spans="1:21" x14ac:dyDescent="0.25">
      <c r="A489">
        <v>2299777</v>
      </c>
      <c r="B489">
        <v>7</v>
      </c>
      <c r="C489" s="1">
        <f>0.60193271767793*(10.3/7.3)</f>
        <v>0.84930232768255853</v>
      </c>
      <c r="D489" s="1">
        <f>0.986872283861509*(10.3/7.3)</f>
        <v>1.3924362361333629</v>
      </c>
      <c r="E489" s="1">
        <f>3.35351748310674*(10.3/7.3)</f>
        <v>4.731675352876632</v>
      </c>
      <c r="F489" s="1">
        <f>11.6844100213517*(38.9/42.5)</f>
        <v>10.694671760719562</v>
      </c>
      <c r="G489" s="1">
        <v>0.67847189575899558</v>
      </c>
      <c r="H489" s="1">
        <v>5.509860784035391</v>
      </c>
      <c r="I489" s="1">
        <v>9.0313952060058735</v>
      </c>
      <c r="J489" s="1">
        <v>1.1018993985530788E-2</v>
      </c>
      <c r="K489" s="1">
        <v>1.9299916028499402</v>
      </c>
      <c r="L489" s="1">
        <v>1.6000922266612929</v>
      </c>
      <c r="M489" s="1">
        <v>5.0638241912419779E-2</v>
      </c>
      <c r="N489" s="1">
        <v>0.51257325704371004</v>
      </c>
      <c r="O489" s="1">
        <v>9.0072380952380973E-2</v>
      </c>
      <c r="P489" s="1">
        <v>8.986262435500024E-2</v>
      </c>
      <c r="Q489" s="1">
        <v>1.0843158151399483</v>
      </c>
      <c r="R489" s="2">
        <f t="shared" si="31"/>
        <v>33.972129378352321</v>
      </c>
      <c r="S489" s="2">
        <f t="shared" si="30"/>
        <v>2.030873221190471</v>
      </c>
      <c r="T489" s="2">
        <f t="shared" si="32"/>
        <v>2.2533761065698039</v>
      </c>
      <c r="U489" s="2">
        <f t="shared" si="33"/>
        <v>38.256378706112592</v>
      </c>
    </row>
    <row r="490" spans="1:21" x14ac:dyDescent="0.25">
      <c r="A490">
        <v>2299785</v>
      </c>
      <c r="B490">
        <v>9</v>
      </c>
      <c r="C490" s="1">
        <f>0.487133006993716*(10.3/7.3)</f>
        <v>0.68732465370346196</v>
      </c>
      <c r="D490" s="1">
        <f>0.670070300426181*(10.3/7.3)</f>
        <v>0.94544165676570791</v>
      </c>
      <c r="E490" s="1">
        <f>2.34247589126213*(10.3/7.3)</f>
        <v>3.3051372164383421</v>
      </c>
      <c r="F490" s="1">
        <f>5.54825221661875*(38.9/42.5)</f>
        <v>5.0782826170933948</v>
      </c>
      <c r="G490" s="1">
        <v>0.24839971017390861</v>
      </c>
      <c r="H490" s="1">
        <v>2.3092596576369431</v>
      </c>
      <c r="I490" s="1">
        <v>4.1518530864442846</v>
      </c>
      <c r="J490" s="1">
        <v>1.279467372926579E-2</v>
      </c>
      <c r="K490" s="1">
        <v>1.9178290044750139</v>
      </c>
      <c r="L490" s="1">
        <v>1.5437796953381739</v>
      </c>
      <c r="M490" s="1">
        <v>4.9245228173960015E-2</v>
      </c>
      <c r="N490" s="1">
        <v>0.39733156690146409</v>
      </c>
      <c r="O490" s="1">
        <v>8.5736296296296283E-2</v>
      </c>
      <c r="P490" s="1">
        <v>8.4676108055126917E-2</v>
      </c>
      <c r="Q490" s="1">
        <v>0.39698583817747995</v>
      </c>
      <c r="R490" s="2">
        <f t="shared" si="31"/>
        <v>17.12268443643352</v>
      </c>
      <c r="S490" s="2">
        <f t="shared" si="30"/>
        <v>2.0152997862594066</v>
      </c>
      <c r="T490" s="2">
        <f t="shared" si="32"/>
        <v>2.0760927867098942</v>
      </c>
      <c r="U490" s="2">
        <f t="shared" si="33"/>
        <v>21.214077009402821</v>
      </c>
    </row>
    <row r="491" spans="1:21" x14ac:dyDescent="0.25">
      <c r="A491">
        <v>2299793</v>
      </c>
      <c r="B491">
        <v>7</v>
      </c>
      <c r="C491" s="1">
        <f>0.368391471840983*(10.3/7.3)</f>
        <v>0.51978522739207134</v>
      </c>
      <c r="D491" s="1">
        <f>0.500550114376962*(10.3/7.3)</f>
        <v>0.70625564083324777</v>
      </c>
      <c r="E491" s="1">
        <f>1.75873882537247*(10.3/7.3)</f>
        <v>2.4815082056625255</v>
      </c>
      <c r="F491" s="1">
        <f>3.75930007434717*(38.9/42.5)</f>
        <v>3.4408652445201127</v>
      </c>
      <c r="G491" s="1">
        <v>0.15202160360875014</v>
      </c>
      <c r="H491" s="1">
        <v>2.6688418164510739</v>
      </c>
      <c r="I491" s="1">
        <v>2.7636077080897272</v>
      </c>
      <c r="J491" s="1">
        <v>9.2142988103892844E-3</v>
      </c>
      <c r="K491" s="1">
        <v>1.8278926779457845</v>
      </c>
      <c r="L491" s="1">
        <v>1.4150303916745945</v>
      </c>
      <c r="M491" s="1">
        <v>4.4654413617233421E-2</v>
      </c>
      <c r="N491" s="1">
        <v>0.36227285674851029</v>
      </c>
      <c r="O491" s="1">
        <v>7.8849523809523814E-2</v>
      </c>
      <c r="P491" s="1">
        <v>7.9455296577121817E-2</v>
      </c>
      <c r="Q491" s="1">
        <v>0.24295690074457812</v>
      </c>
      <c r="R491" s="2">
        <f t="shared" si="31"/>
        <v>12.975842347302088</v>
      </c>
      <c r="S491" s="2">
        <f t="shared" si="30"/>
        <v>1.9165622733332957</v>
      </c>
      <c r="T491" s="2">
        <f t="shared" si="32"/>
        <v>1.9008071858498621</v>
      </c>
      <c r="U491" s="2">
        <f t="shared" si="33"/>
        <v>16.793211806485246</v>
      </c>
    </row>
    <row r="492" spans="1:21" x14ac:dyDescent="0.25">
      <c r="A492">
        <v>2299937</v>
      </c>
      <c r="B492">
        <v>32</v>
      </c>
      <c r="C492" s="1">
        <f>0.468104892517147*(10.3/7.3)</f>
        <v>0.66047676615433104</v>
      </c>
      <c r="D492" s="1">
        <f>0.651640137973307*(10.3/7.3)</f>
        <v>0.91943745494863849</v>
      </c>
      <c r="E492" s="1">
        <f>2.29066390016213*(10.3/7.3)</f>
        <v>3.2320326262561512</v>
      </c>
      <c r="F492" s="1">
        <f>4.72740397984884*(38.9/42.5)</f>
        <v>4.3269650544969371</v>
      </c>
      <c r="G492" s="1">
        <v>0.18464453463372105</v>
      </c>
      <c r="H492" s="1">
        <v>1.2415391810543168</v>
      </c>
      <c r="I492" s="1">
        <v>3.4221263191086271</v>
      </c>
      <c r="J492" s="1">
        <v>1.0246276272743056E-2</v>
      </c>
      <c r="K492" s="1">
        <v>1.7904978103509674</v>
      </c>
      <c r="L492" s="1">
        <v>2.2316512731393279</v>
      </c>
      <c r="M492" s="1">
        <v>4.6496013766644334E-2</v>
      </c>
      <c r="N492" s="1">
        <v>0.43749776134496382</v>
      </c>
      <c r="O492" s="1">
        <v>8.5298333333333351E-2</v>
      </c>
      <c r="P492" s="1">
        <v>7.3877847622739676E-2</v>
      </c>
      <c r="Q492" s="1">
        <v>0.29509400512238548</v>
      </c>
      <c r="R492" s="2">
        <f t="shared" si="31"/>
        <v>14.282315941775108</v>
      </c>
      <c r="S492" s="2">
        <f t="shared" si="30"/>
        <v>1.8746219342464503</v>
      </c>
      <c r="T492" s="2">
        <f t="shared" si="32"/>
        <v>2.8009433815842693</v>
      </c>
      <c r="U492" s="2">
        <f t="shared" si="33"/>
        <v>18.957881257605827</v>
      </c>
    </row>
    <row r="493" spans="1:21" x14ac:dyDescent="0.25">
      <c r="A493">
        <v>2299945</v>
      </c>
      <c r="B493">
        <v>40</v>
      </c>
      <c r="C493" s="1">
        <f>0.474485029396731*(10.3/7.3)</f>
        <v>0.66947887709401843</v>
      </c>
      <c r="D493" s="1">
        <f>0.654011512532504*(10.3/7.3)</f>
        <v>0.92278336699791719</v>
      </c>
      <c r="E493" s="1">
        <f>2.29995202824716*(10.3/7.3)</f>
        <v>3.2451377932802394</v>
      </c>
      <c r="F493" s="1">
        <f>4.74551411594596*(38.9/42.5)</f>
        <v>4.343541155536415</v>
      </c>
      <c r="G493" s="1">
        <v>0.1849630664899414</v>
      </c>
      <c r="H493" s="1">
        <v>1.2408631649961814</v>
      </c>
      <c r="I493" s="1">
        <v>3.4456886619125364</v>
      </c>
      <c r="J493" s="1">
        <v>1.0362327895502984E-2</v>
      </c>
      <c r="K493" s="1">
        <v>1.7947578738624681</v>
      </c>
      <c r="L493" s="1">
        <v>2.2410676064406592</v>
      </c>
      <c r="M493" s="1">
        <v>4.6726768383590772E-2</v>
      </c>
      <c r="N493" s="1">
        <v>0.44794183422586126</v>
      </c>
      <c r="O493" s="1">
        <v>8.6479999999999987E-2</v>
      </c>
      <c r="P493" s="1">
        <v>7.5583928188652477E-2</v>
      </c>
      <c r="Q493" s="1">
        <v>0.29560307429899352</v>
      </c>
      <c r="R493" s="2">
        <f t="shared" si="31"/>
        <v>14.348059160606244</v>
      </c>
      <c r="S493" s="2">
        <f t="shared" si="30"/>
        <v>1.8807041299466236</v>
      </c>
      <c r="T493" s="2">
        <f t="shared" si="32"/>
        <v>2.8222162090501111</v>
      </c>
      <c r="U493" s="2">
        <f t="shared" si="33"/>
        <v>19.050979499602978</v>
      </c>
    </row>
    <row r="494" spans="1:21" x14ac:dyDescent="0.25">
      <c r="A494">
        <v>2300001</v>
      </c>
      <c r="B494">
        <v>11</v>
      </c>
      <c r="C494" s="1">
        <f>1.01140773075547*(10.3/7.3)</f>
        <v>1.4270547433947038</v>
      </c>
      <c r="D494" s="1">
        <f>1.07709421495767*(10.3/7.3)</f>
        <v>1.5197356731594573</v>
      </c>
      <c r="E494" s="1">
        <f>3.8320477273996*(10.3/7.3)</f>
        <v>5.4068618619473874</v>
      </c>
      <c r="F494" s="1">
        <f>7.98493560867772*(38.9/42.5)</f>
        <v>7.3085645924132558</v>
      </c>
      <c r="G494" s="1">
        <v>0.29797755944660725</v>
      </c>
      <c r="H494" s="1">
        <v>1.632760094698128</v>
      </c>
      <c r="I494" s="1">
        <v>6.3337735209912491</v>
      </c>
      <c r="J494" s="1">
        <v>1.2500478268765318E-2</v>
      </c>
      <c r="K494" s="1">
        <v>1.825585108668683</v>
      </c>
      <c r="L494" s="1">
        <v>4.5254479790030802</v>
      </c>
      <c r="M494" s="1">
        <v>5.9397553981147849E-2</v>
      </c>
      <c r="N494" s="1">
        <v>0.57572632814615088</v>
      </c>
      <c r="O494" s="1">
        <v>0.10466909090909091</v>
      </c>
      <c r="P494" s="1">
        <v>8.4311028832187107E-2</v>
      </c>
      <c r="Q494" s="1">
        <v>0.47621984386444133</v>
      </c>
      <c r="R494" s="2">
        <f t="shared" si="31"/>
        <v>24.402947889915232</v>
      </c>
      <c r="S494" s="2">
        <f t="shared" si="30"/>
        <v>1.9223966157696353</v>
      </c>
      <c r="T494" s="2">
        <f t="shared" si="32"/>
        <v>5.2652409520394698</v>
      </c>
      <c r="U494" s="2">
        <f t="shared" si="33"/>
        <v>31.590585457724337</v>
      </c>
    </row>
    <row r="495" spans="1:21" x14ac:dyDescent="0.25">
      <c r="A495">
        <v>2300041</v>
      </c>
      <c r="B495">
        <v>2</v>
      </c>
      <c r="C495" s="1">
        <f>1.77956779261697*(10.3/7.3)</f>
        <v>2.5108970224595613</v>
      </c>
      <c r="D495" s="1">
        <f>1.78808630480643*(10.3/7.3)</f>
        <v>2.5229162930830409</v>
      </c>
      <c r="E495" s="1">
        <f>6.39130568357335*(10.3/7.3)</f>
        <v>9.0178696631240456</v>
      </c>
      <c r="F495" s="1">
        <f>12.8270659577317*(38.9/42.5)</f>
        <v>11.740538017782628</v>
      </c>
      <c r="G495" s="1">
        <v>0.44854650102890303</v>
      </c>
      <c r="H495" s="1">
        <v>7.9190452524424355</v>
      </c>
      <c r="I495" s="1">
        <v>10.348938831705944</v>
      </c>
      <c r="J495" s="1">
        <v>2.0503160554879163E-2</v>
      </c>
      <c r="K495" s="1">
        <v>2.4508746750241235</v>
      </c>
      <c r="L495" s="1">
        <v>3.4890636049662671</v>
      </c>
      <c r="M495" s="1">
        <v>8.87288701056409E-2</v>
      </c>
      <c r="N495" s="1">
        <v>0.95942042585707477</v>
      </c>
      <c r="O495" s="1">
        <v>0.15560000000000002</v>
      </c>
      <c r="P495" s="1">
        <v>0.11441787567074285</v>
      </c>
      <c r="Q495" s="1">
        <v>0.71685513863066763</v>
      </c>
      <c r="R495" s="2">
        <f t="shared" si="31"/>
        <v>45.225606720257225</v>
      </c>
      <c r="S495" s="2">
        <f t="shared" si="30"/>
        <v>2.5857957112497458</v>
      </c>
      <c r="T495" s="2">
        <f t="shared" si="32"/>
        <v>4.692812900928983</v>
      </c>
      <c r="U495" s="2">
        <f t="shared" si="33"/>
        <v>52.504215332435955</v>
      </c>
    </row>
    <row r="496" spans="1:21" x14ac:dyDescent="0.25">
      <c r="A496">
        <v>2300049</v>
      </c>
      <c r="B496">
        <v>22</v>
      </c>
      <c r="C496" s="1">
        <f>2.55116764735506*(10.3/7.3)</f>
        <v>3.5995927079119339</v>
      </c>
      <c r="D496" s="1">
        <f>2.66228455709056*(10.3/7.3)</f>
        <v>3.7563741011003855</v>
      </c>
      <c r="E496" s="1">
        <f>9.49235130588549*(10.3/7.3)</f>
        <v>13.393317595975411</v>
      </c>
      <c r="F496" s="1">
        <f>19.2552096636829*(38.9/42.5)</f>
        <v>17.624180139229743</v>
      </c>
      <c r="G496" s="1">
        <v>0.69041368335296593</v>
      </c>
      <c r="H496" s="1">
        <v>3.2430448503205884</v>
      </c>
      <c r="I496" s="1">
        <v>15.333635891057156</v>
      </c>
      <c r="J496" s="1">
        <v>2.542373393006803E-2</v>
      </c>
      <c r="K496" s="1">
        <v>2.9335049821238268</v>
      </c>
      <c r="L496" s="1">
        <v>4.4350442982463836</v>
      </c>
      <c r="M496" s="1">
        <v>0.10765888522345252</v>
      </c>
      <c r="N496" s="1">
        <v>1.4512922602177492</v>
      </c>
      <c r="O496" s="1">
        <v>0.21015272727272724</v>
      </c>
      <c r="P496" s="1">
        <v>0.13347351366912227</v>
      </c>
      <c r="Q496" s="1">
        <v>1.1034008638061115</v>
      </c>
      <c r="R496" s="2">
        <f t="shared" si="31"/>
        <v>58.743959832754285</v>
      </c>
      <c r="S496" s="2">
        <f t="shared" si="30"/>
        <v>3.0924022297230174</v>
      </c>
      <c r="T496" s="2">
        <f t="shared" si="32"/>
        <v>6.2041481709603126</v>
      </c>
      <c r="U496" s="2">
        <f t="shared" si="33"/>
        <v>68.040510233437615</v>
      </c>
    </row>
    <row r="497" spans="1:21" x14ac:dyDescent="0.25">
      <c r="A497">
        <v>2300057</v>
      </c>
      <c r="B497">
        <v>69</v>
      </c>
      <c r="C497" s="1">
        <f>2.57799278420607*(10.3/7.3)</f>
        <v>3.6374418736058236</v>
      </c>
      <c r="D497" s="1">
        <f>2.74708574872682*(10.3/7.3)</f>
        <v>3.8760250975186703</v>
      </c>
      <c r="E497" s="1">
        <f>9.78550867102716*(10.3/7.3)</f>
        <v>13.80695059062737</v>
      </c>
      <c r="F497" s="1">
        <f>19.766703854006*(38.9/42.5)</f>
        <v>18.092347762843104</v>
      </c>
      <c r="G497" s="1">
        <v>0.70867220059284997</v>
      </c>
      <c r="H497" s="1">
        <v>2.8208922700829997</v>
      </c>
      <c r="I497" s="1">
        <v>15.610355415825298</v>
      </c>
      <c r="J497" s="1">
        <v>2.7306922544605625E-2</v>
      </c>
      <c r="K497" s="1">
        <v>3.1294654583648969</v>
      </c>
      <c r="L497" s="1">
        <v>4.7069636866044577</v>
      </c>
      <c r="M497" s="1">
        <v>0.11662172329746122</v>
      </c>
      <c r="N497" s="1">
        <v>1.1820008757986809</v>
      </c>
      <c r="O497" s="1">
        <v>0.22720772946859899</v>
      </c>
      <c r="P497" s="1">
        <v>0.14260979271586841</v>
      </c>
      <c r="Q497" s="1">
        <v>1.1325811424999894</v>
      </c>
      <c r="R497" s="2">
        <f t="shared" si="31"/>
        <v>59.685266353596106</v>
      </c>
      <c r="S497" s="2">
        <f t="shared" si="30"/>
        <v>3.2993821736253706</v>
      </c>
      <c r="T497" s="2">
        <f t="shared" si="32"/>
        <v>6.2327940151691994</v>
      </c>
      <c r="U497" s="2">
        <f t="shared" si="33"/>
        <v>69.217442542390671</v>
      </c>
    </row>
    <row r="498" spans="1:21" x14ac:dyDescent="0.25">
      <c r="A498">
        <v>2300065</v>
      </c>
      <c r="B498">
        <v>71</v>
      </c>
      <c r="C498" s="1">
        <f>2.38404573117675*(10.3/7.3)</f>
        <v>3.3637905522082918</v>
      </c>
      <c r="D498" s="1">
        <f>2.56890814896632*(10.3/7.3)</f>
        <v>3.6246238266237127</v>
      </c>
      <c r="E498" s="1">
        <f>9.14561126958147*(10.3/7.3)</f>
        <v>12.904081654340985</v>
      </c>
      <c r="F498" s="1">
        <f>18.467792182439*(38.9/42.5)</f>
        <v>16.903461550514788</v>
      </c>
      <c r="G498" s="1">
        <v>0.66372650528998767</v>
      </c>
      <c r="H498" s="1">
        <v>2.6169408962763407</v>
      </c>
      <c r="I498" s="1">
        <v>14.523834624734356</v>
      </c>
      <c r="J498" s="1">
        <v>2.7501817163228661E-2</v>
      </c>
      <c r="K498" s="1">
        <v>3.1287535838863469</v>
      </c>
      <c r="L498" s="1">
        <v>4.6366603295483992</v>
      </c>
      <c r="M498" s="1">
        <v>0.11840325499034383</v>
      </c>
      <c r="N498" s="1">
        <v>1.1570786821763419</v>
      </c>
      <c r="O498" s="1">
        <v>0.23270159624413131</v>
      </c>
      <c r="P498" s="1">
        <v>0.14336664345092487</v>
      </c>
      <c r="Q498" s="1">
        <v>1.060750122609571</v>
      </c>
      <c r="R498" s="2">
        <f t="shared" si="31"/>
        <v>55.661209732598032</v>
      </c>
      <c r="S498" s="2">
        <f t="shared" si="30"/>
        <v>3.2996220445005005</v>
      </c>
      <c r="T498" s="2">
        <f t="shared" si="32"/>
        <v>6.1448438629592159</v>
      </c>
      <c r="U498" s="2">
        <f t="shared" si="33"/>
        <v>65.105675640057754</v>
      </c>
    </row>
    <row r="499" spans="1:21" x14ac:dyDescent="0.25">
      <c r="A499">
        <v>2300481</v>
      </c>
      <c r="B499">
        <v>17</v>
      </c>
      <c r="C499" s="1">
        <f>6.52425408407562*(10.3/7.3)</f>
        <v>9.2054543925998455</v>
      </c>
      <c r="D499" s="1">
        <f>7.34583352835372*(10.3/7.3)</f>
        <v>10.36466922493744</v>
      </c>
      <c r="E499" s="1">
        <f>26.2772706513114*(10.3/7.3)</f>
        <v>37.07614900116544</v>
      </c>
      <c r="F499" s="1">
        <f>43.7896385827109*(38.9/42.5)</f>
        <v>40.080398608645986</v>
      </c>
      <c r="G499" s="1">
        <v>1.1496589818051428</v>
      </c>
      <c r="H499" s="1">
        <v>4.0466909080031392</v>
      </c>
      <c r="I499" s="1">
        <v>32.745864816605902</v>
      </c>
      <c r="J499" s="1">
        <v>3.7991150439923155E-2</v>
      </c>
      <c r="K499" s="1">
        <v>2.4632184550666132</v>
      </c>
      <c r="L499" s="1">
        <v>2.3018451105427458</v>
      </c>
      <c r="M499" s="1">
        <v>0.19316824649900341</v>
      </c>
      <c r="N499" s="1">
        <v>2.1189930522743872</v>
      </c>
      <c r="O499" s="1">
        <v>0.12292705882352939</v>
      </c>
      <c r="P499" s="1">
        <v>9.9910068704011354E-2</v>
      </c>
      <c r="Q499" s="1">
        <v>1.8373545371315088</v>
      </c>
      <c r="R499" s="2">
        <f t="shared" si="31"/>
        <v>136.50624047089443</v>
      </c>
      <c r="S499" s="2">
        <f t="shared" si="30"/>
        <v>2.6011196742105476</v>
      </c>
      <c r="T499" s="2">
        <f t="shared" si="32"/>
        <v>4.7369334681396662</v>
      </c>
      <c r="U499" s="2">
        <f t="shared" si="33"/>
        <v>143.84429361324462</v>
      </c>
    </row>
    <row r="500" spans="1:21" x14ac:dyDescent="0.25">
      <c r="A500">
        <v>2300513</v>
      </c>
      <c r="B500">
        <v>28</v>
      </c>
      <c r="C500" s="1">
        <f>7.95303389861354*(10.3/7.3)</f>
        <v>11.221403993934171</v>
      </c>
      <c r="D500" s="1">
        <f>8.99946122063817*(10.3/7.3)</f>
        <v>12.697869941448371</v>
      </c>
      <c r="E500" s="1">
        <f>32.2386956303694*(10.3/7.3)</f>
        <v>45.48747465654867</v>
      </c>
      <c r="F500" s="1">
        <f>51.0099392590853*(38.9/42.5)</f>
        <v>46.689097345374577</v>
      </c>
      <c r="G500" s="1">
        <v>1.185444324147815</v>
      </c>
      <c r="H500" s="1">
        <v>2.9412277010999235</v>
      </c>
      <c r="I500" s="1">
        <v>37.649213612974343</v>
      </c>
      <c r="J500" s="1">
        <v>3.4264476511503654E-2</v>
      </c>
      <c r="K500" s="1">
        <v>2.3667087606332684</v>
      </c>
      <c r="L500" s="1">
        <v>2.1806858536429172</v>
      </c>
      <c r="M500" s="1">
        <v>0.15409743541107665</v>
      </c>
      <c r="N500" s="1">
        <v>1.6603895454687601</v>
      </c>
      <c r="O500" s="1">
        <v>0.11128952380952381</v>
      </c>
      <c r="P500" s="1">
        <v>9.3406206056355731E-2</v>
      </c>
      <c r="Q500" s="1">
        <v>1.8945457235239076</v>
      </c>
      <c r="R500" s="2">
        <f t="shared" si="31"/>
        <v>159.76627729905178</v>
      </c>
      <c r="S500" s="2">
        <f t="shared" si="30"/>
        <v>2.4943794432011277</v>
      </c>
      <c r="T500" s="2">
        <f t="shared" si="32"/>
        <v>4.1064623583322781</v>
      </c>
      <c r="U500" s="2">
        <f t="shared" si="33"/>
        <v>166.36711910058517</v>
      </c>
    </row>
    <row r="501" spans="1:21" x14ac:dyDescent="0.25">
      <c r="A501">
        <v>2300521</v>
      </c>
      <c r="B501">
        <v>63</v>
      </c>
      <c r="C501" s="1">
        <f>6.37589317521472*(10.3/7.3)</f>
        <v>8.9961232472207726</v>
      </c>
      <c r="D501" s="1">
        <f>7.41859039008296*(10.3/7.3)</f>
        <v>10.46732616682938</v>
      </c>
      <c r="E501" s="1">
        <f>26.5500493684083*(10.3/7.3)</f>
        <v>37.461028560904829</v>
      </c>
      <c r="F501" s="1">
        <f>41.4734442655446*(38.9/42.5)</f>
        <v>37.960399574816073</v>
      </c>
      <c r="G501" s="1">
        <v>0.94430788539948984</v>
      </c>
      <c r="H501" s="1">
        <v>1.9849159105606911</v>
      </c>
      <c r="I501" s="1">
        <v>30.119543406750072</v>
      </c>
      <c r="J501" s="1">
        <v>2.6915921128407336E-2</v>
      </c>
      <c r="K501" s="1">
        <v>2.0446337367010332</v>
      </c>
      <c r="L501" s="1">
        <v>1.8374177357044772</v>
      </c>
      <c r="M501" s="1">
        <v>0.12420779993778049</v>
      </c>
      <c r="N501" s="1">
        <v>1.3784855043819939</v>
      </c>
      <c r="O501" s="1">
        <v>9.5001904761904732E-2</v>
      </c>
      <c r="P501" s="1">
        <v>8.2516119541159907E-2</v>
      </c>
      <c r="Q501" s="1">
        <v>1.5091678533781818</v>
      </c>
      <c r="R501" s="2">
        <f t="shared" si="31"/>
        <v>129.4428126058595</v>
      </c>
      <c r="S501" s="2">
        <f t="shared" si="30"/>
        <v>2.1540657773706005</v>
      </c>
      <c r="T501" s="2">
        <f t="shared" si="32"/>
        <v>3.4351129447861566</v>
      </c>
      <c r="U501" s="2">
        <f t="shared" si="33"/>
        <v>135.03199132801626</v>
      </c>
    </row>
    <row r="502" spans="1:21" x14ac:dyDescent="0.25">
      <c r="A502">
        <v>2300529</v>
      </c>
      <c r="B502">
        <v>39</v>
      </c>
      <c r="C502" s="1">
        <f>11.7433786071456*(10.3/7.3)</f>
        <v>16.569424610082091</v>
      </c>
      <c r="D502" s="1">
        <f>14.4324328427479*(10.3/7.3)</f>
        <v>20.363569627438824</v>
      </c>
      <c r="E502" s="1">
        <f>51.6115109135336*(10.3/7.3)</f>
        <v>72.821720877999482</v>
      </c>
      <c r="F502" s="1">
        <f>75.9784446207842*(38.9/42.5)</f>
        <v>69.542623429376576</v>
      </c>
      <c r="G502" s="1">
        <v>1.4935180677906925</v>
      </c>
      <c r="H502" s="1">
        <v>3.6612056434972646</v>
      </c>
      <c r="I502" s="1">
        <v>52.895058324357834</v>
      </c>
      <c r="J502" s="1">
        <v>3.3798314727304039E-2</v>
      </c>
      <c r="K502" s="1">
        <v>2.4813744259387169</v>
      </c>
      <c r="L502" s="1">
        <v>2.3007058310083228</v>
      </c>
      <c r="M502" s="1">
        <v>0.15170779498829809</v>
      </c>
      <c r="N502" s="1">
        <v>1.6865282176242609</v>
      </c>
      <c r="O502" s="1">
        <v>0.11454769230769229</v>
      </c>
      <c r="P502" s="1">
        <v>9.4482071853007166E-2</v>
      </c>
      <c r="Q502" s="1">
        <v>2.3869010215833013</v>
      </c>
      <c r="R502" s="2">
        <f t="shared" si="31"/>
        <v>239.73402160212606</v>
      </c>
      <c r="S502" s="2">
        <f t="shared" si="30"/>
        <v>2.6096548125190284</v>
      </c>
      <c r="T502" s="2">
        <f t="shared" si="32"/>
        <v>4.2534895359285736</v>
      </c>
      <c r="U502" s="2">
        <f t="shared" si="33"/>
        <v>246.59716595057367</v>
      </c>
    </row>
    <row r="503" spans="1:21" x14ac:dyDescent="0.25">
      <c r="A503">
        <v>2300617</v>
      </c>
      <c r="B503">
        <v>13</v>
      </c>
      <c r="C503" s="1">
        <f>17.0772207824319*(10.3/7.3)</f>
        <v>24.095256720417581</v>
      </c>
      <c r="D503" s="1">
        <f>23.3053550348002*(10.3/7.3)</f>
        <v>32.882898199786538</v>
      </c>
      <c r="E503" s="1">
        <f>83.0062165906943*(10.3/7.3)</f>
        <v>117.11836039508917</v>
      </c>
      <c r="F503" s="1">
        <f>119.976641436045*(38.9/42.5)</f>
        <v>109.81391416146259</v>
      </c>
      <c r="G503" s="1">
        <v>2.3524828496456669</v>
      </c>
      <c r="H503" s="1">
        <v>4.0745713218293425</v>
      </c>
      <c r="I503" s="1">
        <v>78.81638577788928</v>
      </c>
      <c r="J503" s="1">
        <v>3.2690947346766391E-2</v>
      </c>
      <c r="K503" s="1">
        <v>2.6662109054688368</v>
      </c>
      <c r="L503" s="1">
        <v>2.4283248086853857</v>
      </c>
      <c r="M503" s="1">
        <v>0.11853890751880487</v>
      </c>
      <c r="N503" s="1">
        <v>2.9390843237927369</v>
      </c>
      <c r="O503" s="1">
        <v>0.10737230769230767</v>
      </c>
      <c r="P503" s="1">
        <v>8.8400763958551593E-2</v>
      </c>
      <c r="Q503" s="1">
        <v>3.7596757871049511</v>
      </c>
      <c r="R503" s="2">
        <f t="shared" si="31"/>
        <v>372.91354521322512</v>
      </c>
      <c r="S503" s="2">
        <f t="shared" si="30"/>
        <v>2.7873026167741548</v>
      </c>
      <c r="T503" s="2">
        <f t="shared" si="32"/>
        <v>5.593320347689235</v>
      </c>
      <c r="U503" s="2">
        <f t="shared" si="33"/>
        <v>381.2941681776885</v>
      </c>
    </row>
    <row r="504" spans="1:21" x14ac:dyDescent="0.25">
      <c r="A504">
        <v>2311909</v>
      </c>
      <c r="B504">
        <v>34</v>
      </c>
      <c r="C504" s="1">
        <f>0.336007168310679*(10.3/7.3)</f>
        <v>0.47409230597260138</v>
      </c>
      <c r="D504" s="1">
        <f>0.444324157044199*(10.3/7.3)</f>
        <v>0.62692312569249997</v>
      </c>
      <c r="E504" s="1">
        <f>1.56336081588035*(10.3/7.3)</f>
        <v>2.2058378635024081</v>
      </c>
      <c r="F504" s="1">
        <f>3.32197639834689*(38.9/42.5)</f>
        <v>3.0405854563692731</v>
      </c>
      <c r="G504" s="1">
        <v>0.13282198538350748</v>
      </c>
      <c r="H504" s="1">
        <v>0.87017122911779965</v>
      </c>
      <c r="I504" s="1">
        <v>2.4593904040025532</v>
      </c>
      <c r="J504" s="1">
        <v>1.1406705140264933E-2</v>
      </c>
      <c r="K504" s="1">
        <v>1.2297829822221864</v>
      </c>
      <c r="L504" s="1">
        <v>1.1374215196985971</v>
      </c>
      <c r="M504" s="1">
        <v>4.9704383813381242E-2</v>
      </c>
      <c r="N504" s="1">
        <v>0.33804418732539343</v>
      </c>
      <c r="O504" s="1">
        <v>9.1242352941176469E-2</v>
      </c>
      <c r="P504" s="1">
        <v>6.4395221367123112E-2</v>
      </c>
      <c r="Q504" s="1">
        <v>0.21227257938003508</v>
      </c>
      <c r="R504" s="2">
        <f t="shared" si="31"/>
        <v>10.022094949420676</v>
      </c>
      <c r="S504" s="2">
        <f t="shared" si="30"/>
        <v>1.3055849087295743</v>
      </c>
      <c r="T504" s="2">
        <f t="shared" si="32"/>
        <v>1.6164124437785483</v>
      </c>
      <c r="U504" s="2">
        <f t="shared" si="33"/>
        <v>12.9440923019288</v>
      </c>
    </row>
    <row r="505" spans="1:21" x14ac:dyDescent="0.25">
      <c r="A505">
        <v>2311997</v>
      </c>
      <c r="B505">
        <v>2</v>
      </c>
      <c r="C505" s="1">
        <f>0.632686535042985*(10.3/7.3)</f>
        <v>0.89269470012914343</v>
      </c>
      <c r="D505" s="1">
        <f>0.861342669826841*(10.3/7.3)</f>
        <v>1.2153191094817075</v>
      </c>
      <c r="E505" s="1">
        <f>2.97536505886568*(10.3/7.3)</f>
        <v>4.1981178227830798</v>
      </c>
      <c r="F505" s="1">
        <f>8.93144180268911*(38.9/42.5)</f>
        <v>8.1748961441083896</v>
      </c>
      <c r="G505" s="1">
        <v>0.47338527988028234</v>
      </c>
      <c r="H505" s="1">
        <v>5.6617394583209855</v>
      </c>
      <c r="I505" s="1">
        <v>6.9754402701840021</v>
      </c>
      <c r="J505" s="1">
        <v>1.0527388521658776E-2</v>
      </c>
      <c r="K505" s="1">
        <v>1.7791245791125394</v>
      </c>
      <c r="L505" s="1">
        <v>1.5406520673235335</v>
      </c>
      <c r="M505" s="1">
        <v>4.9954417213943614E-2</v>
      </c>
      <c r="N505" s="1">
        <v>0.45670120612253196</v>
      </c>
      <c r="O505" s="1">
        <v>8.7679999999999994E-2</v>
      </c>
      <c r="P505" s="1">
        <v>8.6223522304951505E-2</v>
      </c>
      <c r="Q505" s="1">
        <v>0.75655181716026931</v>
      </c>
      <c r="R505" s="2">
        <f t="shared" si="31"/>
        <v>28.348144602047856</v>
      </c>
      <c r="S505" s="2">
        <f t="shared" si="30"/>
        <v>1.8758754899391497</v>
      </c>
      <c r="T505" s="2">
        <f t="shared" si="32"/>
        <v>2.1349876906600094</v>
      </c>
      <c r="U505" s="2">
        <f t="shared" si="33"/>
        <v>32.359007782647019</v>
      </c>
    </row>
    <row r="506" spans="1:21" x14ac:dyDescent="0.25">
      <c r="A506">
        <v>2312005</v>
      </c>
      <c r="B506">
        <v>17</v>
      </c>
      <c r="C506" s="1">
        <f>0.540130547830213*(10.3/7.3)</f>
        <v>0.76210200584262888</v>
      </c>
      <c r="D506" s="1">
        <f>0.65651802813465*(10.3/7.3)</f>
        <v>0.92631995750505458</v>
      </c>
      <c r="E506" s="1">
        <f>2.31714534387407*(10.3/7.3)</f>
        <v>3.2693968550551982</v>
      </c>
      <c r="F506" s="1">
        <f>4.99987195029707*(38.9/42.5)</f>
        <v>4.5763533850954357</v>
      </c>
      <c r="G506" s="1">
        <v>0.2000861306432285</v>
      </c>
      <c r="H506" s="1">
        <v>3.9910683956567463</v>
      </c>
      <c r="I506" s="1">
        <v>3.812502270031656</v>
      </c>
      <c r="J506" s="1">
        <v>1.0054396102839435E-2</v>
      </c>
      <c r="K506" s="1">
        <v>1.7845070319369676</v>
      </c>
      <c r="L506" s="1">
        <v>1.4887274455430104</v>
      </c>
      <c r="M506" s="1">
        <v>4.8742207731290871E-2</v>
      </c>
      <c r="N506" s="1">
        <v>0.4628384370783345</v>
      </c>
      <c r="O506" s="1">
        <v>8.5483921568627441E-2</v>
      </c>
      <c r="P506" s="1">
        <v>8.4460381029646564E-2</v>
      </c>
      <c r="Q506" s="1">
        <v>0.31977235490926964</v>
      </c>
      <c r="R506" s="2">
        <f t="shared" si="31"/>
        <v>17.857601354739217</v>
      </c>
      <c r="S506" s="2">
        <f t="shared" si="30"/>
        <v>1.8790218090694535</v>
      </c>
      <c r="T506" s="2">
        <f t="shared" si="32"/>
        <v>2.0857920119212636</v>
      </c>
      <c r="U506" s="2">
        <f t="shared" si="33"/>
        <v>21.822415175729933</v>
      </c>
    </row>
    <row r="507" spans="1:21" x14ac:dyDescent="0.25">
      <c r="A507">
        <v>2312029</v>
      </c>
      <c r="B507">
        <v>5</v>
      </c>
      <c r="C507" s="1">
        <f>0.283790878154755*(10.3/7.3)</f>
        <v>0.40041726643753051</v>
      </c>
      <c r="D507" s="1">
        <f>0.384317477166649*(10.3/7.3)</f>
        <v>0.54225616641321683</v>
      </c>
      <c r="E507" s="1">
        <f>1.35141483609292*(10.3/7.3)</f>
        <v>1.9067907961311052</v>
      </c>
      <c r="F507" s="1">
        <f>2.8438676681556*(38.9/42.5)</f>
        <v>2.6029753480294744</v>
      </c>
      <c r="G507" s="1">
        <v>0.11298157291793684</v>
      </c>
      <c r="H507" s="1">
        <v>0.88538788871210061</v>
      </c>
      <c r="I507" s="1">
        <v>2.0855999782120653</v>
      </c>
      <c r="J507" s="1">
        <v>8.1296389425298179E-3</v>
      </c>
      <c r="K507" s="1">
        <v>1.5188432595507355</v>
      </c>
      <c r="L507" s="1">
        <v>1.3236578456123596</v>
      </c>
      <c r="M507" s="1">
        <v>4.036826743129375E-2</v>
      </c>
      <c r="N507" s="1">
        <v>0.31917064001105933</v>
      </c>
      <c r="O507" s="1">
        <v>7.0975999999999997E-2</v>
      </c>
      <c r="P507" s="1">
        <v>7.1044441686559962E-2</v>
      </c>
      <c r="Q507" s="1">
        <v>0.1805641576314061</v>
      </c>
      <c r="R507" s="2">
        <f t="shared" si="31"/>
        <v>8.7169731744848349</v>
      </c>
      <c r="S507" s="2">
        <f t="shared" si="30"/>
        <v>1.5980173401798252</v>
      </c>
      <c r="T507" s="2">
        <f t="shared" si="32"/>
        <v>1.7541727530547124</v>
      </c>
      <c r="U507" s="2">
        <f t="shared" si="33"/>
        <v>12.069163267719373</v>
      </c>
    </row>
    <row r="508" spans="1:21" x14ac:dyDescent="0.25">
      <c r="A508">
        <v>2312165</v>
      </c>
      <c r="B508">
        <v>10</v>
      </c>
      <c r="C508" s="1">
        <f>0.464089613240218*(10.3/7.3)</f>
        <v>0.65481137210606088</v>
      </c>
      <c r="D508" s="1">
        <f>0.650516005103962*(10.3/7.3)</f>
        <v>0.91785134966723481</v>
      </c>
      <c r="E508" s="1">
        <f>2.28777153567925*(10.3/7.3)</f>
        <v>3.2279516188351027</v>
      </c>
      <c r="F508" s="1">
        <f>4.6356257767545*(38.9/42.5)</f>
        <v>4.2429610050764692</v>
      </c>
      <c r="G508" s="1">
        <v>0.17743364400227174</v>
      </c>
      <c r="H508" s="1">
        <v>1.2158883605627098</v>
      </c>
      <c r="I508" s="1">
        <v>3.3336881109977896</v>
      </c>
      <c r="J508" s="1">
        <v>1.0228666977150603E-2</v>
      </c>
      <c r="K508" s="1">
        <v>1.7813857759246789</v>
      </c>
      <c r="L508" s="1">
        <v>2.1773811396706271</v>
      </c>
      <c r="M508" s="1">
        <v>4.632651678102221E-2</v>
      </c>
      <c r="N508" s="1">
        <v>0.43300649095951355</v>
      </c>
      <c r="O508" s="1">
        <v>8.4970666666666667E-2</v>
      </c>
      <c r="P508" s="1">
        <v>7.3111219065567945E-2</v>
      </c>
      <c r="Q508" s="1">
        <v>0.28356975068856244</v>
      </c>
      <c r="R508" s="2">
        <f t="shared" si="31"/>
        <v>14.054155211936202</v>
      </c>
      <c r="S508" s="2">
        <f t="shared" si="30"/>
        <v>1.8647256619673973</v>
      </c>
      <c r="T508" s="2">
        <f t="shared" si="32"/>
        <v>2.7416848140778294</v>
      </c>
      <c r="U508" s="2">
        <f t="shared" si="33"/>
        <v>18.660565687981428</v>
      </c>
    </row>
    <row r="509" spans="1:21" x14ac:dyDescent="0.25">
      <c r="A509">
        <v>2312173</v>
      </c>
      <c r="B509">
        <v>56</v>
      </c>
      <c r="C509" s="1">
        <f>0.505780808113132*(10.3/7.3)</f>
        <v>0.71363593473496734</v>
      </c>
      <c r="D509" s="1">
        <f>0.708039541172125*(10.3/7.3)</f>
        <v>0.99901469507847718</v>
      </c>
      <c r="E509" s="1">
        <f>2.48892837570924*(10.3/7.3)</f>
        <v>3.5117756533979732</v>
      </c>
      <c r="F509" s="1">
        <f>5.10762285151064*(38.9/42.5)</f>
        <v>4.6749771511473819</v>
      </c>
      <c r="G509" s="1">
        <v>0.1983998418744464</v>
      </c>
      <c r="H509" s="1">
        <v>1.2601851075557693</v>
      </c>
      <c r="I509" s="1">
        <v>3.6859467338121186</v>
      </c>
      <c r="J509" s="1">
        <v>1.0677719169057369E-2</v>
      </c>
      <c r="K509" s="1">
        <v>1.9510839452852438</v>
      </c>
      <c r="L509" s="1">
        <v>2.3664431657786595</v>
      </c>
      <c r="M509" s="1">
        <v>4.7594918413692726E-2</v>
      </c>
      <c r="N509" s="1">
        <v>0.46472541063491812</v>
      </c>
      <c r="O509" s="1">
        <v>8.9156190476190472E-2</v>
      </c>
      <c r="P509" s="1">
        <v>8.2657456174587265E-2</v>
      </c>
      <c r="Q509" s="1">
        <v>0.31707737285870463</v>
      </c>
      <c r="R509" s="2">
        <f t="shared" si="31"/>
        <v>15.361012490459837</v>
      </c>
      <c r="S509" s="2">
        <f t="shared" si="30"/>
        <v>2.0444191206288886</v>
      </c>
      <c r="T509" s="2">
        <f t="shared" si="32"/>
        <v>2.9679196853034608</v>
      </c>
      <c r="U509" s="2">
        <f t="shared" si="33"/>
        <v>20.373351296392187</v>
      </c>
    </row>
    <row r="510" spans="1:21" x14ac:dyDescent="0.25">
      <c r="A510">
        <v>2312237</v>
      </c>
      <c r="B510">
        <v>1</v>
      </c>
      <c r="C510" s="1">
        <f>1.32193050664631*(10.3/7.3)</f>
        <v>1.865189618966715</v>
      </c>
      <c r="D510" s="1">
        <f>1.40228359942046*(10.3/7.3)</f>
        <v>1.9785645306891491</v>
      </c>
      <c r="E510" s="1">
        <f>4.98530885728066*(10.3/7.3)</f>
        <v>7.0340659219165413</v>
      </c>
      <c r="F510" s="1">
        <f>10.6263497411706*(38.9/42.5)</f>
        <v>9.7262354101538229</v>
      </c>
      <c r="G510" s="1">
        <v>0.40729159619799449</v>
      </c>
      <c r="H510" s="1">
        <v>2.100436477774021</v>
      </c>
      <c r="I510" s="1">
        <v>8.465574001534911</v>
      </c>
      <c r="J510" s="1">
        <v>1.4460838404600204E-2</v>
      </c>
      <c r="K510" s="1">
        <v>2.1409803616114442</v>
      </c>
      <c r="L510" s="1">
        <v>7.6177955781513962</v>
      </c>
      <c r="M510" s="1">
        <v>6.6896625927655495E-2</v>
      </c>
      <c r="N510" s="1">
        <v>0.67437451883147115</v>
      </c>
      <c r="O510" s="1">
        <v>0.11877333333333334</v>
      </c>
      <c r="P510" s="1">
        <v>9.8839071869972761E-2</v>
      </c>
      <c r="Q510" s="1">
        <v>0.65092264232556263</v>
      </c>
      <c r="R510" s="2">
        <f t="shared" si="31"/>
        <v>32.228280199558718</v>
      </c>
      <c r="S510" s="2">
        <f t="shared" si="30"/>
        <v>2.2542802718860173</v>
      </c>
      <c r="T510" s="2">
        <f t="shared" si="32"/>
        <v>8.4778400562438563</v>
      </c>
      <c r="U510" s="2">
        <f t="shared" si="33"/>
        <v>42.960400527688591</v>
      </c>
    </row>
    <row r="511" spans="1:21" x14ac:dyDescent="0.25">
      <c r="A511">
        <v>2312277</v>
      </c>
      <c r="B511">
        <v>39</v>
      </c>
      <c r="C511" s="1">
        <f>2.76015200825698*(10.3/7.3)</f>
        <v>3.8944610527461552</v>
      </c>
      <c r="D511" s="1">
        <f>2.79314871013551*(10.3/7.3)</f>
        <v>3.9410180430679134</v>
      </c>
      <c r="E511" s="1">
        <f>9.97122949517226*(10.3/7.3)</f>
        <v>14.068995041133467</v>
      </c>
      <c r="F511" s="1">
        <f>20.447403935932*(38.9/42.5)</f>
        <v>18.715388543711857</v>
      </c>
      <c r="G511" s="1">
        <v>0.73776276576176802</v>
      </c>
      <c r="H511" s="1">
        <v>5.3837535589571672</v>
      </c>
      <c r="I511" s="1">
        <v>16.493043364909401</v>
      </c>
      <c r="J511" s="1">
        <v>2.7716824542343074E-2</v>
      </c>
      <c r="K511" s="1">
        <v>3.0726448523803058</v>
      </c>
      <c r="L511" s="1">
        <v>4.7492159279028172</v>
      </c>
      <c r="M511" s="1">
        <v>0.10747756824478308</v>
      </c>
      <c r="N511" s="1">
        <v>1.3003224360053676</v>
      </c>
      <c r="O511" s="1">
        <v>0.21903863247863251</v>
      </c>
      <c r="P511" s="1">
        <v>0.13843503372842131</v>
      </c>
      <c r="Q511" s="1">
        <v>1.1790729133178952</v>
      </c>
      <c r="R511" s="2">
        <f t="shared" si="31"/>
        <v>64.413495283605627</v>
      </c>
      <c r="S511" s="2">
        <f t="shared" si="30"/>
        <v>3.2387967106510702</v>
      </c>
      <c r="T511" s="2">
        <f t="shared" si="32"/>
        <v>6.3760545646316</v>
      </c>
      <c r="U511" s="2">
        <f t="shared" si="33"/>
        <v>74.028346558888302</v>
      </c>
    </row>
    <row r="512" spans="1:21" x14ac:dyDescent="0.25">
      <c r="A512">
        <v>2312285</v>
      </c>
      <c r="B512">
        <v>68</v>
      </c>
      <c r="C512" s="1">
        <f>2.52121642297189*(10.3/7.3)</f>
        <v>3.5573327611795174</v>
      </c>
      <c r="D512" s="1">
        <f>2.66155197266608*(10.3/7.3)</f>
        <v>3.7553404545836515</v>
      </c>
      <c r="E512" s="1">
        <f>9.48350704319075*(10.3/7.3)</f>
        <v>13.380838704775991</v>
      </c>
      <c r="F512" s="1">
        <f>19.2576609574734*(38.9/42.5)</f>
        <v>17.626423794016862</v>
      </c>
      <c r="G512" s="1">
        <v>0.69358763410223245</v>
      </c>
      <c r="H512" s="1">
        <v>3.6484663224965308</v>
      </c>
      <c r="I512" s="1">
        <v>15.272051147534807</v>
      </c>
      <c r="J512" s="1">
        <v>2.5972525397823142E-2</v>
      </c>
      <c r="K512" s="1">
        <v>3.0162657157642663</v>
      </c>
      <c r="L512" s="1">
        <v>4.5238905116668047</v>
      </c>
      <c r="M512" s="1">
        <v>0.11029642776571226</v>
      </c>
      <c r="N512" s="1">
        <v>1.1757765948253824</v>
      </c>
      <c r="O512" s="1">
        <v>0.21207294117647063</v>
      </c>
      <c r="P512" s="1">
        <v>0.13813648610729456</v>
      </c>
      <c r="Q512" s="1">
        <v>1.1084733878346189</v>
      </c>
      <c r="R512" s="2">
        <f t="shared" si="31"/>
        <v>59.042514206524217</v>
      </c>
      <c r="S512" s="2">
        <f t="shared" si="30"/>
        <v>3.1803747272693843</v>
      </c>
      <c r="T512" s="2">
        <f t="shared" si="32"/>
        <v>6.0220364754343709</v>
      </c>
      <c r="U512" s="2">
        <f t="shared" si="33"/>
        <v>68.244925409227974</v>
      </c>
    </row>
    <row r="513" spans="1:21" x14ac:dyDescent="0.25">
      <c r="A513">
        <v>2312293</v>
      </c>
      <c r="B513">
        <v>67</v>
      </c>
      <c r="C513" s="1">
        <f>1.88230924480032*(10.3/7.3)</f>
        <v>2.6558609892388079</v>
      </c>
      <c r="D513" s="1">
        <f>2.0277538357512*(10.3/7.3)</f>
        <v>2.8610773298955321</v>
      </c>
      <c r="E513" s="1">
        <f>7.21901404301536*(10.3/7.3)</f>
        <v>10.18573214288468</v>
      </c>
      <c r="F513" s="1">
        <f>14.583451992194*(38.9/42.5)</f>
        <v>13.348147823443457</v>
      </c>
      <c r="G513" s="1">
        <v>0.52438080379913221</v>
      </c>
      <c r="H513" s="1">
        <v>2.0738896712266852</v>
      </c>
      <c r="I513" s="1">
        <v>11.47077225290945</v>
      </c>
      <c r="J513" s="1">
        <v>2.2594490024593562E-2</v>
      </c>
      <c r="K513" s="1">
        <v>2.6782085966011584</v>
      </c>
      <c r="L513" s="1">
        <v>3.8143992263664726</v>
      </c>
      <c r="M513" s="1">
        <v>0.10051123162819264</v>
      </c>
      <c r="N513" s="1">
        <v>0.97565691373360386</v>
      </c>
      <c r="O513" s="1">
        <v>0.1861269651741293</v>
      </c>
      <c r="P513" s="1">
        <v>0.12501307120746041</v>
      </c>
      <c r="Q513" s="1">
        <v>0.83805151292098845</v>
      </c>
      <c r="R513" s="2">
        <f t="shared" si="31"/>
        <v>43.957912526318736</v>
      </c>
      <c r="S513" s="2">
        <f t="shared" si="30"/>
        <v>2.8258161578332124</v>
      </c>
      <c r="T513" s="2">
        <f t="shared" si="32"/>
        <v>5.0766943369023991</v>
      </c>
      <c r="U513" s="2">
        <f t="shared" si="33"/>
        <v>51.860423021054345</v>
      </c>
    </row>
    <row r="514" spans="1:21" x14ac:dyDescent="0.25">
      <c r="A514">
        <v>2312301</v>
      </c>
      <c r="B514">
        <v>15</v>
      </c>
      <c r="C514" s="1">
        <f>2.59027748888945*(10.3/7.3)</f>
        <v>3.6547750870631917</v>
      </c>
      <c r="D514" s="1">
        <f>2.79679894699103*(10.3/7.3)</f>
        <v>3.9461683772613196</v>
      </c>
      <c r="E514" s="1">
        <f>9.95594916969556*(10.3/7.3)</f>
        <v>14.047435129844427</v>
      </c>
      <c r="F514" s="1">
        <f>20.1006551111654*(38.9/42.5)</f>
        <v>18.39801138410202</v>
      </c>
      <c r="G514" s="1">
        <v>0.72262427492634695</v>
      </c>
      <c r="H514" s="1">
        <v>2.726794047829348</v>
      </c>
      <c r="I514" s="1">
        <v>15.795780701299558</v>
      </c>
      <c r="J514" s="1">
        <v>2.9217569551203762E-2</v>
      </c>
      <c r="K514" s="1">
        <v>3.2927732876546782</v>
      </c>
      <c r="L514" s="1">
        <v>4.9447379595037058</v>
      </c>
      <c r="M514" s="1">
        <v>0.12632901441310954</v>
      </c>
      <c r="N514" s="1">
        <v>1.2281497623658109</v>
      </c>
      <c r="O514" s="1">
        <v>0.25149511111111111</v>
      </c>
      <c r="P514" s="1">
        <v>0.14995202948330408</v>
      </c>
      <c r="Q514" s="1">
        <v>1.1548789781927933</v>
      </c>
      <c r="R514" s="2">
        <f t="shared" si="31"/>
        <v>60.446467980519003</v>
      </c>
      <c r="S514" s="2">
        <f t="shared" si="30"/>
        <v>3.4719428866891859</v>
      </c>
      <c r="T514" s="2">
        <f t="shared" si="32"/>
        <v>6.5507118473937371</v>
      </c>
      <c r="U514" s="2">
        <f t="shared" si="33"/>
        <v>70.469122714601923</v>
      </c>
    </row>
    <row r="515" spans="1:21" x14ac:dyDescent="0.25">
      <c r="A515">
        <v>2312709</v>
      </c>
      <c r="B515">
        <v>8</v>
      </c>
      <c r="C515" s="1">
        <f>8.32728594989689*(10.3/7.3)</f>
        <v>11.749458258073693</v>
      </c>
      <c r="D515" s="1">
        <f>9.42454283022718*(10.3/7.3)</f>
        <v>13.297642623471223</v>
      </c>
      <c r="E515" s="1">
        <f>33.7129597800195*(10.3/7.3)</f>
        <v>47.567600785506976</v>
      </c>
      <c r="F515" s="1">
        <f>55.7562441935498*(38.9/42.5)</f>
        <v>51.033362332449137</v>
      </c>
      <c r="G515" s="1">
        <v>1.4424463636424627</v>
      </c>
      <c r="H515" s="1">
        <v>3.6864709227395993</v>
      </c>
      <c r="I515" s="1">
        <v>41.533687251581398</v>
      </c>
      <c r="J515" s="1">
        <v>4.9566984689946386E-2</v>
      </c>
      <c r="K515" s="1">
        <v>2.8858577210636298</v>
      </c>
      <c r="L515" s="1">
        <v>2.8023952514141048</v>
      </c>
      <c r="M515" s="1">
        <v>0.24572839981296421</v>
      </c>
      <c r="N515" s="1">
        <v>3.1567045639072218</v>
      </c>
      <c r="O515" s="1">
        <v>0.14251333333333333</v>
      </c>
      <c r="P515" s="1">
        <v>0.11134124474868</v>
      </c>
      <c r="Q515" s="1">
        <v>2.3052795765975458</v>
      </c>
      <c r="R515" s="2">
        <f t="shared" si="31"/>
        <v>172.61594811406204</v>
      </c>
      <c r="S515" s="2">
        <f t="shared" si="30"/>
        <v>3.0467659505022562</v>
      </c>
      <c r="T515" s="2">
        <f t="shared" si="32"/>
        <v>6.3473415484676243</v>
      </c>
      <c r="U515" s="2">
        <f t="shared" si="33"/>
        <v>182.01005561303191</v>
      </c>
    </row>
    <row r="516" spans="1:21" x14ac:dyDescent="0.25">
      <c r="A516">
        <v>2312741</v>
      </c>
      <c r="B516">
        <v>49</v>
      </c>
      <c r="C516" s="1">
        <f>6.56149173823012*(10.3/7.3)</f>
        <v>9.2579951922972974</v>
      </c>
      <c r="D516" s="1">
        <f>7.36600103933715*(10.3/7.3)</f>
        <v>10.393124754133238</v>
      </c>
      <c r="E516" s="1">
        <f>26.3844831941635*(10.3/7.3)</f>
        <v>37.227421493134756</v>
      </c>
      <c r="F516" s="1">
        <f>42.4044183585859*(38.9/42.5)</f>
        <v>38.812514685858602</v>
      </c>
      <c r="G516" s="1">
        <v>1.0216252038328881</v>
      </c>
      <c r="H516" s="1">
        <v>4.2942966781011496</v>
      </c>
      <c r="I516" s="1">
        <v>31.519511047575424</v>
      </c>
      <c r="J516" s="1">
        <v>3.3440429022652825E-2</v>
      </c>
      <c r="K516" s="1">
        <v>2.2336205725193143</v>
      </c>
      <c r="L516" s="1">
        <v>2.0332013173246231</v>
      </c>
      <c r="M516" s="1">
        <v>0.14702082590769325</v>
      </c>
      <c r="N516" s="1">
        <v>1.5926016127083984</v>
      </c>
      <c r="O516" s="1">
        <v>0.10577632653061227</v>
      </c>
      <c r="P516" s="1">
        <v>8.9998427087963129E-2</v>
      </c>
      <c r="Q516" s="1">
        <v>1.6327343440251652</v>
      </c>
      <c r="R516" s="2">
        <f t="shared" si="31"/>
        <v>134.15922339895852</v>
      </c>
      <c r="S516" s="2">
        <f t="shared" si="30"/>
        <v>2.3570594286299302</v>
      </c>
      <c r="T516" s="2">
        <f t="shared" si="32"/>
        <v>3.8786000824713271</v>
      </c>
      <c r="U516" s="2">
        <f t="shared" si="33"/>
        <v>140.39488291005978</v>
      </c>
    </row>
    <row r="517" spans="1:21" x14ac:dyDescent="0.25">
      <c r="A517">
        <v>2312749</v>
      </c>
      <c r="B517">
        <v>70</v>
      </c>
      <c r="C517" s="1">
        <f>5.92077840402023*(10.3/7.3)</f>
        <v>8.3539750084121067</v>
      </c>
      <c r="D517" s="1">
        <f>6.78670100663483*(10.3/7.3)</f>
        <v>9.5757562148409292</v>
      </c>
      <c r="E517" s="1">
        <f>24.2974145306294*(10.3/7.3)</f>
        <v>34.282653378833338</v>
      </c>
      <c r="F517" s="1">
        <f>38.3992670691404*(38.9/42.5)</f>
        <v>35.14662327034258</v>
      </c>
      <c r="G517" s="1">
        <v>0.89516475868878176</v>
      </c>
      <c r="H517" s="1">
        <v>2.025380100380624</v>
      </c>
      <c r="I517" s="1">
        <v>28.161345742129647</v>
      </c>
      <c r="J517" s="1">
        <v>2.8081886168450365E-2</v>
      </c>
      <c r="K517" s="1">
        <v>2.0731733837870134</v>
      </c>
      <c r="L517" s="1">
        <v>1.8688650027136589</v>
      </c>
      <c r="M517" s="1">
        <v>0.12985822298076224</v>
      </c>
      <c r="N517" s="1">
        <v>1.4061258932098437</v>
      </c>
      <c r="O517" s="1">
        <v>9.6697904761904777E-2</v>
      </c>
      <c r="P517" s="1">
        <v>8.4000044361335069E-2</v>
      </c>
      <c r="Q517" s="1">
        <v>1.4306286097765941</v>
      </c>
      <c r="R517" s="2">
        <f t="shared" si="31"/>
        <v>119.8715270834046</v>
      </c>
      <c r="S517" s="2">
        <f t="shared" si="30"/>
        <v>2.185255314316799</v>
      </c>
      <c r="T517" s="2">
        <f t="shared" si="32"/>
        <v>3.5015470236661694</v>
      </c>
      <c r="U517" s="2">
        <f t="shared" si="33"/>
        <v>125.55832942138757</v>
      </c>
    </row>
    <row r="518" spans="1:21" x14ac:dyDescent="0.25">
      <c r="A518">
        <v>2312757</v>
      </c>
      <c r="B518">
        <v>64</v>
      </c>
      <c r="C518" s="1">
        <f>7.73918320397344*(10.3/7.3)</f>
        <v>10.919669452181699</v>
      </c>
      <c r="D518" s="1">
        <f>9.16265513862124*(10.3/7.3)</f>
        <v>12.928129853123123</v>
      </c>
      <c r="E518" s="1">
        <f>32.7869861330407*(10.3/7.3)</f>
        <v>46.261090023331448</v>
      </c>
      <c r="F518" s="1">
        <f>50.0920212692777*(38.9/42.5)</f>
        <v>45.848932408821227</v>
      </c>
      <c r="G518" s="1">
        <v>1.0815497705447028</v>
      </c>
      <c r="H518" s="1">
        <v>2.2200724252052062</v>
      </c>
      <c r="I518" s="1">
        <v>35.880657962959759</v>
      </c>
      <c r="J518" s="1">
        <v>2.8468847408234754E-2</v>
      </c>
      <c r="K518" s="1">
        <v>2.1413581762068139</v>
      </c>
      <c r="L518" s="1">
        <v>1.9354444934712458</v>
      </c>
      <c r="M518" s="1">
        <v>0.13099934522645501</v>
      </c>
      <c r="N518" s="1">
        <v>1.4322809853319369</v>
      </c>
      <c r="O518" s="1">
        <v>9.9363333333333345E-2</v>
      </c>
      <c r="P518" s="1">
        <v>8.5205985553073613E-2</v>
      </c>
      <c r="Q518" s="1">
        <v>1.7285041995006678</v>
      </c>
      <c r="R518" s="2">
        <f t="shared" si="31"/>
        <v>156.86860609566781</v>
      </c>
      <c r="S518" s="2">
        <f t="shared" si="30"/>
        <v>2.2550330091681223</v>
      </c>
      <c r="T518" s="2">
        <f t="shared" si="32"/>
        <v>3.5980881573629708</v>
      </c>
      <c r="U518" s="2">
        <f t="shared" si="33"/>
        <v>162.72172726219893</v>
      </c>
    </row>
    <row r="519" spans="1:21" x14ac:dyDescent="0.25">
      <c r="A519">
        <v>2312765</v>
      </c>
      <c r="B519">
        <v>8</v>
      </c>
      <c r="C519" s="1">
        <f>17.6044978589235*(10.3/7.3)</f>
        <v>24.839223006426273</v>
      </c>
      <c r="D519" s="1">
        <f>21.8084676043559*(10.3/7.3)</f>
        <v>30.770851551351512</v>
      </c>
      <c r="E519" s="1">
        <f>78.004973590643*(10.3/7.3)</f>
        <v>110.06181205255113</v>
      </c>
      <c r="F519" s="1">
        <f>112.609532209125*(38.9/42.5)</f>
        <v>103.07084242199943</v>
      </c>
      <c r="G519" s="1">
        <v>2.0807171441700758</v>
      </c>
      <c r="H519" s="1">
        <v>5.8475808914456433</v>
      </c>
      <c r="I519" s="1">
        <v>77.633712921997244</v>
      </c>
      <c r="J519" s="1">
        <v>4.3175659030636221E-2</v>
      </c>
      <c r="K519" s="1">
        <v>2.9825544671878834</v>
      </c>
      <c r="L519" s="1">
        <v>2.9510418810864465</v>
      </c>
      <c r="M519" s="1">
        <v>0.18833087418166194</v>
      </c>
      <c r="N519" s="1">
        <v>2.0403273678132283</v>
      </c>
      <c r="O519" s="1">
        <v>0.13505333333333333</v>
      </c>
      <c r="P519" s="1">
        <v>0.10680681341628487</v>
      </c>
      <c r="Q519" s="1">
        <v>3.3253470340617683</v>
      </c>
      <c r="R519" s="2">
        <f t="shared" si="31"/>
        <v>357.63008702400316</v>
      </c>
      <c r="S519" s="2">
        <f t="shared" si="30"/>
        <v>3.1325369396348042</v>
      </c>
      <c r="T519" s="2">
        <f t="shared" si="32"/>
        <v>5.3147534564146701</v>
      </c>
      <c r="U519" s="2">
        <f t="shared" si="33"/>
        <v>366.07737742005264</v>
      </c>
    </row>
    <row r="520" spans="1:21" x14ac:dyDescent="0.25">
      <c r="A520">
        <v>2312845</v>
      </c>
      <c r="B520">
        <v>12</v>
      </c>
      <c r="C520" s="1">
        <f>15.253248559666*(10.3/7.3)</f>
        <v>21.521706871857575</v>
      </c>
      <c r="D520" s="1">
        <f>22.6115352379405*(10.3/7.3)</f>
        <v>31.903946979559823</v>
      </c>
      <c r="E520" s="1">
        <f>80.2709701223658*(10.3/7.3)</f>
        <v>113.25904003566677</v>
      </c>
      <c r="F520" s="1">
        <f>115.966660783335*(38.9/42.5)</f>
        <v>106.14360245815851</v>
      </c>
      <c r="G520" s="1">
        <v>2.366121687343592</v>
      </c>
      <c r="H520" s="1">
        <v>4.5686368881270054</v>
      </c>
      <c r="I520" s="1">
        <v>73.17968159587403</v>
      </c>
      <c r="J520" s="1">
        <v>3.1227858051248589E-2</v>
      </c>
      <c r="K520" s="1">
        <v>2.560569105233141</v>
      </c>
      <c r="L520" s="1">
        <v>2.3192328185669715</v>
      </c>
      <c r="M520" s="1">
        <v>0.11495953123325209</v>
      </c>
      <c r="N520" s="1">
        <v>2.7114665097576278</v>
      </c>
      <c r="O520" s="1">
        <v>0.10399111111111109</v>
      </c>
      <c r="P520" s="1">
        <v>8.6646160735520214E-2</v>
      </c>
      <c r="Q520" s="1">
        <v>3.7814730163025483</v>
      </c>
      <c r="R520" s="2">
        <f t="shared" si="31"/>
        <v>356.7242095328898</v>
      </c>
      <c r="S520" s="2">
        <f t="shared" si="30"/>
        <v>2.6784431240199096</v>
      </c>
      <c r="T520" s="2">
        <f t="shared" si="32"/>
        <v>5.2496499706689628</v>
      </c>
      <c r="U520" s="2">
        <f t="shared" si="33"/>
        <v>364.65230262757865</v>
      </c>
    </row>
    <row r="521" spans="1:21" x14ac:dyDescent="0.25">
      <c r="A521">
        <v>2312853</v>
      </c>
      <c r="B521">
        <v>16</v>
      </c>
      <c r="C521" s="1">
        <f>11.4847442480104*(10.3/7.3)</f>
        <v>16.20450215815162</v>
      </c>
      <c r="D521" s="1">
        <f>20.3715162845823*(10.3/7.3)</f>
        <v>28.743372291944844</v>
      </c>
      <c r="E521" s="1">
        <f>71.9761205272742*(10.3/7.3)</f>
        <v>101.5553481412225</v>
      </c>
      <c r="F521" s="1">
        <f>98.3766757458592*(38.9/42.5)</f>
        <v>90.043592623857009</v>
      </c>
      <c r="G521" s="1">
        <v>1.8154304024420616</v>
      </c>
      <c r="H521" s="1">
        <v>4.2322384211025197</v>
      </c>
      <c r="I521" s="1">
        <v>55.455561853656974</v>
      </c>
      <c r="J521" s="1">
        <v>2.7311380983336037E-2</v>
      </c>
      <c r="K521" s="1">
        <v>2.3021113264071071</v>
      </c>
      <c r="L521" s="1">
        <v>2.0013832950757506</v>
      </c>
      <c r="M521" s="1">
        <v>0.1009145772224926</v>
      </c>
      <c r="N521" s="1">
        <v>1.8469758797978741</v>
      </c>
      <c r="O521" s="1">
        <v>9.3393333333333342E-2</v>
      </c>
      <c r="P521" s="1">
        <v>7.9768097966841506E-2</v>
      </c>
      <c r="Q521" s="1">
        <v>2.9013727892909693</v>
      </c>
      <c r="R521" s="2">
        <f t="shared" si="31"/>
        <v>300.95141868166849</v>
      </c>
      <c r="S521" s="2">
        <f t="shared" ref="S521:S584" si="34">J521+K521+P521</f>
        <v>2.4091908053572846</v>
      </c>
      <c r="T521" s="2">
        <f t="shared" si="32"/>
        <v>4.0426670854294509</v>
      </c>
      <c r="U521" s="2">
        <f t="shared" si="33"/>
        <v>307.40327657245524</v>
      </c>
    </row>
    <row r="522" spans="1:21" x14ac:dyDescent="0.25">
      <c r="A522">
        <v>2312869</v>
      </c>
      <c r="B522">
        <v>4</v>
      </c>
      <c r="C522" s="1">
        <f>13.8496018506655*(10.3/7.3)</f>
        <v>19.541219049569179</v>
      </c>
      <c r="D522" s="1">
        <f>15.4750959354274*(10.3/7.3)</f>
        <v>21.834724402041449</v>
      </c>
      <c r="E522" s="1">
        <f>55.506697894251*(10.3/7.3)</f>
        <v>78.317669631614436</v>
      </c>
      <c r="F522" s="1">
        <f>86.0525912784039*(38.9/42.5)</f>
        <v>78.763430605409681</v>
      </c>
      <c r="G522" s="1">
        <v>1.8795391297150603</v>
      </c>
      <c r="H522" s="1">
        <v>5.0814573512756285</v>
      </c>
      <c r="I522" s="1">
        <v>63.622605322998695</v>
      </c>
      <c r="J522" s="1">
        <v>2.9375699611222772E-2</v>
      </c>
      <c r="K522" s="1">
        <v>2.4786070750918601</v>
      </c>
      <c r="L522" s="1">
        <v>2.2021823571806993</v>
      </c>
      <c r="M522" s="1">
        <v>0.10469868161384216</v>
      </c>
      <c r="N522" s="1">
        <v>2.2224816924952875</v>
      </c>
      <c r="O522" s="1">
        <v>9.9066666666666664E-2</v>
      </c>
      <c r="P522" s="1">
        <v>8.2331711694172027E-2</v>
      </c>
      <c r="Q522" s="1">
        <v>3.0038296593619718</v>
      </c>
      <c r="R522" s="2">
        <f t="shared" ref="R522:R585" si="35">C522+D522+E522+F522+G522+H522+I522+Q522</f>
        <v>272.04447515198609</v>
      </c>
      <c r="S522" s="2">
        <f t="shared" si="34"/>
        <v>2.5903144863972547</v>
      </c>
      <c r="T522" s="2">
        <f t="shared" ref="T522:T585" si="36">L522+M522+N522+O522</f>
        <v>4.6284293979564959</v>
      </c>
      <c r="U522" s="2">
        <f t="shared" ref="U522:U585" si="37">R522+S522+T522</f>
        <v>279.26321903633982</v>
      </c>
    </row>
    <row r="523" spans="1:21" x14ac:dyDescent="0.25">
      <c r="A523">
        <v>2324145</v>
      </c>
      <c r="B523">
        <v>5</v>
      </c>
      <c r="C523" s="1">
        <f>0.480602791548611*(10.3/7.3)</f>
        <v>0.67811078807543723</v>
      </c>
      <c r="D523" s="1">
        <f>0.646614013448113*(10.3/7.3)</f>
        <v>0.9123457997966532</v>
      </c>
      <c r="E523" s="1">
        <f>2.27310033289979*(10.3/7.3)</f>
        <v>3.2072511546394233</v>
      </c>
      <c r="F523" s="1">
        <f>4.84798259160202*(38.9/42.5)</f>
        <v>4.4373299485486735</v>
      </c>
      <c r="G523" s="1">
        <v>0.1952338747212515</v>
      </c>
      <c r="H523" s="1">
        <v>1.34732939586624</v>
      </c>
      <c r="I523" s="1">
        <v>3.5729184779673133</v>
      </c>
      <c r="J523" s="1">
        <v>1.5822058169915856E-2</v>
      </c>
      <c r="K523" s="1">
        <v>1.4005947213857239</v>
      </c>
      <c r="L523" s="1">
        <v>1.4214894139996963</v>
      </c>
      <c r="M523" s="1">
        <v>5.8332368179362347E-2</v>
      </c>
      <c r="N523" s="1">
        <v>0.40739834255077428</v>
      </c>
      <c r="O523" s="1">
        <v>0.11989333333333334</v>
      </c>
      <c r="P523" s="1">
        <v>7.1566624571410456E-2</v>
      </c>
      <c r="Q523" s="1">
        <v>0.31201760800200046</v>
      </c>
      <c r="R523" s="2">
        <f t="shared" si="35"/>
        <v>14.662537047616992</v>
      </c>
      <c r="S523" s="2">
        <f t="shared" si="34"/>
        <v>1.4879834041270501</v>
      </c>
      <c r="T523" s="2">
        <f t="shared" si="36"/>
        <v>2.0071134580631664</v>
      </c>
      <c r="U523" s="2">
        <f t="shared" si="37"/>
        <v>18.15763390980721</v>
      </c>
    </row>
    <row r="524" spans="1:21" x14ac:dyDescent="0.25">
      <c r="A524">
        <v>2324233</v>
      </c>
      <c r="B524">
        <v>17</v>
      </c>
      <c r="C524" s="1">
        <f>0.55161072343691*(10.3/7.3)</f>
        <v>0.77830006183564049</v>
      </c>
      <c r="D524" s="1">
        <f>0.704529732150925*(10.3/7.3)</f>
        <v>0.99406249878829112</v>
      </c>
      <c r="E524" s="1">
        <f>2.46180893935134*(10.3/7.3)</f>
        <v>3.4735112431943596</v>
      </c>
      <c r="F524" s="1">
        <f>6.2852278716167*(38.9/42.5)</f>
        <v>5.752832098962104</v>
      </c>
      <c r="G524" s="1">
        <v>0.29636125009410885</v>
      </c>
      <c r="H524" s="1">
        <v>5.0421066467151157</v>
      </c>
      <c r="I524" s="1">
        <v>4.8597700895108078</v>
      </c>
      <c r="J524" s="1">
        <v>9.9355863976373204E-3</v>
      </c>
      <c r="K524" s="1">
        <v>1.6935493079937902</v>
      </c>
      <c r="L524" s="1">
        <v>1.4652499284639262</v>
      </c>
      <c r="M524" s="1">
        <v>4.8005618763295288E-2</v>
      </c>
      <c r="N524" s="1">
        <v>0.43979458819388134</v>
      </c>
      <c r="O524" s="1">
        <v>8.4197647058823516E-2</v>
      </c>
      <c r="P524" s="1">
        <v>8.2200809147644896E-2</v>
      </c>
      <c r="Q524" s="1">
        <v>0.4736367010636448</v>
      </c>
      <c r="R524" s="2">
        <f t="shared" si="35"/>
        <v>21.670580590164072</v>
      </c>
      <c r="S524" s="2">
        <f t="shared" si="34"/>
        <v>1.7856857035390725</v>
      </c>
      <c r="T524" s="2">
        <f t="shared" si="36"/>
        <v>2.0372477824799264</v>
      </c>
      <c r="U524" s="2">
        <f t="shared" si="37"/>
        <v>25.493514076183072</v>
      </c>
    </row>
    <row r="525" spans="1:21" x14ac:dyDescent="0.25">
      <c r="A525">
        <v>2324249</v>
      </c>
      <c r="B525">
        <v>7</v>
      </c>
      <c r="C525" s="1">
        <f>0.296812744282722*(10.3/7.3)</f>
        <v>0.41879058439890965</v>
      </c>
      <c r="D525" s="1">
        <f>0.388631885612015*(10.3/7.3)</f>
        <v>0.54834361942517218</v>
      </c>
      <c r="E525" s="1">
        <f>1.3684351501981*(10.3/7.3)</f>
        <v>1.9308057598685526</v>
      </c>
      <c r="F525" s="1">
        <f>2.8851439766546*(38.9/42.5)</f>
        <v>2.640755310396802</v>
      </c>
      <c r="G525" s="1">
        <v>0.11414648942068588</v>
      </c>
      <c r="H525" s="1">
        <v>0.89620414564226591</v>
      </c>
      <c r="I525" s="1">
        <v>2.1390960676201267</v>
      </c>
      <c r="J525" s="1">
        <v>8.133494196229234E-3</v>
      </c>
      <c r="K525" s="1">
        <v>1.3843384879073299</v>
      </c>
      <c r="L525" s="1">
        <v>1.2878756811307246</v>
      </c>
      <c r="M525" s="1">
        <v>3.9827491501925716E-2</v>
      </c>
      <c r="N525" s="1">
        <v>0.31400288260013032</v>
      </c>
      <c r="O525" s="1">
        <v>6.994285714285714E-2</v>
      </c>
      <c r="P525" s="1">
        <v>6.6492349690283989E-2</v>
      </c>
      <c r="Q525" s="1">
        <v>0.18242589633442965</v>
      </c>
      <c r="R525" s="2">
        <f t="shared" si="35"/>
        <v>8.8705678731069444</v>
      </c>
      <c r="S525" s="2">
        <f t="shared" si="34"/>
        <v>1.4589643317938432</v>
      </c>
      <c r="T525" s="2">
        <f t="shared" si="36"/>
        <v>1.7116489123756378</v>
      </c>
      <c r="U525" s="2">
        <f t="shared" si="37"/>
        <v>12.041181117276427</v>
      </c>
    </row>
    <row r="526" spans="1:21" x14ac:dyDescent="0.25">
      <c r="A526">
        <v>2324257</v>
      </c>
      <c r="B526">
        <v>34</v>
      </c>
      <c r="C526" s="1">
        <f>0.287087562868262*(10.3/7.3)</f>
        <v>0.40506875308809509</v>
      </c>
      <c r="D526" s="1">
        <f>0.384015391704552*(10.3/7.3)</f>
        <v>0.54182993624066855</v>
      </c>
      <c r="E526" s="1">
        <f>1.35106663626854*(10.3/7.3)</f>
        <v>1.9062995004884864</v>
      </c>
      <c r="F526" s="1">
        <f>2.84244048929785*(38.9/42.5)</f>
        <v>2.6016690596161465</v>
      </c>
      <c r="G526" s="1">
        <v>0.11263759795988823</v>
      </c>
      <c r="H526" s="1">
        <v>0.8816909181756849</v>
      </c>
      <c r="I526" s="1">
        <v>2.0924349723170685</v>
      </c>
      <c r="J526" s="1">
        <v>8.1510696175059807E-3</v>
      </c>
      <c r="K526" s="1">
        <v>1.4675783811046845</v>
      </c>
      <c r="L526" s="1">
        <v>1.2931615352751937</v>
      </c>
      <c r="M526" s="1">
        <v>4.0273544727634607E-2</v>
      </c>
      <c r="N526" s="1">
        <v>0.31798001310356322</v>
      </c>
      <c r="O526" s="1">
        <v>7.0790588235294105E-2</v>
      </c>
      <c r="P526" s="1">
        <v>6.9387513833203074E-2</v>
      </c>
      <c r="Q526" s="1">
        <v>0.18001442596329192</v>
      </c>
      <c r="R526" s="2">
        <f t="shared" si="35"/>
        <v>8.7216451638493293</v>
      </c>
      <c r="S526" s="2">
        <f t="shared" si="34"/>
        <v>1.5451169645553935</v>
      </c>
      <c r="T526" s="2">
        <f t="shared" si="36"/>
        <v>1.7222056813416857</v>
      </c>
      <c r="U526" s="2">
        <f t="shared" si="37"/>
        <v>11.988967809746409</v>
      </c>
    </row>
    <row r="527" spans="1:21" x14ac:dyDescent="0.25">
      <c r="A527">
        <v>2324265</v>
      </c>
      <c r="B527">
        <v>3</v>
      </c>
      <c r="C527" s="1">
        <f>0.293102940596873*(10.3/7.3)</f>
        <v>0.41355620385586189</v>
      </c>
      <c r="D527" s="1">
        <f>0.398679617584919*(10.3/7.3)</f>
        <v>0.56252055631844733</v>
      </c>
      <c r="E527" s="1">
        <f>1.40162697682836*(10.3/7.3)</f>
        <v>1.977638063196175</v>
      </c>
      <c r="F527" s="1">
        <f>2.95123087221356*(38.9/42.5)</f>
        <v>2.7012442571554698</v>
      </c>
      <c r="G527" s="1">
        <v>0.11741643048103406</v>
      </c>
      <c r="H527" s="1">
        <v>0.88343961883026945</v>
      </c>
      <c r="I527" s="1">
        <v>2.1616746015475274</v>
      </c>
      <c r="J527" s="1">
        <v>8.2165397554776528E-3</v>
      </c>
      <c r="K527" s="1">
        <v>1.5671107120659198</v>
      </c>
      <c r="L527" s="1">
        <v>1.3481777565387409</v>
      </c>
      <c r="M527" s="1">
        <v>4.051540956067716E-2</v>
      </c>
      <c r="N527" s="1">
        <v>0.32377857590031311</v>
      </c>
      <c r="O527" s="1">
        <v>7.2320000000000009E-2</v>
      </c>
      <c r="P527" s="1">
        <v>7.5134863309497105E-2</v>
      </c>
      <c r="Q527" s="1">
        <v>0.1876518295358994</v>
      </c>
      <c r="R527" s="2">
        <f t="shared" si="35"/>
        <v>9.005141560920686</v>
      </c>
      <c r="S527" s="2">
        <f t="shared" si="34"/>
        <v>1.6504621151308945</v>
      </c>
      <c r="T527" s="2">
        <f t="shared" si="36"/>
        <v>1.7847917419997312</v>
      </c>
      <c r="U527" s="2">
        <f t="shared" si="37"/>
        <v>12.440395418051311</v>
      </c>
    </row>
    <row r="528" spans="1:21" x14ac:dyDescent="0.25">
      <c r="A528">
        <v>2324313</v>
      </c>
      <c r="B528">
        <v>17</v>
      </c>
      <c r="C528" s="1">
        <f>0.355236462451897*(10.3/7.3)</f>
        <v>0.50122404976089574</v>
      </c>
      <c r="D528" s="1">
        <f>0.516299669905083*(10.3/7.3)</f>
        <v>0.72847761644141806</v>
      </c>
      <c r="E528" s="1">
        <f>1.81323054867105*(10.3/7.3)</f>
        <v>2.5583937878509273</v>
      </c>
      <c r="F528" s="1">
        <f>3.66957041039449*(38.9/42.5)</f>
        <v>3.3587362109257803</v>
      </c>
      <c r="G528" s="1">
        <v>0.14120645387928055</v>
      </c>
      <c r="H528" s="1">
        <v>1.1253135703869983</v>
      </c>
      <c r="I528" s="1">
        <v>2.6083622574933911</v>
      </c>
      <c r="J528" s="1">
        <v>9.8412375140944659E-3</v>
      </c>
      <c r="K528" s="1">
        <v>3.239326589763742</v>
      </c>
      <c r="L528" s="1">
        <v>2.1719759622628447</v>
      </c>
      <c r="M528" s="1">
        <v>4.4029613275945227E-2</v>
      </c>
      <c r="N528" s="1">
        <v>0.39169845329026681</v>
      </c>
      <c r="O528" s="1">
        <v>8.2726274509803924E-2</v>
      </c>
      <c r="P528" s="1">
        <v>9.3305666547903732E-2</v>
      </c>
      <c r="Q528" s="1">
        <v>0.22567241487556272</v>
      </c>
      <c r="R528" s="2">
        <f t="shared" si="35"/>
        <v>11.247386361614254</v>
      </c>
      <c r="S528" s="2">
        <f t="shared" si="34"/>
        <v>3.3424734938257403</v>
      </c>
      <c r="T528" s="2">
        <f t="shared" si="36"/>
        <v>2.6904303033388608</v>
      </c>
      <c r="U528" s="2">
        <f t="shared" si="37"/>
        <v>17.280290158778854</v>
      </c>
    </row>
    <row r="529" spans="1:21" x14ac:dyDescent="0.25">
      <c r="A529">
        <v>2324401</v>
      </c>
      <c r="B529">
        <v>39</v>
      </c>
      <c r="C529" s="1">
        <f>0.489122763925792*(10.3/7.3)</f>
        <v>0.69013211896378945</v>
      </c>
      <c r="D529" s="1">
        <f>0.690899976208118*(10.3/7.3)</f>
        <v>0.97483147327994724</v>
      </c>
      <c r="E529" s="1">
        <f>2.42919994620857*(10.3/7.3)</f>
        <v>3.4275012939655189</v>
      </c>
      <c r="F529" s="1">
        <f>4.91429179077295*(38.9/42.5)</f>
        <v>4.4980223684957119</v>
      </c>
      <c r="G529" s="1">
        <v>0.18801375053477987</v>
      </c>
      <c r="H529" s="1">
        <v>1.2345933017756736</v>
      </c>
      <c r="I529" s="1">
        <v>3.5241057706870524</v>
      </c>
      <c r="J529" s="1">
        <v>1.0495727693624144E-2</v>
      </c>
      <c r="K529" s="1">
        <v>1.8792837805457407</v>
      </c>
      <c r="L529" s="1">
        <v>2.2683125154716168</v>
      </c>
      <c r="M529" s="1">
        <v>4.7418315593752314E-2</v>
      </c>
      <c r="N529" s="1">
        <v>0.44922072305864152</v>
      </c>
      <c r="O529" s="1">
        <v>8.7444786324786306E-2</v>
      </c>
      <c r="P529" s="1">
        <v>7.8511657896722167E-2</v>
      </c>
      <c r="Q529" s="1">
        <v>0.30047859674508226</v>
      </c>
      <c r="R529" s="2">
        <f t="shared" si="35"/>
        <v>14.837678674447554</v>
      </c>
      <c r="S529" s="2">
        <f t="shared" si="34"/>
        <v>1.9682911661360871</v>
      </c>
      <c r="T529" s="2">
        <f t="shared" si="36"/>
        <v>2.8523963404487969</v>
      </c>
      <c r="U529" s="2">
        <f t="shared" si="37"/>
        <v>19.658366181032441</v>
      </c>
    </row>
    <row r="530" spans="1:21" x14ac:dyDescent="0.25">
      <c r="A530">
        <v>2324465</v>
      </c>
      <c r="B530">
        <v>1</v>
      </c>
      <c r="C530" s="1">
        <f>0.897351440636982*(10.3/7.3)</f>
        <v>1.2661260052823167</v>
      </c>
      <c r="D530" s="1">
        <f>0.973275854208112*(10.3/7.3)</f>
        <v>1.3732522326498027</v>
      </c>
      <c r="E530" s="1">
        <f>3.46011535010148*(10.3/7.3)</f>
        <v>4.8820805624719563</v>
      </c>
      <c r="F530" s="1">
        <f>7.17317415511224*(38.9/42.5)</f>
        <v>6.5655641090321399</v>
      </c>
      <c r="G530" s="1">
        <v>0.26716440319626089</v>
      </c>
      <c r="H530" s="1">
        <v>1.6432648727443646</v>
      </c>
      <c r="I530" s="1">
        <v>5.6488070048774901</v>
      </c>
      <c r="J530" s="1">
        <v>1.1779133630038194E-2</v>
      </c>
      <c r="K530" s="1">
        <v>1.7066666634362686</v>
      </c>
      <c r="L530" s="1">
        <v>4.0951836763932272</v>
      </c>
      <c r="M530" s="1">
        <v>5.5326956860400463E-2</v>
      </c>
      <c r="N530" s="1">
        <v>0.53603289515995889</v>
      </c>
      <c r="O530" s="1">
        <v>9.9306666666666668E-2</v>
      </c>
      <c r="P530" s="1">
        <v>7.8772032346427115E-2</v>
      </c>
      <c r="Q530" s="1">
        <v>0.42697507360133058</v>
      </c>
      <c r="R530" s="2">
        <f t="shared" si="35"/>
        <v>22.07323426385566</v>
      </c>
      <c r="S530" s="2">
        <f t="shared" si="34"/>
        <v>1.7972178294127339</v>
      </c>
      <c r="T530" s="2">
        <f t="shared" si="36"/>
        <v>4.7858501950802541</v>
      </c>
      <c r="U530" s="2">
        <f t="shared" si="37"/>
        <v>28.656302288348648</v>
      </c>
    </row>
    <row r="531" spans="1:21" x14ac:dyDescent="0.25">
      <c r="A531">
        <v>2324505</v>
      </c>
      <c r="B531">
        <v>1</v>
      </c>
      <c r="C531" s="1">
        <f>5.11008388076896*(10.3/7.3)</f>
        <v>7.2101183523178536</v>
      </c>
      <c r="D531" s="1">
        <f>3.89368677176774*(10.3/7.3)</f>
        <v>5.4938320204394087</v>
      </c>
      <c r="E531" s="1">
        <f>14.2184552799787*(10.3/7.3)</f>
        <v>20.061656079969957</v>
      </c>
      <c r="F531" s="1">
        <f>25.7727955491729*(38.9/42.5)</f>
        <v>23.589688161478293</v>
      </c>
      <c r="G531" s="1">
        <v>0.67724566786136486</v>
      </c>
      <c r="H531" s="1">
        <v>7.594893453137793</v>
      </c>
      <c r="I531" s="1">
        <v>23.304218125945987</v>
      </c>
      <c r="J531" s="1">
        <v>2.9821236005730702E-2</v>
      </c>
      <c r="K531" s="1">
        <v>2.7599009878162182</v>
      </c>
      <c r="L531" s="1">
        <v>4.2689219466949844</v>
      </c>
      <c r="M531" s="1">
        <v>9.76466149115882E-2</v>
      </c>
      <c r="N531" s="1">
        <v>1.2914062816218315</v>
      </c>
      <c r="O531" s="1">
        <v>0.18901333333333334</v>
      </c>
      <c r="P531" s="1">
        <v>0.12621894881724188</v>
      </c>
      <c r="Q531" s="1">
        <v>1.0823560901893972</v>
      </c>
      <c r="R531" s="2">
        <f t="shared" si="35"/>
        <v>89.014007951340062</v>
      </c>
      <c r="S531" s="2">
        <f t="shared" si="34"/>
        <v>2.9159411726391906</v>
      </c>
      <c r="T531" s="2">
        <f t="shared" si="36"/>
        <v>5.8469881765617373</v>
      </c>
      <c r="U531" s="2">
        <f t="shared" si="37"/>
        <v>97.776937300540993</v>
      </c>
    </row>
    <row r="532" spans="1:21" x14ac:dyDescent="0.25">
      <c r="A532">
        <v>2324513</v>
      </c>
      <c r="B532">
        <v>64</v>
      </c>
      <c r="C532" s="1">
        <f>3.11663961122976*(10.3/7.3)</f>
        <v>4.3974504103652725</v>
      </c>
      <c r="D532" s="1">
        <f>3.26588980814508*(10.3/7.3)</f>
        <v>4.6080363046430648</v>
      </c>
      <c r="E532" s="1">
        <f>11.6188279123905*(10.3/7.3)</f>
        <v>16.393688698304402</v>
      </c>
      <c r="F532" s="1">
        <f>24.7350156800149*(38.9/42.5)</f>
        <v>22.639814351825429</v>
      </c>
      <c r="G532" s="1">
        <v>0.94391550843875727</v>
      </c>
      <c r="H532" s="1">
        <v>5.0395737476737645</v>
      </c>
      <c r="I532" s="1">
        <v>19.787306343490716</v>
      </c>
      <c r="J532" s="1">
        <v>3.0449893162386086E-2</v>
      </c>
      <c r="K532" s="1">
        <v>3.360230818228171</v>
      </c>
      <c r="L532" s="1">
        <v>5.3257710753282543</v>
      </c>
      <c r="M532" s="1">
        <v>0.11976113960352702</v>
      </c>
      <c r="N532" s="1">
        <v>1.5118859166376497</v>
      </c>
      <c r="O532" s="1">
        <v>0.24901499999999996</v>
      </c>
      <c r="P532" s="1">
        <v>0.15051715164061888</v>
      </c>
      <c r="Q532" s="1">
        <v>1.5085407669112567</v>
      </c>
      <c r="R532" s="2">
        <f t="shared" si="35"/>
        <v>75.318326131652654</v>
      </c>
      <c r="S532" s="2">
        <f t="shared" si="34"/>
        <v>3.5411978630311762</v>
      </c>
      <c r="T532" s="2">
        <f t="shared" si="36"/>
        <v>7.2064331315694314</v>
      </c>
      <c r="U532" s="2">
        <f t="shared" si="37"/>
        <v>86.065957126253252</v>
      </c>
    </row>
    <row r="533" spans="1:21" x14ac:dyDescent="0.25">
      <c r="A533">
        <v>2324521</v>
      </c>
      <c r="B533">
        <v>66</v>
      </c>
      <c r="C533" s="1">
        <f>1.99837482791412*(10.3/7.3)</f>
        <v>2.8196247571938957</v>
      </c>
      <c r="D533" s="1">
        <f>2.13925718119264*(10.3/7.3)</f>
        <v>3.018403967984133</v>
      </c>
      <c r="E533" s="1">
        <f>7.61721610538194*(10.3/7.3)</f>
        <v>10.747578888415614</v>
      </c>
      <c r="F533" s="1">
        <f>15.4517328263341*(38.9/42.5)</f>
        <v>14.142880163397566</v>
      </c>
      <c r="G533" s="1">
        <v>0.55776137124387215</v>
      </c>
      <c r="H533" s="1">
        <v>2.310766156814116</v>
      </c>
      <c r="I533" s="1">
        <v>12.189063754060447</v>
      </c>
      <c r="J533" s="1">
        <v>2.2300350218959198E-2</v>
      </c>
      <c r="K533" s="1">
        <v>2.6889270231431017</v>
      </c>
      <c r="L533" s="1">
        <v>3.8351208463880426</v>
      </c>
      <c r="M533" s="1">
        <v>9.8430249236013109E-2</v>
      </c>
      <c r="N533" s="1">
        <v>0.98046510946457788</v>
      </c>
      <c r="O533" s="1">
        <v>0.17712404040404042</v>
      </c>
      <c r="P533" s="1">
        <v>0.12586886781981418</v>
      </c>
      <c r="Q533" s="1">
        <v>0.89139945175961377</v>
      </c>
      <c r="R533" s="2">
        <f t="shared" si="35"/>
        <v>46.677478510869257</v>
      </c>
      <c r="S533" s="2">
        <f t="shared" si="34"/>
        <v>2.8370962411818752</v>
      </c>
      <c r="T533" s="2">
        <f t="shared" si="36"/>
        <v>5.0911402454926735</v>
      </c>
      <c r="U533" s="2">
        <f t="shared" si="37"/>
        <v>54.605714997543807</v>
      </c>
    </row>
    <row r="534" spans="1:21" x14ac:dyDescent="0.25">
      <c r="A534">
        <v>2324529</v>
      </c>
      <c r="B534">
        <v>43</v>
      </c>
      <c r="C534" s="1">
        <f>1.50100435548698*(10.3/7.3)</f>
        <v>2.1178554604816253</v>
      </c>
      <c r="D534" s="1">
        <f>1.63204242548998*(10.3/7.3)</f>
        <v>2.302744792129698</v>
      </c>
      <c r="E534" s="1">
        <f>5.80729674149764*(10.3/7.3)</f>
        <v>8.1938570462227052</v>
      </c>
      <c r="F534" s="1">
        <f>11.7395596810918*(38.9/42.5)</f>
        <v>10.745149919869881</v>
      </c>
      <c r="G534" s="1">
        <v>0.42351309414493465</v>
      </c>
      <c r="H534" s="1">
        <v>1.8826349036949097</v>
      </c>
      <c r="I534" s="1">
        <v>9.2033596237820809</v>
      </c>
      <c r="J534" s="1">
        <v>1.9326707643401084E-2</v>
      </c>
      <c r="K534" s="1">
        <v>2.3976059659492828</v>
      </c>
      <c r="L534" s="1">
        <v>3.2235707734785408</v>
      </c>
      <c r="M534" s="1">
        <v>8.9848408307316358E-2</v>
      </c>
      <c r="N534" s="1">
        <v>0.85048664839079935</v>
      </c>
      <c r="O534" s="1">
        <v>0.15457116279069769</v>
      </c>
      <c r="P534" s="1">
        <v>0.11504077827922868</v>
      </c>
      <c r="Q534" s="1">
        <v>0.67684741073391486</v>
      </c>
      <c r="R534" s="2">
        <f t="shared" si="35"/>
        <v>35.545962251059748</v>
      </c>
      <c r="S534" s="2">
        <f t="shared" si="34"/>
        <v>2.5319734518719126</v>
      </c>
      <c r="T534" s="2">
        <f t="shared" si="36"/>
        <v>4.3184769929673541</v>
      </c>
      <c r="U534" s="2">
        <f t="shared" si="37"/>
        <v>42.396412695899016</v>
      </c>
    </row>
    <row r="535" spans="1:21" x14ac:dyDescent="0.25">
      <c r="A535">
        <v>2324937</v>
      </c>
      <c r="B535">
        <v>3</v>
      </c>
      <c r="C535" s="1">
        <f>7.12942334105724*(10.3/7.3)</f>
        <v>10.059323344231455</v>
      </c>
      <c r="D535" s="1">
        <f>8.11790080219646*(10.3/7.3)</f>
        <v>11.454024419537474</v>
      </c>
      <c r="E535" s="1">
        <f>29.017993053169*(10.3/7.3)</f>
        <v>40.943195677758958</v>
      </c>
      <c r="F535" s="1">
        <f>48.6038041124164*(38.9/42.5)</f>
        <v>44.486775999364646</v>
      </c>
      <c r="G535" s="1">
        <v>1.2961228877955147</v>
      </c>
      <c r="H535" s="1">
        <v>2.7583694562590231</v>
      </c>
      <c r="I535" s="1">
        <v>36.201432268843512</v>
      </c>
      <c r="J535" s="1">
        <v>4.5730421292794782E-2</v>
      </c>
      <c r="K535" s="1">
        <v>2.6118430323770254</v>
      </c>
      <c r="L535" s="1">
        <v>2.4737802479633526</v>
      </c>
      <c r="M535" s="1">
        <v>0.22889701167715137</v>
      </c>
      <c r="N535" s="1">
        <v>4.660399669866675</v>
      </c>
      <c r="O535" s="1">
        <v>0.13169777777777777</v>
      </c>
      <c r="P535" s="1">
        <v>0.10311933889915346</v>
      </c>
      <c r="Q535" s="1">
        <v>2.0714292727325598</v>
      </c>
      <c r="R535" s="2">
        <f t="shared" si="35"/>
        <v>149.27067332652314</v>
      </c>
      <c r="S535" s="2">
        <f t="shared" si="34"/>
        <v>2.7606927925689737</v>
      </c>
      <c r="T535" s="2">
        <f t="shared" si="36"/>
        <v>7.4947747072849573</v>
      </c>
      <c r="U535" s="2">
        <f t="shared" si="37"/>
        <v>159.52614082637706</v>
      </c>
    </row>
    <row r="536" spans="1:21" x14ac:dyDescent="0.25">
      <c r="A536">
        <v>2324945</v>
      </c>
      <c r="B536">
        <v>7</v>
      </c>
      <c r="C536" s="1">
        <f>7.78262190414852*(10.3/7.3)</f>
        <v>10.980959672976681</v>
      </c>
      <c r="D536" s="1">
        <f>9.00716706829508*(10.3/7.3)</f>
        <v>12.708742575813607</v>
      </c>
      <c r="E536" s="1">
        <f>32.2021267663699*(10.3/7.3)</f>
        <v>45.435877492275353</v>
      </c>
      <c r="F536" s="1">
        <f>52.3808281587658*(38.9/42.5)</f>
        <v>47.943863891199776</v>
      </c>
      <c r="G536" s="1">
        <v>1.3168921228116324</v>
      </c>
      <c r="H536" s="1">
        <v>3.4371127723159631</v>
      </c>
      <c r="I536" s="1">
        <v>38.4894038059577</v>
      </c>
      <c r="J536" s="1">
        <v>4.7285050326510876E-2</v>
      </c>
      <c r="K536" s="1">
        <v>2.7649622707565391</v>
      </c>
      <c r="L536" s="1">
        <v>2.5995782540651686</v>
      </c>
      <c r="M536" s="1">
        <v>0.23117375094988346</v>
      </c>
      <c r="N536" s="1">
        <v>2.4732170426890088</v>
      </c>
      <c r="O536" s="1">
        <v>0.13415619047619048</v>
      </c>
      <c r="P536" s="1">
        <v>0.10676421358240273</v>
      </c>
      <c r="Q536" s="1">
        <v>2.1046221140825199</v>
      </c>
      <c r="R536" s="2">
        <f t="shared" si="35"/>
        <v>162.41747444743325</v>
      </c>
      <c r="S536" s="2">
        <f t="shared" si="34"/>
        <v>2.9190115346654526</v>
      </c>
      <c r="T536" s="2">
        <f t="shared" si="36"/>
        <v>5.438125238180251</v>
      </c>
      <c r="U536" s="2">
        <f t="shared" si="37"/>
        <v>170.77461122027896</v>
      </c>
    </row>
    <row r="537" spans="1:21" x14ac:dyDescent="0.25">
      <c r="A537">
        <v>2324969</v>
      </c>
      <c r="B537">
        <v>2</v>
      </c>
      <c r="C537" s="1">
        <f>8.34620481071813*(10.3/7.3)</f>
        <v>11.776151993205035</v>
      </c>
      <c r="D537" s="1">
        <f>9.14273689356636*(10.3/7.3)</f>
        <v>12.900026027908698</v>
      </c>
      <c r="E537" s="1">
        <f>32.7884973710486*(10.3/7.3)</f>
        <v>46.263222318054929</v>
      </c>
      <c r="F537" s="1">
        <f>52.7329474350202*(38.9/42.5)</f>
        <v>48.266156593465524</v>
      </c>
      <c r="G537" s="1">
        <v>1.2580331837253649</v>
      </c>
      <c r="H537" s="1">
        <v>5.9220686235656474</v>
      </c>
      <c r="I537" s="1">
        <v>39.657300077115679</v>
      </c>
      <c r="J537" s="1">
        <v>4.000068181929757E-2</v>
      </c>
      <c r="K537" s="1">
        <v>2.4809898604742093</v>
      </c>
      <c r="L537" s="1">
        <v>2.2835305950453884</v>
      </c>
      <c r="M537" s="1">
        <v>0.17173733000590549</v>
      </c>
      <c r="N537" s="1">
        <v>1.8545154042113394</v>
      </c>
      <c r="O537" s="1">
        <v>0.12015999999999999</v>
      </c>
      <c r="P537" s="1">
        <v>9.8114137487745945E-2</v>
      </c>
      <c r="Q537" s="1">
        <v>2.010555316456065</v>
      </c>
      <c r="R537" s="2">
        <f t="shared" si="35"/>
        <v>168.05351413349695</v>
      </c>
      <c r="S537" s="2">
        <f t="shared" si="34"/>
        <v>2.6191046797812527</v>
      </c>
      <c r="T537" s="2">
        <f t="shared" si="36"/>
        <v>4.4299433292626338</v>
      </c>
      <c r="U537" s="2">
        <f t="shared" si="37"/>
        <v>175.10256214254085</v>
      </c>
    </row>
    <row r="538" spans="1:21" x14ac:dyDescent="0.25">
      <c r="A538">
        <v>2324977</v>
      </c>
      <c r="B538">
        <v>60</v>
      </c>
      <c r="C538" s="1">
        <f>5.73599945509698*(10.3/7.3)</f>
        <v>8.0932595051368299</v>
      </c>
      <c r="D538" s="1">
        <f>6.49005470422075*(10.3/7.3)</f>
        <v>9.157200473078591</v>
      </c>
      <c r="E538" s="1">
        <f>23.2418116973408*(10.3/7.3)</f>
        <v>32.793241162001337</v>
      </c>
      <c r="F538" s="1">
        <f>37.1537405284599*(38.9/42.5)</f>
        <v>34.00660015428452</v>
      </c>
      <c r="G538" s="1">
        <v>0.88642252017111212</v>
      </c>
      <c r="H538" s="1">
        <v>2.1514721911153187</v>
      </c>
      <c r="I538" s="1">
        <v>27.484013682443901</v>
      </c>
      <c r="J538" s="1">
        <v>2.9752071784488045E-2</v>
      </c>
      <c r="K538" s="1">
        <v>2.1095648702780121</v>
      </c>
      <c r="L538" s="1">
        <v>1.9056106993007937</v>
      </c>
      <c r="M538" s="1">
        <v>0.13666730920884948</v>
      </c>
      <c r="N538" s="1">
        <v>1.4635931438204548</v>
      </c>
      <c r="O538" s="1">
        <v>9.8984000000000003E-2</v>
      </c>
      <c r="P538" s="1">
        <v>8.5636937199330868E-2</v>
      </c>
      <c r="Q538" s="1">
        <v>1.4166569957072579</v>
      </c>
      <c r="R538" s="2">
        <f t="shared" si="35"/>
        <v>115.98886668393887</v>
      </c>
      <c r="S538" s="2">
        <f t="shared" si="34"/>
        <v>2.2249538792618311</v>
      </c>
      <c r="T538" s="2">
        <f t="shared" si="36"/>
        <v>3.604855152330098</v>
      </c>
      <c r="U538" s="2">
        <f t="shared" si="37"/>
        <v>121.8186757155308</v>
      </c>
    </row>
    <row r="539" spans="1:21" x14ac:dyDescent="0.25">
      <c r="A539">
        <v>2324985</v>
      </c>
      <c r="B539">
        <v>61</v>
      </c>
      <c r="C539" s="1">
        <f>6.42496919299729*(10.3/7.3)</f>
        <v>9.0653674914893241</v>
      </c>
      <c r="D539" s="1">
        <f>7.43679801667724*(10.3/7.3)</f>
        <v>10.493016379695282</v>
      </c>
      <c r="E539" s="1">
        <f>26.6229463720183*(10.3/7.3)</f>
        <v>37.563883237231344</v>
      </c>
      <c r="F539" s="1">
        <f>41.53670934779*(38.9/42.5)</f>
        <v>38.018305732447772</v>
      </c>
      <c r="G539" s="1">
        <v>0.94023084515734057</v>
      </c>
      <c r="H539" s="1">
        <v>2.0151267066905674</v>
      </c>
      <c r="I539" s="1">
        <v>30.232249496698309</v>
      </c>
      <c r="J539" s="1">
        <v>2.8395102179001354E-2</v>
      </c>
      <c r="K539" s="1">
        <v>2.1135981334522507</v>
      </c>
      <c r="L539" s="1">
        <v>1.9002532561829515</v>
      </c>
      <c r="M539" s="1">
        <v>0.13136473306514473</v>
      </c>
      <c r="N539" s="1">
        <v>1.4277777823116891</v>
      </c>
      <c r="O539" s="1">
        <v>9.8151693989071032E-2</v>
      </c>
      <c r="P539" s="1">
        <v>8.4957369154051332E-2</v>
      </c>
      <c r="Q539" s="1">
        <v>1.5026520356395869</v>
      </c>
      <c r="R539" s="2">
        <f t="shared" si="35"/>
        <v>129.83083192504952</v>
      </c>
      <c r="S539" s="2">
        <f t="shared" si="34"/>
        <v>2.2269506047853036</v>
      </c>
      <c r="T539" s="2">
        <f t="shared" si="36"/>
        <v>3.5575474655488564</v>
      </c>
      <c r="U539" s="2">
        <f t="shared" si="37"/>
        <v>135.61532999538369</v>
      </c>
    </row>
    <row r="540" spans="1:21" x14ac:dyDescent="0.25">
      <c r="A540">
        <v>2324993</v>
      </c>
      <c r="B540">
        <v>56</v>
      </c>
      <c r="C540" s="1">
        <f>9.36995700117282*(10.3/7.3)</f>
        <v>13.220624261928771</v>
      </c>
      <c r="D540" s="1">
        <f>11.2938567197022*(10.3/7.3)</f>
        <v>15.935167700401781</v>
      </c>
      <c r="E540" s="1">
        <f>40.4079521173153*(10.3/7.3)</f>
        <v>57.013959836759881</v>
      </c>
      <c r="F540" s="1">
        <f>60.2899377242522*(38.9/42.5)</f>
        <v>55.183025352315568</v>
      </c>
      <c r="G540" s="1">
        <v>1.2238060975327516</v>
      </c>
      <c r="H540" s="1">
        <v>2.4295009403582801</v>
      </c>
      <c r="I540" s="1">
        <v>42.54204267912619</v>
      </c>
      <c r="J540" s="1">
        <v>3.066866441324375E-2</v>
      </c>
      <c r="K540" s="1">
        <v>2.2653402031142247</v>
      </c>
      <c r="L540" s="1">
        <v>2.0755699325568866</v>
      </c>
      <c r="M540" s="1">
        <v>0.13932288522568839</v>
      </c>
      <c r="N540" s="1">
        <v>1.5184125256390097</v>
      </c>
      <c r="O540" s="1">
        <v>0.10449714285714286</v>
      </c>
      <c r="P540" s="1">
        <v>8.8018627728158841E-2</v>
      </c>
      <c r="Q540" s="1">
        <v>1.9558544937738063</v>
      </c>
      <c r="R540" s="2">
        <f t="shared" si="35"/>
        <v>189.50398136219704</v>
      </c>
      <c r="S540" s="2">
        <f t="shared" si="34"/>
        <v>2.3840274952556273</v>
      </c>
      <c r="T540" s="2">
        <f t="shared" si="36"/>
        <v>3.8378024862787274</v>
      </c>
      <c r="U540" s="2">
        <f t="shared" si="37"/>
        <v>195.72581134373138</v>
      </c>
    </row>
    <row r="541" spans="1:21" x14ac:dyDescent="0.25">
      <c r="A541">
        <v>2325081</v>
      </c>
      <c r="B541">
        <v>23</v>
      </c>
      <c r="C541" s="1">
        <f>13.8375232186996*(10.3/7.3)</f>
        <v>19.52417659624734</v>
      </c>
      <c r="D541" s="1">
        <f>19.2874940210568*(10.3/7.3)</f>
        <v>27.213861426970588</v>
      </c>
      <c r="E541" s="1">
        <f>68.4829458105574*(10.3/7.3)</f>
        <v>96.626622171060376</v>
      </c>
      <c r="F541" s="1">
        <f>106.63964273222*(38.9/42.5)</f>
        <v>97.606637700784589</v>
      </c>
      <c r="G541" s="1">
        <v>2.6057276181829132</v>
      </c>
      <c r="H541" s="1">
        <v>6.0403668697637842</v>
      </c>
      <c r="I541" s="1">
        <v>71.209308962457598</v>
      </c>
      <c r="J541" s="1">
        <v>3.0045203369263876E-2</v>
      </c>
      <c r="K541" s="1">
        <v>2.4938651748670138</v>
      </c>
      <c r="L541" s="1">
        <v>2.2534164197003652</v>
      </c>
      <c r="M541" s="1">
        <v>0.11085493065609132</v>
      </c>
      <c r="N541" s="1">
        <v>1.8421425981435866</v>
      </c>
      <c r="O541" s="1">
        <v>0.10164405797101449</v>
      </c>
      <c r="P541" s="1">
        <v>8.5154147390730378E-2</v>
      </c>
      <c r="Q541" s="1">
        <v>4.1644048692421025</v>
      </c>
      <c r="R541" s="2">
        <f t="shared" si="35"/>
        <v>324.9911062147093</v>
      </c>
      <c r="S541" s="2">
        <f t="shared" si="34"/>
        <v>2.6090645256270082</v>
      </c>
      <c r="T541" s="2">
        <f t="shared" si="36"/>
        <v>4.3080580064710574</v>
      </c>
      <c r="U541" s="2">
        <f t="shared" si="37"/>
        <v>331.90822874680737</v>
      </c>
    </row>
    <row r="542" spans="1:21" x14ac:dyDescent="0.25">
      <c r="A542">
        <v>2325097</v>
      </c>
      <c r="B542">
        <v>60</v>
      </c>
      <c r="C542" s="1">
        <f>15.8201505646254*(10.3/7.3)</f>
        <v>22.321582303512482</v>
      </c>
      <c r="D542" s="1">
        <f>18.1363402779113*(10.3/7.3)</f>
        <v>25.589630803080308</v>
      </c>
      <c r="E542" s="1">
        <f>65.0290983655287*(10.3/7.3)</f>
        <v>91.753385365061064</v>
      </c>
      <c r="F542" s="1">
        <f>97.8310964519172*(38.9/42.5)</f>
        <v>89.544227105401902</v>
      </c>
      <c r="G542" s="1">
        <v>1.9810937914119526</v>
      </c>
      <c r="H542" s="1">
        <v>5.0200420621845758</v>
      </c>
      <c r="I542" s="1">
        <v>70.933321577114157</v>
      </c>
      <c r="J542" s="1">
        <v>3.3289489316755759E-2</v>
      </c>
      <c r="K542" s="1">
        <v>2.7055823941526125</v>
      </c>
      <c r="L542" s="1">
        <v>2.4728739595430018</v>
      </c>
      <c r="M542" s="1">
        <v>0.11597763967488603</v>
      </c>
      <c r="N542" s="1">
        <v>1.8695940158643802</v>
      </c>
      <c r="O542" s="1">
        <v>0.10699377777777777</v>
      </c>
      <c r="P542" s="1">
        <v>8.8084567399210181E-2</v>
      </c>
      <c r="Q542" s="1">
        <v>3.1661316301104292</v>
      </c>
      <c r="R542" s="2">
        <f t="shared" si="35"/>
        <v>310.30941463787684</v>
      </c>
      <c r="S542" s="2">
        <f t="shared" si="34"/>
        <v>2.8269564508685785</v>
      </c>
      <c r="T542" s="2">
        <f t="shared" si="36"/>
        <v>4.5654393928600454</v>
      </c>
      <c r="U542" s="2">
        <f t="shared" si="37"/>
        <v>317.70181048160549</v>
      </c>
    </row>
    <row r="543" spans="1:21" x14ac:dyDescent="0.25">
      <c r="A543">
        <v>2336397</v>
      </c>
      <c r="B543">
        <v>20</v>
      </c>
      <c r="C543" s="1">
        <f>0.294475055871171*(10.3/7.3)</f>
        <v>0.41549220211959803</v>
      </c>
      <c r="D543" s="1">
        <f>0.393356329991127*(10.3/7.3)</f>
        <v>0.55500961628885015</v>
      </c>
      <c r="E543" s="1">
        <f>1.38190897343294*(10.3/7.3)</f>
        <v>1.9498167707341549</v>
      </c>
      <c r="F543" s="1">
        <f>3.01363725829628*(38.9/42.5)</f>
        <v>2.758364455240597</v>
      </c>
      <c r="G543" s="1">
        <v>0.12411288657640913</v>
      </c>
      <c r="H543" s="1">
        <v>2.7829523673254597</v>
      </c>
      <c r="I543" s="1">
        <v>2.2363354312756352</v>
      </c>
      <c r="J543" s="1">
        <v>8.3602146346970652E-3</v>
      </c>
      <c r="K543" s="1">
        <v>1.1486152982916962</v>
      </c>
      <c r="L543" s="1">
        <v>1.0519695070481538</v>
      </c>
      <c r="M543" s="1">
        <v>4.2404114672530295E-2</v>
      </c>
      <c r="N543" s="1">
        <v>0.31514018220466794</v>
      </c>
      <c r="O543" s="1">
        <v>7.9634666666666659E-2</v>
      </c>
      <c r="P543" s="1">
        <v>6.035704469220933E-2</v>
      </c>
      <c r="Q543" s="1">
        <v>0.19835392831846232</v>
      </c>
      <c r="R543" s="2">
        <f t="shared" si="35"/>
        <v>11.020437657879166</v>
      </c>
      <c r="S543" s="2">
        <f t="shared" si="34"/>
        <v>1.2173325576186025</v>
      </c>
      <c r="T543" s="2">
        <f t="shared" si="36"/>
        <v>1.4891484705920188</v>
      </c>
      <c r="U543" s="2">
        <f t="shared" si="37"/>
        <v>13.726918686089787</v>
      </c>
    </row>
    <row r="544" spans="1:21" x14ac:dyDescent="0.25">
      <c r="A544">
        <v>2336461</v>
      </c>
      <c r="B544">
        <v>17</v>
      </c>
      <c r="C544" s="1">
        <f>0.549174114736713*(10.3/7.3)</f>
        <v>0.77486210709426639</v>
      </c>
      <c r="D544" s="1">
        <f>0.667857430600819*(10.3/7.3)</f>
        <v>0.94231938838197715</v>
      </c>
      <c r="E544" s="1">
        <f>2.34460621390421*(10.3/7.3)</f>
        <v>3.3081430141388117</v>
      </c>
      <c r="F544" s="1">
        <f>5.69221295339847*(38.9/42.5)</f>
        <v>5.2100490326400077</v>
      </c>
      <c r="G544" s="1">
        <v>0.25565859863621399</v>
      </c>
      <c r="H544" s="1">
        <v>3.2575823278732887</v>
      </c>
      <c r="I544" s="1">
        <v>4.4246709782121556</v>
      </c>
      <c r="J544" s="1">
        <v>9.9445720055937829E-3</v>
      </c>
      <c r="K544" s="1">
        <v>1.594196197920251</v>
      </c>
      <c r="L544" s="1">
        <v>1.4402286466128893</v>
      </c>
      <c r="M544" s="1">
        <v>4.7079259090279955E-2</v>
      </c>
      <c r="N544" s="1">
        <v>0.38588371691904899</v>
      </c>
      <c r="O544" s="1">
        <v>8.2356078431372534E-2</v>
      </c>
      <c r="P544" s="1">
        <v>7.8523995345305866E-2</v>
      </c>
      <c r="Q544" s="1">
        <v>0.40858680147340182</v>
      </c>
      <c r="R544" s="2">
        <f t="shared" si="35"/>
        <v>18.581872248450122</v>
      </c>
      <c r="S544" s="2">
        <f t="shared" si="34"/>
        <v>1.6826647652711506</v>
      </c>
      <c r="T544" s="2">
        <f t="shared" si="36"/>
        <v>1.9555477010535909</v>
      </c>
      <c r="U544" s="2">
        <f t="shared" si="37"/>
        <v>22.220084714774863</v>
      </c>
    </row>
    <row r="545" spans="1:21" x14ac:dyDescent="0.25">
      <c r="A545">
        <v>2336469</v>
      </c>
      <c r="B545">
        <v>3</v>
      </c>
      <c r="C545" s="1">
        <f>0.301945018707011*(10.3/7.3)</f>
        <v>0.42603201269619367</v>
      </c>
      <c r="D545" s="1">
        <f>0.379849960884961*(10.3/7.3)</f>
        <v>0.53595268453631473</v>
      </c>
      <c r="E545" s="1">
        <f>1.33986682896772*(10.3/7.3)</f>
        <v>1.8904970326530912</v>
      </c>
      <c r="F545" s="1">
        <f>2.82497475968472*(38.9/42.5)</f>
        <v>2.5856827800408402</v>
      </c>
      <c r="G545" s="1">
        <v>0.11090720405777844</v>
      </c>
      <c r="H545" s="1">
        <v>0.90594549505142086</v>
      </c>
      <c r="I545" s="1">
        <v>2.1213470286409524</v>
      </c>
      <c r="J545" s="1">
        <v>8.0383251976744799E-3</v>
      </c>
      <c r="K545" s="1">
        <v>1.2844703029871321</v>
      </c>
      <c r="L545" s="1">
        <v>1.177793498336863</v>
      </c>
      <c r="M545" s="1">
        <v>3.8573662102872247E-2</v>
      </c>
      <c r="N545" s="1">
        <v>0.30965307740662257</v>
      </c>
      <c r="O545" s="1">
        <v>6.9173333333333337E-2</v>
      </c>
      <c r="P545" s="1">
        <v>6.3093110018799012E-2</v>
      </c>
      <c r="Q545" s="1">
        <v>0.17724895625672374</v>
      </c>
      <c r="R545" s="2">
        <f t="shared" si="35"/>
        <v>8.7536131939333153</v>
      </c>
      <c r="S545" s="2">
        <f t="shared" si="34"/>
        <v>1.3556017382036056</v>
      </c>
      <c r="T545" s="2">
        <f t="shared" si="36"/>
        <v>1.5951935711796912</v>
      </c>
      <c r="U545" s="2">
        <f t="shared" si="37"/>
        <v>11.704408503316611</v>
      </c>
    </row>
    <row r="546" spans="1:21" x14ac:dyDescent="0.25">
      <c r="A546">
        <v>2336477</v>
      </c>
      <c r="B546">
        <v>22</v>
      </c>
      <c r="C546" s="1">
        <f>0.292648525853702*(10.3/7.3)</f>
        <v>0.4129150433278268</v>
      </c>
      <c r="D546" s="1">
        <f>0.377780878900469*(10.3/7.3)</f>
        <v>0.5330332948869636</v>
      </c>
      <c r="E546" s="1">
        <f>1.33136087109622*(10.3/7.3)</f>
        <v>1.8784954756563088</v>
      </c>
      <c r="F546" s="1">
        <f>2.79111891312323*(38.9/42.5)</f>
        <v>2.5546947228351407</v>
      </c>
      <c r="G546" s="1">
        <v>0.10942133169242987</v>
      </c>
      <c r="H546" s="1">
        <v>0.87533200670446798</v>
      </c>
      <c r="I546" s="1">
        <v>2.0762860877235845</v>
      </c>
      <c r="J546" s="1">
        <v>8.0952227026008169E-3</v>
      </c>
      <c r="K546" s="1">
        <v>1.3462588507817486</v>
      </c>
      <c r="L546" s="1">
        <v>1.2390631135794101</v>
      </c>
      <c r="M546" s="1">
        <v>3.9172205613456718E-2</v>
      </c>
      <c r="N546" s="1">
        <v>0.31321315933413763</v>
      </c>
      <c r="O546" s="1">
        <v>6.9934545454545458E-2</v>
      </c>
      <c r="P546" s="1">
        <v>6.606302595750585E-2</v>
      </c>
      <c r="Q546" s="1">
        <v>0.17487427439429454</v>
      </c>
      <c r="R546" s="2">
        <f t="shared" si="35"/>
        <v>8.6150522372210183</v>
      </c>
      <c r="S546" s="2">
        <f t="shared" si="34"/>
        <v>1.4204170994418552</v>
      </c>
      <c r="T546" s="2">
        <f t="shared" si="36"/>
        <v>1.6613830239815499</v>
      </c>
      <c r="U546" s="2">
        <f t="shared" si="37"/>
        <v>11.696852360644424</v>
      </c>
    </row>
    <row r="547" spans="1:21" x14ac:dyDescent="0.25">
      <c r="A547">
        <v>2336485</v>
      </c>
      <c r="B547">
        <v>57</v>
      </c>
      <c r="C547" s="1">
        <f>0.289220643617268*(10.3/7.3)</f>
        <v>0.40807844236408991</v>
      </c>
      <c r="D547" s="1">
        <f>0.382395768061244*(10.3/7.3)</f>
        <v>0.53954471383983738</v>
      </c>
      <c r="E547" s="1">
        <f>1.34597903840017*(10.3/7.3)</f>
        <v>1.8991211089755793</v>
      </c>
      <c r="F547" s="1">
        <f>2.83450242054069*(38.9/42.5)</f>
        <v>2.5944033919772398</v>
      </c>
      <c r="G547" s="1">
        <v>0.11220227281983741</v>
      </c>
      <c r="H547" s="1">
        <v>0.87274947495355615</v>
      </c>
      <c r="I547" s="1">
        <v>2.0946234918603794</v>
      </c>
      <c r="J547" s="1">
        <v>8.1627329541492741E-3</v>
      </c>
      <c r="K547" s="1">
        <v>1.413611349027593</v>
      </c>
      <c r="L547" s="1">
        <v>1.2720872161819936</v>
      </c>
      <c r="M547" s="1">
        <v>4.0099684083504401E-2</v>
      </c>
      <c r="N547" s="1">
        <v>0.31668090505822011</v>
      </c>
      <c r="O547" s="1">
        <v>7.0574035087719297E-2</v>
      </c>
      <c r="P547" s="1">
        <v>6.7949698548476711E-2</v>
      </c>
      <c r="Q547" s="1">
        <v>0.17931870085362156</v>
      </c>
      <c r="R547" s="2">
        <f t="shared" si="35"/>
        <v>8.700041597644141</v>
      </c>
      <c r="S547" s="2">
        <f t="shared" si="34"/>
        <v>1.489723780530219</v>
      </c>
      <c r="T547" s="2">
        <f t="shared" si="36"/>
        <v>1.6994418404114373</v>
      </c>
      <c r="U547" s="2">
        <f t="shared" si="37"/>
        <v>11.889207218585797</v>
      </c>
    </row>
    <row r="548" spans="1:21" x14ac:dyDescent="0.25">
      <c r="A548">
        <v>2336493</v>
      </c>
      <c r="B548">
        <v>40</v>
      </c>
      <c r="C548" s="1">
        <f>0.285285468159633*(10.3/7.3)</f>
        <v>0.40252607151290648</v>
      </c>
      <c r="D548" s="1">
        <f>0.384538474719619*(10.3/7.3)</f>
        <v>0.54256798487836622</v>
      </c>
      <c r="E548" s="1">
        <f>1.35251563960404*(10.3/7.3)</f>
        <v>1.9083439846467949</v>
      </c>
      <c r="F548" s="1">
        <f>2.8432113009985*(38.9/42.5)</f>
        <v>2.6023745790315655</v>
      </c>
      <c r="G548" s="1">
        <v>0.11272674743296048</v>
      </c>
      <c r="H548" s="1">
        <v>0.86745036945524279</v>
      </c>
      <c r="I548" s="1">
        <v>2.0876604565782544</v>
      </c>
      <c r="J548" s="1">
        <v>8.170055458317324E-3</v>
      </c>
      <c r="K548" s="1">
        <v>1.511531448011272</v>
      </c>
      <c r="L548" s="1">
        <v>1.3052836615215224</v>
      </c>
      <c r="M548" s="1">
        <v>4.04624877542515E-2</v>
      </c>
      <c r="N548" s="1">
        <v>0.32077337460545213</v>
      </c>
      <c r="O548" s="1">
        <v>7.1412000000000003E-2</v>
      </c>
      <c r="P548" s="1">
        <v>7.2553511793744224E-2</v>
      </c>
      <c r="Q548" s="1">
        <v>0.18015690229011966</v>
      </c>
      <c r="R548" s="2">
        <f t="shared" si="35"/>
        <v>8.7038070958262104</v>
      </c>
      <c r="S548" s="2">
        <f t="shared" si="34"/>
        <v>1.5922550152633335</v>
      </c>
      <c r="T548" s="2">
        <f t="shared" si="36"/>
        <v>1.7379315238812261</v>
      </c>
      <c r="U548" s="2">
        <f t="shared" si="37"/>
        <v>12.03399363497077</v>
      </c>
    </row>
    <row r="549" spans="1:21" x14ac:dyDescent="0.25">
      <c r="A549">
        <v>2336541</v>
      </c>
      <c r="B549">
        <v>15</v>
      </c>
      <c r="C549" s="1">
        <f>0.418594067793039*(10.3/7.3)</f>
        <v>0.59061902716004178</v>
      </c>
      <c r="D549" s="1">
        <f>0.616373853328359*(10.3/7.3)</f>
        <v>0.86967817661398672</v>
      </c>
      <c r="E549" s="1">
        <f>2.16346656909811*(10.3/7.3)</f>
        <v>3.0525624194123973</v>
      </c>
      <c r="F549" s="1">
        <f>4.38474124444324*(38.9/42.5)</f>
        <v>4.0133278684433451</v>
      </c>
      <c r="G549" s="1">
        <v>0.16941871190638388</v>
      </c>
      <c r="H549" s="1">
        <v>1.3079833018159286</v>
      </c>
      <c r="I549" s="1">
        <v>3.1053623258085699</v>
      </c>
      <c r="J549" s="1">
        <v>1.1586775059710961E-2</v>
      </c>
      <c r="K549" s="1">
        <v>3.6312052372972392</v>
      </c>
      <c r="L549" s="1">
        <v>2.4001320088903486</v>
      </c>
      <c r="M549" s="1">
        <v>4.8119598649159996E-2</v>
      </c>
      <c r="N549" s="1">
        <v>0.42842936321602915</v>
      </c>
      <c r="O549" s="1">
        <v>8.9969777777777774E-2</v>
      </c>
      <c r="P549" s="1">
        <v>0.1010063524805201</v>
      </c>
      <c r="Q549" s="1">
        <v>0.27076049848052253</v>
      </c>
      <c r="R549" s="2">
        <f t="shared" si="35"/>
        <v>13.379712329641174</v>
      </c>
      <c r="S549" s="2">
        <f t="shared" si="34"/>
        <v>3.7437983648374704</v>
      </c>
      <c r="T549" s="2">
        <f t="shared" si="36"/>
        <v>2.9666507485333153</v>
      </c>
      <c r="U549" s="2">
        <f t="shared" si="37"/>
        <v>20.090161443011961</v>
      </c>
    </row>
    <row r="550" spans="1:21" x14ac:dyDescent="0.25">
      <c r="A550">
        <v>2336549</v>
      </c>
      <c r="B550">
        <v>31</v>
      </c>
      <c r="C550" s="1">
        <f>0.37703587240463*(10.3/7.3)</f>
        <v>0.53198212133804035</v>
      </c>
      <c r="D550" s="1">
        <f>0.541656745697105*(10.3/7.3)</f>
        <v>0.76425540831235306</v>
      </c>
      <c r="E550" s="1">
        <f>1.90332922136853*(10.3/7.3)</f>
        <v>2.6855193123419041</v>
      </c>
      <c r="F550" s="1">
        <f>3.84292769228715*(38.9/42.5)</f>
        <v>3.5174091112934187</v>
      </c>
      <c r="G550" s="1">
        <v>0.14714981994933321</v>
      </c>
      <c r="H550" s="1">
        <v>1.6308904333391863</v>
      </c>
      <c r="I550" s="1">
        <v>2.7398468718028477</v>
      </c>
      <c r="J550" s="1">
        <v>1.0183689017324088E-2</v>
      </c>
      <c r="K550" s="1">
        <v>3.2016396470229656</v>
      </c>
      <c r="L550" s="1">
        <v>2.257614435641969</v>
      </c>
      <c r="M550" s="1">
        <v>4.5614790521384813E-2</v>
      </c>
      <c r="N550" s="1">
        <v>0.41106972767849415</v>
      </c>
      <c r="O550" s="1">
        <v>8.6387956989247297E-2</v>
      </c>
      <c r="P550" s="1">
        <v>9.7715473146959747E-2</v>
      </c>
      <c r="Q550" s="1">
        <v>0.23517094512450537</v>
      </c>
      <c r="R550" s="2">
        <f t="shared" si="35"/>
        <v>12.25222402350159</v>
      </c>
      <c r="S550" s="2">
        <f t="shared" si="34"/>
        <v>3.3095388091872495</v>
      </c>
      <c r="T550" s="2">
        <f t="shared" si="36"/>
        <v>2.8006869108310952</v>
      </c>
      <c r="U550" s="2">
        <f t="shared" si="37"/>
        <v>18.362449743519935</v>
      </c>
    </row>
    <row r="551" spans="1:21" x14ac:dyDescent="0.25">
      <c r="A551">
        <v>2336565</v>
      </c>
      <c r="B551">
        <v>9</v>
      </c>
      <c r="C551" s="1">
        <f>0.377430167017634*(10.3/7.3)</f>
        <v>0.53253845483309992</v>
      </c>
      <c r="D551" s="1">
        <f>0.515670892157243*(10.3/7.3)</f>
        <v>0.72759043687939728</v>
      </c>
      <c r="E551" s="1">
        <f>1.81670695963524*(10.3/7.3)</f>
        <v>2.563298860855197</v>
      </c>
      <c r="F551" s="1">
        <f>3.61724653742452*(38.9/42.5)</f>
        <v>3.3108444777838559</v>
      </c>
      <c r="G551" s="1">
        <v>0.13483397591029497</v>
      </c>
      <c r="H551" s="1">
        <v>1.0724068680967527</v>
      </c>
      <c r="I551" s="1">
        <v>2.6117799736819589</v>
      </c>
      <c r="J551" s="1">
        <v>9.4076541968372614E-3</v>
      </c>
      <c r="K551" s="1">
        <v>2.4205580600062526</v>
      </c>
      <c r="L551" s="1">
        <v>2.0876766640327791</v>
      </c>
      <c r="M551" s="1">
        <v>4.3825835942264503E-2</v>
      </c>
      <c r="N551" s="1">
        <v>0.3733598252355021</v>
      </c>
      <c r="O551" s="1">
        <v>8.0391111111111108E-2</v>
      </c>
      <c r="P551" s="1">
        <v>7.8995389548182388E-2</v>
      </c>
      <c r="Q551" s="1">
        <v>0.21548808935435296</v>
      </c>
      <c r="R551" s="2">
        <f t="shared" si="35"/>
        <v>11.168781137394911</v>
      </c>
      <c r="S551" s="2">
        <f t="shared" si="34"/>
        <v>2.5089611037512722</v>
      </c>
      <c r="T551" s="2">
        <f t="shared" si="36"/>
        <v>2.5852534363216564</v>
      </c>
      <c r="U551" s="2">
        <f t="shared" si="37"/>
        <v>16.262995677467838</v>
      </c>
    </row>
    <row r="552" spans="1:21" x14ac:dyDescent="0.25">
      <c r="A552">
        <v>2336629</v>
      </c>
      <c r="B552">
        <v>1</v>
      </c>
      <c r="C552" s="1">
        <f>0.464408246685628*(10.3/7.3)</f>
        <v>0.65526095080300983</v>
      </c>
      <c r="D552" s="1">
        <f>0.657016305188978*(10.3/7.3)</f>
        <v>0.92702300595157128</v>
      </c>
      <c r="E552" s="1">
        <f>2.31084121123163*(10.3/7.3)</f>
        <v>3.260501982970649</v>
      </c>
      <c r="F552" s="1">
        <f>4.62835328186505*(38.9/42.5)</f>
        <v>4.2363045332835387</v>
      </c>
      <c r="G552" s="1">
        <v>0.17499804884060299</v>
      </c>
      <c r="H552" s="1">
        <v>1.2038964235314398</v>
      </c>
      <c r="I552" s="1">
        <v>3.3091240664682897</v>
      </c>
      <c r="J552" s="1">
        <v>1.0268553092468454E-2</v>
      </c>
      <c r="K552" s="1">
        <v>1.7845217808045686</v>
      </c>
      <c r="L552" s="1">
        <v>2.1677278895174044</v>
      </c>
      <c r="M552" s="1">
        <v>4.6098611373456437E-2</v>
      </c>
      <c r="N552" s="1">
        <v>0.43362367817289771</v>
      </c>
      <c r="O552" s="1">
        <v>8.5226666666666659E-2</v>
      </c>
      <c r="P552" s="1">
        <v>7.3440470242204639E-2</v>
      </c>
      <c r="Q552" s="1">
        <v>0.27967724700553021</v>
      </c>
      <c r="R552" s="2">
        <f t="shared" si="35"/>
        <v>14.046786258854631</v>
      </c>
      <c r="S552" s="2">
        <f t="shared" si="34"/>
        <v>1.8682308041392417</v>
      </c>
      <c r="T552" s="2">
        <f t="shared" si="36"/>
        <v>2.7326768457304254</v>
      </c>
      <c r="U552" s="2">
        <f t="shared" si="37"/>
        <v>18.647693908724296</v>
      </c>
    </row>
    <row r="553" spans="1:21" x14ac:dyDescent="0.25">
      <c r="A553">
        <v>2336661</v>
      </c>
      <c r="B553">
        <v>4</v>
      </c>
      <c r="C553" s="1">
        <f>0.774080126443841*(10.3/7.3)</f>
        <v>1.0921952469002141</v>
      </c>
      <c r="D553" s="1">
        <f>0.905368593185491*(10.3/7.3)</f>
        <v>1.2774378780562412</v>
      </c>
      <c r="E553" s="1">
        <f>3.20499342179364*(10.3/7.3)</f>
        <v>4.5221140060923952</v>
      </c>
      <c r="F553" s="1">
        <f>6.72646793680405*(38.9/42.5)</f>
        <v>6.1566965350982956</v>
      </c>
      <c r="G553" s="1">
        <v>0.25874175032441088</v>
      </c>
      <c r="H553" s="1">
        <v>1.5627307858186774</v>
      </c>
      <c r="I553" s="1">
        <v>5.1697396562820828</v>
      </c>
      <c r="J553" s="1">
        <v>1.1931888965298055E-2</v>
      </c>
      <c r="K553" s="1">
        <v>1.8767268128130532</v>
      </c>
      <c r="L553" s="1">
        <v>2.4281142853868509</v>
      </c>
      <c r="M553" s="1">
        <v>5.5276043031241846E-2</v>
      </c>
      <c r="N553" s="1">
        <v>0.53964242436219456</v>
      </c>
      <c r="O553" s="1">
        <v>9.8453333333333323E-2</v>
      </c>
      <c r="P553" s="1">
        <v>8.2613308589272502E-2</v>
      </c>
      <c r="Q553" s="1">
        <v>0.41351421284723244</v>
      </c>
      <c r="R553" s="2">
        <f t="shared" si="35"/>
        <v>20.453170071419549</v>
      </c>
      <c r="S553" s="2">
        <f t="shared" si="34"/>
        <v>1.9712720103676236</v>
      </c>
      <c r="T553" s="2">
        <f t="shared" si="36"/>
        <v>3.1214860861136207</v>
      </c>
      <c r="U553" s="2">
        <f t="shared" si="37"/>
        <v>25.545928167900794</v>
      </c>
    </row>
    <row r="554" spans="1:21" x14ac:dyDescent="0.25">
      <c r="A554">
        <v>2336669</v>
      </c>
      <c r="B554">
        <v>1</v>
      </c>
      <c r="C554" s="1">
        <f>1.25143285684927*(10.3/7.3)</f>
        <v>1.7657203322667727</v>
      </c>
      <c r="D554" s="1">
        <f>1.19000249368553*(10.3/7.3)</f>
        <v>1.6790446143782074</v>
      </c>
      <c r="E554" s="1">
        <f>4.25582922548633*(10.3/7.3)</f>
        <v>6.004800140069757</v>
      </c>
      <c r="F554" s="1">
        <f>9.10017813719855*(38.9/42.5)</f>
        <v>8.3293395185182035</v>
      </c>
      <c r="G554" s="1">
        <v>0.34076873275153596</v>
      </c>
      <c r="H554" s="1">
        <v>1.4921060026023032</v>
      </c>
      <c r="I554" s="1">
        <v>7.5436867775472454</v>
      </c>
      <c r="J554" s="1">
        <v>1.1736701592466011E-2</v>
      </c>
      <c r="K554" s="1">
        <v>1.8285596267033597</v>
      </c>
      <c r="L554" s="1">
        <v>2.4757726150560737</v>
      </c>
      <c r="M554" s="1">
        <v>5.3671785432917681E-2</v>
      </c>
      <c r="N554" s="1">
        <v>0.5343614671395982</v>
      </c>
      <c r="O554" s="1">
        <v>9.701333333333334E-2</v>
      </c>
      <c r="P554" s="1">
        <v>8.1920147001332863E-2</v>
      </c>
      <c r="Q554" s="1">
        <v>0.5446075637581631</v>
      </c>
      <c r="R554" s="2">
        <f t="shared" si="35"/>
        <v>27.700073681892185</v>
      </c>
      <c r="S554" s="2">
        <f t="shared" si="34"/>
        <v>1.9222164752971587</v>
      </c>
      <c r="T554" s="2">
        <f t="shared" si="36"/>
        <v>3.1608192009619231</v>
      </c>
      <c r="U554" s="2">
        <f t="shared" si="37"/>
        <v>32.783109358151265</v>
      </c>
    </row>
    <row r="555" spans="1:21" x14ac:dyDescent="0.25">
      <c r="A555">
        <v>2336733</v>
      </c>
      <c r="B555">
        <v>1</v>
      </c>
      <c r="C555" s="1">
        <f>2.41842785066478*(10.3/7.3)</f>
        <v>3.4123023098420888</v>
      </c>
      <c r="D555" s="1">
        <f>2.35023138427163*(10.3/7.3)</f>
        <v>3.3160798983558664</v>
      </c>
      <c r="E555" s="1">
        <f>8.41385358180104*(10.3/7.3)</f>
        <v>11.87160162911653</v>
      </c>
      <c r="F555" s="1">
        <f>17.0175422838954*(38.9/42.5)</f>
        <v>15.576056349259529</v>
      </c>
      <c r="G555" s="1">
        <v>0.59580880760997457</v>
      </c>
      <c r="H555" s="1">
        <v>3.4867312712768812</v>
      </c>
      <c r="I555" s="1">
        <v>13.919650910191157</v>
      </c>
      <c r="J555" s="1">
        <v>3.3266717456592015E-2</v>
      </c>
      <c r="K555" s="1">
        <v>2.5503722614692785</v>
      </c>
      <c r="L555" s="1">
        <v>3.9586135440537165</v>
      </c>
      <c r="M555" s="1">
        <v>8.7984895220493242E-2</v>
      </c>
      <c r="N555" s="1">
        <v>1.0849816655222815</v>
      </c>
      <c r="O555" s="1">
        <v>0.16048000000000001</v>
      </c>
      <c r="P555" s="1">
        <v>0.11831690671473001</v>
      </c>
      <c r="Q555" s="1">
        <v>0.9522058569109193</v>
      </c>
      <c r="R555" s="2">
        <f t="shared" si="35"/>
        <v>53.130437032562952</v>
      </c>
      <c r="S555" s="2">
        <f t="shared" si="34"/>
        <v>2.7019558856406007</v>
      </c>
      <c r="T555" s="2">
        <f t="shared" si="36"/>
        <v>5.2920601047964908</v>
      </c>
      <c r="U555" s="2">
        <f t="shared" si="37"/>
        <v>61.124453023000044</v>
      </c>
    </row>
    <row r="556" spans="1:21" x14ac:dyDescent="0.25">
      <c r="A556">
        <v>2336741</v>
      </c>
      <c r="B556">
        <v>24</v>
      </c>
      <c r="C556" s="1">
        <f>2.78970219653567*(10.3/7.3)</f>
        <v>3.9361551540160797</v>
      </c>
      <c r="D556" s="1">
        <f>2.97982334182965*(10.3/7.3)</f>
        <v>4.2044082768281363</v>
      </c>
      <c r="E556" s="1">
        <f>10.5028480358091*(10.3/7.3)</f>
        <v>14.819086954634738</v>
      </c>
      <c r="F556" s="1">
        <f>26.7885098518003*(38.9/42.5)</f>
        <v>24.519365487883093</v>
      </c>
      <c r="G556" s="1">
        <v>1.2289696665704302</v>
      </c>
      <c r="H556" s="1">
        <v>4.7405101219552011</v>
      </c>
      <c r="I556" s="1">
        <v>21.744356222660656</v>
      </c>
      <c r="J556" s="1">
        <v>2.6363732144223936E-2</v>
      </c>
      <c r="K556" s="1">
        <v>2.8445059420287397</v>
      </c>
      <c r="L556" s="1">
        <v>4.3450410455384398</v>
      </c>
      <c r="M556" s="1">
        <v>9.9589970732991487E-2</v>
      </c>
      <c r="N556" s="1">
        <v>1.3882349798103435</v>
      </c>
      <c r="O556" s="1">
        <v>0.19436222222222221</v>
      </c>
      <c r="P556" s="1">
        <v>0.12914972265624919</v>
      </c>
      <c r="Q556" s="1">
        <v>1.9641067730577675</v>
      </c>
      <c r="R556" s="2">
        <f t="shared" si="35"/>
        <v>77.156958657606097</v>
      </c>
      <c r="S556" s="2">
        <f t="shared" si="34"/>
        <v>3.0000193968292126</v>
      </c>
      <c r="T556" s="2">
        <f t="shared" si="36"/>
        <v>6.0272282183039971</v>
      </c>
      <c r="U556" s="2">
        <f t="shared" si="37"/>
        <v>86.184206272739317</v>
      </c>
    </row>
    <row r="557" spans="1:21" x14ac:dyDescent="0.25">
      <c r="A557">
        <v>2336749</v>
      </c>
      <c r="B557">
        <v>61</v>
      </c>
      <c r="C557" s="1">
        <f>2.74571924584184*(10.3/7.3)</f>
        <v>3.8740970181056165</v>
      </c>
      <c r="D557" s="1">
        <f>2.89669391232753*(10.3/7.3)</f>
        <v>4.0871160680785756</v>
      </c>
      <c r="E557" s="1">
        <f>10.3162927506656*(10.3/7.3)</f>
        <v>14.555865113952896</v>
      </c>
      <c r="F557" s="1">
        <f>21.222009559351*(38.9/42.5)</f>
        <v>19.424380514323623</v>
      </c>
      <c r="G557" s="1">
        <v>0.77730787451768824</v>
      </c>
      <c r="H557" s="1">
        <v>3.0588222613632503</v>
      </c>
      <c r="I557" s="1">
        <v>16.862531608403852</v>
      </c>
      <c r="J557" s="1">
        <v>2.7373116119967685E-2</v>
      </c>
      <c r="K557" s="1">
        <v>3.1250943497613433</v>
      </c>
      <c r="L557" s="1">
        <v>4.7896172907270955</v>
      </c>
      <c r="M557" s="1">
        <v>0.11302966036723647</v>
      </c>
      <c r="N557" s="1">
        <v>1.1884975462080341</v>
      </c>
      <c r="O557" s="1">
        <v>0.22288786885245898</v>
      </c>
      <c r="P557" s="1">
        <v>0.14278797348121475</v>
      </c>
      <c r="Q557" s="1">
        <v>1.2422728588182241</v>
      </c>
      <c r="R557" s="2">
        <f t="shared" si="35"/>
        <v>63.882393317563725</v>
      </c>
      <c r="S557" s="2">
        <f t="shared" si="34"/>
        <v>3.295255439362526</v>
      </c>
      <c r="T557" s="2">
        <f t="shared" si="36"/>
        <v>6.3140323661548257</v>
      </c>
      <c r="U557" s="2">
        <f t="shared" si="37"/>
        <v>73.491681123081065</v>
      </c>
    </row>
    <row r="558" spans="1:21" x14ac:dyDescent="0.25">
      <c r="A558">
        <v>2336757</v>
      </c>
      <c r="B558">
        <v>58</v>
      </c>
      <c r="C558" s="1">
        <f>2.3970093654011*(10.3/7.3)</f>
        <v>3.3820817073467526</v>
      </c>
      <c r="D558" s="1">
        <f>2.56983443974226*(10.3/7.3)</f>
        <v>3.6259307848418239</v>
      </c>
      <c r="E558" s="1">
        <f>9.14931068294661*(10.3/7.3)</f>
        <v>12.909301374568509</v>
      </c>
      <c r="F558" s="1">
        <f>18.5767844329881*(38.9/42.5)</f>
        <v>17.003221516311491</v>
      </c>
      <c r="G558" s="1">
        <v>0.67164598188660318</v>
      </c>
      <c r="H558" s="1">
        <v>2.4372195987560525</v>
      </c>
      <c r="I558" s="1">
        <v>14.648069066398334</v>
      </c>
      <c r="J558" s="1">
        <v>2.6813975080830395E-2</v>
      </c>
      <c r="K558" s="1">
        <v>3.0647193825641739</v>
      </c>
      <c r="L558" s="1">
        <v>4.6270037529607118</v>
      </c>
      <c r="M558" s="1">
        <v>0.11625886261789682</v>
      </c>
      <c r="N558" s="1">
        <v>1.1476050461104612</v>
      </c>
      <c r="O558" s="1">
        <v>0.22595678160919541</v>
      </c>
      <c r="P558" s="1">
        <v>0.14076199701074715</v>
      </c>
      <c r="Q558" s="1">
        <v>1.0734068203667184</v>
      </c>
      <c r="R558" s="2">
        <f t="shared" si="35"/>
        <v>55.750876850476288</v>
      </c>
      <c r="S558" s="2">
        <f t="shared" si="34"/>
        <v>3.2322953546557516</v>
      </c>
      <c r="T558" s="2">
        <f t="shared" si="36"/>
        <v>6.116824443298265</v>
      </c>
      <c r="U558" s="2">
        <f t="shared" si="37"/>
        <v>65.099996648430306</v>
      </c>
    </row>
    <row r="559" spans="1:21" x14ac:dyDescent="0.25">
      <c r="A559">
        <v>2337173</v>
      </c>
      <c r="B559">
        <v>64</v>
      </c>
      <c r="C559" s="1">
        <f>5.05317171556822*(10.3/7.3)</f>
        <v>7.1298176260757113</v>
      </c>
      <c r="D559" s="1">
        <f>5.82863490536212*(10.3/7.3)</f>
        <v>8.2239643185246383</v>
      </c>
      <c r="E559" s="1">
        <f>20.8232541534439*(10.3/7.3)</f>
        <v>29.380755860338606</v>
      </c>
      <c r="F559" s="1">
        <f>34.7982093901736*(38.9/42.5)</f>
        <v>31.850596359476537</v>
      </c>
      <c r="G559" s="1">
        <v>0.92814818155584533</v>
      </c>
      <c r="H559" s="1">
        <v>2.1826711019888059</v>
      </c>
      <c r="I559" s="1">
        <v>25.758347855889188</v>
      </c>
      <c r="J559" s="1">
        <v>3.8987616922261679E-2</v>
      </c>
      <c r="K559" s="1">
        <v>2.3198162644878559</v>
      </c>
      <c r="L559" s="1">
        <v>2.0820520495300121</v>
      </c>
      <c r="M559" s="1">
        <v>0.1910950365162736</v>
      </c>
      <c r="N559" s="1">
        <v>2.5930881349510932</v>
      </c>
      <c r="O559" s="1">
        <v>0.1135016666666667</v>
      </c>
      <c r="P559" s="1">
        <v>9.467747933946144E-2</v>
      </c>
      <c r="Q559" s="1">
        <v>1.4833418426691609</v>
      </c>
      <c r="R559" s="2">
        <f t="shared" si="35"/>
        <v>106.93764314651848</v>
      </c>
      <c r="S559" s="2">
        <f t="shared" si="34"/>
        <v>2.4534813607495791</v>
      </c>
      <c r="T559" s="2">
        <f t="shared" si="36"/>
        <v>4.9797368876640462</v>
      </c>
      <c r="U559" s="2">
        <f t="shared" si="37"/>
        <v>114.37086139493211</v>
      </c>
    </row>
    <row r="560" spans="1:21" x14ac:dyDescent="0.25">
      <c r="A560">
        <v>2337181</v>
      </c>
      <c r="B560">
        <v>4</v>
      </c>
      <c r="C560" s="1">
        <f>8.82116779028298*(10.3/7.3)</f>
        <v>12.446305238344475</v>
      </c>
      <c r="D560" s="1">
        <f>10.5993890480368*(10.3/7.3)</f>
        <v>14.955302355449241</v>
      </c>
      <c r="E560" s="1">
        <f>37.8571042747611*(10.3/7.3)</f>
        <v>53.414818360279433</v>
      </c>
      <c r="F560" s="1">
        <f>60.0637596094224*(38.9/42.5)</f>
        <v>54.976005854271321</v>
      </c>
      <c r="G560" s="1">
        <v>1.4452628558448328</v>
      </c>
      <c r="H560" s="1">
        <v>8.2608322532636524</v>
      </c>
      <c r="I560" s="1">
        <v>43.128302655140274</v>
      </c>
      <c r="J560" s="1">
        <v>5.0644758444279854E-2</v>
      </c>
      <c r="K560" s="1">
        <v>2.9464908659211031</v>
      </c>
      <c r="L560" s="1">
        <v>2.829785912783918</v>
      </c>
      <c r="M560" s="1">
        <v>0.23909947618793165</v>
      </c>
      <c r="N560" s="1">
        <v>2.6229940901816842</v>
      </c>
      <c r="O560" s="1">
        <v>0.14223999999999998</v>
      </c>
      <c r="P560" s="1">
        <v>0.11128420477042576</v>
      </c>
      <c r="Q560" s="1">
        <v>2.3097808198433425</v>
      </c>
      <c r="R560" s="2">
        <f t="shared" si="35"/>
        <v>190.93661039243659</v>
      </c>
      <c r="S560" s="2">
        <f t="shared" si="34"/>
        <v>3.1084198291358089</v>
      </c>
      <c r="T560" s="2">
        <f t="shared" si="36"/>
        <v>5.834119479153534</v>
      </c>
      <c r="U560" s="2">
        <f t="shared" si="37"/>
        <v>199.87914970072595</v>
      </c>
    </row>
    <row r="561" spans="1:21" x14ac:dyDescent="0.25">
      <c r="A561">
        <v>2337197</v>
      </c>
      <c r="B561">
        <v>3</v>
      </c>
      <c r="C561" s="1">
        <f>9.04918984965478*(10.3/7.3)</f>
        <v>12.768034993348529</v>
      </c>
      <c r="D561" s="1">
        <f>9.14470823981538*(10.3/7.3)</f>
        <v>12.902807516451846</v>
      </c>
      <c r="E561" s="1">
        <f>32.9326778292464*(10.3/7.3)</f>
        <v>46.466655019347606</v>
      </c>
      <c r="F561" s="1">
        <f>53.1544299024342*(38.9/42.5)</f>
        <v>48.651937016580924</v>
      </c>
      <c r="G561" s="1">
        <v>1.2288847247421051</v>
      </c>
      <c r="H561" s="1">
        <v>8.1233896509678143</v>
      </c>
      <c r="I561" s="1">
        <v>41.578902181614829</v>
      </c>
      <c r="J561" s="1">
        <v>4.1323146990297301E-2</v>
      </c>
      <c r="K561" s="1">
        <v>2.5084390683548623</v>
      </c>
      <c r="L561" s="1">
        <v>2.271529407995629</v>
      </c>
      <c r="M561" s="1">
        <v>0.17963429651113216</v>
      </c>
      <c r="N561" s="1">
        <v>2.0136014104214919</v>
      </c>
      <c r="O561" s="1">
        <v>0.12053333333333334</v>
      </c>
      <c r="P561" s="1">
        <v>9.9020060211481506E-2</v>
      </c>
      <c r="Q561" s="1">
        <v>1.9639710212773387</v>
      </c>
      <c r="R561" s="2">
        <f t="shared" si="35"/>
        <v>173.684582124331</v>
      </c>
      <c r="S561" s="2">
        <f t="shared" si="34"/>
        <v>2.6487822755566413</v>
      </c>
      <c r="T561" s="2">
        <f t="shared" si="36"/>
        <v>4.5852984482615868</v>
      </c>
      <c r="U561" s="2">
        <f t="shared" si="37"/>
        <v>180.91866284814924</v>
      </c>
    </row>
    <row r="562" spans="1:21" x14ac:dyDescent="0.25">
      <c r="A562">
        <v>2337205</v>
      </c>
      <c r="B562">
        <v>64</v>
      </c>
      <c r="C562" s="1">
        <f>5.43879908753803*(10.3/7.3)</f>
        <v>7.6739220002248967</v>
      </c>
      <c r="D562" s="1">
        <f>6.07267090902039*(10.3/7.3)</f>
        <v>8.5682890908095874</v>
      </c>
      <c r="E562" s="1">
        <f>21.7541027456968*(10.3/7.3)</f>
        <v>30.694144969955779</v>
      </c>
      <c r="F562" s="1">
        <f>35.1463574376689*(38.9/42.5)</f>
        <v>32.169254219419344</v>
      </c>
      <c r="G562" s="1">
        <v>0.85564194866280385</v>
      </c>
      <c r="H562" s="1">
        <v>2.3416555928038476</v>
      </c>
      <c r="I562" s="1">
        <v>26.21903142914465</v>
      </c>
      <c r="J562" s="1">
        <v>3.112164535720072E-2</v>
      </c>
      <c r="K562" s="1">
        <v>2.1062306915566804</v>
      </c>
      <c r="L562" s="1">
        <v>1.8994454292274841</v>
      </c>
      <c r="M562" s="1">
        <v>0.14009376812070587</v>
      </c>
      <c r="N562" s="1">
        <v>1.5075784464377522</v>
      </c>
      <c r="O562" s="1">
        <v>9.9146666666666675E-2</v>
      </c>
      <c r="P562" s="1">
        <v>8.5757987130270094E-2</v>
      </c>
      <c r="Q562" s="1">
        <v>1.3674643015158983</v>
      </c>
      <c r="R562" s="2">
        <f t="shared" si="35"/>
        <v>109.88940355253681</v>
      </c>
      <c r="S562" s="2">
        <f t="shared" si="34"/>
        <v>2.2231103240441512</v>
      </c>
      <c r="T562" s="2">
        <f t="shared" si="36"/>
        <v>3.6462643104526085</v>
      </c>
      <c r="U562" s="2">
        <f t="shared" si="37"/>
        <v>115.75877818703357</v>
      </c>
    </row>
    <row r="563" spans="1:21" x14ac:dyDescent="0.25">
      <c r="A563">
        <v>2337213</v>
      </c>
      <c r="B563">
        <v>64</v>
      </c>
      <c r="C563" s="1">
        <f>6.76355497668857*(10.3/7.3)</f>
        <v>9.5430981177934644</v>
      </c>
      <c r="D563" s="1">
        <f>7.66529728113927*(10.3/7.3)</f>
        <v>10.815419451470479</v>
      </c>
      <c r="E563" s="1">
        <f>27.4604141592132*(10.3/7.3)</f>
        <v>38.745515868478925</v>
      </c>
      <c r="F563" s="1">
        <f>43.2901242882766*(38.9/42.5)</f>
        <v>39.623196113269614</v>
      </c>
      <c r="G563" s="1">
        <v>0.99711703436138654</v>
      </c>
      <c r="H563" s="1">
        <v>2.2013717635970074</v>
      </c>
      <c r="I563" s="1">
        <v>31.902485311046707</v>
      </c>
      <c r="J563" s="1">
        <v>3.0669081156469893E-2</v>
      </c>
      <c r="K563" s="1">
        <v>2.199728734462234</v>
      </c>
      <c r="L563" s="1">
        <v>1.9898143855418928</v>
      </c>
      <c r="M563" s="1">
        <v>0.14218679251033628</v>
      </c>
      <c r="N563" s="1">
        <v>1.5182755620058783</v>
      </c>
      <c r="O563" s="1">
        <v>0.10318083333333332</v>
      </c>
      <c r="P563" s="1">
        <v>8.8104899140296469E-2</v>
      </c>
      <c r="Q563" s="1">
        <v>1.5935660366506186</v>
      </c>
      <c r="R563" s="2">
        <f t="shared" si="35"/>
        <v>135.42176969666821</v>
      </c>
      <c r="S563" s="2">
        <f t="shared" si="34"/>
        <v>2.3185027147590005</v>
      </c>
      <c r="T563" s="2">
        <f t="shared" si="36"/>
        <v>3.753457573391441</v>
      </c>
      <c r="U563" s="2">
        <f t="shared" si="37"/>
        <v>141.49372998481866</v>
      </c>
    </row>
    <row r="564" spans="1:21" x14ac:dyDescent="0.25">
      <c r="A564">
        <v>2337221</v>
      </c>
      <c r="B564">
        <v>63</v>
      </c>
      <c r="C564" s="1">
        <f>6.94020312238398*(10.3/7.3)</f>
        <v>9.7923413918568443</v>
      </c>
      <c r="D564" s="1">
        <f>8.0950645603038*(10.3/7.3)</f>
        <v>11.421803420702625</v>
      </c>
      <c r="E564" s="1">
        <f>28.9823259652487*(10.3/7.3)</f>
        <v>40.892870882474142</v>
      </c>
      <c r="F564" s="1">
        <f>44.5368298955815*(38.9/42.5)</f>
        <v>40.764298422073438</v>
      </c>
      <c r="G564" s="1">
        <v>0.97023579305716767</v>
      </c>
      <c r="H564" s="1">
        <v>2.0666963250312005</v>
      </c>
      <c r="I564" s="1">
        <v>32.180005458338982</v>
      </c>
      <c r="J564" s="1">
        <v>2.6747809436692783E-2</v>
      </c>
      <c r="K564" s="1">
        <v>2.008868175410254</v>
      </c>
      <c r="L564" s="1">
        <v>1.8022883097016535</v>
      </c>
      <c r="M564" s="1">
        <v>0.12513811307695455</v>
      </c>
      <c r="N564" s="1">
        <v>1.3225180637108669</v>
      </c>
      <c r="O564" s="1">
        <v>9.3937777777777773E-2</v>
      </c>
      <c r="P564" s="1">
        <v>8.0824107703973289E-2</v>
      </c>
      <c r="Q564" s="1">
        <v>1.5506051487215029</v>
      </c>
      <c r="R564" s="2">
        <f t="shared" si="35"/>
        <v>139.6388568422559</v>
      </c>
      <c r="S564" s="2">
        <f t="shared" si="34"/>
        <v>2.1164400925509197</v>
      </c>
      <c r="T564" s="2">
        <f t="shared" si="36"/>
        <v>3.3438822642672528</v>
      </c>
      <c r="U564" s="2">
        <f t="shared" si="37"/>
        <v>145.09917919907409</v>
      </c>
    </row>
    <row r="565" spans="1:21" x14ac:dyDescent="0.25">
      <c r="A565">
        <v>2337229</v>
      </c>
      <c r="B565">
        <v>39</v>
      </c>
      <c r="C565" s="1">
        <f>9.98129480358444*(10.3/7.3)</f>
        <v>14.083196777660236</v>
      </c>
      <c r="D565" s="1">
        <f>12.3586178591531*(10.3/7.3)</f>
        <v>17.43750191085989</v>
      </c>
      <c r="E565" s="1">
        <f>44.1821954179536*(10.3/7.3)</f>
        <v>62.339262028071566</v>
      </c>
      <c r="F565" s="1">
        <f>64.9490368173432*(38.9/42.5)</f>
        <v>59.447471345756469</v>
      </c>
      <c r="G565" s="1">
        <v>1.2761742822185802</v>
      </c>
      <c r="H565" s="1">
        <v>2.551673697531434</v>
      </c>
      <c r="I565" s="1">
        <v>45.029152312372993</v>
      </c>
      <c r="J565" s="1">
        <v>3.0804353676249299E-2</v>
      </c>
      <c r="K565" s="1">
        <v>2.2696360259344623</v>
      </c>
      <c r="L565" s="1">
        <v>2.0784231248686322</v>
      </c>
      <c r="M565" s="1">
        <v>0.13821405140719778</v>
      </c>
      <c r="N565" s="1">
        <v>1.5341992456202409</v>
      </c>
      <c r="O565" s="1">
        <v>0.10433504273504275</v>
      </c>
      <c r="P565" s="1">
        <v>8.7900442442271437E-2</v>
      </c>
      <c r="Q565" s="1">
        <v>2.0395479396187377</v>
      </c>
      <c r="R565" s="2">
        <f t="shared" si="35"/>
        <v>204.20398029408992</v>
      </c>
      <c r="S565" s="2">
        <f t="shared" si="34"/>
        <v>2.3883408220529834</v>
      </c>
      <c r="T565" s="2">
        <f t="shared" si="36"/>
        <v>3.8551714646311135</v>
      </c>
      <c r="U565" s="2">
        <f t="shared" si="37"/>
        <v>210.44749258077402</v>
      </c>
    </row>
    <row r="566" spans="1:21" x14ac:dyDescent="0.25">
      <c r="A566">
        <v>2337309</v>
      </c>
      <c r="B566">
        <v>6</v>
      </c>
      <c r="C566" s="1">
        <f>16.3054027491982*(10.3/7.3)</f>
        <v>23.00625319407423</v>
      </c>
      <c r="D566" s="1">
        <f>21.644310949817*(10.3/7.3)</f>
        <v>30.539233257960969</v>
      </c>
      <c r="E566" s="1">
        <f>77.083891010766*(10.3/7.3)</f>
        <v>108.76220238505344</v>
      </c>
      <c r="F566" s="1">
        <f>116.208367223682*(38.9/42.5)</f>
        <v>106.36483494120557</v>
      </c>
      <c r="G566" s="1">
        <v>2.5548713711278306</v>
      </c>
      <c r="H566" s="1">
        <v>6.7713575346971551</v>
      </c>
      <c r="I566" s="1">
        <v>78.495682231472614</v>
      </c>
      <c r="J566" s="1">
        <v>3.1659957633858662E-2</v>
      </c>
      <c r="K566" s="1">
        <v>2.581195959751247</v>
      </c>
      <c r="L566" s="1">
        <v>2.3916946184755261</v>
      </c>
      <c r="M566" s="1">
        <v>0.1184375193641352</v>
      </c>
      <c r="N566" s="1">
        <v>1.8330409400903456</v>
      </c>
      <c r="O566" s="1">
        <v>0.10612444444444442</v>
      </c>
      <c r="P566" s="1">
        <v>8.8237544695860523E-2</v>
      </c>
      <c r="Q566" s="1">
        <v>4.0831277620764466</v>
      </c>
      <c r="R566" s="2">
        <f t="shared" si="35"/>
        <v>360.57756267766825</v>
      </c>
      <c r="S566" s="2">
        <f t="shared" si="34"/>
        <v>2.7010934620809661</v>
      </c>
      <c r="T566" s="2">
        <f t="shared" si="36"/>
        <v>4.4492975223744518</v>
      </c>
      <c r="U566" s="2">
        <f t="shared" si="37"/>
        <v>367.7279536621237</v>
      </c>
    </row>
    <row r="567" spans="1:21" x14ac:dyDescent="0.25">
      <c r="A567">
        <v>2337317</v>
      </c>
      <c r="B567">
        <v>32</v>
      </c>
      <c r="C567" s="1">
        <f>13.8869417075496*(10.3/7.3)</f>
        <v>19.593904053117878</v>
      </c>
      <c r="D567" s="1">
        <f>18.5560098334534*(10.3/7.3)</f>
        <v>26.181767299256101</v>
      </c>
      <c r="E567" s="1">
        <f>66.0865430427785*(10.3/7.3)</f>
        <v>93.245396348029942</v>
      </c>
      <c r="F567" s="1">
        <f>98.6388214186758*(38.9/42.5)</f>
        <v>90.283533016152688</v>
      </c>
      <c r="G567" s="1">
        <v>2.1138444572170019</v>
      </c>
      <c r="H567" s="1">
        <v>4.2407411075480113</v>
      </c>
      <c r="I567" s="1">
        <v>66.201136027552906</v>
      </c>
      <c r="J567" s="1">
        <v>3.0242904379104284E-2</v>
      </c>
      <c r="K567" s="1">
        <v>2.5269590128644963</v>
      </c>
      <c r="L567" s="1">
        <v>2.2917486586254263</v>
      </c>
      <c r="M567" s="1">
        <v>0.11264734194947777</v>
      </c>
      <c r="N567" s="1">
        <v>1.697785411373171</v>
      </c>
      <c r="O567" s="1">
        <v>0.103545</v>
      </c>
      <c r="P567" s="1">
        <v>8.643454253413077E-2</v>
      </c>
      <c r="Q567" s="1">
        <v>3.3782902284290017</v>
      </c>
      <c r="R567" s="2">
        <f t="shared" si="35"/>
        <v>305.23861253730354</v>
      </c>
      <c r="S567" s="2">
        <f t="shared" si="34"/>
        <v>2.6436364597777313</v>
      </c>
      <c r="T567" s="2">
        <f t="shared" si="36"/>
        <v>4.2057264119480742</v>
      </c>
      <c r="U567" s="2">
        <f t="shared" si="37"/>
        <v>312.08797540902935</v>
      </c>
    </row>
    <row r="568" spans="1:21" x14ac:dyDescent="0.25">
      <c r="A568">
        <v>2337325</v>
      </c>
      <c r="B568">
        <v>17</v>
      </c>
      <c r="C568" s="1">
        <f>13.1560469559772*(10.3/7.3)</f>
        <v>18.562641595419944</v>
      </c>
      <c r="D568" s="1">
        <f>15.7513732104294*(10.3/7.3)</f>
        <v>22.224540283208647</v>
      </c>
      <c r="E568" s="1">
        <f>56.375219594323*(10.3/7.3)</f>
        <v>79.543118057743399</v>
      </c>
      <c r="F568" s="1">
        <f>84.0562847212666*(38.9/42.5)</f>
        <v>76.936222956641629</v>
      </c>
      <c r="G568" s="1">
        <v>1.6962067885422893</v>
      </c>
      <c r="H568" s="1">
        <v>4.421347553331719</v>
      </c>
      <c r="I568" s="1">
        <v>59.499837620455253</v>
      </c>
      <c r="J568" s="1">
        <v>2.9821236005730702E-2</v>
      </c>
      <c r="K568" s="1">
        <v>2.4588727460218434</v>
      </c>
      <c r="L568" s="1">
        <v>2.1904314312405022</v>
      </c>
      <c r="M568" s="1">
        <v>0.10675669140735512</v>
      </c>
      <c r="N568" s="1">
        <v>1.5751428799989264</v>
      </c>
      <c r="O568" s="1">
        <v>9.8886274509803918E-2</v>
      </c>
      <c r="P568" s="1">
        <v>8.3311226828716833E-2</v>
      </c>
      <c r="Q568" s="1">
        <v>2.7108327670767212</v>
      </c>
      <c r="R568" s="2">
        <f t="shared" si="35"/>
        <v>265.59474762241962</v>
      </c>
      <c r="S568" s="2">
        <f t="shared" si="34"/>
        <v>2.5720052088562908</v>
      </c>
      <c r="T568" s="2">
        <f t="shared" si="36"/>
        <v>3.9712172771565881</v>
      </c>
      <c r="U568" s="2">
        <f t="shared" si="37"/>
        <v>272.13797010843251</v>
      </c>
    </row>
    <row r="569" spans="1:21" x14ac:dyDescent="0.25">
      <c r="A569">
        <v>2337333</v>
      </c>
      <c r="B569">
        <v>26</v>
      </c>
      <c r="C569" s="1">
        <f>14.5874374226939*(10.3/7.3)</f>
        <v>20.582274719691458</v>
      </c>
      <c r="D569" s="1">
        <f>16.0897427835763*(10.3/7.3)</f>
        <v>22.701965845319965</v>
      </c>
      <c r="E569" s="1">
        <f>57.7699055755255*(10.3/7.3)</f>
        <v>81.51096266135788</v>
      </c>
      <c r="F569" s="1">
        <f>88.5209399792892*(38.9/42.5)</f>
        <v>81.022695651631778</v>
      </c>
      <c r="G569" s="1">
        <v>1.8552533324829013</v>
      </c>
      <c r="H569" s="1">
        <v>4.2650056590852392</v>
      </c>
      <c r="I569" s="1">
        <v>65.705701823949298</v>
      </c>
      <c r="J569" s="1">
        <v>3.2021500353992934E-2</v>
      </c>
      <c r="K569" s="1">
        <v>2.692778167080808</v>
      </c>
      <c r="L569" s="1">
        <v>2.4333417387749394</v>
      </c>
      <c r="M569" s="1">
        <v>0.11351069276698361</v>
      </c>
      <c r="N569" s="1">
        <v>1.7369364895322474</v>
      </c>
      <c r="O569" s="1">
        <v>0.10565948717948717</v>
      </c>
      <c r="P569" s="1">
        <v>8.7334804739082922E-2</v>
      </c>
      <c r="Q569" s="1">
        <v>2.9650167414110316</v>
      </c>
      <c r="R569" s="2">
        <f t="shared" si="35"/>
        <v>280.60887643492953</v>
      </c>
      <c r="S569" s="2">
        <f t="shared" si="34"/>
        <v>2.8121344721738835</v>
      </c>
      <c r="T569" s="2">
        <f t="shared" si="36"/>
        <v>4.3894484082536573</v>
      </c>
      <c r="U569" s="2">
        <f t="shared" si="37"/>
        <v>287.81045931535709</v>
      </c>
    </row>
    <row r="570" spans="1:21" x14ac:dyDescent="0.25">
      <c r="A570">
        <v>2348625</v>
      </c>
      <c r="B570">
        <v>13</v>
      </c>
      <c r="C570" s="1">
        <f>0.255041562785977*(10.3/7.3)</f>
        <v>0.35985316393089956</v>
      </c>
      <c r="D570" s="1">
        <f>0.338800739343579*(10.3/7.3)</f>
        <v>0.47803391989573474</v>
      </c>
      <c r="E570" s="1">
        <f>1.19090971319739*(10.3/7.3)</f>
        <v>1.6803246638264504</v>
      </c>
      <c r="F570" s="1">
        <f>2.57778678977427*(38.9/42.5)</f>
        <v>2.3594330852286878</v>
      </c>
      <c r="G570" s="1">
        <v>0.10523240213755471</v>
      </c>
      <c r="H570" s="1">
        <v>2.8110898804265192</v>
      </c>
      <c r="I570" s="1">
        <v>1.9131311396060287</v>
      </c>
      <c r="J570" s="1">
        <v>7.6053225742647949E-3</v>
      </c>
      <c r="K570" s="1">
        <v>1.0109771597861565</v>
      </c>
      <c r="L570" s="1">
        <v>0.96712401802509784</v>
      </c>
      <c r="M570" s="1">
        <v>3.9610556939563842E-2</v>
      </c>
      <c r="N570" s="1">
        <v>0.27941371653417352</v>
      </c>
      <c r="O570" s="1">
        <v>7.3997948717948708E-2</v>
      </c>
      <c r="P570" s="1">
        <v>5.2632292084710403E-2</v>
      </c>
      <c r="Q570" s="1">
        <v>0.16817963811937983</v>
      </c>
      <c r="R570" s="2">
        <f t="shared" si="35"/>
        <v>9.8752778931712548</v>
      </c>
      <c r="S570" s="2">
        <f t="shared" si="34"/>
        <v>1.0712147744451317</v>
      </c>
      <c r="T570" s="2">
        <f t="shared" si="36"/>
        <v>1.3601462402167839</v>
      </c>
      <c r="U570" s="2">
        <f t="shared" si="37"/>
        <v>12.30663890783317</v>
      </c>
    </row>
    <row r="571" spans="1:21" x14ac:dyDescent="0.25">
      <c r="A571">
        <v>2348633</v>
      </c>
      <c r="B571">
        <v>26</v>
      </c>
      <c r="C571" s="1">
        <f>0.334646307933816*(10.3/7.3)</f>
        <v>0.47217218790661664</v>
      </c>
      <c r="D571" s="1">
        <f>0.446166555603743*(10.3/7.3)</f>
        <v>0.62952267434500697</v>
      </c>
      <c r="E571" s="1">
        <f>1.56799539221369*(10.3/7.3)</f>
        <v>2.2123770602467139</v>
      </c>
      <c r="F571" s="1">
        <f>3.39760899472622*(38.9/42.5)</f>
        <v>3.1098115269376434</v>
      </c>
      <c r="G571" s="1">
        <v>0.13894405994031306</v>
      </c>
      <c r="H571" s="1">
        <v>3.091224733528255</v>
      </c>
      <c r="I571" s="1">
        <v>2.5193598113126816</v>
      </c>
      <c r="J571" s="1">
        <v>8.8157780460835916E-3</v>
      </c>
      <c r="K571" s="1">
        <v>1.2179885011346039</v>
      </c>
      <c r="L571" s="1">
        <v>1.1319231744024287</v>
      </c>
      <c r="M571" s="1">
        <v>4.475870670534577E-2</v>
      </c>
      <c r="N571" s="1">
        <v>0.33925361690530981</v>
      </c>
      <c r="O571" s="1">
        <v>8.5786666666666664E-2</v>
      </c>
      <c r="P571" s="1">
        <v>6.3379407682518318E-2</v>
      </c>
      <c r="Q571" s="1">
        <v>0.22205671679958724</v>
      </c>
      <c r="R571" s="2">
        <f t="shared" si="35"/>
        <v>12.395468771016818</v>
      </c>
      <c r="S571" s="2">
        <f t="shared" si="34"/>
        <v>1.2901836868632057</v>
      </c>
      <c r="T571" s="2">
        <f t="shared" si="36"/>
        <v>1.601722164679751</v>
      </c>
      <c r="U571" s="2">
        <f t="shared" si="37"/>
        <v>15.287374622559774</v>
      </c>
    </row>
    <row r="572" spans="1:21" x14ac:dyDescent="0.25">
      <c r="A572">
        <v>2348697</v>
      </c>
      <c r="B572">
        <v>13</v>
      </c>
      <c r="C572" s="1">
        <f>0.332628806743405*(10.3/7.3)</f>
        <v>0.46932557663795471</v>
      </c>
      <c r="D572" s="1">
        <f>0.415152019049934*(10.3/7.3)</f>
        <v>0.58576243783757831</v>
      </c>
      <c r="E572" s="1">
        <f>1.46403134756864*(10.3/7.3)</f>
        <v>2.0656880657475307</v>
      </c>
      <c r="F572" s="1">
        <f>3.13128081310977*(38.9/42.5)</f>
        <v>2.8660429089404738</v>
      </c>
      <c r="G572" s="1">
        <v>0.12473449569061137</v>
      </c>
      <c r="H572" s="1">
        <v>0.98188667784586836</v>
      </c>
      <c r="I572" s="1">
        <v>2.3637662085764637</v>
      </c>
      <c r="J572" s="1">
        <v>8.373734134668142E-3</v>
      </c>
      <c r="K572" s="1">
        <v>1.3211479760089373</v>
      </c>
      <c r="L572" s="1">
        <v>1.2157965027291455</v>
      </c>
      <c r="M572" s="1">
        <v>3.9694836008339257E-2</v>
      </c>
      <c r="N572" s="1">
        <v>0.32099661179678107</v>
      </c>
      <c r="O572" s="1">
        <v>7.2164102564102578E-2</v>
      </c>
      <c r="P572" s="1">
        <v>6.5833464815915288E-2</v>
      </c>
      <c r="Q572" s="1">
        <v>0.19934736754207319</v>
      </c>
      <c r="R572" s="2">
        <f t="shared" si="35"/>
        <v>9.6565537388185536</v>
      </c>
      <c r="S572" s="2">
        <f t="shared" si="34"/>
        <v>1.3953551749595208</v>
      </c>
      <c r="T572" s="2">
        <f t="shared" si="36"/>
        <v>1.6486520530983686</v>
      </c>
      <c r="U572" s="2">
        <f t="shared" si="37"/>
        <v>12.700560966876443</v>
      </c>
    </row>
    <row r="573" spans="1:21" x14ac:dyDescent="0.25">
      <c r="A573">
        <v>2348705</v>
      </c>
      <c r="B573">
        <v>41</v>
      </c>
      <c r="C573" s="1">
        <f>0.296220302567367*(10.3/7.3)</f>
        <v>0.41795467348546261</v>
      </c>
      <c r="D573" s="1">
        <f>0.376995729776996*(10.3/7.3)</f>
        <v>0.53192548174014442</v>
      </c>
      <c r="E573" s="1">
        <f>1.32947067280716*(10.3/7.3)</f>
        <v>1.8758284835498347</v>
      </c>
      <c r="F573" s="1">
        <f>2.7848820335153*(38.9/42.5)</f>
        <v>2.5489861436175376</v>
      </c>
      <c r="G573" s="1">
        <v>0.10877090071945722</v>
      </c>
      <c r="H573" s="1">
        <v>0.87388670595299889</v>
      </c>
      <c r="I573" s="1">
        <v>2.0807750216109775</v>
      </c>
      <c r="J573" s="1">
        <v>8.0802811684836592E-3</v>
      </c>
      <c r="K573" s="1">
        <v>1.3100991474081343</v>
      </c>
      <c r="L573" s="1">
        <v>1.1895354315263822</v>
      </c>
      <c r="M573" s="1">
        <v>3.86319859471436E-2</v>
      </c>
      <c r="N573" s="1">
        <v>0.31154168888835904</v>
      </c>
      <c r="O573" s="1">
        <v>6.9676747967479677E-2</v>
      </c>
      <c r="P573" s="1">
        <v>6.5084915054544112E-2</v>
      </c>
      <c r="Q573" s="1">
        <v>0.17383477283931542</v>
      </c>
      <c r="R573" s="2">
        <f t="shared" si="35"/>
        <v>8.611962183515729</v>
      </c>
      <c r="S573" s="2">
        <f t="shared" si="34"/>
        <v>1.383264343631162</v>
      </c>
      <c r="T573" s="2">
        <f t="shared" si="36"/>
        <v>1.6093858543293644</v>
      </c>
      <c r="U573" s="2">
        <f t="shared" si="37"/>
        <v>11.604612381476255</v>
      </c>
    </row>
    <row r="574" spans="1:21" x14ac:dyDescent="0.25">
      <c r="A574">
        <v>2348713</v>
      </c>
      <c r="B574">
        <v>55</v>
      </c>
      <c r="C574" s="1">
        <f>0.288537068157527*(10.3/7.3)</f>
        <v>0.40711394548253749</v>
      </c>
      <c r="D574" s="1">
        <f>0.377216795688899*(10.3/7.3)</f>
        <v>0.53223739665694014</v>
      </c>
      <c r="E574" s="1">
        <f>1.32856748233102*(10.3/7.3)</f>
        <v>1.8745541189054091</v>
      </c>
      <c r="F574" s="1">
        <f>2.78901707017252*(38.9/42.5)</f>
        <v>2.552770918346138</v>
      </c>
      <c r="G574" s="1">
        <v>0.1097744295893158</v>
      </c>
      <c r="H574" s="1">
        <v>0.85723264057654891</v>
      </c>
      <c r="I574" s="1">
        <v>2.0669649832483978</v>
      </c>
      <c r="J574" s="1">
        <v>8.1511944176164905E-3</v>
      </c>
      <c r="K574" s="1">
        <v>1.3687498054256262</v>
      </c>
      <c r="L574" s="1">
        <v>1.2373674360340507</v>
      </c>
      <c r="M574" s="1">
        <v>3.9921546828552298E-2</v>
      </c>
      <c r="N574" s="1">
        <v>0.3157677738553642</v>
      </c>
      <c r="O574" s="1">
        <v>7.04659393939394E-2</v>
      </c>
      <c r="P574" s="1">
        <v>6.7819139602931247E-2</v>
      </c>
      <c r="Q574" s="1">
        <v>0.17543858610164631</v>
      </c>
      <c r="R574" s="2">
        <f t="shared" si="35"/>
        <v>8.576087018906934</v>
      </c>
      <c r="S574" s="2">
        <f t="shared" si="34"/>
        <v>1.4447201394461739</v>
      </c>
      <c r="T574" s="2">
        <f t="shared" si="36"/>
        <v>1.6635226961119065</v>
      </c>
      <c r="U574" s="2">
        <f t="shared" si="37"/>
        <v>11.684329854465014</v>
      </c>
    </row>
    <row r="575" spans="1:21" x14ac:dyDescent="0.25">
      <c r="A575">
        <v>2348721</v>
      </c>
      <c r="B575">
        <v>37</v>
      </c>
      <c r="C575" s="1">
        <f>0.283833506142722*(10.3/7.3)</f>
        <v>0.40047741277671678</v>
      </c>
      <c r="D575" s="1">
        <f>0.378322102583745*(10.3/7.3)</f>
        <v>0.53379693926199645</v>
      </c>
      <c r="E575" s="1">
        <f>1.33135045521414*(10.3/7.3)</f>
        <v>1.8784807792747422</v>
      </c>
      <c r="F575" s="1">
        <f>2.79515001901808*(38.9/42.5)</f>
        <v>2.5583843703483087</v>
      </c>
      <c r="G575" s="1">
        <v>0.11043259310235545</v>
      </c>
      <c r="H575" s="1">
        <v>0.85130133652979534</v>
      </c>
      <c r="I575" s="1">
        <v>2.0589707722594532</v>
      </c>
      <c r="J575" s="1">
        <v>8.1861951145544079E-3</v>
      </c>
      <c r="K575" s="1">
        <v>1.4454150010401896</v>
      </c>
      <c r="L575" s="1">
        <v>1.2685988540475377</v>
      </c>
      <c r="M575" s="1">
        <v>4.0443824202991779E-2</v>
      </c>
      <c r="N575" s="1">
        <v>0.31969642227533829</v>
      </c>
      <c r="O575" s="1">
        <v>7.1185585585585576E-2</v>
      </c>
      <c r="P575" s="1">
        <v>7.0465963995579875E-2</v>
      </c>
      <c r="Q575" s="1">
        <v>0.1764904455973719</v>
      </c>
      <c r="R575" s="2">
        <f t="shared" si="35"/>
        <v>8.5683346491507404</v>
      </c>
      <c r="S575" s="2">
        <f t="shared" si="34"/>
        <v>1.5240671601503237</v>
      </c>
      <c r="T575" s="2">
        <f t="shared" si="36"/>
        <v>1.6999246861114534</v>
      </c>
      <c r="U575" s="2">
        <f t="shared" si="37"/>
        <v>11.792326495412517</v>
      </c>
    </row>
    <row r="576" spans="1:21" x14ac:dyDescent="0.25">
      <c r="A576">
        <v>2348769</v>
      </c>
      <c r="B576">
        <v>17</v>
      </c>
      <c r="C576" s="1">
        <f>0.480972500061006*(10.3/7.3)</f>
        <v>0.67863243159292652</v>
      </c>
      <c r="D576" s="1">
        <f>0.701591547052715*(10.3/7.3)</f>
        <v>0.98991684036204997</v>
      </c>
      <c r="E576" s="1">
        <f>2.46105428968677*(10.3/7.3)</f>
        <v>3.4724464635306456</v>
      </c>
      <c r="F576" s="1">
        <f>5.11024510002844*(38.9/42.5)</f>
        <v>4.6773772797907345</v>
      </c>
      <c r="G576" s="1">
        <v>0.2026801436296132</v>
      </c>
      <c r="H576" s="1">
        <v>2.3734116138540968</v>
      </c>
      <c r="I576" s="1">
        <v>3.6522758558919781</v>
      </c>
      <c r="J576" s="1">
        <v>1.1293411599947196E-2</v>
      </c>
      <c r="K576" s="1">
        <v>3.634673437020862</v>
      </c>
      <c r="L576" s="1">
        <v>2.4182007131098957</v>
      </c>
      <c r="M576" s="1">
        <v>5.2515892884364118E-2</v>
      </c>
      <c r="N576" s="1">
        <v>0.45636635174647544</v>
      </c>
      <c r="O576" s="1">
        <v>9.5105882352941179E-2</v>
      </c>
      <c r="P576" s="1">
        <v>0.11203461980660377</v>
      </c>
      <c r="Q576" s="1">
        <v>0.32391803776422234</v>
      </c>
      <c r="R576" s="2">
        <f t="shared" si="35"/>
        <v>16.370658666416269</v>
      </c>
      <c r="S576" s="2">
        <f t="shared" si="34"/>
        <v>3.758001468427413</v>
      </c>
      <c r="T576" s="2">
        <f t="shared" si="36"/>
        <v>3.0221888400936767</v>
      </c>
      <c r="U576" s="2">
        <f t="shared" si="37"/>
        <v>23.150848974937357</v>
      </c>
    </row>
    <row r="577" spans="1:21" x14ac:dyDescent="0.25">
      <c r="A577">
        <v>2348777</v>
      </c>
      <c r="B577">
        <v>8</v>
      </c>
      <c r="C577" s="1">
        <f>0.50177299680758*(10.3/7.3)</f>
        <v>0.70798107768740737</v>
      </c>
      <c r="D577" s="1">
        <f>0.735598283746413*(10.3/7.3)</f>
        <v>1.0378989482997341</v>
      </c>
      <c r="E577" s="1">
        <f>2.58234487126976*(10.3/7.3)</f>
        <v>3.643582489599801</v>
      </c>
      <c r="F577" s="1">
        <f>5.23565535763653*(38.9/42.5)</f>
        <v>4.7921645508720259</v>
      </c>
      <c r="G577" s="1">
        <v>0.20222414013018178</v>
      </c>
      <c r="H577" s="1">
        <v>3.064158252079741</v>
      </c>
      <c r="I577" s="1">
        <v>3.7134016739698756</v>
      </c>
      <c r="J577" s="1">
        <v>1.2061306679893215E-2</v>
      </c>
      <c r="K577" s="1">
        <v>3.8315137585672678</v>
      </c>
      <c r="L577" s="1">
        <v>2.7056909398004501</v>
      </c>
      <c r="M577" s="1">
        <v>5.450488431180759E-2</v>
      </c>
      <c r="N577" s="1">
        <v>0.48696522664024905</v>
      </c>
      <c r="O577" s="1">
        <v>0.10162666666666666</v>
      </c>
      <c r="P577" s="1">
        <v>0.11525472387951578</v>
      </c>
      <c r="Q577" s="1">
        <v>0.32318926504823609</v>
      </c>
      <c r="R577" s="2">
        <f t="shared" si="35"/>
        <v>17.484600397687004</v>
      </c>
      <c r="S577" s="2">
        <f t="shared" si="34"/>
        <v>3.9588297891266766</v>
      </c>
      <c r="T577" s="2">
        <f t="shared" si="36"/>
        <v>3.3487877174191731</v>
      </c>
      <c r="U577" s="2">
        <f t="shared" si="37"/>
        <v>24.792217904232853</v>
      </c>
    </row>
    <row r="578" spans="1:21" x14ac:dyDescent="0.25">
      <c r="A578">
        <v>2348785</v>
      </c>
      <c r="B578">
        <v>14</v>
      </c>
      <c r="C578" s="1">
        <f>0.442129509980194*(10.3/7.3)</f>
        <v>0.62382656887616372</v>
      </c>
      <c r="D578" s="1">
        <f>0.631151584690863*(10.3/7.3)</f>
        <v>0.89052894826244988</v>
      </c>
      <c r="E578" s="1">
        <f>2.21863096167326*(10.3/7.3)</f>
        <v>3.1303971103061077</v>
      </c>
      <c r="F578" s="1">
        <f>4.46601414291391*(38.9/42.5)</f>
        <v>4.0877164743376753</v>
      </c>
      <c r="G578" s="1">
        <v>0.170185104342403</v>
      </c>
      <c r="H578" s="1">
        <v>1.4342097559907487</v>
      </c>
      <c r="I578" s="1">
        <v>3.1879899594579064</v>
      </c>
      <c r="J578" s="1">
        <v>1.0931099050559836E-2</v>
      </c>
      <c r="K578" s="1">
        <v>3.2928224418427505</v>
      </c>
      <c r="L578" s="1">
        <v>2.4248825738281363</v>
      </c>
      <c r="M578" s="1">
        <v>4.9472947032259178E-2</v>
      </c>
      <c r="N578" s="1">
        <v>0.440283266615762</v>
      </c>
      <c r="O578" s="1">
        <v>9.2453333333333346E-2</v>
      </c>
      <c r="P578" s="1">
        <v>0.1023791421715103</v>
      </c>
      <c r="Q578" s="1">
        <v>0.27198532657461705</v>
      </c>
      <c r="R578" s="2">
        <f t="shared" si="35"/>
        <v>13.796839248148071</v>
      </c>
      <c r="S578" s="2">
        <f t="shared" si="34"/>
        <v>3.4061326830648206</v>
      </c>
      <c r="T578" s="2">
        <f t="shared" si="36"/>
        <v>3.0070921208094905</v>
      </c>
      <c r="U578" s="2">
        <f t="shared" si="37"/>
        <v>20.210064052022382</v>
      </c>
    </row>
    <row r="579" spans="1:21" x14ac:dyDescent="0.25">
      <c r="A579">
        <v>2348793</v>
      </c>
      <c r="B579">
        <v>31</v>
      </c>
      <c r="C579" s="1">
        <f>0.369055903334292*(10.3/7.3)</f>
        <v>0.52072271292372752</v>
      </c>
      <c r="D579" s="1">
        <f>0.506945539451037*(10.3/7.3)</f>
        <v>0.71527932278708017</v>
      </c>
      <c r="E579" s="1">
        <f>1.78538578895142*(10.3/7.3)</f>
        <v>2.5191059761917356</v>
      </c>
      <c r="F579" s="1">
        <f>3.56423586460059*(38.9/42.5)</f>
        <v>3.2623241207756011</v>
      </c>
      <c r="G579" s="1">
        <v>0.1334402953857837</v>
      </c>
      <c r="H579" s="1">
        <v>1.1472470634523928</v>
      </c>
      <c r="I579" s="1">
        <v>2.5706094618973347</v>
      </c>
      <c r="J579" s="1">
        <v>9.4754846224902843E-3</v>
      </c>
      <c r="K579" s="1">
        <v>2.4653376910169555</v>
      </c>
      <c r="L579" s="1">
        <v>2.0553094801415517</v>
      </c>
      <c r="M579" s="1">
        <v>4.3791553864350304E-2</v>
      </c>
      <c r="N579" s="1">
        <v>0.375463224780478</v>
      </c>
      <c r="O579" s="1">
        <v>8.0467956989247316E-2</v>
      </c>
      <c r="P579" s="1">
        <v>8.0677114300712713E-2</v>
      </c>
      <c r="Q579" s="1">
        <v>0.2132607460503394</v>
      </c>
      <c r="R579" s="2">
        <f t="shared" si="35"/>
        <v>11.081989699463994</v>
      </c>
      <c r="S579" s="2">
        <f t="shared" si="34"/>
        <v>2.5554902899401584</v>
      </c>
      <c r="T579" s="2">
        <f t="shared" si="36"/>
        <v>2.5550322157756278</v>
      </c>
      <c r="U579" s="2">
        <f t="shared" si="37"/>
        <v>16.192512205179781</v>
      </c>
    </row>
    <row r="580" spans="1:21" x14ac:dyDescent="0.25">
      <c r="A580">
        <v>2348825</v>
      </c>
      <c r="B580">
        <v>1</v>
      </c>
      <c r="C580" s="1">
        <f>0.593853083883595*(10.3/7.3)</f>
        <v>0.83790229643849712</v>
      </c>
      <c r="D580" s="1">
        <f>0.766234521156807*(10.3/7.3)</f>
        <v>1.0811254202623437</v>
      </c>
      <c r="E580" s="1">
        <f>2.70730050049883*(10.3/7.3)</f>
        <v>3.8198897472791655</v>
      </c>
      <c r="F580" s="1">
        <f>5.32632417003962*(38.9/42.5)</f>
        <v>4.8751531815186189</v>
      </c>
      <c r="G580" s="1">
        <v>0.19313089387681509</v>
      </c>
      <c r="H580" s="1">
        <v>1.4679205833795734</v>
      </c>
      <c r="I580" s="1">
        <v>3.9097114607324244</v>
      </c>
      <c r="J580" s="1">
        <v>1.0879574433507901E-2</v>
      </c>
      <c r="K580" s="1">
        <v>2.3361187988192431</v>
      </c>
      <c r="L580" s="1">
        <v>4.4345440755993071</v>
      </c>
      <c r="M580" s="1">
        <v>4.8089697761885049E-2</v>
      </c>
      <c r="N580" s="1">
        <v>0.45273825376250193</v>
      </c>
      <c r="O580" s="1">
        <v>9.2053333333333334E-2</v>
      </c>
      <c r="P580" s="1">
        <v>8.9475608309874916E-2</v>
      </c>
      <c r="Q580" s="1">
        <v>0.30865667971180527</v>
      </c>
      <c r="R580" s="2">
        <f t="shared" si="35"/>
        <v>16.493490263199245</v>
      </c>
      <c r="S580" s="2">
        <f t="shared" si="34"/>
        <v>2.4364739815626262</v>
      </c>
      <c r="T580" s="2">
        <f t="shared" si="36"/>
        <v>5.0274253604570269</v>
      </c>
      <c r="U580" s="2">
        <f t="shared" si="37"/>
        <v>23.957389605218896</v>
      </c>
    </row>
    <row r="581" spans="1:21" x14ac:dyDescent="0.25">
      <c r="A581">
        <v>2348889</v>
      </c>
      <c r="B581">
        <v>8</v>
      </c>
      <c r="C581" s="1">
        <f>0.783091478571853*(10.3/7.3)</f>
        <v>1.1049098944233</v>
      </c>
      <c r="D581" s="1">
        <f>0.986596900456879*(10.3/7.3)</f>
        <v>1.392047681466555</v>
      </c>
      <c r="E581" s="1">
        <f>3.47985315317058*(10.3/7.3)</f>
        <v>4.9099297914598665</v>
      </c>
      <c r="F581" s="1">
        <f>7.33674636529126*(38.9/42.5)</f>
        <v>6.715280790819528</v>
      </c>
      <c r="G581" s="1">
        <v>0.28811374043484322</v>
      </c>
      <c r="H581" s="1">
        <v>1.8593800684724728</v>
      </c>
      <c r="I581" s="1">
        <v>5.5067012625841167</v>
      </c>
      <c r="J581" s="1">
        <v>1.2755070494198422E-2</v>
      </c>
      <c r="K581" s="1">
        <v>2.0072256771929675</v>
      </c>
      <c r="L581" s="1">
        <v>2.6309948193253812</v>
      </c>
      <c r="M581" s="1">
        <v>5.9114860903622155E-2</v>
      </c>
      <c r="N581" s="1">
        <v>0.57909807298270166</v>
      </c>
      <c r="O581" s="1">
        <v>0.10424</v>
      </c>
      <c r="P581" s="1">
        <v>8.7983141877669105E-2</v>
      </c>
      <c r="Q581" s="1">
        <v>0.46045574955340279</v>
      </c>
      <c r="R581" s="2">
        <f t="shared" si="35"/>
        <v>22.236818979214085</v>
      </c>
      <c r="S581" s="2">
        <f t="shared" si="34"/>
        <v>2.1079638895648349</v>
      </c>
      <c r="T581" s="2">
        <f t="shared" si="36"/>
        <v>3.3734477532117051</v>
      </c>
      <c r="U581" s="2">
        <f t="shared" si="37"/>
        <v>27.718230621990628</v>
      </c>
    </row>
    <row r="582" spans="1:21" x14ac:dyDescent="0.25">
      <c r="A582">
        <v>2348897</v>
      </c>
      <c r="B582">
        <v>12</v>
      </c>
      <c r="C582" s="1">
        <f>1.09815689321331*(10.3/7.3)</f>
        <v>1.5494542465886494</v>
      </c>
      <c r="D582" s="1">
        <f>1.15267962759205*(10.3/7.3)</f>
        <v>1.6263835841367231</v>
      </c>
      <c r="E582" s="1">
        <f>4.10087733428782*(10.3/7.3)</f>
        <v>5.7861693894745958</v>
      </c>
      <c r="F582" s="1">
        <f>8.70815545160254*(38.9/42.5)</f>
        <v>7.9705234604079704</v>
      </c>
      <c r="G582" s="1">
        <v>0.33143407288082322</v>
      </c>
      <c r="H582" s="1">
        <v>1.7046521694520573</v>
      </c>
      <c r="I582" s="1">
        <v>6.9599628325583796</v>
      </c>
      <c r="J582" s="1">
        <v>1.2536545500701672E-2</v>
      </c>
      <c r="K582" s="1">
        <v>1.9604692391087</v>
      </c>
      <c r="L582" s="1">
        <v>2.6272002337358438</v>
      </c>
      <c r="M582" s="1">
        <v>5.8212261985009513E-2</v>
      </c>
      <c r="N582" s="1">
        <v>0.56815778989304977</v>
      </c>
      <c r="O582" s="1">
        <v>0.10273333333333333</v>
      </c>
      <c r="P582" s="1">
        <v>8.6761204860542993E-2</v>
      </c>
      <c r="Q582" s="1">
        <v>0.52968915757209245</v>
      </c>
      <c r="R582" s="2">
        <f t="shared" si="35"/>
        <v>26.458268913071294</v>
      </c>
      <c r="S582" s="2">
        <f t="shared" si="34"/>
        <v>2.0597669894699444</v>
      </c>
      <c r="T582" s="2">
        <f t="shared" si="36"/>
        <v>3.3563036189472362</v>
      </c>
      <c r="U582" s="2">
        <f t="shared" si="37"/>
        <v>31.874339521488476</v>
      </c>
    </row>
    <row r="583" spans="1:21" x14ac:dyDescent="0.25">
      <c r="A583">
        <v>2348961</v>
      </c>
      <c r="B583">
        <v>22</v>
      </c>
      <c r="C583" s="1">
        <f>3.45385981903727*(10.3/7.3)</f>
        <v>4.8732542652169739</v>
      </c>
      <c r="D583" s="1">
        <f>3.34549677340827*(10.3/7.3)</f>
        <v>4.7203584611102967</v>
      </c>
      <c r="E583" s="1">
        <f>11.983358854463*(10.3/7.3)</f>
        <v>16.908026876845057</v>
      </c>
      <c r="F583" s="1">
        <f>24.0252590885809*(38.9/42.5)</f>
        <v>21.990178318724677</v>
      </c>
      <c r="G583" s="1">
        <v>0.82998977052116207</v>
      </c>
      <c r="H583" s="1">
        <v>7.5451179060001037</v>
      </c>
      <c r="I583" s="1">
        <v>19.659689604746021</v>
      </c>
      <c r="J583" s="1">
        <v>3.5790266454748615E-2</v>
      </c>
      <c r="K583" s="1">
        <v>3.1597246471372746</v>
      </c>
      <c r="L583" s="1">
        <v>5.4902122618774492</v>
      </c>
      <c r="M583" s="1">
        <v>0.11119040224446701</v>
      </c>
      <c r="N583" s="1">
        <v>1.4443516143852966</v>
      </c>
      <c r="O583" s="1">
        <v>0.22823757575757575</v>
      </c>
      <c r="P583" s="1">
        <v>0.14304019409008073</v>
      </c>
      <c r="Q583" s="1">
        <v>1.3264676697826809</v>
      </c>
      <c r="R583" s="2">
        <f t="shared" si="35"/>
        <v>77.85308287294697</v>
      </c>
      <c r="S583" s="2">
        <f t="shared" si="34"/>
        <v>3.3385551076821036</v>
      </c>
      <c r="T583" s="2">
        <f t="shared" si="36"/>
        <v>7.2739918542647883</v>
      </c>
      <c r="U583" s="2">
        <f t="shared" si="37"/>
        <v>88.465629834893861</v>
      </c>
    </row>
    <row r="584" spans="1:21" x14ac:dyDescent="0.25">
      <c r="A584">
        <v>2348969</v>
      </c>
      <c r="B584">
        <v>49</v>
      </c>
      <c r="C584" s="1">
        <f>3.48681717289169*(10.3/7.3)</f>
        <v>4.9197557370937588</v>
      </c>
      <c r="D584" s="1">
        <f>3.19133023118227*(10.3/7.3)</f>
        <v>4.5028358056407418</v>
      </c>
      <c r="E584" s="1">
        <f>11.4733264354066*(10.3/7.3)</f>
        <v>16.188392093792924</v>
      </c>
      <c r="F584" s="1">
        <f>22.8067720689137*(38.9/42.5)</f>
        <v>20.874904317193941</v>
      </c>
      <c r="G584" s="1">
        <v>0.76445017861696785</v>
      </c>
      <c r="H584" s="1">
        <v>4.2922195290012395</v>
      </c>
      <c r="I584" s="1">
        <v>19.075961118523107</v>
      </c>
      <c r="J584" s="1">
        <v>3.0879958641154202E-2</v>
      </c>
      <c r="K584" s="1">
        <v>2.9612594028914034</v>
      </c>
      <c r="L584" s="1">
        <v>4.7111535948976142</v>
      </c>
      <c r="M584" s="1">
        <v>0.10202106592848298</v>
      </c>
      <c r="N584" s="1">
        <v>1.2529384191697459</v>
      </c>
      <c r="O584" s="1">
        <v>0.2051961904761905</v>
      </c>
      <c r="P584" s="1">
        <v>0.13596175896672535</v>
      </c>
      <c r="Q584" s="1">
        <v>1.221724029753146</v>
      </c>
      <c r="R584" s="2">
        <f t="shared" si="35"/>
        <v>71.84024280961583</v>
      </c>
      <c r="S584" s="2">
        <f t="shared" si="34"/>
        <v>3.128101120499283</v>
      </c>
      <c r="T584" s="2">
        <f t="shared" si="36"/>
        <v>6.2713092704720328</v>
      </c>
      <c r="U584" s="2">
        <f t="shared" si="37"/>
        <v>81.239653200587142</v>
      </c>
    </row>
    <row r="585" spans="1:21" x14ac:dyDescent="0.25">
      <c r="A585">
        <v>2348977</v>
      </c>
      <c r="B585">
        <v>55</v>
      </c>
      <c r="C585" s="1">
        <f>3.11829173017025*(10.3/7.3)</f>
        <v>4.3997814822950136</v>
      </c>
      <c r="D585" s="1">
        <f>3.28853353245133*(10.3/7.3)</f>
        <v>4.6399856690751689</v>
      </c>
      <c r="E585" s="1">
        <f>11.6869705451245*(10.3/7.3)</f>
        <v>16.489835152709965</v>
      </c>
      <c r="F585" s="1">
        <f>25.3074844647208*(38.9/42.5)</f>
        <v>23.163791663003256</v>
      </c>
      <c r="G585" s="1">
        <v>0.98676816296416425</v>
      </c>
      <c r="H585" s="1">
        <v>5.2750536924957556</v>
      </c>
      <c r="I585" s="1">
        <v>20.242494549053589</v>
      </c>
      <c r="J585" s="1">
        <v>2.9999604861852321E-2</v>
      </c>
      <c r="K585" s="1">
        <v>3.2980579995190711</v>
      </c>
      <c r="L585" s="1">
        <v>5.2495978286026066</v>
      </c>
      <c r="M585" s="1">
        <v>0.11773919275478641</v>
      </c>
      <c r="N585" s="1">
        <v>1.3125456138272786</v>
      </c>
      <c r="O585" s="1">
        <v>0.24166593939393938</v>
      </c>
      <c r="P585" s="1">
        <v>0.14875405182401813</v>
      </c>
      <c r="Q585" s="1">
        <v>1.5770267444632771</v>
      </c>
      <c r="R585" s="2">
        <f t="shared" si="35"/>
        <v>76.774737116060194</v>
      </c>
      <c r="S585" s="2">
        <f t="shared" ref="S585:S648" si="38">J585+K585+P585</f>
        <v>3.4768116562049416</v>
      </c>
      <c r="T585" s="2">
        <f t="shared" si="36"/>
        <v>6.9215485745786118</v>
      </c>
      <c r="U585" s="2">
        <f t="shared" si="37"/>
        <v>87.173097346843747</v>
      </c>
    </row>
    <row r="586" spans="1:21" x14ac:dyDescent="0.25">
      <c r="A586">
        <v>2348985</v>
      </c>
      <c r="B586">
        <v>60</v>
      </c>
      <c r="C586" s="1">
        <f>3.02018038871584*(10.3/7.3)</f>
        <v>4.2613504114757781</v>
      </c>
      <c r="D586" s="1">
        <f>3.21016965899407*(10.3/7.3)</f>
        <v>4.5294174640601206</v>
      </c>
      <c r="E586" s="1">
        <f>11.4317930210557*(10.3/7.3)</f>
        <v>16.129790152996335</v>
      </c>
      <c r="F586" s="1">
        <f>23.3346819119102*(38.9/42.5)</f>
        <v>21.358097091136624</v>
      </c>
      <c r="G586" s="1">
        <v>0.8477069289448802</v>
      </c>
      <c r="H586" s="1">
        <v>3.0503300147000783</v>
      </c>
      <c r="I586" s="1">
        <v>18.47145052079491</v>
      </c>
      <c r="J586" s="1">
        <v>3.0583032520276634E-2</v>
      </c>
      <c r="K586" s="1">
        <v>3.4082588111232592</v>
      </c>
      <c r="L586" s="1">
        <v>5.3636553908358842</v>
      </c>
      <c r="M586" s="1">
        <v>0.12657915237639095</v>
      </c>
      <c r="N586" s="1">
        <v>1.3028096357193739</v>
      </c>
      <c r="O586" s="1">
        <v>0.25786755555555563</v>
      </c>
      <c r="P586" s="1">
        <v>0.1541113856410721</v>
      </c>
      <c r="Q586" s="1">
        <v>1.3547827631539191</v>
      </c>
      <c r="R586" s="2">
        <f t="shared" ref="R586:R649" si="39">C586+D586+E586+F586+G586+H586+I586+Q586</f>
        <v>70.002925347262646</v>
      </c>
      <c r="S586" s="2">
        <f t="shared" si="38"/>
        <v>3.5929532292846083</v>
      </c>
      <c r="T586" s="2">
        <f t="shared" ref="T586:T649" si="40">L586+M586+N586+O586</f>
        <v>7.0509117344872045</v>
      </c>
      <c r="U586" s="2">
        <f t="shared" ref="U586:U649" si="41">R586+S586+T586</f>
        <v>80.646790311034451</v>
      </c>
    </row>
    <row r="587" spans="1:21" x14ac:dyDescent="0.25">
      <c r="A587">
        <v>2348993</v>
      </c>
      <c r="B587">
        <v>4</v>
      </c>
      <c r="C587" s="1">
        <f>2.65322087075155*(10.3/7.3)</f>
        <v>3.7435856121563038</v>
      </c>
      <c r="D587" s="1">
        <f>2.8456340476118*(10.3/7.3)</f>
        <v>4.0150726973152775</v>
      </c>
      <c r="E587" s="1">
        <f>10.1307079633794*(10.3/7.3)</f>
        <v>14.294012605864127</v>
      </c>
      <c r="F587" s="1">
        <f>20.5854349666523*(38.9/42.5)</f>
        <v>18.841727534182912</v>
      </c>
      <c r="G587" s="1">
        <v>0.74510971807085702</v>
      </c>
      <c r="H587" s="1">
        <v>2.5677693179632275</v>
      </c>
      <c r="I587" s="1">
        <v>16.231336597279082</v>
      </c>
      <c r="J587" s="1">
        <v>2.9384186018737209E-2</v>
      </c>
      <c r="K587" s="1">
        <v>3.3012513157446914</v>
      </c>
      <c r="L587" s="1">
        <v>5.0782516715945762</v>
      </c>
      <c r="M587" s="1">
        <v>0.12580504775190765</v>
      </c>
      <c r="N587" s="1">
        <v>1.2495028508778894</v>
      </c>
      <c r="O587" s="1">
        <v>0.25026666666666664</v>
      </c>
      <c r="P587" s="1">
        <v>0.15060523993294328</v>
      </c>
      <c r="Q587" s="1">
        <v>1.190814617921462</v>
      </c>
      <c r="R587" s="2">
        <f t="shared" si="39"/>
        <v>61.629428700753245</v>
      </c>
      <c r="S587" s="2">
        <f t="shared" si="38"/>
        <v>3.481240741696372</v>
      </c>
      <c r="T587" s="2">
        <f t="shared" si="40"/>
        <v>6.7038262368910404</v>
      </c>
      <c r="U587" s="2">
        <f t="shared" si="41"/>
        <v>71.814495679340666</v>
      </c>
    </row>
    <row r="588" spans="1:21" x14ac:dyDescent="0.25">
      <c r="A588">
        <v>2349401</v>
      </c>
      <c r="B588">
        <v>11</v>
      </c>
      <c r="C588" s="1">
        <f>5.99067085717583*(10.3/7.3)</f>
        <v>8.4525903875220632</v>
      </c>
      <c r="D588" s="1">
        <f>6.84297517966466*(10.3/7.3)</f>
        <v>9.6551567603487634</v>
      </c>
      <c r="E588" s="1">
        <f>24.4567588540598*(10.3/7.3)</f>
        <v>34.507481670796665</v>
      </c>
      <c r="F588" s="1">
        <f>40.9688923732042*(38.9/42.5)</f>
        <v>37.498586195709215</v>
      </c>
      <c r="G588" s="1">
        <v>1.0941840546676507</v>
      </c>
      <c r="H588" s="1">
        <v>2.3356335722859716</v>
      </c>
      <c r="I588" s="1">
        <v>30.472527724490764</v>
      </c>
      <c r="J588" s="1">
        <v>4.4764256655469355E-2</v>
      </c>
      <c r="K588" s="1">
        <v>2.4354687140244904</v>
      </c>
      <c r="L588" s="1">
        <v>2.2068827739139816</v>
      </c>
      <c r="M588" s="1">
        <v>0.21086705977221706</v>
      </c>
      <c r="N588" s="1">
        <v>4.5805352656293028</v>
      </c>
      <c r="O588" s="1">
        <v>0.12012121212121211</v>
      </c>
      <c r="P588" s="1">
        <v>9.7173377792910673E-2</v>
      </c>
      <c r="Q588" s="1">
        <v>1.7486959777793525</v>
      </c>
      <c r="R588" s="2">
        <f t="shared" si="39"/>
        <v>125.76485634360044</v>
      </c>
      <c r="S588" s="2">
        <f t="shared" si="38"/>
        <v>2.5774063484728704</v>
      </c>
      <c r="T588" s="2">
        <f t="shared" si="40"/>
        <v>7.1184063114367131</v>
      </c>
      <c r="U588" s="2">
        <f t="shared" si="41"/>
        <v>135.46066900351002</v>
      </c>
    </row>
    <row r="589" spans="1:21" x14ac:dyDescent="0.25">
      <c r="A589">
        <v>2349409</v>
      </c>
      <c r="B589">
        <v>38</v>
      </c>
      <c r="C589" s="1">
        <f>6.53355783541316*(10.3/7.3)</f>
        <v>9.2185816033911756</v>
      </c>
      <c r="D589" s="1">
        <f>7.98858149879818*(10.3/7.3)</f>
        <v>11.271560196934416</v>
      </c>
      <c r="E589" s="1">
        <f>28.500479462427*(10.3/7.3)</f>
        <v>40.213005268903849</v>
      </c>
      <c r="F589" s="1">
        <f>45.6543591892715*(38.9/42.5)</f>
        <v>41.787166410886108</v>
      </c>
      <c r="G589" s="1">
        <v>1.1329809299401272</v>
      </c>
      <c r="H589" s="1">
        <v>2.9741347471951354</v>
      </c>
      <c r="I589" s="1">
        <v>32.600227554222243</v>
      </c>
      <c r="J589" s="1">
        <v>4.4931284585185326E-2</v>
      </c>
      <c r="K589" s="1">
        <v>2.6281716614910522</v>
      </c>
      <c r="L589" s="1">
        <v>2.4135265697468808</v>
      </c>
      <c r="M589" s="1">
        <v>0.21864314332534299</v>
      </c>
      <c r="N589" s="1">
        <v>2.9725829890238855</v>
      </c>
      <c r="O589" s="1">
        <v>0.12772912280701751</v>
      </c>
      <c r="P589" s="1">
        <v>0.10283006508745743</v>
      </c>
      <c r="Q589" s="1">
        <v>1.8107001163426713</v>
      </c>
      <c r="R589" s="2">
        <f t="shared" si="39"/>
        <v>141.00835682781576</v>
      </c>
      <c r="S589" s="2">
        <f t="shared" si="38"/>
        <v>2.7759330111636951</v>
      </c>
      <c r="T589" s="2">
        <f t="shared" si="40"/>
        <v>5.7324818249031262</v>
      </c>
      <c r="U589" s="2">
        <f t="shared" si="41"/>
        <v>149.51677166388257</v>
      </c>
    </row>
    <row r="590" spans="1:21" x14ac:dyDescent="0.25">
      <c r="A590">
        <v>2349433</v>
      </c>
      <c r="B590">
        <v>37</v>
      </c>
      <c r="C590" s="1">
        <f>7.26085963728902*(10.3/7.3)</f>
        <v>10.244774556722868</v>
      </c>
      <c r="D590" s="1">
        <f>7.74718636108463*(10.3/7.3)</f>
        <v>10.930961577968731</v>
      </c>
      <c r="E590" s="1">
        <f>27.8174602965323*(10.3/7.3)</f>
        <v>39.249293295107279</v>
      </c>
      <c r="F590" s="1">
        <f>44.9430451443873*(38.9/42.5)</f>
        <v>41.136104849803942</v>
      </c>
      <c r="G590" s="1">
        <v>1.0708963072305828</v>
      </c>
      <c r="H590" s="1">
        <v>3.8695853681393966</v>
      </c>
      <c r="I590" s="1">
        <v>34.253056348470778</v>
      </c>
      <c r="J590" s="1">
        <v>3.7387671073129444E-2</v>
      </c>
      <c r="K590" s="1">
        <v>2.341580638385139</v>
      </c>
      <c r="L590" s="1">
        <v>2.1243480824956675</v>
      </c>
      <c r="M590" s="1">
        <v>0.16334615704686081</v>
      </c>
      <c r="N590" s="1">
        <v>1.80203579905061</v>
      </c>
      <c r="O590" s="1">
        <v>0.11079351351351349</v>
      </c>
      <c r="P590" s="1">
        <v>9.313484595691969E-2</v>
      </c>
      <c r="Q590" s="1">
        <v>1.7114781165785589</v>
      </c>
      <c r="R590" s="2">
        <f t="shared" si="39"/>
        <v>142.4661504200221</v>
      </c>
      <c r="S590" s="2">
        <f t="shared" si="38"/>
        <v>2.472103155415188</v>
      </c>
      <c r="T590" s="2">
        <f t="shared" si="40"/>
        <v>4.2005235521066515</v>
      </c>
      <c r="U590" s="2">
        <f t="shared" si="41"/>
        <v>149.13877712754396</v>
      </c>
    </row>
    <row r="591" spans="1:21" x14ac:dyDescent="0.25">
      <c r="A591">
        <v>2349441</v>
      </c>
      <c r="B591">
        <v>55</v>
      </c>
      <c r="C591" s="1">
        <f>5.37541864076524*(10.3/7.3)</f>
        <v>7.5844947945043861</v>
      </c>
      <c r="D591" s="1">
        <f>6.03253850290445*(10.3/7.3)</f>
        <v>8.5116639150569604</v>
      </c>
      <c r="E591" s="1">
        <f>21.6100006158606*(10.3/7.3)</f>
        <v>30.490822786762177</v>
      </c>
      <c r="F591" s="1">
        <f>34.6542668762551*(38.9/42.5)</f>
        <v>31.718846623207622</v>
      </c>
      <c r="G591" s="1">
        <v>0.83018387682359418</v>
      </c>
      <c r="H591" s="1">
        <v>1.973560745720236</v>
      </c>
      <c r="I591" s="1">
        <v>25.75087793451128</v>
      </c>
      <c r="J591" s="1">
        <v>2.9513565158752756E-2</v>
      </c>
      <c r="K591" s="1">
        <v>2.0837704715587537</v>
      </c>
      <c r="L591" s="1">
        <v>1.8763866978295172</v>
      </c>
      <c r="M591" s="1">
        <v>0.13664899504847469</v>
      </c>
      <c r="N591" s="1">
        <v>1.4616041796477595</v>
      </c>
      <c r="O591" s="1">
        <v>9.7350787878787884E-2</v>
      </c>
      <c r="P591" s="1">
        <v>8.4852429727087703E-2</v>
      </c>
      <c r="Q591" s="1">
        <v>1.3267778853345122</v>
      </c>
      <c r="R591" s="2">
        <f t="shared" si="39"/>
        <v>108.18722856192076</v>
      </c>
      <c r="S591" s="2">
        <f t="shared" si="38"/>
        <v>2.1981364664445944</v>
      </c>
      <c r="T591" s="2">
        <f t="shared" si="40"/>
        <v>3.5719906604045391</v>
      </c>
      <c r="U591" s="2">
        <f t="shared" si="41"/>
        <v>113.95735568876989</v>
      </c>
    </row>
    <row r="592" spans="1:21" x14ac:dyDescent="0.25">
      <c r="A592">
        <v>2349449</v>
      </c>
      <c r="B592">
        <v>55</v>
      </c>
      <c r="C592" s="1">
        <f>6.46326219007313*(10.3/7.3)</f>
        <v>9.1193973366785333</v>
      </c>
      <c r="D592" s="1">
        <f>7.36696190129782*(10.3/7.3)</f>
        <v>10.394480490872271</v>
      </c>
      <c r="E592" s="1">
        <f>26.390177636628*(10.3/7.3)</f>
        <v>37.235456117434062</v>
      </c>
      <c r="F592" s="1">
        <f>41.3036393288063*(38.9/42.5)</f>
        <v>37.804978115072146</v>
      </c>
      <c r="G592" s="1">
        <v>0.93579916433467369</v>
      </c>
      <c r="H592" s="1">
        <v>2.0325707256520578</v>
      </c>
      <c r="I592" s="1">
        <v>30.307061981337942</v>
      </c>
      <c r="J592" s="1">
        <v>2.9500141205048101E-2</v>
      </c>
      <c r="K592" s="1">
        <v>2.1608292625665948</v>
      </c>
      <c r="L592" s="1">
        <v>1.9390639304075561</v>
      </c>
      <c r="M592" s="1">
        <v>0.13696373508327339</v>
      </c>
      <c r="N592" s="1">
        <v>1.4887322329007402</v>
      </c>
      <c r="O592" s="1">
        <v>0.10008048484848485</v>
      </c>
      <c r="P592" s="1">
        <v>8.6420130710266968E-2</v>
      </c>
      <c r="Q592" s="1">
        <v>1.4955694407175162</v>
      </c>
      <c r="R592" s="2">
        <f t="shared" si="39"/>
        <v>129.3253133720992</v>
      </c>
      <c r="S592" s="2">
        <f t="shared" si="38"/>
        <v>2.27674953448191</v>
      </c>
      <c r="T592" s="2">
        <f t="shared" si="40"/>
        <v>3.6648403832400542</v>
      </c>
      <c r="U592" s="2">
        <f t="shared" si="41"/>
        <v>135.26690328982119</v>
      </c>
    </row>
    <row r="593" spans="1:21" x14ac:dyDescent="0.25">
      <c r="A593">
        <v>2349457</v>
      </c>
      <c r="B593">
        <v>40</v>
      </c>
      <c r="C593" s="1">
        <f>8.7800441612347*(10.3/7.3)</f>
        <v>12.388281487769513</v>
      </c>
      <c r="D593" s="1">
        <f>10.3755444068465*(10.3/7.3)</f>
        <v>14.639466765824469</v>
      </c>
      <c r="E593" s="1">
        <f>37.1475892558091*(10.3/7.3)</f>
        <v>52.41372182668961</v>
      </c>
      <c r="F593" s="1">
        <f>55.8948363493259*(38.9/42.5)</f>
        <v>51.160214917382966</v>
      </c>
      <c r="G593" s="1">
        <v>1.1520284643487277</v>
      </c>
      <c r="H593" s="1">
        <v>2.3515029633649771</v>
      </c>
      <c r="I593" s="1">
        <v>39.919026535714593</v>
      </c>
      <c r="J593" s="1">
        <v>2.9016300252986377E-2</v>
      </c>
      <c r="K593" s="1">
        <v>2.1392947058372647</v>
      </c>
      <c r="L593" s="1">
        <v>1.9536310323861332</v>
      </c>
      <c r="M593" s="1">
        <v>0.13315865018406803</v>
      </c>
      <c r="N593" s="1">
        <v>1.4315738831997646</v>
      </c>
      <c r="O593" s="1">
        <v>9.9593333333333339E-2</v>
      </c>
      <c r="P593" s="1">
        <v>8.4191261484849608E-2</v>
      </c>
      <c r="Q593" s="1">
        <v>1.8411413813792479</v>
      </c>
      <c r="R593" s="2">
        <f t="shared" si="39"/>
        <v>175.8653843424741</v>
      </c>
      <c r="S593" s="2">
        <f t="shared" si="38"/>
        <v>2.2525022675751005</v>
      </c>
      <c r="T593" s="2">
        <f t="shared" si="40"/>
        <v>3.6179568991032993</v>
      </c>
      <c r="U593" s="2">
        <f t="shared" si="41"/>
        <v>181.73584350915249</v>
      </c>
    </row>
    <row r="594" spans="1:21" x14ac:dyDescent="0.25">
      <c r="A594">
        <v>2349545</v>
      </c>
      <c r="B594">
        <v>55</v>
      </c>
      <c r="C594" s="1">
        <f>16.3542236691484*(10.3/7.3)</f>
        <v>23.07513750578477</v>
      </c>
      <c r="D594" s="1">
        <f>20.2513068242316*(10.3/7.3)</f>
        <v>28.573761683504806</v>
      </c>
      <c r="E594" s="1">
        <f>72.3303297209946*(10.3/7.3)</f>
        <v>102.05512275701976</v>
      </c>
      <c r="F594" s="1">
        <f>109.724221381064*(38.9/42.5)</f>
        <v>100.42993439349164</v>
      </c>
      <c r="G594" s="1">
        <v>2.3746711433275829</v>
      </c>
      <c r="H594" s="1">
        <v>5.2037738875087642</v>
      </c>
      <c r="I594" s="1">
        <v>76.758286482833213</v>
      </c>
      <c r="J594" s="1">
        <v>3.1785762196163588E-2</v>
      </c>
      <c r="K594" s="1">
        <v>2.6090066827849574</v>
      </c>
      <c r="L594" s="1">
        <v>2.4141766772109126</v>
      </c>
      <c r="M594" s="1">
        <v>0.11868640432420711</v>
      </c>
      <c r="N594" s="1">
        <v>1.7318814685197086</v>
      </c>
      <c r="O594" s="1">
        <v>0.10688193939393936</v>
      </c>
      <c r="P594" s="1">
        <v>8.8696851348175107E-2</v>
      </c>
      <c r="Q594" s="1">
        <v>3.795136530432214</v>
      </c>
      <c r="R594" s="2">
        <f t="shared" si="39"/>
        <v>342.26582438390278</v>
      </c>
      <c r="S594" s="2">
        <f t="shared" si="38"/>
        <v>2.7294892963292963</v>
      </c>
      <c r="T594" s="2">
        <f t="shared" si="40"/>
        <v>4.3716264894487677</v>
      </c>
      <c r="U594" s="2">
        <f t="shared" si="41"/>
        <v>349.36694016968084</v>
      </c>
    </row>
    <row r="595" spans="1:21" x14ac:dyDescent="0.25">
      <c r="A595">
        <v>2349553</v>
      </c>
      <c r="B595">
        <v>23</v>
      </c>
      <c r="C595" s="1">
        <f>18.1932770515296*(10.3/7.3)</f>
        <v>25.669966250788356</v>
      </c>
      <c r="D595" s="1">
        <f>22.4865510603405*(10.3/7.3)</f>
        <v>31.727599441302335</v>
      </c>
      <c r="E595" s="1">
        <f>80.3596708652392*(10.3/7.3)</f>
        <v>113.38419313862524</v>
      </c>
      <c r="F595" s="1">
        <f>119.953848026194*(38.9/42.5)</f>
        <v>109.79305148750468</v>
      </c>
      <c r="G595" s="1">
        <v>2.4719354917001342</v>
      </c>
      <c r="H595" s="1">
        <v>6.6851653351523819</v>
      </c>
      <c r="I595" s="1">
        <v>83.607264196755565</v>
      </c>
      <c r="J595" s="1">
        <v>3.550971186008163E-2</v>
      </c>
      <c r="K595" s="1">
        <v>2.8644188243435056</v>
      </c>
      <c r="L595" s="1">
        <v>2.7001064293440318</v>
      </c>
      <c r="M595" s="1">
        <v>0.12842190156714584</v>
      </c>
      <c r="N595" s="1">
        <v>1.8479486376316516</v>
      </c>
      <c r="O595" s="1">
        <v>0.11461797101449277</v>
      </c>
      <c r="P595" s="1">
        <v>9.366119900967218E-2</v>
      </c>
      <c r="Q595" s="1">
        <v>3.9505818360504477</v>
      </c>
      <c r="R595" s="2">
        <f t="shared" si="39"/>
        <v>377.28975717787915</v>
      </c>
      <c r="S595" s="2">
        <f t="shared" si="38"/>
        <v>2.9935897352132597</v>
      </c>
      <c r="T595" s="2">
        <f t="shared" si="40"/>
        <v>4.7910949395573219</v>
      </c>
      <c r="U595" s="2">
        <f t="shared" si="41"/>
        <v>385.07444185264973</v>
      </c>
    </row>
    <row r="596" spans="1:21" x14ac:dyDescent="0.25">
      <c r="A596">
        <v>2349561</v>
      </c>
      <c r="B596">
        <v>67</v>
      </c>
      <c r="C596" s="1">
        <f>10.889892462283*(10.3/7.3)</f>
        <v>15.36519073445403</v>
      </c>
      <c r="D596" s="1">
        <f>12.5075530588976*(10.3/7.3)</f>
        <v>17.647643357074699</v>
      </c>
      <c r="E596" s="1">
        <f>44.8296208915731*(10.3/7.3)</f>
        <v>63.252752764822333</v>
      </c>
      <c r="F596" s="1">
        <f>68.0913261236006*(38.9/42.5)</f>
        <v>62.323590263719105</v>
      </c>
      <c r="G596" s="1">
        <v>1.421673982985749</v>
      </c>
      <c r="H596" s="1">
        <v>3.006808125527336</v>
      </c>
      <c r="I596" s="1">
        <v>49.436117628365437</v>
      </c>
      <c r="J596" s="1">
        <v>2.6832880595460469E-2</v>
      </c>
      <c r="K596" s="1">
        <v>2.309564607563098</v>
      </c>
      <c r="L596" s="1">
        <v>2.0066632842332908</v>
      </c>
      <c r="M596" s="1">
        <v>9.9447662378020649E-2</v>
      </c>
      <c r="N596" s="1">
        <v>1.4442204729637362</v>
      </c>
      <c r="O596" s="1">
        <v>9.2198208955223876E-2</v>
      </c>
      <c r="P596" s="1">
        <v>7.9346396039032735E-2</v>
      </c>
      <c r="Q596" s="1">
        <v>2.2720817079680953</v>
      </c>
      <c r="R596" s="2">
        <f t="shared" si="39"/>
        <v>214.72585856491673</v>
      </c>
      <c r="S596" s="2">
        <f t="shared" si="38"/>
        <v>2.4157438841975911</v>
      </c>
      <c r="T596" s="2">
        <f t="shared" si="40"/>
        <v>3.6425296285302715</v>
      </c>
      <c r="U596" s="2">
        <f t="shared" si="41"/>
        <v>220.78413207764459</v>
      </c>
    </row>
    <row r="597" spans="1:21" x14ac:dyDescent="0.25">
      <c r="A597">
        <v>2360861</v>
      </c>
      <c r="B597">
        <v>20</v>
      </c>
      <c r="C597" s="1">
        <f>0.268295335412641*(10.3/7.3)</f>
        <v>0.37855369243153464</v>
      </c>
      <c r="D597" s="1">
        <f>0.356210843714869*(10.3/7.3)</f>
        <v>0.50259886167988421</v>
      </c>
      <c r="E597" s="1">
        <f>1.25217386385233*(10.3/7.3)</f>
        <v>1.7667658626957503</v>
      </c>
      <c r="F597" s="1">
        <f>2.70852459004785*(38.9/42.5)</f>
        <v>2.4790966247732102</v>
      </c>
      <c r="G597" s="1">
        <v>0.11047784546870601</v>
      </c>
      <c r="H597" s="1">
        <v>2.1246386924267666</v>
      </c>
      <c r="I597" s="1">
        <v>2.0102076398584012</v>
      </c>
      <c r="J597" s="1">
        <v>7.7914556030795144E-3</v>
      </c>
      <c r="K597" s="1">
        <v>1.0551053134142845</v>
      </c>
      <c r="L597" s="1">
        <v>1.0019050246247649</v>
      </c>
      <c r="M597" s="1">
        <v>4.0126998321993006E-2</v>
      </c>
      <c r="N597" s="1">
        <v>0.28863480864780888</v>
      </c>
      <c r="O597" s="1">
        <v>7.6277333333333336E-2</v>
      </c>
      <c r="P597" s="1">
        <v>5.5131762166092314E-2</v>
      </c>
      <c r="Q597" s="1">
        <v>0.17656276673080887</v>
      </c>
      <c r="R597" s="2">
        <f t="shared" si="39"/>
        <v>9.5489019860650632</v>
      </c>
      <c r="S597" s="2">
        <f t="shared" si="38"/>
        <v>1.1180285311834564</v>
      </c>
      <c r="T597" s="2">
        <f t="shared" si="40"/>
        <v>1.4069441649279002</v>
      </c>
      <c r="U597" s="2">
        <f t="shared" si="41"/>
        <v>12.07387468217642</v>
      </c>
    </row>
    <row r="598" spans="1:21" x14ac:dyDescent="0.25">
      <c r="A598">
        <v>2360933</v>
      </c>
      <c r="B598">
        <v>67</v>
      </c>
      <c r="C598" s="1">
        <f>0.297711830713042*(10.3/7.3)</f>
        <v>0.42005915840333335</v>
      </c>
      <c r="D598" s="1">
        <f>0.375773086675686*(10.3/7.3)</f>
        <v>0.53020038256980329</v>
      </c>
      <c r="E598" s="1">
        <f>1.3253994209075*(10.3/7.3)</f>
        <v>1.8700841144311333</v>
      </c>
      <c r="F598" s="1">
        <f>2.78887544530529*(38.9/42.5)</f>
        <v>2.5526412899382493</v>
      </c>
      <c r="G598" s="1">
        <v>0.1093116055091682</v>
      </c>
      <c r="H598" s="1">
        <v>0.86585705970628268</v>
      </c>
      <c r="I598" s="1">
        <v>2.0911788652593049</v>
      </c>
      <c r="J598" s="1">
        <v>8.1000859783317853E-3</v>
      </c>
      <c r="K598" s="1">
        <v>1.274735195865941</v>
      </c>
      <c r="L598" s="1">
        <v>1.1553102678779335</v>
      </c>
      <c r="M598" s="1">
        <v>3.9040604323970773E-2</v>
      </c>
      <c r="N598" s="1">
        <v>0.31000569525349048</v>
      </c>
      <c r="O598" s="1">
        <v>6.9703482587064672E-2</v>
      </c>
      <c r="P598" s="1">
        <v>6.3794833531775771E-2</v>
      </c>
      <c r="Q598" s="1">
        <v>0.1746989129141959</v>
      </c>
      <c r="R598" s="2">
        <f t="shared" si="39"/>
        <v>8.6140313887314708</v>
      </c>
      <c r="S598" s="2">
        <f t="shared" si="38"/>
        <v>1.3466301153760485</v>
      </c>
      <c r="T598" s="2">
        <f t="shared" si="40"/>
        <v>1.5740600500424593</v>
      </c>
      <c r="U598" s="2">
        <f t="shared" si="41"/>
        <v>11.534721554149979</v>
      </c>
    </row>
    <row r="599" spans="1:21" x14ac:dyDescent="0.25">
      <c r="A599">
        <v>2360941</v>
      </c>
      <c r="B599">
        <v>37</v>
      </c>
      <c r="C599" s="1">
        <f>0.291113634491743*(10.3/7.3)</f>
        <v>0.41074937469382949</v>
      </c>
      <c r="D599" s="1">
        <f>0.37621313842303*(10.3/7.3)</f>
        <v>0.53082127750098806</v>
      </c>
      <c r="E599" s="1">
        <f>1.32586185251317*(10.3/7.3)</f>
        <v>1.8707365864226857</v>
      </c>
      <c r="F599" s="1">
        <f>2.77505353794509*(38.9/42.5)</f>
        <v>2.5399901794368009</v>
      </c>
      <c r="G599" s="1">
        <v>0.10861147896790138</v>
      </c>
      <c r="H599" s="1">
        <v>0.85454240059230069</v>
      </c>
      <c r="I599" s="1">
        <v>2.0629187788133354</v>
      </c>
      <c r="J599" s="1">
        <v>8.1281893723814062E-3</v>
      </c>
      <c r="K599" s="1">
        <v>1.3323026280026824</v>
      </c>
      <c r="L599" s="1">
        <v>1.2053623641146836</v>
      </c>
      <c r="M599" s="1">
        <v>3.9212275277817912E-2</v>
      </c>
      <c r="N599" s="1">
        <v>0.31420352786149186</v>
      </c>
      <c r="O599" s="1">
        <v>7.0290450450450445E-2</v>
      </c>
      <c r="P599" s="1">
        <v>6.6993911200773776E-2</v>
      </c>
      <c r="Q599" s="1">
        <v>0.17357998921810747</v>
      </c>
      <c r="R599" s="2">
        <f t="shared" si="39"/>
        <v>8.5519500656459488</v>
      </c>
      <c r="S599" s="2">
        <f t="shared" si="38"/>
        <v>1.4074247285758377</v>
      </c>
      <c r="T599" s="2">
        <f t="shared" si="40"/>
        <v>1.6290686177044438</v>
      </c>
      <c r="U599" s="2">
        <f t="shared" si="41"/>
        <v>11.588443411926232</v>
      </c>
    </row>
    <row r="600" spans="1:21" x14ac:dyDescent="0.25">
      <c r="A600">
        <v>2360949</v>
      </c>
      <c r="B600">
        <v>17</v>
      </c>
      <c r="C600" s="1">
        <f>0.285263620682585*(10.3/7.3)</f>
        <v>0.40249524562063405</v>
      </c>
      <c r="D600" s="1">
        <f>0.376688926199498*(10.3/7.3)</f>
        <v>0.53149259450066111</v>
      </c>
      <c r="E600" s="1">
        <f>1.32609959752554*(10.3/7.3)</f>
        <v>1.8710720348648027</v>
      </c>
      <c r="F600" s="1">
        <f>2.78574181367908*(38.9/42.5)</f>
        <v>2.5497730953439084</v>
      </c>
      <c r="G600" s="1">
        <v>0.10993944576602097</v>
      </c>
      <c r="H600" s="1">
        <v>0.84645015413668279</v>
      </c>
      <c r="I600" s="1">
        <v>2.0583245574869382</v>
      </c>
      <c r="J600" s="1">
        <v>8.1841915668343836E-3</v>
      </c>
      <c r="K600" s="1">
        <v>1.4003647761380604</v>
      </c>
      <c r="L600" s="1">
        <v>1.246109636235756</v>
      </c>
      <c r="M600" s="1">
        <v>4.0269666102773966E-2</v>
      </c>
      <c r="N600" s="1">
        <v>0.31826315346938583</v>
      </c>
      <c r="O600" s="1">
        <v>7.1061960784313719E-2</v>
      </c>
      <c r="P600" s="1">
        <v>6.9368145233489081E-2</v>
      </c>
      <c r="Q600" s="1">
        <v>0.17570231058496522</v>
      </c>
      <c r="R600" s="2">
        <f t="shared" si="39"/>
        <v>8.545249438304614</v>
      </c>
      <c r="S600" s="2">
        <f t="shared" si="38"/>
        <v>1.4779171129383839</v>
      </c>
      <c r="T600" s="2">
        <f t="shared" si="40"/>
        <v>1.6757044165922295</v>
      </c>
      <c r="U600" s="2">
        <f t="shared" si="41"/>
        <v>11.698870967835227</v>
      </c>
    </row>
    <row r="601" spans="1:21" x14ac:dyDescent="0.25">
      <c r="A601">
        <v>2360997</v>
      </c>
      <c r="B601">
        <v>11</v>
      </c>
      <c r="C601" s="1">
        <f>0.522776100549439*(10.3/7.3)</f>
        <v>0.73761559392592069</v>
      </c>
      <c r="D601" s="1">
        <f>0.755845343316614*(10.3/7.3)</f>
        <v>1.0664667172823457</v>
      </c>
      <c r="E601" s="1">
        <f>2.65039768336954*(10.3/7.3)</f>
        <v>3.7396022107816798</v>
      </c>
      <c r="F601" s="1">
        <f>5.59877917327801*(38.9/42.5)</f>
        <v>5.1245296433062277</v>
      </c>
      <c r="G601" s="1">
        <v>0.22595339175032433</v>
      </c>
      <c r="H601" s="1">
        <v>2.8787672418509622</v>
      </c>
      <c r="I601" s="1">
        <v>4.0291147039352895</v>
      </c>
      <c r="J601" s="1">
        <v>1.1519912455051762E-2</v>
      </c>
      <c r="K601" s="1">
        <v>3.5135097159697533</v>
      </c>
      <c r="L601" s="1">
        <v>2.4269306503312311</v>
      </c>
      <c r="M601" s="1">
        <v>5.4710153074871565E-2</v>
      </c>
      <c r="N601" s="1">
        <v>0.47431516279677016</v>
      </c>
      <c r="O601" s="1">
        <v>9.8894545454545443E-2</v>
      </c>
      <c r="P601" s="1">
        <v>0.12025513459913033</v>
      </c>
      <c r="Q601" s="1">
        <v>0.36111272654161464</v>
      </c>
      <c r="R601" s="2">
        <f t="shared" si="39"/>
        <v>18.163162229374365</v>
      </c>
      <c r="S601" s="2">
        <f t="shared" si="38"/>
        <v>3.6452847630239353</v>
      </c>
      <c r="T601" s="2">
        <f t="shared" si="40"/>
        <v>3.0548505116574183</v>
      </c>
      <c r="U601" s="2">
        <f t="shared" si="41"/>
        <v>24.863297504055716</v>
      </c>
    </row>
    <row r="602" spans="1:21" x14ac:dyDescent="0.25">
      <c r="A602">
        <v>2361021</v>
      </c>
      <c r="B602">
        <v>14</v>
      </c>
      <c r="C602" s="1">
        <f>0.490354112954759*(10.3/7.3)</f>
        <v>0.69186950184027673</v>
      </c>
      <c r="D602" s="1">
        <f>0.683179313104392*(10.3/7.3)</f>
        <v>0.96393793492811519</v>
      </c>
      <c r="E602" s="1">
        <f>2.4042309699166*(10.3/7.3)</f>
        <v>3.3922710945398604</v>
      </c>
      <c r="F602" s="1">
        <f>4.82125519987389*(38.9/42.5)</f>
        <v>4.4128665241198641</v>
      </c>
      <c r="G602" s="1">
        <v>0.18201820355453807</v>
      </c>
      <c r="H602" s="1">
        <v>1.8546713497001905</v>
      </c>
      <c r="I602" s="1">
        <v>3.4650544996463926</v>
      </c>
      <c r="J602" s="1">
        <v>1.1408156387264248E-2</v>
      </c>
      <c r="K602" s="1">
        <v>3.10516366895575</v>
      </c>
      <c r="L602" s="1">
        <v>2.4571358520607633</v>
      </c>
      <c r="M602" s="1">
        <v>5.3021402127483193E-2</v>
      </c>
      <c r="N602" s="1">
        <v>0.45800117264073137</v>
      </c>
      <c r="O602" s="1">
        <v>9.6396190476190483E-2</v>
      </c>
      <c r="P602" s="1">
        <v>0.10191785840079524</v>
      </c>
      <c r="Q602" s="1">
        <v>0.29089667234743555</v>
      </c>
      <c r="R602" s="2">
        <f t="shared" si="39"/>
        <v>15.253585780676673</v>
      </c>
      <c r="S602" s="2">
        <f t="shared" si="38"/>
        <v>3.2184896837438095</v>
      </c>
      <c r="T602" s="2">
        <f t="shared" si="40"/>
        <v>3.0645546173051681</v>
      </c>
      <c r="U602" s="2">
        <f t="shared" si="41"/>
        <v>21.536630081725647</v>
      </c>
    </row>
    <row r="603" spans="1:21" x14ac:dyDescent="0.25">
      <c r="A603">
        <v>2361029</v>
      </c>
      <c r="B603">
        <v>18</v>
      </c>
      <c r="C603" s="1">
        <f>0.446732941394391*(10.3/7.3)</f>
        <v>0.6303218214194839</v>
      </c>
      <c r="D603" s="1">
        <f>0.607815298928798*(10.3/7.3)</f>
        <v>0.85760240807761923</v>
      </c>
      <c r="E603" s="1">
        <f>2.14168066168205*(10.3/7.3)</f>
        <v>3.0218233993596058</v>
      </c>
      <c r="F603" s="1">
        <f>4.2653994056778*(38.9/42.5)</f>
        <v>3.9040949854321529</v>
      </c>
      <c r="G603" s="1">
        <v>0.15890976851425967</v>
      </c>
      <c r="H603" s="1">
        <v>1.7682975184174277</v>
      </c>
      <c r="I603" s="1">
        <v>3.0841865613183574</v>
      </c>
      <c r="J603" s="1">
        <v>1.0434038038999971E-2</v>
      </c>
      <c r="K603" s="1">
        <v>2.7100523713422846</v>
      </c>
      <c r="L603" s="1">
        <v>2.287100322931662</v>
      </c>
      <c r="M603" s="1">
        <v>4.8660940926336722E-2</v>
      </c>
      <c r="N603" s="1">
        <v>0.41892389456080681</v>
      </c>
      <c r="O603" s="1">
        <v>8.8684444444444441E-2</v>
      </c>
      <c r="P603" s="1">
        <v>9.0461758390159797E-2</v>
      </c>
      <c r="Q603" s="1">
        <v>0.25396538347027825</v>
      </c>
      <c r="R603" s="2">
        <f t="shared" si="39"/>
        <v>13.679201846009187</v>
      </c>
      <c r="S603" s="2">
        <f t="shared" si="38"/>
        <v>2.8109481677714445</v>
      </c>
      <c r="T603" s="2">
        <f t="shared" si="40"/>
        <v>2.84336960286325</v>
      </c>
      <c r="U603" s="2">
        <f t="shared" si="41"/>
        <v>19.333519616643883</v>
      </c>
    </row>
    <row r="604" spans="1:21" x14ac:dyDescent="0.25">
      <c r="A604">
        <v>2361061</v>
      </c>
      <c r="B604">
        <v>9</v>
      </c>
      <c r="C604" s="1">
        <f>0.734671364896905*(10.3/7.3)</f>
        <v>1.0365911038956326</v>
      </c>
      <c r="D604" s="1">
        <f>0.949705413475229*(10.3/7.3)</f>
        <v>1.3399953094239532</v>
      </c>
      <c r="E604" s="1">
        <f>3.3554544939796*(10.3/7.3)</f>
        <v>4.7344083956150476</v>
      </c>
      <c r="F604" s="1">
        <f>6.59244026406387*(38.9/42.5)</f>
        <v>6.0340217946372832</v>
      </c>
      <c r="G604" s="1">
        <v>0.23870740049972028</v>
      </c>
      <c r="H604" s="1">
        <v>2.2776469260294552</v>
      </c>
      <c r="I604" s="1">
        <v>4.8344981488348413</v>
      </c>
      <c r="J604" s="1">
        <v>1.2056356275509793E-2</v>
      </c>
      <c r="K604" s="1">
        <v>2.6277865188374498</v>
      </c>
      <c r="L604" s="1">
        <v>4.8250314168653059</v>
      </c>
      <c r="M604" s="1">
        <v>5.3559380148227351E-2</v>
      </c>
      <c r="N604" s="1">
        <v>0.50789901826241401</v>
      </c>
      <c r="O604" s="1">
        <v>0.10098962962962962</v>
      </c>
      <c r="P604" s="1">
        <v>0.10280998601698627</v>
      </c>
      <c r="Q604" s="1">
        <v>0.3814958455474986</v>
      </c>
      <c r="R604" s="2">
        <f t="shared" si="39"/>
        <v>20.87736492448343</v>
      </c>
      <c r="S604" s="2">
        <f t="shared" si="38"/>
        <v>2.7426528611299461</v>
      </c>
      <c r="T604" s="2">
        <f t="shared" si="40"/>
        <v>5.4874794449055768</v>
      </c>
      <c r="U604" s="2">
        <f t="shared" si="41"/>
        <v>29.107497230518955</v>
      </c>
    </row>
    <row r="605" spans="1:21" x14ac:dyDescent="0.25">
      <c r="A605">
        <v>2361109</v>
      </c>
      <c r="B605">
        <v>3</v>
      </c>
      <c r="C605" s="1">
        <f>0.516982765178341*(10.3/7.3)</f>
        <v>0.72944143579957688</v>
      </c>
      <c r="D605" s="1">
        <f>0.721584460440751*(10.3/7.3)</f>
        <v>1.0181260195259916</v>
      </c>
      <c r="E605" s="1">
        <f>2.53851985705112*(10.3/7.3)</f>
        <v>3.5817471955652826</v>
      </c>
      <c r="F605" s="1">
        <f>5.12482107994989*(38.9/42.5)</f>
        <v>4.6907185884717784</v>
      </c>
      <c r="G605" s="1">
        <v>0.19513373277627835</v>
      </c>
      <c r="H605" s="1">
        <v>1.2883214517441168</v>
      </c>
      <c r="I605" s="1">
        <v>3.6871500180164993</v>
      </c>
      <c r="J605" s="1">
        <v>1.0848457605954964E-2</v>
      </c>
      <c r="K605" s="1">
        <v>1.8169578014828038</v>
      </c>
      <c r="L605" s="1">
        <v>2.189242997871935</v>
      </c>
      <c r="M605" s="1">
        <v>4.8306077964842022E-2</v>
      </c>
      <c r="N605" s="1">
        <v>0.49019560049178112</v>
      </c>
      <c r="O605" s="1">
        <v>9.0666666666666673E-2</v>
      </c>
      <c r="P605" s="1">
        <v>7.9345821881679268E-2</v>
      </c>
      <c r="Q605" s="1">
        <v>0.31185756379770546</v>
      </c>
      <c r="R605" s="2">
        <f t="shared" si="39"/>
        <v>15.50249600569723</v>
      </c>
      <c r="S605" s="2">
        <f t="shared" si="38"/>
        <v>1.9071520809704379</v>
      </c>
      <c r="T605" s="2">
        <f t="shared" si="40"/>
        <v>2.8184113429952244</v>
      </c>
      <c r="U605" s="2">
        <f t="shared" si="41"/>
        <v>20.228059429662892</v>
      </c>
    </row>
    <row r="606" spans="1:21" x14ac:dyDescent="0.25">
      <c r="A606">
        <v>2361117</v>
      </c>
      <c r="B606">
        <v>17</v>
      </c>
      <c r="C606" s="1">
        <f>0.606153272033628*(10.3/7.3)</f>
        <v>0.85525735643100964</v>
      </c>
      <c r="D606" s="1">
        <f>0.806800279690897*(10.3/7.3)</f>
        <v>1.1383620384679776</v>
      </c>
      <c r="E606" s="1">
        <f>2.83994986508739*(10.3/7.3)</f>
        <v>4.0070525493698819</v>
      </c>
      <c r="F606" s="1">
        <f>5.93337530223564*(38.9/42.5)</f>
        <v>5.4307835119286203</v>
      </c>
      <c r="G606" s="1">
        <v>0.23306354634605067</v>
      </c>
      <c r="H606" s="1">
        <v>1.624058804538079</v>
      </c>
      <c r="I606" s="1">
        <v>4.3679818815646554</v>
      </c>
      <c r="J606" s="1">
        <v>1.1810084057443786E-2</v>
      </c>
      <c r="K606" s="1">
        <v>1.94371797323007</v>
      </c>
      <c r="L606" s="1">
        <v>2.4050245442552343</v>
      </c>
      <c r="M606" s="1">
        <v>5.3849442457149684E-2</v>
      </c>
      <c r="N606" s="1">
        <v>0.54338669700211228</v>
      </c>
      <c r="O606" s="1">
        <v>9.7832156862745101E-2</v>
      </c>
      <c r="P606" s="1">
        <v>8.6035624037178404E-2</v>
      </c>
      <c r="Q606" s="1">
        <v>0.37247598731104026</v>
      </c>
      <c r="R606" s="2">
        <f t="shared" si="39"/>
        <v>18.029035675957317</v>
      </c>
      <c r="S606" s="2">
        <f t="shared" si="38"/>
        <v>2.0415636813246922</v>
      </c>
      <c r="T606" s="2">
        <f t="shared" si="40"/>
        <v>3.1000928405772412</v>
      </c>
      <c r="U606" s="2">
        <f t="shared" si="41"/>
        <v>23.17069219785925</v>
      </c>
    </row>
    <row r="607" spans="1:21" x14ac:dyDescent="0.25">
      <c r="A607">
        <v>2361125</v>
      </c>
      <c r="B607">
        <v>2</v>
      </c>
      <c r="C607" s="1">
        <f>0.803752866047683*(10.3/7.3)</f>
        <v>1.1340622630535797</v>
      </c>
      <c r="D607" s="1">
        <f>0.961029973933514*(10.3/7.3)</f>
        <v>1.3559737988376979</v>
      </c>
      <c r="E607" s="1">
        <f>3.39822825140047*(10.3/7.3)</f>
        <v>4.7947604095102569</v>
      </c>
      <c r="F607" s="1">
        <f>7.14417603325834*(38.9/42.5)</f>
        <v>6.5390222986764535</v>
      </c>
      <c r="G607" s="1">
        <v>0.27666000547853764</v>
      </c>
      <c r="H607" s="1">
        <v>1.7148134046116068</v>
      </c>
      <c r="I607" s="1">
        <v>5.4519100826099551</v>
      </c>
      <c r="J607" s="1">
        <v>1.252169428755141E-2</v>
      </c>
      <c r="K607" s="1">
        <v>1.9804598886264917</v>
      </c>
      <c r="L607" s="1">
        <v>2.5714049722940118</v>
      </c>
      <c r="M607" s="1">
        <v>5.8085629613550835E-2</v>
      </c>
      <c r="N607" s="1">
        <v>0.5691149341445827</v>
      </c>
      <c r="O607" s="1">
        <v>0.10298666666666667</v>
      </c>
      <c r="P607" s="1">
        <v>8.7191063242957195E-2</v>
      </c>
      <c r="Q607" s="1">
        <v>0.44215069368716109</v>
      </c>
      <c r="R607" s="2">
        <f t="shared" si="39"/>
        <v>21.709352956465249</v>
      </c>
      <c r="S607" s="2">
        <f t="shared" si="38"/>
        <v>2.0801726461570005</v>
      </c>
      <c r="T607" s="2">
        <f t="shared" si="40"/>
        <v>3.3015922027188123</v>
      </c>
      <c r="U607" s="2">
        <f t="shared" si="41"/>
        <v>27.09111780534106</v>
      </c>
    </row>
    <row r="608" spans="1:21" x14ac:dyDescent="0.25">
      <c r="A608">
        <v>2361133</v>
      </c>
      <c r="B608">
        <v>22</v>
      </c>
      <c r="C608" s="1">
        <f>4.50976760711199*(10.3/7.3)</f>
        <v>6.3630967607196549</v>
      </c>
      <c r="D608" s="1">
        <f>3.40973640737853*(10.3/7.3)</f>
        <v>4.8109979446573732</v>
      </c>
      <c r="E608" s="1">
        <f>12.3195475396485*(10.3/7.3)</f>
        <v>17.382375295668368</v>
      </c>
      <c r="F608" s="1">
        <f>29.3027625397592*(38.9/42.5)</f>
        <v>26.820646183450169</v>
      </c>
      <c r="G608" s="1">
        <v>1.1686516207940421</v>
      </c>
      <c r="H608" s="1">
        <v>2.1690381751021306</v>
      </c>
      <c r="I608" s="1">
        <v>26.561662615435736</v>
      </c>
      <c r="J608" s="1">
        <v>1.2596914717793006E-2</v>
      </c>
      <c r="K608" s="1">
        <v>1.9864349334927562</v>
      </c>
      <c r="L608" s="1">
        <v>2.768995803181685</v>
      </c>
      <c r="M608" s="1">
        <v>5.6409630369056905E-2</v>
      </c>
      <c r="N608" s="1">
        <v>0.58713955866663214</v>
      </c>
      <c r="O608" s="1">
        <v>0.10389090909090908</v>
      </c>
      <c r="P608" s="1">
        <v>9.0708858826873295E-2</v>
      </c>
      <c r="Q608" s="1">
        <v>1.8677080697621695</v>
      </c>
      <c r="R608" s="2">
        <f t="shared" si="39"/>
        <v>87.144176665589654</v>
      </c>
      <c r="S608" s="2">
        <f t="shared" si="38"/>
        <v>2.0897407070374228</v>
      </c>
      <c r="T608" s="2">
        <f t="shared" si="40"/>
        <v>3.5164359013082831</v>
      </c>
      <c r="U608" s="2">
        <f t="shared" si="41"/>
        <v>92.75035327393536</v>
      </c>
    </row>
    <row r="609" spans="1:21" x14ac:dyDescent="0.25">
      <c r="A609">
        <v>2361141</v>
      </c>
      <c r="B609">
        <v>11</v>
      </c>
      <c r="C609" s="1">
        <f>1.14566827798066*(10.3/7.3)</f>
        <v>1.6164908579727142</v>
      </c>
      <c r="D609" s="1">
        <f>1.15752791768547*(10.3/7.3)</f>
        <v>1.6332243222137517</v>
      </c>
      <c r="E609" s="1">
        <f>4.12385490979142*(10.3/7.3)</f>
        <v>5.8185898042262574</v>
      </c>
      <c r="F609" s="1">
        <f>8.89872733507881*(38.9/42.5)</f>
        <v>8.1449527843427258</v>
      </c>
      <c r="G609" s="1">
        <v>0.34210504247179474</v>
      </c>
      <c r="H609" s="1">
        <v>1.7024763978363759</v>
      </c>
      <c r="I609" s="1">
        <v>7.2225649233267726</v>
      </c>
      <c r="J609" s="1">
        <v>1.2623145431928539E-2</v>
      </c>
      <c r="K609" s="1">
        <v>1.8739202880042951</v>
      </c>
      <c r="L609" s="1">
        <v>2.8748863899153831</v>
      </c>
      <c r="M609" s="1">
        <v>5.6346030817346258E-2</v>
      </c>
      <c r="N609" s="1">
        <v>0.58583401848973016</v>
      </c>
      <c r="O609" s="1">
        <v>0.10309333333333331</v>
      </c>
      <c r="P609" s="1">
        <v>8.5683172652613687E-2</v>
      </c>
      <c r="Q609" s="1">
        <v>0.54674321856222952</v>
      </c>
      <c r="R609" s="2">
        <f t="shared" si="39"/>
        <v>27.027147350952617</v>
      </c>
      <c r="S609" s="2">
        <f t="shared" si="38"/>
        <v>1.9722266060888374</v>
      </c>
      <c r="T609" s="2">
        <f t="shared" si="40"/>
        <v>3.6201597725557932</v>
      </c>
      <c r="U609" s="2">
        <f t="shared" si="41"/>
        <v>32.619533729597251</v>
      </c>
    </row>
    <row r="610" spans="1:21" x14ac:dyDescent="0.25">
      <c r="A610">
        <v>2361149</v>
      </c>
      <c r="B610">
        <v>2</v>
      </c>
      <c r="C610" s="1">
        <f>0.81271443169985*(10.3/7.3)</f>
        <v>1.1467066639052672</v>
      </c>
      <c r="D610" s="1">
        <f>0.917418991237314*(10.3/7.3)</f>
        <v>1.2944404944855246</v>
      </c>
      <c r="E610" s="1">
        <f>3.25614055575782*(10.3/7.3)</f>
        <v>4.5942805101788355</v>
      </c>
      <c r="F610" s="1">
        <f>6.68962612262341*(38.9/42.5)</f>
        <v>6.122975439295308</v>
      </c>
      <c r="G610" s="1">
        <v>0.24870967333692076</v>
      </c>
      <c r="H610" s="1">
        <v>2.1128650959857018</v>
      </c>
      <c r="I610" s="1">
        <v>5.1868295389110948</v>
      </c>
      <c r="J610" s="1">
        <v>1.248774865749366E-2</v>
      </c>
      <c r="K610" s="1">
        <v>1.836874780316742</v>
      </c>
      <c r="L610" s="1">
        <v>3.1258397499650026</v>
      </c>
      <c r="M610" s="1">
        <v>5.7410694541881323E-2</v>
      </c>
      <c r="N610" s="1">
        <v>0.59330098060923997</v>
      </c>
      <c r="O610" s="1">
        <v>0.10282666666666666</v>
      </c>
      <c r="P610" s="1">
        <v>8.4741892298903804E-2</v>
      </c>
      <c r="Q610" s="1">
        <v>0.39748121309553586</v>
      </c>
      <c r="R610" s="2">
        <f t="shared" si="39"/>
        <v>21.104288629194187</v>
      </c>
      <c r="S610" s="2">
        <f t="shared" si="38"/>
        <v>1.9341044212731395</v>
      </c>
      <c r="T610" s="2">
        <f t="shared" si="40"/>
        <v>3.8793780917827907</v>
      </c>
      <c r="U610" s="2">
        <f t="shared" si="41"/>
        <v>26.917771142250118</v>
      </c>
    </row>
    <row r="611" spans="1:21" x14ac:dyDescent="0.25">
      <c r="A611">
        <v>2361189</v>
      </c>
      <c r="B611">
        <v>1</v>
      </c>
      <c r="C611" s="1">
        <f>2.52676322210431*(10.3/7.3)</f>
        <v>3.565159066804712</v>
      </c>
      <c r="D611" s="1">
        <f>2.3993086848867*(10.3/7.3)</f>
        <v>3.3853259526483561</v>
      </c>
      <c r="E611" s="1">
        <f>8.61008735006696*(10.3/7.3)</f>
        <v>12.148479411738315</v>
      </c>
      <c r="F611" s="1">
        <f>16.9594460087675*(38.9/42.5)</f>
        <v>15.522881170377802</v>
      </c>
      <c r="G611" s="1">
        <v>0.56737564823366571</v>
      </c>
      <c r="H611" s="1">
        <v>10.110848869502325</v>
      </c>
      <c r="I611" s="1">
        <v>13.964402323867368</v>
      </c>
      <c r="J611" s="1">
        <v>2.2234387687824257E-2</v>
      </c>
      <c r="K611" s="1">
        <v>2.4606327314590408</v>
      </c>
      <c r="L611" s="1">
        <v>4.0124897749161033</v>
      </c>
      <c r="M611" s="1">
        <v>8.6660075391212593E-2</v>
      </c>
      <c r="N611" s="1">
        <v>1.2754519550374817</v>
      </c>
      <c r="O611" s="1">
        <v>0.15253333333333333</v>
      </c>
      <c r="P611" s="1">
        <v>0.11493774397352428</v>
      </c>
      <c r="Q611" s="1">
        <v>0.90676473462001461</v>
      </c>
      <c r="R611" s="2">
        <f t="shared" si="39"/>
        <v>60.171237177792555</v>
      </c>
      <c r="S611" s="2">
        <f t="shared" si="38"/>
        <v>2.5978048631203894</v>
      </c>
      <c r="T611" s="2">
        <f t="shared" si="40"/>
        <v>5.5271351386781307</v>
      </c>
      <c r="U611" s="2">
        <f t="shared" si="41"/>
        <v>68.296177179591069</v>
      </c>
    </row>
    <row r="612" spans="1:21" x14ac:dyDescent="0.25">
      <c r="A612">
        <v>2361197</v>
      </c>
      <c r="B612">
        <v>53</v>
      </c>
      <c r="C612" s="1">
        <f>3.46803948558147*(10.3/7.3)</f>
        <v>4.893261191984819</v>
      </c>
      <c r="D612" s="1">
        <f>3.43313181055678*(10.3/7.3)</f>
        <v>4.8440078970869678</v>
      </c>
      <c r="E612" s="1">
        <f>12.2777855931077*(10.3/7.3)</f>
        <v>17.323450905343673</v>
      </c>
      <c r="F612" s="1">
        <f>24.8309045268614*(38.9/42.5)</f>
        <v>22.727580849291996</v>
      </c>
      <c r="G612" s="1">
        <v>0.8739233680911378</v>
      </c>
      <c r="H612" s="1">
        <v>4.0830007263278318</v>
      </c>
      <c r="I612" s="1">
        <v>20.165925752380691</v>
      </c>
      <c r="J612" s="1">
        <v>3.6418697304171015E-2</v>
      </c>
      <c r="K612" s="1">
        <v>3.2859050670484686</v>
      </c>
      <c r="L612" s="1">
        <v>5.6574266858792122</v>
      </c>
      <c r="M612" s="1">
        <v>0.11626784061993682</v>
      </c>
      <c r="N612" s="1">
        <v>1.7478989203029593</v>
      </c>
      <c r="O612" s="1">
        <v>0.24232754716981134</v>
      </c>
      <c r="P612" s="1">
        <v>0.14828502854168354</v>
      </c>
      <c r="Q612" s="1">
        <v>1.3966811818808149</v>
      </c>
      <c r="R612" s="2">
        <f t="shared" si="39"/>
        <v>76.307831872387936</v>
      </c>
      <c r="S612" s="2">
        <f t="shared" si="38"/>
        <v>3.4706087928943234</v>
      </c>
      <c r="T612" s="2">
        <f t="shared" si="40"/>
        <v>7.7639209939719196</v>
      </c>
      <c r="U612" s="2">
        <f t="shared" si="41"/>
        <v>87.542361659254183</v>
      </c>
    </row>
    <row r="613" spans="1:21" x14ac:dyDescent="0.25">
      <c r="A613">
        <v>2361205</v>
      </c>
      <c r="B613">
        <v>60</v>
      </c>
      <c r="C613" s="1">
        <f>3.11049969409613*(10.3/7.3)</f>
        <v>4.3887872396150813</v>
      </c>
      <c r="D613" s="1">
        <f>3.18696540775029*(10.3/7.3)</f>
        <v>4.4966772191545186</v>
      </c>
      <c r="E613" s="1">
        <f>11.3440340600185*(10.3/7.3)</f>
        <v>16.005965865505487</v>
      </c>
      <c r="F613" s="1">
        <f>24.5430639061563*(38.9/42.5)</f>
        <v>22.464122022340668</v>
      </c>
      <c r="G613" s="1">
        <v>0.94960672270212609</v>
      </c>
      <c r="H613" s="1">
        <v>4.8469483604418997</v>
      </c>
      <c r="I613" s="1">
        <v>19.827607557602374</v>
      </c>
      <c r="J613" s="1">
        <v>2.9847543869025453E-2</v>
      </c>
      <c r="K613" s="1">
        <v>3.1825426517317887</v>
      </c>
      <c r="L613" s="1">
        <v>5.1374894366926647</v>
      </c>
      <c r="M613" s="1">
        <v>0.11465599429255123</v>
      </c>
      <c r="N613" s="1">
        <v>1.571933489143027</v>
      </c>
      <c r="O613" s="1">
        <v>0.23052355555555554</v>
      </c>
      <c r="P613" s="1">
        <v>0.14410434551841053</v>
      </c>
      <c r="Q613" s="1">
        <v>1.5176363148207512</v>
      </c>
      <c r="R613" s="2">
        <f t="shared" si="39"/>
        <v>74.497351302182906</v>
      </c>
      <c r="S613" s="2">
        <f t="shared" si="38"/>
        <v>3.3564945411192246</v>
      </c>
      <c r="T613" s="2">
        <f t="shared" si="40"/>
        <v>7.0546024756837982</v>
      </c>
      <c r="U613" s="2">
        <f t="shared" si="41"/>
        <v>84.908448318985918</v>
      </c>
    </row>
    <row r="614" spans="1:21" x14ac:dyDescent="0.25">
      <c r="A614">
        <v>2361213</v>
      </c>
      <c r="B614">
        <v>65</v>
      </c>
      <c r="C614" s="1">
        <f>2.52915297294489*(10.3/7.3)</f>
        <v>3.5685309070318292</v>
      </c>
      <c r="D614" s="1">
        <f>2.67498415199077*(10.3/7.3)</f>
        <v>3.7742927076034216</v>
      </c>
      <c r="E614" s="1">
        <f>9.52331952366878*(10.3/7.3)</f>
        <v>13.437012478601151</v>
      </c>
      <c r="F614" s="1">
        <f>19.6967958770501*(38.9/42.5)</f>
        <v>18.028361402758794</v>
      </c>
      <c r="G614" s="1">
        <v>0.7269232255641237</v>
      </c>
      <c r="H614" s="1">
        <v>2.8684165589388559</v>
      </c>
      <c r="I614" s="1">
        <v>15.647224670847338</v>
      </c>
      <c r="J614" s="1">
        <v>2.5720995575101682E-2</v>
      </c>
      <c r="K614" s="1">
        <v>2.9525633761216028</v>
      </c>
      <c r="L614" s="1">
        <v>4.4801674514439176</v>
      </c>
      <c r="M614" s="1">
        <v>0.1072363828577879</v>
      </c>
      <c r="N614" s="1">
        <v>1.1191114693699018</v>
      </c>
      <c r="O614" s="1">
        <v>0.20738789743589736</v>
      </c>
      <c r="P614" s="1">
        <v>0.13640113654339298</v>
      </c>
      <c r="Q614" s="1">
        <v>1.1617494472486003</v>
      </c>
      <c r="R614" s="2">
        <f t="shared" si="39"/>
        <v>59.21251139859411</v>
      </c>
      <c r="S614" s="2">
        <f t="shared" si="38"/>
        <v>3.1146855082400973</v>
      </c>
      <c r="T614" s="2">
        <f t="shared" si="40"/>
        <v>5.9139032011075034</v>
      </c>
      <c r="U614" s="2">
        <f t="shared" si="41"/>
        <v>68.241100107941719</v>
      </c>
    </row>
    <row r="615" spans="1:21" x14ac:dyDescent="0.25">
      <c r="A615">
        <v>2361221</v>
      </c>
      <c r="B615">
        <v>32</v>
      </c>
      <c r="C615" s="1">
        <f>2.93580890764989*(10.3/7.3)</f>
        <v>4.1423057190128523</v>
      </c>
      <c r="D615" s="1">
        <f>3.1405864924289*(10.3/7.3)</f>
        <v>4.4312384756188541</v>
      </c>
      <c r="E615" s="1">
        <f>11.1803579735111*(10.3/7.3)</f>
        <v>15.775025633858158</v>
      </c>
      <c r="F615" s="1">
        <f>22.8151189753048*(38.9/42.5)</f>
        <v>20.882544191514256</v>
      </c>
      <c r="G615" s="1">
        <v>0.82989283929601576</v>
      </c>
      <c r="H615" s="1">
        <v>2.8648279892236577</v>
      </c>
      <c r="I615" s="1">
        <v>18.017041197595191</v>
      </c>
      <c r="J615" s="1">
        <v>3.1068207509883244E-2</v>
      </c>
      <c r="K615" s="1">
        <v>3.4463705400240916</v>
      </c>
      <c r="L615" s="1">
        <v>5.4326224453492422</v>
      </c>
      <c r="M615" s="1">
        <v>0.12999605798189429</v>
      </c>
      <c r="N615" s="1">
        <v>1.3203985855461757</v>
      </c>
      <c r="O615" s="1">
        <v>0.26525999999999988</v>
      </c>
      <c r="P615" s="1">
        <v>0.15651570640696166</v>
      </c>
      <c r="Q615" s="1">
        <v>1.3263127568657798</v>
      </c>
      <c r="R615" s="2">
        <f t="shared" si="39"/>
        <v>68.269188802984758</v>
      </c>
      <c r="S615" s="2">
        <f t="shared" si="38"/>
        <v>3.6339544539409365</v>
      </c>
      <c r="T615" s="2">
        <f t="shared" si="40"/>
        <v>7.1482770888773119</v>
      </c>
      <c r="U615" s="2">
        <f t="shared" si="41"/>
        <v>79.051420345802995</v>
      </c>
    </row>
    <row r="616" spans="1:21" x14ac:dyDescent="0.25">
      <c r="A616">
        <v>2361637</v>
      </c>
      <c r="B616">
        <v>13</v>
      </c>
      <c r="C616" s="1">
        <f>6.18485900240321*(10.3/7.3)</f>
        <v>8.7265818801031543</v>
      </c>
      <c r="D616" s="1">
        <f>7.11879982562216*(10.3/7.3)</f>
        <v>10.044334000535377</v>
      </c>
      <c r="E616" s="1">
        <f>25.4399823495935*(10.3/7.3)</f>
        <v>35.894769616549738</v>
      </c>
      <c r="F616" s="1">
        <f>42.2691355993236*(38.9/42.5)</f>
        <v>38.688691172086784</v>
      </c>
      <c r="G616" s="1">
        <v>1.1124669625584682</v>
      </c>
      <c r="H616" s="1">
        <v>2.4262936592033433</v>
      </c>
      <c r="I616" s="1">
        <v>31.279853235093373</v>
      </c>
      <c r="J616" s="1">
        <v>4.503867028027185E-2</v>
      </c>
      <c r="K616" s="1">
        <v>2.5387107538021003</v>
      </c>
      <c r="L616" s="1">
        <v>2.3007476897734267</v>
      </c>
      <c r="M616" s="1">
        <v>0.21871324993016319</v>
      </c>
      <c r="N616" s="1">
        <v>3.6723374576836219</v>
      </c>
      <c r="O616" s="1">
        <v>0.12433230769230769</v>
      </c>
      <c r="P616" s="1">
        <v>0.10037824028633319</v>
      </c>
      <c r="Q616" s="1">
        <v>1.77791523696559</v>
      </c>
      <c r="R616" s="2">
        <f t="shared" si="39"/>
        <v>129.95090576309582</v>
      </c>
      <c r="S616" s="2">
        <f t="shared" si="38"/>
        <v>2.6841276643687051</v>
      </c>
      <c r="T616" s="2">
        <f t="shared" si="40"/>
        <v>6.3161307050795195</v>
      </c>
      <c r="U616" s="2">
        <f t="shared" si="41"/>
        <v>138.95116413254405</v>
      </c>
    </row>
    <row r="617" spans="1:21" x14ac:dyDescent="0.25">
      <c r="A617">
        <v>2361661</v>
      </c>
      <c r="B617">
        <v>46</v>
      </c>
      <c r="C617" s="1">
        <f>10.0083804225505*(10.3/7.3)</f>
        <v>14.121413472913694</v>
      </c>
      <c r="D617" s="1">
        <f>10.846360263697*(10.3/7.3)</f>
        <v>15.303768591243724</v>
      </c>
      <c r="E617" s="1">
        <f>38.9145278094443*(10.3/7.3)</f>
        <v>54.90679951195564</v>
      </c>
      <c r="F617" s="1">
        <f>62.843261186128*(38.9/42.5)</f>
        <v>57.52006729742066</v>
      </c>
      <c r="G617" s="1">
        <v>1.5070180919110476</v>
      </c>
      <c r="H617" s="1">
        <v>7.3785975239779944</v>
      </c>
      <c r="I617" s="1">
        <v>47.538842839156885</v>
      </c>
      <c r="J617" s="1">
        <v>5.0300044260785812E-2</v>
      </c>
      <c r="K617" s="1">
        <v>2.852854756797381</v>
      </c>
      <c r="L617" s="1">
        <v>2.7034426952892199</v>
      </c>
      <c r="M617" s="1">
        <v>0.21274913448266486</v>
      </c>
      <c r="N617" s="1">
        <v>2.7617821127161584</v>
      </c>
      <c r="O617" s="1">
        <v>0.13462376811594201</v>
      </c>
      <c r="P617" s="1">
        <v>0.10749014990961328</v>
      </c>
      <c r="Q617" s="1">
        <v>2.4084764025975671</v>
      </c>
      <c r="R617" s="2">
        <f t="shared" si="39"/>
        <v>200.68498373117723</v>
      </c>
      <c r="S617" s="2">
        <f t="shared" si="38"/>
        <v>3.0106449509677802</v>
      </c>
      <c r="T617" s="2">
        <f t="shared" si="40"/>
        <v>5.8125977106039848</v>
      </c>
      <c r="U617" s="2">
        <f t="shared" si="41"/>
        <v>209.50822639274901</v>
      </c>
    </row>
    <row r="618" spans="1:21" x14ac:dyDescent="0.25">
      <c r="A618">
        <v>2361669</v>
      </c>
      <c r="B618">
        <v>55</v>
      </c>
      <c r="C618" s="1">
        <f>6.32270139063187*(10.3/7.3)</f>
        <v>8.9210718251381245</v>
      </c>
      <c r="D618" s="1">
        <f>6.99140097353632*(10.3/7.3)</f>
        <v>9.8645794558115174</v>
      </c>
      <c r="E618" s="1">
        <f>25.06044528951*(10.3/7.3)</f>
        <v>35.359258422185292</v>
      </c>
      <c r="F618" s="1">
        <f>40.3423882027475*(38.9/42.5)</f>
        <v>36.925150613808889</v>
      </c>
      <c r="G618" s="1">
        <v>0.96903718625258417</v>
      </c>
      <c r="H618" s="1">
        <v>2.7589822349783866</v>
      </c>
      <c r="I618" s="1">
        <v>30.210643765878146</v>
      </c>
      <c r="J618" s="1">
        <v>3.3664807118178326E-2</v>
      </c>
      <c r="K618" s="1">
        <v>2.2232879991673506</v>
      </c>
      <c r="L618" s="1">
        <v>2.0113396289451391</v>
      </c>
      <c r="M618" s="1">
        <v>0.15276774818636935</v>
      </c>
      <c r="N618" s="1">
        <v>1.6541990852762227</v>
      </c>
      <c r="O618" s="1">
        <v>0.10450618181818183</v>
      </c>
      <c r="P618" s="1">
        <v>8.9094369331483639E-2</v>
      </c>
      <c r="Q618" s="1">
        <v>1.548689567070342</v>
      </c>
      <c r="R618" s="2">
        <f t="shared" si="39"/>
        <v>126.55741307112328</v>
      </c>
      <c r="S618" s="2">
        <f t="shared" si="38"/>
        <v>2.3460471756170129</v>
      </c>
      <c r="T618" s="2">
        <f t="shared" si="40"/>
        <v>3.922812644225913</v>
      </c>
      <c r="U618" s="2">
        <f t="shared" si="41"/>
        <v>132.82627289096618</v>
      </c>
    </row>
    <row r="619" spans="1:21" x14ac:dyDescent="0.25">
      <c r="A619">
        <v>2361677</v>
      </c>
      <c r="B619">
        <v>67</v>
      </c>
      <c r="C619" s="1">
        <f>5.83099205100995*(10.3/7.3)</f>
        <v>8.2272901541647219</v>
      </c>
      <c r="D619" s="1">
        <f>6.56233563145932*(10.3/7.3)</f>
        <v>9.2591858909631526</v>
      </c>
      <c r="E619" s="1">
        <f>23.5125273559294*(10.3/7.3)</f>
        <v>33.175209830968882</v>
      </c>
      <c r="F619" s="1">
        <f>37.3053551920029*(38.9/42.5)</f>
        <v>34.145372163974379</v>
      </c>
      <c r="G619" s="1">
        <v>0.87088901518793604</v>
      </c>
      <c r="H619" s="1">
        <v>2.0033889736499781</v>
      </c>
      <c r="I619" s="1">
        <v>27.621930084274585</v>
      </c>
      <c r="J619" s="1">
        <v>2.9148656544511896E-2</v>
      </c>
      <c r="K619" s="1">
        <v>2.0925055039704126</v>
      </c>
      <c r="L619" s="1">
        <v>1.8849335169888957</v>
      </c>
      <c r="M619" s="1">
        <v>0.13598134511091695</v>
      </c>
      <c r="N619" s="1">
        <v>1.4592172913603734</v>
      </c>
      <c r="O619" s="1">
        <v>9.7385870646766209E-2</v>
      </c>
      <c r="P619" s="1">
        <v>8.4630719094823004E-2</v>
      </c>
      <c r="Q619" s="1">
        <v>1.3918317594327765</v>
      </c>
      <c r="R619" s="2">
        <f t="shared" si="39"/>
        <v>116.6950978726164</v>
      </c>
      <c r="S619" s="2">
        <f t="shared" si="38"/>
        <v>2.2062848796097474</v>
      </c>
      <c r="T619" s="2">
        <f t="shared" si="40"/>
        <v>3.5775180241069524</v>
      </c>
      <c r="U619" s="2">
        <f t="shared" si="41"/>
        <v>122.47890077633311</v>
      </c>
    </row>
    <row r="620" spans="1:21" x14ac:dyDescent="0.25">
      <c r="A620">
        <v>2361685</v>
      </c>
      <c r="B620">
        <v>36</v>
      </c>
      <c r="C620" s="1">
        <f>8.75091354103451*(10.3/7.3)</f>
        <v>12.347179379815817</v>
      </c>
      <c r="D620" s="1">
        <f>9.91339131107434*(10.3/7.3)</f>
        <v>13.987387740282969</v>
      </c>
      <c r="E620" s="1">
        <f>35.5429155259573*(10.3/7.3)</f>
        <v>50.149593139364427</v>
      </c>
      <c r="F620" s="1">
        <f>54.6252006328828*(38.9/42.5)</f>
        <v>49.998124814567994</v>
      </c>
      <c r="G620" s="1">
        <v>1.1722061721363122</v>
      </c>
      <c r="H620" s="1">
        <v>2.3908854475136558</v>
      </c>
      <c r="I620" s="1">
        <v>40.038581620577901</v>
      </c>
      <c r="J620" s="1">
        <v>3.2836503742318487E-2</v>
      </c>
      <c r="K620" s="1">
        <v>2.3477316801789647</v>
      </c>
      <c r="L620" s="1">
        <v>2.1602261461058903</v>
      </c>
      <c r="M620" s="1">
        <v>0.15080352755582715</v>
      </c>
      <c r="N620" s="1">
        <v>1.6422322956784148</v>
      </c>
      <c r="O620" s="1">
        <v>0.10846074074074073</v>
      </c>
      <c r="P620" s="1">
        <v>9.1028162866327131E-2</v>
      </c>
      <c r="Q620" s="1">
        <v>1.8733888595785824</v>
      </c>
      <c r="R620" s="2">
        <f t="shared" si="39"/>
        <v>171.95734717383766</v>
      </c>
      <c r="S620" s="2">
        <f t="shared" si="38"/>
        <v>2.4715963467876105</v>
      </c>
      <c r="T620" s="2">
        <f t="shared" si="40"/>
        <v>4.0617227100808728</v>
      </c>
      <c r="U620" s="2">
        <f t="shared" si="41"/>
        <v>178.49066623070615</v>
      </c>
    </row>
    <row r="621" spans="1:21" x14ac:dyDescent="0.25">
      <c r="A621">
        <v>2361693</v>
      </c>
      <c r="B621">
        <v>5</v>
      </c>
      <c r="C621" s="1">
        <f>14.9247905830222*(10.3/7.3)</f>
        <v>21.058266165086092</v>
      </c>
      <c r="D621" s="1">
        <f>18.0644766534415*(10.3/7.3)</f>
        <v>25.488234182253045</v>
      </c>
      <c r="E621" s="1">
        <f>64.6509502040376*(10.3/7.3)</f>
        <v>91.219833849532449</v>
      </c>
      <c r="F621" s="1">
        <f>94.9038317850748*(38.9/42.5)</f>
        <v>86.864918975044972</v>
      </c>
      <c r="G621" s="1">
        <v>1.8317392334805487</v>
      </c>
      <c r="H621" s="1">
        <v>3.362646634320265</v>
      </c>
      <c r="I621" s="1">
        <v>66.527828601692804</v>
      </c>
      <c r="J621" s="1">
        <v>4.0441126369296844E-2</v>
      </c>
      <c r="K621" s="1">
        <v>2.8064234497165597</v>
      </c>
      <c r="L621" s="1">
        <v>2.6962659442814116</v>
      </c>
      <c r="M621" s="1">
        <v>0.1783796893233705</v>
      </c>
      <c r="N621" s="1">
        <v>1.9710466895808927</v>
      </c>
      <c r="O621" s="1">
        <v>0.12786133333333333</v>
      </c>
      <c r="P621" s="1">
        <v>0.10275311852685869</v>
      </c>
      <c r="Q621" s="1">
        <v>2.9274371311333001</v>
      </c>
      <c r="R621" s="2">
        <f t="shared" si="39"/>
        <v>299.28090477254347</v>
      </c>
      <c r="S621" s="2">
        <f t="shared" si="38"/>
        <v>2.9496176946127153</v>
      </c>
      <c r="T621" s="2">
        <f t="shared" si="40"/>
        <v>4.9735536565190088</v>
      </c>
      <c r="U621" s="2">
        <f t="shared" si="41"/>
        <v>307.20407612367518</v>
      </c>
    </row>
    <row r="622" spans="1:21" x14ac:dyDescent="0.25">
      <c r="A622">
        <v>2361765</v>
      </c>
      <c r="B622">
        <v>10</v>
      </c>
      <c r="C622" s="1">
        <f>15.509881247157*(10.3/7.3)</f>
        <v>21.883805047358493</v>
      </c>
      <c r="D622" s="1">
        <f>16.4734714979502*(10.3/7.3)</f>
        <v>23.243391291628331</v>
      </c>
      <c r="E622" s="1">
        <f>59.2402686329851*(10.3/7.3)</f>
        <v>83.585584509554266</v>
      </c>
      <c r="F622" s="1">
        <f>91.9256807074698*(38.9/42.5)</f>
        <v>84.139034812248795</v>
      </c>
      <c r="G622" s="1">
        <v>1.9577034942646487</v>
      </c>
      <c r="H622" s="1">
        <v>4.4012424356363526</v>
      </c>
      <c r="I622" s="1">
        <v>69.704523536581121</v>
      </c>
      <c r="J622" s="1">
        <v>2.7891426936947787E-2</v>
      </c>
      <c r="K622" s="1">
        <v>2.2902663287309379</v>
      </c>
      <c r="L622" s="1">
        <v>2.0279826405543933</v>
      </c>
      <c r="M622" s="1">
        <v>0.10658240783436593</v>
      </c>
      <c r="N622" s="1">
        <v>1.6852971705451509</v>
      </c>
      <c r="O622" s="1">
        <v>9.6832000000000001E-2</v>
      </c>
      <c r="P622" s="1">
        <v>8.1999282371654672E-2</v>
      </c>
      <c r="Q622" s="1">
        <v>3.1287498766786657</v>
      </c>
      <c r="R622" s="2">
        <f t="shared" si="39"/>
        <v>292.04403500395068</v>
      </c>
      <c r="S622" s="2">
        <f t="shared" si="38"/>
        <v>2.4001570380395405</v>
      </c>
      <c r="T622" s="2">
        <f t="shared" si="40"/>
        <v>3.9166942189339098</v>
      </c>
      <c r="U622" s="2">
        <f t="shared" si="41"/>
        <v>298.36088626092413</v>
      </c>
    </row>
    <row r="623" spans="1:21" x14ac:dyDescent="0.25">
      <c r="A623">
        <v>2361773</v>
      </c>
      <c r="B623">
        <v>25</v>
      </c>
      <c r="C623" s="1">
        <f>15.7943412555471*(10.3/7.3)</f>
        <v>22.285166429059622</v>
      </c>
      <c r="D623" s="1">
        <f>18.2647371099966*(10.3/7.3)</f>
        <v>25.77079345657048</v>
      </c>
      <c r="E623" s="1">
        <f>65.3735476846857*(10.3/7.3)</f>
        <v>92.239389198940103</v>
      </c>
      <c r="F623" s="1">
        <f>102.756108391026*(38.9/42.5)</f>
        <v>94.052061562609893</v>
      </c>
      <c r="G623" s="1">
        <v>2.3716473768072892</v>
      </c>
      <c r="H623" s="1">
        <v>5.305192633601898</v>
      </c>
      <c r="I623" s="1">
        <v>74.952348145655435</v>
      </c>
      <c r="J623" s="1">
        <v>3.1076205948965607E-2</v>
      </c>
      <c r="K623" s="1">
        <v>2.5512755913096576</v>
      </c>
      <c r="L623" s="1">
        <v>2.3505522295894199</v>
      </c>
      <c r="M623" s="1">
        <v>0.11719960451737477</v>
      </c>
      <c r="N623" s="1">
        <v>1.6895424680513544</v>
      </c>
      <c r="O623" s="1">
        <v>0.10553813333333331</v>
      </c>
      <c r="P623" s="1">
        <v>8.7817566253631033E-2</v>
      </c>
      <c r="Q623" s="1">
        <v>3.7903040268609685</v>
      </c>
      <c r="R623" s="2">
        <f t="shared" si="39"/>
        <v>320.76690283010566</v>
      </c>
      <c r="S623" s="2">
        <f t="shared" si="38"/>
        <v>2.6701693635122541</v>
      </c>
      <c r="T623" s="2">
        <f t="shared" si="40"/>
        <v>4.2628324354914824</v>
      </c>
      <c r="U623" s="2">
        <f t="shared" si="41"/>
        <v>327.69990462910937</v>
      </c>
    </row>
    <row r="624" spans="1:21" x14ac:dyDescent="0.25">
      <c r="A624">
        <v>2361781</v>
      </c>
      <c r="B624">
        <v>31</v>
      </c>
      <c r="C624" s="1">
        <f>15.6229318796637*(10.3/7.3)</f>
        <v>22.04331484390903</v>
      </c>
      <c r="D624" s="1">
        <f>18.8126660055919*(10.3/7.3)</f>
        <v>26.54389861062964</v>
      </c>
      <c r="E624" s="1">
        <f>67.3093000485259*(10.3/7.3)</f>
        <v>94.97065623285161</v>
      </c>
      <c r="F624" s="1">
        <f>100.577178678201*(38.9/42.5)</f>
        <v>92.057700013694372</v>
      </c>
      <c r="G624" s="1">
        <v>2.0500255993411751</v>
      </c>
      <c r="H624" s="1">
        <v>5.296195050848409</v>
      </c>
      <c r="I624" s="1">
        <v>71.032147227542907</v>
      </c>
      <c r="J624" s="1">
        <v>3.2964765602126737E-2</v>
      </c>
      <c r="K624" s="1">
        <v>2.7047037721867051</v>
      </c>
      <c r="L624" s="1">
        <v>2.5230804728222136</v>
      </c>
      <c r="M624" s="1">
        <v>0.12136098115135394</v>
      </c>
      <c r="N624" s="1">
        <v>1.7480714854934662</v>
      </c>
      <c r="O624" s="1">
        <v>0.10892387096774195</v>
      </c>
      <c r="P624" s="1">
        <v>9.0541064191690543E-2</v>
      </c>
      <c r="Q624" s="1">
        <v>3.276296619951653</v>
      </c>
      <c r="R624" s="2">
        <f t="shared" si="39"/>
        <v>317.27023419876883</v>
      </c>
      <c r="S624" s="2">
        <f t="shared" si="38"/>
        <v>2.8282096019805225</v>
      </c>
      <c r="T624" s="2">
        <f t="shared" si="40"/>
        <v>4.5014368104347762</v>
      </c>
      <c r="U624" s="2">
        <f t="shared" si="41"/>
        <v>324.59988061118412</v>
      </c>
    </row>
    <row r="625" spans="1:21" x14ac:dyDescent="0.25">
      <c r="A625">
        <v>2361789</v>
      </c>
      <c r="B625">
        <v>47</v>
      </c>
      <c r="C625" s="1">
        <f>13.0015157168076*(10.3/7.3)</f>
        <v>18.344604367550474</v>
      </c>
      <c r="D625" s="1">
        <f>15.1708687090942*(10.3/7.3)</f>
        <v>21.405472288174007</v>
      </c>
      <c r="E625" s="1">
        <f>54.3506307646716*(10.3/7.3)</f>
        <v>76.686506421385971</v>
      </c>
      <c r="F625" s="1">
        <f>81.7098834293622*(38.9/42.5)</f>
        <v>74.788575656522141</v>
      </c>
      <c r="G625" s="1">
        <v>1.6678199580203732</v>
      </c>
      <c r="H625" s="1">
        <v>3.6636336047878175</v>
      </c>
      <c r="I625" s="1">
        <v>58.712088091641583</v>
      </c>
      <c r="J625" s="1">
        <v>2.8562719827525937E-2</v>
      </c>
      <c r="K625" s="1">
        <v>2.4087109039762069</v>
      </c>
      <c r="L625" s="1">
        <v>2.1573610686694265</v>
      </c>
      <c r="M625" s="1">
        <v>0.10633826646660031</v>
      </c>
      <c r="N625" s="1">
        <v>1.4933335314059792</v>
      </c>
      <c r="O625" s="1">
        <v>9.7672624113475159E-2</v>
      </c>
      <c r="P625" s="1">
        <v>8.2547802606994389E-2</v>
      </c>
      <c r="Q625" s="1">
        <v>2.665465686333933</v>
      </c>
      <c r="R625" s="2">
        <f t="shared" si="39"/>
        <v>257.93416607441634</v>
      </c>
      <c r="S625" s="2">
        <f t="shared" si="38"/>
        <v>2.5198214264107275</v>
      </c>
      <c r="T625" s="2">
        <f t="shared" si="40"/>
        <v>3.8547054906554812</v>
      </c>
      <c r="U625" s="2">
        <f t="shared" si="41"/>
        <v>264.30869299148253</v>
      </c>
    </row>
    <row r="626" spans="1:21" x14ac:dyDescent="0.25">
      <c r="A626">
        <v>2361797</v>
      </c>
      <c r="B626">
        <v>15</v>
      </c>
      <c r="C626" s="1">
        <f>12.9322694377226*(10.3/7.3)</f>
        <v>18.246900713499024</v>
      </c>
      <c r="D626" s="1">
        <f>14.2921580684554*(10.3/7.3)</f>
        <v>20.165647685628819</v>
      </c>
      <c r="E626" s="1">
        <f>51.2996502173148*(10.3/7.3)</f>
        <v>72.381698251827785</v>
      </c>
      <c r="F626" s="1">
        <f>79.1539129815085*(38.9/42.5)</f>
        <v>72.449110940721908</v>
      </c>
      <c r="G626" s="1">
        <v>1.6952600684742656</v>
      </c>
      <c r="H626" s="1">
        <v>4.1073783951268412</v>
      </c>
      <c r="I626" s="1">
        <v>58.780777511763063</v>
      </c>
      <c r="J626" s="1">
        <v>2.8976555577793765E-2</v>
      </c>
      <c r="K626" s="1">
        <v>2.4821366325297758</v>
      </c>
      <c r="L626" s="1">
        <v>2.2010998839278217</v>
      </c>
      <c r="M626" s="1">
        <v>0.10594996221105245</v>
      </c>
      <c r="N626" s="1">
        <v>1.5471090715332756</v>
      </c>
      <c r="O626" s="1">
        <v>9.8858666666666664E-2</v>
      </c>
      <c r="P626" s="1">
        <v>8.3194794913779208E-2</v>
      </c>
      <c r="Q626" s="1">
        <v>2.7093197441369572</v>
      </c>
      <c r="R626" s="2">
        <f t="shared" si="39"/>
        <v>250.53609331117863</v>
      </c>
      <c r="S626" s="2">
        <f t="shared" si="38"/>
        <v>2.5943079830213485</v>
      </c>
      <c r="T626" s="2">
        <f t="shared" si="40"/>
        <v>3.9530175843388164</v>
      </c>
      <c r="U626" s="2">
        <f t="shared" si="41"/>
        <v>257.08341887853879</v>
      </c>
    </row>
    <row r="627" spans="1:21" x14ac:dyDescent="0.25">
      <c r="A627">
        <v>2373161</v>
      </c>
      <c r="B627">
        <v>13</v>
      </c>
      <c r="C627" s="1">
        <f>0.295180185558298*(10.3/7.3)</f>
        <v>0.4164871111302017</v>
      </c>
      <c r="D627" s="1">
        <f>0.370880953160892*(10.3/7.3)</f>
        <v>0.52329778322701215</v>
      </c>
      <c r="E627" s="1">
        <f>1.30834783293164*(10.3/7.3)</f>
        <v>1.8460250245473779</v>
      </c>
      <c r="F627" s="1">
        <f>2.75622626755544*(38.9/42.5)</f>
        <v>2.522757689597805</v>
      </c>
      <c r="G627" s="1">
        <v>0.1080790194579869</v>
      </c>
      <c r="H627" s="1">
        <v>0.84005573114334275</v>
      </c>
      <c r="I627" s="1">
        <v>2.0702142835451371</v>
      </c>
      <c r="J627" s="1">
        <v>8.1514555378477006E-3</v>
      </c>
      <c r="K627" s="1">
        <v>1.2535551410674186</v>
      </c>
      <c r="L627" s="1">
        <v>1.1392672296898838</v>
      </c>
      <c r="M627" s="1">
        <v>3.9600341568840097E-2</v>
      </c>
      <c r="N627" s="1">
        <v>0.30957645525413197</v>
      </c>
      <c r="O627" s="1">
        <v>6.9866666666666674E-2</v>
      </c>
      <c r="P627" s="1">
        <v>6.3558918604903605E-2</v>
      </c>
      <c r="Q627" s="1">
        <v>0.17272902653102948</v>
      </c>
      <c r="R627" s="2">
        <f t="shared" si="39"/>
        <v>8.4996456691798947</v>
      </c>
      <c r="S627" s="2">
        <f t="shared" si="38"/>
        <v>1.32526551521017</v>
      </c>
      <c r="T627" s="2">
        <f t="shared" si="40"/>
        <v>1.5583106931795228</v>
      </c>
      <c r="U627" s="2">
        <f t="shared" si="41"/>
        <v>11.383221877569587</v>
      </c>
    </row>
    <row r="628" spans="1:21" x14ac:dyDescent="0.25">
      <c r="A628">
        <v>2373169</v>
      </c>
      <c r="B628">
        <v>5</v>
      </c>
      <c r="C628" s="1">
        <f>0.293349881517066*(10.3/7.3)</f>
        <v>0.41390462734599726</v>
      </c>
      <c r="D628" s="1">
        <f>0.373228034609768*(10.3/7.3)</f>
        <v>0.52660941869597411</v>
      </c>
      <c r="E628" s="1">
        <f>1.31618633524515*(10.3/7.3)</f>
        <v>1.8570848291815159</v>
      </c>
      <c r="F628" s="1">
        <f>2.75783972182908*(38.9/42.5)</f>
        <v>2.524234474803555</v>
      </c>
      <c r="G628" s="1">
        <v>0.10774343389623345</v>
      </c>
      <c r="H628" s="1">
        <v>0.84494449323409115</v>
      </c>
      <c r="I628" s="1">
        <v>2.0608906585248379</v>
      </c>
      <c r="J628" s="1">
        <v>8.1338821462870366E-3</v>
      </c>
      <c r="K628" s="1">
        <v>1.2888581871793972</v>
      </c>
      <c r="L628" s="1">
        <v>1.1612090711498644</v>
      </c>
      <c r="M628" s="1">
        <v>3.9963530245079912E-2</v>
      </c>
      <c r="N628" s="1">
        <v>0.31189743214412669</v>
      </c>
      <c r="O628" s="1">
        <v>6.9973333333333332E-2</v>
      </c>
      <c r="P628" s="1">
        <v>6.5365137742707857E-2</v>
      </c>
      <c r="Q628" s="1">
        <v>0.17219270257388924</v>
      </c>
      <c r="R628" s="2">
        <f t="shared" si="39"/>
        <v>8.5076046382560939</v>
      </c>
      <c r="S628" s="2">
        <f t="shared" si="38"/>
        <v>1.362357207068392</v>
      </c>
      <c r="T628" s="2">
        <f t="shared" si="40"/>
        <v>1.5830433668724044</v>
      </c>
      <c r="U628" s="2">
        <f t="shared" si="41"/>
        <v>11.45300521219689</v>
      </c>
    </row>
    <row r="629" spans="1:21" x14ac:dyDescent="0.25">
      <c r="A629">
        <v>2373225</v>
      </c>
      <c r="B629">
        <v>14</v>
      </c>
      <c r="C629" s="1">
        <f>0.537807736789091*(10.3/7.3)</f>
        <v>0.75882461492159392</v>
      </c>
      <c r="D629" s="1">
        <f>0.724456951532119*(10.3/7.3)</f>
        <v>1.0221789864083319</v>
      </c>
      <c r="E629" s="1">
        <f>2.55146529913882*(10.3/7.3)</f>
        <v>3.600012682346549</v>
      </c>
      <c r="F629" s="1">
        <f>5.1964129566076*(38.9/42.5)</f>
        <v>4.7562462120478957</v>
      </c>
      <c r="G629" s="1">
        <v>0.19857994409691093</v>
      </c>
      <c r="H629" s="1">
        <v>2.2150772843674766</v>
      </c>
      <c r="I629" s="1">
        <v>3.7893266491145741</v>
      </c>
      <c r="J629" s="1">
        <v>1.1275404726859842E-2</v>
      </c>
      <c r="K629" s="1">
        <v>3.1692629243930912</v>
      </c>
      <c r="L629" s="1">
        <v>2.2351760021028086</v>
      </c>
      <c r="M629" s="1">
        <v>5.4139672005423169E-2</v>
      </c>
      <c r="N629" s="1">
        <v>0.46773494490468126</v>
      </c>
      <c r="O629" s="1">
        <v>9.7508571428571431E-2</v>
      </c>
      <c r="P629" s="1">
        <v>0.13071005827243412</v>
      </c>
      <c r="Q629" s="1">
        <v>0.31736520746081698</v>
      </c>
      <c r="R629" s="2">
        <f t="shared" si="39"/>
        <v>16.657611580764151</v>
      </c>
      <c r="S629" s="2">
        <f t="shared" si="38"/>
        <v>3.3112483873923853</v>
      </c>
      <c r="T629" s="2">
        <f t="shared" si="40"/>
        <v>2.8545591904414844</v>
      </c>
      <c r="U629" s="2">
        <f t="shared" si="41"/>
        <v>22.823419158598021</v>
      </c>
    </row>
    <row r="630" spans="1:21" x14ac:dyDescent="0.25">
      <c r="A630">
        <v>2373257</v>
      </c>
      <c r="B630">
        <v>11</v>
      </c>
      <c r="C630" s="1">
        <f>0.562192506080545*(10.3/7.3)</f>
        <v>0.79323052227803004</v>
      </c>
      <c r="D630" s="1">
        <f>0.775284335120722*(10.3/7.3)</f>
        <v>1.0938943358552649</v>
      </c>
      <c r="E630" s="1">
        <f>2.72997214236763*(10.3/7.3)</f>
        <v>3.8518785022447424</v>
      </c>
      <c r="F630" s="1">
        <f>5.4510116933963*(38.9/42.5)</f>
        <v>4.9892789381909619</v>
      </c>
      <c r="G630" s="1">
        <v>0.20428956774525328</v>
      </c>
      <c r="H630" s="1">
        <v>2.0317584375822038</v>
      </c>
      <c r="I630" s="1">
        <v>3.9265496088830285</v>
      </c>
      <c r="J630" s="1">
        <v>1.2221198312381127E-2</v>
      </c>
      <c r="K630" s="1">
        <v>3.1939408270194218</v>
      </c>
      <c r="L630" s="1">
        <v>2.6879549638135565</v>
      </c>
      <c r="M630" s="1">
        <v>5.584251087212249E-2</v>
      </c>
      <c r="N630" s="1">
        <v>0.49175699854612759</v>
      </c>
      <c r="O630" s="1">
        <v>0.10298181818181819</v>
      </c>
      <c r="P630" s="1">
        <v>0.10745002293140846</v>
      </c>
      <c r="Q630" s="1">
        <v>0.32649017676182068</v>
      </c>
      <c r="R630" s="2">
        <f t="shared" si="39"/>
        <v>17.217370089541301</v>
      </c>
      <c r="S630" s="2">
        <f t="shared" si="38"/>
        <v>3.3136120482632112</v>
      </c>
      <c r="T630" s="2">
        <f t="shared" si="40"/>
        <v>3.3385362914136247</v>
      </c>
      <c r="U630" s="2">
        <f t="shared" si="41"/>
        <v>23.869518429218139</v>
      </c>
    </row>
    <row r="631" spans="1:21" x14ac:dyDescent="0.25">
      <c r="A631">
        <v>2373289</v>
      </c>
      <c r="B631">
        <v>6</v>
      </c>
      <c r="C631" s="1">
        <f>0.514061958595412*(10.3/7.3)</f>
        <v>0.72532029774421203</v>
      </c>
      <c r="D631" s="1">
        <f>0.684153745825628*(10.3/7.3)</f>
        <v>0.96531281945259884</v>
      </c>
      <c r="E631" s="1">
        <f>2.41471763624792*(10.3/7.3)</f>
        <v>3.4070673497744641</v>
      </c>
      <c r="F631" s="1">
        <f>4.71757956029571*(38.9/42.5)</f>
        <v>4.3179728210706632</v>
      </c>
      <c r="G631" s="1">
        <v>0.17065260372837465</v>
      </c>
      <c r="H631" s="1">
        <v>1.3175454999715819</v>
      </c>
      <c r="I631" s="1">
        <v>3.420842536889976</v>
      </c>
      <c r="J631" s="1">
        <v>1.0240265067420332E-2</v>
      </c>
      <c r="K631" s="1">
        <v>2.1856636202813031</v>
      </c>
      <c r="L631" s="1">
        <v>4.1569787418520221</v>
      </c>
      <c r="M631" s="1">
        <v>4.4660824835433155E-2</v>
      </c>
      <c r="N631" s="1">
        <v>0.42491184603689808</v>
      </c>
      <c r="O631" s="1">
        <v>8.7048888888888898E-2</v>
      </c>
      <c r="P631" s="1">
        <v>8.4180622032109395E-2</v>
      </c>
      <c r="Q631" s="1">
        <v>0.27273247171201453</v>
      </c>
      <c r="R631" s="2">
        <f t="shared" si="39"/>
        <v>14.597446400343886</v>
      </c>
      <c r="S631" s="2">
        <f t="shared" si="38"/>
        <v>2.2800845073808329</v>
      </c>
      <c r="T631" s="2">
        <f t="shared" si="40"/>
        <v>4.7136003016132424</v>
      </c>
      <c r="U631" s="2">
        <f t="shared" si="41"/>
        <v>21.591131209337959</v>
      </c>
    </row>
    <row r="632" spans="1:21" x14ac:dyDescent="0.25">
      <c r="A632">
        <v>2373337</v>
      </c>
      <c r="B632">
        <v>8</v>
      </c>
      <c r="C632" s="1">
        <f>0.519173370115537*(10.3/7.3)</f>
        <v>0.73253228934110071</v>
      </c>
      <c r="D632" s="1">
        <f>0.755437428550435*(10.3/7.3)</f>
        <v>1.0658911663108872</v>
      </c>
      <c r="E632" s="1">
        <f>2.65640879826483*(10.3/7.3)</f>
        <v>3.7480836468668124</v>
      </c>
      <c r="F632" s="1">
        <f>5.20163660270017*(38.9/42.5)</f>
        <v>4.7610273845890951</v>
      </c>
      <c r="G632" s="1">
        <v>0.19225912248084337</v>
      </c>
      <c r="H632" s="1">
        <v>1.2882934593607571</v>
      </c>
      <c r="I632" s="1">
        <v>3.6639083295070822</v>
      </c>
      <c r="J632" s="1">
        <v>1.1162808284302224E-2</v>
      </c>
      <c r="K632" s="1">
        <v>1.9229719172376576</v>
      </c>
      <c r="L632" s="1">
        <v>2.3123605161913203</v>
      </c>
      <c r="M632" s="1">
        <v>4.8358213819765856E-2</v>
      </c>
      <c r="N632" s="1">
        <v>0.50547112387564819</v>
      </c>
      <c r="O632" s="1">
        <v>9.2586666666666664E-2</v>
      </c>
      <c r="P632" s="1">
        <v>8.4985942941324222E-2</v>
      </c>
      <c r="Q632" s="1">
        <v>0.30726343775477277</v>
      </c>
      <c r="R632" s="2">
        <f t="shared" si="39"/>
        <v>15.759258836211352</v>
      </c>
      <c r="S632" s="2">
        <f t="shared" si="38"/>
        <v>2.0191206684632839</v>
      </c>
      <c r="T632" s="2">
        <f t="shared" si="40"/>
        <v>2.9587765205534007</v>
      </c>
      <c r="U632" s="2">
        <f t="shared" si="41"/>
        <v>20.737156025228035</v>
      </c>
    </row>
    <row r="633" spans="1:21" x14ac:dyDescent="0.25">
      <c r="A633">
        <v>2373345</v>
      </c>
      <c r="B633">
        <v>40</v>
      </c>
      <c r="C633" s="1">
        <f>0.571050877946415*(10.3/7.3)</f>
        <v>0.80572932093809224</v>
      </c>
      <c r="D633" s="1">
        <f>0.786769081050195*(10.3/7.3)</f>
        <v>1.110098840385892</v>
      </c>
      <c r="E633" s="1">
        <f>2.76652380991425*(10.3/7.3)</f>
        <v>3.9034514030296887</v>
      </c>
      <c r="F633" s="1">
        <f>5.72560683280781*(38.9/42.5)</f>
        <v>5.240614254028797</v>
      </c>
      <c r="G633" s="1">
        <v>0.22392990670311494</v>
      </c>
      <c r="H633" s="1">
        <v>1.5342793273719384</v>
      </c>
      <c r="I633" s="1">
        <v>4.1608441051032559</v>
      </c>
      <c r="J633" s="1">
        <v>1.1807563095211557E-2</v>
      </c>
      <c r="K633" s="1">
        <v>2.0261571289877054</v>
      </c>
      <c r="L633" s="1">
        <v>2.4717750232955709</v>
      </c>
      <c r="M633" s="1">
        <v>5.174715206569782E-2</v>
      </c>
      <c r="N633" s="1">
        <v>0.55219383363435026</v>
      </c>
      <c r="O633" s="1">
        <v>9.8310666666666671E-2</v>
      </c>
      <c r="P633" s="1">
        <v>9.0686041732814512E-2</v>
      </c>
      <c r="Q633" s="1">
        <v>0.35787884632917949</v>
      </c>
      <c r="R633" s="2">
        <f t="shared" si="39"/>
        <v>17.336826003889957</v>
      </c>
      <c r="S633" s="2">
        <f t="shared" si="38"/>
        <v>2.1286507338157312</v>
      </c>
      <c r="T633" s="2">
        <f t="shared" si="40"/>
        <v>3.1740266756622861</v>
      </c>
      <c r="U633" s="2">
        <f t="shared" si="41"/>
        <v>22.639503413367976</v>
      </c>
    </row>
    <row r="634" spans="1:21" x14ac:dyDescent="0.25">
      <c r="A634">
        <v>2373353</v>
      </c>
      <c r="B634">
        <v>1</v>
      </c>
      <c r="C634" s="1">
        <f>0.882216351979989*(10.3/7.3)</f>
        <v>1.2447710171772444</v>
      </c>
      <c r="D634" s="1">
        <f>1.1330647804356*(10.3/7.3)</f>
        <v>1.598707840888586</v>
      </c>
      <c r="E634" s="1">
        <f>3.99227977068003*(10.3/7.3)</f>
        <v>5.6329426901375772</v>
      </c>
      <c r="F634" s="1">
        <f>8.45637084771669*(38.9/42.5)</f>
        <v>7.7400664935571628</v>
      </c>
      <c r="G634" s="1">
        <v>0.33508210087627421</v>
      </c>
      <c r="H634" s="1">
        <v>2.1588845742289515</v>
      </c>
      <c r="I634" s="1">
        <v>6.3139818587865886</v>
      </c>
      <c r="J634" s="1">
        <v>1.3968626768762872E-2</v>
      </c>
      <c r="K634" s="1">
        <v>2.2174617238760401</v>
      </c>
      <c r="L634" s="1">
        <v>2.9660275571956642</v>
      </c>
      <c r="M634" s="1">
        <v>6.4715425329974763E-2</v>
      </c>
      <c r="N634" s="1">
        <v>0.64111463661842272</v>
      </c>
      <c r="O634" s="1">
        <v>0.11359999999999999</v>
      </c>
      <c r="P634" s="1">
        <v>9.7441196000961156E-2</v>
      </c>
      <c r="Q634" s="1">
        <v>0.53551933929998219</v>
      </c>
      <c r="R634" s="2">
        <f t="shared" si="39"/>
        <v>25.559955914952369</v>
      </c>
      <c r="S634" s="2">
        <f t="shared" si="38"/>
        <v>2.3288715466457641</v>
      </c>
      <c r="T634" s="2">
        <f t="shared" si="40"/>
        <v>3.7854576191440619</v>
      </c>
      <c r="U634" s="2">
        <f t="shared" si="41"/>
        <v>31.674285080742195</v>
      </c>
    </row>
    <row r="635" spans="1:21" x14ac:dyDescent="0.25">
      <c r="A635">
        <v>2373369</v>
      </c>
      <c r="B635">
        <v>19</v>
      </c>
      <c r="C635" s="1">
        <f>2.6079099370506*(10.3/7.3)</f>
        <v>3.6796537467974195</v>
      </c>
      <c r="D635" s="1">
        <f>2.16626778496785*(10.3/7.3)</f>
        <v>3.0565148198861398</v>
      </c>
      <c r="E635" s="1">
        <f>7.77323256693608*(10.3/7.3)</f>
        <v>10.967711704033098</v>
      </c>
      <c r="F635" s="1">
        <f>18.6261993285934*(38.9/42.5)</f>
        <v>17.048450679583112</v>
      </c>
      <c r="G635" s="1">
        <v>0.76701765090112295</v>
      </c>
      <c r="H635" s="1">
        <v>2.3277051649876115</v>
      </c>
      <c r="I635" s="1">
        <v>16.317785902527834</v>
      </c>
      <c r="J635" s="1">
        <v>1.280688224533919E-2</v>
      </c>
      <c r="K635" s="1">
        <v>1.9675557065195615</v>
      </c>
      <c r="L635" s="1">
        <v>2.8524020208640892</v>
      </c>
      <c r="M635" s="1">
        <v>5.7426641151532641E-2</v>
      </c>
      <c r="N635" s="1">
        <v>0.60030779547813806</v>
      </c>
      <c r="O635" s="1">
        <v>0.10479999999999998</v>
      </c>
      <c r="P635" s="1">
        <v>9.058831506946223E-2</v>
      </c>
      <c r="Q635" s="1">
        <v>1.2258272959607002</v>
      </c>
      <c r="R635" s="2">
        <f t="shared" si="39"/>
        <v>55.390666964677038</v>
      </c>
      <c r="S635" s="2">
        <f t="shared" si="38"/>
        <v>2.0709509038343628</v>
      </c>
      <c r="T635" s="2">
        <f t="shared" si="40"/>
        <v>3.6149364574937599</v>
      </c>
      <c r="U635" s="2">
        <f t="shared" si="41"/>
        <v>61.076554326005166</v>
      </c>
    </row>
    <row r="636" spans="1:21" x14ac:dyDescent="0.25">
      <c r="A636">
        <v>2373377</v>
      </c>
      <c r="B636">
        <v>20</v>
      </c>
      <c r="C636" s="1">
        <f>0.79851532878875*(10.3/7.3)</f>
        <v>1.1266723132224823</v>
      </c>
      <c r="D636" s="1">
        <f>0.895007511300462*(10.3/7.3)</f>
        <v>1.2628188173143502</v>
      </c>
      <c r="E636" s="1">
        <f>3.17625694830645*(10.3/7.3)</f>
        <v>4.4815680229529367</v>
      </c>
      <c r="F636" s="1">
        <f>6.59958396898702*(38.9/42.5)</f>
        <v>6.0405603857316521</v>
      </c>
      <c r="G636" s="1">
        <v>0.24841997699610557</v>
      </c>
      <c r="H636" s="1">
        <v>1.661336755441349</v>
      </c>
      <c r="I636" s="1">
        <v>5.1387927630638073</v>
      </c>
      <c r="J636" s="1">
        <v>1.2592131469921233E-2</v>
      </c>
      <c r="K636" s="1">
        <v>1.8680534760655825</v>
      </c>
      <c r="L636" s="1">
        <v>2.9477874820778167</v>
      </c>
      <c r="M636" s="1">
        <v>5.6148908861305011E-2</v>
      </c>
      <c r="N636" s="1">
        <v>0.60166578129755788</v>
      </c>
      <c r="O636" s="1">
        <v>0.10288800000000001</v>
      </c>
      <c r="P636" s="1">
        <v>8.7056184973002632E-2</v>
      </c>
      <c r="Q636" s="1">
        <v>0.39701822807596815</v>
      </c>
      <c r="R636" s="2">
        <f t="shared" si="39"/>
        <v>20.35718726279865</v>
      </c>
      <c r="S636" s="2">
        <f t="shared" si="38"/>
        <v>1.9677017925085065</v>
      </c>
      <c r="T636" s="2">
        <f t="shared" si="40"/>
        <v>3.7084901722366799</v>
      </c>
      <c r="U636" s="2">
        <f t="shared" si="41"/>
        <v>26.033379227543836</v>
      </c>
    </row>
    <row r="637" spans="1:21" x14ac:dyDescent="0.25">
      <c r="A637">
        <v>2373425</v>
      </c>
      <c r="B637">
        <v>54</v>
      </c>
      <c r="C637" s="1">
        <f>3.55645080342539*(10.3/7.3)</f>
        <v>5.018005928120755</v>
      </c>
      <c r="D637" s="1">
        <f>3.49577534569744*(10.3/7.3)</f>
        <v>4.9323953507785818</v>
      </c>
      <c r="E637" s="1">
        <f>12.5207932256001*(10.3/7.3)</f>
        <v>17.666324688175425</v>
      </c>
      <c r="F637" s="1">
        <f>24.616987831002*(38.9/42.5)</f>
        <v>22.531784155905342</v>
      </c>
      <c r="G637" s="1">
        <v>0.83021646269457738</v>
      </c>
      <c r="H637" s="1">
        <v>8.1446638623211438</v>
      </c>
      <c r="I637" s="1">
        <v>19.987166303358169</v>
      </c>
      <c r="J637" s="1">
        <v>3.2681626805180018E-2</v>
      </c>
      <c r="K637" s="1">
        <v>3.2475557174463385</v>
      </c>
      <c r="L637" s="1">
        <v>5.7509588954121629</v>
      </c>
      <c r="M637" s="1">
        <v>0.11462218407641998</v>
      </c>
      <c r="N637" s="1">
        <v>1.3896385894520604</v>
      </c>
      <c r="O637" s="1">
        <v>0.23688098765432097</v>
      </c>
      <c r="P637" s="1">
        <v>0.14678563055212879</v>
      </c>
      <c r="Q637" s="1">
        <v>1.3268299632105129</v>
      </c>
      <c r="R637" s="2">
        <f t="shared" si="39"/>
        <v>80.437386714564511</v>
      </c>
      <c r="S637" s="2">
        <f t="shared" si="38"/>
        <v>3.4270229748036471</v>
      </c>
      <c r="T637" s="2">
        <f t="shared" si="40"/>
        <v>7.4921006565949639</v>
      </c>
      <c r="U637" s="2">
        <f t="shared" si="41"/>
        <v>91.35651034596313</v>
      </c>
    </row>
    <row r="638" spans="1:21" x14ac:dyDescent="0.25">
      <c r="A638">
        <v>2373433</v>
      </c>
      <c r="B638">
        <v>56</v>
      </c>
      <c r="C638" s="1">
        <f>3.04436476205387*(10.3/7.3)</f>
        <v>4.2954735683773828</v>
      </c>
      <c r="D638" s="1">
        <f>3.08059729830416*(10.3/7.3)</f>
        <v>4.346596188018192</v>
      </c>
      <c r="E638" s="1">
        <f>10.9788819011022*(10.3/7.3)</f>
        <v>15.49075117552772</v>
      </c>
      <c r="F638" s="1">
        <f>23.450372763045*(38.9/42.5)</f>
        <v>21.463988246645904</v>
      </c>
      <c r="G638" s="1">
        <v>0.89092354294785259</v>
      </c>
      <c r="H638" s="1">
        <v>4.5157392814011015</v>
      </c>
      <c r="I638" s="1">
        <v>19.001861852636324</v>
      </c>
      <c r="J638" s="1">
        <v>2.9802596217797215E-2</v>
      </c>
      <c r="K638" s="1">
        <v>3.0603299653871541</v>
      </c>
      <c r="L638" s="1">
        <v>5.0445965619004864</v>
      </c>
      <c r="M638" s="1">
        <v>0.10608962802954502</v>
      </c>
      <c r="N638" s="1">
        <v>1.5174350229359137</v>
      </c>
      <c r="O638" s="1">
        <v>0.21758761904761914</v>
      </c>
      <c r="P638" s="1">
        <v>0.13995231530844751</v>
      </c>
      <c r="Q638" s="1">
        <v>1.4238504111038754</v>
      </c>
      <c r="R638" s="2">
        <f t="shared" si="39"/>
        <v>71.429184266658353</v>
      </c>
      <c r="S638" s="2">
        <f t="shared" si="38"/>
        <v>3.2300848769133985</v>
      </c>
      <c r="T638" s="2">
        <f t="shared" si="40"/>
        <v>6.885708831913564</v>
      </c>
      <c r="U638" s="2">
        <f t="shared" si="41"/>
        <v>81.54497797548531</v>
      </c>
    </row>
    <row r="639" spans="1:21" x14ac:dyDescent="0.25">
      <c r="A639">
        <v>2373441</v>
      </c>
      <c r="B639">
        <v>67</v>
      </c>
      <c r="C639" s="1">
        <f>2.65903771452644*(10.3/7.3)</f>
        <v>3.7517929396742971</v>
      </c>
      <c r="D639" s="1">
        <f>2.81299614359025*(10.3/7.3)</f>
        <v>3.9690219560246027</v>
      </c>
      <c r="E639" s="1">
        <f>10.0009031874106*(10.3/7.3)</f>
        <v>14.110863401415005</v>
      </c>
      <c r="F639" s="1">
        <f>21.3738541679726*(38.9/42.5)</f>
        <v>19.563362991391347</v>
      </c>
      <c r="G639" s="1">
        <v>0.82128832550264075</v>
      </c>
      <c r="H639" s="1">
        <v>3.2605594984792461</v>
      </c>
      <c r="I639" s="1">
        <v>17.04964473683631</v>
      </c>
      <c r="J639" s="1">
        <v>2.6900011878783627E-2</v>
      </c>
      <c r="K639" s="1">
        <v>3.013276038633689</v>
      </c>
      <c r="L639" s="1">
        <v>4.7013924130944931</v>
      </c>
      <c r="M639" s="1">
        <v>0.10721939418558489</v>
      </c>
      <c r="N639" s="1">
        <v>1.1933651583248877</v>
      </c>
      <c r="O639" s="1">
        <v>0.20969631840796021</v>
      </c>
      <c r="P639" s="1">
        <v>0.13872456713580106</v>
      </c>
      <c r="Q639" s="1">
        <v>1.3125612508033089</v>
      </c>
      <c r="R639" s="2">
        <f t="shared" si="39"/>
        <v>63.839095100126762</v>
      </c>
      <c r="S639" s="2">
        <f t="shared" si="38"/>
        <v>3.1789006176482735</v>
      </c>
      <c r="T639" s="2">
        <f t="shared" si="40"/>
        <v>6.2116732840129263</v>
      </c>
      <c r="U639" s="2">
        <f t="shared" si="41"/>
        <v>73.229669001787968</v>
      </c>
    </row>
    <row r="640" spans="1:21" x14ac:dyDescent="0.25">
      <c r="A640">
        <v>2373449</v>
      </c>
      <c r="B640">
        <v>62</v>
      </c>
      <c r="C640" s="1">
        <f>2.1460412232687*(10.3/7.3)</f>
        <v>3.0279759725572104</v>
      </c>
      <c r="D640" s="1">
        <f>2.30079209150222*(10.3/7.3)</f>
        <v>3.2463230880099831</v>
      </c>
      <c r="E640" s="1">
        <f>8.18818152054469*(10.3/7.3)</f>
        <v>11.553187624878131</v>
      </c>
      <c r="F640" s="1">
        <f>16.7900078555105*(38.9/42.5)</f>
        <v>15.367795425396704</v>
      </c>
      <c r="G640" s="1">
        <v>0.6149194210605271</v>
      </c>
      <c r="H640" s="1">
        <v>2.4488874717950488</v>
      </c>
      <c r="I640" s="1">
        <v>13.25715735890588</v>
      </c>
      <c r="J640" s="1">
        <v>2.3429739249494843E-2</v>
      </c>
      <c r="K640" s="1">
        <v>2.7580327283551949</v>
      </c>
      <c r="L640" s="1">
        <v>4.0506507946403421</v>
      </c>
      <c r="M640" s="1">
        <v>0.10134478802040404</v>
      </c>
      <c r="N640" s="1">
        <v>1.028293427134082</v>
      </c>
      <c r="O640" s="1">
        <v>0.18677247311827955</v>
      </c>
      <c r="P640" s="1">
        <v>0.12944643597081268</v>
      </c>
      <c r="Q640" s="1">
        <v>0.98274793320175668</v>
      </c>
      <c r="R640" s="2">
        <f t="shared" si="39"/>
        <v>50.49899429580524</v>
      </c>
      <c r="S640" s="2">
        <f t="shared" si="38"/>
        <v>2.910908903575502</v>
      </c>
      <c r="T640" s="2">
        <f t="shared" si="40"/>
        <v>5.3670614829131074</v>
      </c>
      <c r="U640" s="2">
        <f t="shared" si="41"/>
        <v>58.776964682293851</v>
      </c>
    </row>
    <row r="641" spans="1:21" x14ac:dyDescent="0.25">
      <c r="A641">
        <v>2373889</v>
      </c>
      <c r="B641">
        <v>1</v>
      </c>
      <c r="C641" s="1">
        <f>8.02956282434157*(10.3/7.3)</f>
        <v>11.329383163112073</v>
      </c>
      <c r="D641" s="1">
        <f>8.87194393363376*(10.3/7.3)</f>
        <v>12.517948289921611</v>
      </c>
      <c r="E641" s="1">
        <f>31.7856195453301*(10.3/7.3)</f>
        <v>44.848202920123363</v>
      </c>
      <c r="F641" s="1">
        <f>52.0105988694276*(38.9/42.5)</f>
        <v>47.604995200487849</v>
      </c>
      <c r="G641" s="1">
        <v>1.2993417360267949</v>
      </c>
      <c r="H641" s="1">
        <v>8.370842319867041</v>
      </c>
      <c r="I641" s="1">
        <v>39.087645862433902</v>
      </c>
      <c r="J641" s="1">
        <v>4.6386703473911217E-2</v>
      </c>
      <c r="K641" s="1">
        <v>2.6031532817773417</v>
      </c>
      <c r="L641" s="1">
        <v>2.3613634436372886</v>
      </c>
      <c r="M641" s="1">
        <v>0.19393622966239146</v>
      </c>
      <c r="N641" s="1">
        <v>3.7224427912455371</v>
      </c>
      <c r="O641" s="1">
        <v>0.12559999999999999</v>
      </c>
      <c r="P641" s="1">
        <v>0.10108606490786386</v>
      </c>
      <c r="Q641" s="1">
        <v>2.0765735507277565</v>
      </c>
      <c r="R641" s="2">
        <f t="shared" si="39"/>
        <v>167.13493304270037</v>
      </c>
      <c r="S641" s="2">
        <f t="shared" si="38"/>
        <v>2.7506260501591169</v>
      </c>
      <c r="T641" s="2">
        <f t="shared" si="40"/>
        <v>6.4033424645452177</v>
      </c>
      <c r="U641" s="2">
        <f t="shared" si="41"/>
        <v>176.2889015574047</v>
      </c>
    </row>
    <row r="642" spans="1:21" x14ac:dyDescent="0.25">
      <c r="A642">
        <v>2373897</v>
      </c>
      <c r="B642">
        <v>24</v>
      </c>
      <c r="C642" s="1">
        <f>7.87008014671689*(10.3/7.3)</f>
        <v>11.104359659066303</v>
      </c>
      <c r="D642" s="1">
        <f>8.61280928400346*(10.3/7.3)</f>
        <v>12.152319948662413</v>
      </c>
      <c r="E642" s="1">
        <f>30.8888792919057*(10.3/7.3)</f>
        <v>43.582939274880601</v>
      </c>
      <c r="F642" s="1">
        <f>49.7118223342347*(38.9/42.5)</f>
        <v>45.500938560040709</v>
      </c>
      <c r="G642" s="1">
        <v>1.1874509950094585</v>
      </c>
      <c r="H642" s="1">
        <v>5.3914729969836523</v>
      </c>
      <c r="I642" s="1">
        <v>37.407414859892974</v>
      </c>
      <c r="J642" s="1">
        <v>4.3193692646604408E-2</v>
      </c>
      <c r="K642" s="1">
        <v>2.5125387111626831</v>
      </c>
      <c r="L642" s="1">
        <v>2.2908930239365577</v>
      </c>
      <c r="M642" s="1">
        <v>0.18176614715920489</v>
      </c>
      <c r="N642" s="1">
        <v>2.3527070876929743</v>
      </c>
      <c r="O642" s="1">
        <v>0.11855777777777778</v>
      </c>
      <c r="P642" s="1">
        <v>9.7778144014988577E-2</v>
      </c>
      <c r="Q642" s="1">
        <v>1.897752731750278</v>
      </c>
      <c r="R642" s="2">
        <f t="shared" si="39"/>
        <v>158.22464902628639</v>
      </c>
      <c r="S642" s="2">
        <f t="shared" si="38"/>
        <v>2.6535105478242764</v>
      </c>
      <c r="T642" s="2">
        <f t="shared" si="40"/>
        <v>4.9439240365665151</v>
      </c>
      <c r="U642" s="2">
        <f t="shared" si="41"/>
        <v>165.8220836106772</v>
      </c>
    </row>
    <row r="643" spans="1:21" x14ac:dyDescent="0.25">
      <c r="A643">
        <v>2373905</v>
      </c>
      <c r="B643">
        <v>63</v>
      </c>
      <c r="C643" s="1">
        <f>6.1013247122351*(10.3/7.3)</f>
        <v>8.6087184295919936</v>
      </c>
      <c r="D643" s="1">
        <f>6.77814520717644*(10.3/7.3)</f>
        <v>9.5636843334133381</v>
      </c>
      <c r="E643" s="1">
        <f>24.2941471629459*(10.3/7.3)</f>
        <v>34.278043257307225</v>
      </c>
      <c r="F643" s="1">
        <f>38.916466522824*(38.9/42.5)</f>
        <v>35.620012887949514</v>
      </c>
      <c r="G643" s="1">
        <v>0.92531497774063409</v>
      </c>
      <c r="H643" s="1">
        <v>2.2130351733528588</v>
      </c>
      <c r="I643" s="1">
        <v>29.050048953074313</v>
      </c>
      <c r="J643" s="1">
        <v>3.2636837432187156E-2</v>
      </c>
      <c r="K643" s="1">
        <v>2.2153612894439778</v>
      </c>
      <c r="L643" s="1">
        <v>2.0012387422330291</v>
      </c>
      <c r="M643" s="1">
        <v>0.14944674384909379</v>
      </c>
      <c r="N643" s="1">
        <v>1.6605262490260286</v>
      </c>
      <c r="O643" s="1">
        <v>0.10328550264550262</v>
      </c>
      <c r="P643" s="1">
        <v>8.8645006348876884E-2</v>
      </c>
      <c r="Q643" s="1">
        <v>1.478813891366312</v>
      </c>
      <c r="R643" s="2">
        <f t="shared" si="39"/>
        <v>121.7376719037962</v>
      </c>
      <c r="S643" s="2">
        <f t="shared" si="38"/>
        <v>2.3366431332250421</v>
      </c>
      <c r="T643" s="2">
        <f t="shared" si="40"/>
        <v>3.914497237753654</v>
      </c>
      <c r="U643" s="2">
        <f t="shared" si="41"/>
        <v>127.98881227477489</v>
      </c>
    </row>
    <row r="644" spans="1:21" x14ac:dyDescent="0.25">
      <c r="A644">
        <v>2373913</v>
      </c>
      <c r="B644">
        <v>60</v>
      </c>
      <c r="C644" s="1">
        <f>5.84406929866533*(10.3/7.3)</f>
        <v>8.2457416131853325</v>
      </c>
      <c r="D644" s="1">
        <f>6.56611165882311*(10.3/7.3)</f>
        <v>9.2645137103942474</v>
      </c>
      <c r="E644" s="1">
        <f>23.5326438176911*(10.3/7.3)</f>
        <v>33.203593331810758</v>
      </c>
      <c r="F644" s="1">
        <f>37.1053625493577*(38.9/42.5)</f>
        <v>33.962320074588625</v>
      </c>
      <c r="G644" s="1">
        <v>0.85145688713432188</v>
      </c>
      <c r="H644" s="1">
        <v>1.9208933309052831</v>
      </c>
      <c r="I644" s="1">
        <v>27.459332702128368</v>
      </c>
      <c r="J644" s="1">
        <v>2.8867080920857536E-2</v>
      </c>
      <c r="K644" s="1">
        <v>2.0942826931248542</v>
      </c>
      <c r="L644" s="1">
        <v>1.8849010276251641</v>
      </c>
      <c r="M644" s="1">
        <v>0.13473165231097081</v>
      </c>
      <c r="N644" s="1">
        <v>1.4867105864157908</v>
      </c>
      <c r="O644" s="1">
        <v>9.6639111111111134E-2</v>
      </c>
      <c r="P644" s="1">
        <v>8.4327247561803112E-2</v>
      </c>
      <c r="Q644" s="1">
        <v>1.3607758470183235</v>
      </c>
      <c r="R644" s="2">
        <f t="shared" si="39"/>
        <v>116.26862749716526</v>
      </c>
      <c r="S644" s="2">
        <f t="shared" si="38"/>
        <v>2.2074770216075148</v>
      </c>
      <c r="T644" s="2">
        <f t="shared" si="40"/>
        <v>3.6029823774630367</v>
      </c>
      <c r="U644" s="2">
        <f t="shared" si="41"/>
        <v>122.07908689623581</v>
      </c>
    </row>
    <row r="645" spans="1:21" x14ac:dyDescent="0.25">
      <c r="A645">
        <v>2374001</v>
      </c>
      <c r="B645">
        <v>55</v>
      </c>
      <c r="C645" s="1">
        <f>13.9728007481665*(10.3/7.3)</f>
        <v>19.715047630974695</v>
      </c>
      <c r="D645" s="1">
        <f>15.360183195001*(10.3/7.3)</f>
        <v>21.672587247741159</v>
      </c>
      <c r="E645" s="1">
        <f>55.1107108557008*(10.3/7.3)</f>
        <v>77.758948193659975</v>
      </c>
      <c r="F645" s="1">
        <f>86.9036920385027*(38.9/42.5)</f>
        <v>79.542438124653046</v>
      </c>
      <c r="G645" s="1">
        <v>1.9728223268661167</v>
      </c>
      <c r="H645" s="1">
        <v>4.1327934434076967</v>
      </c>
      <c r="I645" s="1">
        <v>64.992478908192126</v>
      </c>
      <c r="J645" s="1">
        <v>2.8170552595013536E-2</v>
      </c>
      <c r="K645" s="1">
        <v>2.3323267794164622</v>
      </c>
      <c r="L645" s="1">
        <v>2.0880029837644565</v>
      </c>
      <c r="M645" s="1">
        <v>0.10808615424247985</v>
      </c>
      <c r="N645" s="1">
        <v>1.5793775847484373</v>
      </c>
      <c r="O645" s="1">
        <v>9.7758060606060626E-2</v>
      </c>
      <c r="P645" s="1">
        <v>8.3066384734148194E-2</v>
      </c>
      <c r="Q645" s="1">
        <v>3.152912394534892</v>
      </c>
      <c r="R645" s="2">
        <f t="shared" si="39"/>
        <v>272.9400282700297</v>
      </c>
      <c r="S645" s="2">
        <f t="shared" si="38"/>
        <v>2.4435637167456239</v>
      </c>
      <c r="T645" s="2">
        <f t="shared" si="40"/>
        <v>3.8732247833614339</v>
      </c>
      <c r="U645" s="2">
        <f t="shared" si="41"/>
        <v>279.25681677013677</v>
      </c>
    </row>
    <row r="646" spans="1:21" x14ac:dyDescent="0.25">
      <c r="A646">
        <v>2374009</v>
      </c>
      <c r="B646">
        <v>59</v>
      </c>
      <c r="C646" s="1">
        <f>12.4713940618653*(10.3/7.3)</f>
        <v>17.59662449824835</v>
      </c>
      <c r="D646" s="1">
        <f>14.4303157130443*(10.3/7.3)</f>
        <v>20.360582444432417</v>
      </c>
      <c r="E646" s="1">
        <f>51.6975624267169*(10.3/7.3)</f>
        <v>72.943136026737619</v>
      </c>
      <c r="F646" s="1">
        <f>78.7727078784171*(38.9/42.5)</f>
        <v>72.10019615224526</v>
      </c>
      <c r="G646" s="1">
        <v>1.6671451568044395</v>
      </c>
      <c r="H646" s="1">
        <v>3.1891504115938201</v>
      </c>
      <c r="I646" s="1">
        <v>57.025121557401448</v>
      </c>
      <c r="J646" s="1">
        <v>2.7809382075147202E-2</v>
      </c>
      <c r="K646" s="1">
        <v>2.348618518478776</v>
      </c>
      <c r="L646" s="1">
        <v>2.1084849656467108</v>
      </c>
      <c r="M646" s="1">
        <v>0.10709077785165408</v>
      </c>
      <c r="N646" s="1">
        <v>1.5011200960552906</v>
      </c>
      <c r="O646" s="1">
        <v>9.7275480225988697E-2</v>
      </c>
      <c r="P646" s="1">
        <v>8.2742346199405695E-2</v>
      </c>
      <c r="Q646" s="1">
        <v>2.6643872369020749</v>
      </c>
      <c r="R646" s="2">
        <f t="shared" si="39"/>
        <v>247.54634348436548</v>
      </c>
      <c r="S646" s="2">
        <f t="shared" si="38"/>
        <v>2.4591702467533287</v>
      </c>
      <c r="T646" s="2">
        <f t="shared" si="40"/>
        <v>3.8139713197796441</v>
      </c>
      <c r="U646" s="2">
        <f t="shared" si="41"/>
        <v>253.81948505089846</v>
      </c>
    </row>
    <row r="647" spans="1:21" x14ac:dyDescent="0.25">
      <c r="A647">
        <v>2374017</v>
      </c>
      <c r="B647">
        <v>46</v>
      </c>
      <c r="C647" s="1">
        <f>13.4516996771918*(10.3/7.3)</f>
        <v>18.979795434941831</v>
      </c>
      <c r="D647" s="1">
        <f>15.598042283413*(10.3/7.3)</f>
        <v>22.008196646459417</v>
      </c>
      <c r="E647" s="1">
        <f>55.8988047493876*(10.3/7.3)</f>
        <v>78.870916290231847</v>
      </c>
      <c r="F647" s="1">
        <f>83.9942380985005*(38.9/42.5)</f>
        <v>76.879432047803945</v>
      </c>
      <c r="G647" s="1">
        <v>1.7056163627836023</v>
      </c>
      <c r="H647" s="1">
        <v>4.9435887779286665</v>
      </c>
      <c r="I647" s="1">
        <v>60.535520128399156</v>
      </c>
      <c r="J647" s="1">
        <v>2.9316110271501827E-2</v>
      </c>
      <c r="K647" s="1">
        <v>2.4497846235474507</v>
      </c>
      <c r="L647" s="1">
        <v>2.2200171728496754</v>
      </c>
      <c r="M647" s="1">
        <v>0.10956191789687554</v>
      </c>
      <c r="N647" s="1">
        <v>1.5383141011826504</v>
      </c>
      <c r="O647" s="1">
        <v>0.10043942028985504</v>
      </c>
      <c r="P647" s="1">
        <v>8.4281040049979591E-2</v>
      </c>
      <c r="Q647" s="1">
        <v>2.7258708994258507</v>
      </c>
      <c r="R647" s="2">
        <f t="shared" si="39"/>
        <v>266.64893658797433</v>
      </c>
      <c r="S647" s="2">
        <f t="shared" si="38"/>
        <v>2.5633817738689322</v>
      </c>
      <c r="T647" s="2">
        <f t="shared" si="40"/>
        <v>3.9683326122190565</v>
      </c>
      <c r="U647" s="2">
        <f t="shared" si="41"/>
        <v>273.1806509740623</v>
      </c>
    </row>
    <row r="648" spans="1:21" x14ac:dyDescent="0.25">
      <c r="A648">
        <v>2374025</v>
      </c>
      <c r="B648">
        <v>63</v>
      </c>
      <c r="C648" s="1">
        <f>10.5446175317455*(10.3/7.3)</f>
        <v>14.878021996846361</v>
      </c>
      <c r="D648" s="1">
        <f>11.8999186242774*(10.3/7.3)</f>
        <v>16.790296141103703</v>
      </c>
      <c r="E648" s="1">
        <f>42.6808146957847*(10.3/7.3)</f>
        <v>60.22087552966881</v>
      </c>
      <c r="F648" s="1">
        <f>65.2231317924057*(38.9/42.5)</f>
        <v>59.698348864107771</v>
      </c>
      <c r="G648" s="1">
        <v>1.3734604000613548</v>
      </c>
      <c r="H648" s="1">
        <v>2.8903602086529108</v>
      </c>
      <c r="I648" s="1">
        <v>47.835747212425403</v>
      </c>
      <c r="J648" s="1">
        <v>2.6227040366044965E-2</v>
      </c>
      <c r="K648" s="1">
        <v>2.2752722499519682</v>
      </c>
      <c r="L648" s="1">
        <v>1.9845463108306987</v>
      </c>
      <c r="M648" s="1">
        <v>9.8842100782644882E-2</v>
      </c>
      <c r="N648" s="1">
        <v>1.3979283488939953</v>
      </c>
      <c r="O648" s="1">
        <v>9.11246560846561E-2</v>
      </c>
      <c r="P648" s="1">
        <v>7.8999607656496301E-2</v>
      </c>
      <c r="Q648" s="1">
        <v>2.1950280366277366</v>
      </c>
      <c r="R648" s="2">
        <f t="shared" si="39"/>
        <v>205.88213838949403</v>
      </c>
      <c r="S648" s="2">
        <f t="shared" si="38"/>
        <v>2.3804988979745096</v>
      </c>
      <c r="T648" s="2">
        <f t="shared" si="40"/>
        <v>3.5724414165919951</v>
      </c>
      <c r="U648" s="2">
        <f t="shared" si="41"/>
        <v>211.83507870406055</v>
      </c>
    </row>
    <row r="649" spans="1:21" x14ac:dyDescent="0.25">
      <c r="A649">
        <v>2385397</v>
      </c>
      <c r="B649">
        <v>39</v>
      </c>
      <c r="C649" s="1">
        <f>0.287343028314454*(10.3/7.3)</f>
        <v>0.4054292043340933</v>
      </c>
      <c r="D649" s="1">
        <f>0.36528175560239*(10.3/7.3)</f>
        <v>0.51539754557597506</v>
      </c>
      <c r="E649" s="1">
        <f>1.28819023095532*(10.3/7.3)</f>
        <v>1.8175834765533911</v>
      </c>
      <c r="F649" s="1">
        <f>2.70024656111326*(38.9/42.5)</f>
        <v>2.4715197935836635</v>
      </c>
      <c r="G649" s="1">
        <v>0.10552402428500403</v>
      </c>
      <c r="H649" s="1">
        <v>0.80854922704193766</v>
      </c>
      <c r="I649" s="1">
        <v>2.0185519828749698</v>
      </c>
      <c r="J649" s="1">
        <v>8.2252872832232985E-3</v>
      </c>
      <c r="K649" s="1">
        <v>1.2578589253225074</v>
      </c>
      <c r="L649" s="1">
        <v>1.1435562458951998</v>
      </c>
      <c r="M649" s="1">
        <v>3.995776651639045E-2</v>
      </c>
      <c r="N649" s="1">
        <v>0.31242576747413164</v>
      </c>
      <c r="O649" s="1">
        <v>7.0469743589743589E-2</v>
      </c>
      <c r="P649" s="1">
        <v>6.5556053106069184E-2</v>
      </c>
      <c r="Q649" s="1">
        <v>0.16864570091210709</v>
      </c>
      <c r="R649" s="2">
        <f t="shared" si="39"/>
        <v>8.3112009551611408</v>
      </c>
      <c r="S649" s="2">
        <f t="shared" ref="S649:S712" si="42">J649+K649+P649</f>
        <v>1.3316402657118001</v>
      </c>
      <c r="T649" s="2">
        <f t="shared" si="40"/>
        <v>1.5664095234754654</v>
      </c>
      <c r="U649" s="2">
        <f t="shared" si="41"/>
        <v>11.209250744348406</v>
      </c>
    </row>
    <row r="650" spans="1:21" x14ac:dyDescent="0.25">
      <c r="A650">
        <v>2385453</v>
      </c>
      <c r="B650">
        <v>11</v>
      </c>
      <c r="C650" s="1">
        <f>0.55159794402065*(10.3/7.3)</f>
        <v>0.77828203060447931</v>
      </c>
      <c r="D650" s="1">
        <f>0.700479666494798*(10.3/7.3)</f>
        <v>0.98834802258855126</v>
      </c>
      <c r="E650" s="1">
        <f>2.47476985314336*(10.3/7.3)</f>
        <v>3.4917985599145975</v>
      </c>
      <c r="F650" s="1">
        <f>4.96665628736045*(38.9/42.5)</f>
        <v>4.5459512841958034</v>
      </c>
      <c r="G650" s="1">
        <v>0.18412787291477972</v>
      </c>
      <c r="H650" s="1">
        <v>2.2934312372281274</v>
      </c>
      <c r="I650" s="1">
        <v>3.6812791329513264</v>
      </c>
      <c r="J650" s="1">
        <v>1.0979868340496699E-2</v>
      </c>
      <c r="K650" s="1">
        <v>2.9143199447915151</v>
      </c>
      <c r="L650" s="1">
        <v>2.1143327034370301</v>
      </c>
      <c r="M650" s="1">
        <v>5.2844367140956042E-2</v>
      </c>
      <c r="N650" s="1">
        <v>0.45837226316062407</v>
      </c>
      <c r="O650" s="1">
        <v>9.4768484848484866E-2</v>
      </c>
      <c r="P650" s="1">
        <v>0.13470387627539876</v>
      </c>
      <c r="Q650" s="1">
        <v>0.29426829004645189</v>
      </c>
      <c r="R650" s="2">
        <f t="shared" ref="R650:R713" si="43">C650+D650+E650+F650+G650+H650+I650+Q650</f>
        <v>16.257486430444114</v>
      </c>
      <c r="S650" s="2">
        <f t="shared" si="42"/>
        <v>3.0600036894074107</v>
      </c>
      <c r="T650" s="2">
        <f t="shared" ref="T650:T713" si="44">L650+M650+N650+O650</f>
        <v>2.7203178185870951</v>
      </c>
      <c r="U650" s="2">
        <f t="shared" ref="U650:U713" si="45">R650+S650+T650</f>
        <v>22.037807938438618</v>
      </c>
    </row>
    <row r="651" spans="1:21" x14ac:dyDescent="0.25">
      <c r="A651">
        <v>2385525</v>
      </c>
      <c r="B651">
        <v>12</v>
      </c>
      <c r="C651" s="1">
        <f>0.644834435149256*(10.3/7.3)</f>
        <v>0.90983488795031986</v>
      </c>
      <c r="D651" s="1">
        <f>0.874358403424516*(10.3/7.3)</f>
        <v>1.2336837746948646</v>
      </c>
      <c r="E651" s="1">
        <f>3.08464190799172*(10.3/7.3)</f>
        <v>4.3523029660705106</v>
      </c>
      <c r="F651" s="1">
        <f>5.97489477690575*(38.9/42.5)</f>
        <v>5.4687860428619715</v>
      </c>
      <c r="G651" s="1">
        <v>0.21455411710500252</v>
      </c>
      <c r="H651" s="1">
        <v>2.6118853141380214</v>
      </c>
      <c r="I651" s="1">
        <v>4.2962080515119014</v>
      </c>
      <c r="J651" s="1">
        <v>1.1504032586445204E-2</v>
      </c>
      <c r="K651" s="1">
        <v>2.4684278547116132</v>
      </c>
      <c r="L651" s="1">
        <v>4.1235719775128947</v>
      </c>
      <c r="M651" s="1">
        <v>5.0680036144488134E-2</v>
      </c>
      <c r="N651" s="1">
        <v>0.48738342238401988</v>
      </c>
      <c r="O651" s="1">
        <v>9.6968888888888896E-2</v>
      </c>
      <c r="P651" s="1">
        <v>9.8528106584843247E-2</v>
      </c>
      <c r="Q651" s="1">
        <v>0.34289470770205921</v>
      </c>
      <c r="R651" s="2">
        <f t="shared" si="43"/>
        <v>19.43014986203465</v>
      </c>
      <c r="S651" s="2">
        <f t="shared" si="42"/>
        <v>2.5784599938829014</v>
      </c>
      <c r="T651" s="2">
        <f t="shared" si="44"/>
        <v>4.7586043249302916</v>
      </c>
      <c r="U651" s="2">
        <f t="shared" si="45"/>
        <v>26.767214180847844</v>
      </c>
    </row>
    <row r="652" spans="1:21" x14ac:dyDescent="0.25">
      <c r="A652">
        <v>2385565</v>
      </c>
      <c r="B652">
        <v>9</v>
      </c>
      <c r="C652" s="1">
        <f>0.574602313223385*(10.3/7.3)</f>
        <v>0.81074025016450169</v>
      </c>
      <c r="D652" s="1">
        <f>0.865787135124839*(10.3/7.3)</f>
        <v>1.2215900673679232</v>
      </c>
      <c r="E652" s="1">
        <f>3.04284038913506*(10.3/7.3)</f>
        <v>4.2933227408344026</v>
      </c>
      <c r="F652" s="1">
        <f>5.83366038840229*(38.9/42.5)</f>
        <v>5.3395150378552696</v>
      </c>
      <c r="G652" s="1">
        <v>0.21123989559279546</v>
      </c>
      <c r="H652" s="1">
        <v>1.4491843481175204</v>
      </c>
      <c r="I652" s="1">
        <v>4.0388529883905608</v>
      </c>
      <c r="J652" s="1">
        <v>1.18498536926585E-2</v>
      </c>
      <c r="K652" s="1">
        <v>2.0344285495230308</v>
      </c>
      <c r="L652" s="1">
        <v>2.4876292695229711</v>
      </c>
      <c r="M652" s="1">
        <v>5.2629899383516567E-2</v>
      </c>
      <c r="N652" s="1">
        <v>0.53192708307840941</v>
      </c>
      <c r="O652" s="1">
        <v>9.7333333333333327E-2</v>
      </c>
      <c r="P652" s="1">
        <v>8.9812560575935216E-2</v>
      </c>
      <c r="Q652" s="1">
        <v>0.33759800665515294</v>
      </c>
      <c r="R652" s="2">
        <f t="shared" si="43"/>
        <v>17.702043334978125</v>
      </c>
      <c r="S652" s="2">
        <f t="shared" si="42"/>
        <v>2.1360909637916246</v>
      </c>
      <c r="T652" s="2">
        <f t="shared" si="44"/>
        <v>3.1695195853182305</v>
      </c>
      <c r="U652" s="2">
        <f t="shared" si="45"/>
        <v>23.007653884087979</v>
      </c>
    </row>
    <row r="653" spans="1:21" x14ac:dyDescent="0.25">
      <c r="A653">
        <v>2385573</v>
      </c>
      <c r="B653">
        <v>43</v>
      </c>
      <c r="C653" s="1">
        <f>0.602847068636313*(10.3/7.3)</f>
        <v>0.85059243930876982</v>
      </c>
      <c r="D653" s="1">
        <f>0.858437756834052*(10.3/7.3)</f>
        <v>1.2112203966288679</v>
      </c>
      <c r="E653" s="1">
        <f>3.01814085606979*(10.3/7.3)</f>
        <v>4.2584727147286099</v>
      </c>
      <c r="F653" s="1">
        <f>6.06267773135133*(38.9/42.5)</f>
        <v>5.5491332646956879</v>
      </c>
      <c r="G653" s="1">
        <v>0.23033479087556585</v>
      </c>
      <c r="H653" s="1">
        <v>1.6958697219193843</v>
      </c>
      <c r="I653" s="1">
        <v>4.3288530545870199</v>
      </c>
      <c r="J653" s="1">
        <v>1.2183520816016823E-2</v>
      </c>
      <c r="K653" s="1">
        <v>2.1003716549059019</v>
      </c>
      <c r="L653" s="1">
        <v>2.572834657297554</v>
      </c>
      <c r="M653" s="1">
        <v>5.3508554846151808E-2</v>
      </c>
      <c r="N653" s="1">
        <v>0.56720269268952161</v>
      </c>
      <c r="O653" s="1">
        <v>0.10052589147286818</v>
      </c>
      <c r="P653" s="1">
        <v>9.4039325098067422E-2</v>
      </c>
      <c r="Q653" s="1">
        <v>0.36811496258652127</v>
      </c>
      <c r="R653" s="2">
        <f t="shared" si="43"/>
        <v>18.492591345330428</v>
      </c>
      <c r="S653" s="2">
        <f t="shared" si="42"/>
        <v>2.2065945008199863</v>
      </c>
      <c r="T653" s="2">
        <f t="shared" si="44"/>
        <v>3.2940717963060959</v>
      </c>
      <c r="U653" s="2">
        <f t="shared" si="45"/>
        <v>23.993257642456509</v>
      </c>
    </row>
    <row r="654" spans="1:21" x14ac:dyDescent="0.25">
      <c r="A654">
        <v>2385581</v>
      </c>
      <c r="B654">
        <v>1</v>
      </c>
      <c r="C654" s="1">
        <f>0.755957849236126*(10.3/7.3)</f>
        <v>1.066625458511246</v>
      </c>
      <c r="D654" s="1">
        <f>1.02030875826732*(10.3/7.3)</f>
        <v>1.4396137274182685</v>
      </c>
      <c r="E654" s="1">
        <f>3.58631758866373*(10.3/7.3)</f>
        <v>5.0601467346899272</v>
      </c>
      <c r="F654" s="1">
        <f>7.64818987122265*(38.9/42.5)</f>
        <v>7.000343199777908</v>
      </c>
      <c r="G654" s="1">
        <v>0.30815107067456271</v>
      </c>
      <c r="H654" s="1">
        <v>3.2818270250843096</v>
      </c>
      <c r="I654" s="1">
        <v>5.6311105669649297</v>
      </c>
      <c r="J654" s="1">
        <v>1.358673843061322E-2</v>
      </c>
      <c r="K654" s="1">
        <v>2.3219601264260104</v>
      </c>
      <c r="L654" s="1">
        <v>2.8866685371643341</v>
      </c>
      <c r="M654" s="1">
        <v>6.1296822178519568E-2</v>
      </c>
      <c r="N654" s="1">
        <v>0.64654654046479221</v>
      </c>
      <c r="O654" s="1">
        <v>0.11098666666666666</v>
      </c>
      <c r="P654" s="1">
        <v>0.10445945130250342</v>
      </c>
      <c r="Q654" s="1">
        <v>0.4924788800735026</v>
      </c>
      <c r="R654" s="2">
        <f t="shared" si="43"/>
        <v>24.280296663194651</v>
      </c>
      <c r="S654" s="2">
        <f t="shared" si="42"/>
        <v>2.4400063161591268</v>
      </c>
      <c r="T654" s="2">
        <f t="shared" si="44"/>
        <v>3.7054985664743127</v>
      </c>
      <c r="U654" s="2">
        <f t="shared" si="45"/>
        <v>30.42580154582809</v>
      </c>
    </row>
    <row r="655" spans="1:21" x14ac:dyDescent="0.25">
      <c r="A655">
        <v>2385605</v>
      </c>
      <c r="B655">
        <v>8</v>
      </c>
      <c r="C655" s="1">
        <f>1.04143350173349*(10.3/7.3)</f>
        <v>1.4694198723088936</v>
      </c>
      <c r="D655" s="1">
        <f>1.10772952652599*(10.3/7.3)</f>
        <v>1.5629608387969385</v>
      </c>
      <c r="E655" s="1">
        <f>3.93787330527904*(10.3/7.3)</f>
        <v>5.5561774033389257</v>
      </c>
      <c r="F655" s="1">
        <f>8.3782577152785*(38.9/42.5)</f>
        <v>7.6685700029255015</v>
      </c>
      <c r="G655" s="1">
        <v>0.32062410757077375</v>
      </c>
      <c r="H655" s="1">
        <v>1.8140324074298544</v>
      </c>
      <c r="I655" s="1">
        <v>6.6667097303810392</v>
      </c>
      <c r="J655" s="1">
        <v>1.382011463726023E-2</v>
      </c>
      <c r="K655" s="1">
        <v>2.055541852869851</v>
      </c>
      <c r="L655" s="1">
        <v>3.2112985871218895</v>
      </c>
      <c r="M655" s="1">
        <v>6.04109946437556E-2</v>
      </c>
      <c r="N655" s="1">
        <v>0.65324728646339203</v>
      </c>
      <c r="O655" s="1">
        <v>0.11069333333333332</v>
      </c>
      <c r="P655" s="1">
        <v>9.5441852269401203E-2</v>
      </c>
      <c r="Q655" s="1">
        <v>0.51241295730489</v>
      </c>
      <c r="R655" s="2">
        <f t="shared" si="43"/>
        <v>25.570907320056815</v>
      </c>
      <c r="S655" s="2">
        <f t="shared" si="42"/>
        <v>2.1648038197765125</v>
      </c>
      <c r="T655" s="2">
        <f t="shared" si="44"/>
        <v>4.0356502015623708</v>
      </c>
      <c r="U655" s="2">
        <f t="shared" si="45"/>
        <v>31.771361341395696</v>
      </c>
    </row>
    <row r="656" spans="1:21" x14ac:dyDescent="0.25">
      <c r="A656">
        <v>2385613</v>
      </c>
      <c r="B656">
        <v>6</v>
      </c>
      <c r="C656" s="1">
        <f>0.905715568579004*(10.3/7.3)</f>
        <v>1.2779274460772252</v>
      </c>
      <c r="D656" s="1">
        <f>1.01749361225815*(10.3/7.3)</f>
        <v>1.4356416720902612</v>
      </c>
      <c r="E656" s="1">
        <f>3.6115398409279*(10.3/7.3)</f>
        <v>5.0957342961037551</v>
      </c>
      <c r="F656" s="1">
        <f>7.4529054170369*(38.9/42.5)</f>
        <v>6.8216004875937761</v>
      </c>
      <c r="G656" s="1">
        <v>0.27832307706469911</v>
      </c>
      <c r="H656" s="1">
        <v>2.3948043811840058</v>
      </c>
      <c r="I656" s="1">
        <v>5.7924778280316671</v>
      </c>
      <c r="J656" s="1">
        <v>1.3537234386779007E-2</v>
      </c>
      <c r="K656" s="1">
        <v>2.016134370012304</v>
      </c>
      <c r="L656" s="1">
        <v>3.3940867322911257</v>
      </c>
      <c r="M656" s="1">
        <v>6.155976860916005E-2</v>
      </c>
      <c r="N656" s="1">
        <v>0.65701920759300092</v>
      </c>
      <c r="O656" s="1">
        <v>0.11014222222222224</v>
      </c>
      <c r="P656" s="1">
        <v>9.3732773803688677E-2</v>
      </c>
      <c r="Q656" s="1">
        <v>0.44480857065134605</v>
      </c>
      <c r="R656" s="2">
        <f t="shared" si="43"/>
        <v>23.54131775879674</v>
      </c>
      <c r="S656" s="2">
        <f t="shared" si="42"/>
        <v>2.1234043782027721</v>
      </c>
      <c r="T656" s="2">
        <f t="shared" si="44"/>
        <v>4.2228079307155095</v>
      </c>
      <c r="U656" s="2">
        <f t="shared" si="45"/>
        <v>29.887530067715019</v>
      </c>
    </row>
    <row r="657" spans="1:21" x14ac:dyDescent="0.25">
      <c r="A657">
        <v>2385653</v>
      </c>
      <c r="B657">
        <v>1</v>
      </c>
      <c r="C657" s="1">
        <f>3.84550739429652*(10.3/7.3)</f>
        <v>5.4258528988019377</v>
      </c>
      <c r="D657" s="1">
        <f>3.82075845496182*(10.3/7.3)</f>
        <v>5.3909331624803709</v>
      </c>
      <c r="E657" s="1">
        <f>13.6890741308377*(10.3/7.3)</f>
        <v>19.314721033921728</v>
      </c>
      <c r="F657" s="1">
        <f>26.2791888183529*(38.9/42.5)</f>
        <v>24.053186941974758</v>
      </c>
      <c r="G657" s="1">
        <v>0.85739387387201627</v>
      </c>
      <c r="H657" s="1">
        <v>6.4360087820486553</v>
      </c>
      <c r="I657" s="1">
        <v>21.188508887845799</v>
      </c>
      <c r="J657" s="1">
        <v>3.241807670514834E-2</v>
      </c>
      <c r="K657" s="1">
        <v>2.8647843279942049</v>
      </c>
      <c r="L657" s="1">
        <v>5.0209968731815957</v>
      </c>
      <c r="M657" s="1">
        <v>9.9646624228642705E-2</v>
      </c>
      <c r="N657" s="1">
        <v>1.2067782584782343</v>
      </c>
      <c r="O657" s="1">
        <v>0.21504000000000001</v>
      </c>
      <c r="P657" s="1">
        <v>0.12950569001338902</v>
      </c>
      <c r="Q657" s="1">
        <v>1.3702641819872421</v>
      </c>
      <c r="R657" s="2">
        <f t="shared" si="43"/>
        <v>84.036869762932497</v>
      </c>
      <c r="S657" s="2">
        <f t="shared" si="42"/>
        <v>3.0267080947127423</v>
      </c>
      <c r="T657" s="2">
        <f t="shared" si="44"/>
        <v>6.542461755888473</v>
      </c>
      <c r="U657" s="2">
        <f t="shared" si="45"/>
        <v>93.60603961353371</v>
      </c>
    </row>
    <row r="658" spans="1:21" x14ac:dyDescent="0.25">
      <c r="A658">
        <v>2385661</v>
      </c>
      <c r="B658">
        <v>66</v>
      </c>
      <c r="C658" s="1">
        <f>3.25158792844513*(10.3/7.3)</f>
        <v>4.5878569401349107</v>
      </c>
      <c r="D658" s="1">
        <f>3.29216170077852*(10.3/7.3)</f>
        <v>4.6451048654820273</v>
      </c>
      <c r="E658" s="1">
        <f>11.7324672429563*(10.3/7.3)</f>
        <v>16.554029123623241</v>
      </c>
      <c r="F658" s="1">
        <f>25.0618451434038*(38.9/42.5)</f>
        <v>22.93895943713904</v>
      </c>
      <c r="G658" s="1">
        <v>0.9523645278231081</v>
      </c>
      <c r="H658" s="1">
        <v>5.1029300540745979</v>
      </c>
      <c r="I658" s="1">
        <v>20.303653324167218</v>
      </c>
      <c r="J658" s="1">
        <v>3.1048936292819219E-2</v>
      </c>
      <c r="K658" s="1">
        <v>3.1197842940693876</v>
      </c>
      <c r="L658" s="1">
        <v>5.3138195479277988</v>
      </c>
      <c r="M658" s="1">
        <v>0.10968247717037675</v>
      </c>
      <c r="N658" s="1">
        <v>1.3509010546679878</v>
      </c>
      <c r="O658" s="1">
        <v>0.22230949494949501</v>
      </c>
      <c r="P658" s="1">
        <v>0.14228016796486245</v>
      </c>
      <c r="Q658" s="1">
        <v>1.5220437659273427</v>
      </c>
      <c r="R658" s="2">
        <f t="shared" si="43"/>
        <v>76.606942038371486</v>
      </c>
      <c r="S658" s="2">
        <f t="shared" si="42"/>
        <v>3.2931133983270691</v>
      </c>
      <c r="T658" s="2">
        <f t="shared" si="44"/>
        <v>6.9967125747156578</v>
      </c>
      <c r="U658" s="2">
        <f t="shared" si="45"/>
        <v>86.89676801141421</v>
      </c>
    </row>
    <row r="659" spans="1:21" x14ac:dyDescent="0.25">
      <c r="A659">
        <v>2385669</v>
      </c>
      <c r="B659">
        <v>45</v>
      </c>
      <c r="C659" s="1">
        <f>2.34731948676403*(10.3/7.3)</f>
        <v>3.3119713306396616</v>
      </c>
      <c r="D659" s="1">
        <f>2.55992387554305*(10.3/7.3)</f>
        <v>3.6119473860401978</v>
      </c>
      <c r="E659" s="1">
        <f>9.03937543335339*(10.3/7.3)</f>
        <v>12.754187255279447</v>
      </c>
      <c r="F659" s="1">
        <f>21.7166257523735*(38.9/42.5)</f>
        <v>19.877099806290072</v>
      </c>
      <c r="G659" s="1">
        <v>0.94884492862072289</v>
      </c>
      <c r="H659" s="1">
        <v>7.227446767570239</v>
      </c>
      <c r="I659" s="1">
        <v>17.401197755723793</v>
      </c>
      <c r="J659" s="1">
        <v>2.4310351552689142E-2</v>
      </c>
      <c r="K659" s="1">
        <v>2.72822592479723</v>
      </c>
      <c r="L659" s="1">
        <v>4.2110563171174125</v>
      </c>
      <c r="M659" s="1">
        <v>9.4071077263450778E-2</v>
      </c>
      <c r="N659" s="1">
        <v>1.2265812638425189</v>
      </c>
      <c r="O659" s="1">
        <v>0.17958637037037042</v>
      </c>
      <c r="P659" s="1">
        <v>0.12701569916851163</v>
      </c>
      <c r="Q659" s="1">
        <v>1.5164188356952211</v>
      </c>
      <c r="R659" s="2">
        <f t="shared" si="43"/>
        <v>66.649114065859351</v>
      </c>
      <c r="S659" s="2">
        <f t="shared" si="42"/>
        <v>2.8795519755184307</v>
      </c>
      <c r="T659" s="2">
        <f t="shared" si="44"/>
        <v>5.7112950285937529</v>
      </c>
      <c r="U659" s="2">
        <f t="shared" si="45"/>
        <v>75.239961069971528</v>
      </c>
    </row>
    <row r="660" spans="1:21" x14ac:dyDescent="0.25">
      <c r="A660">
        <v>2385677</v>
      </c>
      <c r="B660">
        <v>69</v>
      </c>
      <c r="C660" s="1">
        <f>2.85817086705623*(10.3/7.3)</f>
        <v>4.0327616343396162</v>
      </c>
      <c r="D660" s="1">
        <f>3.03984496704157*(10.3/7.3)</f>
        <v>4.2890963233600283</v>
      </c>
      <c r="E660" s="1">
        <f>10.8177949009675*(10.3/7.3)</f>
        <v>15.263464038351353</v>
      </c>
      <c r="F660" s="1">
        <f>22.440034674069*(38.9/42.5)</f>
        <v>20.539231736971406</v>
      </c>
      <c r="G660" s="1">
        <v>0.83241436759796517</v>
      </c>
      <c r="H660" s="1">
        <v>3.2217334633118897</v>
      </c>
      <c r="I660" s="1">
        <v>17.797493190691483</v>
      </c>
      <c r="J660" s="1">
        <v>2.8319633841328417E-2</v>
      </c>
      <c r="K660" s="1">
        <v>3.1567438386370168</v>
      </c>
      <c r="L660" s="1">
        <v>4.9483508032691867</v>
      </c>
      <c r="M660" s="1">
        <v>0.11623888737206171</v>
      </c>
      <c r="N660" s="1">
        <v>1.217678960746267</v>
      </c>
      <c r="O660" s="1">
        <v>0.22859516908212554</v>
      </c>
      <c r="P660" s="1">
        <v>0.14484582492686227</v>
      </c>
      <c r="Q660" s="1">
        <v>1.3303425966177536</v>
      </c>
      <c r="R660" s="2">
        <f t="shared" si="43"/>
        <v>67.306537351241502</v>
      </c>
      <c r="S660" s="2">
        <f t="shared" si="42"/>
        <v>3.3299092974052078</v>
      </c>
      <c r="T660" s="2">
        <f t="shared" si="44"/>
        <v>6.5108638204696412</v>
      </c>
      <c r="U660" s="2">
        <f t="shared" si="45"/>
        <v>77.147310469116348</v>
      </c>
    </row>
    <row r="661" spans="1:21" x14ac:dyDescent="0.25">
      <c r="A661">
        <v>2385965</v>
      </c>
      <c r="B661">
        <v>1</v>
      </c>
      <c r="C661" s="1">
        <f>13.9362303186365*(10.3/7.3)</f>
        <v>19.663448257802155</v>
      </c>
      <c r="D661" s="1">
        <f>13.0040975160055*(10.3/7.3)</f>
        <v>18.348247180117284</v>
      </c>
      <c r="E661" s="1">
        <f>46.7217076571033*(10.3/7.3)</f>
        <v>65.922409433995099</v>
      </c>
      <c r="F661" s="1">
        <f>91.6530359423065*(38.9/42.5)</f>
        <v>83.88948466248759</v>
      </c>
      <c r="G661" s="1">
        <v>3.0300091350451432</v>
      </c>
      <c r="H661" s="1">
        <v>6.1269728697582195</v>
      </c>
      <c r="I661" s="1">
        <v>75.977053835583021</v>
      </c>
      <c r="J661" s="1">
        <v>3.8944124083750198E-2</v>
      </c>
      <c r="K661" s="1">
        <v>2.9756101811349254</v>
      </c>
      <c r="L661" s="1">
        <v>3.528889858186965</v>
      </c>
      <c r="M661" s="1">
        <v>0.22239336880231347</v>
      </c>
      <c r="N661" s="1">
        <v>1.7880945623355706</v>
      </c>
      <c r="O661" s="1">
        <v>0.19386666666666666</v>
      </c>
      <c r="P661" s="1">
        <v>0.13313902355619908</v>
      </c>
      <c r="Q661" s="1">
        <v>4.8424803528118776</v>
      </c>
      <c r="R661" s="2">
        <f t="shared" si="43"/>
        <v>277.8001057276004</v>
      </c>
      <c r="S661" s="2">
        <f t="shared" si="42"/>
        <v>3.1476933287748747</v>
      </c>
      <c r="T661" s="2">
        <f t="shared" si="44"/>
        <v>5.7332444559915157</v>
      </c>
      <c r="U661" s="2">
        <f t="shared" si="45"/>
        <v>286.68104351236678</v>
      </c>
    </row>
    <row r="662" spans="1:21" x14ac:dyDescent="0.25">
      <c r="A662">
        <v>2385989</v>
      </c>
      <c r="B662">
        <v>1</v>
      </c>
      <c r="C662" s="1">
        <f>10.4790574359339*(10.3/7.3)</f>
        <v>14.785519395906681</v>
      </c>
      <c r="D662" s="1">
        <f>10.9234416143681*(10.3/7.3)</f>
        <v>15.412527209313877</v>
      </c>
      <c r="E662" s="1">
        <f>39.0101335791788*(10.3/7.3)</f>
        <v>55.041695324046842</v>
      </c>
      <c r="F662" s="1">
        <f>76.0815010867502*(38.9/42.5)</f>
        <v>69.636950406460727</v>
      </c>
      <c r="G662" s="1">
        <v>2.5804433320763351</v>
      </c>
      <c r="H662" s="1">
        <v>4.4642252981955446</v>
      </c>
      <c r="I662" s="1">
        <v>60.301317256372634</v>
      </c>
      <c r="J662" s="1">
        <v>2.7945739945040186E-2</v>
      </c>
      <c r="K662" s="1">
        <v>2.2757269299232497</v>
      </c>
      <c r="L662" s="1">
        <v>2.3805791189528422</v>
      </c>
      <c r="M662" s="1">
        <v>0.18294289265302974</v>
      </c>
      <c r="N662" s="1">
        <v>1.2954963995404822</v>
      </c>
      <c r="O662" s="1">
        <v>0.14170666666666665</v>
      </c>
      <c r="P662" s="1">
        <v>0.10626167143114648</v>
      </c>
      <c r="Q662" s="1">
        <v>4.1239961928160644</v>
      </c>
      <c r="R662" s="2">
        <f t="shared" si="43"/>
        <v>226.34667441518872</v>
      </c>
      <c r="S662" s="2">
        <f t="shared" si="42"/>
        <v>2.4099343412994365</v>
      </c>
      <c r="T662" s="2">
        <f t="shared" si="44"/>
        <v>4.000725077813021</v>
      </c>
      <c r="U662" s="2">
        <f t="shared" si="45"/>
        <v>232.75733383430119</v>
      </c>
    </row>
    <row r="663" spans="1:21" x14ac:dyDescent="0.25">
      <c r="A663">
        <v>2385997</v>
      </c>
      <c r="B663">
        <v>6</v>
      </c>
      <c r="C663" s="1">
        <f>8.76441120781926*(10.3/7.3)</f>
        <v>12.366224032950457</v>
      </c>
      <c r="D663" s="1">
        <f>9.43779326576522*(10.3/7.3)</f>
        <v>13.31633844347696</v>
      </c>
      <c r="E663" s="1">
        <f>33.75267821141*(10.3/7.3)</f>
        <v>47.623641859934594</v>
      </c>
      <c r="F663" s="1">
        <f>60.4879777470003*(38.9/42.5)</f>
        <v>55.364290220195521</v>
      </c>
      <c r="G663" s="1">
        <v>1.8052373830430077</v>
      </c>
      <c r="H663" s="1">
        <v>3.1525022139627681</v>
      </c>
      <c r="I663" s="1">
        <v>46.728181546729708</v>
      </c>
      <c r="J663" s="1">
        <v>2.7862290271148216E-2</v>
      </c>
      <c r="K663" s="1">
        <v>2.2469410024497489</v>
      </c>
      <c r="L663" s="1">
        <v>2.2645946862467468</v>
      </c>
      <c r="M663" s="1">
        <v>0.18789350110648373</v>
      </c>
      <c r="N663" s="1">
        <v>1.3846587719502625</v>
      </c>
      <c r="O663" s="1">
        <v>0.13674666666666668</v>
      </c>
      <c r="P663" s="1">
        <v>0.10538366579036518</v>
      </c>
      <c r="Q663" s="1">
        <v>2.8850825756395135</v>
      </c>
      <c r="R663" s="2">
        <f t="shared" si="43"/>
        <v>183.24149827593254</v>
      </c>
      <c r="S663" s="2">
        <f t="shared" si="42"/>
        <v>2.3801869585112625</v>
      </c>
      <c r="T663" s="2">
        <f t="shared" si="44"/>
        <v>3.97389362597016</v>
      </c>
      <c r="U663" s="2">
        <f t="shared" si="45"/>
        <v>189.59557886041398</v>
      </c>
    </row>
    <row r="664" spans="1:21" x14ac:dyDescent="0.25">
      <c r="A664">
        <v>2386133</v>
      </c>
      <c r="B664">
        <v>53</v>
      </c>
      <c r="C664" s="1">
        <f>9.18551085672422*(10.3/7.3)</f>
        <v>12.960378332090343</v>
      </c>
      <c r="D664" s="1">
        <f>10.054268970206*(10.3/7.3)</f>
        <v>14.186160327824886</v>
      </c>
      <c r="E664" s="1">
        <f>36.0687394135596*(10.3/7.3)</f>
        <v>50.891509035570387</v>
      </c>
      <c r="F664" s="1">
        <f>57.5186893205122*(38.9/42.5)</f>
        <v>52.646517989833484</v>
      </c>
      <c r="G664" s="1">
        <v>1.3422455414139163</v>
      </c>
      <c r="H664" s="1">
        <v>3.4476581293722353</v>
      </c>
      <c r="I664" s="1">
        <v>43.201172895298974</v>
      </c>
      <c r="J664" s="1">
        <v>4.4403766291669998E-2</v>
      </c>
      <c r="K664" s="1">
        <v>2.6768765788007216</v>
      </c>
      <c r="L664" s="1">
        <v>2.4852211657672925</v>
      </c>
      <c r="M664" s="1">
        <v>0.19228179546733046</v>
      </c>
      <c r="N664" s="1">
        <v>2.5115014942756551</v>
      </c>
      <c r="O664" s="1">
        <v>0.1254017610062893</v>
      </c>
      <c r="P664" s="1">
        <v>0.10202989922911751</v>
      </c>
      <c r="Q664" s="1">
        <v>2.1451412762322883</v>
      </c>
      <c r="R664" s="2">
        <f t="shared" si="43"/>
        <v>180.82078352763654</v>
      </c>
      <c r="S664" s="2">
        <f t="shared" si="42"/>
        <v>2.823310244321509</v>
      </c>
      <c r="T664" s="2">
        <f t="shared" si="44"/>
        <v>5.3144062165165673</v>
      </c>
      <c r="U664" s="2">
        <f t="shared" si="45"/>
        <v>188.95849998847461</v>
      </c>
    </row>
    <row r="665" spans="1:21" x14ac:dyDescent="0.25">
      <c r="A665">
        <v>2386141</v>
      </c>
      <c r="B665">
        <v>43</v>
      </c>
      <c r="C665" s="1">
        <f>7.14943055739696*(10.3/7.3)</f>
        <v>10.087552704272431</v>
      </c>
      <c r="D665" s="1">
        <f>7.91578903521157*(10.3/7.3)</f>
        <v>11.168853022284813</v>
      </c>
      <c r="E665" s="1">
        <f>28.3850457557556*(10.3/7.3)</f>
        <v>40.050133052641506</v>
      </c>
      <c r="F665" s="1">
        <f>45.0422891741092*(38.9/42.5)</f>
        <v>41.226942326419902</v>
      </c>
      <c r="G665" s="1">
        <v>1.0435081776508783</v>
      </c>
      <c r="H665" s="1">
        <v>2.4455317877169507</v>
      </c>
      <c r="I665" s="1">
        <v>33.612377872875051</v>
      </c>
      <c r="J665" s="1">
        <v>3.4183841543094055E-2</v>
      </c>
      <c r="K665" s="1">
        <v>2.3430005412433736</v>
      </c>
      <c r="L665" s="1">
        <v>2.1125387302441418</v>
      </c>
      <c r="M665" s="1">
        <v>0.15696559671667557</v>
      </c>
      <c r="N665" s="1">
        <v>1.7946197504894701</v>
      </c>
      <c r="O665" s="1">
        <v>0.10880372093023261</v>
      </c>
      <c r="P665" s="1">
        <v>9.2437396025264157E-2</v>
      </c>
      <c r="Q665" s="1">
        <v>1.6677071332319984</v>
      </c>
      <c r="R665" s="2">
        <f t="shared" si="43"/>
        <v>141.30260607709351</v>
      </c>
      <c r="S665" s="2">
        <f t="shared" si="42"/>
        <v>2.4696217788117316</v>
      </c>
      <c r="T665" s="2">
        <f t="shared" si="44"/>
        <v>4.1729277983805204</v>
      </c>
      <c r="U665" s="2">
        <f t="shared" si="45"/>
        <v>147.94515565428577</v>
      </c>
    </row>
    <row r="666" spans="1:21" x14ac:dyDescent="0.25">
      <c r="A666">
        <v>2386149</v>
      </c>
      <c r="B666">
        <v>19</v>
      </c>
      <c r="C666" s="1">
        <f>8.09245100435677*(10.3/7.3)</f>
        <v>11.418115800667776</v>
      </c>
      <c r="D666" s="1">
        <f>8.96433350284671*(10.3/7.3)</f>
        <v>12.648306175249468</v>
      </c>
      <c r="E666" s="1">
        <f>32.1672621003532*(10.3/7.3)</f>
        <v>45.386684881320292</v>
      </c>
      <c r="F666" s="1">
        <f>49.8891149197739*(38.9/42.5)</f>
        <v>45.663213420687185</v>
      </c>
      <c r="G666" s="1">
        <v>1.0858643330669928</v>
      </c>
      <c r="H666" s="1">
        <v>2.2638118133275635</v>
      </c>
      <c r="I666" s="1">
        <v>37.045416947412946</v>
      </c>
      <c r="J666" s="1">
        <v>3.3083589715491017E-2</v>
      </c>
      <c r="K666" s="1">
        <v>2.3347859454231421</v>
      </c>
      <c r="L666" s="1">
        <v>2.1421781168345735</v>
      </c>
      <c r="M666" s="1">
        <v>0.15167939116293333</v>
      </c>
      <c r="N666" s="1">
        <v>1.7204677787643605</v>
      </c>
      <c r="O666" s="1">
        <v>0.1071578947368421</v>
      </c>
      <c r="P666" s="1">
        <v>9.0964995189315362E-2</v>
      </c>
      <c r="Q666" s="1">
        <v>1.7353996190568395</v>
      </c>
      <c r="R666" s="2">
        <f t="shared" si="43"/>
        <v>157.24681299078907</v>
      </c>
      <c r="S666" s="2">
        <f t="shared" si="42"/>
        <v>2.4588345303279486</v>
      </c>
      <c r="T666" s="2">
        <f t="shared" si="44"/>
        <v>4.121483181498709</v>
      </c>
      <c r="U666" s="2">
        <f t="shared" si="45"/>
        <v>163.82713070261573</v>
      </c>
    </row>
    <row r="667" spans="1:21" x14ac:dyDescent="0.25">
      <c r="A667">
        <v>2386229</v>
      </c>
      <c r="B667">
        <v>52</v>
      </c>
      <c r="C667" s="1">
        <f>11.8459642789131*(10.3/7.3)</f>
        <v>16.714168777096553</v>
      </c>
      <c r="D667" s="1">
        <f>12.5316435806444*(10.3/7.3)</f>
        <v>17.681634093237964</v>
      </c>
      <c r="E667" s="1">
        <f>45.0795329907985*(10.3/7.3)</f>
        <v>63.605368466469095</v>
      </c>
      <c r="F667" s="1">
        <f>69.7041001458986*(38.9/42.5)</f>
        <v>63.799752839422489</v>
      </c>
      <c r="G667" s="1">
        <v>1.465525092787892</v>
      </c>
      <c r="H667" s="1">
        <v>3.6084981388913198</v>
      </c>
      <c r="I667" s="1">
        <v>52.926211682670754</v>
      </c>
      <c r="J667" s="1">
        <v>2.614074634677729E-2</v>
      </c>
      <c r="K667" s="1">
        <v>2.1589083433682972</v>
      </c>
      <c r="L667" s="1">
        <v>1.8912668735599412</v>
      </c>
      <c r="M667" s="1">
        <v>9.9852303930471079E-2</v>
      </c>
      <c r="N667" s="1">
        <v>1.492057476300233</v>
      </c>
      <c r="O667" s="1">
        <v>8.9867692307692301E-2</v>
      </c>
      <c r="P667" s="1">
        <v>7.8579197569751985E-2</v>
      </c>
      <c r="Q667" s="1">
        <v>2.3421633903002865</v>
      </c>
      <c r="R667" s="2">
        <f t="shared" si="43"/>
        <v>222.14332248087638</v>
      </c>
      <c r="S667" s="2">
        <f t="shared" si="42"/>
        <v>2.2636282872848263</v>
      </c>
      <c r="T667" s="2">
        <f t="shared" si="44"/>
        <v>3.5730443460983374</v>
      </c>
      <c r="U667" s="2">
        <f t="shared" si="45"/>
        <v>227.97999511425954</v>
      </c>
    </row>
    <row r="668" spans="1:21" x14ac:dyDescent="0.25">
      <c r="A668">
        <v>2386237</v>
      </c>
      <c r="B668">
        <v>62</v>
      </c>
      <c r="C668" s="1">
        <f>11.1528772361172*(10.3/7.3)</f>
        <v>15.736251442740739</v>
      </c>
      <c r="D668" s="1">
        <f>12.4435277334636*(10.3/7.3)</f>
        <v>17.557306254065022</v>
      </c>
      <c r="E668" s="1">
        <f>44.6361030079711*(10.3/7.3)</f>
        <v>62.979706983849667</v>
      </c>
      <c r="F668" s="1">
        <f>69.2070539558363*(38.9/42.5)</f>
        <v>63.344809385459556</v>
      </c>
      <c r="G668" s="1">
        <v>1.5108685206017332</v>
      </c>
      <c r="H668" s="1">
        <v>2.9334464635117348</v>
      </c>
      <c r="I668" s="1">
        <v>51.206022111470354</v>
      </c>
      <c r="J668" s="1">
        <v>2.48852950157613E-2</v>
      </c>
      <c r="K668" s="1">
        <v>2.1184226328128593</v>
      </c>
      <c r="L668" s="1">
        <v>1.859359609371845</v>
      </c>
      <c r="M668" s="1">
        <v>9.8095038836607376E-2</v>
      </c>
      <c r="N668" s="1">
        <v>1.3361278948228332</v>
      </c>
      <c r="O668" s="1">
        <v>8.8499784946236545E-2</v>
      </c>
      <c r="P668" s="1">
        <v>7.7042208566800982E-2</v>
      </c>
      <c r="Q668" s="1">
        <v>2.4146300557561959</v>
      </c>
      <c r="R668" s="2">
        <f t="shared" si="43"/>
        <v>217.68304121745501</v>
      </c>
      <c r="S668" s="2">
        <f t="shared" si="42"/>
        <v>2.2203501363954214</v>
      </c>
      <c r="T668" s="2">
        <f t="shared" si="44"/>
        <v>3.3820823279775221</v>
      </c>
      <c r="U668" s="2">
        <f t="shared" si="45"/>
        <v>223.28547368182794</v>
      </c>
    </row>
    <row r="669" spans="1:21" x14ac:dyDescent="0.25">
      <c r="A669">
        <v>2386245</v>
      </c>
      <c r="B669">
        <v>35</v>
      </c>
      <c r="C669" s="1">
        <f>16.4296508266318*(10.3/7.3)</f>
        <v>23.18156212524757</v>
      </c>
      <c r="D669" s="1">
        <f>18.5159317041058*(10.3/7.3)</f>
        <v>26.12521870579306</v>
      </c>
      <c r="E669" s="1">
        <f>66.4514467710698*(10.3/7.3)</f>
        <v>93.76026051260537</v>
      </c>
      <c r="F669" s="1">
        <f>99.7089373717661*(38.9/42.5)</f>
        <v>91.263003853216503</v>
      </c>
      <c r="G669" s="1">
        <v>1.9822893636121417</v>
      </c>
      <c r="H669" s="1">
        <v>5.2018805844888041</v>
      </c>
      <c r="I669" s="1">
        <v>72.877295871618102</v>
      </c>
      <c r="J669" s="1">
        <v>3.3103051025956447E-2</v>
      </c>
      <c r="K669" s="1">
        <v>2.7071367656360388</v>
      </c>
      <c r="L669" s="1">
        <v>2.5379726324098133</v>
      </c>
      <c r="M669" s="1">
        <v>0.1233128283465019</v>
      </c>
      <c r="N669" s="1">
        <v>1.7221315937164847</v>
      </c>
      <c r="O669" s="1">
        <v>0.11092419047619045</v>
      </c>
      <c r="P669" s="1">
        <v>9.1200754976362611E-2</v>
      </c>
      <c r="Q669" s="1">
        <v>3.1680423619372173</v>
      </c>
      <c r="R669" s="2">
        <f t="shared" si="43"/>
        <v>317.55955337851879</v>
      </c>
      <c r="S669" s="2">
        <f t="shared" si="42"/>
        <v>2.8314405716383577</v>
      </c>
      <c r="T669" s="2">
        <f t="shared" si="44"/>
        <v>4.4943412449489903</v>
      </c>
      <c r="U669" s="2">
        <f t="shared" si="45"/>
        <v>324.88533519510617</v>
      </c>
    </row>
    <row r="670" spans="1:21" x14ac:dyDescent="0.25">
      <c r="A670">
        <v>2386253</v>
      </c>
      <c r="B670">
        <v>63</v>
      </c>
      <c r="C670" s="1">
        <f>10.7967425675186*(10.3/7.3)</f>
        <v>15.233760061019414</v>
      </c>
      <c r="D670" s="1">
        <f>12.21148842673*(10.3/7.3)</f>
        <v>17.229908328125934</v>
      </c>
      <c r="E670" s="1">
        <f>43.8020592534166*(10.3/7.3)</f>
        <v>61.802905521944034</v>
      </c>
      <c r="F670" s="1">
        <f>66.5077883925334*(38.9/42.5)</f>
        <v>60.874187493401131</v>
      </c>
      <c r="G670" s="1">
        <v>1.3752656800217546</v>
      </c>
      <c r="H670" s="1">
        <v>2.7770950277559865</v>
      </c>
      <c r="I670" s="1">
        <v>48.653651504404735</v>
      </c>
      <c r="J670" s="1">
        <v>2.653578395371305E-2</v>
      </c>
      <c r="K670" s="1">
        <v>2.2838140321096505</v>
      </c>
      <c r="L670" s="1">
        <v>2.0162053494285166</v>
      </c>
      <c r="M670" s="1">
        <v>0.10090126661496587</v>
      </c>
      <c r="N670" s="1">
        <v>1.4049167973664671</v>
      </c>
      <c r="O670" s="1">
        <v>9.2621375661375682E-2</v>
      </c>
      <c r="P670" s="1">
        <v>7.9789408347680238E-2</v>
      </c>
      <c r="Q670" s="1">
        <v>2.1979131872493807</v>
      </c>
      <c r="R670" s="2">
        <f t="shared" si="43"/>
        <v>210.14468680392238</v>
      </c>
      <c r="S670" s="2">
        <f t="shared" si="42"/>
        <v>2.390139224411044</v>
      </c>
      <c r="T670" s="2">
        <f t="shared" si="44"/>
        <v>3.6146447890713254</v>
      </c>
      <c r="U670" s="2">
        <f t="shared" si="45"/>
        <v>216.14947081740476</v>
      </c>
    </row>
    <row r="671" spans="1:21" x14ac:dyDescent="0.25">
      <c r="A671">
        <v>2397689</v>
      </c>
      <c r="B671">
        <v>8</v>
      </c>
      <c r="C671" s="1">
        <f>0.59982746098504*(10.3/7.3)</f>
        <v>0.84633189700628897</v>
      </c>
      <c r="D671" s="1">
        <f>0.76276537487435*(10.3/7.3)</f>
        <v>1.0762305974254536</v>
      </c>
      <c r="E671" s="1">
        <f>2.69463102974854*(10.3/7.3)</f>
        <v>3.8020136447136883</v>
      </c>
      <c r="F671" s="1">
        <f>5.40936258090026*(38.9/42.5)</f>
        <v>4.9511577505181164</v>
      </c>
      <c r="G671" s="1">
        <v>0.20066836348506303</v>
      </c>
      <c r="H671" s="1">
        <v>3.1612358375709761</v>
      </c>
      <c r="I671" s="1">
        <v>4.0077868541444381</v>
      </c>
      <c r="J671" s="1">
        <v>1.1400427694706453E-2</v>
      </c>
      <c r="K671" s="1">
        <v>2.9151558595329519</v>
      </c>
      <c r="L671" s="1">
        <v>2.18586979458903</v>
      </c>
      <c r="M671" s="1">
        <v>5.5311057690376329E-2</v>
      </c>
      <c r="N671" s="1">
        <v>0.47107045198072595</v>
      </c>
      <c r="O671" s="1">
        <v>9.8313333333333336E-2</v>
      </c>
      <c r="P671" s="1">
        <v>0.12976345947890405</v>
      </c>
      <c r="Q671" s="1">
        <v>0.32070286401722436</v>
      </c>
      <c r="R671" s="2">
        <f t="shared" si="43"/>
        <v>18.366127808881249</v>
      </c>
      <c r="S671" s="2">
        <f t="shared" si="42"/>
        <v>3.0563197467065621</v>
      </c>
      <c r="T671" s="2">
        <f t="shared" si="44"/>
        <v>2.8105646375934654</v>
      </c>
      <c r="U671" s="2">
        <f t="shared" si="45"/>
        <v>24.233012193181278</v>
      </c>
    </row>
    <row r="672" spans="1:21" x14ac:dyDescent="0.25">
      <c r="A672">
        <v>2397801</v>
      </c>
      <c r="B672">
        <v>15</v>
      </c>
      <c r="C672" s="1">
        <f>0.641807417417857*(10.3/7.3)</f>
        <v>0.90556389032930529</v>
      </c>
      <c r="D672" s="1">
        <f>0.952962535109969*(10.3/7.3)</f>
        <v>1.3445909741962581</v>
      </c>
      <c r="E672" s="1">
        <f>3.34941930842592*(10.3/7.3)</f>
        <v>4.7258929968201269</v>
      </c>
      <c r="F672" s="1">
        <f>6.50553840524263*(38.9/42.5)</f>
        <v>5.9544810344456103</v>
      </c>
      <c r="G672" s="1">
        <v>0.23891006872168979</v>
      </c>
      <c r="H672" s="1">
        <v>1.653678039354151</v>
      </c>
      <c r="I672" s="1">
        <v>4.5423533491409085</v>
      </c>
      <c r="J672" s="1">
        <v>1.2729045511154146E-2</v>
      </c>
      <c r="K672" s="1">
        <v>2.2118953922153906</v>
      </c>
      <c r="L672" s="1">
        <v>2.7216636841484996</v>
      </c>
      <c r="M672" s="1">
        <v>5.4945329732839263E-2</v>
      </c>
      <c r="N672" s="1">
        <v>0.58600217446844871</v>
      </c>
      <c r="O672" s="1">
        <v>0.10391111111111111</v>
      </c>
      <c r="P672" s="1">
        <v>9.9520289513572655E-2</v>
      </c>
      <c r="Q672" s="1">
        <v>0.38181974453238138</v>
      </c>
      <c r="R672" s="2">
        <f t="shared" si="43"/>
        <v>19.747290097540432</v>
      </c>
      <c r="S672" s="2">
        <f t="shared" si="42"/>
        <v>2.3241447272401174</v>
      </c>
      <c r="T672" s="2">
        <f t="shared" si="44"/>
        <v>3.4665222994608986</v>
      </c>
      <c r="U672" s="2">
        <f t="shared" si="45"/>
        <v>25.537957124241448</v>
      </c>
    </row>
    <row r="673" spans="1:21" x14ac:dyDescent="0.25">
      <c r="A673">
        <v>2397889</v>
      </c>
      <c r="B673">
        <v>38</v>
      </c>
      <c r="C673" s="1">
        <f>3.59076833978159*(10.3/7.3)</f>
        <v>5.0664265616096396</v>
      </c>
      <c r="D673" s="1">
        <f>3.6273079646053*(10.3/7.3)</f>
        <v>5.1179824706074832</v>
      </c>
      <c r="E673" s="1">
        <f>12.9737888242782*(10.3/7.3)</f>
        <v>18.305482861652823</v>
      </c>
      <c r="F673" s="1">
        <f>25.419979228656*(38.9/42.5)</f>
        <v>23.266757458699278</v>
      </c>
      <c r="G673" s="1">
        <v>0.8600367176829623</v>
      </c>
      <c r="H673" s="1">
        <v>5.7274184293827126</v>
      </c>
      <c r="I673" s="1">
        <v>20.409026436952676</v>
      </c>
      <c r="J673" s="1">
        <v>3.8318363192817249E-2</v>
      </c>
      <c r="K673" s="1">
        <v>3.3315474951511872</v>
      </c>
      <c r="L673" s="1">
        <v>5.9724373086156719</v>
      </c>
      <c r="M673" s="1">
        <v>0.1165396583084384</v>
      </c>
      <c r="N673" s="1">
        <v>1.4522588714868352</v>
      </c>
      <c r="O673" s="1">
        <v>0.24622456140350876</v>
      </c>
      <c r="P673" s="1">
        <v>0.14994590098227617</v>
      </c>
      <c r="Q673" s="1">
        <v>1.3744879049727718</v>
      </c>
      <c r="R673" s="2">
        <f t="shared" si="43"/>
        <v>80.127618841560334</v>
      </c>
      <c r="S673" s="2">
        <f t="shared" si="42"/>
        <v>3.5198117593262808</v>
      </c>
      <c r="T673" s="2">
        <f t="shared" si="44"/>
        <v>7.7874603998144538</v>
      </c>
      <c r="U673" s="2">
        <f t="shared" si="45"/>
        <v>91.434891000701072</v>
      </c>
    </row>
    <row r="674" spans="1:21" x14ac:dyDescent="0.25">
      <c r="A674">
        <v>2397897</v>
      </c>
      <c r="B674">
        <v>29</v>
      </c>
      <c r="C674" s="1">
        <f>3.31970727256846*(10.3/7.3)</f>
        <v>4.6839705352678278</v>
      </c>
      <c r="D674" s="1">
        <f>3.48248041103944*(10.3/7.3)</f>
        <v>4.9136367443433269</v>
      </c>
      <c r="E674" s="1">
        <f>12.2542750364637*(10.3/7.3)</f>
        <v>17.290278476106334</v>
      </c>
      <c r="F674" s="1">
        <f>32.887640646487*(38.9/42.5)</f>
        <v>30.101864027019896</v>
      </c>
      <c r="G674" s="1">
        <v>1.5666393329429709</v>
      </c>
      <c r="H674" s="1">
        <v>5.5377428525837624</v>
      </c>
      <c r="I674" s="1">
        <v>26.969399418842915</v>
      </c>
      <c r="J674" s="1">
        <v>2.6441012102307995E-2</v>
      </c>
      <c r="K674" s="1">
        <v>2.7964332161214753</v>
      </c>
      <c r="L674" s="1">
        <v>4.4865914939502716</v>
      </c>
      <c r="M674" s="1">
        <v>9.6553759309522924E-2</v>
      </c>
      <c r="N674" s="1">
        <v>1.5757095112464314</v>
      </c>
      <c r="O674" s="1">
        <v>0.18911448275862069</v>
      </c>
      <c r="P674" s="1">
        <v>0.12903342328796094</v>
      </c>
      <c r="Q674" s="1">
        <v>2.5037614910047492</v>
      </c>
      <c r="R674" s="2">
        <f t="shared" si="43"/>
        <v>93.567292878111786</v>
      </c>
      <c r="S674" s="2">
        <f t="shared" si="42"/>
        <v>2.9519076515117444</v>
      </c>
      <c r="T674" s="2">
        <f t="shared" si="44"/>
        <v>6.3479692472648468</v>
      </c>
      <c r="U674" s="2">
        <f t="shared" si="45"/>
        <v>102.86716977688837</v>
      </c>
    </row>
    <row r="675" spans="1:21" x14ac:dyDescent="0.25">
      <c r="A675">
        <v>2397905</v>
      </c>
      <c r="B675">
        <v>64</v>
      </c>
      <c r="C675" s="1">
        <f>2.52095065104936*(10.3/7.3)</f>
        <v>3.5569577679189655</v>
      </c>
      <c r="D675" s="1">
        <f>2.69669227801134*(10.3/7.3)</f>
        <v>3.8049219813036741</v>
      </c>
      <c r="E675" s="1">
        <f>9.58365492622956*(10.3/7.3)</f>
        <v>13.522143252077324</v>
      </c>
      <c r="F675" s="1">
        <f>20.3890897021659*(38.9/42.5)</f>
        <v>18.662013868570678</v>
      </c>
      <c r="G675" s="1">
        <v>0.78124128946697757</v>
      </c>
      <c r="H675" s="1">
        <v>3.8129247650428186</v>
      </c>
      <c r="I675" s="1">
        <v>16.191572334943466</v>
      </c>
      <c r="J675" s="1">
        <v>2.6019988439850105E-2</v>
      </c>
      <c r="K675" s="1">
        <v>2.9140550379586991</v>
      </c>
      <c r="L675" s="1">
        <v>4.5116439614881836</v>
      </c>
      <c r="M675" s="1">
        <v>0.10330690255427454</v>
      </c>
      <c r="N675" s="1">
        <v>1.1582923485392436</v>
      </c>
      <c r="O675" s="1">
        <v>0.19843583333333326</v>
      </c>
      <c r="P675" s="1">
        <v>0.13535333880875583</v>
      </c>
      <c r="Q675" s="1">
        <v>1.2485591384175461</v>
      </c>
      <c r="R675" s="2">
        <f t="shared" si="43"/>
        <v>61.580334397741453</v>
      </c>
      <c r="S675" s="2">
        <f t="shared" si="42"/>
        <v>3.0754283652073053</v>
      </c>
      <c r="T675" s="2">
        <f t="shared" si="44"/>
        <v>5.9716790459150353</v>
      </c>
      <c r="U675" s="2">
        <f t="shared" si="45"/>
        <v>70.627441808863793</v>
      </c>
    </row>
    <row r="676" spans="1:21" x14ac:dyDescent="0.25">
      <c r="A676">
        <v>2397913</v>
      </c>
      <c r="B676">
        <v>31</v>
      </c>
      <c r="C676" s="1">
        <f>3.19552086190494*(10.3/7.3)</f>
        <v>4.5087486133727266</v>
      </c>
      <c r="D676" s="1">
        <f>3.42768048407938*(10.3/7.3)</f>
        <v>4.8363162994544728</v>
      </c>
      <c r="E676" s="1">
        <f>12.1947369514298*(10.3/7.3)</f>
        <v>17.206272684894035</v>
      </c>
      <c r="F676" s="1">
        <f>25.1850502944676*(38.9/42.5)</f>
        <v>23.05172838717149</v>
      </c>
      <c r="G676" s="1">
        <v>0.93099474230016099</v>
      </c>
      <c r="H676" s="1">
        <v>3.4440167002302848</v>
      </c>
      <c r="I676" s="1">
        <v>19.901601911372396</v>
      </c>
      <c r="J676" s="1">
        <v>3.1974593473748744E-2</v>
      </c>
      <c r="K676" s="1">
        <v>3.4659819636662634</v>
      </c>
      <c r="L676" s="1">
        <v>5.5923422245189078</v>
      </c>
      <c r="M676" s="1">
        <v>0.1276856710343493</v>
      </c>
      <c r="N676" s="1">
        <v>1.3542921199087623</v>
      </c>
      <c r="O676" s="1">
        <v>0.26303311827956988</v>
      </c>
      <c r="P676" s="1">
        <v>0.15727426458811192</v>
      </c>
      <c r="Q676" s="1">
        <v>1.4878911406623592</v>
      </c>
      <c r="R676" s="2">
        <f t="shared" si="43"/>
        <v>75.367570479457925</v>
      </c>
      <c r="S676" s="2">
        <f t="shared" si="42"/>
        <v>3.6552308217281242</v>
      </c>
      <c r="T676" s="2">
        <f t="shared" si="44"/>
        <v>7.3373531337415896</v>
      </c>
      <c r="U676" s="2">
        <f t="shared" si="45"/>
        <v>86.360154434927637</v>
      </c>
    </row>
    <row r="677" spans="1:21" x14ac:dyDescent="0.25">
      <c r="A677">
        <v>2398193</v>
      </c>
      <c r="B677">
        <v>1</v>
      </c>
      <c r="C677" s="1">
        <f>9.99712434975066*(10.3/7.3)</f>
        <v>14.105531616771483</v>
      </c>
      <c r="D677" s="1">
        <f>9.04762320461398*(10.3/7.3)</f>
        <v>12.765824521578626</v>
      </c>
      <c r="E677" s="1">
        <f>32.5802467173383*(10.3/7.3)</f>
        <v>45.969389203915732</v>
      </c>
      <c r="F677" s="1">
        <f>63.2318959641417*(38.9/42.5)</f>
        <v>57.87578242364966</v>
      </c>
      <c r="G677" s="1">
        <v>2.034312082169119</v>
      </c>
      <c r="H677" s="1">
        <v>3.3658041751632326</v>
      </c>
      <c r="I677" s="1">
        <v>53.039760821963696</v>
      </c>
      <c r="J677" s="1">
        <v>2.8794380696483855E-2</v>
      </c>
      <c r="K677" s="1">
        <v>2.4249408566709363</v>
      </c>
      <c r="L677" s="1">
        <v>2.7107239606686879</v>
      </c>
      <c r="M677" s="1">
        <v>0.16870502795763956</v>
      </c>
      <c r="N677" s="1">
        <v>2.3728087497191854</v>
      </c>
      <c r="O677" s="1">
        <v>0.15877333333333335</v>
      </c>
      <c r="P677" s="1">
        <v>0.11409439159851782</v>
      </c>
      <c r="Q677" s="1">
        <v>3.2511836929643487</v>
      </c>
      <c r="R677" s="2">
        <f t="shared" si="43"/>
        <v>192.40758853817593</v>
      </c>
      <c r="S677" s="2">
        <f t="shared" si="42"/>
        <v>2.5678296289659377</v>
      </c>
      <c r="T677" s="2">
        <f t="shared" si="44"/>
        <v>5.4110110716788462</v>
      </c>
      <c r="U677" s="2">
        <f t="shared" si="45"/>
        <v>200.38642923882071</v>
      </c>
    </row>
    <row r="678" spans="1:21" x14ac:dyDescent="0.25">
      <c r="A678">
        <v>2398201</v>
      </c>
      <c r="B678">
        <v>5</v>
      </c>
      <c r="C678" s="1">
        <f>11.2644888788704*(10.3/7.3)</f>
        <v>15.8937308838857</v>
      </c>
      <c r="D678" s="1">
        <f>10.2964249115153*(10.3/7.3)</f>
        <v>14.527832409398259</v>
      </c>
      <c r="E678" s="1">
        <f>37.0638277689772*(10.3/7.3)</f>
        <v>52.295537811022697</v>
      </c>
      <c r="F678" s="1">
        <f>71.4731265043425*(38.9/42.5)</f>
        <v>65.418932259268772</v>
      </c>
      <c r="G678" s="1">
        <v>2.2836655251522959</v>
      </c>
      <c r="H678" s="1">
        <v>5.9838758060237343</v>
      </c>
      <c r="I678" s="1">
        <v>59.674072290344284</v>
      </c>
      <c r="J678" s="1">
        <v>3.2951023097054971E-2</v>
      </c>
      <c r="K678" s="1">
        <v>2.6113681533124318</v>
      </c>
      <c r="L678" s="1">
        <v>2.9470936625194444</v>
      </c>
      <c r="M678" s="1">
        <v>0.18877452897573863</v>
      </c>
      <c r="N678" s="1">
        <v>1.5178275647532438</v>
      </c>
      <c r="O678" s="1">
        <v>0.168576</v>
      </c>
      <c r="P678" s="1">
        <v>0.12082730577711542</v>
      </c>
      <c r="Q678" s="1">
        <v>3.6496937616589245</v>
      </c>
      <c r="R678" s="2">
        <f t="shared" si="43"/>
        <v>219.72734074675472</v>
      </c>
      <c r="S678" s="2">
        <f t="shared" si="42"/>
        <v>2.7651464821866023</v>
      </c>
      <c r="T678" s="2">
        <f t="shared" si="44"/>
        <v>4.8222717562484263</v>
      </c>
      <c r="U678" s="2">
        <f t="shared" si="45"/>
        <v>227.31475898518974</v>
      </c>
    </row>
    <row r="679" spans="1:21" x14ac:dyDescent="0.25">
      <c r="A679">
        <v>2398217</v>
      </c>
      <c r="B679">
        <v>28</v>
      </c>
      <c r="C679" s="1">
        <f>9.11405451532761*(10.3/7.3)</f>
        <v>12.859556370941696</v>
      </c>
      <c r="D679" s="1">
        <f>9.15700881389489*(10.3/7.3)</f>
        <v>12.920163120974976</v>
      </c>
      <c r="E679" s="1">
        <f>32.7516115015141*(10.3/7.3)</f>
        <v>46.211177871999347</v>
      </c>
      <c r="F679" s="1">
        <f>64.6800861483189*(38.9/42.5)</f>
        <v>59.201302380461279</v>
      </c>
      <c r="G679" s="1">
        <v>2.2102757854791064</v>
      </c>
      <c r="H679" s="1">
        <v>5.3420984316491538</v>
      </c>
      <c r="I679" s="1">
        <v>52.089055341057801</v>
      </c>
      <c r="J679" s="1">
        <v>2.6928886473221062E-2</v>
      </c>
      <c r="K679" s="1">
        <v>2.234755994483776</v>
      </c>
      <c r="L679" s="1">
        <v>2.3123821919432319</v>
      </c>
      <c r="M679" s="1">
        <v>0.16866110138886348</v>
      </c>
      <c r="N679" s="1">
        <v>1.2497458480089745</v>
      </c>
      <c r="O679" s="1">
        <v>0.1388590476190476</v>
      </c>
      <c r="P679" s="1">
        <v>0.10609498277939244</v>
      </c>
      <c r="Q679" s="1">
        <v>3.5324042233684385</v>
      </c>
      <c r="R679" s="2">
        <f t="shared" si="43"/>
        <v>194.36603352593178</v>
      </c>
      <c r="S679" s="2">
        <f t="shared" si="42"/>
        <v>2.3677798637363896</v>
      </c>
      <c r="T679" s="2">
        <f t="shared" si="44"/>
        <v>3.8696481889601171</v>
      </c>
      <c r="U679" s="2">
        <f t="shared" si="45"/>
        <v>200.6034615786283</v>
      </c>
    </row>
    <row r="680" spans="1:21" x14ac:dyDescent="0.25">
      <c r="A680">
        <v>2398225</v>
      </c>
      <c r="B680">
        <v>24</v>
      </c>
      <c r="C680" s="1">
        <f>14.7937193876133*(10.3/7.3)</f>
        <v>20.873330094851596</v>
      </c>
      <c r="D680" s="1">
        <f>15.2089698691907*(10.3/7.3)</f>
        <v>21.459231459269052</v>
      </c>
      <c r="E680" s="1">
        <f>54.5411186864958*(10.3/7.3)</f>
        <v>76.955277050809102</v>
      </c>
      <c r="F680" s="1">
        <f>97.0048881926118*(38.9/42.5)</f>
        <v>88.788003545708193</v>
      </c>
      <c r="G680" s="1">
        <v>2.8068356576763791</v>
      </c>
      <c r="H680" s="1">
        <v>4.3533614638996871</v>
      </c>
      <c r="I680" s="1">
        <v>76.350994833455431</v>
      </c>
      <c r="J680" s="1">
        <v>3.7530076431657185E-2</v>
      </c>
      <c r="K680" s="1">
        <v>2.8467808491348716</v>
      </c>
      <c r="L680" s="1">
        <v>3.2141988356864934</v>
      </c>
      <c r="M680" s="1">
        <v>0.24859061445190159</v>
      </c>
      <c r="N680" s="1">
        <v>1.7081842179008691</v>
      </c>
      <c r="O680" s="1">
        <v>0.17710666666666666</v>
      </c>
      <c r="P680" s="1">
        <v>0.12493226713826673</v>
      </c>
      <c r="Q680" s="1">
        <v>4.4858104118115696</v>
      </c>
      <c r="R680" s="2">
        <f t="shared" si="43"/>
        <v>296.07284451748097</v>
      </c>
      <c r="S680" s="2">
        <f t="shared" si="42"/>
        <v>3.0092431927047958</v>
      </c>
      <c r="T680" s="2">
        <f t="shared" si="44"/>
        <v>5.3480803347059309</v>
      </c>
      <c r="U680" s="2">
        <f t="shared" si="45"/>
        <v>304.43016804489167</v>
      </c>
    </row>
    <row r="681" spans="1:21" x14ac:dyDescent="0.25">
      <c r="A681">
        <v>2398369</v>
      </c>
      <c r="B681">
        <v>27</v>
      </c>
      <c r="C681" s="1">
        <f>8.15347583089005*(10.3/7.3)</f>
        <v>11.504219323036645</v>
      </c>
      <c r="D681" s="1">
        <f>8.91791839541026*(10.3/7.3)</f>
        <v>12.58281636612681</v>
      </c>
      <c r="E681" s="1">
        <f>31.9911124053008*(10.3/7.3)</f>
        <v>45.138144900629932</v>
      </c>
      <c r="F681" s="1">
        <f>51.1316792575184*(38.9/42.5)</f>
        <v>46.800525249822691</v>
      </c>
      <c r="G681" s="1">
        <v>1.1997640829657816</v>
      </c>
      <c r="H681" s="1">
        <v>2.9145296322280072</v>
      </c>
      <c r="I681" s="1">
        <v>38.434743431746242</v>
      </c>
      <c r="J681" s="1">
        <v>4.0147936705242519E-2</v>
      </c>
      <c r="K681" s="1">
        <v>2.543887685367122</v>
      </c>
      <c r="L681" s="1">
        <v>2.3319985095265947</v>
      </c>
      <c r="M681" s="1">
        <v>0.17776153079721158</v>
      </c>
      <c r="N681" s="1">
        <v>2.5519572278635305</v>
      </c>
      <c r="O681" s="1">
        <v>0.11853432098765432</v>
      </c>
      <c r="P681" s="1">
        <v>9.7966836478502933E-2</v>
      </c>
      <c r="Q681" s="1">
        <v>1.9174311828220283</v>
      </c>
      <c r="R681" s="2">
        <f t="shared" si="43"/>
        <v>160.49217416937813</v>
      </c>
      <c r="S681" s="2">
        <f t="shared" si="42"/>
        <v>2.6820024585508673</v>
      </c>
      <c r="T681" s="2">
        <f t="shared" si="44"/>
        <v>5.1802515891749916</v>
      </c>
      <c r="U681" s="2">
        <f t="shared" si="45"/>
        <v>168.35442821710399</v>
      </c>
    </row>
    <row r="682" spans="1:21" x14ac:dyDescent="0.25">
      <c r="A682">
        <v>2398377</v>
      </c>
      <c r="B682">
        <v>16</v>
      </c>
      <c r="C682" s="1">
        <f>6.04706535617886*(10.3/7.3)</f>
        <v>8.5321607080331887</v>
      </c>
      <c r="D682" s="1">
        <f>6.70418595292951*(10.3/7.3)</f>
        <v>9.4593308650923298</v>
      </c>
      <c r="E682" s="1">
        <f>24.0415074673345*(10.3/7.3)</f>
        <v>33.921579029252804</v>
      </c>
      <c r="F682" s="1">
        <f>38.0125616317883*(38.9/42.5)</f>
        <v>34.79267405827207</v>
      </c>
      <c r="G682" s="1">
        <v>0.87288458098505262</v>
      </c>
      <c r="H682" s="1">
        <v>1.9696840551011379</v>
      </c>
      <c r="I682" s="1">
        <v>28.327589503146683</v>
      </c>
      <c r="J682" s="1">
        <v>2.9985660151322917E-2</v>
      </c>
      <c r="K682" s="1">
        <v>2.1386305082768984</v>
      </c>
      <c r="L682" s="1">
        <v>1.9222299418570696</v>
      </c>
      <c r="M682" s="1">
        <v>0.13875391778466406</v>
      </c>
      <c r="N682" s="1">
        <v>1.6616089611902936</v>
      </c>
      <c r="O682" s="1">
        <v>9.8449999999999982E-2</v>
      </c>
      <c r="P682" s="1">
        <v>8.5835788651914366E-2</v>
      </c>
      <c r="Q682" s="1">
        <v>1.3950210198391266</v>
      </c>
      <c r="R682" s="2">
        <f t="shared" si="43"/>
        <v>119.2709238197224</v>
      </c>
      <c r="S682" s="2">
        <f t="shared" si="42"/>
        <v>2.2544519570801356</v>
      </c>
      <c r="T682" s="2">
        <f t="shared" si="44"/>
        <v>3.8210428208320271</v>
      </c>
      <c r="U682" s="2">
        <f t="shared" si="45"/>
        <v>125.34641859763457</v>
      </c>
    </row>
    <row r="683" spans="1:21" x14ac:dyDescent="0.25">
      <c r="A683">
        <v>2398457</v>
      </c>
      <c r="B683">
        <v>1</v>
      </c>
      <c r="C683" s="1">
        <f>12.2116267953528*(10.3/7.3)</f>
        <v>17.230103560566281</v>
      </c>
      <c r="D683" s="1">
        <f>12.7507883905062*(10.3/7.3)</f>
        <v>17.990838414001843</v>
      </c>
      <c r="E683" s="1">
        <f>45.884059755199*(10.3/7.3)</f>
        <v>64.740522668294489</v>
      </c>
      <c r="F683" s="1">
        <f>71.7325632835497*(38.9/42.5)</f>
        <v>65.656393217178447</v>
      </c>
      <c r="G683" s="1">
        <v>1.5461201004249474</v>
      </c>
      <c r="H683" s="1">
        <v>4.5582797062839377</v>
      </c>
      <c r="I683" s="1">
        <v>54.931192456402293</v>
      </c>
      <c r="J683" s="1">
        <v>2.6384240962383822E-2</v>
      </c>
      <c r="K683" s="1">
        <v>2.1513890096561146</v>
      </c>
      <c r="L683" s="1">
        <v>1.8838332637820294</v>
      </c>
      <c r="M683" s="1">
        <v>9.9629199541457769E-2</v>
      </c>
      <c r="N683" s="1">
        <v>1.4602705107679026</v>
      </c>
      <c r="O683" s="1">
        <v>8.9493333333333341E-2</v>
      </c>
      <c r="P683" s="1">
        <v>7.8477444447899336E-2</v>
      </c>
      <c r="Q683" s="1">
        <v>2.4709681970261741</v>
      </c>
      <c r="R683" s="2">
        <f t="shared" si="43"/>
        <v>229.12441832017842</v>
      </c>
      <c r="S683" s="2">
        <f t="shared" si="42"/>
        <v>2.2562506950663979</v>
      </c>
      <c r="T683" s="2">
        <f t="shared" si="44"/>
        <v>3.533226307424723</v>
      </c>
      <c r="U683" s="2">
        <f t="shared" si="45"/>
        <v>234.91389532266953</v>
      </c>
    </row>
    <row r="684" spans="1:21" x14ac:dyDescent="0.25">
      <c r="A684">
        <v>2398465</v>
      </c>
      <c r="B684">
        <v>70</v>
      </c>
      <c r="C684" s="1">
        <f>13.4595319247707*(10.3/7.3)</f>
        <v>18.990846414402547</v>
      </c>
      <c r="D684" s="1">
        <f>14.3711695281149*(10.3/7.3)</f>
        <v>20.277129608162127</v>
      </c>
      <c r="E684" s="1">
        <f>51.6831059547262*(10.3/7.3)</f>
        <v>72.922738538860273</v>
      </c>
      <c r="F684" s="1">
        <f>79.3377789912725*(38.9/42.5)</f>
        <v>72.617402417894169</v>
      </c>
      <c r="G684" s="1">
        <v>1.640784894122028</v>
      </c>
      <c r="H684" s="1">
        <v>3.1576800051019194</v>
      </c>
      <c r="I684" s="1">
        <v>59.879609000767502</v>
      </c>
      <c r="J684" s="1">
        <v>2.7257128592440175E-2</v>
      </c>
      <c r="K684" s="1">
        <v>2.2610564008757894</v>
      </c>
      <c r="L684" s="1">
        <v>2.0045895389888098</v>
      </c>
      <c r="M684" s="1">
        <v>0.10523379322558173</v>
      </c>
      <c r="N684" s="1">
        <v>1.4638995330226778</v>
      </c>
      <c r="O684" s="1">
        <v>9.4932571428571394E-2</v>
      </c>
      <c r="P684" s="1">
        <v>8.1388062550756368E-2</v>
      </c>
      <c r="Q684" s="1">
        <v>2.622258963208723</v>
      </c>
      <c r="R684" s="2">
        <f t="shared" si="43"/>
        <v>252.10844984251932</v>
      </c>
      <c r="S684" s="2">
        <f t="shared" si="42"/>
        <v>2.3697015920189859</v>
      </c>
      <c r="T684" s="2">
        <f t="shared" si="44"/>
        <v>3.6686554366656412</v>
      </c>
      <c r="U684" s="2">
        <f t="shared" si="45"/>
        <v>258.14680687120398</v>
      </c>
    </row>
    <row r="685" spans="1:21" x14ac:dyDescent="0.25">
      <c r="A685">
        <v>2398473</v>
      </c>
      <c r="B685">
        <v>58</v>
      </c>
      <c r="C685" s="1">
        <f>12.7996565783375*(10.3/7.3)</f>
        <v>18.059789418750189</v>
      </c>
      <c r="D685" s="1">
        <f>14.1968201088227*(10.3/7.3)</f>
        <v>20.03112974258546</v>
      </c>
      <c r="E685" s="1">
        <f>50.9755519649438*(10.3/7.3)</f>
        <v>71.924408936838546</v>
      </c>
      <c r="F685" s="1">
        <f>77.2819884072147*(38.9/42.5)</f>
        <v>70.735749389191824</v>
      </c>
      <c r="G685" s="1">
        <v>1.5727033470246585</v>
      </c>
      <c r="H685" s="1">
        <v>3.9261402611829475</v>
      </c>
      <c r="I685" s="1">
        <v>57.07370039748195</v>
      </c>
      <c r="J685" s="1">
        <v>2.8358501248457867E-2</v>
      </c>
      <c r="K685" s="1">
        <v>2.3728780442439454</v>
      </c>
      <c r="L685" s="1">
        <v>2.1518806470117209</v>
      </c>
      <c r="M685" s="1">
        <v>0.10930933182867561</v>
      </c>
      <c r="N685" s="1">
        <v>1.4924396175094568</v>
      </c>
      <c r="O685" s="1">
        <v>9.7861149425287383E-2</v>
      </c>
      <c r="P685" s="1">
        <v>8.3264242693601137E-2</v>
      </c>
      <c r="Q685" s="1">
        <v>2.5134528377106444</v>
      </c>
      <c r="R685" s="2">
        <f t="shared" si="43"/>
        <v>245.83707433076623</v>
      </c>
      <c r="S685" s="2">
        <f t="shared" si="42"/>
        <v>2.4845007881860042</v>
      </c>
      <c r="T685" s="2">
        <f t="shared" si="44"/>
        <v>3.8514907457751404</v>
      </c>
      <c r="U685" s="2">
        <f t="shared" si="45"/>
        <v>252.17306586472739</v>
      </c>
    </row>
    <row r="686" spans="1:21" x14ac:dyDescent="0.25">
      <c r="A686">
        <v>2398481</v>
      </c>
      <c r="B686">
        <v>69</v>
      </c>
      <c r="C686" s="1">
        <f>10.7123756218666*(10.3/7.3)</f>
        <v>15.114721767839182</v>
      </c>
      <c r="D686" s="1">
        <f>12.0138983747257*(10.3/7.3)</f>
        <v>16.951116884887007</v>
      </c>
      <c r="E686" s="1">
        <f>43.1133788145981*(10.3/7.3)</f>
        <v>60.831205724706969</v>
      </c>
      <c r="F686" s="1">
        <f>65.3680201412645*(38.9/42.5)</f>
        <v>59.830964317533827</v>
      </c>
      <c r="G686" s="1">
        <v>1.3392119141185945</v>
      </c>
      <c r="H686" s="1">
        <v>3.3457178145124709</v>
      </c>
      <c r="I686" s="1">
        <v>48.007739952625165</v>
      </c>
      <c r="J686" s="1">
        <v>2.3896370655108086E-2</v>
      </c>
      <c r="K686" s="1">
        <v>2.0620827866791367</v>
      </c>
      <c r="L686" s="1">
        <v>1.7994500469492918</v>
      </c>
      <c r="M686" s="1">
        <v>9.3769121066137398E-2</v>
      </c>
      <c r="N686" s="1">
        <v>1.2424624602189878</v>
      </c>
      <c r="O686" s="1">
        <v>8.547478260869569E-2</v>
      </c>
      <c r="P686" s="1">
        <v>7.4424542205073399E-2</v>
      </c>
      <c r="Q686" s="1">
        <v>2.1402930134315468</v>
      </c>
      <c r="R686" s="2">
        <f t="shared" si="43"/>
        <v>207.56097138965481</v>
      </c>
      <c r="S686" s="2">
        <f t="shared" si="42"/>
        <v>2.1604036995393181</v>
      </c>
      <c r="T686" s="2">
        <f t="shared" si="44"/>
        <v>3.2211564108431125</v>
      </c>
      <c r="U686" s="2">
        <f t="shared" si="45"/>
        <v>212.94253150003726</v>
      </c>
    </row>
    <row r="687" spans="1:21" x14ac:dyDescent="0.25">
      <c r="A687">
        <v>2398489</v>
      </c>
      <c r="B687">
        <v>21</v>
      </c>
      <c r="C687" s="1">
        <f>15.2223335289506*(10.3/7.3)</f>
        <v>21.478087033998847</v>
      </c>
      <c r="D687" s="1">
        <f>16.7441965220174*(10.3/7.3)</f>
        <v>23.62537317490122</v>
      </c>
      <c r="E687" s="1">
        <f>60.1360525469881*(10.3/7.3)</f>
        <v>84.849498799175038</v>
      </c>
      <c r="F687" s="1">
        <f>91.7474495976085*(38.9/42.5)</f>
        <v>83.975900925811032</v>
      </c>
      <c r="G687" s="1">
        <v>1.8947264731555056</v>
      </c>
      <c r="H687" s="1">
        <v>3.6227902500523705</v>
      </c>
      <c r="I687" s="1">
        <v>68.132066453513673</v>
      </c>
      <c r="J687" s="1">
        <v>3.1717341913241999E-2</v>
      </c>
      <c r="K687" s="1">
        <v>2.653917402386222</v>
      </c>
      <c r="L687" s="1">
        <v>2.4616909768936832</v>
      </c>
      <c r="M687" s="1">
        <v>0.11706872772411113</v>
      </c>
      <c r="N687" s="1">
        <v>1.6328668841248126</v>
      </c>
      <c r="O687" s="1">
        <v>0.10740825396825396</v>
      </c>
      <c r="P687" s="1">
        <v>8.9129577919213623E-2</v>
      </c>
      <c r="Q687" s="1">
        <v>3.0281016694266096</v>
      </c>
      <c r="R687" s="2">
        <f t="shared" si="43"/>
        <v>290.60654478003431</v>
      </c>
      <c r="S687" s="2">
        <f t="shared" si="42"/>
        <v>2.7747643222186777</v>
      </c>
      <c r="T687" s="2">
        <f t="shared" si="44"/>
        <v>4.3190348427108605</v>
      </c>
      <c r="U687" s="2">
        <f t="shared" si="45"/>
        <v>297.70034394496383</v>
      </c>
    </row>
    <row r="688" spans="1:21" x14ac:dyDescent="0.25">
      <c r="A688">
        <v>2410125</v>
      </c>
      <c r="B688">
        <v>10</v>
      </c>
      <c r="C688" s="1">
        <f>2.99097232288656*(10.3/7.3)</f>
        <v>4.2201390309221294</v>
      </c>
      <c r="D688" s="1">
        <f>3.05202949840775*(10.3/7.3)</f>
        <v>4.30628819638354</v>
      </c>
      <c r="E688" s="1">
        <f>10.8927615979506*(10.3/7.3)</f>
        <v>15.369238966971375</v>
      </c>
      <c r="F688" s="1">
        <f>22.2190871804583*(38.9/42.5)</f>
        <v>20.336999795760661</v>
      </c>
      <c r="G688" s="1">
        <v>0.79783445209922743</v>
      </c>
      <c r="H688" s="1">
        <v>4.7554580546692495</v>
      </c>
      <c r="I688" s="1">
        <v>17.855233252680215</v>
      </c>
      <c r="J688" s="1">
        <v>3.5323822638091487E-2</v>
      </c>
      <c r="K688" s="1">
        <v>3.0406858803226675</v>
      </c>
      <c r="L688" s="1">
        <v>5.1967874640529086</v>
      </c>
      <c r="M688" s="1">
        <v>0.10354601994671878</v>
      </c>
      <c r="N688" s="1">
        <v>1.3352835276538717</v>
      </c>
      <c r="O688" s="1">
        <v>0.21310933333333332</v>
      </c>
      <c r="P688" s="1">
        <v>0.13916605201064108</v>
      </c>
      <c r="Q688" s="1">
        <v>1.2750778914827847</v>
      </c>
      <c r="R688" s="2">
        <f t="shared" si="43"/>
        <v>68.916269640969176</v>
      </c>
      <c r="S688" s="2">
        <f t="shared" si="42"/>
        <v>3.2151757549714</v>
      </c>
      <c r="T688" s="2">
        <f t="shared" si="44"/>
        <v>6.848726344986833</v>
      </c>
      <c r="U688" s="2">
        <f t="shared" si="45"/>
        <v>78.980171740927403</v>
      </c>
    </row>
    <row r="689" spans="1:21" x14ac:dyDescent="0.25">
      <c r="A689">
        <v>2410133</v>
      </c>
      <c r="B689">
        <v>56</v>
      </c>
      <c r="C689" s="1">
        <f>2.55596654636447*(10.3/7.3)</f>
        <v>3.6063637571991789</v>
      </c>
      <c r="D689" s="1">
        <f>2.67693016562249*(10.3/7.3)</f>
        <v>3.7770384528646108</v>
      </c>
      <c r="E689" s="1">
        <f>9.51917934739228*(10.3/7.3)</f>
        <v>13.431170860019247</v>
      </c>
      <c r="F689" s="1">
        <f>20.4989429443785*(38.9/42.5)</f>
        <v>18.762561894972297</v>
      </c>
      <c r="G689" s="1">
        <v>0.79286937870247798</v>
      </c>
      <c r="H689" s="1">
        <v>3.7171285808862691</v>
      </c>
      <c r="I689" s="1">
        <v>16.424627729658148</v>
      </c>
      <c r="J689" s="1">
        <v>2.6073880916141563E-2</v>
      </c>
      <c r="K689" s="1">
        <v>2.8411270746812902</v>
      </c>
      <c r="L689" s="1">
        <v>4.4057206904510684</v>
      </c>
      <c r="M689" s="1">
        <v>9.6907585364088208E-2</v>
      </c>
      <c r="N689" s="1">
        <v>1.2501714188163562</v>
      </c>
      <c r="O689" s="1">
        <v>0.18695904761904761</v>
      </c>
      <c r="P689" s="1">
        <v>0.13112791485077044</v>
      </c>
      <c r="Q689" s="1">
        <v>1.2671428426751938</v>
      </c>
      <c r="R689" s="2">
        <f t="shared" si="43"/>
        <v>61.778903496977421</v>
      </c>
      <c r="S689" s="2">
        <f t="shared" si="42"/>
        <v>2.9983288704482023</v>
      </c>
      <c r="T689" s="2">
        <f t="shared" si="44"/>
        <v>5.93975874225056</v>
      </c>
      <c r="U689" s="2">
        <f t="shared" si="45"/>
        <v>70.716991109676187</v>
      </c>
    </row>
    <row r="690" spans="1:21" x14ac:dyDescent="0.25">
      <c r="A690">
        <v>2410141</v>
      </c>
      <c r="B690">
        <v>60</v>
      </c>
      <c r="C690" s="1">
        <f>3.46783382673031*(10.3/7.3)</f>
        <v>4.8929710157975563</v>
      </c>
      <c r="D690" s="1">
        <f>3.73589409831125*(10.3/7.3)</f>
        <v>5.2711930428227243</v>
      </c>
      <c r="E690" s="1">
        <f>13.2829998384017*(10.3/7.3)</f>
        <v>18.741766895279174</v>
      </c>
      <c r="F690" s="1">
        <f>27.6996065332522*(38.9/42.5)</f>
        <v>25.35328692102377</v>
      </c>
      <c r="G690" s="1">
        <v>1.0375796331120326</v>
      </c>
      <c r="H690" s="1">
        <v>4.1664423240156845</v>
      </c>
      <c r="I690" s="1">
        <v>21.883664831065154</v>
      </c>
      <c r="J690" s="1">
        <v>3.3645635552111613E-2</v>
      </c>
      <c r="K690" s="1">
        <v>3.5602185615486479</v>
      </c>
      <c r="L690" s="1">
        <v>5.837691370056409</v>
      </c>
      <c r="M690" s="1">
        <v>0.13101708772971513</v>
      </c>
      <c r="N690" s="1">
        <v>1.4163248681275076</v>
      </c>
      <c r="O690" s="1">
        <v>0.27083466666666667</v>
      </c>
      <c r="P690" s="1">
        <v>0.16074889036307727</v>
      </c>
      <c r="Q690" s="1">
        <v>1.6582322903616977</v>
      </c>
      <c r="R690" s="2">
        <f t="shared" si="43"/>
        <v>83.005136953477788</v>
      </c>
      <c r="S690" s="2">
        <f t="shared" si="42"/>
        <v>3.754613087463837</v>
      </c>
      <c r="T690" s="2">
        <f t="shared" si="44"/>
        <v>7.6558679925802986</v>
      </c>
      <c r="U690" s="2">
        <f t="shared" si="45"/>
        <v>94.415618033521923</v>
      </c>
    </row>
    <row r="691" spans="1:21" x14ac:dyDescent="0.25">
      <c r="A691">
        <v>2410429</v>
      </c>
      <c r="B691">
        <v>34</v>
      </c>
      <c r="C691" s="1">
        <f>13.3535528342721*(10.3/7.3)</f>
        <v>18.841314273014007</v>
      </c>
      <c r="D691" s="1">
        <f>12.4480042433349*(10.3/7.3)</f>
        <v>17.563622425527292</v>
      </c>
      <c r="E691" s="1">
        <f>44.800906091741*(10.3/7.3)</f>
        <v>63.212237362319463</v>
      </c>
      <c r="F691" s="1">
        <f>84.1273940060576*(38.9/42.5)</f>
        <v>77.00130886672099</v>
      </c>
      <c r="G691" s="1">
        <v>2.589216271373354</v>
      </c>
      <c r="H691" s="1">
        <v>4.804283357691606</v>
      </c>
      <c r="I691" s="1">
        <v>69.50230559837442</v>
      </c>
      <c r="J691" s="1">
        <v>3.8542267727919521E-2</v>
      </c>
      <c r="K691" s="1">
        <v>3.0078122922687034</v>
      </c>
      <c r="L691" s="1">
        <v>3.5945495597443746</v>
      </c>
      <c r="M691" s="1">
        <v>0.22611963006181868</v>
      </c>
      <c r="N691" s="1">
        <v>1.918997055330794</v>
      </c>
      <c r="O691" s="1">
        <v>0.19611607843137258</v>
      </c>
      <c r="P691" s="1">
        <v>0.13426149137577825</v>
      </c>
      <c r="Q691" s="1">
        <v>4.138016872057876</v>
      </c>
      <c r="R691" s="2">
        <f t="shared" si="43"/>
        <v>257.65230502707902</v>
      </c>
      <c r="S691" s="2">
        <f t="shared" si="42"/>
        <v>3.1806160513724011</v>
      </c>
      <c r="T691" s="2">
        <f t="shared" si="44"/>
        <v>5.9357823235683602</v>
      </c>
      <c r="U691" s="2">
        <f t="shared" si="45"/>
        <v>266.76870340201975</v>
      </c>
    </row>
    <row r="692" spans="1:21" x14ac:dyDescent="0.25">
      <c r="A692">
        <v>2410437</v>
      </c>
      <c r="B692">
        <v>17</v>
      </c>
      <c r="C692" s="1">
        <f>9.84999067054646*(10.3/7.3)</f>
        <v>13.897932042003907</v>
      </c>
      <c r="D692" s="1">
        <f>9.16662818302518*(10.3/7.3)</f>
        <v>12.933735655501277</v>
      </c>
      <c r="E692" s="1">
        <f>32.9952588466452*(10.3/7.3)</f>
        <v>46.554954263074805</v>
      </c>
      <c r="F692" s="1">
        <f>61.915131825594*(38.9/42.5)</f>
        <v>56.670555953308416</v>
      </c>
      <c r="G692" s="1">
        <v>1.9020868460018225</v>
      </c>
      <c r="H692" s="1">
        <v>3.9406228276211017</v>
      </c>
      <c r="I692" s="1">
        <v>51.18514986314991</v>
      </c>
      <c r="J692" s="1">
        <v>2.7643224477172611E-2</v>
      </c>
      <c r="K692" s="1">
        <v>2.2993884065393133</v>
      </c>
      <c r="L692" s="1">
        <v>2.4794138379585049</v>
      </c>
      <c r="M692" s="1">
        <v>0.1620212883066037</v>
      </c>
      <c r="N692" s="1">
        <v>1.2408074409233871</v>
      </c>
      <c r="O692" s="1">
        <v>0.14791843137254901</v>
      </c>
      <c r="P692" s="1">
        <v>0.10822495003324298</v>
      </c>
      <c r="Q692" s="1">
        <v>3.0398648223773446</v>
      </c>
      <c r="R692" s="2">
        <f t="shared" si="43"/>
        <v>190.1249022730386</v>
      </c>
      <c r="S692" s="2">
        <f t="shared" si="42"/>
        <v>2.4352565810497291</v>
      </c>
      <c r="T692" s="2">
        <f t="shared" si="44"/>
        <v>4.0301609985610449</v>
      </c>
      <c r="U692" s="2">
        <f t="shared" si="45"/>
        <v>196.5903198526494</v>
      </c>
    </row>
    <row r="693" spans="1:21" x14ac:dyDescent="0.25">
      <c r="A693">
        <v>2410445</v>
      </c>
      <c r="B693">
        <v>15</v>
      </c>
      <c r="C693" s="1">
        <f>7.06543112410399*(10.3/7.3)</f>
        <v>9.9690329559275526</v>
      </c>
      <c r="D693" s="1">
        <f>6.85376687692643*(10.3/7.3)</f>
        <v>9.6703834016907209</v>
      </c>
      <c r="E693" s="1">
        <f>24.5519019421627*(10.3/7.3)</f>
        <v>34.641724658119962</v>
      </c>
      <c r="F693" s="1">
        <f>49.0117086330891*(38.9/42.5)</f>
        <v>44.860128607697987</v>
      </c>
      <c r="G693" s="1">
        <v>1.6834576249595716</v>
      </c>
      <c r="H693" s="1">
        <v>3.5269955155013886</v>
      </c>
      <c r="I693" s="1">
        <v>40.065664654905035</v>
      </c>
      <c r="J693" s="1">
        <v>2.3459259172407952E-2</v>
      </c>
      <c r="K693" s="1">
        <v>2.0133179608076071</v>
      </c>
      <c r="L693" s="1">
        <v>2.0544256292532541</v>
      </c>
      <c r="M693" s="1">
        <v>0.14395136389316621</v>
      </c>
      <c r="N693" s="1">
        <v>1.0992251970364448</v>
      </c>
      <c r="O693" s="1">
        <v>0.12487466666666666</v>
      </c>
      <c r="P693" s="1">
        <v>9.8386584457340734E-2</v>
      </c>
      <c r="Q693" s="1">
        <v>2.6904573914879029</v>
      </c>
      <c r="R693" s="2">
        <f t="shared" si="43"/>
        <v>147.10784481029012</v>
      </c>
      <c r="S693" s="2">
        <f t="shared" si="42"/>
        <v>2.1351638044373558</v>
      </c>
      <c r="T693" s="2">
        <f t="shared" si="44"/>
        <v>3.4224768568495318</v>
      </c>
      <c r="U693" s="2">
        <f t="shared" si="45"/>
        <v>152.665485471577</v>
      </c>
    </row>
    <row r="694" spans="1:21" x14ac:dyDescent="0.25">
      <c r="A694">
        <v>2410453</v>
      </c>
      <c r="B694">
        <v>43</v>
      </c>
      <c r="C694" s="1">
        <f>10.0336189943703*(10.3/7.3)</f>
        <v>14.157024060549929</v>
      </c>
      <c r="D694" s="1">
        <f>10.2405085119333*(10.3/7.3)</f>
        <v>14.448936667522343</v>
      </c>
      <c r="E694" s="1">
        <f>36.6660413646037*(10.3/7.3)</f>
        <v>51.734277541838061</v>
      </c>
      <c r="F694" s="1">
        <f>68.8391405838337*(38.9/42.5)</f>
        <v>63.0080604402619</v>
      </c>
      <c r="G694" s="1">
        <v>2.1860969952766989</v>
      </c>
      <c r="H694" s="1">
        <v>3.5130649431760492</v>
      </c>
      <c r="I694" s="1">
        <v>54.749148816337652</v>
      </c>
      <c r="J694" s="1">
        <v>2.9519672501496765E-2</v>
      </c>
      <c r="K694" s="1">
        <v>2.3849037801323263</v>
      </c>
      <c r="L694" s="1">
        <v>2.5311017118537107</v>
      </c>
      <c r="M694" s="1">
        <v>0.18982949042842176</v>
      </c>
      <c r="N694" s="1">
        <v>1.3680132118453328</v>
      </c>
      <c r="O694" s="1">
        <v>0.14819472868217048</v>
      </c>
      <c r="P694" s="1">
        <v>0.11037859479779559</v>
      </c>
      <c r="Q694" s="1">
        <v>3.4937623212184707</v>
      </c>
      <c r="R694" s="2">
        <f t="shared" si="43"/>
        <v>207.29037178618111</v>
      </c>
      <c r="S694" s="2">
        <f t="shared" si="42"/>
        <v>2.5248020474316188</v>
      </c>
      <c r="T694" s="2">
        <f t="shared" si="44"/>
        <v>4.2371391428096361</v>
      </c>
      <c r="U694" s="2">
        <f t="shared" si="45"/>
        <v>214.05231297642237</v>
      </c>
    </row>
    <row r="695" spans="1:21" x14ac:dyDescent="0.25">
      <c r="A695">
        <v>2410461</v>
      </c>
      <c r="B695">
        <v>19</v>
      </c>
      <c r="C695" s="1">
        <f>15.0365638416359*(10.3/7.3)</f>
        <v>21.215973639568428</v>
      </c>
      <c r="D695" s="1">
        <f>14.3665818667332*(10.3/7.3)</f>
        <v>20.270656606486593</v>
      </c>
      <c r="E695" s="1">
        <f>51.7788038187065*(10.3/7.3)</f>
        <v>73.057764292147496</v>
      </c>
      <c r="F695" s="1">
        <f>89.7872653329495*(38.9/42.5)</f>
        <v>82.181755798864344</v>
      </c>
      <c r="G695" s="1">
        <v>2.3948230840725069</v>
      </c>
      <c r="H695" s="1">
        <v>4.2231489995689779</v>
      </c>
      <c r="I695" s="1">
        <v>72.794402801980283</v>
      </c>
      <c r="J695" s="1">
        <v>3.4189502610530241E-2</v>
      </c>
      <c r="K695" s="1">
        <v>2.6314991872853213</v>
      </c>
      <c r="L695" s="1">
        <v>2.88188178666991</v>
      </c>
      <c r="M695" s="1">
        <v>0.23285938361844147</v>
      </c>
      <c r="N695" s="1">
        <v>1.707877684843353</v>
      </c>
      <c r="O695" s="1">
        <v>0.16292210526315784</v>
      </c>
      <c r="P695" s="1">
        <v>0.11761857681670485</v>
      </c>
      <c r="Q695" s="1">
        <v>3.8273428284263846</v>
      </c>
      <c r="R695" s="2">
        <f t="shared" si="43"/>
        <v>279.96586805111497</v>
      </c>
      <c r="S695" s="2">
        <f t="shared" si="42"/>
        <v>2.7833072667125562</v>
      </c>
      <c r="T695" s="2">
        <f t="shared" si="44"/>
        <v>4.9855409603948626</v>
      </c>
      <c r="U695" s="2">
        <f t="shared" si="45"/>
        <v>287.73471627822238</v>
      </c>
    </row>
    <row r="696" spans="1:21" x14ac:dyDescent="0.25">
      <c r="A696">
        <v>2410693</v>
      </c>
      <c r="B696">
        <v>23</v>
      </c>
      <c r="C696" s="1">
        <f>13.0333201097399*(10.3/7.3)</f>
        <v>18.389479058948066</v>
      </c>
      <c r="D696" s="1">
        <f>13.3970259949869*(10.3/7.3)</f>
        <v>18.902653116214342</v>
      </c>
      <c r="E696" s="1">
        <f>48.2678722979692*(10.3/7.3)</f>
        <v>68.103984201244273</v>
      </c>
      <c r="F696" s="1">
        <f>74.5823950063425*(38.9/42.5)</f>
        <v>68.264827429334645</v>
      </c>
      <c r="G696" s="1">
        <v>1.5382362547570294</v>
      </c>
      <c r="H696" s="1">
        <v>4.2607815241782578</v>
      </c>
      <c r="I696" s="1">
        <v>57.452242864804383</v>
      </c>
      <c r="J696" s="1">
        <v>2.716130071131442E-2</v>
      </c>
      <c r="K696" s="1">
        <v>2.2161981998204481</v>
      </c>
      <c r="L696" s="1">
        <v>1.9537152550312438</v>
      </c>
      <c r="M696" s="1">
        <v>0.10351978486295056</v>
      </c>
      <c r="N696" s="1">
        <v>1.4563713840042893</v>
      </c>
      <c r="O696" s="1">
        <v>9.2816231884057951E-2</v>
      </c>
      <c r="P696" s="1">
        <v>8.0471790383952038E-2</v>
      </c>
      <c r="Q696" s="1">
        <v>2.4583684436756199</v>
      </c>
      <c r="R696" s="2">
        <f t="shared" si="43"/>
        <v>239.37057289315666</v>
      </c>
      <c r="S696" s="2">
        <f t="shared" si="42"/>
        <v>2.3238312909157148</v>
      </c>
      <c r="T696" s="2">
        <f t="shared" si="44"/>
        <v>3.6064226557825414</v>
      </c>
      <c r="U696" s="2">
        <f t="shared" si="45"/>
        <v>245.30082683985492</v>
      </c>
    </row>
    <row r="697" spans="1:21" x14ac:dyDescent="0.25">
      <c r="A697">
        <v>2410701</v>
      </c>
      <c r="B697">
        <v>54</v>
      </c>
      <c r="C697" s="1">
        <f>13.0644138082775*(10.3/7.3)</f>
        <v>18.43335098976144</v>
      </c>
      <c r="D697" s="1">
        <f>14.0626030106703*(10.3/7.3)</f>
        <v>19.841754932863534</v>
      </c>
      <c r="E697" s="1">
        <f>50.5630475378002*(10.3/7.3)</f>
        <v>71.342382142375698</v>
      </c>
      <c r="F697" s="1">
        <f>77.0684692888173*(38.9/42.5)</f>
        <v>70.540316596117506</v>
      </c>
      <c r="G697" s="1">
        <v>1.5667048335583205</v>
      </c>
      <c r="H697" s="1">
        <v>2.8818096463454035</v>
      </c>
      <c r="I697" s="1">
        <v>57.849694508855833</v>
      </c>
      <c r="J697" s="1">
        <v>2.7217480455745739E-2</v>
      </c>
      <c r="K697" s="1">
        <v>2.2806365371388626</v>
      </c>
      <c r="L697" s="1">
        <v>2.0332695017666262</v>
      </c>
      <c r="M697" s="1">
        <v>0.10647417799199095</v>
      </c>
      <c r="N697" s="1">
        <v>1.4328382293251201</v>
      </c>
      <c r="O697" s="1">
        <v>9.6004938271604903E-2</v>
      </c>
      <c r="P697" s="1">
        <v>8.189907360542692E-2</v>
      </c>
      <c r="Q697" s="1">
        <v>2.5038661723534821</v>
      </c>
      <c r="R697" s="2">
        <f t="shared" si="43"/>
        <v>244.95987982223122</v>
      </c>
      <c r="S697" s="2">
        <f t="shared" si="42"/>
        <v>2.3897530912000353</v>
      </c>
      <c r="T697" s="2">
        <f t="shared" si="44"/>
        <v>3.6685868473553422</v>
      </c>
      <c r="U697" s="2">
        <f t="shared" si="45"/>
        <v>251.01821976078659</v>
      </c>
    </row>
    <row r="698" spans="1:21" x14ac:dyDescent="0.25">
      <c r="A698">
        <v>2410709</v>
      </c>
      <c r="B698">
        <v>44</v>
      </c>
      <c r="C698" s="1">
        <f>10.3124990440148*(10.3/7.3)</f>
        <v>14.550512349774307</v>
      </c>
      <c r="D698" s="1">
        <f>11.3984000337392*(10.3/7.3)</f>
        <v>16.082674020207417</v>
      </c>
      <c r="E698" s="1">
        <f>40.9357224309154*(10.3/7.3)</f>
        <v>57.758622060058663</v>
      </c>
      <c r="F698" s="1">
        <f>62.0086504923974*(38.9/42.5)</f>
        <v>56.756153038923756</v>
      </c>
      <c r="G698" s="1">
        <v>1.2559677561102935</v>
      </c>
      <c r="H698" s="1">
        <v>4.0539358457690389</v>
      </c>
      <c r="I698" s="1">
        <v>45.866523541354098</v>
      </c>
      <c r="J698" s="1">
        <v>2.5457679560125769E-2</v>
      </c>
      <c r="K698" s="1">
        <v>2.1739289239320505</v>
      </c>
      <c r="L698" s="1">
        <v>1.9166559166691164</v>
      </c>
      <c r="M698" s="1">
        <v>9.8743603327452245E-2</v>
      </c>
      <c r="N698" s="1">
        <v>1.3758786952337534</v>
      </c>
      <c r="O698" s="1">
        <v>8.9360000000000023E-2</v>
      </c>
      <c r="P698" s="1">
        <v>7.7972407702610116E-2</v>
      </c>
      <c r="Q698" s="1">
        <v>2.0072544047424801</v>
      </c>
      <c r="R698" s="2">
        <f t="shared" si="43"/>
        <v>198.33164301694003</v>
      </c>
      <c r="S698" s="2">
        <f t="shared" si="42"/>
        <v>2.2773590111947866</v>
      </c>
      <c r="T698" s="2">
        <f t="shared" si="44"/>
        <v>3.4806382152303224</v>
      </c>
      <c r="U698" s="2">
        <f t="shared" si="45"/>
        <v>204.08964024336515</v>
      </c>
    </row>
    <row r="699" spans="1:21" x14ac:dyDescent="0.25">
      <c r="A699">
        <v>2410717</v>
      </c>
      <c r="B699">
        <v>48</v>
      </c>
      <c r="C699" s="1">
        <f>13.1543337154849*(10.3/7.3)</f>
        <v>18.56022428349241</v>
      </c>
      <c r="D699" s="1">
        <f>14.4117126451337*(10.3/7.3)</f>
        <v>20.334334280120192</v>
      </c>
      <c r="E699" s="1">
        <f>51.7722591156825*(10.3/7.3)</f>
        <v>73.048529985141002</v>
      </c>
      <c r="F699" s="1">
        <f>78.854279236921*(38.9/42.5)</f>
        <v>72.174857936852391</v>
      </c>
      <c r="G699" s="1">
        <v>1.6162641681315961</v>
      </c>
      <c r="H699" s="1">
        <v>3.2152611374550837</v>
      </c>
      <c r="I699" s="1">
        <v>58.655011087477611</v>
      </c>
      <c r="J699" s="1">
        <v>2.72088368925366E-2</v>
      </c>
      <c r="K699" s="1">
        <v>2.3068342122123342</v>
      </c>
      <c r="L699" s="1">
        <v>2.0798015365947147</v>
      </c>
      <c r="M699" s="1">
        <v>0.10451164925125662</v>
      </c>
      <c r="N699" s="1">
        <v>1.4036162112557975</v>
      </c>
      <c r="O699" s="1">
        <v>9.5034444444444463E-2</v>
      </c>
      <c r="P699" s="1">
        <v>8.0679195815738139E-2</v>
      </c>
      <c r="Q699" s="1">
        <v>2.5830705883381704</v>
      </c>
      <c r="R699" s="2">
        <f t="shared" si="43"/>
        <v>250.18755346700848</v>
      </c>
      <c r="S699" s="2">
        <f t="shared" si="42"/>
        <v>2.4147222449206089</v>
      </c>
      <c r="T699" s="2">
        <f t="shared" si="44"/>
        <v>3.6829638415462136</v>
      </c>
      <c r="U699" s="2">
        <f t="shared" si="45"/>
        <v>256.28523955347532</v>
      </c>
    </row>
    <row r="700" spans="1:21" x14ac:dyDescent="0.25">
      <c r="A700">
        <v>2422361</v>
      </c>
      <c r="B700">
        <v>25</v>
      </c>
      <c r="C700" s="1">
        <f>2.29854201682913*(10.3/7.3)</f>
        <v>3.2431483251150679</v>
      </c>
      <c r="D700" s="1">
        <f>2.36753320863121*(10.3/7.3)</f>
        <v>3.3404920614933475</v>
      </c>
      <c r="E700" s="1">
        <f>8.41962879464711*(10.3/7.3)</f>
        <v>11.879750217104824</v>
      </c>
      <c r="F700" s="1">
        <f>18.4796889307293*(38.9/42.5)</f>
        <v>16.914350574243979</v>
      </c>
      <c r="G700" s="1">
        <v>0.72781162767595697</v>
      </c>
      <c r="H700" s="1">
        <v>4.544977725711437</v>
      </c>
      <c r="I700" s="1">
        <v>14.925779139540721</v>
      </c>
      <c r="J700" s="1">
        <v>2.5656107197645148E-2</v>
      </c>
      <c r="K700" s="1">
        <v>2.7159227121908232</v>
      </c>
      <c r="L700" s="1">
        <v>4.0507913767632839</v>
      </c>
      <c r="M700" s="1">
        <v>8.9836262259154087E-2</v>
      </c>
      <c r="N700" s="1">
        <v>1.3041844271134448</v>
      </c>
      <c r="O700" s="1">
        <v>0.16666239999999999</v>
      </c>
      <c r="P700" s="1">
        <v>0.12249181826572884</v>
      </c>
      <c r="Q700" s="1">
        <v>1.1631692679752745</v>
      </c>
      <c r="R700" s="2">
        <f t="shared" si="43"/>
        <v>56.739478938860614</v>
      </c>
      <c r="S700" s="2">
        <f t="shared" si="42"/>
        <v>2.8640706376541969</v>
      </c>
      <c r="T700" s="2">
        <f t="shared" si="44"/>
        <v>5.6114744661358831</v>
      </c>
      <c r="U700" s="2">
        <f t="shared" si="45"/>
        <v>65.215024042650697</v>
      </c>
    </row>
    <row r="701" spans="1:21" x14ac:dyDescent="0.25">
      <c r="A701">
        <v>2422369</v>
      </c>
      <c r="B701">
        <v>49</v>
      </c>
      <c r="C701" s="1">
        <f>3.03064299968057*(10.3/7.3)</f>
        <v>4.2761127255766986</v>
      </c>
      <c r="D701" s="1">
        <f>3.27862473140657*(10.3/7.3)</f>
        <v>4.6260047580120078</v>
      </c>
      <c r="E701" s="1">
        <f>11.6513089032329*(10.3/7.3)</f>
        <v>16.439518041547746</v>
      </c>
      <c r="F701" s="1">
        <f>24.4654318989421*(38.9/42.5)</f>
        <v>22.393065902796376</v>
      </c>
      <c r="G701" s="1">
        <v>0.92518456937691784</v>
      </c>
      <c r="H701" s="1">
        <v>4.7715953780395175</v>
      </c>
      <c r="I701" s="1">
        <v>19.318120291041907</v>
      </c>
      <c r="J701" s="1">
        <v>3.1485784222490924E-2</v>
      </c>
      <c r="K701" s="1">
        <v>3.2989693576163162</v>
      </c>
      <c r="L701" s="1">
        <v>5.3241496314977894</v>
      </c>
      <c r="M701" s="1">
        <v>0.11688683732516082</v>
      </c>
      <c r="N701" s="1">
        <v>1.41215963279602</v>
      </c>
      <c r="O701" s="1">
        <v>0.23580843537414961</v>
      </c>
      <c r="P701" s="1">
        <v>0.15009871846832609</v>
      </c>
      <c r="Q701" s="1">
        <v>1.478605476173158</v>
      </c>
      <c r="R701" s="2">
        <f t="shared" si="43"/>
        <v>74.22820714256433</v>
      </c>
      <c r="S701" s="2">
        <f t="shared" si="42"/>
        <v>3.4805538603071331</v>
      </c>
      <c r="T701" s="2">
        <f t="shared" si="44"/>
        <v>7.0890045369931203</v>
      </c>
      <c r="U701" s="2">
        <f t="shared" si="45"/>
        <v>84.797765539864585</v>
      </c>
    </row>
    <row r="702" spans="1:21" x14ac:dyDescent="0.25">
      <c r="A702">
        <v>2422377</v>
      </c>
      <c r="B702">
        <v>6</v>
      </c>
      <c r="C702" s="1">
        <f>3.07965863185911*(10.3/7.3)</f>
        <v>4.3452717682395701</v>
      </c>
      <c r="D702" s="1">
        <f>3.34858679628191*(10.3/7.3)</f>
        <v>4.7247183563977693</v>
      </c>
      <c r="E702" s="1">
        <f>11.9007428518715*(10.3/7.3)</f>
        <v>16.791459092366708</v>
      </c>
      <c r="F702" s="1">
        <f>24.7907701359496*(38.9/42.5)</f>
        <v>22.690846077375056</v>
      </c>
      <c r="G702" s="1">
        <v>0.92946030927234646</v>
      </c>
      <c r="H702" s="1">
        <v>3.5641022188829292</v>
      </c>
      <c r="I702" s="1">
        <v>19.518339218930731</v>
      </c>
      <c r="J702" s="1">
        <v>3.1425167025959246E-2</v>
      </c>
      <c r="K702" s="1">
        <v>3.370489441789696</v>
      </c>
      <c r="L702" s="1">
        <v>5.4152311956337789</v>
      </c>
      <c r="M702" s="1">
        <v>0.12525295705138031</v>
      </c>
      <c r="N702" s="1">
        <v>1.3268617091726724</v>
      </c>
      <c r="O702" s="1">
        <v>0.25050666666666666</v>
      </c>
      <c r="P702" s="1">
        <v>0.1540801918292557</v>
      </c>
      <c r="Q702" s="1">
        <v>1.4854388504352585</v>
      </c>
      <c r="R702" s="2">
        <f t="shared" si="43"/>
        <v>74.049635891900365</v>
      </c>
      <c r="S702" s="2">
        <f t="shared" si="42"/>
        <v>3.5559948006449109</v>
      </c>
      <c r="T702" s="2">
        <f t="shared" si="44"/>
        <v>7.117852528524498</v>
      </c>
      <c r="U702" s="2">
        <f t="shared" si="45"/>
        <v>84.72348322106977</v>
      </c>
    </row>
    <row r="703" spans="1:21" x14ac:dyDescent="0.25">
      <c r="A703">
        <v>2422665</v>
      </c>
      <c r="B703">
        <v>15</v>
      </c>
      <c r="C703" s="1">
        <f>13.4800534359573*(10.3/7.3)</f>
        <v>19.019801423336993</v>
      </c>
      <c r="D703" s="1">
        <f>12.7159411245583*(10.3/7.3)</f>
        <v>17.94167035382883</v>
      </c>
      <c r="E703" s="1">
        <f>45.7666327407598*(10.3/7.3)</f>
        <v>64.574837976688457</v>
      </c>
      <c r="F703" s="1">
        <f>84.2503883667449*(38.9/42.5)</f>
        <v>77.113884881561788</v>
      </c>
      <c r="G703" s="1">
        <v>2.5147072981975227</v>
      </c>
      <c r="H703" s="1">
        <v>3.804635170615652</v>
      </c>
      <c r="I703" s="1">
        <v>69.120824032298273</v>
      </c>
      <c r="J703" s="1">
        <v>3.8962794180281951E-2</v>
      </c>
      <c r="K703" s="1">
        <v>3.0435112502811417</v>
      </c>
      <c r="L703" s="1">
        <v>3.6422638268236178</v>
      </c>
      <c r="M703" s="1">
        <v>0.23288067748557115</v>
      </c>
      <c r="N703" s="1">
        <v>1.7320142323061671</v>
      </c>
      <c r="O703" s="1">
        <v>0.19780266666666663</v>
      </c>
      <c r="P703" s="1">
        <v>0.13526432167990354</v>
      </c>
      <c r="Q703" s="1">
        <v>4.0189386044252684</v>
      </c>
      <c r="R703" s="2">
        <f t="shared" si="43"/>
        <v>258.10929974095279</v>
      </c>
      <c r="S703" s="2">
        <f t="shared" si="42"/>
        <v>3.2177383661413272</v>
      </c>
      <c r="T703" s="2">
        <f t="shared" si="44"/>
        <v>5.8049614032820225</v>
      </c>
      <c r="U703" s="2">
        <f t="shared" si="45"/>
        <v>267.13199951037615</v>
      </c>
    </row>
    <row r="704" spans="1:21" x14ac:dyDescent="0.25">
      <c r="A704">
        <v>2422673</v>
      </c>
      <c r="B704">
        <v>43</v>
      </c>
      <c r="C704" s="1">
        <f>8.11477874578853*(10.3/7.3)</f>
        <v>11.449619326249566</v>
      </c>
      <c r="D704" s="1">
        <f>7.65756111030699*(10.3/7.3)</f>
        <v>10.804504032350961</v>
      </c>
      <c r="E704" s="1">
        <f>27.5312099577235*(10.3/7.3)</f>
        <v>38.845405830760598</v>
      </c>
      <c r="F704" s="1">
        <f>52.137757922031*(38.9/42.5)</f>
        <v>47.721383133341348</v>
      </c>
      <c r="G704" s="1">
        <v>1.6351499491784975</v>
      </c>
      <c r="H704" s="1">
        <v>2.8604414037301451</v>
      </c>
      <c r="I704" s="1">
        <v>42.883669395462881</v>
      </c>
      <c r="J704" s="1">
        <v>2.5770456604944324E-2</v>
      </c>
      <c r="K704" s="1">
        <v>2.1919154603026714</v>
      </c>
      <c r="L704" s="1">
        <v>2.276903524335451</v>
      </c>
      <c r="M704" s="1">
        <v>0.15049394177295444</v>
      </c>
      <c r="N704" s="1">
        <v>1.1935749014243591</v>
      </c>
      <c r="O704" s="1">
        <v>0.13803038759689923</v>
      </c>
      <c r="P704" s="1">
        <v>0.10534806793520418</v>
      </c>
      <c r="Q704" s="1">
        <v>2.6132533434359568</v>
      </c>
      <c r="R704" s="2">
        <f t="shared" si="43"/>
        <v>158.81342641450996</v>
      </c>
      <c r="S704" s="2">
        <f t="shared" si="42"/>
        <v>2.3230339848428199</v>
      </c>
      <c r="T704" s="2">
        <f t="shared" si="44"/>
        <v>3.7590027551296634</v>
      </c>
      <c r="U704" s="2">
        <f t="shared" si="45"/>
        <v>164.89546315448246</v>
      </c>
    </row>
    <row r="705" spans="1:21" x14ac:dyDescent="0.25">
      <c r="A705">
        <v>2422681</v>
      </c>
      <c r="B705">
        <v>49</v>
      </c>
      <c r="C705" s="1">
        <f>10.713236761502*(10.3/7.3)</f>
        <v>15.115936800475492</v>
      </c>
      <c r="D705" s="1">
        <f>10.6598229654335*(10.3/7.3)</f>
        <v>15.04057212931029</v>
      </c>
      <c r="E705" s="1">
        <f>38.2237210757711*(10.3/7.3)</f>
        <v>53.932099600060631</v>
      </c>
      <c r="F705" s="1">
        <f>71.6322448022534*(38.9/42.5)</f>
        <v>65.564572301356606</v>
      </c>
      <c r="G705" s="1">
        <v>2.2486173042068049</v>
      </c>
      <c r="H705" s="1">
        <v>3.3731050457619305</v>
      </c>
      <c r="I705" s="1">
        <v>57.559225379194409</v>
      </c>
      <c r="J705" s="1">
        <v>3.1471409287313415E-2</v>
      </c>
      <c r="K705" s="1">
        <v>2.5227147054594936</v>
      </c>
      <c r="L705" s="1">
        <v>2.7653839655807242</v>
      </c>
      <c r="M705" s="1">
        <v>0.19855764645105714</v>
      </c>
      <c r="N705" s="1">
        <v>1.435561363255573</v>
      </c>
      <c r="O705" s="1">
        <v>0.15862530612244899</v>
      </c>
      <c r="P705" s="1">
        <v>0.11568513248841157</v>
      </c>
      <c r="Q705" s="1">
        <v>3.5936806231615646</v>
      </c>
      <c r="R705" s="2">
        <f t="shared" si="43"/>
        <v>216.42780918352773</v>
      </c>
      <c r="S705" s="2">
        <f t="shared" si="42"/>
        <v>2.6698712472352186</v>
      </c>
      <c r="T705" s="2">
        <f t="shared" si="44"/>
        <v>4.5581282814098039</v>
      </c>
      <c r="U705" s="2">
        <f t="shared" si="45"/>
        <v>223.65580871217276</v>
      </c>
    </row>
    <row r="706" spans="1:21" x14ac:dyDescent="0.25">
      <c r="A706">
        <v>2422689</v>
      </c>
      <c r="B706">
        <v>23</v>
      </c>
      <c r="C706" s="1">
        <f>19.9585756072434*(10.3/7.3)</f>
        <v>28.160729966384551</v>
      </c>
      <c r="D706" s="1">
        <f>17.9701202119101*(10.3/7.3)</f>
        <v>25.355101120914188</v>
      </c>
      <c r="E706" s="1">
        <f>65.0200499326425*(10.3/7.3)</f>
        <v>91.740618398112034</v>
      </c>
      <c r="F706" s="1">
        <f>111.588825627826*(38.9/42.5)</f>
        <v>102.13659569229289</v>
      </c>
      <c r="G706" s="1">
        <v>2.8275482462950521</v>
      </c>
      <c r="H706" s="1">
        <v>3.9881113690524335</v>
      </c>
      <c r="I706" s="1">
        <v>92.93518148185845</v>
      </c>
      <c r="J706" s="1">
        <v>3.8208020475432744E-2</v>
      </c>
      <c r="K706" s="1">
        <v>2.8827775645371712</v>
      </c>
      <c r="L706" s="1">
        <v>3.2966146057290446</v>
      </c>
      <c r="M706" s="1">
        <v>0.25473858945239547</v>
      </c>
      <c r="N706" s="1">
        <v>1.759439091600159</v>
      </c>
      <c r="O706" s="1">
        <v>0.17946434782608686</v>
      </c>
      <c r="P706" s="1">
        <v>0.12607830783792193</v>
      </c>
      <c r="Q706" s="1">
        <v>4.5189127223893575</v>
      </c>
      <c r="R706" s="2">
        <f t="shared" si="43"/>
        <v>351.66279899729898</v>
      </c>
      <c r="S706" s="2">
        <f t="shared" si="42"/>
        <v>3.047063892850526</v>
      </c>
      <c r="T706" s="2">
        <f t="shared" si="44"/>
        <v>5.4902566346076851</v>
      </c>
      <c r="U706" s="2">
        <f t="shared" si="45"/>
        <v>360.20011952475721</v>
      </c>
    </row>
    <row r="707" spans="1:21" x14ac:dyDescent="0.25">
      <c r="A707">
        <v>2422929</v>
      </c>
      <c r="B707">
        <v>66</v>
      </c>
      <c r="C707" s="1">
        <f>16.0429525874388*(10.3/7.3)</f>
        <v>22.635946801454779</v>
      </c>
      <c r="D707" s="1">
        <f>16.567717345843*(10.3/7.3)</f>
        <v>23.376368309888054</v>
      </c>
      <c r="E707" s="1">
        <f>59.7011903420591*(10.3/7.3)</f>
        <v>84.235926099069673</v>
      </c>
      <c r="F707" s="1">
        <f>91.0092482405391*(38.9/42.5)</f>
        <v>83.300229566046411</v>
      </c>
      <c r="G707" s="1">
        <v>1.8039368383030969</v>
      </c>
      <c r="H707" s="1">
        <v>3.6526294036388562</v>
      </c>
      <c r="I707" s="1">
        <v>69.779201909307758</v>
      </c>
      <c r="J707" s="1">
        <v>2.9549542383336687E-2</v>
      </c>
      <c r="K707" s="1">
        <v>2.4047228593871508</v>
      </c>
      <c r="L707" s="1">
        <v>2.1857731711808452</v>
      </c>
      <c r="M707" s="1">
        <v>0.11373923771171816</v>
      </c>
      <c r="N707" s="1">
        <v>1.5213008296080071</v>
      </c>
      <c r="O707" s="1">
        <v>0.10155555555555555</v>
      </c>
      <c r="P707" s="1">
        <v>8.5356459865219406E-2</v>
      </c>
      <c r="Q707" s="1">
        <v>2.8830040794798388</v>
      </c>
      <c r="R707" s="2">
        <f t="shared" si="43"/>
        <v>291.66724300718852</v>
      </c>
      <c r="S707" s="2">
        <f t="shared" si="42"/>
        <v>2.5196288616357068</v>
      </c>
      <c r="T707" s="2">
        <f t="shared" si="44"/>
        <v>3.9223687940561263</v>
      </c>
      <c r="U707" s="2">
        <f t="shared" si="45"/>
        <v>298.10924066288032</v>
      </c>
    </row>
    <row r="708" spans="1:21" x14ac:dyDescent="0.25">
      <c r="A708">
        <v>2422937</v>
      </c>
      <c r="B708">
        <v>52</v>
      </c>
      <c r="C708" s="1">
        <f>13.7912367820591*(10.3/7.3)</f>
        <v>19.458868336329978</v>
      </c>
      <c r="D708" s="1">
        <f>14.8192969295136*(10.3/7.3)</f>
        <v>20.909418955341103</v>
      </c>
      <c r="E708" s="1">
        <f>53.3020168722001*(10.3/7.3)</f>
        <v>75.206955312830289</v>
      </c>
      <c r="F708" s="1">
        <f>80.5719597275337*(38.9/42.5)</f>
        <v>73.747040785907316</v>
      </c>
      <c r="G708" s="1">
        <v>1.5934949436237906</v>
      </c>
      <c r="H708" s="1">
        <v>3.3552488933763889</v>
      </c>
      <c r="I708" s="1">
        <v>60.434190658215194</v>
      </c>
      <c r="J708" s="1">
        <v>2.8821308720327749E-2</v>
      </c>
      <c r="K708" s="1">
        <v>2.3955402330201845</v>
      </c>
      <c r="L708" s="1">
        <v>2.176349755272688</v>
      </c>
      <c r="M708" s="1">
        <v>0.11116257791352378</v>
      </c>
      <c r="N708" s="1">
        <v>1.5232784834739475</v>
      </c>
      <c r="O708" s="1">
        <v>9.9874871794871783E-2</v>
      </c>
      <c r="P708" s="1">
        <v>8.48392017439933E-2</v>
      </c>
      <c r="Q708" s="1">
        <v>2.5466814167503529</v>
      </c>
      <c r="R708" s="2">
        <f t="shared" si="43"/>
        <v>257.25189930237445</v>
      </c>
      <c r="S708" s="2">
        <f t="shared" si="42"/>
        <v>2.5092007434845054</v>
      </c>
      <c r="T708" s="2">
        <f t="shared" si="44"/>
        <v>3.910665688455031</v>
      </c>
      <c r="U708" s="2">
        <f t="shared" si="45"/>
        <v>263.67176573431396</v>
      </c>
    </row>
    <row r="709" spans="1:21" x14ac:dyDescent="0.25">
      <c r="A709">
        <v>2422945</v>
      </c>
      <c r="B709">
        <v>66</v>
      </c>
      <c r="C709" s="1">
        <f>13.7314721216142*(10.3/7.3)</f>
        <v>19.374542856524204</v>
      </c>
      <c r="D709" s="1">
        <f>14.9763383321154*(10.3/7.3)</f>
        <v>21.130997920655997</v>
      </c>
      <c r="E709" s="1">
        <f>53.8327545428256*(10.3/7.3)</f>
        <v>75.95580435494567</v>
      </c>
      <c r="F709" s="1">
        <f>81.0069740123049*(38.9/42.5)</f>
        <v>74.14520680185079</v>
      </c>
      <c r="G709" s="1">
        <v>1.593372142187772</v>
      </c>
      <c r="H709" s="1">
        <v>3.7850690035996881</v>
      </c>
      <c r="I709" s="1">
        <v>60.243515422209718</v>
      </c>
      <c r="J709" s="1">
        <v>2.9125864917275035E-2</v>
      </c>
      <c r="K709" s="1">
        <v>2.4452085516022657</v>
      </c>
      <c r="L709" s="1">
        <v>2.2330602263780399</v>
      </c>
      <c r="M709" s="1">
        <v>0.11163018534217768</v>
      </c>
      <c r="N709" s="1">
        <v>1.5293550457811018</v>
      </c>
      <c r="O709" s="1">
        <v>0.10062626262626261</v>
      </c>
      <c r="P709" s="1">
        <v>8.5093900057992916E-2</v>
      </c>
      <c r="Q709" s="1">
        <v>2.5464851587475827</v>
      </c>
      <c r="R709" s="2">
        <f t="shared" si="43"/>
        <v>258.77499366072146</v>
      </c>
      <c r="S709" s="2">
        <f t="shared" si="42"/>
        <v>2.559428316577534</v>
      </c>
      <c r="T709" s="2">
        <f t="shared" si="44"/>
        <v>3.9746717201275819</v>
      </c>
      <c r="U709" s="2">
        <f t="shared" si="45"/>
        <v>265.30909369742653</v>
      </c>
    </row>
    <row r="710" spans="1:21" x14ac:dyDescent="0.25">
      <c r="A710">
        <v>2422953</v>
      </c>
      <c r="B710">
        <v>2</v>
      </c>
      <c r="C710" s="1">
        <f>14.9478915078144*(10.3/7.3)</f>
        <v>21.09086062061489</v>
      </c>
      <c r="D710" s="1">
        <f>16.0564812567609*(10.3/7.3)</f>
        <v>22.655035197895472</v>
      </c>
      <c r="E710" s="1">
        <f>57.7231957625073*(10.3/7.3)</f>
        <v>81.445057034770599</v>
      </c>
      <c r="F710" s="1">
        <f>88.7440716303475*(38.9/42.5)</f>
        <v>81.226926739306265</v>
      </c>
      <c r="G710" s="1">
        <v>1.8503012582809313</v>
      </c>
      <c r="H710" s="1">
        <v>3.8427943876115149</v>
      </c>
      <c r="I710" s="1">
        <v>66.795933450528423</v>
      </c>
      <c r="J710" s="1">
        <v>2.9855181635788451E-2</v>
      </c>
      <c r="K710" s="1">
        <v>2.5237882603620241</v>
      </c>
      <c r="L710" s="1">
        <v>2.3383614988822679</v>
      </c>
      <c r="M710" s="1">
        <v>0.11346723182092906</v>
      </c>
      <c r="N710" s="1">
        <v>1.5896085289787734</v>
      </c>
      <c r="O710" s="1">
        <v>0.10552</v>
      </c>
      <c r="P710" s="1">
        <v>8.7000440918100524E-2</v>
      </c>
      <c r="Q710" s="1">
        <v>2.9571024675722679</v>
      </c>
      <c r="R710" s="2">
        <f t="shared" si="43"/>
        <v>281.86401115658037</v>
      </c>
      <c r="S710" s="2">
        <f t="shared" si="42"/>
        <v>2.6406438829159131</v>
      </c>
      <c r="T710" s="2">
        <f t="shared" si="44"/>
        <v>4.1469572596819706</v>
      </c>
      <c r="U710" s="2">
        <f t="shared" si="45"/>
        <v>288.65161229917828</v>
      </c>
    </row>
    <row r="711" spans="1:21" x14ac:dyDescent="0.25">
      <c r="A711">
        <v>2434597</v>
      </c>
      <c r="B711">
        <v>41</v>
      </c>
      <c r="C711" s="1">
        <f>2.14826943246775*(10.3/7.3)</f>
        <v>3.0311198841668237</v>
      </c>
      <c r="D711" s="1">
        <f>2.31826918080423*(10.3/7.3)</f>
        <v>3.2709825427785684</v>
      </c>
      <c r="E711" s="1">
        <f>8.24019617032842*(10.3/7.3)</f>
        <v>11.626578158134622</v>
      </c>
      <c r="F711" s="1">
        <f>17.2695524102729*(38.9/42.5)</f>
        <v>15.806719735520334</v>
      </c>
      <c r="G711" s="1">
        <v>0.65114682769017962</v>
      </c>
      <c r="H711" s="1">
        <v>4.4022051005275005</v>
      </c>
      <c r="I711" s="1">
        <v>13.644606010737888</v>
      </c>
      <c r="J711" s="1">
        <v>2.4802871367010728E-2</v>
      </c>
      <c r="K711" s="1">
        <v>2.7415225757241766</v>
      </c>
      <c r="L711" s="1">
        <v>4.0239168429337235</v>
      </c>
      <c r="M711" s="1">
        <v>9.2229716507304105E-2</v>
      </c>
      <c r="N711" s="1">
        <v>1.2953448134022088</v>
      </c>
      <c r="O711" s="1">
        <v>0.16733268292682929</v>
      </c>
      <c r="P711" s="1">
        <v>0.12437220784965637</v>
      </c>
      <c r="Q711" s="1">
        <v>1.0406456150299688</v>
      </c>
      <c r="R711" s="2">
        <f t="shared" si="43"/>
        <v>53.474003874585883</v>
      </c>
      <c r="S711" s="2">
        <f t="shared" si="42"/>
        <v>2.8906976549408436</v>
      </c>
      <c r="T711" s="2">
        <f t="shared" si="44"/>
        <v>5.578824055770065</v>
      </c>
      <c r="U711" s="2">
        <f t="shared" si="45"/>
        <v>61.94352558529679</v>
      </c>
    </row>
    <row r="712" spans="1:21" x14ac:dyDescent="0.25">
      <c r="A712">
        <v>2434605</v>
      </c>
      <c r="B712">
        <v>45</v>
      </c>
      <c r="C712" s="1">
        <f>2.96382209805888*(10.3/7.3)</f>
        <v>4.1818311794529421</v>
      </c>
      <c r="D712" s="1">
        <f>3.43334255508984*(10.3/7.3)</f>
        <v>4.8443052489623728</v>
      </c>
      <c r="E712" s="1">
        <f>12.1028774847347*(10.3/7.3)</f>
        <v>17.076662752433844</v>
      </c>
      <c r="F712" s="1">
        <f>28.2709629208172*(38.9/42.5)</f>
        <v>25.876246061642135</v>
      </c>
      <c r="G712" s="1">
        <v>1.2160784774456559</v>
      </c>
      <c r="H712" s="1">
        <v>6.289328693244137</v>
      </c>
      <c r="I712" s="1">
        <v>22.160760266896673</v>
      </c>
      <c r="J712" s="1">
        <v>3.3411552144838402E-2</v>
      </c>
      <c r="K712" s="1">
        <v>3.2916255525168303</v>
      </c>
      <c r="L712" s="1">
        <v>5.3071592089429807</v>
      </c>
      <c r="M712" s="1">
        <v>0.11798812812763909</v>
      </c>
      <c r="N712" s="1">
        <v>1.3440288055002503</v>
      </c>
      <c r="O712" s="1">
        <v>0.24357451851851858</v>
      </c>
      <c r="P712" s="1">
        <v>0.15031850889265153</v>
      </c>
      <c r="Q712" s="1">
        <v>1.9435044160090411</v>
      </c>
      <c r="R712" s="2">
        <f t="shared" si="43"/>
        <v>83.588717096086796</v>
      </c>
      <c r="S712" s="2">
        <f t="shared" si="42"/>
        <v>3.4753556135543202</v>
      </c>
      <c r="T712" s="2">
        <f t="shared" si="44"/>
        <v>7.0127506610893882</v>
      </c>
      <c r="U712" s="2">
        <f t="shared" si="45"/>
        <v>94.076823370730494</v>
      </c>
    </row>
    <row r="713" spans="1:21" x14ac:dyDescent="0.25">
      <c r="A713">
        <v>2434893</v>
      </c>
      <c r="B713">
        <v>10</v>
      </c>
      <c r="C713" s="1">
        <f>12.4697198861352*(10.3/7.3)</f>
        <v>17.59426230509488</v>
      </c>
      <c r="D713" s="1">
        <f>11.8035140912003*(10.3/7.3)</f>
        <v>16.654273306762057</v>
      </c>
      <c r="E713" s="1">
        <f>42.4453626658634*(10.3/7.3)</f>
        <v>59.888662391560672</v>
      </c>
      <c r="F713" s="1">
        <f>79.579766775542*(38.9/42.5)</f>
        <v>72.838892413378446</v>
      </c>
      <c r="G713" s="1">
        <v>2.4564103802310031</v>
      </c>
      <c r="H713" s="1">
        <v>3.0533419951495757</v>
      </c>
      <c r="I713" s="1">
        <v>65.307101175463629</v>
      </c>
      <c r="J713" s="1">
        <v>3.7352922674793308E-2</v>
      </c>
      <c r="K713" s="1">
        <v>2.9475872533276779</v>
      </c>
      <c r="L713" s="1">
        <v>3.4862874109035937</v>
      </c>
      <c r="M713" s="1">
        <v>0.22281257063371437</v>
      </c>
      <c r="N713" s="1">
        <v>1.7233783562943479</v>
      </c>
      <c r="O713" s="1">
        <v>0.19084266666666666</v>
      </c>
      <c r="P713" s="1">
        <v>0.13210446775587137</v>
      </c>
      <c r="Q713" s="1">
        <v>3.9257700140678162</v>
      </c>
      <c r="R713" s="2">
        <f t="shared" si="43"/>
        <v>241.71871398170808</v>
      </c>
      <c r="S713" s="2">
        <f t="shared" ref="S713:S776" si="46">J713+K713+P713</f>
        <v>3.1170446437583426</v>
      </c>
      <c r="T713" s="2">
        <f t="shared" si="44"/>
        <v>5.6233210044983224</v>
      </c>
      <c r="U713" s="2">
        <f t="shared" si="45"/>
        <v>250.45907962996472</v>
      </c>
    </row>
    <row r="714" spans="1:21" x14ac:dyDescent="0.25">
      <c r="A714">
        <v>2434901</v>
      </c>
      <c r="B714">
        <v>9</v>
      </c>
      <c r="C714" s="1">
        <f>9.78027658829082*(10.3/7.3)</f>
        <v>13.799568336903485</v>
      </c>
      <c r="D714" s="1">
        <f>9.3000335774554*(10.3/7.3)</f>
        <v>13.12196518462885</v>
      </c>
      <c r="E714" s="1">
        <f>33.4445769554176*(10.3/7.3)</f>
        <v>47.188923649424872</v>
      </c>
      <c r="F714" s="1">
        <f>62.1686404529348*(38.9/42.5)</f>
        <v>56.902590908686193</v>
      </c>
      <c r="G714" s="1">
        <v>1.8937557094032147</v>
      </c>
      <c r="H714" s="1">
        <v>2.9702531367025986</v>
      </c>
      <c r="I714" s="1">
        <v>50.876758786629011</v>
      </c>
      <c r="J714" s="1">
        <v>2.7789212873107243E-2</v>
      </c>
      <c r="K714" s="1">
        <v>2.3201195489861401</v>
      </c>
      <c r="L714" s="1">
        <v>2.5105399939483211</v>
      </c>
      <c r="M714" s="1">
        <v>0.16353757160656129</v>
      </c>
      <c r="N714" s="1">
        <v>1.2450818339722458</v>
      </c>
      <c r="O714" s="1">
        <v>0.15042962962962966</v>
      </c>
      <c r="P714" s="1">
        <v>0.10887065463019706</v>
      </c>
      <c r="Q714" s="1">
        <v>3.0265502205074237</v>
      </c>
      <c r="R714" s="2">
        <f t="shared" ref="R714:R777" si="47">C714+D714+E714+F714+G714+H714+I714+Q714</f>
        <v>189.78036593288567</v>
      </c>
      <c r="S714" s="2">
        <f t="shared" si="46"/>
        <v>2.4567794164894448</v>
      </c>
      <c r="T714" s="2">
        <f t="shared" ref="T714:T777" si="48">L714+M714+N714+O714</f>
        <v>4.0695890291567576</v>
      </c>
      <c r="U714" s="2">
        <f t="shared" ref="U714:U777" si="49">R714+S714+T714</f>
        <v>196.30673437853187</v>
      </c>
    </row>
    <row r="715" spans="1:21" x14ac:dyDescent="0.25">
      <c r="A715">
        <v>2434909</v>
      </c>
      <c r="B715">
        <v>12</v>
      </c>
      <c r="C715" s="1">
        <f>7.52970660685403*(10.3/7.3)</f>
        <v>10.624106582273502</v>
      </c>
      <c r="D715" s="1">
        <f>7.36681656353524*(10.3/7.3)</f>
        <v>10.394275425262048</v>
      </c>
      <c r="E715" s="1">
        <f>26.424771237892*(10.3/7.3)</f>
        <v>37.284266267162685</v>
      </c>
      <c r="F715" s="1">
        <f>50.3338866504621*(38.9/42.5)</f>
        <v>46.070310369481817</v>
      </c>
      <c r="G715" s="1">
        <v>1.6137159132818324</v>
      </c>
      <c r="H715" s="1">
        <v>2.6535379805771675</v>
      </c>
      <c r="I715" s="1">
        <v>40.804600525652404</v>
      </c>
      <c r="J715" s="1">
        <v>2.4466312864121126E-2</v>
      </c>
      <c r="K715" s="1">
        <v>2.0767204794302772</v>
      </c>
      <c r="L715" s="1">
        <v>2.1659083193910118</v>
      </c>
      <c r="M715" s="1">
        <v>0.15240256922950543</v>
      </c>
      <c r="N715" s="1">
        <v>1.1329328135931855</v>
      </c>
      <c r="O715" s="1">
        <v>0.1299288888888889</v>
      </c>
      <c r="P715" s="1">
        <v>0.10010312326718834</v>
      </c>
      <c r="Q715" s="1">
        <v>2.5789980349253065</v>
      </c>
      <c r="R715" s="2">
        <f t="shared" si="47"/>
        <v>152.02381109861679</v>
      </c>
      <c r="S715" s="2">
        <f t="shared" si="46"/>
        <v>2.2012899155615866</v>
      </c>
      <c r="T715" s="2">
        <f t="shared" si="48"/>
        <v>3.5811725911025913</v>
      </c>
      <c r="U715" s="2">
        <f t="shared" si="49"/>
        <v>157.80627360528095</v>
      </c>
    </row>
    <row r="716" spans="1:21" x14ac:dyDescent="0.25">
      <c r="A716">
        <v>2434917</v>
      </c>
      <c r="B716">
        <v>35</v>
      </c>
      <c r="C716" s="1">
        <f>12.1105744740941*(10.3/7.3)</f>
        <v>17.087522888105347</v>
      </c>
      <c r="D716" s="1">
        <f>12.2166403180194*(10.3/7.3)</f>
        <v>17.237177435013695</v>
      </c>
      <c r="E716" s="1">
        <f>43.81726545981*(10.3/7.3)</f>
        <v>61.82436085425249</v>
      </c>
      <c r="F716" s="1">
        <f>79.8700318641892*(38.9/42.5)</f>
        <v>73.104570341575538</v>
      </c>
      <c r="G716" s="1">
        <v>2.4012914362325088</v>
      </c>
      <c r="H716" s="1">
        <v>3.2353756643549394</v>
      </c>
      <c r="I716" s="1">
        <v>63.59027085909473</v>
      </c>
      <c r="J716" s="1">
        <v>3.4502338390694005E-2</v>
      </c>
      <c r="K716" s="1">
        <v>2.7054745949705015</v>
      </c>
      <c r="L716" s="1">
        <v>3.0169890511459205</v>
      </c>
      <c r="M716" s="1">
        <v>0.22323393806283129</v>
      </c>
      <c r="N716" s="1">
        <v>1.6327147759265241</v>
      </c>
      <c r="O716" s="1">
        <v>0.16945676190476192</v>
      </c>
      <c r="P716" s="1">
        <v>0.1217676958232792</v>
      </c>
      <c r="Q716" s="1">
        <v>3.8376803775405417</v>
      </c>
      <c r="R716" s="2">
        <f t="shared" si="47"/>
        <v>242.31824985616981</v>
      </c>
      <c r="S716" s="2">
        <f t="shared" si="46"/>
        <v>2.8617446291844746</v>
      </c>
      <c r="T716" s="2">
        <f t="shared" si="48"/>
        <v>5.0423945270400381</v>
      </c>
      <c r="U716" s="2">
        <f t="shared" si="49"/>
        <v>250.22238901239433</v>
      </c>
    </row>
    <row r="717" spans="1:21" x14ac:dyDescent="0.25">
      <c r="A717">
        <v>2434957</v>
      </c>
      <c r="B717">
        <v>11</v>
      </c>
      <c r="C717" s="1">
        <f>11.3085906443829*(10.3/7.3)</f>
        <v>15.955956662622485</v>
      </c>
      <c r="D717" s="1">
        <f>12.5969622998513*(10.3/7.3)</f>
        <v>17.773796121708013</v>
      </c>
      <c r="E717" s="1">
        <f>45.0567437947502*(10.3/7.3)</f>
        <v>63.573213847387308</v>
      </c>
      <c r="F717" s="1">
        <f>76.5324428721263*(38.9/42.5)</f>
        <v>70.049694770016728</v>
      </c>
      <c r="G717" s="1">
        <v>2.0841554593262162</v>
      </c>
      <c r="H717" s="1">
        <v>3.5832591881494169</v>
      </c>
      <c r="I717" s="1">
        <v>57.718968904358007</v>
      </c>
      <c r="J717" s="1">
        <v>3.2546144309457119E-2</v>
      </c>
      <c r="K717" s="1">
        <v>2.3429662673812364</v>
      </c>
      <c r="L717" s="1">
        <v>2.3833389132613445</v>
      </c>
      <c r="M717" s="1">
        <v>0.38713053040902456</v>
      </c>
      <c r="N717" s="1">
        <v>1.5645837145070487</v>
      </c>
      <c r="O717" s="1">
        <v>0.13745454545454544</v>
      </c>
      <c r="P717" s="1">
        <v>0.10381880248119679</v>
      </c>
      <c r="Q717" s="1">
        <v>3.3308420582839116</v>
      </c>
      <c r="R717" s="2">
        <f t="shared" si="47"/>
        <v>234.06988701185207</v>
      </c>
      <c r="S717" s="2">
        <f t="shared" si="46"/>
        <v>2.4793312141718902</v>
      </c>
      <c r="T717" s="2">
        <f t="shared" si="48"/>
        <v>4.4725077036319636</v>
      </c>
      <c r="U717" s="2">
        <f t="shared" si="49"/>
        <v>241.02172592965593</v>
      </c>
    </row>
    <row r="718" spans="1:21" x14ac:dyDescent="0.25">
      <c r="A718">
        <v>2435157</v>
      </c>
      <c r="B718">
        <v>16</v>
      </c>
      <c r="C718" s="1">
        <f>15.7897808143597*(10.3/7.3)</f>
        <v>22.27873183395954</v>
      </c>
      <c r="D718" s="1">
        <f>15.7269517237922*(10.3/7.3)</f>
        <v>22.190082569186327</v>
      </c>
      <c r="E718" s="1">
        <f>56.7771001458681*(10.3/7.3)</f>
        <v>80.110155000334416</v>
      </c>
      <c r="F718" s="1">
        <f>86.9182049477512*(38.9/42.5)</f>
        <v>79.55572170511816</v>
      </c>
      <c r="G718" s="1">
        <v>1.7059895625785333</v>
      </c>
      <c r="H718" s="1">
        <v>4.0036946071627311</v>
      </c>
      <c r="I718" s="1">
        <v>67.948489698192404</v>
      </c>
      <c r="J718" s="1">
        <v>2.980638479258043E-2</v>
      </c>
      <c r="K718" s="1">
        <v>2.4021353209358765</v>
      </c>
      <c r="L718" s="1">
        <v>2.1655445316869995</v>
      </c>
      <c r="M718" s="1">
        <v>0.11387307968403117</v>
      </c>
      <c r="N718" s="1">
        <v>1.5462972673242332</v>
      </c>
      <c r="O718" s="1">
        <v>0.10100999999999997</v>
      </c>
      <c r="P718" s="1">
        <v>8.5366098749709879E-2</v>
      </c>
      <c r="Q718" s="1">
        <v>2.72646733745428</v>
      </c>
      <c r="R718" s="2">
        <f t="shared" si="47"/>
        <v>280.51933231398641</v>
      </c>
      <c r="S718" s="2">
        <f t="shared" si="46"/>
        <v>2.5173078044781665</v>
      </c>
      <c r="T718" s="2">
        <f t="shared" si="48"/>
        <v>3.9267248786952638</v>
      </c>
      <c r="U718" s="2">
        <f t="shared" si="49"/>
        <v>286.96336499715983</v>
      </c>
    </row>
    <row r="719" spans="1:21" x14ac:dyDescent="0.25">
      <c r="A719">
        <v>2435165</v>
      </c>
      <c r="B719">
        <v>60</v>
      </c>
      <c r="C719" s="1">
        <f>15.1226088470478*(10.3/7.3)</f>
        <v>21.337379606108534</v>
      </c>
      <c r="D719" s="1">
        <f>15.7427616183196*(10.3/7.3)</f>
        <v>22.212389680642691</v>
      </c>
      <c r="E719" s="1">
        <f>56.7130187250934*(10.3/7.3)</f>
        <v>80.019738749104377</v>
      </c>
      <c r="F719" s="1">
        <f>86.0047580424585*(38.9/42.5)</f>
        <v>78.71964912592081</v>
      </c>
      <c r="G719" s="1">
        <v>1.6846736342913882</v>
      </c>
      <c r="H719" s="1">
        <v>3.0540418047335671</v>
      </c>
      <c r="I719" s="1">
        <v>65.61049812493691</v>
      </c>
      <c r="J719" s="1">
        <v>2.8334275969076141E-2</v>
      </c>
      <c r="K719" s="1">
        <v>2.340450161438675</v>
      </c>
      <c r="L719" s="1">
        <v>2.1190444873298691</v>
      </c>
      <c r="M719" s="1">
        <v>0.11006962489515024</v>
      </c>
      <c r="N719" s="1">
        <v>1.4607491171456255</v>
      </c>
      <c r="O719" s="1">
        <v>9.8912888888888856E-2</v>
      </c>
      <c r="P719" s="1">
        <v>8.3790335282026243E-2</v>
      </c>
      <c r="Q719" s="1">
        <v>2.692400785397199</v>
      </c>
      <c r="R719" s="2">
        <f t="shared" si="47"/>
        <v>275.33077151113548</v>
      </c>
      <c r="S719" s="2">
        <f t="shared" si="46"/>
        <v>2.4525747726897773</v>
      </c>
      <c r="T719" s="2">
        <f t="shared" si="48"/>
        <v>3.7887761182595336</v>
      </c>
      <c r="U719" s="2">
        <f t="shared" si="49"/>
        <v>281.5721224020848</v>
      </c>
    </row>
    <row r="720" spans="1:21" x14ac:dyDescent="0.25">
      <c r="A720">
        <v>2435173</v>
      </c>
      <c r="B720">
        <v>55</v>
      </c>
      <c r="C720" s="1">
        <f>19.0442865320256*(10.3/7.3)</f>
        <v>26.870705654775787</v>
      </c>
      <c r="D720" s="1">
        <f>20.3738812984649*(10.3/7.3)</f>
        <v>28.746709229340834</v>
      </c>
      <c r="E720" s="1">
        <f>73.323934818725*(10.3/7.3)</f>
        <v>103.45705871683124</v>
      </c>
      <c r="F720" s="1">
        <f>109.521349643747*(38.9/42.5)</f>
        <v>100.24424708568809</v>
      </c>
      <c r="G720" s="1">
        <v>2.0755328477006043</v>
      </c>
      <c r="H720" s="1">
        <v>5.7619929069424769</v>
      </c>
      <c r="I720" s="1">
        <v>82.141766038525063</v>
      </c>
      <c r="J720" s="1">
        <v>3.5029112849862862E-2</v>
      </c>
      <c r="K720" s="1">
        <v>2.8175434694855204</v>
      </c>
      <c r="L720" s="1">
        <v>2.6982158604106128</v>
      </c>
      <c r="M720" s="1">
        <v>0.13185722779893902</v>
      </c>
      <c r="N720" s="1">
        <v>1.7984833954888795</v>
      </c>
      <c r="O720" s="1">
        <v>0.116032</v>
      </c>
      <c r="P720" s="1">
        <v>9.5082550489949944E-2</v>
      </c>
      <c r="Q720" s="1">
        <v>3.3170616287452619</v>
      </c>
      <c r="R720" s="2">
        <f t="shared" si="47"/>
        <v>352.61507410854938</v>
      </c>
      <c r="S720" s="2">
        <f t="shared" si="46"/>
        <v>2.9476551328253331</v>
      </c>
      <c r="T720" s="2">
        <f t="shared" si="48"/>
        <v>4.7445884836984309</v>
      </c>
      <c r="U720" s="2">
        <f t="shared" si="49"/>
        <v>360.30731772507312</v>
      </c>
    </row>
    <row r="721" spans="1:21" x14ac:dyDescent="0.25">
      <c r="A721">
        <v>2435181</v>
      </c>
      <c r="B721">
        <v>60</v>
      </c>
      <c r="C721" s="1">
        <f>16.1640755397652*(10.3/7.3)</f>
        <v>22.806846309531686</v>
      </c>
      <c r="D721" s="1">
        <f>17.3739477222421*(10.3/7.3)</f>
        <v>24.513926238232052</v>
      </c>
      <c r="E721" s="1">
        <f>62.4916706293237*(10.3/7.3)</f>
        <v>88.17317910712795</v>
      </c>
      <c r="F721" s="1">
        <f>94.3624455196518*(38.9/42.5)</f>
        <v>86.369391310928364</v>
      </c>
      <c r="G721" s="1">
        <v>1.8601008628961615</v>
      </c>
      <c r="H721" s="1">
        <v>3.634189548338798</v>
      </c>
      <c r="I721" s="1">
        <v>70.752745803744531</v>
      </c>
      <c r="J721" s="1">
        <v>3.1893899601006644E-2</v>
      </c>
      <c r="K721" s="1">
        <v>2.6474596180941874</v>
      </c>
      <c r="L721" s="1">
        <v>2.4757543774231663</v>
      </c>
      <c r="M721" s="1">
        <v>0.12040475879321395</v>
      </c>
      <c r="N721" s="1">
        <v>1.6678539186558012</v>
      </c>
      <c r="O721" s="1">
        <v>0.10926755555555559</v>
      </c>
      <c r="P721" s="1">
        <v>8.9932228409657727E-2</v>
      </c>
      <c r="Q721" s="1">
        <v>2.9727639361354212</v>
      </c>
      <c r="R721" s="2">
        <f t="shared" si="47"/>
        <v>301.08314311693499</v>
      </c>
      <c r="S721" s="2">
        <f t="shared" si="46"/>
        <v>2.7692857461048517</v>
      </c>
      <c r="T721" s="2">
        <f t="shared" si="48"/>
        <v>4.3732806104277371</v>
      </c>
      <c r="U721" s="2">
        <f t="shared" si="49"/>
        <v>308.22570947346759</v>
      </c>
    </row>
    <row r="722" spans="1:21" x14ac:dyDescent="0.25">
      <c r="A722">
        <v>2446745</v>
      </c>
      <c r="B722">
        <v>1</v>
      </c>
      <c r="C722" s="1">
        <f>0.94673962467559*(10.3/7.3)</f>
        <v>1.3358107033093949</v>
      </c>
      <c r="D722" s="1">
        <f>1.30048127234018*(10.3/7.3)</f>
        <v>1.8349256308361459</v>
      </c>
      <c r="E722" s="1">
        <f>4.56720744899367*(10.3/7.3)</f>
        <v>6.4441420170732568</v>
      </c>
      <c r="F722" s="1">
        <f>9.76821979057641*(38.9/42.5)</f>
        <v>8.9407941141981748</v>
      </c>
      <c r="G722" s="1">
        <v>0.3960256273885136</v>
      </c>
      <c r="H722" s="1">
        <v>6.6577084582570123</v>
      </c>
      <c r="I722" s="1">
        <v>7.1583540824395424</v>
      </c>
      <c r="J722" s="1">
        <v>1.6438171355463965E-2</v>
      </c>
      <c r="K722" s="1">
        <v>2.3454303848454572</v>
      </c>
      <c r="L722" s="1">
        <v>3.3427281018223995</v>
      </c>
      <c r="M722" s="1">
        <v>6.8901988022420257E-2</v>
      </c>
      <c r="N722" s="1">
        <v>0.77404935787987539</v>
      </c>
      <c r="O722" s="1">
        <v>0.12410666666666666</v>
      </c>
      <c r="P722" s="1">
        <v>0.10900543605007422</v>
      </c>
      <c r="Q722" s="1">
        <v>0.63291766934237392</v>
      </c>
      <c r="R722" s="2">
        <f t="shared" si="47"/>
        <v>33.400678302844419</v>
      </c>
      <c r="S722" s="2">
        <f t="shared" si="46"/>
        <v>2.4708739922509952</v>
      </c>
      <c r="T722" s="2">
        <f t="shared" si="48"/>
        <v>4.3097861143913621</v>
      </c>
      <c r="U722" s="2">
        <f t="shared" si="49"/>
        <v>40.181338409486777</v>
      </c>
    </row>
    <row r="723" spans="1:21" x14ac:dyDescent="0.25">
      <c r="A723">
        <v>2446753</v>
      </c>
      <c r="B723">
        <v>3</v>
      </c>
      <c r="C723" s="1">
        <f>0.787953957712751*(10.3/7.3)</f>
        <v>1.111770652663197</v>
      </c>
      <c r="D723" s="1">
        <f>1.12817395429067*(10.3/7.3)</f>
        <v>1.5918070861909397</v>
      </c>
      <c r="E723" s="1">
        <f>3.92786368296602*(10.3/7.3)</f>
        <v>5.5420542376095883</v>
      </c>
      <c r="F723" s="1">
        <f>9.79670210068997*(38.9/42.5)</f>
        <v>8.966863805102113</v>
      </c>
      <c r="G723" s="1">
        <v>0.46033106205342356</v>
      </c>
      <c r="H723" s="1">
        <v>2.9077368138660673</v>
      </c>
      <c r="I723" s="1">
        <v>7.3303916535235034</v>
      </c>
      <c r="J723" s="1">
        <v>1.4322227081864404E-2</v>
      </c>
      <c r="K723" s="1">
        <v>2.2041743229488766</v>
      </c>
      <c r="L723" s="1">
        <v>2.9315459567769193</v>
      </c>
      <c r="M723" s="1">
        <v>6.3173631088805596E-2</v>
      </c>
      <c r="N723" s="1">
        <v>0.72860170498384635</v>
      </c>
      <c r="O723" s="1">
        <v>0.11520000000000001</v>
      </c>
      <c r="P723" s="1">
        <v>0.1052739161683325</v>
      </c>
      <c r="Q723" s="1">
        <v>0.73568891195752695</v>
      </c>
      <c r="R723" s="2">
        <f t="shared" si="47"/>
        <v>28.646644222966358</v>
      </c>
      <c r="S723" s="2">
        <f t="shared" si="46"/>
        <v>2.3237704661990737</v>
      </c>
      <c r="T723" s="2">
        <f t="shared" si="48"/>
        <v>3.8385212928495713</v>
      </c>
      <c r="U723" s="2">
        <f t="shared" si="49"/>
        <v>34.808935982015001</v>
      </c>
    </row>
    <row r="724" spans="1:21" x14ac:dyDescent="0.25">
      <c r="A724">
        <v>2446833</v>
      </c>
      <c r="B724">
        <v>17</v>
      </c>
      <c r="C724" s="1">
        <f>2.24071941805907*(10.3/7.3)</f>
        <v>3.161563014521696</v>
      </c>
      <c r="D724" s="1">
        <f>2.48843225491335*(10.3/7.3)</f>
        <v>3.5110756473434885</v>
      </c>
      <c r="E724" s="1">
        <f>8.83534868816673*(10.3/7.3)</f>
        <v>12.46631390248182</v>
      </c>
      <c r="F724" s="1">
        <f>18.3501539334895*(38.9/42.5)</f>
        <v>16.795787953241003</v>
      </c>
      <c r="G724" s="1">
        <v>0.68888401323093507</v>
      </c>
      <c r="H724" s="1">
        <v>5.8882801702397742</v>
      </c>
      <c r="I724" s="1">
        <v>14.333807487818131</v>
      </c>
      <c r="J724" s="1">
        <v>2.6728689267381547E-2</v>
      </c>
      <c r="K724" s="1">
        <v>2.8654893875988998</v>
      </c>
      <c r="L724" s="1">
        <v>4.2331581916095642</v>
      </c>
      <c r="M724" s="1">
        <v>9.6707675015429942E-2</v>
      </c>
      <c r="N724" s="1">
        <v>1.2631793058412655</v>
      </c>
      <c r="O724" s="1">
        <v>0.17992784313725485</v>
      </c>
      <c r="P724" s="1">
        <v>0.13213494671648476</v>
      </c>
      <c r="Q724" s="1">
        <v>1.1009561855288927</v>
      </c>
      <c r="R724" s="2">
        <f t="shared" si="47"/>
        <v>57.946668374405739</v>
      </c>
      <c r="S724" s="2">
        <f t="shared" si="46"/>
        <v>3.0243530235827665</v>
      </c>
      <c r="T724" s="2">
        <f t="shared" si="48"/>
        <v>5.7729730156035135</v>
      </c>
      <c r="U724" s="2">
        <f t="shared" si="49"/>
        <v>66.74399441359202</v>
      </c>
    </row>
    <row r="725" spans="1:21" x14ac:dyDescent="0.25">
      <c r="A725">
        <v>2446841</v>
      </c>
      <c r="B725">
        <v>15</v>
      </c>
      <c r="C725" s="1">
        <f>2.34888610120397*(10.3/7.3)</f>
        <v>3.3141817592329939</v>
      </c>
      <c r="D725" s="1">
        <f>2.72480638783993*(10.3/7.3)</f>
        <v>3.8445898348974406</v>
      </c>
      <c r="E725" s="1">
        <f>9.62937738322796*(10.3/7.3)</f>
        <v>13.58665575989699</v>
      </c>
      <c r="F725" s="1">
        <f>21.2324134190406*(38.9/42.5)</f>
        <v>19.433903105898374</v>
      </c>
      <c r="G725" s="1">
        <v>0.86190026139580878</v>
      </c>
      <c r="H725" s="1">
        <v>6.2962708043173272</v>
      </c>
      <c r="I725" s="1">
        <v>16.493243131146631</v>
      </c>
      <c r="J725" s="1">
        <v>3.1128708523454927E-2</v>
      </c>
      <c r="K725" s="1">
        <v>2.8703264485840045</v>
      </c>
      <c r="L725" s="1">
        <v>4.3779813001755707</v>
      </c>
      <c r="M725" s="1">
        <v>0.10313972485569249</v>
      </c>
      <c r="N725" s="1">
        <v>1.1572029885256543</v>
      </c>
      <c r="O725" s="1">
        <v>0.1978915555555556</v>
      </c>
      <c r="P725" s="1">
        <v>0.13660867045582517</v>
      </c>
      <c r="Q725" s="1">
        <v>1.3774661711805178</v>
      </c>
      <c r="R725" s="2">
        <f t="shared" si="47"/>
        <v>65.20821082796607</v>
      </c>
      <c r="S725" s="2">
        <f t="shared" si="46"/>
        <v>3.0380638275632847</v>
      </c>
      <c r="T725" s="2">
        <f t="shared" si="48"/>
        <v>5.8362155691124729</v>
      </c>
      <c r="U725" s="2">
        <f t="shared" si="49"/>
        <v>74.08249022464183</v>
      </c>
    </row>
    <row r="726" spans="1:21" x14ac:dyDescent="0.25">
      <c r="A726">
        <v>2447129</v>
      </c>
      <c r="B726">
        <v>18</v>
      </c>
      <c r="C726" s="1">
        <f>13.522006839603*(10.3/7.3)</f>
        <v>19.078995951768601</v>
      </c>
      <c r="D726" s="1">
        <f>12.9293114093649*(10.3/7.3)</f>
        <v>18.242727057049059</v>
      </c>
      <c r="E726" s="1">
        <f>46.5025185832871*(10.3/7.3)</f>
        <v>65.613142658610641</v>
      </c>
      <c r="F726" s="1">
        <f>85.3644044940813*(38.9/42.5)</f>
        <v>78.133537289876799</v>
      </c>
      <c r="G726" s="1">
        <v>2.5481356331623735</v>
      </c>
      <c r="H726" s="1">
        <v>3.860373604361369</v>
      </c>
      <c r="I726" s="1">
        <v>69.604765997385442</v>
      </c>
      <c r="J726" s="1">
        <v>3.9211445920454953E-2</v>
      </c>
      <c r="K726" s="1">
        <v>3.0513377043720458</v>
      </c>
      <c r="L726" s="1">
        <v>3.6595276689677831</v>
      </c>
      <c r="M726" s="1">
        <v>0.23207790949009346</v>
      </c>
      <c r="N726" s="1">
        <v>1.732309632680989</v>
      </c>
      <c r="O726" s="1">
        <v>0.1979822222222222</v>
      </c>
      <c r="P726" s="1">
        <v>0.13546399310092752</v>
      </c>
      <c r="Q726" s="1">
        <v>4.0723628840494595</v>
      </c>
      <c r="R726" s="2">
        <f t="shared" si="47"/>
        <v>261.15404107626375</v>
      </c>
      <c r="S726" s="2">
        <f t="shared" si="46"/>
        <v>3.2260131433934283</v>
      </c>
      <c r="T726" s="2">
        <f t="shared" si="48"/>
        <v>5.8218974333610882</v>
      </c>
      <c r="U726" s="2">
        <f t="shared" si="49"/>
        <v>270.20195165301823</v>
      </c>
    </row>
    <row r="727" spans="1:21" x14ac:dyDescent="0.25">
      <c r="A727">
        <v>2447161</v>
      </c>
      <c r="B727">
        <v>17</v>
      </c>
      <c r="C727" s="1">
        <f>11.8023233915793*(10.3/7.3)</f>
        <v>16.652593278529725</v>
      </c>
      <c r="D727" s="1">
        <f>12.7162346253604*(10.3/7.3)</f>
        <v>17.94208447139885</v>
      </c>
      <c r="E727" s="1">
        <f>45.4644034476904*(10.3/7.3)</f>
        <v>64.148404864549406</v>
      </c>
      <c r="F727" s="1">
        <f>82.0667973688694*(38.9/42.5)</f>
        <v>75.11525688585931</v>
      </c>
      <c r="G727" s="1">
        <v>2.4816688716458719</v>
      </c>
      <c r="H727" s="1">
        <v>5.1198398486940526</v>
      </c>
      <c r="I727" s="1">
        <v>63.457429513755599</v>
      </c>
      <c r="J727" s="1">
        <v>2.9384435618958218E-2</v>
      </c>
      <c r="K727" s="1">
        <v>2.3308913443877524</v>
      </c>
      <c r="L727" s="1">
        <v>2.4181983352978134</v>
      </c>
      <c r="M727" s="1">
        <v>0.2139003165372339</v>
      </c>
      <c r="N727" s="1">
        <v>1.3955989956582531</v>
      </c>
      <c r="O727" s="1">
        <v>0.14225568627450982</v>
      </c>
      <c r="P727" s="1">
        <v>0.10775706630116878</v>
      </c>
      <c r="Q727" s="1">
        <v>3.9661374661007129</v>
      </c>
      <c r="R727" s="2">
        <f t="shared" si="47"/>
        <v>248.88341520053356</v>
      </c>
      <c r="S727" s="2">
        <f t="shared" si="46"/>
        <v>2.4680328463078793</v>
      </c>
      <c r="T727" s="2">
        <f t="shared" si="48"/>
        <v>4.1699533337678103</v>
      </c>
      <c r="U727" s="2">
        <f t="shared" si="49"/>
        <v>255.52140138060926</v>
      </c>
    </row>
    <row r="728" spans="1:21" x14ac:dyDescent="0.25">
      <c r="A728">
        <v>2447185</v>
      </c>
      <c r="B728">
        <v>2</v>
      </c>
      <c r="C728" s="1">
        <f>13.0599883437579*(10.3/7.3)</f>
        <v>18.427106841192703</v>
      </c>
      <c r="D728" s="1">
        <f>14.7850514280919*(10.3/7.3)</f>
        <v>20.861099960184514</v>
      </c>
      <c r="E728" s="1">
        <f>52.8469126252302*(10.3/7.3)</f>
        <v>74.564821923270003</v>
      </c>
      <c r="F728" s="1">
        <f>89.4371700440217*(38.9/42.5)</f>
        <v>81.861315640292801</v>
      </c>
      <c r="G728" s="1">
        <v>2.4323763134374432</v>
      </c>
      <c r="H728" s="1">
        <v>4.0141077737725173</v>
      </c>
      <c r="I728" s="1">
        <v>66.925221371641868</v>
      </c>
      <c r="J728" s="1">
        <v>3.5375589723929554E-2</v>
      </c>
      <c r="K728" s="1">
        <v>2.5394566323744319</v>
      </c>
      <c r="L728" s="1">
        <v>2.7014318735442653</v>
      </c>
      <c r="M728" s="1">
        <v>0.39988371541249279</v>
      </c>
      <c r="N728" s="1">
        <v>1.9183459448442259</v>
      </c>
      <c r="O728" s="1">
        <v>0.1532</v>
      </c>
      <c r="P728" s="1">
        <v>0.1109202920485842</v>
      </c>
      <c r="Q728" s="1">
        <v>3.8873594050370137</v>
      </c>
      <c r="R728" s="2">
        <f t="shared" si="47"/>
        <v>272.97340922882881</v>
      </c>
      <c r="S728" s="2">
        <f t="shared" si="46"/>
        <v>2.6857525141469454</v>
      </c>
      <c r="T728" s="2">
        <f t="shared" si="48"/>
        <v>5.172861533800984</v>
      </c>
      <c r="U728" s="2">
        <f t="shared" si="49"/>
        <v>280.83202327677674</v>
      </c>
    </row>
    <row r="729" spans="1:21" x14ac:dyDescent="0.25">
      <c r="A729">
        <v>2447193</v>
      </c>
      <c r="B729">
        <v>2</v>
      </c>
      <c r="C729" s="1">
        <f>12.0383698594109*(10.3/7.3)</f>
        <v>16.985645144100321</v>
      </c>
      <c r="D729" s="1">
        <f>13.348037163537*(10.3/7.3)</f>
        <v>18.833531888278248</v>
      </c>
      <c r="E729" s="1">
        <f>47.7283156810515*(10.3/7.3)</f>
        <v>67.342691988332874</v>
      </c>
      <c r="F729" s="1">
        <f>82.3750059910065*(38.9/42.5)</f>
        <v>75.397358424709452</v>
      </c>
      <c r="G729" s="1">
        <v>2.3132789288800746</v>
      </c>
      <c r="H729" s="1">
        <v>3.8108830705815238</v>
      </c>
      <c r="I729" s="1">
        <v>62.437333241944202</v>
      </c>
      <c r="J729" s="1">
        <v>3.2668425726824227E-2</v>
      </c>
      <c r="K729" s="1">
        <v>2.357449311007966</v>
      </c>
      <c r="L729" s="1">
        <v>2.3948323685664965</v>
      </c>
      <c r="M729" s="1">
        <v>0.41103253029043335</v>
      </c>
      <c r="N729" s="1">
        <v>1.57499953262459</v>
      </c>
      <c r="O729" s="1">
        <v>0.13946666666666668</v>
      </c>
      <c r="P729" s="1">
        <v>0.10483780489076043</v>
      </c>
      <c r="Q729" s="1">
        <v>3.6970211192147344</v>
      </c>
      <c r="R729" s="2">
        <f t="shared" si="47"/>
        <v>250.81774380604142</v>
      </c>
      <c r="S729" s="2">
        <f t="shared" si="46"/>
        <v>2.4949555416255507</v>
      </c>
      <c r="T729" s="2">
        <f t="shared" si="48"/>
        <v>4.5203310981481861</v>
      </c>
      <c r="U729" s="2">
        <f t="shared" si="49"/>
        <v>257.83303044581515</v>
      </c>
    </row>
    <row r="730" spans="1:21" x14ac:dyDescent="0.25">
      <c r="A730">
        <v>2447393</v>
      </c>
      <c r="B730">
        <v>52</v>
      </c>
      <c r="C730" s="1">
        <f>16.936516542235*(10.3/7.3)</f>
        <v>23.89672881986586</v>
      </c>
      <c r="D730" s="1">
        <f>16.8902775404281*(10.3/7.3)</f>
        <v>23.831487488549246</v>
      </c>
      <c r="E730" s="1">
        <f>60.9579990405493*(10.3/7.3)</f>
        <v>86.009231522966871</v>
      </c>
      <c r="F730" s="1">
        <f>94.050684145956*(38.9/42.5)</f>
        <v>86.084037959475054</v>
      </c>
      <c r="G730" s="1">
        <v>1.8945810551035427</v>
      </c>
      <c r="H730" s="1">
        <v>3.4185935036589976</v>
      </c>
      <c r="I730" s="1">
        <v>73.562544945976725</v>
      </c>
      <c r="J730" s="1">
        <v>2.9902999278129411E-2</v>
      </c>
      <c r="K730" s="1">
        <v>2.4196441489545206</v>
      </c>
      <c r="L730" s="1">
        <v>2.2051961599268823</v>
      </c>
      <c r="M730" s="1">
        <v>0.11518788106690632</v>
      </c>
      <c r="N730" s="1">
        <v>1.5323142942656096</v>
      </c>
      <c r="O730" s="1">
        <v>0.10200102564102563</v>
      </c>
      <c r="P730" s="1">
        <v>8.6193421207577295E-2</v>
      </c>
      <c r="Q730" s="1">
        <v>3.0278692661472184</v>
      </c>
      <c r="R730" s="2">
        <f t="shared" si="47"/>
        <v>301.7250745617435</v>
      </c>
      <c r="S730" s="2">
        <f t="shared" si="46"/>
        <v>2.5357405694402275</v>
      </c>
      <c r="T730" s="2">
        <f t="shared" si="48"/>
        <v>3.954699360900424</v>
      </c>
      <c r="U730" s="2">
        <f t="shared" si="49"/>
        <v>308.21551449208414</v>
      </c>
    </row>
    <row r="731" spans="1:21" x14ac:dyDescent="0.25">
      <c r="A731">
        <v>2447401</v>
      </c>
      <c r="B731">
        <v>62</v>
      </c>
      <c r="C731" s="1">
        <f>17.0597374522541*(10.3/7.3)</f>
        <v>24.070588460029782</v>
      </c>
      <c r="D731" s="1">
        <f>17.8224604981346*(10.3/7.3)</f>
        <v>25.146759332984502</v>
      </c>
      <c r="E731" s="1">
        <f>64.2106845231592*(10.3/7.3)</f>
        <v>90.598637066923317</v>
      </c>
      <c r="F731" s="1">
        <f>96.4852997174754*(38.9/42.5)</f>
        <v>88.312427270818702</v>
      </c>
      <c r="G731" s="1">
        <v>1.8370797526427696</v>
      </c>
      <c r="H731" s="1">
        <v>3.3654520129209655</v>
      </c>
      <c r="I731" s="1">
        <v>73.349251039826285</v>
      </c>
      <c r="J731" s="1">
        <v>3.0848638825139767E-2</v>
      </c>
      <c r="K731" s="1">
        <v>2.5099052242939801</v>
      </c>
      <c r="L731" s="1">
        <v>2.3297965621332901</v>
      </c>
      <c r="M731" s="1">
        <v>0.11835136351878242</v>
      </c>
      <c r="N731" s="1">
        <v>1.6259268120783379</v>
      </c>
      <c r="O731" s="1">
        <v>0.10595354838709675</v>
      </c>
      <c r="P731" s="1">
        <v>8.814406660732596E-2</v>
      </c>
      <c r="Q731" s="1">
        <v>2.9359722074199537</v>
      </c>
      <c r="R731" s="2">
        <f t="shared" si="47"/>
        <v>309.61616714356632</v>
      </c>
      <c r="S731" s="2">
        <f t="shared" si="46"/>
        <v>2.6288979297264459</v>
      </c>
      <c r="T731" s="2">
        <f t="shared" si="48"/>
        <v>4.1800282861175075</v>
      </c>
      <c r="U731" s="2">
        <f t="shared" si="49"/>
        <v>316.42509335941031</v>
      </c>
    </row>
    <row r="732" spans="1:21" x14ac:dyDescent="0.25">
      <c r="A732">
        <v>2447409</v>
      </c>
      <c r="B732">
        <v>69</v>
      </c>
      <c r="C732" s="1">
        <f>16.0951450816426*(10.3/7.3)</f>
        <v>22.709588265879251</v>
      </c>
      <c r="D732" s="1">
        <f>17.2567013770938*(10.3/7.3)</f>
        <v>24.348496463570712</v>
      </c>
      <c r="E732" s="1">
        <f>62.0976987752929*(10.3/7.3)</f>
        <v>87.617301011714602</v>
      </c>
      <c r="F732" s="1">
        <f>92.784744435376*(38.9/42.5)</f>
        <v>84.925330789085365</v>
      </c>
      <c r="G732" s="1">
        <v>1.7629647312713397</v>
      </c>
      <c r="H732" s="1">
        <v>3.657737958281075</v>
      </c>
      <c r="I732" s="1">
        <v>69.514385474343612</v>
      </c>
      <c r="J732" s="1">
        <v>3.0613915664144391E-2</v>
      </c>
      <c r="K732" s="1">
        <v>2.5392454584128057</v>
      </c>
      <c r="L732" s="1">
        <v>2.3586817413911692</v>
      </c>
      <c r="M732" s="1">
        <v>0.11743362825128766</v>
      </c>
      <c r="N732" s="1">
        <v>1.598910152394653</v>
      </c>
      <c r="O732" s="1">
        <v>0.10588676328502418</v>
      </c>
      <c r="P732" s="1">
        <v>8.8025996634701037E-2</v>
      </c>
      <c r="Q732" s="1">
        <v>2.8175235431277144</v>
      </c>
      <c r="R732" s="2">
        <f t="shared" si="47"/>
        <v>297.35332823727373</v>
      </c>
      <c r="S732" s="2">
        <f t="shared" si="46"/>
        <v>2.657885370711651</v>
      </c>
      <c r="T732" s="2">
        <f t="shared" si="48"/>
        <v>4.1809122853221341</v>
      </c>
      <c r="U732" s="2">
        <f t="shared" si="49"/>
        <v>304.19212589330749</v>
      </c>
    </row>
    <row r="733" spans="1:21" x14ac:dyDescent="0.25">
      <c r="A733">
        <v>2447417</v>
      </c>
      <c r="B733">
        <v>37</v>
      </c>
      <c r="C733" s="1">
        <f>18.2076408300837*(10.3/7.3)</f>
        <v>25.690232952035952</v>
      </c>
      <c r="D733" s="1">
        <f>19.2790914968991*(10.3/7.3)</f>
        <v>27.202005810693265</v>
      </c>
      <c r="E733" s="1">
        <f>69.3984276120304*(10.3/7.3)</f>
        <v>97.918329370399121</v>
      </c>
      <c r="F733" s="1">
        <f>104.809645141812*(38.9/42.5)</f>
        <v>95.931651670976294</v>
      </c>
      <c r="G733" s="1">
        <v>2.0476514532176675</v>
      </c>
      <c r="H733" s="1">
        <v>5.9439480756402627</v>
      </c>
      <c r="I733" s="1">
        <v>79.19779859095874</v>
      </c>
      <c r="J733" s="1">
        <v>3.3461675467058805E-2</v>
      </c>
      <c r="K733" s="1">
        <v>2.7306465817112966</v>
      </c>
      <c r="L733" s="1">
        <v>2.5962980033157894</v>
      </c>
      <c r="M733" s="1">
        <v>0.12446907005940913</v>
      </c>
      <c r="N733" s="1">
        <v>1.7014337407662437</v>
      </c>
      <c r="O733" s="1">
        <v>0.1119913513513514</v>
      </c>
      <c r="P733" s="1">
        <v>9.1631435611674403E-2</v>
      </c>
      <c r="Q733" s="1">
        <v>3.2725023224939931</v>
      </c>
      <c r="R733" s="2">
        <f t="shared" si="47"/>
        <v>337.2041202464153</v>
      </c>
      <c r="S733" s="2">
        <f t="shared" si="46"/>
        <v>2.8557396927900296</v>
      </c>
      <c r="T733" s="2">
        <f t="shared" si="48"/>
        <v>4.5341921654927937</v>
      </c>
      <c r="U733" s="2">
        <f t="shared" si="49"/>
        <v>344.59405210469816</v>
      </c>
    </row>
    <row r="734" spans="1:21" x14ac:dyDescent="0.25">
      <c r="A734">
        <v>2447513</v>
      </c>
      <c r="B734">
        <v>1</v>
      </c>
      <c r="C734" s="1">
        <f>11.0008197027934*(10.3/7.3)</f>
        <v>15.52170451216049</v>
      </c>
      <c r="D734" s="1">
        <f>10.4179612932666*(10.3/7.3)</f>
        <v>14.699315249403504</v>
      </c>
      <c r="E734" s="1">
        <f>37.68102070233*(10.3/7.3)</f>
        <v>53.166371675890311</v>
      </c>
      <c r="F734" s="1">
        <f>59.6148827476218*(38.9/42.5)</f>
        <v>54.565151503117377</v>
      </c>
      <c r="G734" s="1">
        <v>1.2553508101992981</v>
      </c>
      <c r="H734" s="1">
        <v>7.8736975913998171</v>
      </c>
      <c r="I734" s="1">
        <v>48.04123717054965</v>
      </c>
      <c r="J734" s="1">
        <v>3.655944357219347E-2</v>
      </c>
      <c r="K734" s="1">
        <v>3.0224533903206403</v>
      </c>
      <c r="L734" s="1">
        <v>3.4542047250304222</v>
      </c>
      <c r="M734" s="1">
        <v>0.10669236848256736</v>
      </c>
      <c r="N734" s="1">
        <v>1.7953585858165404</v>
      </c>
      <c r="O734" s="1">
        <v>0.10506666666666667</v>
      </c>
      <c r="P734" s="1">
        <v>8.5461041670044618E-2</v>
      </c>
      <c r="Q734" s="1">
        <v>2.0062684181267341</v>
      </c>
      <c r="R734" s="2">
        <f t="shared" si="47"/>
        <v>197.12909693084717</v>
      </c>
      <c r="S734" s="2">
        <f t="shared" si="46"/>
        <v>3.1444738755628787</v>
      </c>
      <c r="T734" s="2">
        <f t="shared" si="48"/>
        <v>5.461322345996197</v>
      </c>
      <c r="U734" s="2">
        <f t="shared" si="49"/>
        <v>205.73489315240624</v>
      </c>
    </row>
    <row r="735" spans="1:21" x14ac:dyDescent="0.25">
      <c r="A735">
        <v>2447521</v>
      </c>
      <c r="B735">
        <v>6</v>
      </c>
      <c r="C735" s="1">
        <f>7.60604586981694*(10.3/7.3)</f>
        <v>10.731818145084173</v>
      </c>
      <c r="D735" s="1">
        <f>7.43956964671705*(10.3/7.3)</f>
        <v>10.496927035778858</v>
      </c>
      <c r="E735" s="1">
        <f>26.8197163842931*(10.3/7.3)</f>
        <v>37.841517638112201</v>
      </c>
      <c r="F735" s="1">
        <f>44.3565729860582*(38.9/42.5)</f>
        <v>40.599310333121551</v>
      </c>
      <c r="G735" s="1">
        <v>1.0729315279365765</v>
      </c>
      <c r="H735" s="1">
        <v>6.5127079124540721</v>
      </c>
      <c r="I735" s="1">
        <v>35.368272889574136</v>
      </c>
      <c r="J735" s="1">
        <v>2.8617580539933084E-2</v>
      </c>
      <c r="K735" s="1">
        <v>2.5660026780455372</v>
      </c>
      <c r="L735" s="1">
        <v>2.6134834986140487</v>
      </c>
      <c r="M735" s="1">
        <v>9.19733153533423E-2</v>
      </c>
      <c r="N735" s="1">
        <v>1.459808838962023</v>
      </c>
      <c r="O735" s="1">
        <v>9.1600000000000001E-2</v>
      </c>
      <c r="P735" s="1">
        <v>7.6782086730730309E-2</v>
      </c>
      <c r="Q735" s="1">
        <v>1.7147307524100561</v>
      </c>
      <c r="R735" s="2">
        <f t="shared" si="47"/>
        <v>144.33821623447162</v>
      </c>
      <c r="S735" s="2">
        <f t="shared" si="46"/>
        <v>2.6714023453162006</v>
      </c>
      <c r="T735" s="2">
        <f t="shared" si="48"/>
        <v>4.256865652929414</v>
      </c>
      <c r="U735" s="2">
        <f t="shared" si="49"/>
        <v>151.26648423271723</v>
      </c>
    </row>
    <row r="736" spans="1:21" x14ac:dyDescent="0.25">
      <c r="A736">
        <v>2458821</v>
      </c>
      <c r="B736">
        <v>12</v>
      </c>
      <c r="C736" s="1">
        <f>0.37338197334834*(10.3/7.3)</f>
        <v>0.5268266199298498</v>
      </c>
      <c r="D736" s="1">
        <f>0.510600339408102*(10.3/7.3)</f>
        <v>0.72043609532923936</v>
      </c>
      <c r="E736" s="1">
        <f>1.79493057867495*(10.3/7.3)</f>
        <v>2.53257328224</v>
      </c>
      <c r="F736" s="1">
        <f>3.7679516321582*(38.9/42.5)</f>
        <v>3.448783964493038</v>
      </c>
      <c r="G736" s="1">
        <v>0.14955126532331528</v>
      </c>
      <c r="H736" s="1">
        <v>1.4406560019872832</v>
      </c>
      <c r="I736" s="1">
        <v>2.7534833549482123</v>
      </c>
      <c r="J736" s="1">
        <v>9.8696919392899287E-3</v>
      </c>
      <c r="K736" s="1">
        <v>1.9881557366078988</v>
      </c>
      <c r="L736" s="1">
        <v>1.8711494945032647</v>
      </c>
      <c r="M736" s="1">
        <v>4.7535622215795527E-2</v>
      </c>
      <c r="N736" s="1">
        <v>0.43595871174295775</v>
      </c>
      <c r="O736" s="1">
        <v>8.6355555555555533E-2</v>
      </c>
      <c r="P736" s="1">
        <v>0.18038182560066529</v>
      </c>
      <c r="Q736" s="1">
        <v>0.23900887152128028</v>
      </c>
      <c r="R736" s="2">
        <f t="shared" si="47"/>
        <v>11.811319455772217</v>
      </c>
      <c r="S736" s="2">
        <f t="shared" si="46"/>
        <v>2.1784072541478539</v>
      </c>
      <c r="T736" s="2">
        <f t="shared" si="48"/>
        <v>2.4409993840175734</v>
      </c>
      <c r="U736" s="2">
        <f t="shared" si="49"/>
        <v>16.430726093937643</v>
      </c>
    </row>
    <row r="737" spans="1:21" x14ac:dyDescent="0.25">
      <c r="A737">
        <v>2458981</v>
      </c>
      <c r="B737">
        <v>36</v>
      </c>
      <c r="C737" s="1">
        <f>0.709711745006425*(10.3/7.3)</f>
        <v>1.0013741059679693</v>
      </c>
      <c r="D737" s="1">
        <f>0.975234672243698*(10.3/7.3)</f>
        <v>1.3760160443986429</v>
      </c>
      <c r="E737" s="1">
        <f>3.41942424581157*(10.3/7.3)</f>
        <v>4.8246670865560528</v>
      </c>
      <c r="F737" s="1">
        <f>7.59112175929561*(38.9/42.5)</f>
        <v>6.9481090926258595</v>
      </c>
      <c r="G737" s="1">
        <v>0.31986112132335909</v>
      </c>
      <c r="H737" s="1">
        <v>3.8709920484491267</v>
      </c>
      <c r="I737" s="1">
        <v>5.6075186851546652</v>
      </c>
      <c r="J737" s="1">
        <v>1.3607482982315178E-2</v>
      </c>
      <c r="K737" s="1">
        <v>2.0561396949979693</v>
      </c>
      <c r="L737" s="1">
        <v>2.7580976581129408</v>
      </c>
      <c r="M737" s="1">
        <v>5.9336073012820068E-2</v>
      </c>
      <c r="N737" s="1">
        <v>0.67895157103641213</v>
      </c>
      <c r="O737" s="1">
        <v>0.1089748148148148</v>
      </c>
      <c r="P737" s="1">
        <v>9.6887462261894874E-2</v>
      </c>
      <c r="Q737" s="1">
        <v>0.51119357289121381</v>
      </c>
      <c r="R737" s="2">
        <f t="shared" si="47"/>
        <v>24.459731757366889</v>
      </c>
      <c r="S737" s="2">
        <f t="shared" si="46"/>
        <v>2.166634640242179</v>
      </c>
      <c r="T737" s="2">
        <f t="shared" si="48"/>
        <v>3.6053601169769878</v>
      </c>
      <c r="U737" s="2">
        <f t="shared" si="49"/>
        <v>30.231726514586057</v>
      </c>
    </row>
    <row r="738" spans="1:21" x14ac:dyDescent="0.25">
      <c r="A738">
        <v>2459005</v>
      </c>
      <c r="B738">
        <v>1</v>
      </c>
      <c r="C738" s="1">
        <f>0.953510585390561*(10.3/7.3)</f>
        <v>1.3453642506195589</v>
      </c>
      <c r="D738" s="1">
        <f>1.12490440230413*(10.3/7.3)</f>
        <v>1.5871938827030823</v>
      </c>
      <c r="E738" s="1">
        <f>3.98499749731059*(10.3/7.3)</f>
        <v>5.6226677016848035</v>
      </c>
      <c r="F738" s="1">
        <f>8.13614254873335*(38.9/42.5)</f>
        <v>7.4469634151935837</v>
      </c>
      <c r="G738" s="1">
        <v>0.30321550338659969</v>
      </c>
      <c r="H738" s="1">
        <v>2.29391983155586</v>
      </c>
      <c r="I738" s="1">
        <v>6.2053040046149128</v>
      </c>
      <c r="J738" s="1">
        <v>1.5012454893038591E-2</v>
      </c>
      <c r="K738" s="1">
        <v>2.1714125124318113</v>
      </c>
      <c r="L738" s="1">
        <v>3.8036365083098902</v>
      </c>
      <c r="M738" s="1">
        <v>6.7046454730279384E-2</v>
      </c>
      <c r="N738" s="1">
        <v>0.76061957162880123</v>
      </c>
      <c r="O738" s="1">
        <v>0.12197333333333332</v>
      </c>
      <c r="P738" s="1">
        <v>0.10744005190699044</v>
      </c>
      <c r="Q738" s="1">
        <v>0.48459098714753429</v>
      </c>
      <c r="R738" s="2">
        <f t="shared" si="47"/>
        <v>25.289219576905936</v>
      </c>
      <c r="S738" s="2">
        <f t="shared" si="46"/>
        <v>2.2938650192318399</v>
      </c>
      <c r="T738" s="2">
        <f t="shared" si="48"/>
        <v>4.7532758680023042</v>
      </c>
      <c r="U738" s="2">
        <f t="shared" si="49"/>
        <v>32.336360464140078</v>
      </c>
    </row>
    <row r="739" spans="1:21" x14ac:dyDescent="0.25">
      <c r="A739">
        <v>2459061</v>
      </c>
      <c r="B739">
        <v>31</v>
      </c>
      <c r="C739" s="1">
        <f>2.8130193980617*(10.3/7.3)</f>
        <v>3.969054767128152</v>
      </c>
      <c r="D739" s="1">
        <f>3.17556349378909*(10.3/7.3)</f>
        <v>4.4805895871270707</v>
      </c>
      <c r="E739" s="1">
        <f>11.269298644885*(10.3/7.3)</f>
        <v>15.900517266070647</v>
      </c>
      <c r="F739" s="1">
        <f>23.2289755109643*(38.9/42.5)</f>
        <v>21.261344644153247</v>
      </c>
      <c r="G739" s="1">
        <v>0.86720963041385579</v>
      </c>
      <c r="H739" s="1">
        <v>6.0246832830814414</v>
      </c>
      <c r="I739" s="1">
        <v>18.019764782062936</v>
      </c>
      <c r="J739" s="1">
        <v>3.1148400638956165E-2</v>
      </c>
      <c r="K739" s="1">
        <v>3.4414301863388599</v>
      </c>
      <c r="L739" s="1">
        <v>5.2728079209847456</v>
      </c>
      <c r="M739" s="1">
        <v>0.11457360372234085</v>
      </c>
      <c r="N739" s="1">
        <v>1.4787001237256046</v>
      </c>
      <c r="O739" s="1">
        <v>0.22670795698924731</v>
      </c>
      <c r="P739" s="1">
        <v>0.16006144441416473</v>
      </c>
      <c r="Q739" s="1">
        <v>1.3859514641317348</v>
      </c>
      <c r="R739" s="2">
        <f t="shared" si="47"/>
        <v>71.909115424169087</v>
      </c>
      <c r="S739" s="2">
        <f t="shared" si="46"/>
        <v>3.6326400313919809</v>
      </c>
      <c r="T739" s="2">
        <f t="shared" si="48"/>
        <v>7.0927896054219381</v>
      </c>
      <c r="U739" s="2">
        <f t="shared" si="49"/>
        <v>82.634545060983015</v>
      </c>
    </row>
    <row r="740" spans="1:21" x14ac:dyDescent="0.25">
      <c r="A740">
        <v>2459365</v>
      </c>
      <c r="B740">
        <v>21</v>
      </c>
      <c r="C740" s="1">
        <f>14.6878638568278*(10.3/7.3)</f>
        <v>20.723972291140527</v>
      </c>
      <c r="D740" s="1">
        <f>14.4331121534744*(10.3/7.3)</f>
        <v>20.364528106957053</v>
      </c>
      <c r="E740" s="1">
        <f>51.7883208517182*(10.3/7.3)</f>
        <v>73.071192434616108</v>
      </c>
      <c r="F740" s="1">
        <f>97.1547854186754*(38.9/42.5)</f>
        <v>88.925203594975869</v>
      </c>
      <c r="G740" s="1">
        <v>3.0420670427051775</v>
      </c>
      <c r="H740" s="1">
        <v>3.6123610877949495</v>
      </c>
      <c r="I740" s="1">
        <v>78.4854830561151</v>
      </c>
      <c r="J740" s="1">
        <v>4.1932147758119022E-2</v>
      </c>
      <c r="K740" s="1">
        <v>3.2024700176904406</v>
      </c>
      <c r="L740" s="1">
        <v>3.9053723783223533</v>
      </c>
      <c r="M740" s="1">
        <v>0.24519136911975925</v>
      </c>
      <c r="N740" s="1">
        <v>1.8356161259338721</v>
      </c>
      <c r="O740" s="1">
        <v>0.20586920634920633</v>
      </c>
      <c r="P740" s="1">
        <v>0.14070465178482577</v>
      </c>
      <c r="Q740" s="1">
        <v>4.861750981492297</v>
      </c>
      <c r="R740" s="2">
        <f t="shared" si="47"/>
        <v>293.0865585957971</v>
      </c>
      <c r="S740" s="2">
        <f t="shared" si="46"/>
        <v>3.3851068172333854</v>
      </c>
      <c r="T740" s="2">
        <f t="shared" si="48"/>
        <v>6.1920490797251908</v>
      </c>
      <c r="U740" s="2">
        <f t="shared" si="49"/>
        <v>302.66371449275567</v>
      </c>
    </row>
    <row r="741" spans="1:21" x14ac:dyDescent="0.25">
      <c r="A741">
        <v>2459381</v>
      </c>
      <c r="B741">
        <v>1</v>
      </c>
      <c r="C741" s="1">
        <f>11.1402218351604*(10.3/7.3)</f>
        <v>15.718395192075631</v>
      </c>
      <c r="D741" s="1">
        <f>11.5327553934263*(10.3/7.3)</f>
        <v>16.272243911272746</v>
      </c>
      <c r="E741" s="1">
        <f>41.2974676736173*(10.3/7.3)</f>
        <v>58.269029731268184</v>
      </c>
      <c r="F741" s="1">
        <f>75.6999876825599*(38.9/42.5)</f>
        <v>69.287753431801917</v>
      </c>
      <c r="G741" s="1">
        <v>2.3197166253426347</v>
      </c>
      <c r="H741" s="1">
        <v>3.3658041751632326</v>
      </c>
      <c r="I741" s="1">
        <v>59.658824021814269</v>
      </c>
      <c r="J741" s="1">
        <v>3.2859369895899056E-2</v>
      </c>
      <c r="K741" s="1">
        <v>2.6170829949866241</v>
      </c>
      <c r="L741" s="1">
        <v>2.9083073701819311</v>
      </c>
      <c r="M741" s="1">
        <v>0.21455813636072485</v>
      </c>
      <c r="N741" s="1">
        <v>1.5825069738403872</v>
      </c>
      <c r="O741" s="1">
        <v>0.16496</v>
      </c>
      <c r="P741" s="1">
        <v>0.11945484698826427</v>
      </c>
      <c r="Q741" s="1">
        <v>3.7073096752051273</v>
      </c>
      <c r="R741" s="2">
        <f t="shared" si="47"/>
        <v>228.59907676394374</v>
      </c>
      <c r="S741" s="2">
        <f t="shared" si="46"/>
        <v>2.7693972118707872</v>
      </c>
      <c r="T741" s="2">
        <f t="shared" si="48"/>
        <v>4.870332480383043</v>
      </c>
      <c r="U741" s="2">
        <f t="shared" si="49"/>
        <v>236.23880645619758</v>
      </c>
    </row>
    <row r="742" spans="1:21" x14ac:dyDescent="0.25">
      <c r="A742">
        <v>2459389</v>
      </c>
      <c r="B742">
        <v>34</v>
      </c>
      <c r="C742" s="1">
        <f>9.46446763052971*(10.3/7.3)</f>
        <v>13.353974875952876</v>
      </c>
      <c r="D742" s="1">
        <f>9.19158766572085*(10.3/7.3)</f>
        <v>12.968952459852702</v>
      </c>
      <c r="E742" s="1">
        <f>33.0607006095832*(10.3/7.3)</f>
        <v>46.647289901192778</v>
      </c>
      <c r="F742" s="1">
        <f>59.1169403296102*(38.9/42.5)</f>
        <v>54.10938773698436</v>
      </c>
      <c r="G742" s="1">
        <v>1.6902740094493418</v>
      </c>
      <c r="H742" s="1">
        <v>5.0283047551080271</v>
      </c>
      <c r="I742" s="1">
        <v>47.739446674032621</v>
      </c>
      <c r="J742" s="1">
        <v>2.4366722375936994E-2</v>
      </c>
      <c r="K742" s="1">
        <v>1.9977529960140334</v>
      </c>
      <c r="L742" s="1">
        <v>2.0448456819689182</v>
      </c>
      <c r="M742" s="1">
        <v>0.17168504802220511</v>
      </c>
      <c r="N742" s="1">
        <v>1.1480367772826967</v>
      </c>
      <c r="O742" s="1">
        <v>0.12298980392156865</v>
      </c>
      <c r="P742" s="1">
        <v>9.53702009375616E-2</v>
      </c>
      <c r="Q742" s="1">
        <v>2.701351156654201</v>
      </c>
      <c r="R742" s="2">
        <f t="shared" si="47"/>
        <v>184.23898156922689</v>
      </c>
      <c r="S742" s="2">
        <f t="shared" si="46"/>
        <v>2.1174899193275323</v>
      </c>
      <c r="T742" s="2">
        <f t="shared" si="48"/>
        <v>3.4875573111953884</v>
      </c>
      <c r="U742" s="2">
        <f t="shared" si="49"/>
        <v>189.84402879974982</v>
      </c>
    </row>
    <row r="743" spans="1:21" x14ac:dyDescent="0.25">
      <c r="A743">
        <v>2459397</v>
      </c>
      <c r="B743">
        <v>10</v>
      </c>
      <c r="C743" s="1">
        <f>11.6341036755465*(10.3/7.3)</f>
        <v>16.415242172346414</v>
      </c>
      <c r="D743" s="1">
        <f>15.14705581771*(10.3/7.3)</f>
        <v>21.371873277042813</v>
      </c>
      <c r="E743" s="1">
        <f>53.9007136799746*(10.3/7.3)</f>
        <v>76.051691904621748</v>
      </c>
      <c r="F743" s="1">
        <f>85.6997091803321*(38.9/42.5)</f>
        <v>78.440439696821642</v>
      </c>
      <c r="G743" s="1">
        <v>2.1434310372095196</v>
      </c>
      <c r="H743" s="1">
        <v>6.1998650360267238</v>
      </c>
      <c r="I743" s="1">
        <v>59.372867581850549</v>
      </c>
      <c r="J743" s="1">
        <v>2.9126199230298338E-2</v>
      </c>
      <c r="K743" s="1">
        <v>2.3158247971219357</v>
      </c>
      <c r="L743" s="1">
        <v>2.3772733756126101</v>
      </c>
      <c r="M743" s="1">
        <v>0.22104270823050012</v>
      </c>
      <c r="N743" s="1">
        <v>1.395595841639838</v>
      </c>
      <c r="O743" s="1">
        <v>0.14167999999999997</v>
      </c>
      <c r="P743" s="1">
        <v>0.10736899822314938</v>
      </c>
      <c r="Q743" s="1">
        <v>3.4255747170015183</v>
      </c>
      <c r="R743" s="2">
        <f t="shared" si="47"/>
        <v>263.42098542292092</v>
      </c>
      <c r="S743" s="2">
        <f t="shared" si="46"/>
        <v>2.4523199945753831</v>
      </c>
      <c r="T743" s="2">
        <f t="shared" si="48"/>
        <v>4.1355919254829479</v>
      </c>
      <c r="U743" s="2">
        <f t="shared" si="49"/>
        <v>270.00889734297925</v>
      </c>
    </row>
    <row r="744" spans="1:21" x14ac:dyDescent="0.25">
      <c r="A744">
        <v>2459421</v>
      </c>
      <c r="B744">
        <v>16</v>
      </c>
      <c r="C744" s="1">
        <f>9.97223111182798*(10.3/7.3)</f>
        <v>14.07040828107235</v>
      </c>
      <c r="D744" s="1">
        <f>11.2757372163359*(10.3/7.3)</f>
        <v>15.909601825788963</v>
      </c>
      <c r="E744" s="1">
        <f>40.2573119722382*(10.3/7.3)</f>
        <v>56.801412782747093</v>
      </c>
      <c r="F744" s="1">
        <f>70.5647400998639*(38.9/42.5)</f>
        <v>64.587491526698912</v>
      </c>
      <c r="G744" s="1">
        <v>2.0564416637591707</v>
      </c>
      <c r="H744" s="1">
        <v>3.2179833967368081</v>
      </c>
      <c r="I744" s="1">
        <v>53.193238251470028</v>
      </c>
      <c r="J744" s="1">
        <v>2.9901326476648199E-2</v>
      </c>
      <c r="K744" s="1">
        <v>2.1775743125861822</v>
      </c>
      <c r="L744" s="1">
        <v>2.2242638830780992</v>
      </c>
      <c r="M744" s="1">
        <v>0.36330607395841097</v>
      </c>
      <c r="N744" s="1">
        <v>1.5282292390759831</v>
      </c>
      <c r="O744" s="1">
        <v>0.12877999999999998</v>
      </c>
      <c r="P744" s="1">
        <v>9.7702208885073125E-2</v>
      </c>
      <c r="Q744" s="1">
        <v>3.2865506041813268</v>
      </c>
      <c r="R744" s="2">
        <f t="shared" si="47"/>
        <v>213.12312833245463</v>
      </c>
      <c r="S744" s="2">
        <f t="shared" si="46"/>
        <v>2.3051778479479035</v>
      </c>
      <c r="T744" s="2">
        <f t="shared" si="48"/>
        <v>4.2445791961124932</v>
      </c>
      <c r="U744" s="2">
        <f t="shared" si="49"/>
        <v>219.67288537651501</v>
      </c>
    </row>
    <row r="745" spans="1:21" x14ac:dyDescent="0.25">
      <c r="A745">
        <v>2459629</v>
      </c>
      <c r="B745">
        <v>61</v>
      </c>
      <c r="C745" s="1">
        <f>14.5511014570442*(10.3/7.3)</f>
        <v>20.531006165418486</v>
      </c>
      <c r="D745" s="1">
        <f>14.6717707249828*(10.3/7.3)</f>
        <v>20.701265543468942</v>
      </c>
      <c r="E745" s="1">
        <f>52.9406435359592*(10.3/7.3)</f>
        <v>74.697072386353426</v>
      </c>
      <c r="F745" s="1">
        <f>80.5942749695155*(38.9/42.5)</f>
        <v>73.767465795627118</v>
      </c>
      <c r="G745" s="1">
        <v>1.5657497978353774</v>
      </c>
      <c r="H745" s="1">
        <v>2.959828344840707</v>
      </c>
      <c r="I745" s="1">
        <v>62.550771134790828</v>
      </c>
      <c r="J745" s="1">
        <v>2.6126170701084143E-2</v>
      </c>
      <c r="K745" s="1">
        <v>2.1341625891640694</v>
      </c>
      <c r="L745" s="1">
        <v>1.8957989905654082</v>
      </c>
      <c r="M745" s="1">
        <v>0.10129109704527432</v>
      </c>
      <c r="N745" s="1">
        <v>1.3461490630050852</v>
      </c>
      <c r="O745" s="1">
        <v>9.0573989071038224E-2</v>
      </c>
      <c r="P745" s="1">
        <v>7.8421479414598108E-2</v>
      </c>
      <c r="Q745" s="1">
        <v>2.5023398595542607</v>
      </c>
      <c r="R745" s="2">
        <f t="shared" si="47"/>
        <v>259.27549902788911</v>
      </c>
      <c r="S745" s="2">
        <f t="shared" si="46"/>
        <v>2.2387102392797518</v>
      </c>
      <c r="T745" s="2">
        <f t="shared" si="48"/>
        <v>3.4338131396868059</v>
      </c>
      <c r="U745" s="2">
        <f t="shared" si="49"/>
        <v>264.94802240685567</v>
      </c>
    </row>
    <row r="746" spans="1:21" x14ac:dyDescent="0.25">
      <c r="A746">
        <v>2459637</v>
      </c>
      <c r="B746">
        <v>58</v>
      </c>
      <c r="C746" s="1">
        <f>20.8298374416896*(10.3/7.3)</f>
        <v>29.390044609507214</v>
      </c>
      <c r="D746" s="1">
        <f>21.8652788828133*(10.3/7.3)</f>
        <v>30.85100993054478</v>
      </c>
      <c r="E746" s="1">
        <f>78.7827959960086*(10.3/7.3)</f>
        <v>111.15928750121761</v>
      </c>
      <c r="F746" s="1">
        <f>117.045579448873*(38.9/42.5)</f>
        <v>107.13113036614457</v>
      </c>
      <c r="G746" s="1">
        <v>2.1489881751904192</v>
      </c>
      <c r="H746" s="1">
        <v>3.7557419363814271</v>
      </c>
      <c r="I746" s="1">
        <v>88.571207206256901</v>
      </c>
      <c r="J746" s="1">
        <v>3.6712198907453329E-2</v>
      </c>
      <c r="K746" s="1">
        <v>2.8905261780291376</v>
      </c>
      <c r="L746" s="1">
        <v>2.8113836248247424</v>
      </c>
      <c r="M746" s="1">
        <v>0.13646978822129197</v>
      </c>
      <c r="N746" s="1">
        <v>1.8423161663821153</v>
      </c>
      <c r="O746" s="1">
        <v>0.1193765517241379</v>
      </c>
      <c r="P746" s="1">
        <v>9.7119707058921659E-2</v>
      </c>
      <c r="Q746" s="1">
        <v>3.4344559877472496</v>
      </c>
      <c r="R746" s="2">
        <f t="shared" si="47"/>
        <v>376.44186571299019</v>
      </c>
      <c r="S746" s="2">
        <f t="shared" si="46"/>
        <v>3.0243580839955126</v>
      </c>
      <c r="T746" s="2">
        <f t="shared" si="48"/>
        <v>4.9095461311522879</v>
      </c>
      <c r="U746" s="2">
        <f t="shared" si="49"/>
        <v>384.37576992813803</v>
      </c>
    </row>
    <row r="747" spans="1:21" x14ac:dyDescent="0.25">
      <c r="A747">
        <v>2459645</v>
      </c>
      <c r="B747">
        <v>64</v>
      </c>
      <c r="C747" s="1">
        <f>15.5080515941697*(10.3/7.3)</f>
        <v>21.881223482184616</v>
      </c>
      <c r="D747" s="1">
        <f>16.6871663536095*(10.3/7.3)</f>
        <v>23.544905950983242</v>
      </c>
      <c r="E747" s="1">
        <f>60.0418448069322*(10.3/7.3)</f>
        <v>84.716575549507084</v>
      </c>
      <c r="F747" s="1">
        <f>89.4702550962153*(38.9/42.5)</f>
        <v>81.891598193947615</v>
      </c>
      <c r="G747" s="1">
        <v>1.6882523676374166</v>
      </c>
      <c r="H747" s="1">
        <v>3.270873255570891</v>
      </c>
      <c r="I747" s="1">
        <v>66.869488793471788</v>
      </c>
      <c r="J747" s="1">
        <v>2.998977075496272E-2</v>
      </c>
      <c r="K747" s="1">
        <v>2.5001359222154247</v>
      </c>
      <c r="L747" s="1">
        <v>2.3176604923849999</v>
      </c>
      <c r="M747" s="1">
        <v>0.11461636144445755</v>
      </c>
      <c r="N747" s="1">
        <v>1.5642058508830121</v>
      </c>
      <c r="O747" s="1">
        <v>0.10362416666666667</v>
      </c>
      <c r="P747" s="1">
        <v>8.6647544862480955E-2</v>
      </c>
      <c r="Q747" s="1">
        <v>2.6981202222515814</v>
      </c>
      <c r="R747" s="2">
        <f t="shared" si="47"/>
        <v>286.56103781555424</v>
      </c>
      <c r="S747" s="2">
        <f t="shared" si="46"/>
        <v>2.6167732378328683</v>
      </c>
      <c r="T747" s="2">
        <f t="shared" si="48"/>
        <v>4.1001068713791371</v>
      </c>
      <c r="U747" s="2">
        <f t="shared" si="49"/>
        <v>293.27791792476626</v>
      </c>
    </row>
    <row r="748" spans="1:21" x14ac:dyDescent="0.25">
      <c r="A748">
        <v>2459741</v>
      </c>
      <c r="B748">
        <v>2</v>
      </c>
      <c r="C748" s="1">
        <f>9.75814926569288*(10.3/7.3)</f>
        <v>13.768347594059811</v>
      </c>
      <c r="D748" s="1">
        <f>9.18682174323912*(10.3/7.3)</f>
        <v>12.962227939090816</v>
      </c>
      <c r="E748" s="1">
        <f>33.2468599008209*(10.3/7.3)</f>
        <v>46.90995301074723</v>
      </c>
      <c r="F748" s="1">
        <f>52.2365703614867*(38.9/42.5)</f>
        <v>47.811825577925461</v>
      </c>
      <c r="G748" s="1">
        <v>1.0730567053677933</v>
      </c>
      <c r="H748" s="1">
        <v>6.2512590518750262</v>
      </c>
      <c r="I748" s="1">
        <v>42.189300864533337</v>
      </c>
      <c r="J748" s="1">
        <v>3.1229979653127203E-2</v>
      </c>
      <c r="K748" s="1">
        <v>2.6853857103298768</v>
      </c>
      <c r="L748" s="1">
        <v>3.1818063872589111</v>
      </c>
      <c r="M748" s="1">
        <v>9.7982728214251566E-2</v>
      </c>
      <c r="N748" s="1">
        <v>1.7119065546561361</v>
      </c>
      <c r="O748" s="1">
        <v>9.5786666666666673E-2</v>
      </c>
      <c r="P748" s="1">
        <v>7.9202381718299436E-2</v>
      </c>
      <c r="Q748" s="1">
        <v>1.7149308076654246</v>
      </c>
      <c r="R748" s="2">
        <f t="shared" si="47"/>
        <v>172.6809015512649</v>
      </c>
      <c r="S748" s="2">
        <f t="shared" si="46"/>
        <v>2.7958180717013037</v>
      </c>
      <c r="T748" s="2">
        <f t="shared" si="48"/>
        <v>5.087482336795965</v>
      </c>
      <c r="U748" s="2">
        <f t="shared" si="49"/>
        <v>180.56420195976216</v>
      </c>
    </row>
    <row r="749" spans="1:21" x14ac:dyDescent="0.25">
      <c r="A749">
        <v>2459749</v>
      </c>
      <c r="B749">
        <v>15</v>
      </c>
      <c r="C749" s="1">
        <f>9.21620688062406*(10.3/7.3)</f>
        <v>13.003689160332572</v>
      </c>
      <c r="D749" s="1">
        <f>8.81649523314811*(10.3/7.3)</f>
        <v>12.439712452250077</v>
      </c>
      <c r="E749" s="1">
        <f>31.867705714445*(10.3/7.3)</f>
        <v>44.964023131340227</v>
      </c>
      <c r="F749" s="1">
        <f>50.5237542342553*(38.9/42.5)</f>
        <v>46.244095052059563</v>
      </c>
      <c r="G749" s="1">
        <v>1.077276973048805</v>
      </c>
      <c r="H749" s="1">
        <v>6.1218222712200445</v>
      </c>
      <c r="I749" s="1">
        <v>40.516274318989993</v>
      </c>
      <c r="J749" s="1">
        <v>3.1913984098790801E-2</v>
      </c>
      <c r="K749" s="1">
        <v>2.7753385676083511</v>
      </c>
      <c r="L749" s="1">
        <v>3.0184761121175532</v>
      </c>
      <c r="M749" s="1">
        <v>9.9188247867475945E-2</v>
      </c>
      <c r="N749" s="1">
        <v>1.621433386668079</v>
      </c>
      <c r="O749" s="1">
        <v>9.9246222222222194E-2</v>
      </c>
      <c r="P749" s="1">
        <v>8.1324797830157169E-2</v>
      </c>
      <c r="Q749" s="1">
        <v>1.7216755277035714</v>
      </c>
      <c r="R749" s="2">
        <f t="shared" si="47"/>
        <v>166.08856888694487</v>
      </c>
      <c r="S749" s="2">
        <f t="shared" si="46"/>
        <v>2.8885773495372988</v>
      </c>
      <c r="T749" s="2">
        <f t="shared" si="48"/>
        <v>4.8383439688753302</v>
      </c>
      <c r="U749" s="2">
        <f t="shared" si="49"/>
        <v>173.81549020535749</v>
      </c>
    </row>
    <row r="750" spans="1:21" x14ac:dyDescent="0.25">
      <c r="A750">
        <v>2459757</v>
      </c>
      <c r="B750">
        <v>2</v>
      </c>
      <c r="C750" s="1">
        <f>7.16726106269973*(10.3/7.3)</f>
        <v>10.112710814494136</v>
      </c>
      <c r="D750" s="1">
        <f>7.02652132561228*(10.3/7.3)</f>
        <v>9.9141328292885547</v>
      </c>
      <c r="E750" s="1">
        <f>25.351269970523*(10.3/7.3)</f>
        <v>35.769600095395454</v>
      </c>
      <c r="F750" s="1">
        <f>40.7295363146116*(38.9/42.5)</f>
        <v>37.279505003256226</v>
      </c>
      <c r="G750" s="1">
        <v>0.91479666732984755</v>
      </c>
      <c r="H750" s="1">
        <v>4.4423912391750253</v>
      </c>
      <c r="I750" s="1">
        <v>32.317409383281614</v>
      </c>
      <c r="J750" s="1">
        <v>2.7164990453712005E-2</v>
      </c>
      <c r="K750" s="1">
        <v>2.4836219711643484</v>
      </c>
      <c r="L750" s="1">
        <v>2.4965693062944299</v>
      </c>
      <c r="M750" s="1">
        <v>8.9809435782771896E-2</v>
      </c>
      <c r="N750" s="1">
        <v>1.4039940020899189</v>
      </c>
      <c r="O750" s="1">
        <v>8.933333333333332E-2</v>
      </c>
      <c r="P750" s="1">
        <v>7.5479517691887127E-2</v>
      </c>
      <c r="Q750" s="1">
        <v>1.4620038062349177</v>
      </c>
      <c r="R750" s="2">
        <f t="shared" si="47"/>
        <v>132.2125498384558</v>
      </c>
      <c r="S750" s="2">
        <f t="shared" si="46"/>
        <v>2.5862664793099475</v>
      </c>
      <c r="T750" s="2">
        <f t="shared" si="48"/>
        <v>4.0797060775004539</v>
      </c>
      <c r="U750" s="2">
        <f t="shared" si="49"/>
        <v>138.8785223952662</v>
      </c>
    </row>
    <row r="751" spans="1:21" x14ac:dyDescent="0.25">
      <c r="A751">
        <v>2471057</v>
      </c>
      <c r="B751">
        <v>1</v>
      </c>
      <c r="C751" s="1">
        <f>0.456840702357132*(10.3/7.3)</f>
        <v>0.64458345675047368</v>
      </c>
      <c r="D751" s="1">
        <f>0.626132966981224*(10.3/7.3)</f>
        <v>0.88344788491871296</v>
      </c>
      <c r="E751" s="1">
        <f>2.20067556310021*(10.3/7.3)</f>
        <v>3.1050627808126285</v>
      </c>
      <c r="F751" s="1">
        <f>4.62913779029809*(38.9/42.5)</f>
        <v>4.2370225892375455</v>
      </c>
      <c r="G751" s="1">
        <v>0.18422541377027307</v>
      </c>
      <c r="H751" s="1">
        <v>1.3852870677019133</v>
      </c>
      <c r="I751" s="1">
        <v>3.3820309123643049</v>
      </c>
      <c r="J751" s="1">
        <v>1.1168112288998749E-2</v>
      </c>
      <c r="K751" s="1">
        <v>2.4606568539444926</v>
      </c>
      <c r="L751" s="1">
        <v>2.1221235962816123</v>
      </c>
      <c r="M751" s="1">
        <v>5.4295511366649132E-2</v>
      </c>
      <c r="N751" s="1">
        <v>0.58174354308068121</v>
      </c>
      <c r="O751" s="1">
        <v>9.754666666666667E-2</v>
      </c>
      <c r="P751" s="1">
        <v>0.26217104159846955</v>
      </c>
      <c r="Q751" s="1">
        <v>0.29442417725842762</v>
      </c>
      <c r="R751" s="2">
        <f t="shared" si="47"/>
        <v>14.116084282814279</v>
      </c>
      <c r="S751" s="2">
        <f t="shared" si="46"/>
        <v>2.7339960078319607</v>
      </c>
      <c r="T751" s="2">
        <f t="shared" si="48"/>
        <v>2.8557093173956094</v>
      </c>
      <c r="U751" s="2">
        <f t="shared" si="49"/>
        <v>19.705789608041847</v>
      </c>
    </row>
    <row r="752" spans="1:21" x14ac:dyDescent="0.25">
      <c r="A752">
        <v>2471209</v>
      </c>
      <c r="B752">
        <v>3</v>
      </c>
      <c r="C752" s="1">
        <f>0.884075047078216*(10.3/7.3)</f>
        <v>1.2473935595761128</v>
      </c>
      <c r="D752" s="1">
        <f>1.21200804536619*(10.3/7.3)</f>
        <v>1.7100935434618891</v>
      </c>
      <c r="E752" s="1">
        <f>4.25942518349382*(10.3/7.3)</f>
        <v>6.0098738890392189</v>
      </c>
      <c r="F752" s="1">
        <f>8.97919151892377*(38.9/42.5)</f>
        <v>8.2186011784972859</v>
      </c>
      <c r="G752" s="1">
        <v>0.35822204316114442</v>
      </c>
      <c r="H752" s="1">
        <v>5.9668564369410726</v>
      </c>
      <c r="I752" s="1">
        <v>6.5628411966745217</v>
      </c>
      <c r="J752" s="1">
        <v>1.5592359406525104E-2</v>
      </c>
      <c r="K752" s="1">
        <v>2.1984388272482991</v>
      </c>
      <c r="L752" s="1">
        <v>3.0732238544537314</v>
      </c>
      <c r="M752" s="1">
        <v>6.5456612820203139E-2</v>
      </c>
      <c r="N752" s="1">
        <v>0.71352864426685303</v>
      </c>
      <c r="O752" s="1">
        <v>0.11754666666666665</v>
      </c>
      <c r="P752" s="1">
        <v>0.100795325981598</v>
      </c>
      <c r="Q752" s="1">
        <v>0.57250098222100776</v>
      </c>
      <c r="R752" s="2">
        <f t="shared" si="47"/>
        <v>30.646382829572254</v>
      </c>
      <c r="S752" s="2">
        <f t="shared" si="46"/>
        <v>2.3148265126364223</v>
      </c>
      <c r="T752" s="2">
        <f t="shared" si="48"/>
        <v>3.9697557782074542</v>
      </c>
      <c r="U752" s="2">
        <f t="shared" si="49"/>
        <v>36.930965120416133</v>
      </c>
    </row>
    <row r="753" spans="1:21" x14ac:dyDescent="0.25">
      <c r="A753">
        <v>2471217</v>
      </c>
      <c r="B753">
        <v>14</v>
      </c>
      <c r="C753" s="1">
        <f>0.699855603312084*(10.3/7.3)</f>
        <v>0.98746749508417331</v>
      </c>
      <c r="D753" s="1">
        <f>0.999067202121886*(10.3/7.3)</f>
        <v>1.4096427646377294</v>
      </c>
      <c r="E753" s="1">
        <f>3.47767266257665*(10.3/7.3)</f>
        <v>4.9068532088410199</v>
      </c>
      <c r="F753" s="1">
        <f>8.72996752745868*(38.9/42.5)</f>
        <v>7.9904879251327676</v>
      </c>
      <c r="G753" s="1">
        <v>0.41213519639363527</v>
      </c>
      <c r="H753" s="1">
        <v>3.1115693516671561</v>
      </c>
      <c r="I753" s="1">
        <v>6.5451637436813304</v>
      </c>
      <c r="J753" s="1">
        <v>1.2561095465297007E-2</v>
      </c>
      <c r="K753" s="1">
        <v>1.8951603050313282</v>
      </c>
      <c r="L753" s="1">
        <v>2.4965291466583324</v>
      </c>
      <c r="M753" s="1">
        <v>5.7064444193425892E-2</v>
      </c>
      <c r="N753" s="1">
        <v>0.60272258130216905</v>
      </c>
      <c r="O753" s="1">
        <v>0.10308952380952383</v>
      </c>
      <c r="P753" s="1">
        <v>9.0122560363073798E-2</v>
      </c>
      <c r="Q753" s="1">
        <v>0.65866355588023973</v>
      </c>
      <c r="R753" s="2">
        <f t="shared" si="47"/>
        <v>26.021983241318054</v>
      </c>
      <c r="S753" s="2">
        <f t="shared" si="46"/>
        <v>1.997843960859699</v>
      </c>
      <c r="T753" s="2">
        <f t="shared" si="48"/>
        <v>3.2594056959634514</v>
      </c>
      <c r="U753" s="2">
        <f t="shared" si="49"/>
        <v>31.279232898141203</v>
      </c>
    </row>
    <row r="754" spans="1:21" x14ac:dyDescent="0.25">
      <c r="A754">
        <v>2471225</v>
      </c>
      <c r="B754">
        <v>3</v>
      </c>
      <c r="C754" s="1">
        <f>0.933994286859175*(10.3/7.3)</f>
        <v>1.3178275554314391</v>
      </c>
      <c r="D754" s="1">
        <f>1.24896104807636*(10.3/7.3)</f>
        <v>1.762232711669387</v>
      </c>
      <c r="E754" s="1">
        <f>4.3738371237596*(10.3/7.3)</f>
        <v>6.1713044348936803</v>
      </c>
      <c r="F754" s="1">
        <f>10.2331453911999*(38.9/42.5)</f>
        <v>9.3663377815923372</v>
      </c>
      <c r="G754" s="1">
        <v>0.45128252202549124</v>
      </c>
      <c r="H754" s="1">
        <v>4.8670916795074985</v>
      </c>
      <c r="I754" s="1">
        <v>7.6981632894069305</v>
      </c>
      <c r="J754" s="1">
        <v>1.5329280773577564E-2</v>
      </c>
      <c r="K754" s="1">
        <v>2.2884261578753331</v>
      </c>
      <c r="L754" s="1">
        <v>3.3069223387235209</v>
      </c>
      <c r="M754" s="1">
        <v>6.8379650620075852E-2</v>
      </c>
      <c r="N754" s="1">
        <v>0.7351400714696581</v>
      </c>
      <c r="O754" s="1">
        <v>0.12472888888888889</v>
      </c>
      <c r="P754" s="1">
        <v>0.11210348325839332</v>
      </c>
      <c r="Q754" s="1">
        <v>0.72122777492658496</v>
      </c>
      <c r="R754" s="2">
        <f t="shared" si="47"/>
        <v>32.355467749453354</v>
      </c>
      <c r="S754" s="2">
        <f t="shared" si="46"/>
        <v>2.4158589219073039</v>
      </c>
      <c r="T754" s="2">
        <f t="shared" si="48"/>
        <v>4.2351709497021437</v>
      </c>
      <c r="U754" s="2">
        <f t="shared" si="49"/>
        <v>39.006497621062799</v>
      </c>
    </row>
    <row r="755" spans="1:21" x14ac:dyDescent="0.25">
      <c r="A755">
        <v>2471233</v>
      </c>
      <c r="B755">
        <v>35</v>
      </c>
      <c r="C755" s="1">
        <f>0.760509755599131*(10.3/7.3)</f>
        <v>1.0730480113248015</v>
      </c>
      <c r="D755" s="1">
        <f>0.927921020649485*(10.3/7.3)</f>
        <v>1.3092584263958493</v>
      </c>
      <c r="E755" s="1">
        <f>3.28058145661156*(10.3/7.3)</f>
        <v>4.6287656168628928</v>
      </c>
      <c r="F755" s="1">
        <f>6.76929606626511*(38.9/42.5)</f>
        <v>6.1958968700638293</v>
      </c>
      <c r="G755" s="1">
        <v>0.25749559622344381</v>
      </c>
      <c r="H755" s="1">
        <v>2.3672054907561635</v>
      </c>
      <c r="I755" s="1">
        <v>5.1136524376284953</v>
      </c>
      <c r="J755" s="1">
        <v>1.3848119782057876E-2</v>
      </c>
      <c r="K755" s="1">
        <v>2.05741266879761</v>
      </c>
      <c r="L755" s="1">
        <v>3.1701337066840867</v>
      </c>
      <c r="M755" s="1">
        <v>5.9070079034287938E-2</v>
      </c>
      <c r="N755" s="1">
        <v>0.69780578392451031</v>
      </c>
      <c r="O755" s="1">
        <v>0.11362438095238098</v>
      </c>
      <c r="P755" s="1">
        <v>0.10322215836314659</v>
      </c>
      <c r="Q755" s="1">
        <v>0.41152264236623481</v>
      </c>
      <c r="R755" s="2">
        <f t="shared" si="47"/>
        <v>21.356845091621715</v>
      </c>
      <c r="S755" s="2">
        <f t="shared" si="46"/>
        <v>2.1744829469428146</v>
      </c>
      <c r="T755" s="2">
        <f t="shared" si="48"/>
        <v>4.0406339505952662</v>
      </c>
      <c r="U755" s="2">
        <f t="shared" si="49"/>
        <v>27.571961989159796</v>
      </c>
    </row>
    <row r="756" spans="1:21" x14ac:dyDescent="0.25">
      <c r="A756">
        <v>2471241</v>
      </c>
      <c r="B756">
        <v>43</v>
      </c>
      <c r="C756" s="1">
        <f>0.786126137948381*(10.3/7.3)</f>
        <v>1.1091916740915519</v>
      </c>
      <c r="D756" s="1">
        <f>0.923411290037097*(10.3/7.3)</f>
        <v>1.3028953818331637</v>
      </c>
      <c r="E756" s="1">
        <f>3.27307314082973*(10.3/7.3)</f>
        <v>4.6181716918556486</v>
      </c>
      <c r="F756" s="1">
        <f>6.62249035141771*(38.9/42.5)</f>
        <v>6.061526462827036</v>
      </c>
      <c r="G756" s="1">
        <v>0.2437491537370873</v>
      </c>
      <c r="H756" s="1">
        <v>1.8024933611219167</v>
      </c>
      <c r="I756" s="1">
        <v>5.0504895119047939</v>
      </c>
      <c r="J756" s="1">
        <v>1.378113637018811E-2</v>
      </c>
      <c r="K756" s="1">
        <v>2.0039123012083819</v>
      </c>
      <c r="L756" s="1">
        <v>3.8985300207813047</v>
      </c>
      <c r="M756" s="1">
        <v>6.0078636562540422E-2</v>
      </c>
      <c r="N756" s="1">
        <v>0.71805350361486431</v>
      </c>
      <c r="O756" s="1">
        <v>0.11344000000000001</v>
      </c>
      <c r="P756" s="1">
        <v>0.10064048075775739</v>
      </c>
      <c r="Q756" s="1">
        <v>0.38955344204557374</v>
      </c>
      <c r="R756" s="2">
        <f t="shared" si="47"/>
        <v>20.578070679416772</v>
      </c>
      <c r="S756" s="2">
        <f t="shared" si="46"/>
        <v>2.1183339183363277</v>
      </c>
      <c r="T756" s="2">
        <f t="shared" si="48"/>
        <v>4.7901021609587096</v>
      </c>
      <c r="U756" s="2">
        <f t="shared" si="49"/>
        <v>27.486506758711812</v>
      </c>
    </row>
    <row r="757" spans="1:21" x14ac:dyDescent="0.25">
      <c r="A757">
        <v>2471297</v>
      </c>
      <c r="B757">
        <v>34</v>
      </c>
      <c r="C757" s="1">
        <f>3.0729501482903*(10.3/7.3)</f>
        <v>4.3358063736150818</v>
      </c>
      <c r="D757" s="1">
        <f>3.7328988016584*(10.3/7.3)</f>
        <v>5.2669668023399376</v>
      </c>
      <c r="E757" s="1">
        <f>13.1926341760539*(10.3/7.3)</f>
        <v>18.614264659363702</v>
      </c>
      <c r="F757" s="1">
        <f>27.5955888840197*(38.9/42.5)</f>
        <v>25.2580801785498</v>
      </c>
      <c r="G757" s="1">
        <v>1.0658805672521745</v>
      </c>
      <c r="H757" s="1">
        <v>6.669959242503821</v>
      </c>
      <c r="I757" s="1">
        <v>20.929493684830916</v>
      </c>
      <c r="J757" s="1">
        <v>3.4279595153462128E-2</v>
      </c>
      <c r="K757" s="1">
        <v>3.5554061802150771</v>
      </c>
      <c r="L757" s="1">
        <v>5.7576917643539298</v>
      </c>
      <c r="M757" s="1">
        <v>0.12141970553535444</v>
      </c>
      <c r="N757" s="1">
        <v>1.4967105979960946</v>
      </c>
      <c r="O757" s="1">
        <v>0.25402980392156865</v>
      </c>
      <c r="P757" s="1">
        <v>0.17189744816962627</v>
      </c>
      <c r="Q757" s="1">
        <v>1.7034620937820153</v>
      </c>
      <c r="R757" s="2">
        <f t="shared" si="47"/>
        <v>83.843913602237464</v>
      </c>
      <c r="S757" s="2">
        <f t="shared" si="46"/>
        <v>3.7615832235381657</v>
      </c>
      <c r="T757" s="2">
        <f t="shared" si="48"/>
        <v>7.629851871806947</v>
      </c>
      <c r="U757" s="2">
        <f t="shared" si="49"/>
        <v>95.23534869758258</v>
      </c>
    </row>
    <row r="758" spans="1:21" x14ac:dyDescent="0.25">
      <c r="A758">
        <v>2471593</v>
      </c>
      <c r="B758">
        <v>1</v>
      </c>
      <c r="C758" s="1">
        <f>14.8045064573798*(10.3/7.3)</f>
        <v>20.888550206987887</v>
      </c>
      <c r="D758" s="1">
        <f>14.3222569646708*(10.3/7.3)</f>
        <v>20.208115991247787</v>
      </c>
      <c r="E758" s="1">
        <f>51.4643892625714*(10.3/7.3)</f>
        <v>72.614138274587091</v>
      </c>
      <c r="F758" s="1">
        <f>95.1386955143756*(38.9/42.5)</f>
        <v>87.07988836492261</v>
      </c>
      <c r="G758" s="1">
        <v>2.8883798128688123</v>
      </c>
      <c r="H758" s="1">
        <v>3.5169630453052938</v>
      </c>
      <c r="I758" s="1">
        <v>77.241391173091301</v>
      </c>
      <c r="J758" s="1">
        <v>4.2644197760044619E-2</v>
      </c>
      <c r="K758" s="1">
        <v>3.2607700543482014</v>
      </c>
      <c r="L758" s="1">
        <v>4.0096475464111654</v>
      </c>
      <c r="M758" s="1">
        <v>0.24793767617049467</v>
      </c>
      <c r="N758" s="1">
        <v>1.8731491506829416</v>
      </c>
      <c r="O758" s="1">
        <v>0.21023999999999998</v>
      </c>
      <c r="P758" s="1">
        <v>0.14325918274011779</v>
      </c>
      <c r="Q758" s="1">
        <v>4.6161321210232211</v>
      </c>
      <c r="R758" s="2">
        <f t="shared" si="47"/>
        <v>289.05355899003399</v>
      </c>
      <c r="S758" s="2">
        <f t="shared" si="46"/>
        <v>3.4466734348483636</v>
      </c>
      <c r="T758" s="2">
        <f t="shared" si="48"/>
        <v>6.3409743732646016</v>
      </c>
      <c r="U758" s="2">
        <f t="shared" si="49"/>
        <v>298.84120679814697</v>
      </c>
    </row>
    <row r="759" spans="1:21" x14ac:dyDescent="0.25">
      <c r="A759">
        <v>2471601</v>
      </c>
      <c r="B759">
        <v>7</v>
      </c>
      <c r="C759" s="1">
        <f>12.7686663365256*(10.3/7.3)</f>
        <v>18.016063461125146</v>
      </c>
      <c r="D759" s="1">
        <f>12.9716708970477*(10.3/7.3)</f>
        <v>18.302494553368735</v>
      </c>
      <c r="E759" s="1">
        <f>46.4541314171134*(10.3/7.3)</f>
        <v>65.544870355653117</v>
      </c>
      <c r="F759" s="1">
        <f>87.347584103778*(38.9/42.5)</f>
        <v>79.948729920869766</v>
      </c>
      <c r="G759" s="1">
        <v>2.7764865172100222</v>
      </c>
      <c r="H759" s="1">
        <v>4.05825576124258</v>
      </c>
      <c r="I759" s="1">
        <v>69.615219957633911</v>
      </c>
      <c r="J759" s="1">
        <v>3.7832404699358987E-2</v>
      </c>
      <c r="K759" s="1">
        <v>2.9185843918947141</v>
      </c>
      <c r="L759" s="1">
        <v>3.4245695152069948</v>
      </c>
      <c r="M759" s="1">
        <v>0.22300990231266885</v>
      </c>
      <c r="N759" s="1">
        <v>1.6711334531496078</v>
      </c>
      <c r="O759" s="1">
        <v>0.1869790476190476</v>
      </c>
      <c r="P759" s="1">
        <v>0.12992488938600391</v>
      </c>
      <c r="Q759" s="1">
        <v>4.4373072192854286</v>
      </c>
      <c r="R759" s="2">
        <f t="shared" si="47"/>
        <v>262.69942774638872</v>
      </c>
      <c r="S759" s="2">
        <f t="shared" si="46"/>
        <v>3.0863416859800767</v>
      </c>
      <c r="T759" s="2">
        <f t="shared" si="48"/>
        <v>5.5056919182883188</v>
      </c>
      <c r="U759" s="2">
        <f t="shared" si="49"/>
        <v>271.29146135065713</v>
      </c>
    </row>
    <row r="760" spans="1:21" x14ac:dyDescent="0.25">
      <c r="A760">
        <v>2471617</v>
      </c>
      <c r="B760">
        <v>12</v>
      </c>
      <c r="C760" s="1">
        <f>10.1272330066266*(10.3/7.3)</f>
        <v>14.28910958469228</v>
      </c>
      <c r="D760" s="1">
        <f>10.4853220028837*(10.3/7.3)</f>
        <v>14.794358442425004</v>
      </c>
      <c r="E760" s="1">
        <f>37.5290316874374*(10.3/7.3)</f>
        <v>52.951921422000702</v>
      </c>
      <c r="F760" s="1">
        <f>69.6704375409323*(38.9/42.5)</f>
        <v>63.768941655112165</v>
      </c>
      <c r="G760" s="1">
        <v>2.1818426261027972</v>
      </c>
      <c r="H760" s="1">
        <v>5.6152441095606216</v>
      </c>
      <c r="I760" s="1">
        <v>55.001127606042935</v>
      </c>
      <c r="J760" s="1">
        <v>3.0853041719360971E-2</v>
      </c>
      <c r="K760" s="1">
        <v>2.4123353418491287</v>
      </c>
      <c r="L760" s="1">
        <v>2.5606113288325818</v>
      </c>
      <c r="M760" s="1">
        <v>0.20733371886814347</v>
      </c>
      <c r="N760" s="1">
        <v>1.4676116011961469</v>
      </c>
      <c r="O760" s="1">
        <v>0.14799555555555555</v>
      </c>
      <c r="P760" s="1">
        <v>0.11141754402911025</v>
      </c>
      <c r="Q760" s="1">
        <v>3.4869631010775333</v>
      </c>
      <c r="R760" s="2">
        <f t="shared" si="47"/>
        <v>212.08950854701402</v>
      </c>
      <c r="S760" s="2">
        <f t="shared" si="46"/>
        <v>2.5546059275975996</v>
      </c>
      <c r="T760" s="2">
        <f t="shared" si="48"/>
        <v>4.3835522044524273</v>
      </c>
      <c r="U760" s="2">
        <f t="shared" si="49"/>
        <v>219.02766667906405</v>
      </c>
    </row>
    <row r="761" spans="1:21" x14ac:dyDescent="0.25">
      <c r="A761">
        <v>2471625</v>
      </c>
      <c r="B761">
        <v>53</v>
      </c>
      <c r="C761" s="1">
        <f>8.66743091034235*(10.3/7.3)</f>
        <v>12.229388818702214</v>
      </c>
      <c r="D761" s="1">
        <f>9.52235081862456*(10.3/7.3)</f>
        <v>13.435645675593564</v>
      </c>
      <c r="E761" s="1">
        <f>34.0530278826262*(10.3/7.3)</f>
        <v>48.047422902883497</v>
      </c>
      <c r="F761" s="1">
        <f>59.3634458576582*(38.9/42.5)</f>
        <v>54.335012796774222</v>
      </c>
      <c r="G761" s="1">
        <v>1.6943490736918285</v>
      </c>
      <c r="H761" s="1">
        <v>3.2154755696747812</v>
      </c>
      <c r="I761" s="1">
        <v>45.25653734710783</v>
      </c>
      <c r="J761" s="1">
        <v>2.5554174234933998E-2</v>
      </c>
      <c r="K761" s="1">
        <v>2.0727736000690533</v>
      </c>
      <c r="L761" s="1">
        <v>2.1018220387272293</v>
      </c>
      <c r="M761" s="1">
        <v>0.18728022729923394</v>
      </c>
      <c r="N761" s="1">
        <v>1.2134498337790081</v>
      </c>
      <c r="O761" s="1">
        <v>0.12659622641509435</v>
      </c>
      <c r="P761" s="1">
        <v>9.8181215966171548E-2</v>
      </c>
      <c r="Q761" s="1">
        <v>2.7078638164024675</v>
      </c>
      <c r="R761" s="2">
        <f t="shared" si="47"/>
        <v>180.92169600083042</v>
      </c>
      <c r="S761" s="2">
        <f t="shared" si="46"/>
        <v>2.1965089902701589</v>
      </c>
      <c r="T761" s="2">
        <f t="shared" si="48"/>
        <v>3.6291483262205655</v>
      </c>
      <c r="U761" s="2">
        <f t="shared" si="49"/>
        <v>186.74735331732114</v>
      </c>
    </row>
    <row r="762" spans="1:21" x14ac:dyDescent="0.25">
      <c r="A762">
        <v>2471857</v>
      </c>
      <c r="B762">
        <v>28</v>
      </c>
      <c r="C762" s="1">
        <f>16.5774739857704*(10.3/7.3)</f>
        <v>23.39013452786779</v>
      </c>
      <c r="D762" s="1">
        <f>16.0291202580769*(10.3/7.3)</f>
        <v>22.616429953177065</v>
      </c>
      <c r="E762" s="1">
        <f>57.9289997398638*(10.3/7.3)</f>
        <v>81.735437989122971</v>
      </c>
      <c r="F762" s="1">
        <f>90.5043405790433*(38.9/42.5)</f>
        <v>82.838090553524296</v>
      </c>
      <c r="G762" s="1">
        <v>1.8588082143207429</v>
      </c>
      <c r="H762" s="1">
        <v>3.5644101350998847</v>
      </c>
      <c r="I762" s="1">
        <v>72.049174648258571</v>
      </c>
      <c r="J762" s="1">
        <v>2.9111105548361944E-2</v>
      </c>
      <c r="K762" s="1">
        <v>2.3380346052996575</v>
      </c>
      <c r="L762" s="1">
        <v>2.1169244836250067</v>
      </c>
      <c r="M762" s="1">
        <v>0.11146923443048551</v>
      </c>
      <c r="N762" s="1">
        <v>1.5198390625184692</v>
      </c>
      <c r="O762" s="1">
        <v>9.90342857142857E-2</v>
      </c>
      <c r="P762" s="1">
        <v>8.4464010007241547E-2</v>
      </c>
      <c r="Q762" s="1">
        <v>2.9706980594167161</v>
      </c>
      <c r="R762" s="2">
        <f t="shared" si="47"/>
        <v>291.02318408078798</v>
      </c>
      <c r="S762" s="2">
        <f t="shared" si="46"/>
        <v>2.4516097208552607</v>
      </c>
      <c r="T762" s="2">
        <f t="shared" si="48"/>
        <v>3.8472670662882469</v>
      </c>
      <c r="U762" s="2">
        <f t="shared" si="49"/>
        <v>297.3220608679315</v>
      </c>
    </row>
    <row r="763" spans="1:21" x14ac:dyDescent="0.25">
      <c r="A763">
        <v>2471865</v>
      </c>
      <c r="B763">
        <v>21</v>
      </c>
      <c r="C763" s="1">
        <f>18.1169666502918*(10.3/7.3)</f>
        <v>25.562295410685742</v>
      </c>
      <c r="D763" s="1">
        <f>18.5764481072045*(10.3/7.3)</f>
        <v>26.2106048635899</v>
      </c>
      <c r="E763" s="1">
        <f>66.9996246270435*(10.3/7.3)</f>
        <v>94.533716939527139</v>
      </c>
      <c r="F763" s="1">
        <f>100.430339715614*(38.9/42.5)</f>
        <v>91.923299174996941</v>
      </c>
      <c r="G763" s="1">
        <v>1.8720923498784079</v>
      </c>
      <c r="H763" s="1">
        <v>3.4535882893790664</v>
      </c>
      <c r="I763" s="1">
        <v>77.067094256336674</v>
      </c>
      <c r="J763" s="1">
        <v>3.2532441149271472E-2</v>
      </c>
      <c r="K763" s="1">
        <v>2.5597465387006211</v>
      </c>
      <c r="L763" s="1">
        <v>2.3921349032308599</v>
      </c>
      <c r="M763" s="1">
        <v>0.12097506376985885</v>
      </c>
      <c r="N763" s="1">
        <v>1.6803332641446038</v>
      </c>
      <c r="O763" s="1">
        <v>0.10882031746031744</v>
      </c>
      <c r="P763" s="1">
        <v>8.9818062866947643E-2</v>
      </c>
      <c r="Q763" s="1">
        <v>2.9919284130476869</v>
      </c>
      <c r="R763" s="2">
        <f t="shared" si="47"/>
        <v>323.61461969744158</v>
      </c>
      <c r="S763" s="2">
        <f t="shared" si="46"/>
        <v>2.6820970427168405</v>
      </c>
      <c r="T763" s="2">
        <f t="shared" si="48"/>
        <v>4.30226354860564</v>
      </c>
      <c r="U763" s="2">
        <f t="shared" si="49"/>
        <v>330.5989802887641</v>
      </c>
    </row>
    <row r="764" spans="1:21" x14ac:dyDescent="0.25">
      <c r="A764">
        <v>2471873</v>
      </c>
      <c r="B764">
        <v>56</v>
      </c>
      <c r="C764" s="1">
        <f>15.1595551536942*(10.3/7.3)</f>
        <v>21.389509326445225</v>
      </c>
      <c r="D764" s="1">
        <f>16.240058432185*(10.3/7.3)</f>
        <v>22.914055048151422</v>
      </c>
      <c r="E764" s="1">
        <f>58.4552375198831*(10.3/7.3)</f>
        <v>82.477937870520037</v>
      </c>
      <c r="F764" s="1">
        <f>86.6750049174233*(38.9/42.5)</f>
        <v>79.333122147947449</v>
      </c>
      <c r="G764" s="1">
        <v>1.602622382770456</v>
      </c>
      <c r="H764" s="1">
        <v>3.241973869003997</v>
      </c>
      <c r="I764" s="1">
        <v>64.866037644283011</v>
      </c>
      <c r="J764" s="1">
        <v>2.8889246609055955E-2</v>
      </c>
      <c r="K764" s="1">
        <v>2.3988972769933961</v>
      </c>
      <c r="L764" s="1">
        <v>2.1972230199585838</v>
      </c>
      <c r="M764" s="1">
        <v>0.11104682306629346</v>
      </c>
      <c r="N764" s="1">
        <v>1.5391966078316994</v>
      </c>
      <c r="O764" s="1">
        <v>0.10062380952380953</v>
      </c>
      <c r="P764" s="1">
        <v>8.507052505575112E-2</v>
      </c>
      <c r="Q764" s="1">
        <v>2.5612686482632889</v>
      </c>
      <c r="R764" s="2">
        <f t="shared" si="47"/>
        <v>278.38652693738493</v>
      </c>
      <c r="S764" s="2">
        <f t="shared" si="46"/>
        <v>2.5128570486582031</v>
      </c>
      <c r="T764" s="2">
        <f t="shared" si="48"/>
        <v>3.9480902603803862</v>
      </c>
      <c r="U764" s="2">
        <f t="shared" si="49"/>
        <v>284.84747424642353</v>
      </c>
    </row>
    <row r="765" spans="1:21" x14ac:dyDescent="0.25">
      <c r="A765">
        <v>2471881</v>
      </c>
      <c r="B765">
        <v>39</v>
      </c>
      <c r="C765" s="1">
        <f>15.167258379847*(10.3/7.3)</f>
        <v>21.400378261975852</v>
      </c>
      <c r="D765" s="1">
        <f>16.3204109086632*(10.3/7.3)</f>
        <v>23.027429090305557</v>
      </c>
      <c r="E765" s="1">
        <f>58.7068160235846*(10.3/7.3)</f>
        <v>82.832904800400243</v>
      </c>
      <c r="F765" s="1">
        <f>88.2513560890429*(38.9/42.5)</f>
        <v>80.775947102676909</v>
      </c>
      <c r="G765" s="1">
        <v>1.7153985035622754</v>
      </c>
      <c r="H765" s="1">
        <v>4.5360580604168996</v>
      </c>
      <c r="I765" s="1">
        <v>66.074597355120716</v>
      </c>
      <c r="J765" s="1">
        <v>2.8026469616523671E-2</v>
      </c>
      <c r="K765" s="1">
        <v>2.3632337488308091</v>
      </c>
      <c r="L765" s="1">
        <v>2.1617080981290475</v>
      </c>
      <c r="M765" s="1">
        <v>0.10754822825078635</v>
      </c>
      <c r="N765" s="1">
        <v>1.4869076238918522</v>
      </c>
      <c r="O765" s="1">
        <v>9.9107008547008532E-2</v>
      </c>
      <c r="P765" s="1">
        <v>8.3234340197083201E-2</v>
      </c>
      <c r="Q765" s="1">
        <v>2.7415044577479315</v>
      </c>
      <c r="R765" s="2">
        <f t="shared" si="47"/>
        <v>283.10421763220637</v>
      </c>
      <c r="S765" s="2">
        <f t="shared" si="46"/>
        <v>2.474494558644416</v>
      </c>
      <c r="T765" s="2">
        <f t="shared" si="48"/>
        <v>3.8552709588186946</v>
      </c>
      <c r="U765" s="2">
        <f t="shared" si="49"/>
        <v>289.43398314966953</v>
      </c>
    </row>
    <row r="766" spans="1:21" x14ac:dyDescent="0.25">
      <c r="A766">
        <v>2471977</v>
      </c>
      <c r="B766">
        <v>9</v>
      </c>
      <c r="C766" s="1">
        <f>12.4528146116704*(10.3/7.3)</f>
        <v>17.570409657562319</v>
      </c>
      <c r="D766" s="1">
        <f>11.9983291117392*(10.3/7.3)</f>
        <v>16.929149294645672</v>
      </c>
      <c r="E766" s="1">
        <f>43.303653095432*(10.3/7.3)</f>
        <v>61.099674915472548</v>
      </c>
      <c r="F766" s="1">
        <f>71.0061275920612*(38.9/42.5)</f>
        <v>64.991490901910169</v>
      </c>
      <c r="G766" s="1">
        <v>1.6676018170054874</v>
      </c>
      <c r="H766" s="1">
        <v>6.4106290211359145</v>
      </c>
      <c r="I766" s="1">
        <v>56.971040819486774</v>
      </c>
      <c r="J766" s="1">
        <v>4.0256688445983083E-2</v>
      </c>
      <c r="K766" s="1">
        <v>3.3451521665960415</v>
      </c>
      <c r="L766" s="1">
        <v>3.9177537138523775</v>
      </c>
      <c r="M766" s="1">
        <v>0.11768027653358658</v>
      </c>
      <c r="N766" s="1">
        <v>1.9763770279808044</v>
      </c>
      <c r="O766" s="1">
        <v>0.11513481481481483</v>
      </c>
      <c r="P766" s="1">
        <v>9.1886270276820559E-2</v>
      </c>
      <c r="Q766" s="1">
        <v>2.6651170591411932</v>
      </c>
      <c r="R766" s="2">
        <f t="shared" si="47"/>
        <v>228.30511348636006</v>
      </c>
      <c r="S766" s="2">
        <f t="shared" si="46"/>
        <v>3.4772951253188453</v>
      </c>
      <c r="T766" s="2">
        <f t="shared" si="48"/>
        <v>6.1269458331815834</v>
      </c>
      <c r="U766" s="2">
        <f t="shared" si="49"/>
        <v>237.9093544448605</v>
      </c>
    </row>
    <row r="767" spans="1:21" x14ac:dyDescent="0.25">
      <c r="A767">
        <v>2471985</v>
      </c>
      <c r="B767">
        <v>19</v>
      </c>
      <c r="C767" s="1">
        <f>8.19034693791378*(10.3/7.3)</f>
        <v>11.556242939796151</v>
      </c>
      <c r="D767" s="1">
        <f>7.95246290638124*(10.3/7.3)</f>
        <v>11.220598347359836</v>
      </c>
      <c r="E767" s="1">
        <f>28.7089116381913*(10.3/7.3)</f>
        <v>40.507094503201465</v>
      </c>
      <c r="F767" s="1">
        <f>46.0685793074027*(38.9/42.5)</f>
        <v>42.16629964842268</v>
      </c>
      <c r="G767" s="1">
        <v>1.025671871142052</v>
      </c>
      <c r="H767" s="1">
        <v>5.9920790476314449</v>
      </c>
      <c r="I767" s="1">
        <v>36.723614570863049</v>
      </c>
      <c r="J767" s="1">
        <v>3.0164712183551854E-2</v>
      </c>
      <c r="K767" s="1">
        <v>2.691824939913205</v>
      </c>
      <c r="L767" s="1">
        <v>2.8105392472049293</v>
      </c>
      <c r="M767" s="1">
        <v>9.6653455168786553E-2</v>
      </c>
      <c r="N767" s="1">
        <v>1.5383491107505247</v>
      </c>
      <c r="O767" s="1">
        <v>9.625263157894734E-2</v>
      </c>
      <c r="P767" s="1">
        <v>7.9787458741438944E-2</v>
      </c>
      <c r="Q767" s="1">
        <v>1.6392016205466597</v>
      </c>
      <c r="R767" s="2">
        <f t="shared" si="47"/>
        <v>150.83080254896333</v>
      </c>
      <c r="S767" s="2">
        <f t="shared" si="46"/>
        <v>2.8017771108381959</v>
      </c>
      <c r="T767" s="2">
        <f t="shared" si="48"/>
        <v>4.5417944447031875</v>
      </c>
      <c r="U767" s="2">
        <f t="shared" si="49"/>
        <v>158.17437410450472</v>
      </c>
    </row>
    <row r="768" spans="1:21" x14ac:dyDescent="0.25">
      <c r="A768">
        <v>2483285</v>
      </c>
      <c r="B768">
        <v>10</v>
      </c>
      <c r="C768" s="1">
        <f>0.427187877343628*(10.3/7.3)</f>
        <v>0.60274453926566751</v>
      </c>
      <c r="D768" s="1">
        <f>0.58781561832057*(10.3/7.3)</f>
        <v>0.82938368064409262</v>
      </c>
      <c r="E768" s="1">
        <f>2.06597319786238*(10.3/7.3)</f>
        <v>2.9150032791756839</v>
      </c>
      <c r="F768" s="1">
        <f>4.33014361314073*(38.9/42.5)</f>
        <v>3.9633549776746921</v>
      </c>
      <c r="G768" s="1">
        <v>0.17175774162111421</v>
      </c>
      <c r="H768" s="1">
        <v>1.2144103627213207</v>
      </c>
      <c r="I768" s="1">
        <v>3.1571547141303462</v>
      </c>
      <c r="J768" s="1">
        <v>1.0746337835531245E-2</v>
      </c>
      <c r="K768" s="1">
        <v>2.3011524282238902</v>
      </c>
      <c r="L768" s="1">
        <v>2.0459424087810199</v>
      </c>
      <c r="M768" s="1">
        <v>5.2549877065370829E-2</v>
      </c>
      <c r="N768" s="1">
        <v>0.5654483034376202</v>
      </c>
      <c r="O768" s="1">
        <v>9.3765333333333339E-2</v>
      </c>
      <c r="P768" s="1">
        <v>0.23750199774071978</v>
      </c>
      <c r="Q768" s="1">
        <v>0.2744986738236988</v>
      </c>
      <c r="R768" s="2">
        <f t="shared" si="47"/>
        <v>13.128307969056616</v>
      </c>
      <c r="S768" s="2">
        <f t="shared" si="46"/>
        <v>2.5494007638001412</v>
      </c>
      <c r="T768" s="2">
        <f t="shared" si="48"/>
        <v>2.7577059226173444</v>
      </c>
      <c r="U768" s="2">
        <f t="shared" si="49"/>
        <v>18.435414655474101</v>
      </c>
    </row>
    <row r="769" spans="1:21" x14ac:dyDescent="0.25">
      <c r="A769">
        <v>2483453</v>
      </c>
      <c r="B769">
        <v>14</v>
      </c>
      <c r="C769" s="1">
        <f>0.71937190184347*(10.3/7.3)</f>
        <v>1.0150041902722928</v>
      </c>
      <c r="D769" s="1">
        <f>1.0032633360998*(10.3/7.3)</f>
        <v>1.4155633372367087</v>
      </c>
      <c r="E769" s="1">
        <f>3.4986310577054*(10.3/7.3)</f>
        <v>4.9364246430637833</v>
      </c>
      <c r="F769" s="1">
        <f>8.62555513260304*(38.9/42.5)</f>
        <v>7.8949198743119569</v>
      </c>
      <c r="G769" s="1">
        <v>0.40021013008917794</v>
      </c>
      <c r="H769" s="1">
        <v>4.0579198526422644</v>
      </c>
      <c r="I769" s="1">
        <v>6.4817949584008714</v>
      </c>
      <c r="J769" s="1">
        <v>1.2755676666163734E-2</v>
      </c>
      <c r="K769" s="1">
        <v>1.9065049113523291</v>
      </c>
      <c r="L769" s="1">
        <v>2.569231472033898</v>
      </c>
      <c r="M769" s="1">
        <v>5.7153482134147851E-2</v>
      </c>
      <c r="N769" s="1">
        <v>0.6007057649357026</v>
      </c>
      <c r="O769" s="1">
        <v>0.10516571428571428</v>
      </c>
      <c r="P769" s="1">
        <v>9.1805538956955354E-2</v>
      </c>
      <c r="Q769" s="1">
        <v>0.63960523073612963</v>
      </c>
      <c r="R769" s="2">
        <f t="shared" si="47"/>
        <v>26.841442216753187</v>
      </c>
      <c r="S769" s="2">
        <f t="shared" si="46"/>
        <v>2.0110661269754484</v>
      </c>
      <c r="T769" s="2">
        <f t="shared" si="48"/>
        <v>3.3322564333894626</v>
      </c>
      <c r="U769" s="2">
        <f t="shared" si="49"/>
        <v>32.184764777118097</v>
      </c>
    </row>
    <row r="770" spans="1:21" x14ac:dyDescent="0.25">
      <c r="A770">
        <v>2483461</v>
      </c>
      <c r="B770">
        <v>46</v>
      </c>
      <c r="C770" s="1">
        <f>0.704811986137237*(10.3/7.3)</f>
        <v>0.99446074756349845</v>
      </c>
      <c r="D770" s="1">
        <f>0.887987918453728*(10.3/7.3)</f>
        <v>1.2529144602840279</v>
      </c>
      <c r="E770" s="1">
        <f>3.13277453696666*(10.3/7.3)</f>
        <v>4.4202161275009058</v>
      </c>
      <c r="F770" s="1">
        <f>6.56806193190844*(38.9/42.5)</f>
        <v>6.0117084506173706</v>
      </c>
      <c r="G770" s="1">
        <v>0.25627629917914779</v>
      </c>
      <c r="H770" s="1">
        <v>2.8541934697998044</v>
      </c>
      <c r="I770" s="1">
        <v>4.9243514044694425</v>
      </c>
      <c r="J770" s="1">
        <v>1.3393949390339608E-2</v>
      </c>
      <c r="K770" s="1">
        <v>2.0352258388490583</v>
      </c>
      <c r="L770" s="1">
        <v>2.9466035753649007</v>
      </c>
      <c r="M770" s="1">
        <v>5.7333223853320014E-2</v>
      </c>
      <c r="N770" s="1">
        <v>0.65631708477909745</v>
      </c>
      <c r="O770" s="1">
        <v>0.11143188405797103</v>
      </c>
      <c r="P770" s="1">
        <v>0.10384125652159974</v>
      </c>
      <c r="Q770" s="1">
        <v>0.40957399412192602</v>
      </c>
      <c r="R770" s="2">
        <f t="shared" si="47"/>
        <v>21.12369495353612</v>
      </c>
      <c r="S770" s="2">
        <f t="shared" si="46"/>
        <v>2.1524610447609973</v>
      </c>
      <c r="T770" s="2">
        <f t="shared" si="48"/>
        <v>3.7716857680552893</v>
      </c>
      <c r="U770" s="2">
        <f t="shared" si="49"/>
        <v>27.047841766352406</v>
      </c>
    </row>
    <row r="771" spans="1:21" x14ac:dyDescent="0.25">
      <c r="A771">
        <v>2483469</v>
      </c>
      <c r="B771">
        <v>40</v>
      </c>
      <c r="C771" s="1">
        <f>0.668871345687402*(10.3/7.3)</f>
        <v>0.94374998090140227</v>
      </c>
      <c r="D771" s="1">
        <f>0.807373198858522*(10.3/7.3)</f>
        <v>1.1391704038688737</v>
      </c>
      <c r="E771" s="1">
        <f>2.85786635143512*(10.3/7.3)</f>
        <v>4.0323319753125659</v>
      </c>
      <c r="F771" s="1">
        <f>5.79370292177683*(38.9/42.5)</f>
        <v>5.3029422036969063</v>
      </c>
      <c r="G771" s="1">
        <v>0.21511562729645917</v>
      </c>
      <c r="H771" s="1">
        <v>1.5336998850363939</v>
      </c>
      <c r="I771" s="1">
        <v>4.3782735044160983</v>
      </c>
      <c r="J771" s="1">
        <v>1.2848845297232944E-2</v>
      </c>
      <c r="K771" s="1">
        <v>1.8750442873402164</v>
      </c>
      <c r="L771" s="1">
        <v>3.0693433633848626</v>
      </c>
      <c r="M771" s="1">
        <v>5.6773604122842679E-2</v>
      </c>
      <c r="N771" s="1">
        <v>0.63580741276220987</v>
      </c>
      <c r="O771" s="1">
        <v>0.10658533333333331</v>
      </c>
      <c r="P771" s="1">
        <v>9.5342210002317532E-2</v>
      </c>
      <c r="Q771" s="1">
        <v>0.34379209841899916</v>
      </c>
      <c r="R771" s="2">
        <f t="shared" si="47"/>
        <v>17.889075678947695</v>
      </c>
      <c r="S771" s="2">
        <f t="shared" si="46"/>
        <v>1.9832353426397669</v>
      </c>
      <c r="T771" s="2">
        <f t="shared" si="48"/>
        <v>3.8685097136032485</v>
      </c>
      <c r="U771" s="2">
        <f t="shared" si="49"/>
        <v>23.740820735190709</v>
      </c>
    </row>
    <row r="772" spans="1:21" x14ac:dyDescent="0.25">
      <c r="A772">
        <v>2483477</v>
      </c>
      <c r="B772">
        <v>4</v>
      </c>
      <c r="C772" s="1">
        <f>0.705972227487372*(10.3/7.3)</f>
        <v>0.9960978004273886</v>
      </c>
      <c r="D772" s="1">
        <f>0.829730411711628*(10.3/7.3)</f>
        <v>1.170715512415037</v>
      </c>
      <c r="E772" s="1">
        <f>2.9416648725898*(10.3/7.3)</f>
        <v>4.1505682448869825</v>
      </c>
      <c r="F772" s="1">
        <f>5.91519768647477*(38.9/42.5)</f>
        <v>5.4141456471498479</v>
      </c>
      <c r="G772" s="1">
        <v>0.21601154005416554</v>
      </c>
      <c r="H772" s="1">
        <v>1.4905104367508035</v>
      </c>
      <c r="I772" s="1">
        <v>4.5052480756548192</v>
      </c>
      <c r="J772" s="1">
        <v>1.3117864415440592E-2</v>
      </c>
      <c r="K772" s="1">
        <v>1.8342067414332277</v>
      </c>
      <c r="L772" s="1">
        <v>4.2446462098650004</v>
      </c>
      <c r="M772" s="1">
        <v>5.9290925050850082E-2</v>
      </c>
      <c r="N772" s="1">
        <v>0.64188753172250412</v>
      </c>
      <c r="O772" s="1">
        <v>0.10831999999999999</v>
      </c>
      <c r="P772" s="1">
        <v>9.3231674776349555E-2</v>
      </c>
      <c r="Q772" s="1">
        <v>0.34522392246099548</v>
      </c>
      <c r="R772" s="2">
        <f t="shared" si="47"/>
        <v>18.288521179800039</v>
      </c>
      <c r="S772" s="2">
        <f t="shared" si="46"/>
        <v>1.9405562806250178</v>
      </c>
      <c r="T772" s="2">
        <f t="shared" si="48"/>
        <v>5.0541446666383543</v>
      </c>
      <c r="U772" s="2">
        <f t="shared" si="49"/>
        <v>25.283222127063411</v>
      </c>
    </row>
    <row r="773" spans="1:21" x14ac:dyDescent="0.25">
      <c r="A773">
        <v>2483525</v>
      </c>
      <c r="B773">
        <v>52</v>
      </c>
      <c r="C773" s="1">
        <f>3.34818645734819*(10.3/7.3)</f>
        <v>4.7241534946145691</v>
      </c>
      <c r="D773" s="1">
        <f>3.88240866777733*(10.3/7.3)</f>
        <v>5.4779190791926728</v>
      </c>
      <c r="E773" s="1">
        <f>13.7572247015353*(10.3/7.3)</f>
        <v>19.410878688467623</v>
      </c>
      <c r="F773" s="1">
        <f>28.4773626589459*(38.9/42.5)</f>
        <v>26.065162527835209</v>
      </c>
      <c r="G773" s="1">
        <v>1.0753264060436956</v>
      </c>
      <c r="H773" s="1">
        <v>4.3135186127077532</v>
      </c>
      <c r="I773" s="1">
        <v>21.900860225888923</v>
      </c>
      <c r="J773" s="1">
        <v>3.4056279755723652E-2</v>
      </c>
      <c r="K773" s="1">
        <v>3.6836153466102597</v>
      </c>
      <c r="L773" s="1">
        <v>6.034428857059674</v>
      </c>
      <c r="M773" s="1">
        <v>0.12667385633355757</v>
      </c>
      <c r="N773" s="1">
        <v>1.5167203346726648</v>
      </c>
      <c r="O773" s="1">
        <v>0.25989230769230764</v>
      </c>
      <c r="P773" s="1">
        <v>0.1767660925858423</v>
      </c>
      <c r="Q773" s="1">
        <v>1.7185581831748586</v>
      </c>
      <c r="R773" s="2">
        <f t="shared" si="47"/>
        <v>84.686377217925312</v>
      </c>
      <c r="S773" s="2">
        <f t="shared" si="46"/>
        <v>3.8944377189518256</v>
      </c>
      <c r="T773" s="2">
        <f t="shared" si="48"/>
        <v>7.9377153557582041</v>
      </c>
      <c r="U773" s="2">
        <f t="shared" si="49"/>
        <v>96.518530292635333</v>
      </c>
    </row>
    <row r="774" spans="1:21" x14ac:dyDescent="0.25">
      <c r="A774">
        <v>2483533</v>
      </c>
      <c r="B774">
        <v>8</v>
      </c>
      <c r="C774" s="1">
        <f>2.61383976835787*(10.3/7.3)</f>
        <v>3.6880204950802766</v>
      </c>
      <c r="D774" s="1">
        <f>3.51280631748804*(10.3/7.3)</f>
        <v>4.9564253520721682</v>
      </c>
      <c r="E774" s="1">
        <f>12.3520642735741*(10.3/7.3)</f>
        <v>17.428255070933304</v>
      </c>
      <c r="F774" s="1">
        <f>26.2123326581854*(38.9/42.5)</f>
        <v>23.991993891845013</v>
      </c>
      <c r="G774" s="1">
        <v>1.0496261726175991</v>
      </c>
      <c r="H774" s="1">
        <v>7.133019127703716</v>
      </c>
      <c r="I774" s="1">
        <v>19.303966183706539</v>
      </c>
      <c r="J774" s="1">
        <v>3.0777017652044145E-2</v>
      </c>
      <c r="K774" s="1">
        <v>3.1420397175768304</v>
      </c>
      <c r="L774" s="1">
        <v>4.9298900542806461</v>
      </c>
      <c r="M774" s="1">
        <v>0.11099817862318866</v>
      </c>
      <c r="N774" s="1">
        <v>1.4400724267106801</v>
      </c>
      <c r="O774" s="1">
        <v>0.22055333333333335</v>
      </c>
      <c r="P774" s="1">
        <v>0.15613320720697849</v>
      </c>
      <c r="Q774" s="1">
        <v>1.6774847507587216</v>
      </c>
      <c r="R774" s="2">
        <f t="shared" si="47"/>
        <v>79.22879104471734</v>
      </c>
      <c r="S774" s="2">
        <f t="shared" si="46"/>
        <v>3.3289499424358531</v>
      </c>
      <c r="T774" s="2">
        <f t="shared" si="48"/>
        <v>6.7015139929478478</v>
      </c>
      <c r="U774" s="2">
        <f t="shared" si="49"/>
        <v>89.259254980101048</v>
      </c>
    </row>
    <row r="775" spans="1:21" x14ac:dyDescent="0.25">
      <c r="A775">
        <v>2483829</v>
      </c>
      <c r="B775">
        <v>16</v>
      </c>
      <c r="C775" s="1">
        <f>14.3158521969574*(10.3/7.3)</f>
        <v>20.199079127213924</v>
      </c>
      <c r="D775" s="1">
        <f>14.6731404088716*(10.3/7.3)</f>
        <v>20.703198111147575</v>
      </c>
      <c r="E775" s="1">
        <f>52.4431753099883*(10.3/7.3)</f>
        <v>73.99516516340816</v>
      </c>
      <c r="F775" s="1">
        <f>102.573721849767*(38.9/42.5)</f>
        <v>93.885124234256963</v>
      </c>
      <c r="G775" s="1">
        <v>3.4764231491208224</v>
      </c>
      <c r="H775" s="1">
        <v>4.2763264248939539</v>
      </c>
      <c r="I775" s="1">
        <v>81.867369435513183</v>
      </c>
      <c r="J775" s="1">
        <v>4.1171806056289846E-2</v>
      </c>
      <c r="K775" s="1">
        <v>3.1208169644147503</v>
      </c>
      <c r="L775" s="1">
        <v>3.7740691604515786</v>
      </c>
      <c r="M775" s="1">
        <v>0.23943757229560458</v>
      </c>
      <c r="N775" s="1">
        <v>1.800543380005394</v>
      </c>
      <c r="O775" s="1">
        <v>0.19983999999999996</v>
      </c>
      <c r="P775" s="1">
        <v>0.13757813506164601</v>
      </c>
      <c r="Q775" s="1">
        <v>5.5559274072707288</v>
      </c>
      <c r="R775" s="2">
        <f t="shared" si="47"/>
        <v>303.95861305282529</v>
      </c>
      <c r="S775" s="2">
        <f t="shared" si="46"/>
        <v>3.2995669055326862</v>
      </c>
      <c r="T775" s="2">
        <f t="shared" si="48"/>
        <v>6.013890112752577</v>
      </c>
      <c r="U775" s="2">
        <f t="shared" si="49"/>
        <v>313.27207007111053</v>
      </c>
    </row>
    <row r="776" spans="1:21" x14ac:dyDescent="0.25">
      <c r="A776">
        <v>2483853</v>
      </c>
      <c r="B776">
        <v>34</v>
      </c>
      <c r="C776" s="1">
        <f>8.49111274159043*(10.3/7.3)</f>
        <v>11.980611128545398</v>
      </c>
      <c r="D776" s="1">
        <f>8.87881584409727*(10.3/7.3)</f>
        <v>12.527644273178341</v>
      </c>
      <c r="E776" s="1">
        <f>31.7889826516049*(10.3/7.3)</f>
        <v>44.852948124867233</v>
      </c>
      <c r="F776" s="1">
        <f>57.6633390842204*(38.9/42.5)</f>
        <v>52.778915067674689</v>
      </c>
      <c r="G776" s="1">
        <v>1.7407973037462008</v>
      </c>
      <c r="H776" s="1">
        <v>3.0929871137185998</v>
      </c>
      <c r="I776" s="1">
        <v>45.185516232313539</v>
      </c>
      <c r="J776" s="1">
        <v>2.7343205011515177E-2</v>
      </c>
      <c r="K776" s="1">
        <v>2.1935707830190014</v>
      </c>
      <c r="L776" s="1">
        <v>2.285076816889827</v>
      </c>
      <c r="M776" s="1">
        <v>0.19059087495705213</v>
      </c>
      <c r="N776" s="1">
        <v>1.3045938344766774</v>
      </c>
      <c r="O776" s="1">
        <v>0.13434823529411766</v>
      </c>
      <c r="P776" s="1">
        <v>0.10326323822545445</v>
      </c>
      <c r="Q776" s="1">
        <v>2.7820961475395944</v>
      </c>
      <c r="R776" s="2">
        <f t="shared" si="47"/>
        <v>174.94151539158361</v>
      </c>
      <c r="S776" s="2">
        <f t="shared" si="46"/>
        <v>2.324177226255971</v>
      </c>
      <c r="T776" s="2">
        <f t="shared" si="48"/>
        <v>3.9146097616176743</v>
      </c>
      <c r="U776" s="2">
        <f t="shared" si="49"/>
        <v>181.18030237945726</v>
      </c>
    </row>
    <row r="777" spans="1:21" x14ac:dyDescent="0.25">
      <c r="A777">
        <v>2484093</v>
      </c>
      <c r="B777">
        <v>8</v>
      </c>
      <c r="C777" s="1">
        <f>15.9953989596011*(10.3/7.3)</f>
        <v>22.568850586834373</v>
      </c>
      <c r="D777" s="1">
        <f>15.4372758037622*(10.3/7.3)</f>
        <v>21.781361750513785</v>
      </c>
      <c r="E777" s="1">
        <f>55.8370023586654*(10.3/7.3)</f>
        <v>78.783715656747034</v>
      </c>
      <c r="F777" s="1">
        <f>85.1904057239557*(38.9/42.5)</f>
        <v>77.974277239102975</v>
      </c>
      <c r="G777" s="1">
        <v>1.6178735922472367</v>
      </c>
      <c r="H777" s="1">
        <v>3.5320789323194997</v>
      </c>
      <c r="I777" s="1">
        <v>67.674847053296702</v>
      </c>
      <c r="J777" s="1">
        <v>2.8025300015488031E-2</v>
      </c>
      <c r="K777" s="1">
        <v>2.2058207847948927</v>
      </c>
      <c r="L777" s="1">
        <v>1.9804298733571986</v>
      </c>
      <c r="M777" s="1">
        <v>0.10517703959709689</v>
      </c>
      <c r="N777" s="1">
        <v>1.4305814327614275</v>
      </c>
      <c r="O777" s="1">
        <v>9.3413333333333334E-2</v>
      </c>
      <c r="P777" s="1">
        <v>8.0932392460562205E-2</v>
      </c>
      <c r="Q777" s="1">
        <v>2.5856427273357685</v>
      </c>
      <c r="R777" s="2">
        <f t="shared" si="47"/>
        <v>276.51864753839737</v>
      </c>
      <c r="S777" s="2">
        <f t="shared" ref="S777:S840" si="50">J777+K777+P777</f>
        <v>2.3147784772709428</v>
      </c>
      <c r="T777" s="2">
        <f t="shared" si="48"/>
        <v>3.6096016790490566</v>
      </c>
      <c r="U777" s="2">
        <f t="shared" si="49"/>
        <v>282.44302769471733</v>
      </c>
    </row>
    <row r="778" spans="1:21" x14ac:dyDescent="0.25">
      <c r="A778">
        <v>2484101</v>
      </c>
      <c r="B778">
        <v>1</v>
      </c>
      <c r="C778" s="1">
        <f>19.599939810806*(10.3/7.3)</f>
        <v>27.654709596068709</v>
      </c>
      <c r="D778" s="1">
        <f>20.5717622924816*(10.3/7.3)</f>
        <v>29.025911179802851</v>
      </c>
      <c r="E778" s="1">
        <f>74.1303904040887*(10.3/7.3)</f>
        <v>104.59493440576905</v>
      </c>
      <c r="F778" s="1">
        <f>109.744525067558*(38.9/42.5)</f>
        <v>100.44851823830628</v>
      </c>
      <c r="G778" s="1">
        <v>1.9892482069311956</v>
      </c>
      <c r="H778" s="1">
        <v>4.7262340064417838</v>
      </c>
      <c r="I778" s="1">
        <v>82.99656456447633</v>
      </c>
      <c r="J778" s="1">
        <v>3.1747650511507845E-2</v>
      </c>
      <c r="K778" s="1">
        <v>2.5572428768383828</v>
      </c>
      <c r="L778" s="1">
        <v>2.4366024955491268</v>
      </c>
      <c r="M778" s="1">
        <v>0.11920732927826812</v>
      </c>
      <c r="N778" s="1">
        <v>1.6485262064181796</v>
      </c>
      <c r="O778" s="1">
        <v>0.10981333333333333</v>
      </c>
      <c r="P778" s="1">
        <v>9.0064795659623609E-2</v>
      </c>
      <c r="Q778" s="1">
        <v>3.1791638010315943</v>
      </c>
      <c r="R778" s="2">
        <f t="shared" ref="R778:R841" si="51">C778+D778+E778+F778+G778+H778+I778+Q778</f>
        <v>354.61528399882781</v>
      </c>
      <c r="S778" s="2">
        <f t="shared" si="50"/>
        <v>2.6790553230095142</v>
      </c>
      <c r="T778" s="2">
        <f t="shared" ref="T778:T841" si="52">L778+M778+N778+O778</f>
        <v>4.314149364578908</v>
      </c>
      <c r="U778" s="2">
        <f t="shared" ref="U778:U841" si="53">R778+S778+T778</f>
        <v>361.60848868641619</v>
      </c>
    </row>
    <row r="779" spans="1:21" x14ac:dyDescent="0.25">
      <c r="A779">
        <v>2484109</v>
      </c>
      <c r="B779">
        <v>10</v>
      </c>
      <c r="C779" s="1">
        <f>15.3840210362199*(10.3/7.3)</f>
        <v>21.706221462063688</v>
      </c>
      <c r="D779" s="1">
        <f>17.246499755661*(10.3/7.3)</f>
        <v>24.334102394973751</v>
      </c>
      <c r="E779" s="1">
        <f>61.9616400143464*(10.3/7.3)</f>
        <v>87.425327691475033</v>
      </c>
      <c r="F779" s="1">
        <f>90.4851047369779*(38.9/42.5)</f>
        <v>82.820484100433902</v>
      </c>
      <c r="G779" s="1">
        <v>1.63367277231577</v>
      </c>
      <c r="H779" s="1">
        <v>3.5114541442601164</v>
      </c>
      <c r="I779" s="1">
        <v>65.903367612249241</v>
      </c>
      <c r="J779" s="1">
        <v>2.7993263827121029E-2</v>
      </c>
      <c r="K779" s="1">
        <v>2.3550227627351674</v>
      </c>
      <c r="L779" s="1">
        <v>2.1475615519275824</v>
      </c>
      <c r="M779" s="1">
        <v>0.10867773087594768</v>
      </c>
      <c r="N779" s="1">
        <v>1.5022620685667962</v>
      </c>
      <c r="O779" s="1">
        <v>9.9578666666666663E-2</v>
      </c>
      <c r="P779" s="1">
        <v>8.3943024724072696E-2</v>
      </c>
      <c r="Q779" s="1">
        <v>2.610892558495526</v>
      </c>
      <c r="R779" s="2">
        <f t="shared" si="51"/>
        <v>289.94552273626704</v>
      </c>
      <c r="S779" s="2">
        <f t="shared" si="50"/>
        <v>2.4669590512863611</v>
      </c>
      <c r="T779" s="2">
        <f t="shared" si="52"/>
        <v>3.8580800180369925</v>
      </c>
      <c r="U779" s="2">
        <f t="shared" si="53"/>
        <v>296.27056180559043</v>
      </c>
    </row>
    <row r="780" spans="1:21" x14ac:dyDescent="0.25">
      <c r="A780">
        <v>2484205</v>
      </c>
      <c r="B780">
        <v>2</v>
      </c>
      <c r="C780" s="1">
        <f>11.403094427624*(10.3/7.3)</f>
        <v>16.089297617058467</v>
      </c>
      <c r="D780" s="1">
        <f>10.7867520651267*(10.3/7.3)</f>
        <v>15.219663872713019</v>
      </c>
      <c r="E780" s="1">
        <f>39.030920698718*(10.3/7.3)</f>
        <v>55.071025095451404</v>
      </c>
      <c r="F780" s="1">
        <f>61.0784954093198*(38.9/42.5)</f>
        <v>55.904787562883278</v>
      </c>
      <c r="G780" s="1">
        <v>1.2430118919793904</v>
      </c>
      <c r="H780" s="1">
        <v>5.4753101851457764</v>
      </c>
      <c r="I780" s="1">
        <v>49.186430672618307</v>
      </c>
      <c r="J780" s="1">
        <v>3.5821126118437477E-2</v>
      </c>
      <c r="K780" s="1">
        <v>3.0456453202320972</v>
      </c>
      <c r="L780" s="1">
        <v>3.6588921267901759</v>
      </c>
      <c r="M780" s="1">
        <v>0.10764044434104811</v>
      </c>
      <c r="N780" s="1">
        <v>1.8850846792752312</v>
      </c>
      <c r="O780" s="1">
        <v>0.10530666666666666</v>
      </c>
      <c r="P780" s="1">
        <v>8.5166450883343556E-2</v>
      </c>
      <c r="Q780" s="1">
        <v>1.9865486858118133</v>
      </c>
      <c r="R780" s="2">
        <f t="shared" si="51"/>
        <v>200.17607558366149</v>
      </c>
      <c r="S780" s="2">
        <f t="shared" si="50"/>
        <v>3.1666328972338782</v>
      </c>
      <c r="T780" s="2">
        <f t="shared" si="52"/>
        <v>5.756923917073121</v>
      </c>
      <c r="U780" s="2">
        <f t="shared" si="53"/>
        <v>209.09963239796849</v>
      </c>
    </row>
    <row r="781" spans="1:21" x14ac:dyDescent="0.25">
      <c r="A781">
        <v>2484213</v>
      </c>
      <c r="B781">
        <v>33</v>
      </c>
      <c r="C781" s="1">
        <f>9.67414590281196*(10.3/7.3)</f>
        <v>13.649822301227829</v>
      </c>
      <c r="D781" s="1">
        <f>9.26055884926477*(10.3/7.3)</f>
        <v>13.066267965400979</v>
      </c>
      <c r="E781" s="1">
        <f>33.4745343022572*(10.3/7.3)</f>
        <v>47.231192234691605</v>
      </c>
      <c r="F781" s="1">
        <f>52.9213753129185*(38.9/42.5)</f>
        <v>48.438623521706539</v>
      </c>
      <c r="G781" s="1">
        <v>1.1194666444115247</v>
      </c>
      <c r="H781" s="1">
        <v>4.1707531510530682</v>
      </c>
      <c r="I781" s="1">
        <v>42.410410357468557</v>
      </c>
      <c r="J781" s="1">
        <v>3.188446168719513E-2</v>
      </c>
      <c r="K781" s="1">
        <v>2.8050792499230996</v>
      </c>
      <c r="L781" s="1">
        <v>3.0707229485638647</v>
      </c>
      <c r="M781" s="1">
        <v>9.9803520318413969E-2</v>
      </c>
      <c r="N781" s="1">
        <v>1.621002540833945</v>
      </c>
      <c r="O781" s="1">
        <v>9.9949898989898991E-2</v>
      </c>
      <c r="P781" s="1">
        <v>8.1880762295077514E-2</v>
      </c>
      <c r="Q781" s="1">
        <v>1.7891019431234436</v>
      </c>
      <c r="R781" s="2">
        <f t="shared" si="51"/>
        <v>171.87563811908356</v>
      </c>
      <c r="S781" s="2">
        <f t="shared" si="50"/>
        <v>2.9188444739053723</v>
      </c>
      <c r="T781" s="2">
        <f t="shared" si="52"/>
        <v>4.8914789087061221</v>
      </c>
      <c r="U781" s="2">
        <f t="shared" si="53"/>
        <v>179.68596150169506</v>
      </c>
    </row>
    <row r="782" spans="1:21" x14ac:dyDescent="0.25">
      <c r="A782">
        <v>2484221</v>
      </c>
      <c r="B782">
        <v>2</v>
      </c>
      <c r="C782" s="1">
        <f>8.17493933381005*(10.3/7.3)</f>
        <v>11.534503443595005</v>
      </c>
      <c r="D782" s="1">
        <f>7.87735179096403*(10.3/7.3)</f>
        <v>11.114619650264324</v>
      </c>
      <c r="E782" s="1">
        <f>28.4550029771883*(10.3/7.3)</f>
        <v>40.148839817128653</v>
      </c>
      <c r="F782" s="1">
        <f>45.4208606187978*(38.9/42.5)</f>
        <v>41.573446542852615</v>
      </c>
      <c r="G782" s="1">
        <v>0.99199537741005217</v>
      </c>
      <c r="H782" s="1">
        <v>5.7557938664093804</v>
      </c>
      <c r="I782" s="1">
        <v>36.321186851743107</v>
      </c>
      <c r="J782" s="1">
        <v>2.85737341011085E-2</v>
      </c>
      <c r="K782" s="1">
        <v>2.6005073722078125</v>
      </c>
      <c r="L782" s="1">
        <v>2.7148029796441642</v>
      </c>
      <c r="M782" s="1">
        <v>9.4635875791280466E-2</v>
      </c>
      <c r="N782" s="1">
        <v>1.4528240906733887</v>
      </c>
      <c r="O782" s="1">
        <v>9.5920000000000005E-2</v>
      </c>
      <c r="P782" s="1">
        <v>7.8647846671601157E-2</v>
      </c>
      <c r="Q782" s="1">
        <v>1.5853807401530531</v>
      </c>
      <c r="R782" s="2">
        <f t="shared" si="51"/>
        <v>149.02576628955617</v>
      </c>
      <c r="S782" s="2">
        <f t="shared" si="50"/>
        <v>2.707728952980522</v>
      </c>
      <c r="T782" s="2">
        <f t="shared" si="52"/>
        <v>4.3581829461088333</v>
      </c>
      <c r="U782" s="2">
        <f t="shared" si="53"/>
        <v>156.09167818864552</v>
      </c>
    </row>
    <row r="783" spans="1:21" x14ac:dyDescent="0.25">
      <c r="A783">
        <v>2495593</v>
      </c>
      <c r="B783">
        <v>1</v>
      </c>
      <c r="C783" s="1">
        <f>0.632487389139604*(10.3/7.3)</f>
        <v>0.89241371344355025</v>
      </c>
      <c r="D783" s="1">
        <f>1.06036376067743*(10.3/7.3)</f>
        <v>1.4961296897229448</v>
      </c>
      <c r="E783" s="1">
        <f>3.71507475762157*(10.3/7.3)</f>
        <v>5.2418178086989338</v>
      </c>
      <c r="F783" s="1">
        <f>6.99057575861916*(38.9/42.5)</f>
        <v>6.398432870830244</v>
      </c>
      <c r="G783" s="1">
        <v>0.25203581650924367</v>
      </c>
      <c r="H783" s="1">
        <v>3.0164592308349127</v>
      </c>
      <c r="I783" s="1">
        <v>4.6506398393705837</v>
      </c>
      <c r="J783" s="1">
        <v>1.3680088913272024E-2</v>
      </c>
      <c r="K783" s="1">
        <v>2.5712537479012623</v>
      </c>
      <c r="L783" s="1">
        <v>2.6781920237366084</v>
      </c>
      <c r="M783" s="1">
        <v>6.2379209661056083E-2</v>
      </c>
      <c r="N783" s="1">
        <v>0.56042593583754463</v>
      </c>
      <c r="O783" s="1">
        <v>0.11434666666666667</v>
      </c>
      <c r="P783" s="1">
        <v>0.12378711268923356</v>
      </c>
      <c r="Q783" s="1">
        <v>0.40279696702390583</v>
      </c>
      <c r="R783" s="2">
        <f t="shared" si="51"/>
        <v>22.350725936434319</v>
      </c>
      <c r="S783" s="2">
        <f t="shared" si="50"/>
        <v>2.7087209495037681</v>
      </c>
      <c r="T783" s="2">
        <f t="shared" si="52"/>
        <v>3.4153438359018757</v>
      </c>
      <c r="U783" s="2">
        <f t="shared" si="53"/>
        <v>28.474790721839963</v>
      </c>
    </row>
    <row r="784" spans="1:21" x14ac:dyDescent="0.25">
      <c r="A784">
        <v>2495689</v>
      </c>
      <c r="B784">
        <v>18</v>
      </c>
      <c r="C784" s="1">
        <f>0.655986605738619*(10.3/7.3)</f>
        <v>0.92557014234353097</v>
      </c>
      <c r="D784" s="1">
        <f>0.853952762943993*(10.3/7.3)</f>
        <v>1.2048922545648124</v>
      </c>
      <c r="E784" s="1">
        <f>3.00424232307508*(10.3/7.3)</f>
        <v>4.2388624558456574</v>
      </c>
      <c r="F784" s="1">
        <f>6.50680662072383*(38.9/42.5)</f>
        <v>5.9556418246154559</v>
      </c>
      <c r="G784" s="1">
        <v>0.2648396794736696</v>
      </c>
      <c r="H784" s="1">
        <v>2.9668753891105357</v>
      </c>
      <c r="I784" s="1">
        <v>4.8595461197636736</v>
      </c>
      <c r="J784" s="1">
        <v>1.2759313697955639E-2</v>
      </c>
      <c r="K784" s="1">
        <v>1.9167868960678369</v>
      </c>
      <c r="L784" s="1">
        <v>2.643017796793679</v>
      </c>
      <c r="M784" s="1">
        <v>5.6030718302409972E-2</v>
      </c>
      <c r="N784" s="1">
        <v>0.60530756132769004</v>
      </c>
      <c r="O784" s="1">
        <v>0.10594370370370371</v>
      </c>
      <c r="P784" s="1">
        <v>9.5463111792029834E-2</v>
      </c>
      <c r="Q784" s="1">
        <v>0.42325976171591073</v>
      </c>
      <c r="R784" s="2">
        <f t="shared" si="51"/>
        <v>20.839487627433247</v>
      </c>
      <c r="S784" s="2">
        <f t="shared" si="50"/>
        <v>2.0250093215578224</v>
      </c>
      <c r="T784" s="2">
        <f t="shared" si="52"/>
        <v>3.4102997801274824</v>
      </c>
      <c r="U784" s="2">
        <f t="shared" si="53"/>
        <v>26.274796729118549</v>
      </c>
    </row>
    <row r="785" spans="1:21" x14ac:dyDescent="0.25">
      <c r="A785">
        <v>2495697</v>
      </c>
      <c r="B785">
        <v>27</v>
      </c>
      <c r="C785" s="1">
        <f>0.611495935768355*(10.3/7.3)</f>
        <v>0.86279563539918591</v>
      </c>
      <c r="D785" s="1">
        <f>0.755130314909013*(10.3/7.3)</f>
        <v>1.06545784158395</v>
      </c>
      <c r="E785" s="1">
        <f>2.66958419953129*(10.3/7.3)</f>
        <v>3.7666735965989382</v>
      </c>
      <c r="F785" s="1">
        <f>5.43971883375466*(38.9/42.5)</f>
        <v>4.9789426501895582</v>
      </c>
      <c r="G785" s="1">
        <v>0.20429354163195856</v>
      </c>
      <c r="H785" s="1">
        <v>1.4352752438525964</v>
      </c>
      <c r="I785" s="1">
        <v>4.0828269835944972</v>
      </c>
      <c r="J785" s="1">
        <v>1.234395119683237E-2</v>
      </c>
      <c r="K785" s="1">
        <v>1.8278898680904929</v>
      </c>
      <c r="L785" s="1">
        <v>2.7070638409487069</v>
      </c>
      <c r="M785" s="1">
        <v>5.3225908808028653E-2</v>
      </c>
      <c r="N785" s="1">
        <v>0.59329013542102071</v>
      </c>
      <c r="O785" s="1">
        <v>0.10338172839506174</v>
      </c>
      <c r="P785" s="1">
        <v>9.4724380819968465E-2</v>
      </c>
      <c r="Q785" s="1">
        <v>0.32649652772230858</v>
      </c>
      <c r="R785" s="2">
        <f t="shared" si="51"/>
        <v>16.72276202057299</v>
      </c>
      <c r="S785" s="2">
        <f t="shared" si="50"/>
        <v>1.9349582001072938</v>
      </c>
      <c r="T785" s="2">
        <f t="shared" si="52"/>
        <v>3.4569616135728181</v>
      </c>
      <c r="U785" s="2">
        <f t="shared" si="53"/>
        <v>22.114681834253101</v>
      </c>
    </row>
    <row r="786" spans="1:21" x14ac:dyDescent="0.25">
      <c r="A786">
        <v>2495753</v>
      </c>
      <c r="B786">
        <v>22</v>
      </c>
      <c r="C786" s="1">
        <f>3.55565958401128*(10.3/7.3)</f>
        <v>5.0168895500433148</v>
      </c>
      <c r="D786" s="1">
        <f>3.91877112740158*(10.3/7.3)</f>
        <v>5.5292250153748324</v>
      </c>
      <c r="E786" s="1">
        <f>13.9212671841947*(10.3/7.3)</f>
        <v>19.6423358900282</v>
      </c>
      <c r="F786" s="1">
        <f>28.8104718260129*(38.9/42.5)</f>
        <v>26.370055388985904</v>
      </c>
      <c r="G786" s="1">
        <v>1.07486121119442</v>
      </c>
      <c r="H786" s="1">
        <v>4.2993247125860243</v>
      </c>
      <c r="I786" s="1">
        <v>22.553428899331546</v>
      </c>
      <c r="J786" s="1">
        <v>3.4517691073379216E-2</v>
      </c>
      <c r="K786" s="1">
        <v>3.7568138153705992</v>
      </c>
      <c r="L786" s="1">
        <v>6.246518692420338</v>
      </c>
      <c r="M786" s="1">
        <v>0.12665570944484636</v>
      </c>
      <c r="N786" s="1">
        <v>1.5659578876379205</v>
      </c>
      <c r="O786" s="1">
        <v>0.26308121212121216</v>
      </c>
      <c r="P786" s="1">
        <v>0.17894832949671161</v>
      </c>
      <c r="Q786" s="1">
        <v>1.7178147210869745</v>
      </c>
      <c r="R786" s="2">
        <f t="shared" si="51"/>
        <v>86.203935388631223</v>
      </c>
      <c r="S786" s="2">
        <f t="shared" si="50"/>
        <v>3.9702798359406901</v>
      </c>
      <c r="T786" s="2">
        <f t="shared" si="52"/>
        <v>8.2022135016243176</v>
      </c>
      <c r="U786" s="2">
        <f t="shared" si="53"/>
        <v>98.376428726196224</v>
      </c>
    </row>
    <row r="787" spans="1:21" x14ac:dyDescent="0.25">
      <c r="A787">
        <v>2495761</v>
      </c>
      <c r="B787">
        <v>42</v>
      </c>
      <c r="C787" s="1">
        <f>2.9588529336126*(10.3/7.3)</f>
        <v>4.1748198926314766</v>
      </c>
      <c r="D787" s="1">
        <f>3.9283756375434*(10.3/7.3)</f>
        <v>5.5427765844790446</v>
      </c>
      <c r="E787" s="1">
        <f>13.7911801314618*(10.3/7.3)</f>
        <v>19.458788404665334</v>
      </c>
      <c r="F787" s="1">
        <f>30.747063953434*(38.9/42.5)</f>
        <v>28.142606771496041</v>
      </c>
      <c r="G787" s="1">
        <v>1.2937445166024022</v>
      </c>
      <c r="H787" s="1">
        <v>6.9048412142035591</v>
      </c>
      <c r="I787" s="1">
        <v>22.960507093338837</v>
      </c>
      <c r="J787" s="1">
        <v>3.142577319792457E-2</v>
      </c>
      <c r="K787" s="1">
        <v>3.4130038792355188</v>
      </c>
      <c r="L787" s="1">
        <v>5.5128856104749033</v>
      </c>
      <c r="M787" s="1">
        <v>0.11741132613630081</v>
      </c>
      <c r="N787" s="1">
        <v>1.3919692980762435</v>
      </c>
      <c r="O787" s="1">
        <v>0.24057650793650792</v>
      </c>
      <c r="P787" s="1">
        <v>0.16750951089800512</v>
      </c>
      <c r="Q787" s="1">
        <v>2.0676282228805536</v>
      </c>
      <c r="R787" s="2">
        <f t="shared" si="51"/>
        <v>90.545712700297244</v>
      </c>
      <c r="S787" s="2">
        <f t="shared" si="50"/>
        <v>3.6119391633314484</v>
      </c>
      <c r="T787" s="2">
        <f t="shared" si="52"/>
        <v>7.2628427426239552</v>
      </c>
      <c r="U787" s="2">
        <f t="shared" si="53"/>
        <v>101.42049460625265</v>
      </c>
    </row>
    <row r="788" spans="1:21" x14ac:dyDescent="0.25">
      <c r="A788">
        <v>2496089</v>
      </c>
      <c r="B788">
        <v>55</v>
      </c>
      <c r="C788" s="1">
        <f>8.57797443390811*(10.3/7.3)</f>
        <v>12.10316940674706</v>
      </c>
      <c r="D788" s="1">
        <f>9.04867648824009*(10.3/7.3)</f>
        <v>12.767310661489443</v>
      </c>
      <c r="E788" s="1">
        <f>32.4142610963439*(10.3/7.3)</f>
        <v>45.735190314019476</v>
      </c>
      <c r="F788" s="1">
        <f>57.1758947614352*(38.9/42.5)</f>
        <v>52.332760146348953</v>
      </c>
      <c r="G788" s="1">
        <v>1.6443437419067422</v>
      </c>
      <c r="H788" s="1">
        <v>2.8736919682716469</v>
      </c>
      <c r="I788" s="1">
        <v>44.44800634483925</v>
      </c>
      <c r="J788" s="1">
        <v>2.6564152801689878E-2</v>
      </c>
      <c r="K788" s="1">
        <v>2.1154950542285191</v>
      </c>
      <c r="L788" s="1">
        <v>2.1911188214742161</v>
      </c>
      <c r="M788" s="1">
        <v>0.19174310069141956</v>
      </c>
      <c r="N788" s="1">
        <v>1.2514320916457973</v>
      </c>
      <c r="O788" s="1">
        <v>0.12987345454545457</v>
      </c>
      <c r="P788" s="1">
        <v>9.9619818310454467E-2</v>
      </c>
      <c r="Q788" s="1">
        <v>2.6279466194856629</v>
      </c>
      <c r="R788" s="2">
        <f t="shared" si="51"/>
        <v>174.53241920310822</v>
      </c>
      <c r="S788" s="2">
        <f t="shared" si="50"/>
        <v>2.2416790253406638</v>
      </c>
      <c r="T788" s="2">
        <f t="shared" si="52"/>
        <v>3.7641674683568871</v>
      </c>
      <c r="U788" s="2">
        <f t="shared" si="53"/>
        <v>180.53826569680575</v>
      </c>
    </row>
    <row r="789" spans="1:21" x14ac:dyDescent="0.25">
      <c r="A789">
        <v>2496337</v>
      </c>
      <c r="B789">
        <v>18</v>
      </c>
      <c r="C789" s="1">
        <f>22.6183278863914*(10.3/7.3)</f>
        <v>31.913531127374146</v>
      </c>
      <c r="D789" s="1">
        <f>24.2174577704541*(10.3/7.3)</f>
        <v>34.169837676120132</v>
      </c>
      <c r="E789" s="1">
        <f>87.202987066227*(10.3/7.3)</f>
        <v>123.03983106604633</v>
      </c>
      <c r="F789" s="1">
        <f>127.748630176989*(38.9/42.5)</f>
        <v>116.9275697384675</v>
      </c>
      <c r="G789" s="1">
        <v>2.2595718500581574</v>
      </c>
      <c r="H789" s="1">
        <v>4.9018395580512673</v>
      </c>
      <c r="I789" s="1">
        <v>95.399810995425483</v>
      </c>
      <c r="J789" s="1">
        <v>3.6210557929933301E-2</v>
      </c>
      <c r="K789" s="1">
        <v>2.8594565352333627</v>
      </c>
      <c r="L789" s="1">
        <v>2.8256536634301463</v>
      </c>
      <c r="M789" s="1">
        <v>0.13576335945798657</v>
      </c>
      <c r="N789" s="1">
        <v>1.8032016625329044</v>
      </c>
      <c r="O789" s="1">
        <v>0.11910814814814813</v>
      </c>
      <c r="P789" s="1">
        <v>9.6991277329647116E-2</v>
      </c>
      <c r="Q789" s="1">
        <v>3.6111878882208028</v>
      </c>
      <c r="R789" s="2">
        <f t="shared" si="51"/>
        <v>412.22317989976375</v>
      </c>
      <c r="S789" s="2">
        <f t="shared" si="50"/>
        <v>2.9926583704929435</v>
      </c>
      <c r="T789" s="2">
        <f t="shared" si="52"/>
        <v>4.8837268335691855</v>
      </c>
      <c r="U789" s="2">
        <f t="shared" si="53"/>
        <v>420.09956510382591</v>
      </c>
    </row>
    <row r="790" spans="1:21" x14ac:dyDescent="0.25">
      <c r="A790">
        <v>2496345</v>
      </c>
      <c r="B790">
        <v>4</v>
      </c>
      <c r="C790" s="1">
        <f>20.0868515445737*(10.3/7.3)</f>
        <v>28.341722042343733</v>
      </c>
      <c r="D790" s="1">
        <f>46.4836978272187*(10.3/7.3)</f>
        <v>65.586587345253804</v>
      </c>
      <c r="E790" s="1">
        <f>163.611339825332*(10.3/7.3)</f>
        <v>230.8488767398523</v>
      </c>
      <c r="F790" s="1">
        <f>193.129631197328*(38.9/42.5)</f>
        <v>176.77041537826057</v>
      </c>
      <c r="G790" s="1">
        <v>2.0123166192553703</v>
      </c>
      <c r="H790" s="1">
        <v>6.1135365257455918</v>
      </c>
      <c r="I790" s="1">
        <v>84.781737839701151</v>
      </c>
      <c r="J790" s="1">
        <v>3.361041696092671E-2</v>
      </c>
      <c r="K790" s="1">
        <v>2.7241706805936645</v>
      </c>
      <c r="L790" s="1">
        <v>2.6345026556390874</v>
      </c>
      <c r="M790" s="1">
        <v>0.12539718739375494</v>
      </c>
      <c r="N790" s="1">
        <v>1.7098709813744903</v>
      </c>
      <c r="O790" s="1">
        <v>0.11412</v>
      </c>
      <c r="P790" s="1">
        <v>9.3173911310687918E-2</v>
      </c>
      <c r="Q790" s="1">
        <v>3.2160311266638377</v>
      </c>
      <c r="R790" s="2">
        <f t="shared" si="51"/>
        <v>597.67122361707641</v>
      </c>
      <c r="S790" s="2">
        <f t="shared" si="50"/>
        <v>2.8509550088652791</v>
      </c>
      <c r="T790" s="2">
        <f t="shared" si="52"/>
        <v>4.5838908244073329</v>
      </c>
      <c r="U790" s="2">
        <f t="shared" si="53"/>
        <v>605.10606945034908</v>
      </c>
    </row>
    <row r="791" spans="1:21" x14ac:dyDescent="0.25">
      <c r="A791">
        <v>2496441</v>
      </c>
      <c r="B791">
        <v>25</v>
      </c>
      <c r="C791" s="1">
        <f>11.0994367541479*(10.3/7.3)</f>
        <v>15.660849118866169</v>
      </c>
      <c r="D791" s="1">
        <f>10.599476029212*(10.3/7.3)</f>
        <v>14.955425082312859</v>
      </c>
      <c r="E791" s="1">
        <f>38.3411823403683*(10.3/7.3)</f>
        <v>54.09783261723198</v>
      </c>
      <c r="F791" s="1">
        <f>59.5409205408068*(38.9/42.5)</f>
        <v>54.497454330291383</v>
      </c>
      <c r="G791" s="1">
        <v>1.1901626958194103</v>
      </c>
      <c r="H791" s="1">
        <v>4.0097543983124266</v>
      </c>
      <c r="I791" s="1">
        <v>47.669265564313626</v>
      </c>
      <c r="J791" s="1">
        <v>3.5631370046414666E-2</v>
      </c>
      <c r="K791" s="1">
        <v>3.48061604131696</v>
      </c>
      <c r="L791" s="1">
        <v>3.642838015931539</v>
      </c>
      <c r="M791" s="1">
        <v>0.1109847494686869</v>
      </c>
      <c r="N791" s="1">
        <v>1.8079338434699972</v>
      </c>
      <c r="O791" s="1">
        <v>0.10916693333333333</v>
      </c>
      <c r="P791" s="1">
        <v>8.7823110853172986E-2</v>
      </c>
      <c r="Q791" s="1">
        <v>1.9020865001680098</v>
      </c>
      <c r="R791" s="2">
        <f t="shared" si="51"/>
        <v>193.98283030731588</v>
      </c>
      <c r="S791" s="2">
        <f t="shared" si="50"/>
        <v>3.6040705222165479</v>
      </c>
      <c r="T791" s="2">
        <f t="shared" si="52"/>
        <v>5.670923542203556</v>
      </c>
      <c r="U791" s="2">
        <f t="shared" si="53"/>
        <v>203.25782437173598</v>
      </c>
    </row>
    <row r="792" spans="1:21" x14ac:dyDescent="0.25">
      <c r="A792">
        <v>2507829</v>
      </c>
      <c r="B792">
        <v>6</v>
      </c>
      <c r="C792" s="1">
        <f>0.499325161745182*(10.3/7.3)</f>
        <v>0.70452728301032597</v>
      </c>
      <c r="D792" s="1">
        <f>0.85592747628543*(10.3/7.3)</f>
        <v>1.2076784939369769</v>
      </c>
      <c r="E792" s="1">
        <f>2.9968656394985*(10.3/7.3)</f>
        <v>4.2284542584704896</v>
      </c>
      <c r="F792" s="1">
        <f>5.62437940440541*(38.9/42.5)</f>
        <v>5.1479613842675391</v>
      </c>
      <c r="G792" s="1">
        <v>0.20289473351169854</v>
      </c>
      <c r="H792" s="1">
        <v>2.391557264714288</v>
      </c>
      <c r="I792" s="1">
        <v>3.7126860587188624</v>
      </c>
      <c r="J792" s="1">
        <v>1.2107274720596415E-2</v>
      </c>
      <c r="K792" s="1">
        <v>2.2974129762019309</v>
      </c>
      <c r="L792" s="1">
        <v>2.2368692208858239</v>
      </c>
      <c r="M792" s="1">
        <v>5.4211412356239518E-2</v>
      </c>
      <c r="N792" s="1">
        <v>0.49482995407820612</v>
      </c>
      <c r="O792" s="1">
        <v>0.10110222222222222</v>
      </c>
      <c r="P792" s="1">
        <v>0.11112342979100089</v>
      </c>
      <c r="Q792" s="1">
        <v>0.32426098963056876</v>
      </c>
      <c r="R792" s="2">
        <f t="shared" si="51"/>
        <v>17.920020466260748</v>
      </c>
      <c r="S792" s="2">
        <f t="shared" si="50"/>
        <v>2.4206436807135283</v>
      </c>
      <c r="T792" s="2">
        <f t="shared" si="52"/>
        <v>2.8870128095424916</v>
      </c>
      <c r="U792" s="2">
        <f t="shared" si="53"/>
        <v>23.227676956516767</v>
      </c>
    </row>
    <row r="793" spans="1:21" x14ac:dyDescent="0.25">
      <c r="A793">
        <v>2507925</v>
      </c>
      <c r="B793">
        <v>12</v>
      </c>
      <c r="C793" s="1">
        <f>0.59627602570807*(10.3/7.3)</f>
        <v>0.84132096777987941</v>
      </c>
      <c r="D793" s="1">
        <f>0.75445266583471*(10.3/7.3)</f>
        <v>1.0645017065887001</v>
      </c>
      <c r="E793" s="1">
        <f>2.66311755216061*(10.3/7.3)</f>
        <v>3.7575494229115458</v>
      </c>
      <c r="F793" s="1">
        <f>5.48452789864877*(38.9/42.5)</f>
        <v>5.0199561237044019</v>
      </c>
      <c r="G793" s="1">
        <v>0.20973478600316908</v>
      </c>
      <c r="H793" s="1">
        <v>1.7430017346547657</v>
      </c>
      <c r="I793" s="1">
        <v>4.0917302906388908</v>
      </c>
      <c r="J793" s="1">
        <v>1.2109396322475022E-2</v>
      </c>
      <c r="K793" s="1">
        <v>1.798843654758981</v>
      </c>
      <c r="L793" s="1">
        <v>2.4993881829096147</v>
      </c>
      <c r="M793" s="1">
        <v>5.3324977144896507E-2</v>
      </c>
      <c r="N793" s="1">
        <v>0.5661474433007091</v>
      </c>
      <c r="O793" s="1">
        <v>0.10154666666666666</v>
      </c>
      <c r="P793" s="1">
        <v>9.2850439753880465E-2</v>
      </c>
      <c r="Q793" s="1">
        <v>0.33519258037036187</v>
      </c>
      <c r="R793" s="2">
        <f t="shared" si="51"/>
        <v>17.062987612651714</v>
      </c>
      <c r="S793" s="2">
        <f t="shared" si="50"/>
        <v>1.9038034908353365</v>
      </c>
      <c r="T793" s="2">
        <f t="shared" si="52"/>
        <v>3.2204072700218869</v>
      </c>
      <c r="U793" s="2">
        <f t="shared" si="53"/>
        <v>22.187198373508938</v>
      </c>
    </row>
    <row r="794" spans="1:21" x14ac:dyDescent="0.25">
      <c r="A794">
        <v>2507933</v>
      </c>
      <c r="B794">
        <v>2</v>
      </c>
      <c r="C794" s="1">
        <f>0.586285539555099*(10.3/7.3)</f>
        <v>0.82722480238596097</v>
      </c>
      <c r="D794" s="1">
        <f>0.713422222834257*(10.3/7.3)</f>
        <v>1.0066094376976507</v>
      </c>
      <c r="E794" s="1">
        <f>2.52496917145408*(10.3/7.3)</f>
        <v>3.5626277350653406</v>
      </c>
      <c r="F794" s="1">
        <f>5.08807931429216*(38.9/42.5)</f>
        <v>4.6570890664932989</v>
      </c>
      <c r="G794" s="1">
        <v>0.18781979429520268</v>
      </c>
      <c r="H794" s="1">
        <v>1.3003021918220432</v>
      </c>
      <c r="I794" s="1">
        <v>3.8299644292599737</v>
      </c>
      <c r="J794" s="1">
        <v>1.2029482651714078E-2</v>
      </c>
      <c r="K794" s="1">
        <v>1.7148107620521769</v>
      </c>
      <c r="L794" s="1">
        <v>2.6662829810331945</v>
      </c>
      <c r="M794" s="1">
        <v>5.4696923170318754E-2</v>
      </c>
      <c r="N794" s="1">
        <v>0.56498407744414125</v>
      </c>
      <c r="O794" s="1">
        <v>0.10048</v>
      </c>
      <c r="P794" s="1">
        <v>8.7569413943040908E-2</v>
      </c>
      <c r="Q794" s="1">
        <v>0.30016862101973063</v>
      </c>
      <c r="R794" s="2">
        <f t="shared" si="51"/>
        <v>15.671806078039202</v>
      </c>
      <c r="S794" s="2">
        <f t="shared" si="50"/>
        <v>1.8144096586469318</v>
      </c>
      <c r="T794" s="2">
        <f t="shared" si="52"/>
        <v>3.3864439816476546</v>
      </c>
      <c r="U794" s="2">
        <f t="shared" si="53"/>
        <v>20.872659718333789</v>
      </c>
    </row>
    <row r="795" spans="1:21" x14ac:dyDescent="0.25">
      <c r="A795">
        <v>2507973</v>
      </c>
      <c r="B795">
        <v>12</v>
      </c>
      <c r="C795" s="1">
        <f>3.21846332651601*(10.3/7.3)</f>
        <v>4.541119488097932</v>
      </c>
      <c r="D795" s="1">
        <f>3.31923265053211*(10.3/7.3)</f>
        <v>4.6833008630795598</v>
      </c>
      <c r="E795" s="1">
        <f>11.8228827707239*(10.3/7.3)</f>
        <v>16.681601717596795</v>
      </c>
      <c r="F795" s="1">
        <f>24.9592050977275*(38.9/42.5)</f>
        <v>22.84501360709644</v>
      </c>
      <c r="G795" s="1">
        <v>0.9391794426817951</v>
      </c>
      <c r="H795" s="1">
        <v>6.541819991148099</v>
      </c>
      <c r="I795" s="1">
        <v>20.060242715736994</v>
      </c>
      <c r="J795" s="1">
        <v>3.0990238640844367E-2</v>
      </c>
      <c r="K795" s="1">
        <v>3.4367411496216582</v>
      </c>
      <c r="L795" s="1">
        <v>6.3509456638561268</v>
      </c>
      <c r="M795" s="1">
        <v>0.11409368883032665</v>
      </c>
      <c r="N795" s="1">
        <v>2.2526247892451523</v>
      </c>
      <c r="O795" s="1">
        <v>0.24059555555555553</v>
      </c>
      <c r="P795" s="1">
        <v>0.16847099753714914</v>
      </c>
      <c r="Q795" s="1">
        <v>1.5009717120485331</v>
      </c>
      <c r="R795" s="2">
        <f t="shared" si="51"/>
        <v>77.793249537486147</v>
      </c>
      <c r="S795" s="2">
        <f t="shared" si="50"/>
        <v>3.6362023857996517</v>
      </c>
      <c r="T795" s="2">
        <f t="shared" si="52"/>
        <v>8.9582596974871613</v>
      </c>
      <c r="U795" s="2">
        <f t="shared" si="53"/>
        <v>90.387711620772961</v>
      </c>
    </row>
    <row r="796" spans="1:21" x14ac:dyDescent="0.25">
      <c r="A796">
        <v>2507981</v>
      </c>
      <c r="B796">
        <v>14</v>
      </c>
      <c r="C796" s="1">
        <f>3.30181062865029*(10.3/7.3)</f>
        <v>4.6587191061778066</v>
      </c>
      <c r="D796" s="1">
        <f>3.54218738943215*(10.3/7.3)</f>
        <v>4.9978808371439998</v>
      </c>
      <c r="E796" s="1">
        <f>12.576651699073*(10.3/7.3)</f>
        <v>17.74513869869206</v>
      </c>
      <c r="F796" s="1">
        <f>27.2562941349839*(38.9/42.5)</f>
        <v>24.947525690608789</v>
      </c>
      <c r="G796" s="1">
        <v>1.0678605646515835</v>
      </c>
      <c r="H796" s="1">
        <v>6.1264930003291971</v>
      </c>
      <c r="I796" s="1">
        <v>21.675510399016343</v>
      </c>
      <c r="J796" s="1">
        <v>3.2227738708038842E-2</v>
      </c>
      <c r="K796" s="1">
        <v>3.5723108588108743</v>
      </c>
      <c r="L796" s="1">
        <v>6.1465642954164013</v>
      </c>
      <c r="M796" s="1">
        <v>0.12198503577015951</v>
      </c>
      <c r="N796" s="1">
        <v>1.6316282473614876</v>
      </c>
      <c r="O796" s="1">
        <v>0.24551999999999999</v>
      </c>
      <c r="P796" s="1">
        <v>0.17261497620765923</v>
      </c>
      <c r="Q796" s="1">
        <v>1.7066264731874641</v>
      </c>
      <c r="R796" s="2">
        <f t="shared" si="51"/>
        <v>82.925754769807241</v>
      </c>
      <c r="S796" s="2">
        <f t="shared" si="50"/>
        <v>3.7771535737265727</v>
      </c>
      <c r="T796" s="2">
        <f t="shared" si="52"/>
        <v>8.1456975785480488</v>
      </c>
      <c r="U796" s="2">
        <f t="shared" si="53"/>
        <v>94.848605922081873</v>
      </c>
    </row>
    <row r="797" spans="1:21" x14ac:dyDescent="0.25">
      <c r="A797">
        <v>2507989</v>
      </c>
      <c r="B797">
        <v>26</v>
      </c>
      <c r="C797" s="1">
        <f>3.53477850935882*(10.3/7.3)</f>
        <v>4.9874272118350484</v>
      </c>
      <c r="D797" s="1">
        <f>4.09619048764356*(10.3/7.3)</f>
        <v>5.7795564414696745</v>
      </c>
      <c r="E797" s="1">
        <f>14.5110360129526*(10.3/7.3)</f>
        <v>20.474475470330326</v>
      </c>
      <c r="F797" s="1">
        <f>30.2481516316581*(38.9/42.5)</f>
        <v>27.685955258152905</v>
      </c>
      <c r="G797" s="1">
        <v>1.1517575446225954</v>
      </c>
      <c r="H797" s="1">
        <v>5.3483108951033449</v>
      </c>
      <c r="I797" s="1">
        <v>23.29467120543088</v>
      </c>
      <c r="J797" s="1">
        <v>3.4413361671908026E-2</v>
      </c>
      <c r="K797" s="1">
        <v>3.7249397156061668</v>
      </c>
      <c r="L797" s="1">
        <v>6.203038994069435</v>
      </c>
      <c r="M797" s="1">
        <v>0.12920253410300006</v>
      </c>
      <c r="N797" s="1">
        <v>1.5343006317935968</v>
      </c>
      <c r="O797" s="1">
        <v>0.26922871794871789</v>
      </c>
      <c r="P797" s="1">
        <v>0.18004228139656528</v>
      </c>
      <c r="Q797" s="1">
        <v>1.8407084046479849</v>
      </c>
      <c r="R797" s="2">
        <f t="shared" si="51"/>
        <v>90.562862431592748</v>
      </c>
      <c r="S797" s="2">
        <f t="shared" si="50"/>
        <v>3.9393953586746404</v>
      </c>
      <c r="T797" s="2">
        <f t="shared" si="52"/>
        <v>8.1357708779147497</v>
      </c>
      <c r="U797" s="2">
        <f t="shared" si="53"/>
        <v>102.63802866818214</v>
      </c>
    </row>
    <row r="798" spans="1:21" x14ac:dyDescent="0.25">
      <c r="A798">
        <v>2508269</v>
      </c>
      <c r="B798">
        <v>3</v>
      </c>
      <c r="C798" s="1">
        <f>11.4535447231473*(10.3/7.3)</f>
        <v>16.160480910742038</v>
      </c>
      <c r="D798" s="1">
        <f>10.740517732167*(10.3/7.3)</f>
        <v>15.15442912894795</v>
      </c>
      <c r="E798" s="1">
        <f>38.6492268587805*(10.3/7.3)</f>
        <v>54.532470773347832</v>
      </c>
      <c r="F798" s="1">
        <f>72.2086345720271*(38.9/42.5)</f>
        <v>66.092138467102444</v>
      </c>
      <c r="G798" s="1">
        <v>2.207772236854777</v>
      </c>
      <c r="H798" s="1">
        <v>3.4001788219288716</v>
      </c>
      <c r="I798" s="1">
        <v>59.476284199579993</v>
      </c>
      <c r="J798" s="1">
        <v>4.1733323353495062E-2</v>
      </c>
      <c r="K798" s="1">
        <v>3.2465915524542148</v>
      </c>
      <c r="L798" s="1">
        <v>4.0431998784657592</v>
      </c>
      <c r="M798" s="1">
        <v>0.22342008021391788</v>
      </c>
      <c r="N798" s="1">
        <v>1.8156501495353226</v>
      </c>
      <c r="O798" s="1">
        <v>0.21384888888888889</v>
      </c>
      <c r="P798" s="1">
        <v>0.14435475543703805</v>
      </c>
      <c r="Q798" s="1">
        <v>3.5284031182610627</v>
      </c>
      <c r="R798" s="2">
        <f t="shared" si="51"/>
        <v>220.55215765676493</v>
      </c>
      <c r="S798" s="2">
        <f t="shared" si="50"/>
        <v>3.4326796312447478</v>
      </c>
      <c r="T798" s="2">
        <f t="shared" si="52"/>
        <v>6.2961189971038891</v>
      </c>
      <c r="U798" s="2">
        <f t="shared" si="53"/>
        <v>230.28095628511358</v>
      </c>
    </row>
    <row r="799" spans="1:21" x14ac:dyDescent="0.25">
      <c r="A799">
        <v>2508317</v>
      </c>
      <c r="B799">
        <v>4</v>
      </c>
      <c r="C799" s="1">
        <f>14.9548616144328*(10.3/7.3)</f>
        <v>21.100695154610644</v>
      </c>
      <c r="D799" s="1">
        <f>15.1517748466067*(10.3/7.3)</f>
        <v>21.378531632883369</v>
      </c>
      <c r="E799" s="1">
        <f>54.3859791479324*(10.3/7.3)</f>
        <v>76.736381537493671</v>
      </c>
      <c r="F799" s="1">
        <f>96.3994678259266*(38.9/42.5)</f>
        <v>88.233865845377494</v>
      </c>
      <c r="G799" s="1">
        <v>2.7556023233285014</v>
      </c>
      <c r="H799" s="1">
        <v>4.8815917340877917</v>
      </c>
      <c r="I799" s="1">
        <v>76.323681923140882</v>
      </c>
      <c r="J799" s="1">
        <v>3.6502160321471022E-2</v>
      </c>
      <c r="K799" s="1">
        <v>2.6861898783565428</v>
      </c>
      <c r="L799" s="1">
        <v>2.9833088854781629</v>
      </c>
      <c r="M799" s="1">
        <v>0.25057187455904639</v>
      </c>
      <c r="N799" s="1">
        <v>1.6441322652638668</v>
      </c>
      <c r="O799" s="1">
        <v>0.16808000000000001</v>
      </c>
      <c r="P799" s="1">
        <v>0.11967001589785385</v>
      </c>
      <c r="Q799" s="1">
        <v>4.4039306537213552</v>
      </c>
      <c r="R799" s="2">
        <f t="shared" si="51"/>
        <v>295.81428080464377</v>
      </c>
      <c r="S799" s="2">
        <f t="shared" si="50"/>
        <v>2.8423620545758679</v>
      </c>
      <c r="T799" s="2">
        <f t="shared" si="52"/>
        <v>5.0460930253010758</v>
      </c>
      <c r="U799" s="2">
        <f t="shared" si="53"/>
        <v>303.70273588452073</v>
      </c>
    </row>
    <row r="800" spans="1:21" x14ac:dyDescent="0.25">
      <c r="A800">
        <v>2508573</v>
      </c>
      <c r="B800">
        <v>16</v>
      </c>
      <c r="C800" s="1">
        <f>20.8582929877978*(10.3/7.3)</f>
        <v>29.430194215659846</v>
      </c>
      <c r="D800" s="1">
        <f>24.4976051352929*(10.3/7.3)</f>
        <v>34.565114095002293</v>
      </c>
      <c r="E800" s="1">
        <f>87.8723202963367*(10.3/7.3)</f>
        <v>123.98423274688605</v>
      </c>
      <c r="F800" s="1">
        <f>125.334757062661*(38.9/42.5)</f>
        <v>114.71816587617687</v>
      </c>
      <c r="G800" s="1">
        <v>2.1376505222608451</v>
      </c>
      <c r="H800" s="1">
        <v>5.2769141680843212</v>
      </c>
      <c r="I800" s="1">
        <v>88.542333482352362</v>
      </c>
      <c r="J800" s="1">
        <v>3.4076638973751072E-2</v>
      </c>
      <c r="K800" s="1">
        <v>2.7368027050218795</v>
      </c>
      <c r="L800" s="1">
        <v>2.662138038146562</v>
      </c>
      <c r="M800" s="1">
        <v>0.12813853163096675</v>
      </c>
      <c r="N800" s="1">
        <v>1.7282556991486853</v>
      </c>
      <c r="O800" s="1">
        <v>0.11489666666666667</v>
      </c>
      <c r="P800" s="1">
        <v>9.3846858934840946E-2</v>
      </c>
      <c r="Q800" s="1">
        <v>3.4163364511018104</v>
      </c>
      <c r="R800" s="2">
        <f t="shared" si="51"/>
        <v>402.07094155752441</v>
      </c>
      <c r="S800" s="2">
        <f t="shared" si="50"/>
        <v>2.8647262029304716</v>
      </c>
      <c r="T800" s="2">
        <f t="shared" si="52"/>
        <v>4.6334289355928808</v>
      </c>
      <c r="U800" s="2">
        <f t="shared" si="53"/>
        <v>409.56909669604772</v>
      </c>
    </row>
    <row r="801" spans="1:21" x14ac:dyDescent="0.25">
      <c r="A801">
        <v>2508677</v>
      </c>
      <c r="B801">
        <v>31</v>
      </c>
      <c r="C801" s="1">
        <f>10.9467291058104*(10.3/7.3)</f>
        <v>15.445384902718766</v>
      </c>
      <c r="D801" s="1">
        <f>10.2184237901502*(10.3/7.3)</f>
        <v>14.417776032677727</v>
      </c>
      <c r="E801" s="1">
        <f>37.0088382250749*(10.3/7.3)</f>
        <v>52.217949824420806</v>
      </c>
      <c r="F801" s="1">
        <f>57.6482204783852*(38.9/42.5)</f>
        <v>52.765077096686703</v>
      </c>
      <c r="G801" s="1">
        <v>1.1459584261155953</v>
      </c>
      <c r="H801" s="1">
        <v>3.8414074101650506</v>
      </c>
      <c r="I801" s="1">
        <v>46.721211627494469</v>
      </c>
      <c r="J801" s="1">
        <v>3.3007197639698914E-2</v>
      </c>
      <c r="K801" s="1">
        <v>2.9367642287267364</v>
      </c>
      <c r="L801" s="1">
        <v>3.3134434432166753</v>
      </c>
      <c r="M801" s="1">
        <v>0.10558708947482495</v>
      </c>
      <c r="N801" s="1">
        <v>1.6329249911040218</v>
      </c>
      <c r="O801" s="1">
        <v>0.10512344086021505</v>
      </c>
      <c r="P801" s="1">
        <v>8.4783351933215581E-2</v>
      </c>
      <c r="Q801" s="1">
        <v>1.8314404070340586</v>
      </c>
      <c r="R801" s="2">
        <f t="shared" si="51"/>
        <v>188.38620572731315</v>
      </c>
      <c r="S801" s="2">
        <f t="shared" si="50"/>
        <v>3.0545547782996509</v>
      </c>
      <c r="T801" s="2">
        <f t="shared" si="52"/>
        <v>5.1570789646557369</v>
      </c>
      <c r="U801" s="2">
        <f t="shared" si="53"/>
        <v>196.59783947026855</v>
      </c>
    </row>
    <row r="802" spans="1:21" x14ac:dyDescent="0.25">
      <c r="A802">
        <v>2520201</v>
      </c>
      <c r="B802">
        <v>15</v>
      </c>
      <c r="C802" s="1">
        <f>2.93700378307017*(10.3/7.3)</f>
        <v>4.1439916391264102</v>
      </c>
      <c r="D802" s="1">
        <f>2.99805466427907*(10.3/7.3)</f>
        <v>4.2301319235718422</v>
      </c>
      <c r="E802" s="1">
        <f>10.6957345117694*(10.3/7.3)</f>
        <v>15.091241845373316</v>
      </c>
      <c r="F802" s="1">
        <f>22.0281203307212*(38.9/42.5)</f>
        <v>20.16220896153072</v>
      </c>
      <c r="G802" s="1">
        <v>0.80118563075779359</v>
      </c>
      <c r="H802" s="1">
        <v>8.078825776659265</v>
      </c>
      <c r="I802" s="1">
        <v>17.719401900448943</v>
      </c>
      <c r="J802" s="1">
        <v>2.967187523347662E-2</v>
      </c>
      <c r="K802" s="1">
        <v>3.3376500032064533</v>
      </c>
      <c r="L802" s="1">
        <v>6.232325018595688</v>
      </c>
      <c r="M802" s="1">
        <v>0.10930613555203819</v>
      </c>
      <c r="N802" s="1">
        <v>1.5899167060972585</v>
      </c>
      <c r="O802" s="1">
        <v>0.23066666666666669</v>
      </c>
      <c r="P802" s="1">
        <v>0.16519118968978541</v>
      </c>
      <c r="Q802" s="1">
        <v>1.2804336564622285</v>
      </c>
      <c r="R802" s="2">
        <f t="shared" si="51"/>
        <v>71.507421333930509</v>
      </c>
      <c r="S802" s="2">
        <f t="shared" si="50"/>
        <v>3.5325130681297154</v>
      </c>
      <c r="T802" s="2">
        <f t="shared" si="52"/>
        <v>8.1622145269116508</v>
      </c>
      <c r="U802" s="2">
        <f t="shared" si="53"/>
        <v>83.20214892897188</v>
      </c>
    </row>
    <row r="803" spans="1:21" x14ac:dyDescent="0.25">
      <c r="A803">
        <v>2520209</v>
      </c>
      <c r="B803">
        <v>55</v>
      </c>
      <c r="C803" s="1">
        <f>3.55269774130281*(10.3/7.3)</f>
        <v>5.0127105117012238</v>
      </c>
      <c r="D803" s="1">
        <f>3.80306416560882*(10.3/7.3)</f>
        <v>5.3659672473658624</v>
      </c>
      <c r="E803" s="1">
        <f>13.4912842965466*(10.3/7.3)</f>
        <v>19.035647706086323</v>
      </c>
      <c r="F803" s="1">
        <f>29.9044975518636*(38.9/42.5)</f>
        <v>27.37141070041163</v>
      </c>
      <c r="G803" s="1">
        <v>1.2008800948575968</v>
      </c>
      <c r="H803" s="1">
        <v>7.455949441189027</v>
      </c>
      <c r="I803" s="1">
        <v>23.867241513948979</v>
      </c>
      <c r="J803" s="1">
        <v>3.463842950756188E-2</v>
      </c>
      <c r="K803" s="1">
        <v>3.7616158346904527</v>
      </c>
      <c r="L803" s="1">
        <v>6.8205881147699712</v>
      </c>
      <c r="M803" s="1">
        <v>0.12735401529249946</v>
      </c>
      <c r="N803" s="1">
        <v>2.0195740096760004</v>
      </c>
      <c r="O803" s="1">
        <v>0.27175272727272737</v>
      </c>
      <c r="P803" s="1">
        <v>0.18187614805179114</v>
      </c>
      <c r="Q803" s="1">
        <v>1.919214763471047</v>
      </c>
      <c r="R803" s="2">
        <f t="shared" si="51"/>
        <v>91.2290219790317</v>
      </c>
      <c r="S803" s="2">
        <f t="shared" si="50"/>
        <v>3.9781304122498056</v>
      </c>
      <c r="T803" s="2">
        <f t="shared" si="52"/>
        <v>9.239268867011198</v>
      </c>
      <c r="U803" s="2">
        <f t="shared" si="53"/>
        <v>104.4464212582927</v>
      </c>
    </row>
    <row r="804" spans="1:21" x14ac:dyDescent="0.25">
      <c r="A804">
        <v>2520217</v>
      </c>
      <c r="B804">
        <v>23</v>
      </c>
      <c r="C804" s="1">
        <f>3.16636791266042*(10.3/7.3)</f>
        <v>4.46761500005511</v>
      </c>
      <c r="D804" s="1">
        <f>3.42595509134655*(10.3/7.3)</f>
        <v>4.8338818412149926</v>
      </c>
      <c r="E804" s="1">
        <f>12.1654998314839*(10.3/7.3)</f>
        <v>17.165020310175901</v>
      </c>
      <c r="F804" s="1">
        <f>26.0148308169352*(38.9/42.5)</f>
        <v>23.81122161832424</v>
      </c>
      <c r="G804" s="1">
        <v>1.0054842174980909</v>
      </c>
      <c r="H804" s="1">
        <v>3.8715510847428898</v>
      </c>
      <c r="I804" s="1">
        <v>20.591359796436763</v>
      </c>
      <c r="J804" s="1">
        <v>3.0926682828046028E-2</v>
      </c>
      <c r="K804" s="1">
        <v>3.4535049045296247</v>
      </c>
      <c r="L804" s="1">
        <v>5.7857328612499099</v>
      </c>
      <c r="M804" s="1">
        <v>0.11702416421393579</v>
      </c>
      <c r="N804" s="1">
        <v>1.4789118065704427</v>
      </c>
      <c r="O804" s="1">
        <v>0.23594666666666661</v>
      </c>
      <c r="P804" s="1">
        <v>0.17070711308659245</v>
      </c>
      <c r="Q804" s="1">
        <v>1.6069382471430698</v>
      </c>
      <c r="R804" s="2">
        <f t="shared" si="51"/>
        <v>77.353072115591061</v>
      </c>
      <c r="S804" s="2">
        <f t="shared" si="50"/>
        <v>3.655138700444263</v>
      </c>
      <c r="T804" s="2">
        <f t="shared" si="52"/>
        <v>7.617615498700955</v>
      </c>
      <c r="U804" s="2">
        <f t="shared" si="53"/>
        <v>88.625826314736287</v>
      </c>
    </row>
    <row r="805" spans="1:21" x14ac:dyDescent="0.25">
      <c r="A805">
        <v>2520225</v>
      </c>
      <c r="B805">
        <v>40</v>
      </c>
      <c r="C805" s="1">
        <f>2.4834290735285*(10.3/7.3)</f>
        <v>3.5040163640196633</v>
      </c>
      <c r="D805" s="1">
        <f>3.20842335208156*(10.3/7.3)</f>
        <v>4.5269534967726166</v>
      </c>
      <c r="E805" s="1">
        <f>11.2843445592091*(10.3/7.3)</f>
        <v>15.921746432856647</v>
      </c>
      <c r="F805" s="1">
        <f>24.7828005951314*(38.9/42.5)</f>
        <v>22.68355160354378</v>
      </c>
      <c r="G805" s="1">
        <v>1.0221720795783047</v>
      </c>
      <c r="H805" s="1">
        <v>5.8941042325893642</v>
      </c>
      <c r="I805" s="1">
        <v>18.602445018135093</v>
      </c>
      <c r="J805" s="1">
        <v>2.7603313401832662E-2</v>
      </c>
      <c r="K805" s="1">
        <v>3.1452847259378554</v>
      </c>
      <c r="L805" s="1">
        <v>4.9342890766054621</v>
      </c>
      <c r="M805" s="1">
        <v>0.1061070095502962</v>
      </c>
      <c r="N805" s="1">
        <v>1.3000956429401052</v>
      </c>
      <c r="O805" s="1">
        <v>0.21038266666666669</v>
      </c>
      <c r="P805" s="1">
        <v>0.15963987918841577</v>
      </c>
      <c r="Q805" s="1">
        <v>1.6336083463580231</v>
      </c>
      <c r="R805" s="2">
        <f t="shared" si="51"/>
        <v>73.78859757385348</v>
      </c>
      <c r="S805" s="2">
        <f t="shared" si="50"/>
        <v>3.3325279185281036</v>
      </c>
      <c r="T805" s="2">
        <f t="shared" si="52"/>
        <v>6.5508743957625306</v>
      </c>
      <c r="U805" s="2">
        <f t="shared" si="53"/>
        <v>83.671999888144114</v>
      </c>
    </row>
    <row r="806" spans="1:21" x14ac:dyDescent="0.25">
      <c r="A806">
        <v>2520233</v>
      </c>
      <c r="B806">
        <v>14</v>
      </c>
      <c r="C806" s="1">
        <f>2.44747470314371*(10.3/7.3)</f>
        <v>3.4532862249835898</v>
      </c>
      <c r="D806" s="1">
        <f>8.52872018704148*(10.3/7.3)</f>
        <v>12.033673688565372</v>
      </c>
      <c r="E806" s="1">
        <f>29.6167190074965*(10.3/7.3)</f>
        <v>41.787973394138902</v>
      </c>
      <c r="F806" s="1">
        <f>42.4773087285101*(38.9/42.5)</f>
        <v>38.879230812683396</v>
      </c>
      <c r="G806" s="1">
        <v>1.0887600863818245</v>
      </c>
      <c r="H806" s="1">
        <v>6.7284891990378197</v>
      </c>
      <c r="I806" s="1">
        <v>19.18768473605008</v>
      </c>
      <c r="J806" s="1">
        <v>2.8596768635790547E-2</v>
      </c>
      <c r="K806" s="1">
        <v>3.1516433689319716</v>
      </c>
      <c r="L806" s="1">
        <v>4.9217819094705524</v>
      </c>
      <c r="M806" s="1">
        <v>0.10832208955439006</v>
      </c>
      <c r="N806" s="1">
        <v>1.4643395618593291</v>
      </c>
      <c r="O806" s="1">
        <v>0.22009904761904761</v>
      </c>
      <c r="P806" s="1">
        <v>0.16090756074438398</v>
      </c>
      <c r="Q806" s="1">
        <v>1.74002753531342</v>
      </c>
      <c r="R806" s="2">
        <f t="shared" si="51"/>
        <v>124.8991256771544</v>
      </c>
      <c r="S806" s="2">
        <f t="shared" si="50"/>
        <v>3.3411476983121462</v>
      </c>
      <c r="T806" s="2">
        <f t="shared" si="52"/>
        <v>6.7145426085033186</v>
      </c>
      <c r="U806" s="2">
        <f t="shared" si="53"/>
        <v>134.95481598396987</v>
      </c>
    </row>
    <row r="807" spans="1:21" x14ac:dyDescent="0.25">
      <c r="A807">
        <v>2520497</v>
      </c>
      <c r="B807">
        <v>30</v>
      </c>
      <c r="C807" s="1">
        <f>5.63843123883361*(10.3/7.3)</f>
        <v>7.9555947616419393</v>
      </c>
      <c r="D807" s="1">
        <f>5.43922324929924*(10.3/7.3)</f>
        <v>7.6745204750386558</v>
      </c>
      <c r="E807" s="1">
        <f>19.5214539212066*(10.3/7.3)</f>
        <v>27.543969231291509</v>
      </c>
      <c r="F807" s="1">
        <f>37.4267070969957*(38.9/42.5)</f>
        <v>34.256444848779566</v>
      </c>
      <c r="G807" s="1">
        <v>1.2068105788715919</v>
      </c>
      <c r="H807" s="1">
        <v>2.2097859241301228</v>
      </c>
      <c r="I807" s="1">
        <v>30.53890831524506</v>
      </c>
      <c r="J807" s="1">
        <v>2.7112940487623461E-2</v>
      </c>
      <c r="K807" s="1">
        <v>2.3854389238910958</v>
      </c>
      <c r="L807" s="1">
        <v>2.576073086988687</v>
      </c>
      <c r="M807" s="1">
        <v>0.14740598573728153</v>
      </c>
      <c r="N807" s="1">
        <v>1.2568682485551617</v>
      </c>
      <c r="O807" s="1">
        <v>0.14855644444444446</v>
      </c>
      <c r="P807" s="1">
        <v>0.11561839052899368</v>
      </c>
      <c r="Q807" s="1">
        <v>1.928692705959167</v>
      </c>
      <c r="R807" s="2">
        <f t="shared" si="51"/>
        <v>113.31472684095762</v>
      </c>
      <c r="S807" s="2">
        <f t="shared" si="50"/>
        <v>2.528170254907713</v>
      </c>
      <c r="T807" s="2">
        <f t="shared" si="52"/>
        <v>4.1289037657255747</v>
      </c>
      <c r="U807" s="2">
        <f t="shared" si="53"/>
        <v>119.97180086159091</v>
      </c>
    </row>
    <row r="808" spans="1:21" x14ac:dyDescent="0.25">
      <c r="A808">
        <v>2520505</v>
      </c>
      <c r="B808">
        <v>2</v>
      </c>
      <c r="C808" s="1">
        <f>8.06740054598405*(10.3/7.3)</f>
        <v>11.382770633374756</v>
      </c>
      <c r="D808" s="1">
        <f>7.42758921275267*(10.3/7.3)</f>
        <v>10.480023135801709</v>
      </c>
      <c r="E808" s="1">
        <f>26.7367388529919*(10.3/7.3)</f>
        <v>37.724439751481711</v>
      </c>
      <c r="F808" s="1">
        <f>50.9797173258309*(38.9/42.5)</f>
        <v>46.661435387642904</v>
      </c>
      <c r="G808" s="1">
        <v>1.6029864191775651</v>
      </c>
      <c r="H808" s="1">
        <v>2.5011754379506415</v>
      </c>
      <c r="I808" s="1">
        <v>42.395817464844598</v>
      </c>
      <c r="J808" s="1">
        <v>3.2201673313530209E-2</v>
      </c>
      <c r="K808" s="1">
        <v>2.6564967852949053</v>
      </c>
      <c r="L808" s="1">
        <v>2.9901148121686818</v>
      </c>
      <c r="M808" s="1">
        <v>0.17213768153841841</v>
      </c>
      <c r="N808" s="1">
        <v>1.4653073614400052</v>
      </c>
      <c r="O808" s="1">
        <v>0.16810666666666668</v>
      </c>
      <c r="P808" s="1">
        <v>0.12491350315780878</v>
      </c>
      <c r="Q808" s="1">
        <v>2.5618504416079837</v>
      </c>
      <c r="R808" s="2">
        <f t="shared" si="51"/>
        <v>155.31049867188187</v>
      </c>
      <c r="S808" s="2">
        <f t="shared" si="50"/>
        <v>2.8136119617662443</v>
      </c>
      <c r="T808" s="2">
        <f t="shared" si="52"/>
        <v>4.7956665218137715</v>
      </c>
      <c r="U808" s="2">
        <f t="shared" si="53"/>
        <v>162.91977715546187</v>
      </c>
    </row>
    <row r="809" spans="1:21" x14ac:dyDescent="0.25">
      <c r="A809">
        <v>2520553</v>
      </c>
      <c r="B809">
        <v>1</v>
      </c>
      <c r="C809" s="1">
        <f>17.6323782853969*(10.3/7.3)</f>
        <v>24.8785611424093</v>
      </c>
      <c r="D809" s="1">
        <f>17.4295510767487*(10.3/7.3)</f>
        <v>24.592380286371441</v>
      </c>
      <c r="E809" s="1">
        <f>62.6925630512403*(10.3/7.3)</f>
        <v>88.456630058599345</v>
      </c>
      <c r="F809" s="1">
        <f>108.876306709185*(38.9/42.5)</f>
        <v>99.653843082053669</v>
      </c>
      <c r="G809" s="1">
        <v>2.9570485751361248</v>
      </c>
      <c r="H809" s="1">
        <v>4.1988575039461482</v>
      </c>
      <c r="I809" s="1">
        <v>86.923542105592688</v>
      </c>
      <c r="J809" s="1">
        <v>4.3772889959464704E-2</v>
      </c>
      <c r="K809" s="1">
        <v>3.0552900214281746</v>
      </c>
      <c r="L809" s="1">
        <v>3.5343216726630686</v>
      </c>
      <c r="M809" s="1">
        <v>0.29487869624024932</v>
      </c>
      <c r="N809" s="1">
        <v>1.9198077347190419</v>
      </c>
      <c r="O809" s="1">
        <v>0.18965333333333334</v>
      </c>
      <c r="P809" s="1">
        <v>0.13111727915265553</v>
      </c>
      <c r="Q809" s="1">
        <v>4.7258767182540851</v>
      </c>
      <c r="R809" s="2">
        <f t="shared" si="51"/>
        <v>336.38673947236282</v>
      </c>
      <c r="S809" s="2">
        <f t="shared" si="50"/>
        <v>3.2301801905402945</v>
      </c>
      <c r="T809" s="2">
        <f t="shared" si="52"/>
        <v>5.9386614369556927</v>
      </c>
      <c r="U809" s="2">
        <f t="shared" si="53"/>
        <v>345.55558109985878</v>
      </c>
    </row>
    <row r="810" spans="1:21" x14ac:dyDescent="0.25">
      <c r="A810">
        <v>2520905</v>
      </c>
      <c r="B810">
        <v>26</v>
      </c>
      <c r="C810" s="1">
        <f>11.7612506753977*(10.3/7.3)</f>
        <v>16.594641363917365</v>
      </c>
      <c r="D810" s="1">
        <f>11.1353615290181*(10.3/7.3)</f>
        <v>15.711537499847493</v>
      </c>
      <c r="E810" s="1">
        <f>40.3012485340527*(10.3/7.3)</f>
        <v>56.863405465855138</v>
      </c>
      <c r="F810" s="1">
        <f>62.5159432293229*(38.9/42.5)</f>
        <v>57.220475096956761</v>
      </c>
      <c r="G810" s="1">
        <v>1.2380226772209064</v>
      </c>
      <c r="H810" s="1">
        <v>5.7339598073888602</v>
      </c>
      <c r="I810" s="1">
        <v>50.268990799305783</v>
      </c>
      <c r="J810" s="1">
        <v>3.6396896228263115E-2</v>
      </c>
      <c r="K810" s="1">
        <v>3.212180095734352</v>
      </c>
      <c r="L810" s="1">
        <v>4.101821235459278</v>
      </c>
      <c r="M810" s="1">
        <v>0.11337734403263353</v>
      </c>
      <c r="N810" s="1">
        <v>1.8229943125226802</v>
      </c>
      <c r="O810" s="1">
        <v>0.11207794871794871</v>
      </c>
      <c r="P810" s="1">
        <v>8.9843071929684465E-2</v>
      </c>
      <c r="Q810" s="1">
        <v>1.9785750549192587</v>
      </c>
      <c r="R810" s="2">
        <f t="shared" si="51"/>
        <v>205.60960776541154</v>
      </c>
      <c r="S810" s="2">
        <f t="shared" si="50"/>
        <v>3.3384200638922996</v>
      </c>
      <c r="T810" s="2">
        <f t="shared" si="52"/>
        <v>6.1502708407325404</v>
      </c>
      <c r="U810" s="2">
        <f t="shared" si="53"/>
        <v>215.09829867003637</v>
      </c>
    </row>
    <row r="811" spans="1:21" x14ac:dyDescent="0.25">
      <c r="A811">
        <v>2532189</v>
      </c>
      <c r="B811">
        <v>16</v>
      </c>
      <c r="C811" s="1">
        <f>0.405799607320457*(10.3/7.3)</f>
        <v>0.572566569232973</v>
      </c>
      <c r="D811" s="1">
        <f>0.566409398541422*(10.3/7.3)</f>
        <v>0.79918038424337567</v>
      </c>
      <c r="E811" s="1">
        <f>1.98378813577777*(10.3/7.3)</f>
        <v>2.7990435340426099</v>
      </c>
      <c r="F811" s="1">
        <f>4.45062513479357*(38.9/42.5)</f>
        <v>4.0736310057287026</v>
      </c>
      <c r="G811" s="1">
        <v>0.18995228124842584</v>
      </c>
      <c r="H811" s="1">
        <v>1.464981383126811</v>
      </c>
      <c r="I811" s="1">
        <v>3.2804209543761456</v>
      </c>
      <c r="J811" s="1">
        <v>1.1618422287733552E-2</v>
      </c>
      <c r="K811" s="1">
        <v>1.609093662917277</v>
      </c>
      <c r="L811" s="1">
        <v>1.730722282636348</v>
      </c>
      <c r="M811" s="1">
        <v>4.9864465174138929E-2</v>
      </c>
      <c r="N811" s="1">
        <v>0.4476541871592698</v>
      </c>
      <c r="O811" s="1">
        <v>9.591666666666665E-2</v>
      </c>
      <c r="P811" s="1">
        <v>0.10283521485243027</v>
      </c>
      <c r="Q811" s="1">
        <v>0.30357670519154845</v>
      </c>
      <c r="R811" s="2">
        <f t="shared" si="51"/>
        <v>13.483352817190591</v>
      </c>
      <c r="S811" s="2">
        <f t="shared" si="50"/>
        <v>1.7235473000574408</v>
      </c>
      <c r="T811" s="2">
        <f t="shared" si="52"/>
        <v>2.3241576016364234</v>
      </c>
      <c r="U811" s="2">
        <f t="shared" si="53"/>
        <v>17.531057718884455</v>
      </c>
    </row>
    <row r="812" spans="1:21" x14ac:dyDescent="0.25">
      <c r="A812">
        <v>2532293</v>
      </c>
      <c r="B812">
        <v>8</v>
      </c>
      <c r="C812" s="1">
        <f>0.521015469721816*(10.3/7.3)</f>
        <v>0.73513141618283651</v>
      </c>
      <c r="D812" s="1">
        <f>0.91543289152331*(10.3/7.3)</f>
        <v>1.2916381894096021</v>
      </c>
      <c r="E812" s="1">
        <f>3.19704394570621*(10.3/7.3)</f>
        <v>4.5108976220238244</v>
      </c>
      <c r="F812" s="1">
        <f>6.28028049415075*(38.9/42.5)</f>
        <v>5.7483037934697432</v>
      </c>
      <c r="G812" s="1">
        <v>0.24097102571421786</v>
      </c>
      <c r="H812" s="1">
        <v>2.4330279806615955</v>
      </c>
      <c r="I812" s="1">
        <v>4.1812206685695159</v>
      </c>
      <c r="J812" s="1">
        <v>1.2681875229386403E-2</v>
      </c>
      <c r="K812" s="1">
        <v>2.3186498774742992</v>
      </c>
      <c r="L812" s="1">
        <v>2.2702172151327633</v>
      </c>
      <c r="M812" s="1">
        <v>5.5812535216772409E-2</v>
      </c>
      <c r="N812" s="1">
        <v>0.51605116773467252</v>
      </c>
      <c r="O812" s="1">
        <v>0.10397999999999999</v>
      </c>
      <c r="P812" s="1">
        <v>0.11794505512657656</v>
      </c>
      <c r="Q812" s="1">
        <v>0.38511351141541694</v>
      </c>
      <c r="R812" s="2">
        <f t="shared" si="51"/>
        <v>19.526304207446753</v>
      </c>
      <c r="S812" s="2">
        <f t="shared" si="50"/>
        <v>2.449276807830262</v>
      </c>
      <c r="T812" s="2">
        <f t="shared" si="52"/>
        <v>2.9460609180842079</v>
      </c>
      <c r="U812" s="2">
        <f t="shared" si="53"/>
        <v>24.921641933361222</v>
      </c>
    </row>
    <row r="813" spans="1:21" x14ac:dyDescent="0.25">
      <c r="A813">
        <v>2532437</v>
      </c>
      <c r="B813">
        <v>65</v>
      </c>
      <c r="C813" s="1">
        <f>3.21593672669567*(10.3/7.3)</f>
        <v>4.5375545595843043</v>
      </c>
      <c r="D813" s="1">
        <f>3.37153136375263*(10.3/7.3)</f>
        <v>4.757092198171522</v>
      </c>
      <c r="E813" s="1">
        <f>11.991977986511*(10.3/7.3)</f>
        <v>16.920188117953877</v>
      </c>
      <c r="F813" s="1">
        <f>25.6499309187129*(38.9/42.5)</f>
        <v>23.477230887951361</v>
      </c>
      <c r="G813" s="1">
        <v>0.98445749512895386</v>
      </c>
      <c r="H813" s="1">
        <v>6.2369958559231593</v>
      </c>
      <c r="I813" s="1">
        <v>20.527655826212019</v>
      </c>
      <c r="J813" s="1">
        <v>3.2363894257171552E-2</v>
      </c>
      <c r="K813" s="1">
        <v>3.544643681727194</v>
      </c>
      <c r="L813" s="1">
        <v>6.550652946299266</v>
      </c>
      <c r="M813" s="1">
        <v>0.11732926429167174</v>
      </c>
      <c r="N813" s="1">
        <v>2.4184921695011421</v>
      </c>
      <c r="O813" s="1">
        <v>0.2556217435897436</v>
      </c>
      <c r="P813" s="1">
        <v>0.17364381999468731</v>
      </c>
      <c r="Q813" s="1">
        <v>1.5733338963248142</v>
      </c>
      <c r="R813" s="2">
        <f t="shared" si="51"/>
        <v>79.01450883725002</v>
      </c>
      <c r="S813" s="2">
        <f t="shared" si="50"/>
        <v>3.7506513959790531</v>
      </c>
      <c r="T813" s="2">
        <f t="shared" si="52"/>
        <v>9.3420961236818236</v>
      </c>
      <c r="U813" s="2">
        <f t="shared" si="53"/>
        <v>92.107256356910895</v>
      </c>
    </row>
    <row r="814" spans="1:21" x14ac:dyDescent="0.25">
      <c r="A814">
        <v>2532445</v>
      </c>
      <c r="B814">
        <v>71</v>
      </c>
      <c r="C814" s="1">
        <f>3.54153781906753*(10.3/7.3)</f>
        <v>4.9969643200541825</v>
      </c>
      <c r="D814" s="1">
        <f>3.88274122778706*(10.3/7.3)</f>
        <v>5.4783883076995519</v>
      </c>
      <c r="E814" s="1">
        <f>13.7396853901985*(10.3/7.3)</f>
        <v>19.386131440964995</v>
      </c>
      <c r="F814" s="1">
        <f>31.3299393509157*(38.9/42.5)</f>
        <v>28.676109194132227</v>
      </c>
      <c r="G814" s="1">
        <v>1.3026089425413625</v>
      </c>
      <c r="H814" s="1">
        <v>5.4842803641063176</v>
      </c>
      <c r="I814" s="1">
        <v>24.900030187369772</v>
      </c>
      <c r="J814" s="1">
        <v>3.5062250043660585E-2</v>
      </c>
      <c r="K814" s="1">
        <v>3.7778628657562083</v>
      </c>
      <c r="L814" s="1">
        <v>6.6852715373721097</v>
      </c>
      <c r="M814" s="1">
        <v>0.12753054035416858</v>
      </c>
      <c r="N814" s="1">
        <v>1.7463237556863782</v>
      </c>
      <c r="O814" s="1">
        <v>0.27599699530516436</v>
      </c>
      <c r="P814" s="1">
        <v>0.18312133059112462</v>
      </c>
      <c r="Q814" s="1">
        <v>2.0817951136505801</v>
      </c>
      <c r="R814" s="2">
        <f t="shared" si="51"/>
        <v>92.306307870519007</v>
      </c>
      <c r="S814" s="2">
        <f t="shared" si="50"/>
        <v>3.9960464463909933</v>
      </c>
      <c r="T814" s="2">
        <f t="shared" si="52"/>
        <v>8.8351228287178198</v>
      </c>
      <c r="U814" s="2">
        <f t="shared" si="53"/>
        <v>105.13747714562781</v>
      </c>
    </row>
    <row r="815" spans="1:21" x14ac:dyDescent="0.25">
      <c r="A815">
        <v>2532453</v>
      </c>
      <c r="B815">
        <v>38</v>
      </c>
      <c r="C815" s="1">
        <f>3.58896554528782*(10.3/7.3)</f>
        <v>5.0638828926663768</v>
      </c>
      <c r="D815" s="1">
        <f>3.97953035386476*(10.3/7.3)</f>
        <v>5.6149537869598678</v>
      </c>
      <c r="E815" s="1">
        <f>14.1222483720589*(10.3/7.3)</f>
        <v>19.925912086603724</v>
      </c>
      <c r="F815" s="1">
        <f>29.7580164358452*(38.9/42.5)</f>
        <v>27.237337396573643</v>
      </c>
      <c r="G815" s="1">
        <v>1.1365922517715372</v>
      </c>
      <c r="H815" s="1">
        <v>4.105103645658037</v>
      </c>
      <c r="I815" s="1">
        <v>23.307146742155748</v>
      </c>
      <c r="J815" s="1">
        <v>3.4205582119504953E-2</v>
      </c>
      <c r="K815" s="1">
        <v>3.7052501132267124</v>
      </c>
      <c r="L815" s="1">
        <v>6.2604194079867552</v>
      </c>
      <c r="M815" s="1">
        <v>0.12773569230499238</v>
      </c>
      <c r="N815" s="1">
        <v>1.6396245964341907</v>
      </c>
      <c r="O815" s="1">
        <v>0.27351298245614031</v>
      </c>
      <c r="P815" s="1">
        <v>0.18219250617691377</v>
      </c>
      <c r="Q815" s="1">
        <v>1.8164716352513166</v>
      </c>
      <c r="R815" s="2">
        <f t="shared" si="51"/>
        <v>88.20740043764026</v>
      </c>
      <c r="S815" s="2">
        <f t="shared" si="50"/>
        <v>3.9216482015231313</v>
      </c>
      <c r="T815" s="2">
        <f t="shared" si="52"/>
        <v>8.3012926791820778</v>
      </c>
      <c r="U815" s="2">
        <f t="shared" si="53"/>
        <v>100.43034131834547</v>
      </c>
    </row>
    <row r="816" spans="1:21" x14ac:dyDescent="0.25">
      <c r="A816">
        <v>2532461</v>
      </c>
      <c r="B816">
        <v>45</v>
      </c>
      <c r="C816" s="1">
        <f>2.61192686131927*(10.3/7.3)</f>
        <v>3.6853214618614398</v>
      </c>
      <c r="D816" s="1">
        <f>4.04190284655911*(10.3/7.3)</f>
        <v>5.7029588108984672</v>
      </c>
      <c r="E816" s="1">
        <f>14.11384865063*(10.3/7.3)</f>
        <v>19.914060424861507</v>
      </c>
      <c r="F816" s="1">
        <f>30.9623456879497*(38.9/42.5)</f>
        <v>28.339652876735141</v>
      </c>
      <c r="G816" s="1">
        <v>1.3131422497769059</v>
      </c>
      <c r="H816" s="1">
        <v>8.3398640822823698</v>
      </c>
      <c r="I816" s="1">
        <v>22.064823259952142</v>
      </c>
      <c r="J816" s="1">
        <v>2.880098123566175E-2</v>
      </c>
      <c r="K816" s="1">
        <v>3.1990999367652453</v>
      </c>
      <c r="L816" s="1">
        <v>5.0384365486810632</v>
      </c>
      <c r="M816" s="1">
        <v>0.11163559846088482</v>
      </c>
      <c r="N816" s="1">
        <v>1.3906988769103674</v>
      </c>
      <c r="O816" s="1">
        <v>0.22256829629629632</v>
      </c>
      <c r="P816" s="1">
        <v>0.16294804100307894</v>
      </c>
      <c r="Q816" s="1">
        <v>2.0986291663101264</v>
      </c>
      <c r="R816" s="2">
        <f t="shared" si="51"/>
        <v>91.458452332678121</v>
      </c>
      <c r="S816" s="2">
        <f t="shared" si="50"/>
        <v>3.3908489590039856</v>
      </c>
      <c r="T816" s="2">
        <f t="shared" si="52"/>
        <v>6.7633393203486118</v>
      </c>
      <c r="U816" s="2">
        <f t="shared" si="53"/>
        <v>101.61264061203072</v>
      </c>
    </row>
    <row r="817" spans="1:21" x14ac:dyDescent="0.25">
      <c r="A817">
        <v>2532725</v>
      </c>
      <c r="B817">
        <v>16</v>
      </c>
      <c r="C817" s="1">
        <f>8.21850250017475*(10.3/7.3)</f>
        <v>11.595969281068486</v>
      </c>
      <c r="D817" s="1">
        <f>7.95881905603103*(10.3/7.3)</f>
        <v>11.229566613304057</v>
      </c>
      <c r="E817" s="1">
        <f>28.5627272619345*(10.3/7.3)</f>
        <v>40.300834355880177</v>
      </c>
      <c r="F817" s="1">
        <f>54.5209897841298*(38.9/42.5)</f>
        <v>49.902741237709414</v>
      </c>
      <c r="G817" s="1">
        <v>1.7479016489233283</v>
      </c>
      <c r="H817" s="1">
        <v>2.6533630281811695</v>
      </c>
      <c r="I817" s="1">
        <v>44.396248262713627</v>
      </c>
      <c r="J817" s="1">
        <v>3.2815346656917911E-2</v>
      </c>
      <c r="K817" s="1">
        <v>2.7229767836614154</v>
      </c>
      <c r="L817" s="1">
        <v>3.1894300204586084</v>
      </c>
      <c r="M817" s="1">
        <v>0.17375403492068328</v>
      </c>
      <c r="N817" s="1">
        <v>1.4541731846897883</v>
      </c>
      <c r="O817" s="1">
        <v>0.17681666666666665</v>
      </c>
      <c r="P817" s="1">
        <v>0.12647527455713706</v>
      </c>
      <c r="Q817" s="1">
        <v>2.7934501238500711</v>
      </c>
      <c r="R817" s="2">
        <f t="shared" si="51"/>
        <v>164.62007455163032</v>
      </c>
      <c r="S817" s="2">
        <f t="shared" si="50"/>
        <v>2.8822674048754706</v>
      </c>
      <c r="T817" s="2">
        <f t="shared" si="52"/>
        <v>4.9941739067357469</v>
      </c>
      <c r="U817" s="2">
        <f t="shared" si="53"/>
        <v>172.49651586324154</v>
      </c>
    </row>
    <row r="818" spans="1:21" x14ac:dyDescent="0.25">
      <c r="A818">
        <v>2532733</v>
      </c>
      <c r="B818">
        <v>36</v>
      </c>
      <c r="C818" s="1">
        <f>5.23853298845002*(10.3/7.3)</f>
        <v>7.3913547645253734</v>
      </c>
      <c r="D818" s="1">
        <f>4.93775919512187*(10.3/7.3)</f>
        <v>6.9669753027061958</v>
      </c>
      <c r="E818" s="1">
        <f>17.7389229533183*(10.3/7.3)</f>
        <v>25.028891290298361</v>
      </c>
      <c r="F818" s="1">
        <f>34.3478554367809*(38.9/42.5)</f>
        <v>31.438390035077148</v>
      </c>
      <c r="G818" s="1">
        <v>1.1164366461143522</v>
      </c>
      <c r="H818" s="1">
        <v>1.8767026883748639</v>
      </c>
      <c r="I818" s="1">
        <v>28.322760591898692</v>
      </c>
      <c r="J818" s="1">
        <v>2.5596890931877742E-2</v>
      </c>
      <c r="K818" s="1">
        <v>2.2403226084495422</v>
      </c>
      <c r="L818" s="1">
        <v>2.3714804524960291</v>
      </c>
      <c r="M818" s="1">
        <v>0.13715404982319951</v>
      </c>
      <c r="N818" s="1">
        <v>1.2009007200711135</v>
      </c>
      <c r="O818" s="1">
        <v>0.13732444444444444</v>
      </c>
      <c r="P818" s="1">
        <v>0.11017867573792837</v>
      </c>
      <c r="Q818" s="1">
        <v>1.7842594800914331</v>
      </c>
      <c r="R818" s="2">
        <f t="shared" si="51"/>
        <v>103.92577079908642</v>
      </c>
      <c r="S818" s="2">
        <f t="shared" si="50"/>
        <v>2.3760981751193482</v>
      </c>
      <c r="T818" s="2">
        <f t="shared" si="52"/>
        <v>3.8468596668347868</v>
      </c>
      <c r="U818" s="2">
        <f t="shared" si="53"/>
        <v>110.14872864104056</v>
      </c>
    </row>
    <row r="819" spans="1:21" x14ac:dyDescent="0.25">
      <c r="A819">
        <v>2533133</v>
      </c>
      <c r="B819">
        <v>4</v>
      </c>
      <c r="C819" s="1">
        <f>10.4402239847745*(10.3/7.3)</f>
        <v>14.730726992216033</v>
      </c>
      <c r="D819" s="1">
        <f>9.78278286210323*(10.3/7.3)</f>
        <v>13.803104586255236</v>
      </c>
      <c r="E819" s="1">
        <f>35.4387722737462*(10.3/7.3)</f>
        <v>50.002651290354251</v>
      </c>
      <c r="F819" s="1">
        <f>54.4152687478642*(38.9/42.5)</f>
        <v>49.805975395103943</v>
      </c>
      <c r="G819" s="1">
        <v>1.0341354655045627</v>
      </c>
      <c r="H819" s="1">
        <v>6.0681888647029734</v>
      </c>
      <c r="I819" s="1">
        <v>43.942026900953849</v>
      </c>
      <c r="J819" s="1">
        <v>2.9418131648794955E-2</v>
      </c>
      <c r="K819" s="1">
        <v>2.5274225274445943</v>
      </c>
      <c r="L819" s="1">
        <v>6.0338856877583416</v>
      </c>
      <c r="M819" s="1">
        <v>9.5542236223836202E-2</v>
      </c>
      <c r="N819" s="1">
        <v>1.6412873233353151</v>
      </c>
      <c r="O819" s="1">
        <v>9.5173333333333346E-2</v>
      </c>
      <c r="P819" s="1">
        <v>7.8575640895437476E-2</v>
      </c>
      <c r="Q819" s="1">
        <v>1.6527279129068371</v>
      </c>
      <c r="R819" s="2">
        <f t="shared" si="51"/>
        <v>181.0395374079977</v>
      </c>
      <c r="S819" s="2">
        <f t="shared" si="50"/>
        <v>2.6354162999888269</v>
      </c>
      <c r="T819" s="2">
        <f t="shared" si="52"/>
        <v>7.8658885806508261</v>
      </c>
      <c r="U819" s="2">
        <f t="shared" si="53"/>
        <v>191.54084228863735</v>
      </c>
    </row>
    <row r="820" spans="1:21" x14ac:dyDescent="0.25">
      <c r="A820">
        <v>2533141</v>
      </c>
      <c r="B820">
        <v>5</v>
      </c>
      <c r="C820" s="1">
        <f>11.0430386343102*(10.3/7.3)</f>
        <v>15.581273689506219</v>
      </c>
      <c r="D820" s="1">
        <f>10.3352905009161*(10.3/7.3)</f>
        <v>14.582670158826824</v>
      </c>
      <c r="E820" s="1">
        <f>37.4327095141323*(10.3/7.3)</f>
        <v>52.816014793912757</v>
      </c>
      <c r="F820" s="1">
        <f>57.9874545534185*(38.9/42.5)</f>
        <v>53.075576050070111</v>
      </c>
      <c r="G820" s="1">
        <v>1.134214821762118</v>
      </c>
      <c r="H820" s="1">
        <v>3.8266035930762983</v>
      </c>
      <c r="I820" s="1">
        <v>46.903095160472169</v>
      </c>
      <c r="J820" s="1">
        <v>3.3716497054857172E-2</v>
      </c>
      <c r="K820" s="1">
        <v>2.9534118523106772</v>
      </c>
      <c r="L820" s="1">
        <v>3.5465713406626413</v>
      </c>
      <c r="M820" s="1">
        <v>0.10799346370403499</v>
      </c>
      <c r="N820" s="1">
        <v>1.6621438161273914</v>
      </c>
      <c r="O820" s="1">
        <v>0.10707200000000001</v>
      </c>
      <c r="P820" s="1">
        <v>8.6272044193741931E-2</v>
      </c>
      <c r="Q820" s="1">
        <v>1.812672089574163</v>
      </c>
      <c r="R820" s="2">
        <f t="shared" si="51"/>
        <v>189.73212035720067</v>
      </c>
      <c r="S820" s="2">
        <f t="shared" si="50"/>
        <v>3.0734003935592766</v>
      </c>
      <c r="T820" s="2">
        <f t="shared" si="52"/>
        <v>5.4237806204940675</v>
      </c>
      <c r="U820" s="2">
        <f t="shared" si="53"/>
        <v>198.229301371254</v>
      </c>
    </row>
    <row r="821" spans="1:21" x14ac:dyDescent="0.25">
      <c r="A821">
        <v>2544425</v>
      </c>
      <c r="B821">
        <v>13</v>
      </c>
      <c r="C821" s="1">
        <f>0.343204986104526*(10.3/7.3)</f>
        <v>0.48424813107898906</v>
      </c>
      <c r="D821" s="1">
        <f>0.480505789004528*(10.3/7.3)</f>
        <v>0.67797392147214197</v>
      </c>
      <c r="E821" s="1">
        <f>1.68333014700027*(10.3/7.3)</f>
        <v>2.3751096594661405</v>
      </c>
      <c r="F821" s="1">
        <f>3.74518251757131*(38.9/42.5)</f>
        <v>3.4279435278476189</v>
      </c>
      <c r="G821" s="1">
        <v>0.15862319014609014</v>
      </c>
      <c r="H821" s="1">
        <v>1.0914962380411888</v>
      </c>
      <c r="I821" s="1">
        <v>2.753111928378333</v>
      </c>
      <c r="J821" s="1">
        <v>1.0750319919057248E-2</v>
      </c>
      <c r="K821" s="1">
        <v>1.545961542574817</v>
      </c>
      <c r="L821" s="1">
        <v>1.5395997188586772</v>
      </c>
      <c r="M821" s="1">
        <v>4.5330386811766626E-2</v>
      </c>
      <c r="N821" s="1">
        <v>0.4305567071704921</v>
      </c>
      <c r="O821" s="1">
        <v>8.685948717948716E-2</v>
      </c>
      <c r="P821" s="1">
        <v>0.10327396680905181</v>
      </c>
      <c r="Q821" s="1">
        <v>0.25350738151201646</v>
      </c>
      <c r="R821" s="2">
        <f t="shared" si="51"/>
        <v>11.222013977942519</v>
      </c>
      <c r="S821" s="2">
        <f t="shared" si="50"/>
        <v>1.6599858293029262</v>
      </c>
      <c r="T821" s="2">
        <f t="shared" si="52"/>
        <v>2.102346300020423</v>
      </c>
      <c r="U821" s="2">
        <f t="shared" si="53"/>
        <v>14.984346107265868</v>
      </c>
    </row>
    <row r="822" spans="1:21" x14ac:dyDescent="0.25">
      <c r="A822">
        <v>2544665</v>
      </c>
      <c r="B822">
        <v>14</v>
      </c>
      <c r="C822" s="1">
        <f>2.84656309352021*(10.3/7.3)</f>
        <v>4.0163835429120773</v>
      </c>
      <c r="D822" s="1">
        <f>3.00135703408201*(10.3/7.3)</f>
        <v>4.2347914316499562</v>
      </c>
      <c r="E822" s="1">
        <f>10.6718311003917*(10.3/7.3)</f>
        <v>15.057515114251366</v>
      </c>
      <c r="F822" s="1">
        <f>22.8394278572456*(38.9/42.5)</f>
        <v>20.904793968161282</v>
      </c>
      <c r="G822" s="1">
        <v>0.87836237092149916</v>
      </c>
      <c r="H822" s="1">
        <v>12.271460973675756</v>
      </c>
      <c r="I822" s="1">
        <v>18.243163820414125</v>
      </c>
      <c r="J822" s="1">
        <v>3.1166331596768924E-2</v>
      </c>
      <c r="K822" s="1">
        <v>3.4272634927434718</v>
      </c>
      <c r="L822" s="1">
        <v>6.3748026431800113</v>
      </c>
      <c r="M822" s="1">
        <v>0.11140391861393246</v>
      </c>
      <c r="N822" s="1">
        <v>1.6218552941924034</v>
      </c>
      <c r="O822" s="1">
        <v>0.23904380952380949</v>
      </c>
      <c r="P822" s="1">
        <v>0.17025038583079707</v>
      </c>
      <c r="Q822" s="1">
        <v>1.4037754786416667</v>
      </c>
      <c r="R822" s="2">
        <f t="shared" si="51"/>
        <v>77.010246700627718</v>
      </c>
      <c r="S822" s="2">
        <f t="shared" si="50"/>
        <v>3.6286802101710376</v>
      </c>
      <c r="T822" s="2">
        <f t="shared" si="52"/>
        <v>8.3471056655101581</v>
      </c>
      <c r="U822" s="2">
        <f t="shared" si="53"/>
        <v>88.986032576308915</v>
      </c>
    </row>
    <row r="823" spans="1:21" x14ac:dyDescent="0.25">
      <c r="A823">
        <v>2544673</v>
      </c>
      <c r="B823">
        <v>42</v>
      </c>
      <c r="C823" s="1">
        <f>2.94382215947643*(10.3/7.3)</f>
        <v>4.1536120880283818</v>
      </c>
      <c r="D823" s="1">
        <f>3.48928966655459*(10.3/7.3)</f>
        <v>4.923244324042777</v>
      </c>
      <c r="E823" s="1">
        <f>12.1995956256347*(10.3/7.3)</f>
        <v>17.213128074525645</v>
      </c>
      <c r="F823" s="1">
        <f>32.915876554979*(38.9/42.5)</f>
        <v>30.127708187969048</v>
      </c>
      <c r="G823" s="1">
        <v>1.6018700408624311</v>
      </c>
      <c r="H823" s="1">
        <v>6.7492035627239559</v>
      </c>
      <c r="I823" s="1">
        <v>26.148194684413934</v>
      </c>
      <c r="J823" s="1">
        <v>3.1871309592432499E-2</v>
      </c>
      <c r="K823" s="1">
        <v>3.4469552626709081</v>
      </c>
      <c r="L823" s="1">
        <v>6.1029783904517574</v>
      </c>
      <c r="M823" s="1">
        <v>0.11419798975505813</v>
      </c>
      <c r="N823" s="1">
        <v>1.7888110394477519</v>
      </c>
      <c r="O823" s="1">
        <v>0.24326095238095238</v>
      </c>
      <c r="P823" s="1">
        <v>0.1702769324067625</v>
      </c>
      <c r="Q823" s="1">
        <v>2.5600662753509189</v>
      </c>
      <c r="R823" s="2">
        <f t="shared" si="51"/>
        <v>93.477027237917099</v>
      </c>
      <c r="S823" s="2">
        <f t="shared" si="50"/>
        <v>3.6491035046701028</v>
      </c>
      <c r="T823" s="2">
        <f t="shared" si="52"/>
        <v>8.2492483720355203</v>
      </c>
      <c r="U823" s="2">
        <f t="shared" si="53"/>
        <v>105.37537911462273</v>
      </c>
    </row>
    <row r="824" spans="1:21" x14ac:dyDescent="0.25">
      <c r="A824">
        <v>2544681</v>
      </c>
      <c r="B824">
        <v>61</v>
      </c>
      <c r="C824" s="1">
        <f>3.89456910964106*(10.3/7.3)</f>
        <v>5.4950769629182084</v>
      </c>
      <c r="D824" s="1">
        <f>4.26481247731371*(10.3/7.3)</f>
        <v>6.0174751392234533</v>
      </c>
      <c r="E824" s="1">
        <f>15.1055959077087*(10.3/7.3)</f>
        <v>21.31337504786303</v>
      </c>
      <c r="F824" s="1">
        <f>33.785154656534*(38.9/42.5)</f>
        <v>30.923353320921684</v>
      </c>
      <c r="G824" s="1">
        <v>1.3764111644977099</v>
      </c>
      <c r="H824" s="1">
        <v>4.8968865887988873</v>
      </c>
      <c r="I824" s="1">
        <v>26.793660129487662</v>
      </c>
      <c r="J824" s="1">
        <v>3.7395006908778845E-2</v>
      </c>
      <c r="K824" s="1">
        <v>3.946128415766986</v>
      </c>
      <c r="L824" s="1">
        <v>6.9431962871834552</v>
      </c>
      <c r="M824" s="1">
        <v>0.13516680811026643</v>
      </c>
      <c r="N824" s="1">
        <v>1.7941205429493854</v>
      </c>
      <c r="O824" s="1">
        <v>0.29831431693989069</v>
      </c>
      <c r="P824" s="1">
        <v>0.19189392581260215</v>
      </c>
      <c r="Q824" s="1">
        <v>2.1997438702018228</v>
      </c>
      <c r="R824" s="2">
        <f t="shared" si="51"/>
        <v>99.015982223912459</v>
      </c>
      <c r="S824" s="2">
        <f t="shared" si="50"/>
        <v>4.1754173484883674</v>
      </c>
      <c r="T824" s="2">
        <f t="shared" si="52"/>
        <v>9.1707979551829979</v>
      </c>
      <c r="U824" s="2">
        <f t="shared" si="53"/>
        <v>112.36219752758382</v>
      </c>
    </row>
    <row r="825" spans="1:21" x14ac:dyDescent="0.25">
      <c r="A825">
        <v>2544689</v>
      </c>
      <c r="B825">
        <v>63</v>
      </c>
      <c r="C825" s="1">
        <f>3.44607128885062*(10.3/7.3)</f>
        <v>4.8622649692001945</v>
      </c>
      <c r="D825" s="1">
        <f>3.93809334944342*(10.3/7.3)</f>
        <v>5.5564878766119561</v>
      </c>
      <c r="E825" s="1">
        <f>13.9504805223025*(10.3/7.3)</f>
        <v>19.683554709550148</v>
      </c>
      <c r="F825" s="1">
        <f>29.5844560917567*(38.9/42.5)</f>
        <v>27.078478634572608</v>
      </c>
      <c r="G825" s="1">
        <v>1.1462063087443635</v>
      </c>
      <c r="H825" s="1">
        <v>4.8143167060801195</v>
      </c>
      <c r="I825" s="1">
        <v>22.95528249705518</v>
      </c>
      <c r="J825" s="1">
        <v>3.3401557042654739E-2</v>
      </c>
      <c r="K825" s="1">
        <v>3.6282949567740541</v>
      </c>
      <c r="L825" s="1">
        <v>6.0200708773730449</v>
      </c>
      <c r="M825" s="1">
        <v>0.12455181363842015</v>
      </c>
      <c r="N825" s="1">
        <v>1.5363042395730748</v>
      </c>
      <c r="O825" s="1">
        <v>0.27013502645502652</v>
      </c>
      <c r="P825" s="1">
        <v>0.18046104422831247</v>
      </c>
      <c r="Q825" s="1">
        <v>1.831836566486428</v>
      </c>
      <c r="R825" s="2">
        <f t="shared" si="51"/>
        <v>87.928428268300991</v>
      </c>
      <c r="S825" s="2">
        <f t="shared" si="50"/>
        <v>3.8421575580450211</v>
      </c>
      <c r="T825" s="2">
        <f t="shared" si="52"/>
        <v>7.951061957039566</v>
      </c>
      <c r="U825" s="2">
        <f t="shared" si="53"/>
        <v>99.721647783385578</v>
      </c>
    </row>
    <row r="826" spans="1:21" x14ac:dyDescent="0.25">
      <c r="A826">
        <v>2544697</v>
      </c>
      <c r="B826">
        <v>45</v>
      </c>
      <c r="C826" s="1">
        <f>2.84513999057255*(10.3/7.3)</f>
        <v>4.0143756031366182</v>
      </c>
      <c r="D826" s="1">
        <f>4.39083590614185*(10.3/7.3)</f>
        <v>6.1952890182549378</v>
      </c>
      <c r="E826" s="1">
        <f>15.4116665916435*(10.3/7.3)</f>
        <v>21.745228204647702</v>
      </c>
      <c r="F826" s="1">
        <f>29.8651054383663*(38.9/42.5)</f>
        <v>27.335355330645829</v>
      </c>
      <c r="G826" s="1">
        <v>1.101706838958211</v>
      </c>
      <c r="H826" s="1">
        <v>7.8651132605028593</v>
      </c>
      <c r="I826" s="1">
        <v>20.583771121292219</v>
      </c>
      <c r="J826" s="1">
        <v>3.0018497833732942E-2</v>
      </c>
      <c r="K826" s="1">
        <v>3.2852539795833384</v>
      </c>
      <c r="L826" s="1">
        <v>5.1818574014662575</v>
      </c>
      <c r="M826" s="1">
        <v>0.11470056349937505</v>
      </c>
      <c r="N826" s="1">
        <v>1.521988540596751</v>
      </c>
      <c r="O826" s="1">
        <v>0.23559585185185183</v>
      </c>
      <c r="P826" s="1">
        <v>0.16701689926755817</v>
      </c>
      <c r="Q826" s="1">
        <v>1.7607186923989686</v>
      </c>
      <c r="R826" s="2">
        <f t="shared" si="51"/>
        <v>90.601558069837338</v>
      </c>
      <c r="S826" s="2">
        <f t="shared" si="50"/>
        <v>3.4822893766846295</v>
      </c>
      <c r="T826" s="2">
        <f t="shared" si="52"/>
        <v>7.0541423574142357</v>
      </c>
      <c r="U826" s="2">
        <f t="shared" si="53"/>
        <v>101.13798980393621</v>
      </c>
    </row>
    <row r="827" spans="1:21" x14ac:dyDescent="0.25">
      <c r="A827">
        <v>2544961</v>
      </c>
      <c r="B827">
        <v>38</v>
      </c>
      <c r="C827" s="1">
        <f>5.66161321950233*(10.3/7.3)</f>
        <v>7.9883035836813638</v>
      </c>
      <c r="D827" s="1">
        <f>5.42273968133706*(10.3/7.3)</f>
        <v>7.6512628380509149</v>
      </c>
      <c r="E827" s="1">
        <f>19.4591932901195*(10.3/7.3)</f>
        <v>27.456122039483741</v>
      </c>
      <c r="F827" s="1">
        <f>37.868828456147*(38.9/42.5)</f>
        <v>34.661115928096891</v>
      </c>
      <c r="G827" s="1">
        <v>1.2471935711289746</v>
      </c>
      <c r="H827" s="1">
        <v>2.2284353338943164</v>
      </c>
      <c r="I827" s="1">
        <v>31.036390177075425</v>
      </c>
      <c r="J827" s="1">
        <v>2.7302782912564834E-2</v>
      </c>
      <c r="K827" s="1">
        <v>2.3705556023155974</v>
      </c>
      <c r="L827" s="1">
        <v>2.5787256636874987</v>
      </c>
      <c r="M827" s="1">
        <v>0.1448781674499369</v>
      </c>
      <c r="N827" s="1">
        <v>1.2692416673458944</v>
      </c>
      <c r="O827" s="1">
        <v>0.14797473684210527</v>
      </c>
      <c r="P827" s="1">
        <v>0.11502697287103214</v>
      </c>
      <c r="Q827" s="1">
        <v>1.9932317346810116</v>
      </c>
      <c r="R827" s="2">
        <f t="shared" si="51"/>
        <v>114.26205520609264</v>
      </c>
      <c r="S827" s="2">
        <f t="shared" si="50"/>
        <v>2.5128853580991941</v>
      </c>
      <c r="T827" s="2">
        <f t="shared" si="52"/>
        <v>4.1408202353254353</v>
      </c>
      <c r="U827" s="2">
        <f t="shared" si="53"/>
        <v>120.91576079951727</v>
      </c>
    </row>
    <row r="828" spans="1:21" x14ac:dyDescent="0.25">
      <c r="A828">
        <v>2544969</v>
      </c>
      <c r="B828">
        <v>1</v>
      </c>
      <c r="C828" s="1">
        <f>10.467108681731*(10.3/7.3)</f>
        <v>14.768660194771098</v>
      </c>
      <c r="D828" s="1">
        <f>9.65340455701858*(10.3/7.3)</f>
        <v>13.620557114697446</v>
      </c>
      <c r="E828" s="1">
        <f>34.7555585230309*(10.3/7.3)</f>
        <v>49.038664765372374</v>
      </c>
      <c r="F828" s="1">
        <f>65.7544841031304*(38.9/42.5)</f>
        <v>60.184692508512263</v>
      </c>
      <c r="G828" s="1">
        <v>2.0418227280421064</v>
      </c>
      <c r="H828" s="1">
        <v>3.1427608645536131</v>
      </c>
      <c r="I828" s="1">
        <v>54.607936988962408</v>
      </c>
      <c r="J828" s="1">
        <v>3.7161978505718479E-2</v>
      </c>
      <c r="K828" s="1">
        <v>2.916261916376492</v>
      </c>
      <c r="L828" s="1">
        <v>3.438970169708508</v>
      </c>
      <c r="M828" s="1">
        <v>0.19675754509646368</v>
      </c>
      <c r="N828" s="1">
        <v>1.6327632067049394</v>
      </c>
      <c r="O828" s="1">
        <v>0.18847999999999998</v>
      </c>
      <c r="P828" s="1">
        <v>0.13289640544772707</v>
      </c>
      <c r="Q828" s="1">
        <v>3.2631870082864749</v>
      </c>
      <c r="R828" s="2">
        <f t="shared" si="51"/>
        <v>200.66828217319778</v>
      </c>
      <c r="S828" s="2">
        <f t="shared" si="50"/>
        <v>3.0863203003299375</v>
      </c>
      <c r="T828" s="2">
        <f t="shared" si="52"/>
        <v>5.4569709215099111</v>
      </c>
      <c r="U828" s="2">
        <f t="shared" si="53"/>
        <v>209.21157339503762</v>
      </c>
    </row>
    <row r="829" spans="1:21" x14ac:dyDescent="0.25">
      <c r="A829">
        <v>2545369</v>
      </c>
      <c r="B829">
        <v>19</v>
      </c>
      <c r="C829" s="1">
        <f>14.2961603355902*(10.3/7.3)</f>
        <v>20.171294720079295</v>
      </c>
      <c r="D829" s="1">
        <f>13.2918048018448*(10.3/7.3)</f>
        <v>18.754190336849469</v>
      </c>
      <c r="E829" s="1">
        <f>48.1845558114592*(10.3/7.3)</f>
        <v>67.98642806274384</v>
      </c>
      <c r="F829" s="1">
        <f>73.3976996950034*(38.9/42.5)</f>
        <v>67.180482779661929</v>
      </c>
      <c r="G829" s="1">
        <v>1.3487538799280268</v>
      </c>
      <c r="H829" s="1">
        <v>5.0868937667807375</v>
      </c>
      <c r="I829" s="1">
        <v>59.464441364085971</v>
      </c>
      <c r="J829" s="1">
        <v>4.0791481003734947E-2</v>
      </c>
      <c r="K829" s="1">
        <v>3.3727678062368871</v>
      </c>
      <c r="L829" s="1">
        <v>5.4596706867467404</v>
      </c>
      <c r="M829" s="1">
        <v>0.12573938884634445</v>
      </c>
      <c r="N829" s="1">
        <v>2.0495018089763741</v>
      </c>
      <c r="O829" s="1">
        <v>0.12244210526315789</v>
      </c>
      <c r="P829" s="1">
        <v>9.6597235893492298E-2</v>
      </c>
      <c r="Q829" s="1">
        <v>2.1555427304785839</v>
      </c>
      <c r="R829" s="2">
        <f t="shared" si="51"/>
        <v>242.14802764060786</v>
      </c>
      <c r="S829" s="2">
        <f t="shared" si="50"/>
        <v>3.5101565231341145</v>
      </c>
      <c r="T829" s="2">
        <f t="shared" si="52"/>
        <v>7.7573539898326169</v>
      </c>
      <c r="U829" s="2">
        <f t="shared" si="53"/>
        <v>253.4155381535746</v>
      </c>
    </row>
    <row r="830" spans="1:21" x14ac:dyDescent="0.25">
      <c r="A830">
        <v>2545377</v>
      </c>
      <c r="B830">
        <v>10</v>
      </c>
      <c r="C830" s="1">
        <f>13.8270983635834*(10.3/7.3)</f>
        <v>19.509467554097164</v>
      </c>
      <c r="D830" s="1">
        <f>12.5606602287573*(10.3/7.3)</f>
        <v>17.722575391260271</v>
      </c>
      <c r="E830" s="1">
        <f>45.5744019419223*(10.3/7.3)</f>
        <v>64.303608219424589</v>
      </c>
      <c r="F830" s="1">
        <f>70.598172408253*(38.9/42.5)</f>
        <v>64.618091921906867</v>
      </c>
      <c r="G830" s="1">
        <v>1.3517016672556204</v>
      </c>
      <c r="H830" s="1">
        <v>5.763183855616326</v>
      </c>
      <c r="I830" s="1">
        <v>58.009001574995523</v>
      </c>
      <c r="J830" s="1">
        <v>3.8218536241265852E-2</v>
      </c>
      <c r="K830" s="1">
        <v>3.2710065639278305</v>
      </c>
      <c r="L830" s="1">
        <v>3.9585040656224151</v>
      </c>
      <c r="M830" s="1">
        <v>0.12292235143304994</v>
      </c>
      <c r="N830" s="1">
        <v>1.8075738353904813</v>
      </c>
      <c r="O830" s="1">
        <v>0.119088</v>
      </c>
      <c r="P830" s="1">
        <v>9.4778293879978492E-2</v>
      </c>
      <c r="Q830" s="1">
        <v>2.1602538061162906</v>
      </c>
      <c r="R830" s="2">
        <f t="shared" si="51"/>
        <v>233.43788399067265</v>
      </c>
      <c r="S830" s="2">
        <f t="shared" si="50"/>
        <v>3.4040033940490746</v>
      </c>
      <c r="T830" s="2">
        <f t="shared" si="52"/>
        <v>6.0080882524459458</v>
      </c>
      <c r="U830" s="2">
        <f t="shared" si="53"/>
        <v>242.84997563716769</v>
      </c>
    </row>
    <row r="831" spans="1:21" x14ac:dyDescent="0.25">
      <c r="A831">
        <v>2556653</v>
      </c>
      <c r="B831">
        <v>1</v>
      </c>
      <c r="C831" s="1">
        <f>0.651605395864226*(10.3/7.3)</f>
        <v>0.91938843526048375</v>
      </c>
      <c r="D831" s="1">
        <f>0.932955136668187*(10.3/7.3)</f>
        <v>1.3163613572167574</v>
      </c>
      <c r="E831" s="1">
        <f>3.26113830305445*(10.3/7.3)</f>
        <v>4.6013321262275175</v>
      </c>
      <c r="F831" s="1">
        <f>7.47371978644275*(38.9/42.5)</f>
        <v>6.8406517574734833</v>
      </c>
      <c r="G831" s="1">
        <v>0.32671309547494554</v>
      </c>
      <c r="H831" s="1">
        <v>2.6879406197261662</v>
      </c>
      <c r="I831" s="1">
        <v>5.495333548591768</v>
      </c>
      <c r="J831" s="1">
        <v>1.6556981060666078E-2</v>
      </c>
      <c r="K831" s="1">
        <v>2.3041385159452528</v>
      </c>
      <c r="L831" s="1">
        <v>2.5184460443646626</v>
      </c>
      <c r="M831" s="1">
        <v>6.9277333806544689E-2</v>
      </c>
      <c r="N831" s="1">
        <v>0.63307671515746067</v>
      </c>
      <c r="O831" s="1">
        <v>0.13738666666666666</v>
      </c>
      <c r="P831" s="1">
        <v>0.1549793783701707</v>
      </c>
      <c r="Q831" s="1">
        <v>0.52214421651247056</v>
      </c>
      <c r="R831" s="2">
        <f t="shared" si="51"/>
        <v>22.709865156483591</v>
      </c>
      <c r="S831" s="2">
        <f t="shared" si="50"/>
        <v>2.4756748753760895</v>
      </c>
      <c r="T831" s="2">
        <f t="shared" si="52"/>
        <v>3.3581867599953346</v>
      </c>
      <c r="U831" s="2">
        <f t="shared" si="53"/>
        <v>28.543726791855015</v>
      </c>
    </row>
    <row r="832" spans="1:21" x14ac:dyDescent="0.25">
      <c r="A832">
        <v>2556661</v>
      </c>
      <c r="B832">
        <v>15</v>
      </c>
      <c r="C832" s="1">
        <f>0.417616925227114*(10.3/7.3)</f>
        <v>0.58924031915606512</v>
      </c>
      <c r="D832" s="1">
        <f>0.604784426983775*(10.3/7.3)</f>
        <v>0.85332597231957297</v>
      </c>
      <c r="E832" s="1">
        <f>2.11576026930444*(10.3/7.3)</f>
        <v>2.9852507909363992</v>
      </c>
      <c r="F832" s="1">
        <f>4.71230702162573*(38.9/42.5)</f>
        <v>4.3131468974409648</v>
      </c>
      <c r="G832" s="1">
        <v>0.2008418236397487</v>
      </c>
      <c r="H832" s="1">
        <v>1.2543275013921686</v>
      </c>
      <c r="I832" s="1">
        <v>3.4322085713602988</v>
      </c>
      <c r="J832" s="1">
        <v>1.0920874950078157E-2</v>
      </c>
      <c r="K832" s="1">
        <v>1.6567948952819944</v>
      </c>
      <c r="L832" s="1">
        <v>1.6495161730397416</v>
      </c>
      <c r="M832" s="1">
        <v>5.0042604594019748E-2</v>
      </c>
      <c r="N832" s="1">
        <v>0.43065477157573739</v>
      </c>
      <c r="O832" s="1">
        <v>9.5171555555555551E-2</v>
      </c>
      <c r="P832" s="1">
        <v>0.10123085827669925</v>
      </c>
      <c r="Q832" s="1">
        <v>0.32098008344252105</v>
      </c>
      <c r="R832" s="2">
        <f t="shared" si="51"/>
        <v>13.94932195968774</v>
      </c>
      <c r="S832" s="2">
        <f t="shared" si="50"/>
        <v>1.7689466285087718</v>
      </c>
      <c r="T832" s="2">
        <f t="shared" si="52"/>
        <v>2.2253851047650541</v>
      </c>
      <c r="U832" s="2">
        <f t="shared" si="53"/>
        <v>17.943653692961565</v>
      </c>
    </row>
    <row r="833" spans="1:21" x14ac:dyDescent="0.25">
      <c r="A833">
        <v>2556901</v>
      </c>
      <c r="B833">
        <v>22</v>
      </c>
      <c r="C833" s="1">
        <f>3.04810909298401*(10.3/7.3)</f>
        <v>4.3007566654431928</v>
      </c>
      <c r="D833" s="1">
        <f>3.26597905374888*(10.3/7.3)</f>
        <v>4.6081622265223983</v>
      </c>
      <c r="E833" s="1">
        <f>11.5843857155813*(10.3/7.3)</f>
        <v>16.345092174039305</v>
      </c>
      <c r="F833" s="1">
        <f>25.730078087941*(38.9/42.5)</f>
        <v>23.550589120491871</v>
      </c>
      <c r="G833" s="1">
        <v>1.0357473281415903</v>
      </c>
      <c r="H833" s="1">
        <v>10.802667900425233</v>
      </c>
      <c r="I833" s="1">
        <v>20.534376856368045</v>
      </c>
      <c r="J833" s="1">
        <v>3.3270189168757014E-2</v>
      </c>
      <c r="K833" s="1">
        <v>3.5186222240141407</v>
      </c>
      <c r="L833" s="1">
        <v>6.5271959824766705</v>
      </c>
      <c r="M833" s="1">
        <v>0.11647492591727028</v>
      </c>
      <c r="N833" s="1">
        <v>2.301731181480787</v>
      </c>
      <c r="O833" s="1">
        <v>0.25263515151515148</v>
      </c>
      <c r="P833" s="1">
        <v>0.17253343223585085</v>
      </c>
      <c r="Q833" s="1">
        <v>1.6553039490847348</v>
      </c>
      <c r="R833" s="2">
        <f t="shared" si="51"/>
        <v>82.832696220516382</v>
      </c>
      <c r="S833" s="2">
        <f t="shared" si="50"/>
        <v>3.7244258454187484</v>
      </c>
      <c r="T833" s="2">
        <f t="shared" si="52"/>
        <v>9.1980372413898799</v>
      </c>
      <c r="U833" s="2">
        <f t="shared" si="53"/>
        <v>95.755159307325016</v>
      </c>
    </row>
    <row r="834" spans="1:21" x14ac:dyDescent="0.25">
      <c r="A834">
        <v>2556909</v>
      </c>
      <c r="B834">
        <v>24</v>
      </c>
      <c r="C834" s="1">
        <f>2.72428276727485*(10.3/7.3)</f>
        <v>3.843851027798761</v>
      </c>
      <c r="D834" s="1">
        <f>3.581627325385*(10.3/7.3)</f>
        <v>5.0535289659541816</v>
      </c>
      <c r="E834" s="1">
        <f>12.3557379050769*(10.3/7.3)</f>
        <v>17.433438414012674</v>
      </c>
      <c r="F834" s="1">
        <f>38.8739203839625*(38.9/42.5)</f>
        <v>35.581070657321014</v>
      </c>
      <c r="G834" s="1">
        <v>2.1089714786446465</v>
      </c>
      <c r="H834" s="1">
        <v>7.4721468521057686</v>
      </c>
      <c r="I834" s="1">
        <v>30.777070259786679</v>
      </c>
      <c r="J834" s="1">
        <v>3.0540459042579213E-2</v>
      </c>
      <c r="K834" s="1">
        <v>3.2698855685196775</v>
      </c>
      <c r="L834" s="1">
        <v>5.5261508297779365</v>
      </c>
      <c r="M834" s="1">
        <v>0.10921393673113046</v>
      </c>
      <c r="N834" s="1">
        <v>1.5767778567323489</v>
      </c>
      <c r="O834" s="1">
        <v>0.22629555555555558</v>
      </c>
      <c r="P834" s="1">
        <v>0.16410022983882422</v>
      </c>
      <c r="Q834" s="1">
        <v>3.370502363130718</v>
      </c>
      <c r="R834" s="2">
        <f t="shared" si="51"/>
        <v>105.64058001875443</v>
      </c>
      <c r="S834" s="2">
        <f t="shared" si="50"/>
        <v>3.4645262574010811</v>
      </c>
      <c r="T834" s="2">
        <f t="shared" si="52"/>
        <v>7.4384381787969716</v>
      </c>
      <c r="U834" s="2">
        <f t="shared" si="53"/>
        <v>116.54354445495248</v>
      </c>
    </row>
    <row r="835" spans="1:21" x14ac:dyDescent="0.25">
      <c r="A835">
        <v>2556917</v>
      </c>
      <c r="B835">
        <v>60</v>
      </c>
      <c r="C835" s="1">
        <f>4.03341483053051*(10.3/7.3)</f>
        <v>5.6909825691046949</v>
      </c>
      <c r="D835" s="1">
        <f>4.35486812453354*(10.3/7.3)</f>
        <v>6.1445399565336212</v>
      </c>
      <c r="E835" s="1">
        <f>15.4654119584752*(10.3/7.3)</f>
        <v>21.821060708533452</v>
      </c>
      <c r="F835" s="1">
        <f>33.0882866312593*(38.9/42.5)</f>
        <v>30.285514116611449</v>
      </c>
      <c r="G835" s="1">
        <v>1.2790272271893814</v>
      </c>
      <c r="H835" s="1">
        <v>4.4306904229306951</v>
      </c>
      <c r="I835" s="1">
        <v>26.211111390130153</v>
      </c>
      <c r="J835" s="1">
        <v>3.7863380086786691E-2</v>
      </c>
      <c r="K835" s="1">
        <v>3.9998494381367835</v>
      </c>
      <c r="L835" s="1">
        <v>6.9520284431770154</v>
      </c>
      <c r="M835" s="1">
        <v>0.1385097431324456</v>
      </c>
      <c r="N835" s="1">
        <v>1.7158151066111604</v>
      </c>
      <c r="O835" s="1">
        <v>0.30692799999999992</v>
      </c>
      <c r="P835" s="1">
        <v>0.19489297022538893</v>
      </c>
      <c r="Q835" s="1">
        <v>2.0441074407136255</v>
      </c>
      <c r="R835" s="2">
        <f t="shared" si="51"/>
        <v>97.907033831747086</v>
      </c>
      <c r="S835" s="2">
        <f t="shared" si="50"/>
        <v>4.232605788448959</v>
      </c>
      <c r="T835" s="2">
        <f t="shared" si="52"/>
        <v>9.1132812929206199</v>
      </c>
      <c r="U835" s="2">
        <f t="shared" si="53"/>
        <v>111.25292091311667</v>
      </c>
    </row>
    <row r="836" spans="1:21" x14ac:dyDescent="0.25">
      <c r="A836">
        <v>2556925</v>
      </c>
      <c r="B836">
        <v>50</v>
      </c>
      <c r="C836" s="1">
        <f>2.99973474263534*(10.3/7.3)</f>
        <v>4.2325024450882234</v>
      </c>
      <c r="D836" s="1">
        <f>3.54366996124709*(10.3/7.3)</f>
        <v>4.9999726850472612</v>
      </c>
      <c r="E836" s="1">
        <f>12.5372649077854*(10.3/7.3)</f>
        <v>17.689565554820515</v>
      </c>
      <c r="F836" s="1">
        <f>26.3782641636145*(38.9/42.5)</f>
        <v>24.14387002269655</v>
      </c>
      <c r="G836" s="1">
        <v>1.0198405605094472</v>
      </c>
      <c r="H836" s="1">
        <v>5.1735298986221583</v>
      </c>
      <c r="I836" s="1">
        <v>20.214064269358122</v>
      </c>
      <c r="J836" s="1">
        <v>3.0099080987753362E-2</v>
      </c>
      <c r="K836" s="1">
        <v>3.2989522057448237</v>
      </c>
      <c r="L836" s="1">
        <v>5.2398568178975919</v>
      </c>
      <c r="M836" s="1">
        <v>0.11449441820789259</v>
      </c>
      <c r="N836" s="1">
        <v>1.3649642790444134</v>
      </c>
      <c r="O836" s="1">
        <v>0.23693653333333337</v>
      </c>
      <c r="P836" s="1">
        <v>0.16747904448775866</v>
      </c>
      <c r="Q836" s="1">
        <v>1.6298821743301681</v>
      </c>
      <c r="R836" s="2">
        <f t="shared" si="51"/>
        <v>79.103227610472445</v>
      </c>
      <c r="S836" s="2">
        <f t="shared" si="50"/>
        <v>3.4965303312203355</v>
      </c>
      <c r="T836" s="2">
        <f t="shared" si="52"/>
        <v>6.9562520484832309</v>
      </c>
      <c r="U836" s="2">
        <f t="shared" si="53"/>
        <v>89.556009990176022</v>
      </c>
    </row>
    <row r="837" spans="1:21" x14ac:dyDescent="0.25">
      <c r="A837">
        <v>2557189</v>
      </c>
      <c r="B837">
        <v>18</v>
      </c>
      <c r="C837" s="1">
        <f>9.82696523897248*(10.3/7.3)</f>
        <v>13.865444104303632</v>
      </c>
      <c r="D837" s="1">
        <f>9.53135235393291*(10.3/7.3)</f>
        <v>13.448346471987529</v>
      </c>
      <c r="E837" s="1">
        <f>34.1947631729891*(10.3/7.3)</f>
        <v>48.247405572847654</v>
      </c>
      <c r="F837" s="1">
        <f>65.6958594860382*(38.9/42.5)</f>
        <v>60.131033741338534</v>
      </c>
      <c r="G837" s="1">
        <v>2.1292681049918865</v>
      </c>
      <c r="H837" s="1">
        <v>2.8716266393321304</v>
      </c>
      <c r="I837" s="1">
        <v>53.497588721527173</v>
      </c>
      <c r="J837" s="1">
        <v>3.9926661487088316E-2</v>
      </c>
      <c r="K837" s="1">
        <v>3.1652390494797631</v>
      </c>
      <c r="L837" s="1">
        <v>3.8877744840993813</v>
      </c>
      <c r="M837" s="1">
        <v>0.20189413740853343</v>
      </c>
      <c r="N837" s="1">
        <v>1.7498836934771422</v>
      </c>
      <c r="O837" s="1">
        <v>0.2091081481481481</v>
      </c>
      <c r="P837" s="1">
        <v>0.14308139000189271</v>
      </c>
      <c r="Q837" s="1">
        <v>3.4029398938226527</v>
      </c>
      <c r="R837" s="2">
        <f t="shared" si="51"/>
        <v>197.59365325015122</v>
      </c>
      <c r="S837" s="2">
        <f t="shared" si="50"/>
        <v>3.3482471009687438</v>
      </c>
      <c r="T837" s="2">
        <f t="shared" si="52"/>
        <v>6.0486604631332055</v>
      </c>
      <c r="U837" s="2">
        <f t="shared" si="53"/>
        <v>206.99056081425317</v>
      </c>
    </row>
    <row r="838" spans="1:21" x14ac:dyDescent="0.25">
      <c r="A838">
        <v>2557197</v>
      </c>
      <c r="B838">
        <v>29</v>
      </c>
      <c r="C838" s="1">
        <f>5.97849736151458*(10.3/7.3)</f>
        <v>8.4354140854246804</v>
      </c>
      <c r="D838" s="1">
        <f>5.65739115081065*(10.3/7.3)</f>
        <v>7.9823464182670838</v>
      </c>
      <c r="E838" s="1">
        <f>20.3042157989873*(10.3/7.3)</f>
        <v>28.648414072543741</v>
      </c>
      <c r="F838" s="1">
        <f>40.0860995474209*(38.9/42.5)</f>
        <v>36.690571115168744</v>
      </c>
      <c r="G838" s="1">
        <v>1.3442687177192505</v>
      </c>
      <c r="H838" s="1">
        <v>2.0253203649103222</v>
      </c>
      <c r="I838" s="1">
        <v>33.059840587342848</v>
      </c>
      <c r="J838" s="1">
        <v>2.7650764125228041E-2</v>
      </c>
      <c r="K838" s="1">
        <v>2.3464794486162686</v>
      </c>
      <c r="L838" s="1">
        <v>2.5611676754003487</v>
      </c>
      <c r="M838" s="1">
        <v>0.14466880293066839</v>
      </c>
      <c r="N838" s="1">
        <v>1.2776184714939667</v>
      </c>
      <c r="O838" s="1">
        <v>0.14539954022988502</v>
      </c>
      <c r="P838" s="1">
        <v>0.11388624812064323</v>
      </c>
      <c r="Q838" s="1">
        <v>2.1483746630216349</v>
      </c>
      <c r="R838" s="2">
        <f t="shared" si="51"/>
        <v>120.33455002439831</v>
      </c>
      <c r="S838" s="2">
        <f t="shared" si="50"/>
        <v>2.4880164608621396</v>
      </c>
      <c r="T838" s="2">
        <f t="shared" si="52"/>
        <v>4.1288544900548692</v>
      </c>
      <c r="U838" s="2">
        <f t="shared" si="53"/>
        <v>126.95142097531532</v>
      </c>
    </row>
    <row r="839" spans="1:21" x14ac:dyDescent="0.25">
      <c r="A839">
        <v>2557597</v>
      </c>
      <c r="B839">
        <v>1</v>
      </c>
      <c r="C839" s="1">
        <f>8.78631725719122*(10.3/7.3)</f>
        <v>12.397132568365691</v>
      </c>
      <c r="D839" s="1">
        <f>8.24968900316379*(10.3/7.3)</f>
        <v>11.639972155148907</v>
      </c>
      <c r="E839" s="1">
        <f>29.8863196774998*(10.3/7.3)</f>
        <v>42.168368860034008</v>
      </c>
      <c r="F839" s="1">
        <f>45.6466446762653*(38.9/42.5)</f>
        <v>41.78010536251103</v>
      </c>
      <c r="G839" s="1">
        <v>0.85299478128926665</v>
      </c>
      <c r="H839" s="1">
        <v>3.0530732682693231</v>
      </c>
      <c r="I839" s="1">
        <v>36.799051424241931</v>
      </c>
      <c r="J839" s="1">
        <v>2.7283800158914115E-2</v>
      </c>
      <c r="K839" s="1">
        <v>2.3001525818660835</v>
      </c>
      <c r="L839" s="1">
        <v>6.239043583603384</v>
      </c>
      <c r="M839" s="1">
        <v>8.8673165466971696E-2</v>
      </c>
      <c r="N839" s="1">
        <v>1.4118902831574602</v>
      </c>
      <c r="O839" s="1">
        <v>8.7146666666666664E-2</v>
      </c>
      <c r="P839" s="1">
        <v>7.4867227844047049E-2</v>
      </c>
      <c r="Q839" s="1">
        <v>1.36323366872714</v>
      </c>
      <c r="R839" s="2">
        <f t="shared" si="51"/>
        <v>150.05393208858729</v>
      </c>
      <c r="S839" s="2">
        <f t="shared" si="50"/>
        <v>2.4023036098690445</v>
      </c>
      <c r="T839" s="2">
        <f t="shared" si="52"/>
        <v>7.8267536988944828</v>
      </c>
      <c r="U839" s="2">
        <f t="shared" si="53"/>
        <v>160.28298939735083</v>
      </c>
    </row>
    <row r="840" spans="1:21" x14ac:dyDescent="0.25">
      <c r="A840">
        <v>2557605</v>
      </c>
      <c r="B840">
        <v>2</v>
      </c>
      <c r="C840" s="1">
        <f>14.0855897461726*(10.3/7.3)</f>
        <v>19.87418827199695</v>
      </c>
      <c r="D840" s="1">
        <f>13.058025858856*(10.3/7.3)</f>
        <v>18.424337855646172</v>
      </c>
      <c r="E840" s="1">
        <f>47.3320244577856*(10.3/7.3)</f>
        <v>66.783541358245444</v>
      </c>
      <c r="F840" s="1">
        <f>72.7629466523776*(38.9/42.5)</f>
        <v>66.599497053587996</v>
      </c>
      <c r="G840" s="1">
        <v>1.3776670429879476</v>
      </c>
      <c r="H840" s="1">
        <v>3.7033923184805024</v>
      </c>
      <c r="I840" s="1">
        <v>59.100760932117751</v>
      </c>
      <c r="J840" s="1">
        <v>4.085780897825568E-2</v>
      </c>
      <c r="K840" s="1">
        <v>3.4245184940781326</v>
      </c>
      <c r="L840" s="1">
        <v>4.3450631429878355</v>
      </c>
      <c r="M840" s="1">
        <v>0.12988799893490965</v>
      </c>
      <c r="N840" s="1">
        <v>1.9163658718999859</v>
      </c>
      <c r="O840" s="1">
        <v>0.12493333333333334</v>
      </c>
      <c r="P840" s="1">
        <v>9.8475156259957883E-2</v>
      </c>
      <c r="Q840" s="1">
        <v>2.2017509819442109</v>
      </c>
      <c r="R840" s="2">
        <f t="shared" si="51"/>
        <v>238.06513581500695</v>
      </c>
      <c r="S840" s="2">
        <f t="shared" si="50"/>
        <v>3.5638514593163464</v>
      </c>
      <c r="T840" s="2">
        <f t="shared" si="52"/>
        <v>6.5162503471560651</v>
      </c>
      <c r="U840" s="2">
        <f t="shared" si="53"/>
        <v>248.14523762147937</v>
      </c>
    </row>
    <row r="841" spans="1:21" x14ac:dyDescent="0.25">
      <c r="A841">
        <v>2557613</v>
      </c>
      <c r="B841">
        <v>4</v>
      </c>
      <c r="C841" s="1">
        <f>9.90950015226281*(10.3/7.3)</f>
        <v>13.981897475110538</v>
      </c>
      <c r="D841" s="1">
        <f>8.58245804432704*(10.3/7.3)</f>
        <v>12.109495596790214</v>
      </c>
      <c r="E841" s="1">
        <f>31.2163289089697*(10.3/7.3)</f>
        <v>44.044957227724325</v>
      </c>
      <c r="F841" s="1">
        <f>49.1903471275377*(38.9/42.5)</f>
        <v>45.023635370852176</v>
      </c>
      <c r="G841" s="1">
        <v>0.96283797718170527</v>
      </c>
      <c r="H841" s="1">
        <v>3.6174836939497643</v>
      </c>
      <c r="I841" s="1">
        <v>41.511613935889827</v>
      </c>
      <c r="J841" s="1">
        <v>2.7088612786082072E-2</v>
      </c>
      <c r="K841" s="1">
        <v>2.4702507548216315</v>
      </c>
      <c r="L841" s="1">
        <v>2.6898693195491479</v>
      </c>
      <c r="M841" s="1">
        <v>9.4054056279202047E-2</v>
      </c>
      <c r="N841" s="1">
        <v>1.3403691934295119</v>
      </c>
      <c r="O841" s="1">
        <v>9.3333333333333324E-2</v>
      </c>
      <c r="P841" s="1">
        <v>7.8256500635830215E-2</v>
      </c>
      <c r="Q841" s="1">
        <v>1.538782155313229</v>
      </c>
      <c r="R841" s="2">
        <f t="shared" si="51"/>
        <v>162.7907034328118</v>
      </c>
      <c r="S841" s="2">
        <f t="shared" ref="S841:S904" si="54">J841+K841+P841</f>
        <v>2.5755958682435436</v>
      </c>
      <c r="T841" s="2">
        <f t="shared" si="52"/>
        <v>4.2176259025911955</v>
      </c>
      <c r="U841" s="2">
        <f t="shared" si="53"/>
        <v>169.58392520364654</v>
      </c>
    </row>
    <row r="842" spans="1:21" x14ac:dyDescent="0.25">
      <c r="A842">
        <v>2568889</v>
      </c>
      <c r="B842">
        <v>15</v>
      </c>
      <c r="C842" s="1">
        <f>0.363494379245449*(10.3/7.3)</f>
        <v>0.51287563099015465</v>
      </c>
      <c r="D842" s="1">
        <f>0.516101524865285*(10.3/7.3)</f>
        <v>0.72819804193321047</v>
      </c>
      <c r="E842" s="1">
        <f>1.80600119129724*(10.3/7.3)</f>
        <v>2.5481934616933666</v>
      </c>
      <c r="F842" s="1">
        <f>4.0693272830462*(38.9/42.5)</f>
        <v>3.7246313249528775</v>
      </c>
      <c r="G842" s="1">
        <v>0.17486214191528227</v>
      </c>
      <c r="H842" s="1">
        <v>1.1678646276709097</v>
      </c>
      <c r="I842" s="1">
        <v>2.9879151611843109</v>
      </c>
      <c r="J842" s="1">
        <v>1.1299934485723001E-2</v>
      </c>
      <c r="K842" s="1">
        <v>1.6742063008533634</v>
      </c>
      <c r="L842" s="1">
        <v>1.5870131021443037</v>
      </c>
      <c r="M842" s="1">
        <v>4.9183764845406021E-2</v>
      </c>
      <c r="N842" s="1">
        <v>0.51680719675539999</v>
      </c>
      <c r="O842" s="1">
        <v>9.0741333333333327E-2</v>
      </c>
      <c r="P842" s="1">
        <v>0.1184948193442372</v>
      </c>
      <c r="Q842" s="1">
        <v>0.27946004415684411</v>
      </c>
      <c r="R842" s="2">
        <f t="shared" ref="R842:R905" si="55">C842+D842+E842+F842+G842+H842+I842+Q842</f>
        <v>12.124000434496956</v>
      </c>
      <c r="S842" s="2">
        <f t="shared" si="54"/>
        <v>1.8040010546833236</v>
      </c>
      <c r="T842" s="2">
        <f t="shared" ref="T842:T905" si="56">L842+M842+N842+O842</f>
        <v>2.2437453970784431</v>
      </c>
      <c r="U842" s="2">
        <f t="shared" ref="U842:U905" si="57">R842+S842+T842</f>
        <v>16.171746886258724</v>
      </c>
    </row>
    <row r="843" spans="1:21" x14ac:dyDescent="0.25">
      <c r="A843">
        <v>2569129</v>
      </c>
      <c r="B843">
        <v>1</v>
      </c>
      <c r="C843" s="1">
        <f>1.98747611574724*(10.3/7.3)</f>
        <v>2.8042471222187126</v>
      </c>
      <c r="D843" s="1">
        <f>2.1958668637784*(10.3/7.3)</f>
        <v>3.0982779036873294</v>
      </c>
      <c r="E843" s="1">
        <f>7.76521262184315*(10.3/7.3)</f>
        <v>10.956395891093766</v>
      </c>
      <c r="F843" s="1">
        <f>17.8155702735146*(38.9/42.5)</f>
        <v>16.306486673875757</v>
      </c>
      <c r="G843" s="1">
        <v>0.74645090483389032</v>
      </c>
      <c r="H843" s="1">
        <v>12.27410025553538</v>
      </c>
      <c r="I843" s="1">
        <v>14.135767367542616</v>
      </c>
      <c r="J843" s="1">
        <v>2.644364581498488E-2</v>
      </c>
      <c r="K843" s="1">
        <v>2.9210054600411266</v>
      </c>
      <c r="L843" s="1">
        <v>5.1311702819862433</v>
      </c>
      <c r="M843" s="1">
        <v>9.5825549002361191E-2</v>
      </c>
      <c r="N843" s="1">
        <v>1.35466131448125</v>
      </c>
      <c r="O843" s="1">
        <v>0.18229333333333334</v>
      </c>
      <c r="P843" s="1">
        <v>0.1484694300137577</v>
      </c>
      <c r="Q843" s="1">
        <v>1.1929580670861273</v>
      </c>
      <c r="R843" s="2">
        <f t="shared" si="55"/>
        <v>61.514684185873577</v>
      </c>
      <c r="S843" s="2">
        <f t="shared" si="54"/>
        <v>3.0959185358698695</v>
      </c>
      <c r="T843" s="2">
        <f t="shared" si="56"/>
        <v>6.7639504788031877</v>
      </c>
      <c r="U843" s="2">
        <f t="shared" si="57"/>
        <v>71.374553200546629</v>
      </c>
    </row>
    <row r="844" spans="1:21" x14ac:dyDescent="0.25">
      <c r="A844">
        <v>2569145</v>
      </c>
      <c r="B844">
        <v>58</v>
      </c>
      <c r="C844" s="1">
        <f>3.89112554037111*(10.3/7.3)</f>
        <v>5.4902182281948591</v>
      </c>
      <c r="D844" s="1">
        <f>4.26739578428543*(10.3/7.3)</f>
        <v>6.0211200791972557</v>
      </c>
      <c r="E844" s="1">
        <f>15.0887058382575*(10.3/7.3)</f>
        <v>21.289543853979755</v>
      </c>
      <c r="F844" s="1">
        <f>35.009439091299*(38.9/42.5)</f>
        <v>32.043933662388959</v>
      </c>
      <c r="G844" s="1">
        <v>1.4812603085646499</v>
      </c>
      <c r="H844" s="1">
        <v>5.3333598438744403</v>
      </c>
      <c r="I844" s="1">
        <v>27.883663954482024</v>
      </c>
      <c r="J844" s="1">
        <v>3.8087289559533964E-2</v>
      </c>
      <c r="K844" s="1">
        <v>3.9704225914276781</v>
      </c>
      <c r="L844" s="1">
        <v>6.9906232581253711</v>
      </c>
      <c r="M844" s="1">
        <v>0.13509785425483223</v>
      </c>
      <c r="N844" s="1">
        <v>1.7587604456507695</v>
      </c>
      <c r="O844" s="1">
        <v>0.30043494252873559</v>
      </c>
      <c r="P844" s="1">
        <v>0.19350372617015399</v>
      </c>
      <c r="Q844" s="1">
        <v>2.3673109954229594</v>
      </c>
      <c r="R844" s="2">
        <f t="shared" si="55"/>
        <v>101.91041092610489</v>
      </c>
      <c r="S844" s="2">
        <f t="shared" si="54"/>
        <v>4.2020136071573662</v>
      </c>
      <c r="T844" s="2">
        <f t="shared" si="56"/>
        <v>9.1849165005597087</v>
      </c>
      <c r="U844" s="2">
        <f t="shared" si="57"/>
        <v>115.29734103382197</v>
      </c>
    </row>
    <row r="845" spans="1:21" x14ac:dyDescent="0.25">
      <c r="A845">
        <v>2569153</v>
      </c>
      <c r="B845">
        <v>59</v>
      </c>
      <c r="C845" s="1">
        <f>3.77335582089512*(10.3/7.3)</f>
        <v>5.3240499938657138</v>
      </c>
      <c r="D845" s="1">
        <f>4.08666676883696*(10.3/7.3)</f>
        <v>5.7661188656192683</v>
      </c>
      <c r="E845" s="1">
        <f>14.5162602866945*(10.3/7.3)</f>
        <v>20.481846705883996</v>
      </c>
      <c r="F845" s="1">
        <f>30.7727703899428*(38.9/42.5)</f>
        <v>28.16613572161824</v>
      </c>
      <c r="G845" s="1">
        <v>1.1774583201189617</v>
      </c>
      <c r="H845" s="1">
        <v>4.6117404140290974</v>
      </c>
      <c r="I845" s="1">
        <v>24.320547363866304</v>
      </c>
      <c r="J845" s="1">
        <v>3.6042204226059332E-2</v>
      </c>
      <c r="K845" s="1">
        <v>3.8328849093815247</v>
      </c>
      <c r="L845" s="1">
        <v>6.4791451739450538</v>
      </c>
      <c r="M845" s="1">
        <v>0.1317225864037164</v>
      </c>
      <c r="N845" s="1">
        <v>1.6192540992752615</v>
      </c>
      <c r="O845" s="1">
        <v>0.29285875706214676</v>
      </c>
      <c r="P845" s="1">
        <v>0.18935079511401776</v>
      </c>
      <c r="Q845" s="1">
        <v>1.88178270338647</v>
      </c>
      <c r="R845" s="2">
        <f t="shared" si="55"/>
        <v>91.729680088388037</v>
      </c>
      <c r="S845" s="2">
        <f t="shared" si="54"/>
        <v>4.0582779087216014</v>
      </c>
      <c r="T845" s="2">
        <f t="shared" si="56"/>
        <v>8.5229806166861781</v>
      </c>
      <c r="U845" s="2">
        <f t="shared" si="57"/>
        <v>104.31093861379583</v>
      </c>
    </row>
    <row r="846" spans="1:21" x14ac:dyDescent="0.25">
      <c r="A846">
        <v>2569161</v>
      </c>
      <c r="B846">
        <v>52</v>
      </c>
      <c r="C846" s="1">
        <f>3.54590770157472*(10.3/7.3)</f>
        <v>5.0031300446876124</v>
      </c>
      <c r="D846" s="1">
        <f>4.17709073662628*(10.3/7.3)</f>
        <v>5.8937033681165358</v>
      </c>
      <c r="E846" s="1">
        <f>14.7703138901873*(10.3/7.3)</f>
        <v>20.840305899853384</v>
      </c>
      <c r="F846" s="1">
        <f>31.5791228062401*(38.9/42.5)</f>
        <v>28.904185345005626</v>
      </c>
      <c r="G846" s="1">
        <v>1.2429747514228757</v>
      </c>
      <c r="H846" s="1">
        <v>6.824564595683059</v>
      </c>
      <c r="I846" s="1">
        <v>24.287718724974106</v>
      </c>
      <c r="J846" s="1">
        <v>3.3845751569307816E-2</v>
      </c>
      <c r="K846" s="1">
        <v>3.6083133993343361</v>
      </c>
      <c r="L846" s="1">
        <v>5.8352704318838091</v>
      </c>
      <c r="M846" s="1">
        <v>0.12564938180716073</v>
      </c>
      <c r="N846" s="1">
        <v>1.6678584854683292</v>
      </c>
      <c r="O846" s="1">
        <v>0.27166769230769222</v>
      </c>
      <c r="P846" s="1">
        <v>0.18132962720728416</v>
      </c>
      <c r="Q846" s="1">
        <v>1.9864893287580225</v>
      </c>
      <c r="R846" s="2">
        <f t="shared" si="55"/>
        <v>94.983072058501236</v>
      </c>
      <c r="S846" s="2">
        <f t="shared" si="54"/>
        <v>3.8234887781109284</v>
      </c>
      <c r="T846" s="2">
        <f t="shared" si="56"/>
        <v>7.9004459914669916</v>
      </c>
      <c r="U846" s="2">
        <f t="shared" si="57"/>
        <v>106.70700682807916</v>
      </c>
    </row>
    <row r="847" spans="1:21" x14ac:dyDescent="0.25">
      <c r="A847">
        <v>2569425</v>
      </c>
      <c r="B847">
        <v>5</v>
      </c>
      <c r="C847" s="1">
        <f>8.49237790380014*(10.3/7.3)</f>
        <v>11.98239622043034</v>
      </c>
      <c r="D847" s="1">
        <f>8.04498712121065*(10.3/7.3)</f>
        <v>11.351146212119136</v>
      </c>
      <c r="E847" s="1">
        <f>28.883729433852*(10.3/7.3)</f>
        <v>40.753755228585661</v>
      </c>
      <c r="F847" s="1">
        <f>56.4018387227339*(38.9/42.5)</f>
        <v>51.624271207396461</v>
      </c>
      <c r="G847" s="1">
        <v>1.8607088675620704</v>
      </c>
      <c r="H847" s="1">
        <v>2.5753440569003461</v>
      </c>
      <c r="I847" s="1">
        <v>46.448596773856153</v>
      </c>
      <c r="J847" s="1">
        <v>3.5182948273351833E-2</v>
      </c>
      <c r="K847" s="1">
        <v>2.8276617445053889</v>
      </c>
      <c r="L847" s="1">
        <v>3.3032754016414287</v>
      </c>
      <c r="M847" s="1">
        <v>0.17982330359813875</v>
      </c>
      <c r="N847" s="1">
        <v>1.5759867746226988</v>
      </c>
      <c r="O847" s="1">
        <v>0.18167466666666668</v>
      </c>
      <c r="P847" s="1">
        <v>0.13105259677907694</v>
      </c>
      <c r="Q847" s="1">
        <v>2.9737356330900706</v>
      </c>
      <c r="R847" s="2">
        <f t="shared" si="55"/>
        <v>169.56995419994021</v>
      </c>
      <c r="S847" s="2">
        <f t="shared" si="54"/>
        <v>2.9938972895578173</v>
      </c>
      <c r="T847" s="2">
        <f t="shared" si="56"/>
        <v>5.2407601465289337</v>
      </c>
      <c r="U847" s="2">
        <f t="shared" si="57"/>
        <v>177.80461163602698</v>
      </c>
    </row>
    <row r="848" spans="1:21" x14ac:dyDescent="0.25">
      <c r="A848">
        <v>2569833</v>
      </c>
      <c r="B848">
        <v>5</v>
      </c>
      <c r="C848" s="1">
        <f>9.75974243291993*(10.3/7.3)</f>
        <v>13.77059548754456</v>
      </c>
      <c r="D848" s="1">
        <f>9.13579174316365*(10.3/7.3)</f>
        <v>12.890226706107617</v>
      </c>
      <c r="E848" s="1">
        <f>33.1044388550236*(10.3/7.3)</f>
        <v>46.709002768046986</v>
      </c>
      <c r="F848" s="1">
        <f>50.4597047909253*(38.9/42.5)</f>
        <v>46.18547097334099</v>
      </c>
      <c r="G848" s="1">
        <v>0.93415267469394614</v>
      </c>
      <c r="H848" s="1">
        <v>3.0558277187919121</v>
      </c>
      <c r="I848" s="1">
        <v>40.735857065798051</v>
      </c>
      <c r="J848" s="1">
        <v>2.9223792916714359E-2</v>
      </c>
      <c r="K848" s="1">
        <v>2.4121457384320508</v>
      </c>
      <c r="L848" s="1">
        <v>5.1541994910813669</v>
      </c>
      <c r="M848" s="1">
        <v>9.3176610640934479E-2</v>
      </c>
      <c r="N848" s="1">
        <v>1.4604750582450807</v>
      </c>
      <c r="O848" s="1">
        <v>9.1114666666666677E-2</v>
      </c>
      <c r="P848" s="1">
        <v>7.6724900899725279E-2</v>
      </c>
      <c r="Q848" s="1">
        <v>1.4929380645793677</v>
      </c>
      <c r="R848" s="2">
        <f t="shared" si="55"/>
        <v>165.77407145890345</v>
      </c>
      <c r="S848" s="2">
        <f t="shared" si="54"/>
        <v>2.5180944322484908</v>
      </c>
      <c r="T848" s="2">
        <f t="shared" si="56"/>
        <v>6.7989658266340491</v>
      </c>
      <c r="U848" s="2">
        <f t="shared" si="57"/>
        <v>175.091131717786</v>
      </c>
    </row>
    <row r="849" spans="1:21" x14ac:dyDescent="0.25">
      <c r="A849">
        <v>2569841</v>
      </c>
      <c r="B849">
        <v>16</v>
      </c>
      <c r="C849" s="1">
        <f>9.98019694796323*(10.3/7.3)</f>
        <v>14.081647748496071</v>
      </c>
      <c r="D849" s="1">
        <f>9.24394173291701*(10.3/7.3)</f>
        <v>13.042821897129485</v>
      </c>
      <c r="E849" s="1">
        <f>33.4982080922653*(10.3/7.3)</f>
        <v>47.264594979497637</v>
      </c>
      <c r="F849" s="1">
        <f>52.0218735668325*(38.9/42.5)</f>
        <v>47.615314864700792</v>
      </c>
      <c r="G849" s="1">
        <v>1.0184704041123323</v>
      </c>
      <c r="H849" s="1">
        <v>3.23419098670204</v>
      </c>
      <c r="I849" s="1">
        <v>42.319782641878774</v>
      </c>
      <c r="J849" s="1">
        <v>3.0976448228633401E-2</v>
      </c>
      <c r="K849" s="1">
        <v>2.7139749058170635</v>
      </c>
      <c r="L849" s="1">
        <v>3.2166960514243259</v>
      </c>
      <c r="M849" s="1">
        <v>0.10368541958677852</v>
      </c>
      <c r="N849" s="1">
        <v>1.5092009733136045</v>
      </c>
      <c r="O849" s="1">
        <v>0.10262666666666667</v>
      </c>
      <c r="P849" s="1">
        <v>8.3916236483646128E-2</v>
      </c>
      <c r="Q849" s="1">
        <v>1.6276924266635464</v>
      </c>
      <c r="R849" s="2">
        <f t="shared" si="55"/>
        <v>170.20451594918069</v>
      </c>
      <c r="S849" s="2">
        <f t="shared" si="54"/>
        <v>2.828867590529343</v>
      </c>
      <c r="T849" s="2">
        <f t="shared" si="56"/>
        <v>4.9322091109913755</v>
      </c>
      <c r="U849" s="2">
        <f t="shared" si="57"/>
        <v>177.96559265070141</v>
      </c>
    </row>
    <row r="850" spans="1:21" x14ac:dyDescent="0.25">
      <c r="A850">
        <v>2581365</v>
      </c>
      <c r="B850">
        <v>8</v>
      </c>
      <c r="C850" s="1">
        <f>2.3601776739257*(10.3/7.3)</f>
        <v>3.3301137043061204</v>
      </c>
      <c r="D850" s="1">
        <f>2.90433599990817*(10.3/7.3)</f>
        <v>4.0978987395964603</v>
      </c>
      <c r="E850" s="1">
        <f>10.1037281324355*(10.3/7.3)</f>
        <v>14.255945173162413</v>
      </c>
      <c r="F850" s="1">
        <f>28.9480459094706*(38.9/42.5)</f>
        <v>26.495976138315417</v>
      </c>
      <c r="G850" s="1">
        <v>1.4749030833078722</v>
      </c>
      <c r="H850" s="1">
        <v>8.1420045859019758</v>
      </c>
      <c r="I850" s="1">
        <v>22.96555417039632</v>
      </c>
      <c r="J850" s="1">
        <v>3.7352922674793315E-2</v>
      </c>
      <c r="K850" s="1">
        <v>3.1987062467862803</v>
      </c>
      <c r="L850" s="1">
        <v>5.6129540147007262</v>
      </c>
      <c r="M850" s="1">
        <v>0.10382841570088305</v>
      </c>
      <c r="N850" s="1">
        <v>3.3992300452855995</v>
      </c>
      <c r="O850" s="1">
        <v>0.21958</v>
      </c>
      <c r="P850" s="1">
        <v>0.15856721451925238</v>
      </c>
      <c r="Q850" s="1">
        <v>2.3571510463824463</v>
      </c>
      <c r="R850" s="2">
        <f t="shared" si="55"/>
        <v>83.119546641369013</v>
      </c>
      <c r="S850" s="2">
        <f t="shared" si="54"/>
        <v>3.3946263839803259</v>
      </c>
      <c r="T850" s="2">
        <f t="shared" si="56"/>
        <v>9.3355924756872088</v>
      </c>
      <c r="U850" s="2">
        <f t="shared" si="57"/>
        <v>95.849765501036543</v>
      </c>
    </row>
    <row r="851" spans="1:21" x14ac:dyDescent="0.25">
      <c r="A851">
        <v>2581373</v>
      </c>
      <c r="B851">
        <v>57</v>
      </c>
      <c r="C851" s="1">
        <f>3.54921322794265*(10.3/7.3)</f>
        <v>5.0077940065492212</v>
      </c>
      <c r="D851" s="1">
        <f>3.93434121435433*(10.3/7.3)</f>
        <v>5.551193768198579</v>
      </c>
      <c r="E851" s="1">
        <f>13.8792936629951*(10.3/7.3)</f>
        <v>19.583112976554762</v>
      </c>
      <c r="F851" s="1">
        <f>33.4335530174026*(38.9/42.5)</f>
        <v>30.601534408869657</v>
      </c>
      <c r="G851" s="1">
        <v>1.4685891525009875</v>
      </c>
      <c r="H851" s="1">
        <v>5.8354984948176227</v>
      </c>
      <c r="I851" s="1">
        <v>26.667144685420752</v>
      </c>
      <c r="J851" s="1">
        <v>3.7955978703516566E-2</v>
      </c>
      <c r="K851" s="1">
        <v>3.8386296124805344</v>
      </c>
      <c r="L851" s="1">
        <v>6.7848719123748102</v>
      </c>
      <c r="M851" s="1">
        <v>0.12831777163312183</v>
      </c>
      <c r="N851" s="1">
        <v>1.8109080633778945</v>
      </c>
      <c r="O851" s="1">
        <v>0.28366409356725147</v>
      </c>
      <c r="P851" s="1">
        <v>0.1874938251546252</v>
      </c>
      <c r="Q851" s="1">
        <v>2.3470602893851433</v>
      </c>
      <c r="R851" s="2">
        <f t="shared" si="55"/>
        <v>97.061927782296721</v>
      </c>
      <c r="S851" s="2">
        <f t="shared" si="54"/>
        <v>4.064079416338676</v>
      </c>
      <c r="T851" s="2">
        <f t="shared" si="56"/>
        <v>9.0077618409530782</v>
      </c>
      <c r="U851" s="2">
        <f t="shared" si="57"/>
        <v>110.13376903958847</v>
      </c>
    </row>
    <row r="852" spans="1:21" x14ac:dyDescent="0.25">
      <c r="A852">
        <v>2581381</v>
      </c>
      <c r="B852">
        <v>66</v>
      </c>
      <c r="C852" s="1">
        <f>3.53742264704101*(10.3/7.3)</f>
        <v>4.9911579814414306</v>
      </c>
      <c r="D852" s="1">
        <f>3.76421584045196*(10.3/7.3)</f>
        <v>5.3111538570760555</v>
      </c>
      <c r="E852" s="1">
        <f>13.3710312400716*(10.3/7.3)</f>
        <v>18.86597558530649</v>
      </c>
      <c r="F852" s="1">
        <f>28.9593120126449*(38.9/42.5)</f>
        <v>26.506287936279687</v>
      </c>
      <c r="G852" s="1">
        <v>1.1316852622429907</v>
      </c>
      <c r="H852" s="1">
        <v>4.1784077955208678</v>
      </c>
      <c r="I852" s="1">
        <v>23.092291141652861</v>
      </c>
      <c r="J852" s="1">
        <v>3.4589182627591739E-2</v>
      </c>
      <c r="K852" s="1">
        <v>3.6873521707099162</v>
      </c>
      <c r="L852" s="1">
        <v>6.2530516838311438</v>
      </c>
      <c r="M852" s="1">
        <v>0.12663380511387942</v>
      </c>
      <c r="N852" s="1">
        <v>1.5711673567300293</v>
      </c>
      <c r="O852" s="1">
        <v>0.27518303030303032</v>
      </c>
      <c r="P852" s="1">
        <v>0.18193391185003036</v>
      </c>
      <c r="Q852" s="1">
        <v>1.8086294145435944</v>
      </c>
      <c r="R852" s="2">
        <f t="shared" si="55"/>
        <v>85.885588974063964</v>
      </c>
      <c r="S852" s="2">
        <f t="shared" si="54"/>
        <v>3.9038752651875384</v>
      </c>
      <c r="T852" s="2">
        <f t="shared" si="56"/>
        <v>8.2260358759780825</v>
      </c>
      <c r="U852" s="2">
        <f t="shared" si="57"/>
        <v>98.015500115229585</v>
      </c>
    </row>
    <row r="853" spans="1:21" x14ac:dyDescent="0.25">
      <c r="A853">
        <v>2581389</v>
      </c>
      <c r="B853">
        <v>51</v>
      </c>
      <c r="C853" s="1">
        <f>3.27092070035967*(10.3/7.3)</f>
        <v>4.6151346868088572</v>
      </c>
      <c r="D853" s="1">
        <f>3.57675931356734*(10.3/7.3)</f>
        <v>5.046660401334746</v>
      </c>
      <c r="E853" s="1">
        <f>12.7002243772017*(10.3/7.3)</f>
        <v>17.91949466920245</v>
      </c>
      <c r="F853" s="1">
        <f>26.8472323485726*(38.9/42.5)</f>
        <v>24.573113843752331</v>
      </c>
      <c r="G853" s="1">
        <v>1.0260741441253416</v>
      </c>
      <c r="H853" s="1">
        <v>6.3797605576036363</v>
      </c>
      <c r="I853" s="1">
        <v>21.138867136166379</v>
      </c>
      <c r="J853" s="1">
        <v>3.2347689442822715E-2</v>
      </c>
      <c r="K853" s="1">
        <v>3.4659593868673602</v>
      </c>
      <c r="L853" s="1">
        <v>5.6130590285421542</v>
      </c>
      <c r="M853" s="1">
        <v>0.11999735300297334</v>
      </c>
      <c r="N853" s="1">
        <v>1.458350577284895</v>
      </c>
      <c r="O853" s="1">
        <v>0.25348287581699341</v>
      </c>
      <c r="P853" s="1">
        <v>0.17462937575193035</v>
      </c>
      <c r="Q853" s="1">
        <v>1.6398445225747491</v>
      </c>
      <c r="R853" s="2">
        <f t="shared" si="55"/>
        <v>82.338949961568488</v>
      </c>
      <c r="S853" s="2">
        <f t="shared" si="54"/>
        <v>3.6729364520621131</v>
      </c>
      <c r="T853" s="2">
        <f t="shared" si="56"/>
        <v>7.4448898346470154</v>
      </c>
      <c r="U853" s="2">
        <f t="shared" si="57"/>
        <v>93.45677624827762</v>
      </c>
    </row>
    <row r="854" spans="1:21" x14ac:dyDescent="0.25">
      <c r="A854">
        <v>2581397</v>
      </c>
      <c r="B854">
        <v>5</v>
      </c>
      <c r="C854" s="1">
        <f>3.07823805774833*(10.3/7.3)</f>
        <v>4.343267396549007</v>
      </c>
      <c r="D854" s="1">
        <f>3.70524989306984*(10.3/7.3)</f>
        <v>5.2279553285779983</v>
      </c>
      <c r="E854" s="1">
        <f>13.0334917517527*(10.3/7.3)</f>
        <v>18.389721238774399</v>
      </c>
      <c r="F854" s="1">
        <f>30.6509542943878*(38.9/42.5)</f>
        <v>28.054638165921993</v>
      </c>
      <c r="G854" s="1">
        <v>1.335607426099219</v>
      </c>
      <c r="H854" s="1">
        <v>6.9445744029266141</v>
      </c>
      <c r="I854" s="1">
        <v>23.778382345634629</v>
      </c>
      <c r="J854" s="1">
        <v>2.9597194847349573E-2</v>
      </c>
      <c r="K854" s="1">
        <v>3.2097133011231294</v>
      </c>
      <c r="L854" s="1">
        <v>4.9658490082325546</v>
      </c>
      <c r="M854" s="1">
        <v>0.11445489913489297</v>
      </c>
      <c r="N854" s="1">
        <v>1.3465548409595534</v>
      </c>
      <c r="O854" s="1">
        <v>0.22764799999999999</v>
      </c>
      <c r="P854" s="1">
        <v>0.16375827219196484</v>
      </c>
      <c r="Q854" s="1">
        <v>2.1345324161403068</v>
      </c>
      <c r="R854" s="2">
        <f t="shared" si="55"/>
        <v>90.208678720624164</v>
      </c>
      <c r="S854" s="2">
        <f t="shared" si="54"/>
        <v>3.4030687681624441</v>
      </c>
      <c r="T854" s="2">
        <f t="shared" si="56"/>
        <v>6.6545067483270017</v>
      </c>
      <c r="U854" s="2">
        <f t="shared" si="57"/>
        <v>100.2662542371136</v>
      </c>
    </row>
    <row r="855" spans="1:21" x14ac:dyDescent="0.25">
      <c r="A855">
        <v>2581661</v>
      </c>
      <c r="B855">
        <v>9</v>
      </c>
      <c r="C855" s="1">
        <f>8.82481879851164*(10.3/7.3)</f>
        <v>12.451456660913681</v>
      </c>
      <c r="D855" s="1">
        <f>8.06058573273393*(10.3/7.3)</f>
        <v>11.373155211939661</v>
      </c>
      <c r="E855" s="1">
        <f>28.9585109880544*(10.3/7.3)</f>
        <v>40.85926892835073</v>
      </c>
      <c r="F855" s="1">
        <f>58.7806933796068*(38.9/42.5)</f>
        <v>53.801622881569536</v>
      </c>
      <c r="G855" s="1">
        <v>2.0302587177297289</v>
      </c>
      <c r="H855" s="1">
        <v>2.5431640129901023</v>
      </c>
      <c r="I855" s="1">
        <v>49.282328737586091</v>
      </c>
      <c r="J855" s="1">
        <v>3.2100307890441111E-2</v>
      </c>
      <c r="K855" s="1">
        <v>2.5701921313993292</v>
      </c>
      <c r="L855" s="1">
        <v>2.9070685094461859</v>
      </c>
      <c r="M855" s="1">
        <v>0.16242924788362814</v>
      </c>
      <c r="N855" s="1">
        <v>1.4468325577617223</v>
      </c>
      <c r="O855" s="1">
        <v>0.16142222222222224</v>
      </c>
      <c r="P855" s="1">
        <v>0.12098943036782467</v>
      </c>
      <c r="Q855" s="1">
        <v>3.2447057132666934</v>
      </c>
      <c r="R855" s="2">
        <f t="shared" si="55"/>
        <v>175.58596086434622</v>
      </c>
      <c r="S855" s="2">
        <f t="shared" si="54"/>
        <v>2.7232818696575949</v>
      </c>
      <c r="T855" s="2">
        <f t="shared" si="56"/>
        <v>4.6777525373137587</v>
      </c>
      <c r="U855" s="2">
        <f t="shared" si="57"/>
        <v>182.98699527131757</v>
      </c>
    </row>
    <row r="856" spans="1:21" x14ac:dyDescent="0.25">
      <c r="A856">
        <v>2582077</v>
      </c>
      <c r="B856">
        <v>3</v>
      </c>
      <c r="C856" s="1">
        <f>8.42387171303691*(10.3/7.3)</f>
        <v>11.885736800586328</v>
      </c>
      <c r="D856" s="1">
        <f>7.88305304593953*(10.3/7.3)</f>
        <v>11.122663886736596</v>
      </c>
      <c r="E856" s="1">
        <f>28.547936284956*(10.3/7.3)</f>
        <v>40.279964895211862</v>
      </c>
      <c r="F856" s="1">
        <f>44.3928219936548*(38.9/42.5)</f>
        <v>40.632488836545214</v>
      </c>
      <c r="G856" s="1">
        <v>0.87910321694298421</v>
      </c>
      <c r="H856" s="1">
        <v>2.7256743524949623</v>
      </c>
      <c r="I856" s="1">
        <v>35.924650938731027</v>
      </c>
      <c r="J856" s="1">
        <v>2.7280971356409306E-2</v>
      </c>
      <c r="K856" s="1">
        <v>2.4262306600738577</v>
      </c>
      <c r="L856" s="1">
        <v>2.77748397825472</v>
      </c>
      <c r="M856" s="1">
        <v>9.3857813066011778E-2</v>
      </c>
      <c r="N856" s="1">
        <v>1.3437038827353422</v>
      </c>
      <c r="O856" s="1">
        <v>9.3404444444444443E-2</v>
      </c>
      <c r="P856" s="1">
        <v>7.8180923398720736E-2</v>
      </c>
      <c r="Q856" s="1">
        <v>1.4049594791326248</v>
      </c>
      <c r="R856" s="2">
        <f t="shared" si="55"/>
        <v>144.85524240638159</v>
      </c>
      <c r="S856" s="2">
        <f t="shared" si="54"/>
        <v>2.5316925548289877</v>
      </c>
      <c r="T856" s="2">
        <f t="shared" si="56"/>
        <v>4.3084501185005184</v>
      </c>
      <c r="U856" s="2">
        <f t="shared" si="57"/>
        <v>151.69538507971112</v>
      </c>
    </row>
    <row r="857" spans="1:21" x14ac:dyDescent="0.25">
      <c r="A857">
        <v>2593481</v>
      </c>
      <c r="B857">
        <v>4</v>
      </c>
      <c r="C857" s="1">
        <f>0.701790163516361*(10.3/7.3)</f>
        <v>0.99019708002993423</v>
      </c>
      <c r="D857" s="1">
        <f>1.63375470213984*(10.3/7.3)</f>
        <v>2.3051607441151236</v>
      </c>
      <c r="E857" s="1">
        <f>5.69023252201075*(10.3/7.3)</f>
        <v>8.0286842433850385</v>
      </c>
      <c r="F857" s="1">
        <f>9.66307033634505*(38.9/42.5)</f>
        <v>8.8445514372664125</v>
      </c>
      <c r="G857" s="1">
        <v>0.31826361886783483</v>
      </c>
      <c r="H857" s="1">
        <v>6.6585482297578009</v>
      </c>
      <c r="I857" s="1">
        <v>5.5656425294305594</v>
      </c>
      <c r="J857" s="1">
        <v>1.5564071381476981E-2</v>
      </c>
      <c r="K857" s="1">
        <v>2.575102102042218</v>
      </c>
      <c r="L857" s="1">
        <v>5.1994727173301971</v>
      </c>
      <c r="M857" s="1">
        <v>6.6231924064279205E-2</v>
      </c>
      <c r="N857" s="1">
        <v>0.76424229013468714</v>
      </c>
      <c r="O857" s="1">
        <v>0.13231999999999999</v>
      </c>
      <c r="P857" s="1">
        <v>0.13958541188317131</v>
      </c>
      <c r="Q857" s="1">
        <v>0.50864048677507911</v>
      </c>
      <c r="R857" s="2">
        <f t="shared" si="55"/>
        <v>33.219688369627789</v>
      </c>
      <c r="S857" s="2">
        <f t="shared" si="54"/>
        <v>2.7302515853068665</v>
      </c>
      <c r="T857" s="2">
        <f t="shared" si="56"/>
        <v>6.1622669315291638</v>
      </c>
      <c r="U857" s="2">
        <f t="shared" si="57"/>
        <v>42.112206886463824</v>
      </c>
    </row>
    <row r="858" spans="1:21" x14ac:dyDescent="0.25">
      <c r="A858">
        <v>2593601</v>
      </c>
      <c r="B858">
        <v>52</v>
      </c>
      <c r="C858" s="1">
        <f>2.90013881257113*(10.3/7.3)</f>
        <v>4.0919766807510491</v>
      </c>
      <c r="D858" s="1">
        <f>3.30480879898872*(10.3/7.3)</f>
        <v>4.6629494013128534</v>
      </c>
      <c r="E858" s="1">
        <f>11.6132536538142*(10.3/7.3)</f>
        <v>16.385823648532408</v>
      </c>
      <c r="F858" s="1">
        <f>29.4589661169316*(38.9/42.5)</f>
        <v>26.963618398791528</v>
      </c>
      <c r="G858" s="1">
        <v>1.3592907209701388</v>
      </c>
      <c r="H858" s="1">
        <v>7.6156939472342611</v>
      </c>
      <c r="I858" s="1">
        <v>23.462685430198039</v>
      </c>
      <c r="J858" s="1">
        <v>3.7950072003549537E-2</v>
      </c>
      <c r="K858" s="1">
        <v>3.5934617263822282</v>
      </c>
      <c r="L858" s="1">
        <v>6.2911331256571827</v>
      </c>
      <c r="M858" s="1">
        <v>0.1161409493728925</v>
      </c>
      <c r="N858" s="1">
        <v>2.1414214944934993</v>
      </c>
      <c r="O858" s="1">
        <v>0.25182871794871797</v>
      </c>
      <c r="P858" s="1">
        <v>0.17617490428742635</v>
      </c>
      <c r="Q858" s="1">
        <v>2.1723824307741966</v>
      </c>
      <c r="R858" s="2">
        <f t="shared" si="55"/>
        <v>86.714420658564464</v>
      </c>
      <c r="S858" s="2">
        <f t="shared" si="54"/>
        <v>3.8075867026732042</v>
      </c>
      <c r="T858" s="2">
        <f t="shared" si="56"/>
        <v>8.8005242874722924</v>
      </c>
      <c r="U858" s="2">
        <f t="shared" si="57"/>
        <v>99.322531648709969</v>
      </c>
    </row>
    <row r="859" spans="1:21" x14ac:dyDescent="0.25">
      <c r="A859">
        <v>2593609</v>
      </c>
      <c r="B859">
        <v>67</v>
      </c>
      <c r="C859" s="1">
        <f>4.01575039074545*(10.3/7.3)</f>
        <v>5.6660587705038497</v>
      </c>
      <c r="D859" s="1">
        <f>4.26206168413178*(10.3/7.3)</f>
        <v>6.0135938830900395</v>
      </c>
      <c r="E859" s="1">
        <f>15.1213930880161*(10.3/7.3)</f>
        <v>21.335664220077447</v>
      </c>
      <c r="F859" s="1">
        <f>33.7701207504099*(38.9/42.5)</f>
        <v>30.909592875081096</v>
      </c>
      <c r="G859" s="1">
        <v>1.3646955650409966</v>
      </c>
      <c r="H859" s="1">
        <v>4.5225330149369114</v>
      </c>
      <c r="I859" s="1">
        <v>27.054652807112866</v>
      </c>
      <c r="J859" s="1">
        <v>3.9373764297018402E-2</v>
      </c>
      <c r="K859" s="1">
        <v>4.0493102650447854</v>
      </c>
      <c r="L859" s="1">
        <v>7.1276624669033106</v>
      </c>
      <c r="M859" s="1">
        <v>0.13753508212807966</v>
      </c>
      <c r="N859" s="1">
        <v>1.7990833600579752</v>
      </c>
      <c r="O859" s="1">
        <v>0.30890746268656716</v>
      </c>
      <c r="P859" s="1">
        <v>0.19693358723775461</v>
      </c>
      <c r="Q859" s="1">
        <v>2.1810203094262537</v>
      </c>
      <c r="R859" s="2">
        <f t="shared" si="55"/>
        <v>99.047811445269474</v>
      </c>
      <c r="S859" s="2">
        <f t="shared" si="54"/>
        <v>4.2856176165795583</v>
      </c>
      <c r="T859" s="2">
        <f t="shared" si="56"/>
        <v>9.3731883717759334</v>
      </c>
      <c r="U859" s="2">
        <f t="shared" si="57"/>
        <v>112.70661743362497</v>
      </c>
    </row>
    <row r="860" spans="1:21" x14ac:dyDescent="0.25">
      <c r="A860">
        <v>2593617</v>
      </c>
      <c r="B860">
        <v>24</v>
      </c>
      <c r="C860" s="1">
        <f>2.8689290750976*(10.3/7.3)</f>
        <v>4.0479410237678506</v>
      </c>
      <c r="D860" s="1">
        <f>3.05683184820002*(10.3/7.3)</f>
        <v>4.3130641145835842</v>
      </c>
      <c r="E860" s="1">
        <f>10.8627852006799*(10.3/7.3)</f>
        <v>15.326943502329115</v>
      </c>
      <c r="F860" s="1">
        <f>23.262364537579*(38.9/42.5)</f>
        <v>21.291905423807588</v>
      </c>
      <c r="G860" s="1">
        <v>0.8974551224838252</v>
      </c>
      <c r="H860" s="1">
        <v>6.3804439010797687</v>
      </c>
      <c r="I860" s="1">
        <v>18.514512368352165</v>
      </c>
      <c r="J860" s="1">
        <v>2.943757966601554E-2</v>
      </c>
      <c r="K860" s="1">
        <v>3.2240491196117702</v>
      </c>
      <c r="L860" s="1">
        <v>5.1730136577590482</v>
      </c>
      <c r="M860" s="1">
        <v>0.11089271735276839</v>
      </c>
      <c r="N860" s="1">
        <v>1.3403600917426324</v>
      </c>
      <c r="O860" s="1">
        <v>0.22792444444444449</v>
      </c>
      <c r="P860" s="1">
        <v>0.16384342406046129</v>
      </c>
      <c r="Q860" s="1">
        <v>1.4342890085357951</v>
      </c>
      <c r="R860" s="2">
        <f t="shared" si="55"/>
        <v>72.206554464939686</v>
      </c>
      <c r="S860" s="2">
        <f t="shared" si="54"/>
        <v>3.4173301233382469</v>
      </c>
      <c r="T860" s="2">
        <f t="shared" si="56"/>
        <v>6.8521909112988935</v>
      </c>
      <c r="U860" s="2">
        <f t="shared" si="57"/>
        <v>82.476075499576822</v>
      </c>
    </row>
    <row r="861" spans="1:21" x14ac:dyDescent="0.25">
      <c r="A861">
        <v>2593625</v>
      </c>
      <c r="B861">
        <v>44</v>
      </c>
      <c r="C861" s="1">
        <f>3.83633763065445*(10.3/7.3)</f>
        <v>5.4129147391425851</v>
      </c>
      <c r="D861" s="1">
        <f>4.13127190425967*(10.3/7.3)</f>
        <v>5.8290548786129595</v>
      </c>
      <c r="E861" s="1">
        <f>14.6727243779634*(10.3/7.3)</f>
        <v>20.702611108633313</v>
      </c>
      <c r="F861" s="1">
        <f>31.4238652648432*(38.9/42.5)</f>
        <v>28.762079030644735</v>
      </c>
      <c r="G861" s="1">
        <v>1.2153956372678385</v>
      </c>
      <c r="H861" s="1">
        <v>5.6638770585048128</v>
      </c>
      <c r="I861" s="1">
        <v>24.918469709504595</v>
      </c>
      <c r="J861" s="1">
        <v>3.5763071376122807E-2</v>
      </c>
      <c r="K861" s="1">
        <v>3.7183557786574739</v>
      </c>
      <c r="L861" s="1">
        <v>6.0631533731014633</v>
      </c>
      <c r="M861" s="1">
        <v>0.12951670479792426</v>
      </c>
      <c r="N861" s="1">
        <v>1.7199819404400281</v>
      </c>
      <c r="O861" s="1">
        <v>0.2817769696969698</v>
      </c>
      <c r="P861" s="1">
        <v>0.18617348683694307</v>
      </c>
      <c r="Q861" s="1">
        <v>1.9424131189212053</v>
      </c>
      <c r="R861" s="2">
        <f t="shared" si="55"/>
        <v>94.446815281232048</v>
      </c>
      <c r="S861" s="2">
        <f t="shared" si="54"/>
        <v>3.9402923368705398</v>
      </c>
      <c r="T861" s="2">
        <f t="shared" si="56"/>
        <v>8.1944289880363854</v>
      </c>
      <c r="U861" s="2">
        <f t="shared" si="57"/>
        <v>106.58153660613897</v>
      </c>
    </row>
    <row r="862" spans="1:21" x14ac:dyDescent="0.25">
      <c r="A862">
        <v>2593889</v>
      </c>
      <c r="B862">
        <v>1</v>
      </c>
      <c r="C862" s="1">
        <f>11.0844609822136*(10.3/7.3)</f>
        <v>15.639718920109575</v>
      </c>
      <c r="D862" s="1">
        <f>10.0081432942443*(10.3/7.3)</f>
        <v>14.121078894618677</v>
      </c>
      <c r="E862" s="1">
        <f>35.9517640803499*(10.3/7.3)</f>
        <v>50.726461647617022</v>
      </c>
      <c r="F862" s="1">
        <f>74.437675642013*(38.9/42.5)</f>
        <v>68.13236664645423</v>
      </c>
      <c r="G862" s="1">
        <v>2.6340908025976724</v>
      </c>
      <c r="H862" s="1">
        <v>3.1158881765283577</v>
      </c>
      <c r="I862" s="1">
        <v>62.783054566088339</v>
      </c>
      <c r="J862" s="1">
        <v>3.6533984349650162E-2</v>
      </c>
      <c r="K862" s="1">
        <v>2.8562396530203045</v>
      </c>
      <c r="L862" s="1">
        <v>3.3367552112531329</v>
      </c>
      <c r="M862" s="1">
        <v>0.18052241848410633</v>
      </c>
      <c r="N862" s="1">
        <v>1.6275519983023716</v>
      </c>
      <c r="O862" s="1">
        <v>0.18266666666666667</v>
      </c>
      <c r="P862" s="1">
        <v>0.13130213957181247</v>
      </c>
      <c r="Q862" s="1">
        <v>4.2097341594026769</v>
      </c>
      <c r="R862" s="2">
        <f t="shared" si="55"/>
        <v>221.36239381341653</v>
      </c>
      <c r="S862" s="2">
        <f t="shared" si="54"/>
        <v>3.0240757769417672</v>
      </c>
      <c r="T862" s="2">
        <f t="shared" si="56"/>
        <v>5.3274962947062781</v>
      </c>
      <c r="U862" s="2">
        <f t="shared" si="57"/>
        <v>229.71396588506457</v>
      </c>
    </row>
    <row r="863" spans="1:21" x14ac:dyDescent="0.25">
      <c r="A863">
        <v>2605709</v>
      </c>
      <c r="B863">
        <v>7</v>
      </c>
      <c r="C863" s="1">
        <f>0.726085963728903*(10.3/7.3)</f>
        <v>1.0244774556722873</v>
      </c>
      <c r="D863" s="1">
        <f>1.59406966157445*(10.3/7.3)</f>
        <v>2.2491667827694255</v>
      </c>
      <c r="E863" s="1">
        <f>5.55494398135367*(10.3/7.3)</f>
        <v>7.8377976723209368</v>
      </c>
      <c r="F863" s="1">
        <f>9.70230772323158*(38.9/42.5)</f>
        <v>8.880465186675492</v>
      </c>
      <c r="G863" s="1">
        <v>0.33026915637807414</v>
      </c>
      <c r="H863" s="1">
        <v>7.1966018270491867</v>
      </c>
      <c r="I863" s="1">
        <v>5.7686906542247458</v>
      </c>
      <c r="J863" s="1">
        <v>1.589746596240128E-2</v>
      </c>
      <c r="K863" s="1">
        <v>2.5871303150695861</v>
      </c>
      <c r="L863" s="1">
        <v>4.1656790338920775</v>
      </c>
      <c r="M863" s="1">
        <v>6.7510770941983836E-2</v>
      </c>
      <c r="N863" s="1">
        <v>0.75458310404046836</v>
      </c>
      <c r="O863" s="1">
        <v>0.13453714285714286</v>
      </c>
      <c r="P863" s="1">
        <v>0.13975458003168889</v>
      </c>
      <c r="Q863" s="1">
        <v>0.52782741886906881</v>
      </c>
      <c r="R863" s="2">
        <f t="shared" si="55"/>
        <v>33.815296153959217</v>
      </c>
      <c r="S863" s="2">
        <f t="shared" si="54"/>
        <v>2.7427823610636763</v>
      </c>
      <c r="T863" s="2">
        <f t="shared" si="56"/>
        <v>5.122310051731672</v>
      </c>
      <c r="U863" s="2">
        <f t="shared" si="57"/>
        <v>41.680388566754566</v>
      </c>
    </row>
    <row r="864" spans="1:21" x14ac:dyDescent="0.25">
      <c r="A864">
        <v>2605829</v>
      </c>
      <c r="B864">
        <v>11</v>
      </c>
      <c r="C864" s="1">
        <f>2.89789876931526*(10.3/7.3)</f>
        <v>4.0888160717735911</v>
      </c>
      <c r="D864" s="1">
        <f>3.15106564050598*(10.3/7.3)</f>
        <v>4.4460241229056932</v>
      </c>
      <c r="E864" s="1">
        <f>11.1502098152034*(10.3/7.3)</f>
        <v>15.732487821451306</v>
      </c>
      <c r="F864" s="1">
        <f>25.680791364781*(38.9/42.5)</f>
        <v>23.505477272705441</v>
      </c>
      <c r="G864" s="1">
        <v>1.0768510446464843</v>
      </c>
      <c r="H864" s="1">
        <v>4.4034563786838872</v>
      </c>
      <c r="I864" s="1">
        <v>20.489970446113865</v>
      </c>
      <c r="J864" s="1">
        <v>4.1948312343860795E-2</v>
      </c>
      <c r="K864" s="1">
        <v>3.5267762652569492</v>
      </c>
      <c r="L864" s="1">
        <v>6.2854379780843779</v>
      </c>
      <c r="M864" s="1">
        <v>0.11586068966638789</v>
      </c>
      <c r="N864" s="1">
        <v>3.2389642501768079</v>
      </c>
      <c r="O864" s="1">
        <v>0.25468606060606058</v>
      </c>
      <c r="P864" s="1">
        <v>0.16847502706400147</v>
      </c>
      <c r="Q864" s="1">
        <v>1.7209948202112777</v>
      </c>
      <c r="R864" s="2">
        <f t="shared" si="55"/>
        <v>75.464077978491531</v>
      </c>
      <c r="S864" s="2">
        <f t="shared" si="54"/>
        <v>3.7371996046648115</v>
      </c>
      <c r="T864" s="2">
        <f t="shared" si="56"/>
        <v>9.894948978533634</v>
      </c>
      <c r="U864" s="2">
        <f t="shared" si="57"/>
        <v>89.096226561689974</v>
      </c>
    </row>
    <row r="865" spans="1:21" x14ac:dyDescent="0.25">
      <c r="A865">
        <v>2605837</v>
      </c>
      <c r="B865">
        <v>69</v>
      </c>
      <c r="C865" s="1">
        <f>3.39270733345727*(10.3/7.3)</f>
        <v>4.7869706211794396</v>
      </c>
      <c r="D865" s="1">
        <f>3.64794326686624*(10.3/7.3)</f>
        <v>5.147098034071548</v>
      </c>
      <c r="E865" s="1">
        <f>12.9161467979519*(10.3/7.3)</f>
        <v>18.22415233135683</v>
      </c>
      <c r="F865" s="1">
        <f>29.7374881400357*(38.9/42.5)</f>
        <v>27.218547968173826</v>
      </c>
      <c r="G865" s="1">
        <v>1.2437831715555812</v>
      </c>
      <c r="H865" s="1">
        <v>4.9589359063706242</v>
      </c>
      <c r="I865" s="1">
        <v>23.810736671609387</v>
      </c>
      <c r="J865" s="1">
        <v>3.7173785681390736E-2</v>
      </c>
      <c r="K865" s="1">
        <v>3.7481879436237051</v>
      </c>
      <c r="L865" s="1">
        <v>6.4683933911333735</v>
      </c>
      <c r="M865" s="1">
        <v>0.12417949679150224</v>
      </c>
      <c r="N865" s="1">
        <v>1.7229666071620555</v>
      </c>
      <c r="O865" s="1">
        <v>0.26849468599033816</v>
      </c>
      <c r="P865" s="1">
        <v>0.18351704253176926</v>
      </c>
      <c r="Q865" s="1">
        <v>1.9877813244038995</v>
      </c>
      <c r="R865" s="2">
        <f t="shared" si="55"/>
        <v>87.378006028721131</v>
      </c>
      <c r="S865" s="2">
        <f t="shared" si="54"/>
        <v>3.9688787718368652</v>
      </c>
      <c r="T865" s="2">
        <f t="shared" si="56"/>
        <v>8.5840341810772696</v>
      </c>
      <c r="U865" s="2">
        <f t="shared" si="57"/>
        <v>99.930918981635273</v>
      </c>
    </row>
    <row r="866" spans="1:21" x14ac:dyDescent="0.25">
      <c r="A866">
        <v>2605845</v>
      </c>
      <c r="B866">
        <v>66</v>
      </c>
      <c r="C866" s="1">
        <f>3.46474042703112*(10.3/7.3)</f>
        <v>4.8886063559480126</v>
      </c>
      <c r="D866" s="1">
        <f>3.609212878214*(10.3/7.3)</f>
        <v>5.0924510473430349</v>
      </c>
      <c r="E866" s="1">
        <f>12.8286250444318*(10.3/7.3)</f>
        <v>18.100662733924313</v>
      </c>
      <c r="F866" s="1">
        <f>28.104441758988*(38.9/42.5)</f>
        <v>25.723830221756092</v>
      </c>
      <c r="G866" s="1">
        <v>1.1073748296922008</v>
      </c>
      <c r="H866" s="1">
        <v>3.9145821271183769</v>
      </c>
      <c r="I866" s="1">
        <v>22.606711845671533</v>
      </c>
      <c r="J866" s="1">
        <v>3.6356284119575137E-2</v>
      </c>
      <c r="K866" s="1">
        <v>3.7936294981532628</v>
      </c>
      <c r="L866" s="1">
        <v>6.51235988781358</v>
      </c>
      <c r="M866" s="1">
        <v>0.12824400046070705</v>
      </c>
      <c r="N866" s="1">
        <v>1.661844700731397</v>
      </c>
      <c r="O866" s="1">
        <v>0.28864727272727281</v>
      </c>
      <c r="P866" s="1">
        <v>0.18719721372911516</v>
      </c>
      <c r="Q866" s="1">
        <v>1.7697771250788608</v>
      </c>
      <c r="R866" s="2">
        <f t="shared" si="55"/>
        <v>83.20399628653243</v>
      </c>
      <c r="S866" s="2">
        <f t="shared" si="54"/>
        <v>4.0171829960019529</v>
      </c>
      <c r="T866" s="2">
        <f t="shared" si="56"/>
        <v>8.5910958617329563</v>
      </c>
      <c r="U866" s="2">
        <f t="shared" si="57"/>
        <v>95.812275144267332</v>
      </c>
    </row>
    <row r="867" spans="1:21" x14ac:dyDescent="0.25">
      <c r="A867">
        <v>2605853</v>
      </c>
      <c r="B867">
        <v>41</v>
      </c>
      <c r="C867" s="1">
        <f>3.68218832465508*(10.3/7.3)</f>
        <v>5.1954164032804506</v>
      </c>
      <c r="D867" s="1">
        <f>3.85962489495396*(10.3/7.3)</f>
        <v>5.4457721120583225</v>
      </c>
      <c r="E867" s="1">
        <f>13.7274458512522*(10.3/7.3)</f>
        <v>19.368861954506592</v>
      </c>
      <c r="F867" s="1">
        <f>29.3992028588671*(38.9/42.5)</f>
        <v>26.908917440233662</v>
      </c>
      <c r="G867" s="1">
        <v>1.1300041495636388</v>
      </c>
      <c r="H867" s="1">
        <v>6.6159247055348169</v>
      </c>
      <c r="I867" s="1">
        <v>23.533381572888793</v>
      </c>
      <c r="J867" s="1">
        <v>3.4883895551965041E-2</v>
      </c>
      <c r="K867" s="1">
        <v>3.6466519495292955</v>
      </c>
      <c r="L867" s="1">
        <v>5.9728099393263729</v>
      </c>
      <c r="M867" s="1">
        <v>0.12842856575849076</v>
      </c>
      <c r="N867" s="1">
        <v>1.5538707541872443</v>
      </c>
      <c r="O867" s="1">
        <v>0.27228097560975612</v>
      </c>
      <c r="P867" s="1">
        <v>0.1825553748222597</v>
      </c>
      <c r="Q867" s="1">
        <v>1.8059427047820729</v>
      </c>
      <c r="R867" s="2">
        <f t="shared" si="55"/>
        <v>90.004221042848343</v>
      </c>
      <c r="S867" s="2">
        <f t="shared" si="54"/>
        <v>3.8640912199035204</v>
      </c>
      <c r="T867" s="2">
        <f t="shared" si="56"/>
        <v>7.9273902348818641</v>
      </c>
      <c r="U867" s="2">
        <f t="shared" si="57"/>
        <v>101.79570249763373</v>
      </c>
    </row>
    <row r="868" spans="1:21" x14ac:dyDescent="0.25">
      <c r="A868">
        <v>2617945</v>
      </c>
      <c r="B868">
        <v>53</v>
      </c>
      <c r="C868" s="1">
        <f>0.674420752945969*(10.3/7.3)</f>
        <v>0.9515799664854091</v>
      </c>
      <c r="D868" s="1">
        <f>1.38236975867875*(10.3/7.3)</f>
        <v>1.9504669197796078</v>
      </c>
      <c r="E868" s="1">
        <f>4.8159761860377*(10.3/7.3)</f>
        <v>6.7951444816696283</v>
      </c>
      <c r="F868" s="1">
        <f>8.92460975086508*(38.9/42.5)</f>
        <v>8.1686428072623887</v>
      </c>
      <c r="G868" s="1">
        <v>0.32618876736683139</v>
      </c>
      <c r="H868" s="1">
        <v>5.5851459595508892</v>
      </c>
      <c r="I868" s="1">
        <v>5.5621267678932318</v>
      </c>
      <c r="J868" s="1">
        <v>1.5178820504500855E-2</v>
      </c>
      <c r="K868" s="1">
        <v>2.4636591641723218</v>
      </c>
      <c r="L868" s="1">
        <v>5.4199470220960562</v>
      </c>
      <c r="M868" s="1">
        <v>6.4500495758206391E-2</v>
      </c>
      <c r="N868" s="1">
        <v>0.70695441102717693</v>
      </c>
      <c r="O868" s="1">
        <v>0.12940779874213834</v>
      </c>
      <c r="P868" s="1">
        <v>0.13516923444899356</v>
      </c>
      <c r="Q868" s="1">
        <v>0.52130624921639779</v>
      </c>
      <c r="R868" s="2">
        <f t="shared" si="55"/>
        <v>29.860601919224383</v>
      </c>
      <c r="S868" s="2">
        <f t="shared" si="54"/>
        <v>2.6140072191258161</v>
      </c>
      <c r="T868" s="2">
        <f t="shared" si="56"/>
        <v>6.3208097276235788</v>
      </c>
      <c r="U868" s="2">
        <f t="shared" si="57"/>
        <v>38.795418865973772</v>
      </c>
    </row>
    <row r="869" spans="1:21" x14ac:dyDescent="0.25">
      <c r="A869">
        <v>2617953</v>
      </c>
      <c r="B869">
        <v>24</v>
      </c>
      <c r="C869" s="1">
        <f>0.743677185194267*(10.3/7.3)</f>
        <v>1.0492979462330074</v>
      </c>
      <c r="D869" s="1">
        <f>1.58329497844391*(10.3/7.3)</f>
        <v>2.233964147667431</v>
      </c>
      <c r="E869" s="1">
        <f>5.48064756570861*(10.3/7.3)</f>
        <v>7.7329684831231011</v>
      </c>
      <c r="F869" s="1">
        <f>11.6444584984781*(38.9/42.5)</f>
        <v>10.658104366842283</v>
      </c>
      <c r="G869" s="1">
        <v>0.49854594355478965</v>
      </c>
      <c r="H869" s="1">
        <v>4.6877444793222773</v>
      </c>
      <c r="I869" s="1">
        <v>7.5913410314606331</v>
      </c>
      <c r="J869" s="1">
        <v>1.5916964493952305E-2</v>
      </c>
      <c r="K869" s="1">
        <v>2.5365730200717578</v>
      </c>
      <c r="L869" s="1">
        <v>4.8081792153772955</v>
      </c>
      <c r="M869" s="1">
        <v>6.7782812844552079E-2</v>
      </c>
      <c r="N869" s="1">
        <v>0.73472215577013722</v>
      </c>
      <c r="O869" s="1">
        <v>0.13491777777777778</v>
      </c>
      <c r="P869" s="1">
        <v>0.14140231452206115</v>
      </c>
      <c r="Q869" s="1">
        <v>0.7967629234893906</v>
      </c>
      <c r="R869" s="2">
        <f t="shared" si="55"/>
        <v>35.248729321692913</v>
      </c>
      <c r="S869" s="2">
        <f t="shared" si="54"/>
        <v>2.6938922990877714</v>
      </c>
      <c r="T869" s="2">
        <f t="shared" si="56"/>
        <v>5.7456019617697622</v>
      </c>
      <c r="U869" s="2">
        <f t="shared" si="57"/>
        <v>43.688223582550449</v>
      </c>
    </row>
    <row r="870" spans="1:21" x14ac:dyDescent="0.25">
      <c r="A870">
        <v>2618065</v>
      </c>
      <c r="B870">
        <v>58</v>
      </c>
      <c r="C870" s="1">
        <f>2.98831475514143*(10.3/7.3)</f>
        <v>4.2163893120488725</v>
      </c>
      <c r="D870" s="1">
        <f>3.18541762196268*(10.3/7.3)</f>
        <v>4.4944933570158376</v>
      </c>
      <c r="E870" s="1">
        <f>11.3031024330646*(10.3/7.3)</f>
        <v>15.948213021995244</v>
      </c>
      <c r="F870" s="1">
        <f>25.0337707859552*(38.9/42.5)</f>
        <v>22.913263142909557</v>
      </c>
      <c r="G870" s="1">
        <v>1.0034814858399481</v>
      </c>
      <c r="H870" s="1">
        <v>3.7129715051170922</v>
      </c>
      <c r="I870" s="1">
        <v>20.006105647765438</v>
      </c>
      <c r="J870" s="1">
        <v>4.1740980629240837E-2</v>
      </c>
      <c r="K870" s="1">
        <v>3.7325665914454236</v>
      </c>
      <c r="L870" s="1">
        <v>6.3829005255539304</v>
      </c>
      <c r="M870" s="1">
        <v>0.11862673713749924</v>
      </c>
      <c r="N870" s="1">
        <v>2.1749641598185057</v>
      </c>
      <c r="O870" s="1">
        <v>0.25860781609195399</v>
      </c>
      <c r="P870" s="1">
        <v>0.17821513119966137</v>
      </c>
      <c r="Q870" s="1">
        <v>1.6037375344474076</v>
      </c>
      <c r="R870" s="2">
        <f t="shared" si="55"/>
        <v>73.898655007139396</v>
      </c>
      <c r="S870" s="2">
        <f t="shared" si="54"/>
        <v>3.952522703274326</v>
      </c>
      <c r="T870" s="2">
        <f t="shared" si="56"/>
        <v>8.9350992386018895</v>
      </c>
      <c r="U870" s="2">
        <f t="shared" si="57"/>
        <v>86.786276949015615</v>
      </c>
    </row>
    <row r="871" spans="1:21" x14ac:dyDescent="0.25">
      <c r="A871">
        <v>2618073</v>
      </c>
      <c r="B871">
        <v>49</v>
      </c>
      <c r="C871" s="1">
        <f>3.60416694461082*(10.3/7.3)</f>
        <v>5.0853314423960834</v>
      </c>
      <c r="D871" s="1">
        <f>4.12909465576643*(10.3/7.3)</f>
        <v>5.8259828704649639</v>
      </c>
      <c r="E871" s="1">
        <f>14.4626614805753*(10.3/7.3)</f>
        <v>20.406220993140522</v>
      </c>
      <c r="F871" s="1">
        <f>38.898661104708*(38.9/42.5)</f>
        <v>35.60371569348569</v>
      </c>
      <c r="G871" s="1">
        <v>1.8799387486281278</v>
      </c>
      <c r="H871" s="1">
        <v>4.6853765521993038</v>
      </c>
      <c r="I871" s="1">
        <v>31.160456060074779</v>
      </c>
      <c r="J871" s="1">
        <v>3.6449639850476064E-2</v>
      </c>
      <c r="K871" s="1">
        <v>3.7664333897678168</v>
      </c>
      <c r="L871" s="1">
        <v>6.401055665532188</v>
      </c>
      <c r="M871" s="1">
        <v>0.12658109305356643</v>
      </c>
      <c r="N871" s="1">
        <v>1.6506450006784625</v>
      </c>
      <c r="O871" s="1">
        <v>0.27448272108843541</v>
      </c>
      <c r="P871" s="1">
        <v>0.18481998579193371</v>
      </c>
      <c r="Q871" s="1">
        <v>3.0044683197253197</v>
      </c>
      <c r="R871" s="2">
        <f t="shared" si="55"/>
        <v>107.65149068011479</v>
      </c>
      <c r="S871" s="2">
        <f t="shared" si="54"/>
        <v>3.9877030154102266</v>
      </c>
      <c r="T871" s="2">
        <f t="shared" si="56"/>
        <v>8.452764480352652</v>
      </c>
      <c r="U871" s="2">
        <f t="shared" si="57"/>
        <v>120.09195817587768</v>
      </c>
    </row>
    <row r="872" spans="1:21" x14ac:dyDescent="0.25">
      <c r="A872">
        <v>2618081</v>
      </c>
      <c r="B872">
        <v>2</v>
      </c>
      <c r="C872" s="1">
        <f>2.54488549931203*(10.3/7.3)</f>
        <v>3.5907288551936811</v>
      </c>
      <c r="D872" s="1">
        <f>2.64797424787253*(10.3/7.3)</f>
        <v>3.7361828428886361</v>
      </c>
      <c r="E872" s="1">
        <f>9.41280029651571*(10.3/7.3)</f>
        <v>13.281074390974226</v>
      </c>
      <c r="F872" s="1">
        <f>20.6092901563954*(38.9/42.5)</f>
        <v>18.863562049030151</v>
      </c>
      <c r="G872" s="1">
        <v>0.81131069669418732</v>
      </c>
      <c r="H872" s="1">
        <v>4.0880076658419702</v>
      </c>
      <c r="I872" s="1">
        <v>16.583147285696594</v>
      </c>
      <c r="J872" s="1">
        <v>2.7232881713827498E-2</v>
      </c>
      <c r="K872" s="1">
        <v>2.9861293224286358</v>
      </c>
      <c r="L872" s="1">
        <v>4.7578485154455459</v>
      </c>
      <c r="M872" s="1">
        <v>0.10233124059205921</v>
      </c>
      <c r="N872" s="1">
        <v>1.2456014828001052</v>
      </c>
      <c r="O872" s="1">
        <v>0.20655999999999999</v>
      </c>
      <c r="P872" s="1">
        <v>0.15264572858109404</v>
      </c>
      <c r="Q872" s="1">
        <v>1.296615268689342</v>
      </c>
      <c r="R872" s="2">
        <f t="shared" si="55"/>
        <v>62.25062905500878</v>
      </c>
      <c r="S872" s="2">
        <f t="shared" si="54"/>
        <v>3.1660079327235575</v>
      </c>
      <c r="T872" s="2">
        <f t="shared" si="56"/>
        <v>6.3123412388377105</v>
      </c>
      <c r="U872" s="2">
        <f t="shared" si="57"/>
        <v>71.728978226570035</v>
      </c>
    </row>
    <row r="873" spans="1:21" x14ac:dyDescent="0.25">
      <c r="A873">
        <v>2618321</v>
      </c>
      <c r="B873">
        <v>4</v>
      </c>
      <c r="C873" s="1">
        <f>7.37038988414884*(10.3/7.3)</f>
        <v>10.399317233799055</v>
      </c>
      <c r="D873" s="1">
        <f>7.01539437454196*(10.3/7.3)</f>
        <v>9.8984331586002963</v>
      </c>
      <c r="E873" s="1">
        <f>25.1819146982227*(10.3/7.3)</f>
        <v>35.530646765985495</v>
      </c>
      <c r="F873" s="1">
        <f>49.0864708613847*(38.9/42.5)</f>
        <v>44.928558035479163</v>
      </c>
      <c r="G873" s="1">
        <v>1.6174712362183263</v>
      </c>
      <c r="H873" s="1">
        <v>3.3284343433781123</v>
      </c>
      <c r="I873" s="1">
        <v>40.339179082474622</v>
      </c>
      <c r="J873" s="1">
        <v>2.9259011507899266E-2</v>
      </c>
      <c r="K873" s="1">
        <v>2.5546439345657395</v>
      </c>
      <c r="L873" s="1">
        <v>2.77269443724225</v>
      </c>
      <c r="M873" s="1">
        <v>0.1338937560111797</v>
      </c>
      <c r="N873" s="1">
        <v>1.3775065362346277</v>
      </c>
      <c r="O873" s="1">
        <v>0.15949333333333332</v>
      </c>
      <c r="P873" s="1">
        <v>0.12443116666684097</v>
      </c>
      <c r="Q873" s="1">
        <v>2.584999692586369</v>
      </c>
      <c r="R873" s="2">
        <f t="shared" si="55"/>
        <v>148.62703954852142</v>
      </c>
      <c r="S873" s="2">
        <f t="shared" si="54"/>
        <v>2.7083341127404799</v>
      </c>
      <c r="T873" s="2">
        <f t="shared" si="56"/>
        <v>4.4435880628213908</v>
      </c>
      <c r="U873" s="2">
        <f t="shared" si="57"/>
        <v>155.7789617240833</v>
      </c>
    </row>
    <row r="874" spans="1:21" x14ac:dyDescent="0.25">
      <c r="A874">
        <v>2618329</v>
      </c>
      <c r="B874">
        <v>4</v>
      </c>
      <c r="C874" s="1">
        <f>9.36483610651444*(10.3/7.3)</f>
        <v>13.213398890013526</v>
      </c>
      <c r="D874" s="1">
        <f>9.14467304594377*(10.3/7.3)</f>
        <v>12.902757859345327</v>
      </c>
      <c r="E874" s="1">
        <f>32.7825398859509*(10.3/7.3)</f>
        <v>46.254816551410144</v>
      </c>
      <c r="F874" s="1">
        <f>63.6023636127897*(38.9/42.5)</f>
        <v>58.214869283235785</v>
      </c>
      <c r="G874" s="1">
        <v>2.0978843347369036</v>
      </c>
      <c r="H874" s="1">
        <v>5.3569024035344954</v>
      </c>
      <c r="I874" s="1">
        <v>51.703636773319438</v>
      </c>
      <c r="J874" s="1">
        <v>3.4823973235491162E-2</v>
      </c>
      <c r="K874" s="1">
        <v>2.8810291865233451</v>
      </c>
      <c r="L874" s="1">
        <v>3.3833045454668174</v>
      </c>
      <c r="M874" s="1">
        <v>0.16157650419627057</v>
      </c>
      <c r="N874" s="1">
        <v>1.5561869412125551</v>
      </c>
      <c r="O874" s="1">
        <v>0.18686666666666665</v>
      </c>
      <c r="P874" s="1">
        <v>0.13345815515128648</v>
      </c>
      <c r="Q874" s="1">
        <v>3.3527831833694846</v>
      </c>
      <c r="R874" s="2">
        <f t="shared" si="55"/>
        <v>193.0970492789651</v>
      </c>
      <c r="S874" s="2">
        <f t="shared" si="54"/>
        <v>3.0493113149101227</v>
      </c>
      <c r="T874" s="2">
        <f t="shared" si="56"/>
        <v>5.2879346575423103</v>
      </c>
      <c r="U874" s="2">
        <f t="shared" si="57"/>
        <v>201.43429525141752</v>
      </c>
    </row>
    <row r="875" spans="1:21" x14ac:dyDescent="0.25">
      <c r="A875">
        <v>2630173</v>
      </c>
      <c r="B875">
        <v>5</v>
      </c>
      <c r="C875" s="1">
        <f>0.799530972895995*(10.3/7.3)</f>
        <v>1.1281053453190069</v>
      </c>
      <c r="D875" s="1">
        <f>1.53498716521514*(10.3/7.3)</f>
        <v>2.1658038084542399</v>
      </c>
      <c r="E875" s="1">
        <f>5.3594457915576*(10.3/7.3)</f>
        <v>7.561957760690861</v>
      </c>
      <c r="F875" s="1">
        <f>9.84898919079198*(38.9/42.5)</f>
        <v>9.0147218711013632</v>
      </c>
      <c r="G875" s="1">
        <v>0.35229220941951928</v>
      </c>
      <c r="H875" s="1">
        <v>6.0262002896635121</v>
      </c>
      <c r="I875" s="1">
        <v>6.2326696371389714</v>
      </c>
      <c r="J875" s="1">
        <v>1.6991485125405235E-2</v>
      </c>
      <c r="K875" s="1">
        <v>2.6386323062955097</v>
      </c>
      <c r="L875" s="1">
        <v>4.4062949770068256</v>
      </c>
      <c r="M875" s="1">
        <v>7.2370147219301059E-2</v>
      </c>
      <c r="N875" s="1">
        <v>0.79311765459377281</v>
      </c>
      <c r="O875" s="1">
        <v>0.14282666666666669</v>
      </c>
      <c r="P875" s="1">
        <v>0.1445126407028208</v>
      </c>
      <c r="Q875" s="1">
        <v>0.56302407898096751</v>
      </c>
      <c r="R875" s="2">
        <f t="shared" si="55"/>
        <v>33.044775000768439</v>
      </c>
      <c r="S875" s="2">
        <f t="shared" si="54"/>
        <v>2.8001364321237356</v>
      </c>
      <c r="T875" s="2">
        <f t="shared" si="56"/>
        <v>5.4146094454865663</v>
      </c>
      <c r="U875" s="2">
        <f t="shared" si="57"/>
        <v>41.259520878378744</v>
      </c>
    </row>
    <row r="876" spans="1:21" x14ac:dyDescent="0.25">
      <c r="A876">
        <v>2630181</v>
      </c>
      <c r="B876">
        <v>11</v>
      </c>
      <c r="C876" s="1">
        <f>0.677204696535265*(10.3/7.3)</f>
        <v>0.95550799648126417</v>
      </c>
      <c r="D876" s="1">
        <f>1.47433392092973*(10.3/7.3)</f>
        <v>2.080224573366606</v>
      </c>
      <c r="E876" s="1">
        <f>5.05003258855143*(10.3/7.3)</f>
        <v>7.1253884468602315</v>
      </c>
      <c r="F876" s="1">
        <f>13.2796171619103*(38.9/42.5)</f>
        <v>12.154755472901416</v>
      </c>
      <c r="G876" s="1">
        <v>0.67509001495496201</v>
      </c>
      <c r="H876" s="1">
        <v>5.5812740799726361</v>
      </c>
      <c r="I876" s="1">
        <v>9.234411794074159</v>
      </c>
      <c r="J876" s="1">
        <v>1.5537069175749225E-2</v>
      </c>
      <c r="K876" s="1">
        <v>2.4922975728793961</v>
      </c>
      <c r="L876" s="1">
        <v>8.1058308259567653</v>
      </c>
      <c r="M876" s="1">
        <v>6.5282545516986992E-2</v>
      </c>
      <c r="N876" s="1">
        <v>0.7383908254927064</v>
      </c>
      <c r="O876" s="1">
        <v>0.13323151515151516</v>
      </c>
      <c r="P876" s="1">
        <v>0.14269676508084636</v>
      </c>
      <c r="Q876" s="1">
        <v>1.078910982804735</v>
      </c>
      <c r="R876" s="2">
        <f t="shared" si="55"/>
        <v>38.885563361416011</v>
      </c>
      <c r="S876" s="2">
        <f t="shared" si="54"/>
        <v>2.6505314071359916</v>
      </c>
      <c r="T876" s="2">
        <f t="shared" si="56"/>
        <v>9.0427357121179739</v>
      </c>
      <c r="U876" s="2">
        <f t="shared" si="57"/>
        <v>50.578830480669978</v>
      </c>
    </row>
    <row r="877" spans="1:21" x14ac:dyDescent="0.25">
      <c r="A877">
        <v>2630189</v>
      </c>
      <c r="B877">
        <v>13</v>
      </c>
      <c r="C877" s="1">
        <f>0.787392264139111*(10.3/7.3)</f>
        <v>1.1109781261140883</v>
      </c>
      <c r="D877" s="1">
        <f>1.56019966990888*(10.3/7.3)</f>
        <v>2.2013776164467824</v>
      </c>
      <c r="E877" s="1">
        <f>5.4418821629022*(10.3/7.3)</f>
        <v>7.6782720928620058</v>
      </c>
      <c r="F877" s="1">
        <f>10.0275918275392*(38.9/42.5)</f>
        <v>9.1781958139123336</v>
      </c>
      <c r="G877" s="1">
        <v>0.36185631539492324</v>
      </c>
      <c r="H877" s="1">
        <v>5.8200040873158789</v>
      </c>
      <c r="I877" s="1">
        <v>6.2946268855085696</v>
      </c>
      <c r="J877" s="1">
        <v>1.7297256916156172E-2</v>
      </c>
      <c r="K877" s="1">
        <v>2.5720436099102364</v>
      </c>
      <c r="L877" s="1">
        <v>4.3388583881136942</v>
      </c>
      <c r="M877" s="1">
        <v>6.9056222911897516E-2</v>
      </c>
      <c r="N877" s="1">
        <v>0.74791163111749526</v>
      </c>
      <c r="O877" s="1">
        <v>0.13880205128205128</v>
      </c>
      <c r="P877" s="1">
        <v>0.14330182861814708</v>
      </c>
      <c r="Q877" s="1">
        <v>0.57830917985490082</v>
      </c>
      <c r="R877" s="2">
        <f t="shared" si="55"/>
        <v>33.223620117409482</v>
      </c>
      <c r="S877" s="2">
        <f t="shared" si="54"/>
        <v>2.7326426954445395</v>
      </c>
      <c r="T877" s="2">
        <f t="shared" si="56"/>
        <v>5.2946282934251387</v>
      </c>
      <c r="U877" s="2">
        <f t="shared" si="57"/>
        <v>41.250891106279163</v>
      </c>
    </row>
    <row r="878" spans="1:21" x14ac:dyDescent="0.25">
      <c r="A878">
        <v>2630293</v>
      </c>
      <c r="B878">
        <v>1</v>
      </c>
      <c r="C878" s="1">
        <f>2.65501318388199*(10.3/7.3)</f>
        <v>3.7461144923266412</v>
      </c>
      <c r="D878" s="1">
        <f>2.80366875559604*(10.3/7.3)</f>
        <v>3.9558613948820818</v>
      </c>
      <c r="E878" s="1">
        <f>9.96307154625596*(10.3/7.3)</f>
        <v>14.057484510470742</v>
      </c>
      <c r="F878" s="1">
        <f>21.5775958554339*(38.9/42.5)</f>
        <v>19.749846559444226</v>
      </c>
      <c r="G878" s="1">
        <v>0.84172881247978582</v>
      </c>
      <c r="H878" s="1">
        <v>3.2166607566230652</v>
      </c>
      <c r="I878" s="1">
        <v>17.251516677330457</v>
      </c>
      <c r="J878" s="1">
        <v>3.9427849312073091E-2</v>
      </c>
      <c r="K878" s="1">
        <v>3.1754240875357023</v>
      </c>
      <c r="L878" s="1">
        <v>5.2915557627718011</v>
      </c>
      <c r="M878" s="1">
        <v>0.10140854023010704</v>
      </c>
      <c r="N878" s="1">
        <v>3.1138235709725239</v>
      </c>
      <c r="O878" s="1">
        <v>0.21823999999999999</v>
      </c>
      <c r="P878" s="1">
        <v>0.15082618518909904</v>
      </c>
      <c r="Q878" s="1">
        <v>1.3452286957439514</v>
      </c>
      <c r="R878" s="2">
        <f t="shared" si="55"/>
        <v>64.164441899300954</v>
      </c>
      <c r="S878" s="2">
        <f t="shared" si="54"/>
        <v>3.3656781220368743</v>
      </c>
      <c r="T878" s="2">
        <f t="shared" si="56"/>
        <v>8.7250278739744314</v>
      </c>
      <c r="U878" s="2">
        <f t="shared" si="57"/>
        <v>76.255147895312248</v>
      </c>
    </row>
    <row r="879" spans="1:21" x14ac:dyDescent="0.25">
      <c r="A879">
        <v>2630301</v>
      </c>
      <c r="B879">
        <v>60</v>
      </c>
      <c r="C879" s="1">
        <f>3.20470234459235*(10.3/7.3)</f>
        <v>4.5217033081234517</v>
      </c>
      <c r="D879" s="1">
        <f>3.62504656574163*(10.3/7.3)</f>
        <v>5.1147917297450345</v>
      </c>
      <c r="E879" s="1">
        <f>12.7943992826013*(10.3/7.3)</f>
        <v>18.052371590519574</v>
      </c>
      <c r="F879" s="1">
        <f>29.8449493710689*(38.9/42.5)</f>
        <v>27.316906600813695</v>
      </c>
      <c r="G879" s="1">
        <v>1.2766345500041301</v>
      </c>
      <c r="H879" s="1">
        <v>5.9978719977035553</v>
      </c>
      <c r="I879" s="1">
        <v>23.559914722271309</v>
      </c>
      <c r="J879" s="1">
        <v>3.7886717707451362E-2</v>
      </c>
      <c r="K879" s="1">
        <v>3.6919881698422734</v>
      </c>
      <c r="L879" s="1">
        <v>6.1582066889636637</v>
      </c>
      <c r="M879" s="1">
        <v>0.11867209778697548</v>
      </c>
      <c r="N879" s="1">
        <v>1.6972672923352798</v>
      </c>
      <c r="O879" s="1">
        <v>0.25572533333333342</v>
      </c>
      <c r="P879" s="1">
        <v>0.17786892220322612</v>
      </c>
      <c r="Q879" s="1">
        <v>2.0402835274038629</v>
      </c>
      <c r="R879" s="2">
        <f t="shared" si="55"/>
        <v>87.880478026584598</v>
      </c>
      <c r="S879" s="2">
        <f t="shared" si="54"/>
        <v>3.9077438097529509</v>
      </c>
      <c r="T879" s="2">
        <f t="shared" si="56"/>
        <v>8.2298714124192518</v>
      </c>
      <c r="U879" s="2">
        <f t="shared" si="57"/>
        <v>100.01809324875681</v>
      </c>
    </row>
    <row r="880" spans="1:21" x14ac:dyDescent="0.25">
      <c r="A880">
        <v>2630309</v>
      </c>
      <c r="B880">
        <v>11</v>
      </c>
      <c r="C880" s="1">
        <f>3.1008827573801*(10.3/7.3)</f>
        <v>4.3752181371253522</v>
      </c>
      <c r="D880" s="1">
        <f>3.23540780312407*(10.3/7.3)</f>
        <v>4.5650274482435522</v>
      </c>
      <c r="E880" s="1">
        <f>11.4796105427731*(10.3/7.3)</f>
        <v>16.19725871103601</v>
      </c>
      <c r="F880" s="1">
        <f>26.1299848881987*(38.9/42.5)</f>
        <v>23.916621462374781</v>
      </c>
      <c r="G880" s="1">
        <v>1.073632196415204</v>
      </c>
      <c r="H880" s="1">
        <v>4.1136588680478958</v>
      </c>
      <c r="I880" s="1">
        <v>21.099400308882117</v>
      </c>
      <c r="J880" s="1">
        <v>3.2202830550918542E-2</v>
      </c>
      <c r="K880" s="1">
        <v>3.3968815501977718</v>
      </c>
      <c r="L880" s="1">
        <v>5.629851752187677</v>
      </c>
      <c r="M880" s="1">
        <v>0.11358944771669557</v>
      </c>
      <c r="N880" s="1">
        <v>1.4662956592167653</v>
      </c>
      <c r="O880" s="1">
        <v>0.24753454545454545</v>
      </c>
      <c r="P880" s="1">
        <v>0.1691340546447144</v>
      </c>
      <c r="Q880" s="1">
        <v>1.7158505422160812</v>
      </c>
      <c r="R880" s="2">
        <f t="shared" si="55"/>
        <v>77.056667674340972</v>
      </c>
      <c r="S880" s="2">
        <f t="shared" si="54"/>
        <v>3.5982184353934046</v>
      </c>
      <c r="T880" s="2">
        <f t="shared" si="56"/>
        <v>7.4572714045756836</v>
      </c>
      <c r="U880" s="2">
        <f t="shared" si="57"/>
        <v>88.112157514310056</v>
      </c>
    </row>
    <row r="881" spans="1:21" x14ac:dyDescent="0.25">
      <c r="A881">
        <v>2630557</v>
      </c>
      <c r="B881">
        <v>11</v>
      </c>
      <c r="C881" s="1">
        <f>9.90551723419518*(10.3/7.3)</f>
        <v>13.976277741398675</v>
      </c>
      <c r="D881" s="1">
        <f>9.65837677704227*(10.3/7.3)</f>
        <v>13.627572712813073</v>
      </c>
      <c r="E881" s="1">
        <f>34.6299038902966*(10.3/7.3)</f>
        <v>48.861371242473275</v>
      </c>
      <c r="F881" s="1">
        <f>67.0411851907616*(38.9/42.5)</f>
        <v>61.362402445191165</v>
      </c>
      <c r="G881" s="1">
        <v>2.202862680461612</v>
      </c>
      <c r="H881" s="1">
        <v>4.7191188515441889</v>
      </c>
      <c r="I881" s="1">
        <v>54.519252011978558</v>
      </c>
      <c r="J881" s="1">
        <v>3.9075277654427858E-2</v>
      </c>
      <c r="K881" s="1">
        <v>3.1321608744863778</v>
      </c>
      <c r="L881" s="1">
        <v>3.7748354891348783</v>
      </c>
      <c r="M881" s="1">
        <v>0.1748167042647101</v>
      </c>
      <c r="N881" s="1">
        <v>1.7464983797814826</v>
      </c>
      <c r="O881" s="1">
        <v>0.20401454545454545</v>
      </c>
      <c r="P881" s="1">
        <v>0.14357266821899797</v>
      </c>
      <c r="Q881" s="1">
        <v>3.5205567952582881</v>
      </c>
      <c r="R881" s="2">
        <f t="shared" si="55"/>
        <v>202.78941448111883</v>
      </c>
      <c r="S881" s="2">
        <f t="shared" si="54"/>
        <v>3.3148088203598038</v>
      </c>
      <c r="T881" s="2">
        <f t="shared" si="56"/>
        <v>5.9001651186356163</v>
      </c>
      <c r="U881" s="2">
        <f t="shared" si="57"/>
        <v>212.00438842011425</v>
      </c>
    </row>
    <row r="882" spans="1:21" x14ac:dyDescent="0.25">
      <c r="A882">
        <v>2630861</v>
      </c>
      <c r="B882">
        <v>4</v>
      </c>
      <c r="C882" s="1">
        <f>40.6765464951857*(10.3/7.3)</f>
        <v>57.392935465809941</v>
      </c>
      <c r="D882" s="1">
        <f>32.4959614891715*(10.3/7.3)</f>
        <v>45.85046621074877</v>
      </c>
      <c r="E882" s="1">
        <f>118.84329146536*(10.3/7.3)</f>
        <v>167.6830002867402</v>
      </c>
      <c r="F882" s="1">
        <f>186.591248079255*(38.9/42.5)</f>
        <v>170.78587177136492</v>
      </c>
      <c r="G882" s="1">
        <v>3.3838142031333645</v>
      </c>
      <c r="H882" s="1">
        <v>6.1328512702637443</v>
      </c>
      <c r="I882" s="1">
        <v>164.42831598716197</v>
      </c>
      <c r="J882" s="1">
        <v>3.843918283664121E-2</v>
      </c>
      <c r="K882" s="1">
        <v>2.6913136067018488</v>
      </c>
      <c r="L882" s="1">
        <v>2.7650041564158045</v>
      </c>
      <c r="M882" s="1">
        <v>0.14529687557929002</v>
      </c>
      <c r="N882" s="1">
        <v>1.7867501071174967</v>
      </c>
      <c r="O882" s="1">
        <v>0.12309333333333333</v>
      </c>
      <c r="P882" s="1">
        <v>9.8582018671431904E-2</v>
      </c>
      <c r="Q882" s="1">
        <v>5.4079222424505877</v>
      </c>
      <c r="R882" s="2">
        <f t="shared" si="55"/>
        <v>621.06517743767347</v>
      </c>
      <c r="S882" s="2">
        <f t="shared" si="54"/>
        <v>2.828334808209922</v>
      </c>
      <c r="T882" s="2">
        <f t="shared" si="56"/>
        <v>4.820144472445925</v>
      </c>
      <c r="U882" s="2">
        <f t="shared" si="57"/>
        <v>628.71365671832928</v>
      </c>
    </row>
    <row r="883" spans="1:21" x14ac:dyDescent="0.25">
      <c r="A883">
        <v>2642409</v>
      </c>
      <c r="B883">
        <v>36</v>
      </c>
      <c r="C883" s="1">
        <f>0.672128487573818*(10.3/7.3)</f>
        <v>0.94834567424799054</v>
      </c>
      <c r="D883" s="1">
        <f>1.18497175036983*(10.3/7.3)</f>
        <v>1.6719464423026318</v>
      </c>
      <c r="E883" s="1">
        <f>4.14003219195541*(10.3/7.3)</f>
        <v>5.8414152845398233</v>
      </c>
      <c r="F883" s="1">
        <f>8.02613913303048*(38.9/42.5)</f>
        <v>7.3462779358796588</v>
      </c>
      <c r="G883" s="1">
        <v>0.3032542487819761</v>
      </c>
      <c r="H883" s="1">
        <v>5.1808303122023549</v>
      </c>
      <c r="I883" s="1">
        <v>5.3140504555093635</v>
      </c>
      <c r="J883" s="1">
        <v>1.5310186356670077E-2</v>
      </c>
      <c r="K883" s="1">
        <v>2.419923805588271</v>
      </c>
      <c r="L883" s="1">
        <v>5.9289162940785145</v>
      </c>
      <c r="M883" s="1">
        <v>6.4580531876340219E-2</v>
      </c>
      <c r="N883" s="1">
        <v>0.68442839460364846</v>
      </c>
      <c r="O883" s="1">
        <v>0.13087111111111113</v>
      </c>
      <c r="P883" s="1">
        <v>0.1394100391132492</v>
      </c>
      <c r="Q883" s="1">
        <v>0.48465290901229113</v>
      </c>
      <c r="R883" s="2">
        <f t="shared" si="55"/>
        <v>27.090773262476088</v>
      </c>
      <c r="S883" s="2">
        <f t="shared" si="54"/>
        <v>2.5746440310581904</v>
      </c>
      <c r="T883" s="2">
        <f t="shared" si="56"/>
        <v>6.8087963316696145</v>
      </c>
      <c r="U883" s="2">
        <f t="shared" si="57"/>
        <v>36.474213625203895</v>
      </c>
    </row>
    <row r="884" spans="1:21" x14ac:dyDescent="0.25">
      <c r="A884">
        <v>2642417</v>
      </c>
      <c r="B884">
        <v>55</v>
      </c>
      <c r="C884" s="1">
        <f>0.724116229702729*(10.3/7.3)</f>
        <v>1.0216982419093303</v>
      </c>
      <c r="D884" s="1">
        <f>1.41624508663757*(10.3/7.3)</f>
        <v>1.9982636153927418</v>
      </c>
      <c r="E884" s="1">
        <f>4.91346631770281*(10.3/7.3)</f>
        <v>6.9326990510053417</v>
      </c>
      <c r="F884" s="1">
        <f>10.472062445641*(38.9/42.5)</f>
        <v>9.5850171561279165</v>
      </c>
      <c r="G884" s="1">
        <v>0.44534228392594682</v>
      </c>
      <c r="H884" s="1">
        <v>5.7621761298153782</v>
      </c>
      <c r="I884" s="1">
        <v>6.9707166828023626</v>
      </c>
      <c r="J884" s="1">
        <v>1.6006290362138357E-2</v>
      </c>
      <c r="K884" s="1">
        <v>2.5041080458290232</v>
      </c>
      <c r="L884" s="1">
        <v>4.6984259943298765</v>
      </c>
      <c r="M884" s="1">
        <v>6.6594295806892495E-2</v>
      </c>
      <c r="N884" s="1">
        <v>0.70857144360713231</v>
      </c>
      <c r="O884" s="1">
        <v>0.13491393939393939</v>
      </c>
      <c r="P884" s="1">
        <v>0.14233527186053235</v>
      </c>
      <c r="Q884" s="1">
        <v>0.71173424371726746</v>
      </c>
      <c r="R884" s="2">
        <f t="shared" si="55"/>
        <v>33.427647404696287</v>
      </c>
      <c r="S884" s="2">
        <f t="shared" si="54"/>
        <v>2.662449608051694</v>
      </c>
      <c r="T884" s="2">
        <f t="shared" si="56"/>
        <v>5.6085056731378407</v>
      </c>
      <c r="U884" s="2">
        <f t="shared" si="57"/>
        <v>41.698602685885824</v>
      </c>
    </row>
    <row r="885" spans="1:21" x14ac:dyDescent="0.25">
      <c r="A885">
        <v>2642529</v>
      </c>
      <c r="B885">
        <v>50</v>
      </c>
      <c r="C885" s="1">
        <f>3.22075483204425*(10.3/7.3)</f>
        <v>4.544352708226822</v>
      </c>
      <c r="D885" s="1">
        <f>3.34334795489561*(10.3/7.3)</f>
        <v>4.7173265664965482</v>
      </c>
      <c r="E885" s="1">
        <f>11.8962740199836*(10.3/7.3)</f>
        <v>16.785153754223458</v>
      </c>
      <c r="F885" s="1">
        <f>25.5344778193858*(38.9/42.5)</f>
        <v>23.371557345273121</v>
      </c>
      <c r="G885" s="1">
        <v>0.98181094160628135</v>
      </c>
      <c r="H885" s="1">
        <v>4.3988373300580914</v>
      </c>
      <c r="I885" s="1">
        <v>20.515134913848286</v>
      </c>
      <c r="J885" s="1">
        <v>5.0282134251187979E-2</v>
      </c>
      <c r="K885" s="1">
        <v>4.0647202202177422</v>
      </c>
      <c r="L885" s="1">
        <v>6.6498525335193941</v>
      </c>
      <c r="M885" s="1">
        <v>0.12384163600781335</v>
      </c>
      <c r="N885" s="1">
        <v>2.2863582075293896</v>
      </c>
      <c r="O885" s="1">
        <v>0.27433279999999999</v>
      </c>
      <c r="P885" s="1">
        <v>0.18299188564549712</v>
      </c>
      <c r="Q885" s="1">
        <v>1.5691042445762509</v>
      </c>
      <c r="R885" s="2">
        <f t="shared" si="55"/>
        <v>76.883277804308861</v>
      </c>
      <c r="S885" s="2">
        <f t="shared" si="54"/>
        <v>4.2979942401144271</v>
      </c>
      <c r="T885" s="2">
        <f t="shared" si="56"/>
        <v>9.3343851770565962</v>
      </c>
      <c r="U885" s="2">
        <f t="shared" si="57"/>
        <v>90.51565722147987</v>
      </c>
    </row>
    <row r="886" spans="1:21" x14ac:dyDescent="0.25">
      <c r="A886">
        <v>2642537</v>
      </c>
      <c r="B886">
        <v>21</v>
      </c>
      <c r="C886" s="1">
        <f>2.75773453747381*(10.3/7.3)</f>
        <v>3.8910501008192124</v>
      </c>
      <c r="D886" s="1">
        <f>2.8581682170132*(10.3/7.3)</f>
        <v>4.032757895237796</v>
      </c>
      <c r="E886" s="1">
        <f>10.136508687089*(10.3/7.3)</f>
        <v>14.302197188632412</v>
      </c>
      <c r="F886" s="1">
        <f>23.4920343537592*(38.9/42.5)</f>
        <v>21.502120855558399</v>
      </c>
      <c r="G886" s="1">
        <v>0.98188666117895995</v>
      </c>
      <c r="H886" s="1">
        <v>6.7072949659226611</v>
      </c>
      <c r="I886" s="1">
        <v>19.048683641172193</v>
      </c>
      <c r="J886" s="1">
        <v>3.1152793756210179E-2</v>
      </c>
      <c r="K886" s="1">
        <v>3.3610950138138471</v>
      </c>
      <c r="L886" s="1">
        <v>5.2873170326104413</v>
      </c>
      <c r="M886" s="1">
        <v>0.1060943855780474</v>
      </c>
      <c r="N886" s="1">
        <v>1.4750719348024159</v>
      </c>
      <c r="O886" s="1">
        <v>0.21963428571428573</v>
      </c>
      <c r="P886" s="1">
        <v>0.16653564678595831</v>
      </c>
      <c r="Q886" s="1">
        <v>1.5692252575919468</v>
      </c>
      <c r="R886" s="2">
        <f t="shared" si="55"/>
        <v>72.03521656611359</v>
      </c>
      <c r="S886" s="2">
        <f t="shared" si="54"/>
        <v>3.5587834543560155</v>
      </c>
      <c r="T886" s="2">
        <f t="shared" si="56"/>
        <v>7.0881176387051905</v>
      </c>
      <c r="U886" s="2">
        <f t="shared" si="57"/>
        <v>82.682117659174793</v>
      </c>
    </row>
    <row r="887" spans="1:21" x14ac:dyDescent="0.25">
      <c r="A887">
        <v>2642785</v>
      </c>
      <c r="B887">
        <v>10</v>
      </c>
      <c r="C887" s="1">
        <f>9.21926045114257*(10.3/7.3)</f>
        <v>13.007997622845</v>
      </c>
      <c r="D887" s="1">
        <f>8.83731111978211*(10.3/7.3)</f>
        <v>12.469082812843256</v>
      </c>
      <c r="E887" s="1">
        <f>31.7149305857307*(10.3/7.3)</f>
        <v>44.748463703154322</v>
      </c>
      <c r="F887" s="1">
        <f>61.5072069296795*(38.9/42.5)</f>
        <v>56.297184695636041</v>
      </c>
      <c r="G887" s="1">
        <v>2.015428172545608</v>
      </c>
      <c r="H887" s="1">
        <v>3.8165935167868907</v>
      </c>
      <c r="I887" s="1">
        <v>50.376538250108304</v>
      </c>
      <c r="J887" s="1">
        <v>3.4890167214103762E-2</v>
      </c>
      <c r="K887" s="1">
        <v>2.917933379747685</v>
      </c>
      <c r="L887" s="1">
        <v>3.3729548651157075</v>
      </c>
      <c r="M887" s="1">
        <v>0.15656757462591803</v>
      </c>
      <c r="N887" s="1">
        <v>1.5995553080354032</v>
      </c>
      <c r="O887" s="1">
        <v>0.18676266666666669</v>
      </c>
      <c r="P887" s="1">
        <v>0.13774275963910371</v>
      </c>
      <c r="Q887" s="1">
        <v>3.2210039287258612</v>
      </c>
      <c r="R887" s="2">
        <f t="shared" si="55"/>
        <v>185.95229270264525</v>
      </c>
      <c r="S887" s="2">
        <f t="shared" si="54"/>
        <v>3.0905663066008926</v>
      </c>
      <c r="T887" s="2">
        <f t="shared" si="56"/>
        <v>5.315840414443695</v>
      </c>
      <c r="U887" s="2">
        <f t="shared" si="57"/>
        <v>194.35869942368984</v>
      </c>
    </row>
    <row r="888" spans="1:21" x14ac:dyDescent="0.25">
      <c r="A888">
        <v>2642793</v>
      </c>
      <c r="B888">
        <v>29</v>
      </c>
      <c r="C888" s="1">
        <f>6.80653229357457*(10.3/7.3)</f>
        <v>9.6037373457285078</v>
      </c>
      <c r="D888" s="1">
        <f>6.63485580981402*(10.3/7.3)</f>
        <v>9.3615088823403347</v>
      </c>
      <c r="E888" s="1">
        <f>23.7860767233268*(10.3/7.3)</f>
        <v>33.561176746611842</v>
      </c>
      <c r="F888" s="1">
        <f>46.2215136199731*(38.9/42.5)</f>
        <v>42.306279525104785</v>
      </c>
      <c r="G888" s="1">
        <v>1.5274729796368409</v>
      </c>
      <c r="H888" s="1">
        <v>3.3185337269601867</v>
      </c>
      <c r="I888" s="1">
        <v>37.607411821746609</v>
      </c>
      <c r="J888" s="1">
        <v>3.2173434060939067E-2</v>
      </c>
      <c r="K888" s="1">
        <v>2.7023487591169992</v>
      </c>
      <c r="L888" s="1">
        <v>2.9852157249663773</v>
      </c>
      <c r="M888" s="1">
        <v>0.14478790844081643</v>
      </c>
      <c r="N888" s="1">
        <v>1.5042682000532579</v>
      </c>
      <c r="O888" s="1">
        <v>0.16720919540229887</v>
      </c>
      <c r="P888" s="1">
        <v>0.12915333307203739</v>
      </c>
      <c r="Q888" s="1">
        <v>2.4411668624333109</v>
      </c>
      <c r="R888" s="2">
        <f t="shared" si="55"/>
        <v>139.72728789056242</v>
      </c>
      <c r="S888" s="2">
        <f t="shared" si="54"/>
        <v>2.8636755262499758</v>
      </c>
      <c r="T888" s="2">
        <f t="shared" si="56"/>
        <v>4.8014810288627503</v>
      </c>
      <c r="U888" s="2">
        <f t="shared" si="57"/>
        <v>147.39244444567515</v>
      </c>
    </row>
    <row r="889" spans="1:21" x14ac:dyDescent="0.25">
      <c r="A889">
        <v>2643097</v>
      </c>
      <c r="B889">
        <v>51</v>
      </c>
      <c r="C889" s="1">
        <f>31.7881376763492*(10.3/7.3)</f>
        <v>44.851755899506387</v>
      </c>
      <c r="D889" s="1">
        <f>26.783137416056*(10.3/7.3)</f>
        <v>37.789906217174973</v>
      </c>
      <c r="E889" s="1">
        <f>97.6302478994773*(10.3/7.3)</f>
        <v>137.75226758419399</v>
      </c>
      <c r="F889" s="1">
        <f>151.828333630505*(38.9/42.5)</f>
        <v>138.96758066415626</v>
      </c>
      <c r="G889" s="1">
        <v>2.7807061837989271</v>
      </c>
      <c r="H889" s="1">
        <v>4.9877882501111257</v>
      </c>
      <c r="I889" s="1">
        <v>129.92956173323211</v>
      </c>
      <c r="J889" s="1">
        <v>3.7415073129825505E-2</v>
      </c>
      <c r="K889" s="1">
        <v>2.6571812477923391</v>
      </c>
      <c r="L889" s="1">
        <v>2.7054391763037611</v>
      </c>
      <c r="M889" s="1">
        <v>0.14237568291914249</v>
      </c>
      <c r="N889" s="1">
        <v>1.7850671781158591</v>
      </c>
      <c r="O889" s="1">
        <v>0.12001986928104569</v>
      </c>
      <c r="P889" s="1">
        <v>9.72618951454816E-2</v>
      </c>
      <c r="Q889" s="1">
        <v>4.4440509786740883</v>
      </c>
      <c r="R889" s="2">
        <f t="shared" si="55"/>
        <v>501.50361751084785</v>
      </c>
      <c r="S889" s="2">
        <f t="shared" si="54"/>
        <v>2.7918582160676464</v>
      </c>
      <c r="T889" s="2">
        <f t="shared" si="56"/>
        <v>4.7529019066198082</v>
      </c>
      <c r="U889" s="2">
        <f t="shared" si="57"/>
        <v>509.04837763353527</v>
      </c>
    </row>
    <row r="890" spans="1:21" x14ac:dyDescent="0.25">
      <c r="A890">
        <v>2654637</v>
      </c>
      <c r="B890">
        <v>10</v>
      </c>
      <c r="C890" s="1">
        <f>0.714376184610071*(10.3/7.3)</f>
        <v>1.0079554385594154</v>
      </c>
      <c r="D890" s="1">
        <f>1.17205976161739*(10.3/7.3)</f>
        <v>1.6537281568026236</v>
      </c>
      <c r="E890" s="1">
        <f>4.09356617503026*(10.3/7.3)</f>
        <v>5.7758536442207786</v>
      </c>
      <c r="F890" s="1">
        <f>8.50317919544337*(38.9/42.5)</f>
        <v>7.7829098988881658</v>
      </c>
      <c r="G890" s="1">
        <v>0.34390174502998205</v>
      </c>
      <c r="H890" s="1">
        <v>5.8051724306557873</v>
      </c>
      <c r="I890" s="1">
        <v>5.874726188519972</v>
      </c>
      <c r="J890" s="1">
        <v>1.6549343293903084E-2</v>
      </c>
      <c r="K890" s="1">
        <v>2.5188604045543097</v>
      </c>
      <c r="L890" s="1">
        <v>4.012125527543037</v>
      </c>
      <c r="M890" s="1">
        <v>6.9119737354582975E-2</v>
      </c>
      <c r="N890" s="1">
        <v>0.77588773221373963</v>
      </c>
      <c r="O890" s="1">
        <v>0.13806933333333332</v>
      </c>
      <c r="P890" s="1">
        <v>0.14724484916280828</v>
      </c>
      <c r="Q890" s="1">
        <v>0.5496146610068211</v>
      </c>
      <c r="R890" s="2">
        <f t="shared" si="55"/>
        <v>28.793862163683542</v>
      </c>
      <c r="S890" s="2">
        <f t="shared" si="54"/>
        <v>2.6826545970110209</v>
      </c>
      <c r="T890" s="2">
        <f t="shared" si="56"/>
        <v>4.9952023304446929</v>
      </c>
      <c r="U890" s="2">
        <f t="shared" si="57"/>
        <v>36.471719091139256</v>
      </c>
    </row>
    <row r="891" spans="1:21" x14ac:dyDescent="0.25">
      <c r="A891">
        <v>2654645</v>
      </c>
      <c r="B891">
        <v>48</v>
      </c>
      <c r="C891" s="1">
        <f>0.706619451673362*(10.3/7.3)</f>
        <v>0.99701100715556634</v>
      </c>
      <c r="D891" s="1">
        <f>1.25796940397623*(10.3/7.3)</f>
        <v>1.7749431316376947</v>
      </c>
      <c r="E891" s="1">
        <f>4.38403010874325*(10.3/7.3)</f>
        <v>6.185686317815815</v>
      </c>
      <c r="F891" s="1">
        <f>8.98612417923832*(38.9/42.5)</f>
        <v>8.2249466017028343</v>
      </c>
      <c r="G891" s="1">
        <v>0.36259207669736176</v>
      </c>
      <c r="H891" s="1">
        <v>4.584172660891606</v>
      </c>
      <c r="I891" s="1">
        <v>6.0463946730152998</v>
      </c>
      <c r="J891" s="1">
        <v>1.564292425129862E-2</v>
      </c>
      <c r="K891" s="1">
        <v>2.4709702407438687</v>
      </c>
      <c r="L891" s="1">
        <v>7.5920895600047835</v>
      </c>
      <c r="M891" s="1">
        <v>6.6408562769916676E-2</v>
      </c>
      <c r="N891" s="1">
        <v>0.71833877353990128</v>
      </c>
      <c r="O891" s="1">
        <v>0.13558777777777781</v>
      </c>
      <c r="P891" s="1">
        <v>0.14374257882965882</v>
      </c>
      <c r="Q891" s="1">
        <v>0.57948505408254236</v>
      </c>
      <c r="R891" s="2">
        <f t="shared" si="55"/>
        <v>28.75523152299872</v>
      </c>
      <c r="S891" s="2">
        <f t="shared" si="54"/>
        <v>2.6303557438248264</v>
      </c>
      <c r="T891" s="2">
        <f t="shared" si="56"/>
        <v>8.5124246740923795</v>
      </c>
      <c r="U891" s="2">
        <f t="shared" si="57"/>
        <v>39.898011940915922</v>
      </c>
    </row>
    <row r="892" spans="1:21" x14ac:dyDescent="0.25">
      <c r="A892">
        <v>2654653</v>
      </c>
      <c r="B892">
        <v>21</v>
      </c>
      <c r="C892" s="1">
        <f>0.776062102339399*(10.3/7.3)</f>
        <v>1.0949917334377828</v>
      </c>
      <c r="D892" s="1">
        <f>1.42245066939397*(10.3/7.3)</f>
        <v>2.007019437638061</v>
      </c>
      <c r="E892" s="1">
        <f>4.96430304707014*(10.3/7.3)</f>
        <v>7.004427586961981</v>
      </c>
      <c r="F892" s="1">
        <f>9.588169664129*(38.9/42.5)</f>
        <v>8.7759952925792462</v>
      </c>
      <c r="G892" s="1">
        <v>0.36287149060632706</v>
      </c>
      <c r="H892" s="1">
        <v>5.4049293355558223</v>
      </c>
      <c r="I892" s="1">
        <v>6.2693825326831716</v>
      </c>
      <c r="J892" s="1">
        <v>1.7498164065481468E-2</v>
      </c>
      <c r="K892" s="1">
        <v>2.5552416061345165</v>
      </c>
      <c r="L892" s="1">
        <v>4.2986593464131255</v>
      </c>
      <c r="M892" s="1">
        <v>6.8462084049790817E-2</v>
      </c>
      <c r="N892" s="1">
        <v>0.7455360686586483</v>
      </c>
      <c r="O892" s="1">
        <v>0.1389815873015873</v>
      </c>
      <c r="P892" s="1">
        <v>0.14586897957884185</v>
      </c>
      <c r="Q892" s="1">
        <v>0.57993160599184745</v>
      </c>
      <c r="R892" s="2">
        <f t="shared" si="55"/>
        <v>31.499549015454242</v>
      </c>
      <c r="S892" s="2">
        <f t="shared" si="54"/>
        <v>2.7186087497788396</v>
      </c>
      <c r="T892" s="2">
        <f t="shared" si="56"/>
        <v>5.2516390864231512</v>
      </c>
      <c r="U892" s="2">
        <f t="shared" si="57"/>
        <v>39.469796851656234</v>
      </c>
    </row>
    <row r="893" spans="1:21" x14ac:dyDescent="0.25">
      <c r="A893">
        <v>2654757</v>
      </c>
      <c r="B893">
        <v>5</v>
      </c>
      <c r="C893" s="1">
        <f>3.15654222695793*(10.3/7.3)</f>
        <v>4.4537513613241959</v>
      </c>
      <c r="D893" s="1">
        <f>3.26118077297275*(10.3/7.3)</f>
        <v>4.6013920495368978</v>
      </c>
      <c r="E893" s="1">
        <f>11.6130981423632*(10.3/7.3)</f>
        <v>16.385604228265905</v>
      </c>
      <c r="F893" s="1">
        <f>24.6118003127605*(38.9/42.5)</f>
        <v>22.527036050973756</v>
      </c>
      <c r="G893" s="1">
        <v>0.93093382646266587</v>
      </c>
      <c r="H893" s="1">
        <v>3.6644941025639453</v>
      </c>
      <c r="I893" s="1">
        <v>19.777444471617208</v>
      </c>
      <c r="J893" s="1">
        <v>5.4335072751932667E-2</v>
      </c>
      <c r="K893" s="1">
        <v>4.1825154089771397</v>
      </c>
      <c r="L893" s="1">
        <v>6.2055703426975581</v>
      </c>
      <c r="M893" s="1">
        <v>0.11808033400885901</v>
      </c>
      <c r="N893" s="1">
        <v>2.8075863746329022</v>
      </c>
      <c r="O893" s="1">
        <v>0.26186666666666669</v>
      </c>
      <c r="P893" s="1">
        <v>0.17094404847554173</v>
      </c>
      <c r="Q893" s="1">
        <v>1.4877937865841706</v>
      </c>
      <c r="R893" s="2">
        <f t="shared" si="55"/>
        <v>73.828449877328751</v>
      </c>
      <c r="S893" s="2">
        <f t="shared" si="54"/>
        <v>4.4077945302046135</v>
      </c>
      <c r="T893" s="2">
        <f t="shared" si="56"/>
        <v>9.3931037180059853</v>
      </c>
      <c r="U893" s="2">
        <f t="shared" si="57"/>
        <v>87.629348125539352</v>
      </c>
    </row>
    <row r="894" spans="1:21" x14ac:dyDescent="0.25">
      <c r="A894">
        <v>2654765</v>
      </c>
      <c r="B894">
        <v>70</v>
      </c>
      <c r="C894" s="1">
        <f>3.80591718870428*(10.3/7.3)</f>
        <v>5.3699927457060381</v>
      </c>
      <c r="D894" s="1">
        <f>3.88615686493557*(10.3/7.3)</f>
        <v>5.4832076313474554</v>
      </c>
      <c r="E894" s="1">
        <f>13.8357855280593*(10.3/7.3)</f>
        <v>19.521724786165848</v>
      </c>
      <c r="F894" s="1">
        <f>29.914336224586*(38.9/42.5)</f>
        <v>27.380415979679853</v>
      </c>
      <c r="G894" s="1">
        <v>1.1556033018665397</v>
      </c>
      <c r="H894" s="1">
        <v>5.2650314013481552</v>
      </c>
      <c r="I894" s="1">
        <v>24.194252076786569</v>
      </c>
      <c r="J894" s="1">
        <v>4.2962801745015176E-2</v>
      </c>
      <c r="K894" s="1">
        <v>4.30578448702932</v>
      </c>
      <c r="L894" s="1">
        <v>7.0531521773734918</v>
      </c>
      <c r="M894" s="1">
        <v>0.13356030444037328</v>
      </c>
      <c r="N894" s="1">
        <v>2.0526980780125585</v>
      </c>
      <c r="O894" s="1">
        <v>0.29847466666666672</v>
      </c>
      <c r="P894" s="1">
        <v>0.19629560514381708</v>
      </c>
      <c r="Q894" s="1">
        <v>1.8468545920241517</v>
      </c>
      <c r="R894" s="2">
        <f t="shared" si="55"/>
        <v>90.217082514924627</v>
      </c>
      <c r="S894" s="2">
        <f t="shared" si="54"/>
        <v>4.5450428939181524</v>
      </c>
      <c r="T894" s="2">
        <f t="shared" si="56"/>
        <v>9.537885226493092</v>
      </c>
      <c r="U894" s="2">
        <f t="shared" si="57"/>
        <v>104.30001063533587</v>
      </c>
    </row>
    <row r="895" spans="1:21" x14ac:dyDescent="0.25">
      <c r="A895">
        <v>2655021</v>
      </c>
      <c r="B895">
        <v>26</v>
      </c>
      <c r="C895" s="1">
        <f>5.14470463012605*(10.3/7.3)</f>
        <v>7.258966806890184</v>
      </c>
      <c r="D895" s="1">
        <f>5.12512082205978*(10.3/7.3)</f>
        <v>7.2313348585226986</v>
      </c>
      <c r="E895" s="1">
        <f>18.3473748410737*(10.3/7.3)</f>
        <v>25.887391899049227</v>
      </c>
      <c r="F895" s="1">
        <f>35.840170660186*(38.9/42.5)</f>
        <v>32.80429738073498</v>
      </c>
      <c r="G895" s="1">
        <v>1.2020334779580919</v>
      </c>
      <c r="H895" s="1">
        <v>2.8363088645732972</v>
      </c>
      <c r="I895" s="1">
        <v>28.924198427621693</v>
      </c>
      <c r="J895" s="1">
        <v>2.7617381254289284E-2</v>
      </c>
      <c r="K895" s="1">
        <v>2.4025307177999662</v>
      </c>
      <c r="L895" s="1">
        <v>2.5419407716208133</v>
      </c>
      <c r="M895" s="1">
        <v>0.12475765063023256</v>
      </c>
      <c r="N895" s="1">
        <v>1.3141149464755502</v>
      </c>
      <c r="O895" s="1">
        <v>0.14676307692307691</v>
      </c>
      <c r="P895" s="1">
        <v>0.11861505439791277</v>
      </c>
      <c r="Q895" s="1">
        <v>1.9210580697960391</v>
      </c>
      <c r="R895" s="2">
        <f t="shared" si="55"/>
        <v>108.0655897851462</v>
      </c>
      <c r="S895" s="2">
        <f t="shared" si="54"/>
        <v>2.5487631534521684</v>
      </c>
      <c r="T895" s="2">
        <f t="shared" si="56"/>
        <v>4.1275764456496731</v>
      </c>
      <c r="U895" s="2">
        <f t="shared" si="57"/>
        <v>114.74192938424804</v>
      </c>
    </row>
    <row r="896" spans="1:21" x14ac:dyDescent="0.25">
      <c r="A896">
        <v>2655029</v>
      </c>
      <c r="B896">
        <v>1</v>
      </c>
      <c r="C896" s="1">
        <f>5.81904329680706*(10.3/7.3)</f>
        <v>8.2104309530291371</v>
      </c>
      <c r="D896" s="1">
        <f>5.65190575812203*(10.3/7.3)</f>
        <v>7.9746067546105364</v>
      </c>
      <c r="E896" s="1">
        <f>20.2639244080691*(10.3/7.3)</f>
        <v>28.591564575768675</v>
      </c>
      <c r="F896" s="1">
        <f>39.4996922348586*(38.9/42.5)</f>
        <v>36.153835951435255</v>
      </c>
      <c r="G896" s="1">
        <v>1.3100712301310624</v>
      </c>
      <c r="H896" s="1">
        <v>2.7124619475492118</v>
      </c>
      <c r="I896" s="1">
        <v>32.195479416126588</v>
      </c>
      <c r="J896" s="1">
        <v>2.8412492358334204E-2</v>
      </c>
      <c r="K896" s="1">
        <v>2.3995069666073481</v>
      </c>
      <c r="L896" s="1">
        <v>2.5150101059053593</v>
      </c>
      <c r="M896" s="1">
        <v>0.12879762636174499</v>
      </c>
      <c r="N896" s="1">
        <v>1.3366345120589038</v>
      </c>
      <c r="O896" s="1">
        <v>0.14512</v>
      </c>
      <c r="P896" s="1">
        <v>0.11672263506246887</v>
      </c>
      <c r="Q896" s="1">
        <v>2.0937211440450789</v>
      </c>
      <c r="R896" s="2">
        <f t="shared" si="55"/>
        <v>119.24217197269554</v>
      </c>
      <c r="S896" s="2">
        <f t="shared" si="54"/>
        <v>2.5446420940281511</v>
      </c>
      <c r="T896" s="2">
        <f t="shared" si="56"/>
        <v>4.1255622443260087</v>
      </c>
      <c r="U896" s="2">
        <f t="shared" si="57"/>
        <v>125.9123763110497</v>
      </c>
    </row>
    <row r="897" spans="1:21" x14ac:dyDescent="0.25">
      <c r="A897">
        <v>2655325</v>
      </c>
      <c r="B897">
        <v>11</v>
      </c>
      <c r="C897" s="1">
        <f>41.2434786737667*(10.3/7.3)</f>
        <v>58.19285347120509</v>
      </c>
      <c r="D897" s="1">
        <f>32.4563013127473*(10.3/7.3)</f>
        <v>45.7945073316845</v>
      </c>
      <c r="E897" s="1">
        <f>118.645035291088*(10.3/7.3)</f>
        <v>167.40326897235744</v>
      </c>
      <c r="F897" s="1">
        <f>195.147562553245*(38.9/42.5)</f>
        <v>178.61741607814628</v>
      </c>
      <c r="G897" s="1">
        <v>4.0778905456101056</v>
      </c>
      <c r="H897" s="1">
        <v>5.4212594376404333</v>
      </c>
      <c r="I897" s="1">
        <v>173.51264608766249</v>
      </c>
      <c r="J897" s="1">
        <v>3.7789972661786804E-2</v>
      </c>
      <c r="K897" s="1">
        <v>2.6550901173085086</v>
      </c>
      <c r="L897" s="1">
        <v>2.7127804134748366</v>
      </c>
      <c r="M897" s="1">
        <v>0.14412427578353085</v>
      </c>
      <c r="N897" s="1">
        <v>1.7568033346166914</v>
      </c>
      <c r="O897" s="1">
        <v>0.12117818181818185</v>
      </c>
      <c r="P897" s="1">
        <v>9.7698501783383671E-2</v>
      </c>
      <c r="Q897" s="1">
        <v>6.5171766710663857</v>
      </c>
      <c r="R897" s="2">
        <f t="shared" si="55"/>
        <v>639.53701859537273</v>
      </c>
      <c r="S897" s="2">
        <f t="shared" si="54"/>
        <v>2.7905785917536789</v>
      </c>
      <c r="T897" s="2">
        <f t="shared" si="56"/>
        <v>4.7348862056932415</v>
      </c>
      <c r="U897" s="2">
        <f t="shared" si="57"/>
        <v>647.06248339281967</v>
      </c>
    </row>
    <row r="898" spans="1:21" x14ac:dyDescent="0.25">
      <c r="A898">
        <v>2655333</v>
      </c>
      <c r="B898">
        <v>39</v>
      </c>
      <c r="C898" s="1">
        <f>29.3114174468346*(10.3/7.3)</f>
        <v>41.357205438684403</v>
      </c>
      <c r="D898" s="1">
        <f>24.9694761991803*(10.3/7.3)</f>
        <v>35.230904774185966</v>
      </c>
      <c r="E898" s="1">
        <f>91.0542509070179*(10.3/7.3)</f>
        <v>128.47380607428559</v>
      </c>
      <c r="F898" s="1">
        <f>136.579689797766*(38.9/42.5)</f>
        <v>125.01058666195513</v>
      </c>
      <c r="G898" s="1">
        <v>2.1953095167798202</v>
      </c>
      <c r="H898" s="1">
        <v>4.4029435112405153</v>
      </c>
      <c r="I898" s="1">
        <v>115.93451793205645</v>
      </c>
      <c r="J898" s="1">
        <v>3.4544248187803765E-2</v>
      </c>
      <c r="K898" s="1">
        <v>2.5300792887254469</v>
      </c>
      <c r="L898" s="1">
        <v>2.5363090699348958</v>
      </c>
      <c r="M898" s="1">
        <v>0.13354761791285283</v>
      </c>
      <c r="N898" s="1">
        <v>1.6905632744294656</v>
      </c>
      <c r="O898" s="1">
        <v>0.11504683760683755</v>
      </c>
      <c r="P898" s="1">
        <v>9.4205547775083345E-2</v>
      </c>
      <c r="Q898" s="1">
        <v>3.5084855291001733</v>
      </c>
      <c r="R898" s="2">
        <f t="shared" si="55"/>
        <v>456.11375943828807</v>
      </c>
      <c r="S898" s="2">
        <f t="shared" si="54"/>
        <v>2.6588290846883336</v>
      </c>
      <c r="T898" s="2">
        <f t="shared" si="56"/>
        <v>4.4754667998840523</v>
      </c>
      <c r="U898" s="2">
        <f t="shared" si="57"/>
        <v>463.24805532286041</v>
      </c>
    </row>
    <row r="899" spans="1:21" x14ac:dyDescent="0.25">
      <c r="A899">
        <v>2655453</v>
      </c>
      <c r="B899">
        <v>6</v>
      </c>
      <c r="C899" s="1">
        <f>12.9484666378643*(10.3/7.3)</f>
        <v>18.269754297260597</v>
      </c>
      <c r="D899" s="1">
        <f>11.7907188629354*(10.3/7.3)</f>
        <v>16.636219765511651</v>
      </c>
      <c r="E899" s="1">
        <f>42.8004086831546*(10.3/7.3)</f>
        <v>60.389617731026377</v>
      </c>
      <c r="F899" s="1">
        <f>65.0071017447899*(38.9/42.5)</f>
        <v>59.500617832290018</v>
      </c>
      <c r="G899" s="1">
        <v>1.1630950433927714</v>
      </c>
      <c r="H899" s="1">
        <v>3.5282159834158691</v>
      </c>
      <c r="I899" s="1">
        <v>53.244371402365147</v>
      </c>
      <c r="J899" s="1">
        <v>3.3838135562564091E-2</v>
      </c>
      <c r="K899" s="1">
        <v>2.737067488055827</v>
      </c>
      <c r="L899" s="1">
        <v>4.4188311486575431</v>
      </c>
      <c r="M899" s="1">
        <v>0.1125301325032607</v>
      </c>
      <c r="N899" s="1">
        <v>1.6484104770706203</v>
      </c>
      <c r="O899" s="1">
        <v>0.11030222222222223</v>
      </c>
      <c r="P899" s="1">
        <v>8.9088593089941936E-2</v>
      </c>
      <c r="Q899" s="1">
        <v>1.8588276949199558</v>
      </c>
      <c r="R899" s="2">
        <f t="shared" si="55"/>
        <v>214.59071975018236</v>
      </c>
      <c r="S899" s="2">
        <f t="shared" si="54"/>
        <v>2.859994216708333</v>
      </c>
      <c r="T899" s="2">
        <f t="shared" si="56"/>
        <v>6.2900739804536459</v>
      </c>
      <c r="U899" s="2">
        <f t="shared" si="57"/>
        <v>223.74078794734436</v>
      </c>
    </row>
    <row r="900" spans="1:21" x14ac:dyDescent="0.25">
      <c r="A900">
        <v>2666873</v>
      </c>
      <c r="B900">
        <v>35</v>
      </c>
      <c r="C900" s="1">
        <f>0.689215522188559*(10.3/7.3)</f>
        <v>0.9724547778824868</v>
      </c>
      <c r="D900" s="1">
        <f>1.12103368982656*(10.3/7.3)</f>
        <v>1.58173246646761</v>
      </c>
      <c r="E900" s="1">
        <f>3.92424737501199*(10.3/7.3)</f>
        <v>5.5369517757018523</v>
      </c>
      <c r="F900" s="1">
        <f>7.76154783707293*(38.9/42.5)</f>
        <v>7.1040990791091092</v>
      </c>
      <c r="G900" s="1">
        <v>0.29645285653116699</v>
      </c>
      <c r="H900" s="1">
        <v>5.7835783063497788</v>
      </c>
      <c r="I900" s="1">
        <v>5.2967822513896827</v>
      </c>
      <c r="J900" s="1">
        <v>1.556649606933825E-2</v>
      </c>
      <c r="K900" s="1">
        <v>2.4218844764358223</v>
      </c>
      <c r="L900" s="1">
        <v>5.4850765209365777</v>
      </c>
      <c r="M900" s="1">
        <v>6.7007838472397871E-2</v>
      </c>
      <c r="N900" s="1">
        <v>0.75976655032180818</v>
      </c>
      <c r="O900" s="1">
        <v>0.13361066666666663</v>
      </c>
      <c r="P900" s="1">
        <v>0.14109964259900756</v>
      </c>
      <c r="Q900" s="1">
        <v>0.47378310404524454</v>
      </c>
      <c r="R900" s="2">
        <f t="shared" si="55"/>
        <v>27.045834617476935</v>
      </c>
      <c r="S900" s="2">
        <f t="shared" si="54"/>
        <v>2.5785506151041679</v>
      </c>
      <c r="T900" s="2">
        <f t="shared" si="56"/>
        <v>6.4454615763974505</v>
      </c>
      <c r="U900" s="2">
        <f t="shared" si="57"/>
        <v>36.069846808978554</v>
      </c>
    </row>
    <row r="901" spans="1:21" x14ac:dyDescent="0.25">
      <c r="A901">
        <v>2666881</v>
      </c>
      <c r="B901">
        <v>68</v>
      </c>
      <c r="C901" s="1">
        <f>0.735398963328213*(10.3/7.3)</f>
        <v>1.0376177153809036</v>
      </c>
      <c r="D901" s="1">
        <f>1.25660135021487*(10.3/7.3)</f>
        <v>1.7730128640018084</v>
      </c>
      <c r="E901" s="1">
        <f>4.3883853427932*(10.3/7.3)</f>
        <v>6.1918313740780775</v>
      </c>
      <c r="F901" s="1">
        <f>8.83149114182064*(38.9/42.5)</f>
        <v>8.0834118921605356</v>
      </c>
      <c r="G901" s="1">
        <v>0.34702024093405182</v>
      </c>
      <c r="H901" s="1">
        <v>4.5831764613661594</v>
      </c>
      <c r="I901" s="1">
        <v>5.9740886307050616</v>
      </c>
      <c r="J901" s="1">
        <v>1.597491334526412E-2</v>
      </c>
      <c r="K901" s="1">
        <v>2.4837241174441891</v>
      </c>
      <c r="L901" s="1">
        <v>4.765737479809701</v>
      </c>
      <c r="M901" s="1">
        <v>6.7288380851920931E-2</v>
      </c>
      <c r="N901" s="1">
        <v>0.71532491890492567</v>
      </c>
      <c r="O901" s="1">
        <v>0.13728000000000004</v>
      </c>
      <c r="P901" s="1">
        <v>0.14718793640009253</v>
      </c>
      <c r="Q901" s="1">
        <v>0.55459855857040319</v>
      </c>
      <c r="R901" s="2">
        <f t="shared" si="55"/>
        <v>28.544757737197003</v>
      </c>
      <c r="S901" s="2">
        <f t="shared" si="54"/>
        <v>2.6468869671895456</v>
      </c>
      <c r="T901" s="2">
        <f t="shared" si="56"/>
        <v>5.6856307795665471</v>
      </c>
      <c r="U901" s="2">
        <f t="shared" si="57"/>
        <v>36.877275483953092</v>
      </c>
    </row>
    <row r="902" spans="1:21" x14ac:dyDescent="0.25">
      <c r="A902">
        <v>2666993</v>
      </c>
      <c r="B902">
        <v>36</v>
      </c>
      <c r="C902" s="1">
        <f>3.36339728953254*(10.3/7.3)</f>
        <v>4.7456153537239905</v>
      </c>
      <c r="D902" s="1">
        <f>3.45531621535224*(10.3/7.3)</f>
        <v>4.8753091805654831</v>
      </c>
      <c r="E902" s="1">
        <f>12.3068724973061*(10.3/7.3)</f>
        <v>17.364491331815497</v>
      </c>
      <c r="F902" s="1">
        <f>26.1485545566472*(38.9/42.5)</f>
        <v>23.933618170672361</v>
      </c>
      <c r="G902" s="1">
        <v>0.99076148558806154</v>
      </c>
      <c r="H902" s="1">
        <v>3.7271205287750258</v>
      </c>
      <c r="I902" s="1">
        <v>21.061129553443319</v>
      </c>
      <c r="J902" s="1">
        <v>4.857643234617795E-2</v>
      </c>
      <c r="K902" s="1">
        <v>4.7080699541044631</v>
      </c>
      <c r="L902" s="1">
        <v>6.7663407459646026</v>
      </c>
      <c r="M902" s="1">
        <v>0.12734905027915414</v>
      </c>
      <c r="N902" s="1">
        <v>2.6828492182778185</v>
      </c>
      <c r="O902" s="1">
        <v>0.27962666666666675</v>
      </c>
      <c r="P902" s="1">
        <v>0.1885093047106044</v>
      </c>
      <c r="Q902" s="1">
        <v>1.5834087669215604</v>
      </c>
      <c r="R902" s="2">
        <f t="shared" si="55"/>
        <v>78.281454371505305</v>
      </c>
      <c r="S902" s="2">
        <f t="shared" si="54"/>
        <v>4.9451556911612453</v>
      </c>
      <c r="T902" s="2">
        <f t="shared" si="56"/>
        <v>9.8561656811882425</v>
      </c>
      <c r="U902" s="2">
        <f t="shared" si="57"/>
        <v>93.082775743854796</v>
      </c>
    </row>
    <row r="903" spans="1:21" x14ac:dyDescent="0.25">
      <c r="A903">
        <v>2667001</v>
      </c>
      <c r="B903">
        <v>60</v>
      </c>
      <c r="C903" s="1">
        <f>2.405091713335*(10.3/7.3)</f>
        <v>3.3934855681302079</v>
      </c>
      <c r="D903" s="1">
        <f>2.37757512849133*(10.3/7.3)</f>
        <v>3.354660797734339</v>
      </c>
      <c r="E903" s="1">
        <f>8.48170771007349*(10.3/7.3)</f>
        <v>11.967341015583147</v>
      </c>
      <c r="F903" s="1">
        <f>18.2541274193577*(38.9/42.5)</f>
        <v>16.707895449718006</v>
      </c>
      <c r="G903" s="1">
        <v>0.69584345764209554</v>
      </c>
      <c r="H903" s="1">
        <v>5.9079996516890905</v>
      </c>
      <c r="I903" s="1">
        <v>14.92775438806893</v>
      </c>
      <c r="J903" s="1">
        <v>2.6785082277315717E-2</v>
      </c>
      <c r="K903" s="1">
        <v>3.072911611189697</v>
      </c>
      <c r="L903" s="1">
        <v>4.4869746823745249</v>
      </c>
      <c r="M903" s="1">
        <v>9.5848258884152632E-2</v>
      </c>
      <c r="N903" s="1">
        <v>1.5572023271048221</v>
      </c>
      <c r="O903" s="1">
        <v>0.19075200000000006</v>
      </c>
      <c r="P903" s="1">
        <v>0.15191281263572701</v>
      </c>
      <c r="Q903" s="1">
        <v>1.1120785852727564</v>
      </c>
      <c r="R903" s="2">
        <f t="shared" si="55"/>
        <v>58.067058913838565</v>
      </c>
      <c r="S903" s="2">
        <f t="shared" si="54"/>
        <v>3.2516095061027399</v>
      </c>
      <c r="T903" s="2">
        <f t="shared" si="56"/>
        <v>6.3307772683634997</v>
      </c>
      <c r="U903" s="2">
        <f t="shared" si="57"/>
        <v>67.649445688304809</v>
      </c>
    </row>
    <row r="904" spans="1:21" x14ac:dyDescent="0.25">
      <c r="A904">
        <v>2667257</v>
      </c>
      <c r="B904">
        <v>67</v>
      </c>
      <c r="C904" s="1">
        <f>4.70703635094016*(10.3/7.3)</f>
        <v>6.6414348513265304</v>
      </c>
      <c r="D904" s="1">
        <f>4.72036322719089*(10.3/7.3)</f>
        <v>6.6602385260364656</v>
      </c>
      <c r="E904" s="1">
        <f>16.8912954181481*(10.3/7.3)</f>
        <v>23.832923672181568</v>
      </c>
      <c r="F904" s="1">
        <f>33.0377922341488*(38.9/42.5)</f>
        <v>30.239296891962042</v>
      </c>
      <c r="G904" s="1">
        <v>1.112411528892028</v>
      </c>
      <c r="H904" s="1">
        <v>2.3997410677777005</v>
      </c>
      <c r="I904" s="1">
        <v>26.596258612814839</v>
      </c>
      <c r="J904" s="1">
        <v>2.7201342676945486E-2</v>
      </c>
      <c r="K904" s="1">
        <v>2.3370495099689825</v>
      </c>
      <c r="L904" s="1">
        <v>2.4467873582272675</v>
      </c>
      <c r="M904" s="1">
        <v>0.12096098341707059</v>
      </c>
      <c r="N904" s="1">
        <v>1.2926673147050987</v>
      </c>
      <c r="O904" s="1">
        <v>0.14050626865671639</v>
      </c>
      <c r="P904" s="1">
        <v>0.11557805569759104</v>
      </c>
      <c r="Q904" s="1">
        <v>1.7778266443479915</v>
      </c>
      <c r="R904" s="2">
        <f t="shared" si="55"/>
        <v>99.260131795339163</v>
      </c>
      <c r="S904" s="2">
        <f t="shared" si="54"/>
        <v>2.479828908343519</v>
      </c>
      <c r="T904" s="2">
        <f t="shared" si="56"/>
        <v>4.0009219250061534</v>
      </c>
      <c r="U904" s="2">
        <f t="shared" si="57"/>
        <v>105.74088262868884</v>
      </c>
    </row>
    <row r="905" spans="1:21" x14ac:dyDescent="0.25">
      <c r="A905">
        <v>2667561</v>
      </c>
      <c r="B905">
        <v>37</v>
      </c>
      <c r="C905" s="1">
        <f>24.961916347744*(10.3/7.3)</f>
        <v>35.220238134488056</v>
      </c>
      <c r="D905" s="1">
        <f>20.9150753885813*(10.3/7.3)</f>
        <v>29.510311849642047</v>
      </c>
      <c r="E905" s="1">
        <f>76.1854182915693*(10.3/7.3)</f>
        <v>107.4944943018033</v>
      </c>
      <c r="F905" s="1">
        <f>122.597675253914*(38.9/42.5)</f>
        <v>112.21293099711207</v>
      </c>
      <c r="G905" s="1">
        <v>2.5054818665100336</v>
      </c>
      <c r="H905" s="1">
        <v>4.1683442929823356</v>
      </c>
      <c r="I905" s="1">
        <v>105.40836907750013</v>
      </c>
      <c r="J905" s="1">
        <v>3.2040775614303803E-2</v>
      </c>
      <c r="K905" s="1">
        <v>2.3684754305893145</v>
      </c>
      <c r="L905" s="1">
        <v>2.3115154927081782</v>
      </c>
      <c r="M905" s="1">
        <v>0.12580049889679118</v>
      </c>
      <c r="N905" s="1">
        <v>1.5613448543218049</v>
      </c>
      <c r="O905" s="1">
        <v>0.10791351351351351</v>
      </c>
      <c r="P905" s="1">
        <v>9.0165803821911555E-2</v>
      </c>
      <c r="Q905" s="1">
        <v>4.004194763828826</v>
      </c>
      <c r="R905" s="2">
        <f t="shared" si="55"/>
        <v>400.52436528386681</v>
      </c>
      <c r="S905" s="2">
        <f t="shared" ref="S905:S968" si="58">J905+K905+P905</f>
        <v>2.4906820100255298</v>
      </c>
      <c r="T905" s="2">
        <f t="shared" si="56"/>
        <v>4.1065743594402884</v>
      </c>
      <c r="U905" s="2">
        <f t="shared" si="57"/>
        <v>407.12162165333262</v>
      </c>
    </row>
    <row r="906" spans="1:21" x14ac:dyDescent="0.25">
      <c r="A906">
        <v>2667689</v>
      </c>
      <c r="B906">
        <v>20</v>
      </c>
      <c r="C906" s="1">
        <f>14.1817772175059*(10.3/7.3)</f>
        <v>20.009904841138397</v>
      </c>
      <c r="D906" s="1">
        <f>12.9900331857537*(10.3/7.3)</f>
        <v>18.328402988118295</v>
      </c>
      <c r="E906" s="1">
        <f>47.1349826828073*(10.3/7.3)</f>
        <v>66.505523511358319</v>
      </c>
      <c r="F906" s="1">
        <f>71.6948684614212*(38.9/42.5)</f>
        <v>65.621891368218499</v>
      </c>
      <c r="G906" s="1">
        <v>1.295613236825562</v>
      </c>
      <c r="H906" s="1">
        <v>3.6969764642144733</v>
      </c>
      <c r="I906" s="1">
        <v>58.544000564071816</v>
      </c>
      <c r="J906" s="1">
        <v>3.5445178265547925E-2</v>
      </c>
      <c r="K906" s="1">
        <v>2.8858787311351741</v>
      </c>
      <c r="L906" s="1">
        <v>4.3422827697965829</v>
      </c>
      <c r="M906" s="1">
        <v>0.11896204864651364</v>
      </c>
      <c r="N906" s="1">
        <v>1.6507174387636674</v>
      </c>
      <c r="O906" s="1">
        <v>0.11622399999999999</v>
      </c>
      <c r="P906" s="1">
        <v>9.226356255766846E-2</v>
      </c>
      <c r="Q906" s="1">
        <v>2.0706147620499871</v>
      </c>
      <c r="R906" s="2">
        <f t="shared" ref="R906:R969" si="59">C906+D906+E906+F906+G906+H906+I906+Q906</f>
        <v>236.07292773599536</v>
      </c>
      <c r="S906" s="2">
        <f t="shared" si="58"/>
        <v>3.0135874719583904</v>
      </c>
      <c r="T906" s="2">
        <f t="shared" ref="T906:T969" si="60">L906+M906+N906+O906</f>
        <v>6.2281862572067634</v>
      </c>
      <c r="U906" s="2">
        <f t="shared" ref="U906:U969" si="61">R906+S906+T906</f>
        <v>245.31470146516054</v>
      </c>
    </row>
    <row r="907" spans="1:21" x14ac:dyDescent="0.25">
      <c r="A907">
        <v>2679109</v>
      </c>
      <c r="B907">
        <v>27</v>
      </c>
      <c r="C907" s="1">
        <f>0.72235382198405*(10.3/7.3)</f>
        <v>1.0192115570459879</v>
      </c>
      <c r="D907" s="1">
        <f>1.17654320822509*(10.3/7.3)</f>
        <v>1.6600541157148563</v>
      </c>
      <c r="E907" s="1">
        <f>4.11798370698236*(10.3/7.3)</f>
        <v>5.8103057783449774</v>
      </c>
      <c r="F907" s="1">
        <f>8.16394175130321*(38.9/42.5)</f>
        <v>7.4724078617810568</v>
      </c>
      <c r="G907" s="1">
        <v>0.31277667479951365</v>
      </c>
      <c r="H907" s="1">
        <v>4.1225938106152133</v>
      </c>
      <c r="I907" s="1">
        <v>5.5731929642697864</v>
      </c>
      <c r="J907" s="1">
        <v>1.5735371088712834E-2</v>
      </c>
      <c r="K907" s="1">
        <v>2.4763817237555332</v>
      </c>
      <c r="L907" s="1">
        <v>7.1742179426360959</v>
      </c>
      <c r="M907" s="1">
        <v>6.7952130171983482E-2</v>
      </c>
      <c r="N907" s="1">
        <v>0.85178952578083311</v>
      </c>
      <c r="O907" s="1">
        <v>0.13778370370370371</v>
      </c>
      <c r="P907" s="1">
        <v>0.15047168994457855</v>
      </c>
      <c r="Q907" s="1">
        <v>0.4998713980814149</v>
      </c>
      <c r="R907" s="2">
        <f t="shared" si="59"/>
        <v>26.470414160652808</v>
      </c>
      <c r="S907" s="2">
        <f t="shared" si="58"/>
        <v>2.6425887847888245</v>
      </c>
      <c r="T907" s="2">
        <f t="shared" si="60"/>
        <v>8.2317433022926156</v>
      </c>
      <c r="U907" s="2">
        <f t="shared" si="61"/>
        <v>37.34474624773425</v>
      </c>
    </row>
    <row r="908" spans="1:21" x14ac:dyDescent="0.25">
      <c r="A908">
        <v>2679117</v>
      </c>
      <c r="B908">
        <v>2</v>
      </c>
      <c r="C908" s="1">
        <f>0.75117834755497*(10.3/7.3)</f>
        <v>1.0598817780570124</v>
      </c>
      <c r="D908" s="1">
        <f>1.25624521097844*(10.3/7.3)</f>
        <v>1.7725103661750525</v>
      </c>
      <c r="E908" s="1">
        <f>4.38830042511858*(10.3/7.3)</f>
        <v>6.1917115587289624</v>
      </c>
      <c r="F908" s="1">
        <f>8.93370633648167*(38.9/42.5)</f>
        <v>8.1769688585679248</v>
      </c>
      <c r="G908" s="1">
        <v>0.354448837734477</v>
      </c>
      <c r="H908" s="1">
        <v>5.0957334667890457</v>
      </c>
      <c r="I908" s="1">
        <v>6.1020915510737002</v>
      </c>
      <c r="J908" s="1">
        <v>1.6306632038990194E-2</v>
      </c>
      <c r="K908" s="1">
        <v>2.5145876786544576</v>
      </c>
      <c r="L908" s="1">
        <v>4.3994265528695129</v>
      </c>
      <c r="M908" s="1">
        <v>6.8694576456468537E-2</v>
      </c>
      <c r="N908" s="1">
        <v>0.74311798324234102</v>
      </c>
      <c r="O908" s="1">
        <v>0.13973333333333332</v>
      </c>
      <c r="P908" s="1">
        <v>0.15289989360635178</v>
      </c>
      <c r="Q908" s="1">
        <v>0.56647074523774932</v>
      </c>
      <c r="R908" s="2">
        <f t="shared" si="59"/>
        <v>29.319817162363922</v>
      </c>
      <c r="S908" s="2">
        <f t="shared" si="58"/>
        <v>2.6837942042997995</v>
      </c>
      <c r="T908" s="2">
        <f t="shared" si="60"/>
        <v>5.3509724459016548</v>
      </c>
      <c r="U908" s="2">
        <f t="shared" si="61"/>
        <v>37.354583812565373</v>
      </c>
    </row>
    <row r="909" spans="1:21" x14ac:dyDescent="0.25">
      <c r="A909">
        <v>2679229</v>
      </c>
      <c r="B909">
        <v>23</v>
      </c>
      <c r="C909" s="1">
        <f>3.75391759577611*(10.3/7.3)</f>
        <v>5.2966234570539656</v>
      </c>
      <c r="D909" s="1">
        <f>3.77373707427054*(10.3/7.3)</f>
        <v>5.3245879267104836</v>
      </c>
      <c r="E909" s="1">
        <f>13.4517793744563*(10.3/7.3)</f>
        <v>18.97990788450679</v>
      </c>
      <c r="F909" s="1">
        <f>28.8464795128023*(38.9/42.5)</f>
        <v>26.403013012894302</v>
      </c>
      <c r="G909" s="1">
        <v>1.0994092758873615</v>
      </c>
      <c r="H909" s="1">
        <v>4.2987538007356854</v>
      </c>
      <c r="I909" s="1">
        <v>23.439435392204313</v>
      </c>
      <c r="J909" s="1">
        <v>4.054879305245826E-2</v>
      </c>
      <c r="K909" s="1">
        <v>4.3455457550236227</v>
      </c>
      <c r="L909" s="1">
        <v>6.7949875617262112</v>
      </c>
      <c r="M909" s="1">
        <v>0.13127437911469414</v>
      </c>
      <c r="N909" s="1">
        <v>3.1032505133953601</v>
      </c>
      <c r="O909" s="1">
        <v>0.29102376811594199</v>
      </c>
      <c r="P909" s="1">
        <v>0.1920873816454236</v>
      </c>
      <c r="Q909" s="1">
        <v>1.75704678794784</v>
      </c>
      <c r="R909" s="2">
        <f t="shared" si="59"/>
        <v>86.598777537940748</v>
      </c>
      <c r="S909" s="2">
        <f t="shared" si="58"/>
        <v>4.578181929721505</v>
      </c>
      <c r="T909" s="2">
        <f t="shared" si="60"/>
        <v>10.320536222352207</v>
      </c>
      <c r="U909" s="2">
        <f t="shared" si="61"/>
        <v>101.49749569001446</v>
      </c>
    </row>
    <row r="910" spans="1:21" x14ac:dyDescent="0.25">
      <c r="A910">
        <v>2679485</v>
      </c>
      <c r="B910">
        <v>31</v>
      </c>
      <c r="C910" s="1">
        <f>4.96194502489873*(10.3/7.3)</f>
        <v>7.0011005145831451</v>
      </c>
      <c r="D910" s="1">
        <f>5.23232121991154*(10.3/7.3)</f>
        <v>7.3825902143957292</v>
      </c>
      <c r="E910" s="1">
        <f>18.6594015099309*(10.3/7.3)</f>
        <v>26.327648705792878</v>
      </c>
      <c r="F910" s="1">
        <f>37.145132538026*(38.9/42.5)</f>
        <v>33.998721311275546</v>
      </c>
      <c r="G910" s="1">
        <v>1.3016918413483425</v>
      </c>
      <c r="H910" s="1">
        <v>3.1847060965478726</v>
      </c>
      <c r="I910" s="1">
        <v>29.391471704724854</v>
      </c>
      <c r="J910" s="1">
        <v>2.8565795203756281E-2</v>
      </c>
      <c r="K910" s="1">
        <v>2.4112187498277002</v>
      </c>
      <c r="L910" s="1">
        <v>2.5149357936848071</v>
      </c>
      <c r="M910" s="1">
        <v>0.12358360159761718</v>
      </c>
      <c r="N910" s="1">
        <v>1.3461464972531074</v>
      </c>
      <c r="O910" s="1">
        <v>0.14632430107526881</v>
      </c>
      <c r="P910" s="1">
        <v>0.11875125015075221</v>
      </c>
      <c r="Q910" s="1">
        <v>2.0803294268124213</v>
      </c>
      <c r="R910" s="2">
        <f t="shared" si="59"/>
        <v>110.66825981548079</v>
      </c>
      <c r="S910" s="2">
        <f t="shared" si="58"/>
        <v>2.5585357951822085</v>
      </c>
      <c r="T910" s="2">
        <f t="shared" si="60"/>
        <v>4.1309901936108</v>
      </c>
      <c r="U910" s="2">
        <f t="shared" si="61"/>
        <v>117.3577858042738</v>
      </c>
    </row>
    <row r="911" spans="1:21" x14ac:dyDescent="0.25">
      <c r="A911">
        <v>2679493</v>
      </c>
      <c r="B911">
        <v>21</v>
      </c>
      <c r="C911" s="1">
        <f>6.20766230254865*(10.3/7.3)</f>
        <v>8.7587563994864475</v>
      </c>
      <c r="D911" s="1">
        <f>6.14754936255448*(10.3/7.3)</f>
        <v>8.6739395115494773</v>
      </c>
      <c r="E911" s="1">
        <f>22.0196945260293*(10.3/7.3)</f>
        <v>31.068884057274175</v>
      </c>
      <c r="F911" s="1">
        <f>42.7702948148877*(38.9/42.5)</f>
        <v>39.147399254097174</v>
      </c>
      <c r="G911" s="1">
        <v>1.4195631628236594</v>
      </c>
      <c r="H911" s="1">
        <v>3.1225263702965007</v>
      </c>
      <c r="I911" s="1">
        <v>34.5766237955756</v>
      </c>
      <c r="J911" s="1">
        <v>3.3032735077979686E-2</v>
      </c>
      <c r="K911" s="1">
        <v>2.6410873016761021</v>
      </c>
      <c r="L911" s="1">
        <v>2.8098412208950938</v>
      </c>
      <c r="M911" s="1">
        <v>0.13884621827756508</v>
      </c>
      <c r="N911" s="1">
        <v>1.5371049778268262</v>
      </c>
      <c r="O911" s="1">
        <v>0.15681777777777775</v>
      </c>
      <c r="P911" s="1">
        <v>0.1262261013096114</v>
      </c>
      <c r="Q911" s="1">
        <v>2.2687082510880416</v>
      </c>
      <c r="R911" s="2">
        <f t="shared" si="59"/>
        <v>129.03640080219105</v>
      </c>
      <c r="S911" s="2">
        <f t="shared" si="58"/>
        <v>2.8003461380636931</v>
      </c>
      <c r="T911" s="2">
        <f t="shared" si="60"/>
        <v>4.6426101947772622</v>
      </c>
      <c r="U911" s="2">
        <f t="shared" si="61"/>
        <v>136.47935713503202</v>
      </c>
    </row>
    <row r="912" spans="1:21" x14ac:dyDescent="0.25">
      <c r="A912">
        <v>2679797</v>
      </c>
      <c r="B912">
        <v>2</v>
      </c>
      <c r="C912" s="1">
        <f>26.4565332642306*(10.3/7.3)</f>
        <v>37.329081181037679</v>
      </c>
      <c r="D912" s="1">
        <f>22.3577294825536*(10.3/7.3)</f>
        <v>31.54583748908253</v>
      </c>
      <c r="E912" s="1">
        <f>81.4814060615969*(10.3/7.3)</f>
        <v>114.96691540197924</v>
      </c>
      <c r="F912" s="1">
        <f>126.782310781955*(38.9/42.5)</f>
        <v>116.04310328042496</v>
      </c>
      <c r="G912" s="1">
        <v>2.3320555435625421</v>
      </c>
      <c r="H912" s="1">
        <v>4.7967748125080796</v>
      </c>
      <c r="I912" s="1">
        <v>108.32362392410229</v>
      </c>
      <c r="J912" s="1">
        <v>3.1454869452259775E-2</v>
      </c>
      <c r="K912" s="1">
        <v>2.3560309906345287</v>
      </c>
      <c r="L912" s="1">
        <v>2.2950038293780453</v>
      </c>
      <c r="M912" s="1">
        <v>0.12411520202947232</v>
      </c>
      <c r="N912" s="1">
        <v>1.5293144810170687</v>
      </c>
      <c r="O912" s="1">
        <v>0.10824</v>
      </c>
      <c r="P912" s="1">
        <v>8.9992591327546556E-2</v>
      </c>
      <c r="Q912" s="1">
        <v>3.7270294075200487</v>
      </c>
      <c r="R912" s="2">
        <f t="shared" si="59"/>
        <v>419.06442104021733</v>
      </c>
      <c r="S912" s="2">
        <f t="shared" si="58"/>
        <v>2.4774784514143349</v>
      </c>
      <c r="T912" s="2">
        <f t="shared" si="60"/>
        <v>4.0566735124245863</v>
      </c>
      <c r="U912" s="2">
        <f t="shared" si="61"/>
        <v>425.59857300405628</v>
      </c>
    </row>
    <row r="913" spans="1:21" x14ac:dyDescent="0.25">
      <c r="A913">
        <v>2679917</v>
      </c>
      <c r="B913">
        <v>59</v>
      </c>
      <c r="C913" s="1">
        <f>14.2354892303958*(10.3/7.3)</f>
        <v>20.085690283983183</v>
      </c>
      <c r="D913" s="1">
        <f>12.9640197503482*(10.3/7.3)</f>
        <v>18.291699099806362</v>
      </c>
      <c r="E913" s="1">
        <f>47.0619737805289*(10.3/7.3)</f>
        <v>66.402510950609297</v>
      </c>
      <c r="F913" s="1">
        <f>71.3411640034095*(38.9/42.5)</f>
        <v>65.298147758414785</v>
      </c>
      <c r="G913" s="1">
        <v>1.2673823920626599</v>
      </c>
      <c r="H913" s="1">
        <v>3.7129742536386576</v>
      </c>
      <c r="I913" s="1">
        <v>58.417782524381593</v>
      </c>
      <c r="J913" s="1">
        <v>3.5444847439492284E-2</v>
      </c>
      <c r="K913" s="1">
        <v>2.8687424702813882</v>
      </c>
      <c r="L913" s="1">
        <v>5.4845107664189321</v>
      </c>
      <c r="M913" s="1">
        <v>0.11904403033799134</v>
      </c>
      <c r="N913" s="1">
        <v>1.810997259416911</v>
      </c>
      <c r="O913" s="1">
        <v>0.11398508474576272</v>
      </c>
      <c r="P913" s="1">
        <v>9.260893404900862E-2</v>
      </c>
      <c r="Q913" s="1">
        <v>2.025496973616125</v>
      </c>
      <c r="R913" s="2">
        <f t="shared" si="59"/>
        <v>235.50168423651266</v>
      </c>
      <c r="S913" s="2">
        <f t="shared" si="58"/>
        <v>2.9967962517698892</v>
      </c>
      <c r="T913" s="2">
        <f t="shared" si="60"/>
        <v>7.5285371409195969</v>
      </c>
      <c r="U913" s="2">
        <f t="shared" si="61"/>
        <v>246.02701762920216</v>
      </c>
    </row>
    <row r="914" spans="1:21" x14ac:dyDescent="0.25">
      <c r="A914">
        <v>2691345</v>
      </c>
      <c r="B914">
        <v>12</v>
      </c>
      <c r="C914" s="1">
        <f>0.773316733814212*(10.3/7.3)</f>
        <v>1.0911181312721072</v>
      </c>
      <c r="D914" s="1">
        <f>1.26035358562711*(10.3/7.3)</f>
        <v>1.7783071139670148</v>
      </c>
      <c r="E914" s="1">
        <f>4.40318769113362*(10.3/7.3)</f>
        <v>6.2127168792707241</v>
      </c>
      <c r="F914" s="1">
        <f>9.1350060034357*(38.9/42.5)</f>
        <v>8.3612172596152625</v>
      </c>
      <c r="G914" s="1">
        <v>0.36858494621684951</v>
      </c>
      <c r="H914" s="1">
        <v>5.6351466941293262</v>
      </c>
      <c r="I914" s="1">
        <v>6.3206741290522181</v>
      </c>
      <c r="J914" s="1">
        <v>1.6184286330657063E-2</v>
      </c>
      <c r="K914" s="1">
        <v>2.5178771526266432</v>
      </c>
      <c r="L914" s="1">
        <v>5.0610386620639174</v>
      </c>
      <c r="M914" s="1">
        <v>7.0163167911888202E-2</v>
      </c>
      <c r="N914" s="1">
        <v>0.87906165100652045</v>
      </c>
      <c r="O914" s="1">
        <v>0.15106666666666665</v>
      </c>
      <c r="P914" s="1">
        <v>0.15480031307070627</v>
      </c>
      <c r="Q914" s="1">
        <v>0.58906269943332157</v>
      </c>
      <c r="R914" s="2">
        <f t="shared" si="59"/>
        <v>30.356827852956823</v>
      </c>
      <c r="S914" s="2">
        <f t="shared" si="58"/>
        <v>2.6888617520280063</v>
      </c>
      <c r="T914" s="2">
        <f t="shared" si="60"/>
        <v>6.161330147648993</v>
      </c>
      <c r="U914" s="2">
        <f t="shared" si="61"/>
        <v>39.207019752633826</v>
      </c>
    </row>
    <row r="915" spans="1:21" x14ac:dyDescent="0.25">
      <c r="A915">
        <v>2691465</v>
      </c>
      <c r="B915">
        <v>3</v>
      </c>
      <c r="C915" s="1">
        <f>3.01998124281246*(10.3/7.3)</f>
        <v>4.2610694247901844</v>
      </c>
      <c r="D915" s="1">
        <f>2.94935536091203*(10.3/7.3)</f>
        <v>4.1614192078621794</v>
      </c>
      <c r="E915" s="1">
        <f>10.5282313475665*(10.3/7.3)</f>
        <v>14.854901764374704</v>
      </c>
      <c r="F915" s="1">
        <f>22.6832167974493*(38.9/42.5)</f>
        <v>20.761814904018287</v>
      </c>
      <c r="G915" s="1">
        <v>0.86318780068832079</v>
      </c>
      <c r="H915" s="1">
        <v>6.0765865797108658</v>
      </c>
      <c r="I915" s="1">
        <v>18.633368608683522</v>
      </c>
      <c r="J915" s="1">
        <v>3.0426599741760523E-2</v>
      </c>
      <c r="K915" s="1">
        <v>3.4089347211213425</v>
      </c>
      <c r="L915" s="1">
        <v>5.1740840024158432</v>
      </c>
      <c r="M915" s="1">
        <v>0.10834850549956389</v>
      </c>
      <c r="N915" s="1">
        <v>3.503103404945946</v>
      </c>
      <c r="O915" s="1">
        <v>0.21955555555555553</v>
      </c>
      <c r="P915" s="1">
        <v>0.16450842860638304</v>
      </c>
      <c r="Q915" s="1">
        <v>1.3795238823785965</v>
      </c>
      <c r="R915" s="2">
        <f t="shared" si="59"/>
        <v>70.99187217250666</v>
      </c>
      <c r="S915" s="2">
        <f t="shared" si="58"/>
        <v>3.603869749469486</v>
      </c>
      <c r="T915" s="2">
        <f t="shared" si="60"/>
        <v>9.005091468416909</v>
      </c>
      <c r="U915" s="2">
        <f t="shared" si="61"/>
        <v>83.600833390393049</v>
      </c>
    </row>
    <row r="916" spans="1:21" x14ac:dyDescent="0.25">
      <c r="A916">
        <v>2691721</v>
      </c>
      <c r="B916">
        <v>49</v>
      </c>
      <c r="C916" s="1">
        <f>4.74503724726437*(10.3/7.3)</f>
        <v>6.6950525543593127</v>
      </c>
      <c r="D916" s="1">
        <f>4.98423114936329*(10.3/7.3)</f>
        <v>7.0325453203344992</v>
      </c>
      <c r="E916" s="1">
        <f>17.7876146302817*(10.3/7.3)</f>
        <v>25.097593245465955</v>
      </c>
      <c r="F916" s="1">
        <f>34.9411105787012*(38.9/42.5)</f>
        <v>31.981392976740608</v>
      </c>
      <c r="G916" s="1">
        <v>1.2002165383520835</v>
      </c>
      <c r="H916" s="1">
        <v>2.636114721391746</v>
      </c>
      <c r="I916" s="1">
        <v>27.638630719137684</v>
      </c>
      <c r="J916" s="1">
        <v>2.9400725853790857E-2</v>
      </c>
      <c r="K916" s="1">
        <v>2.4043762041913355</v>
      </c>
      <c r="L916" s="1">
        <v>2.50411805037146</v>
      </c>
      <c r="M916" s="1">
        <v>0.12316263062528497</v>
      </c>
      <c r="N916" s="1">
        <v>1.3753610571067381</v>
      </c>
      <c r="O916" s="1">
        <v>0.14199401360544217</v>
      </c>
      <c r="P916" s="1">
        <v>0.11791987153754335</v>
      </c>
      <c r="Q916" s="1">
        <v>1.9181542850375783</v>
      </c>
      <c r="R916" s="2">
        <f t="shared" si="59"/>
        <v>104.19970036081945</v>
      </c>
      <c r="S916" s="2">
        <f t="shared" si="58"/>
        <v>2.5516968015826693</v>
      </c>
      <c r="T916" s="2">
        <f t="shared" si="60"/>
        <v>4.1446357517089254</v>
      </c>
      <c r="U916" s="2">
        <f t="shared" si="61"/>
        <v>110.89603291411103</v>
      </c>
    </row>
    <row r="917" spans="1:21" x14ac:dyDescent="0.25">
      <c r="A917">
        <v>2692145</v>
      </c>
      <c r="B917">
        <v>26</v>
      </c>
      <c r="C917" s="1">
        <f>15.4482072927713*(10.3/7.3)</f>
        <v>21.796785632266371</v>
      </c>
      <c r="D917" s="1">
        <f>13.8119512003104*(10.3/7.3)</f>
        <v>19.488095529205104</v>
      </c>
      <c r="E917" s="1">
        <f>50.2024662375676*(10.3/7.3)</f>
        <v>70.833616746157091</v>
      </c>
      <c r="F917" s="1">
        <f>75.8199920583976*(38.9/42.5)</f>
        <v>69.39759273109803</v>
      </c>
      <c r="G917" s="1">
        <v>1.3081976953913168</v>
      </c>
      <c r="H917" s="1">
        <v>5.1324250215927583</v>
      </c>
      <c r="I917" s="1">
        <v>62.689276542956506</v>
      </c>
      <c r="J917" s="1">
        <v>3.2744803394454153E-2</v>
      </c>
      <c r="K917" s="1">
        <v>2.6805790023931171</v>
      </c>
      <c r="L917" s="1">
        <v>6.8149858363694449</v>
      </c>
      <c r="M917" s="1">
        <v>0.11289500560611156</v>
      </c>
      <c r="N917" s="1">
        <v>1.8560094276006696</v>
      </c>
      <c r="O917" s="1">
        <v>0.10787282051282054</v>
      </c>
      <c r="P917" s="1">
        <v>8.8783557335646204E-2</v>
      </c>
      <c r="Q917" s="1">
        <v>2.0907269104427466</v>
      </c>
      <c r="R917" s="2">
        <f t="shared" si="59"/>
        <v>252.73671680910996</v>
      </c>
      <c r="S917" s="2">
        <f t="shared" si="58"/>
        <v>2.8021073631232176</v>
      </c>
      <c r="T917" s="2">
        <f t="shared" si="60"/>
        <v>8.8917630900890465</v>
      </c>
      <c r="U917" s="2">
        <f t="shared" si="61"/>
        <v>264.43058726232221</v>
      </c>
    </row>
    <row r="918" spans="1:21" x14ac:dyDescent="0.25">
      <c r="A918">
        <v>2692153</v>
      </c>
      <c r="B918">
        <v>17</v>
      </c>
      <c r="C918" s="1">
        <f>11.6113776136312*(10.3/7.3)</f>
        <v>16.383176632931676</v>
      </c>
      <c r="D918" s="1">
        <f>10.7772693167328*(10.3/7.3)</f>
        <v>15.206284104431207</v>
      </c>
      <c r="E918" s="1">
        <f>39.0633182209843*(10.3/7.3)</f>
        <v>55.116736667964183</v>
      </c>
      <c r="F918" s="1">
        <f>59.9880926075294*(38.9/42.5)</f>
        <v>54.906748292538715</v>
      </c>
      <c r="G918" s="1">
        <v>1.1326685123176792</v>
      </c>
      <c r="H918" s="1">
        <v>3.3042538639877397</v>
      </c>
      <c r="I918" s="1">
        <v>48.687845369899378</v>
      </c>
      <c r="J918" s="1">
        <v>3.084859051541957E-2</v>
      </c>
      <c r="K918" s="1">
        <v>2.6060597466577042</v>
      </c>
      <c r="L918" s="1">
        <v>3.8555961978648554</v>
      </c>
      <c r="M918" s="1">
        <v>0.10852768561149874</v>
      </c>
      <c r="N918" s="1">
        <v>1.4910369261540637</v>
      </c>
      <c r="O918" s="1">
        <v>0.10594823529411765</v>
      </c>
      <c r="P918" s="1">
        <v>8.6614277709286064E-2</v>
      </c>
      <c r="Q918" s="1">
        <v>1.8102008187725487</v>
      </c>
      <c r="R918" s="2">
        <f t="shared" si="59"/>
        <v>196.54791426284314</v>
      </c>
      <c r="S918" s="2">
        <f t="shared" si="58"/>
        <v>2.7235226148824099</v>
      </c>
      <c r="T918" s="2">
        <f t="shared" si="60"/>
        <v>5.5611090449245353</v>
      </c>
      <c r="U918" s="2">
        <f t="shared" si="61"/>
        <v>204.83254592265007</v>
      </c>
    </row>
    <row r="919" spans="1:21" x14ac:dyDescent="0.25">
      <c r="A919">
        <v>2703549</v>
      </c>
      <c r="B919">
        <v>3</v>
      </c>
      <c r="C919" s="1">
        <f>0.734848383477688*(10.3/7.3)</f>
        <v>1.036840869838382</v>
      </c>
      <c r="D919" s="1">
        <f>0.993875307424812*(10.3/7.3)</f>
        <v>1.4023172145856941</v>
      </c>
      <c r="E919" s="1">
        <f>3.49549019321028*(10.3/7.3)</f>
        <v>4.9319930123377853</v>
      </c>
      <c r="F919" s="1">
        <f>7.33366619929542*(38.9/42.5)</f>
        <v>6.7124615330021618</v>
      </c>
      <c r="G919" s="1">
        <v>0.29030434548113115</v>
      </c>
      <c r="H919" s="1">
        <v>7.4000664649546914</v>
      </c>
      <c r="I919" s="1">
        <v>5.3768270181774449</v>
      </c>
      <c r="J919" s="1">
        <v>1.7643241222513983E-2</v>
      </c>
      <c r="K919" s="1">
        <v>2.5581146593740591</v>
      </c>
      <c r="L919" s="1">
        <v>3.0671899787839512</v>
      </c>
      <c r="M919" s="1">
        <v>7.5607412170339269E-2</v>
      </c>
      <c r="N919" s="1">
        <v>0.69624219598491643</v>
      </c>
      <c r="O919" s="1">
        <v>0.15432888888888888</v>
      </c>
      <c r="P919" s="1">
        <v>0.1569433381281152</v>
      </c>
      <c r="Q919" s="1">
        <v>0.46395671652235615</v>
      </c>
      <c r="R919" s="2">
        <f t="shared" si="59"/>
        <v>27.614767174899647</v>
      </c>
      <c r="S919" s="2">
        <f t="shared" si="58"/>
        <v>2.7327012387246885</v>
      </c>
      <c r="T919" s="2">
        <f t="shared" si="60"/>
        <v>3.9933684758280958</v>
      </c>
      <c r="U919" s="2">
        <f t="shared" si="61"/>
        <v>34.340836889452433</v>
      </c>
    </row>
    <row r="920" spans="1:21" x14ac:dyDescent="0.25">
      <c r="A920">
        <v>2703949</v>
      </c>
      <c r="B920">
        <v>7</v>
      </c>
      <c r="C920" s="1">
        <f>4.1735291465806*(10.3/7.3)</f>
        <v>5.8886781109287893</v>
      </c>
      <c r="D920" s="1">
        <f>4.70947839901818*(10.3/7.3)</f>
        <v>6.6448804808064752</v>
      </c>
      <c r="E920" s="1">
        <f>16.7227677405546*(10.3/7.3)</f>
        <v>23.59513804489211</v>
      </c>
      <c r="F920" s="1">
        <f>33.9829571537184*(38.9/42.5)</f>
        <v>31.104400783050465</v>
      </c>
      <c r="G920" s="1">
        <v>1.2458475439926613</v>
      </c>
      <c r="H920" s="1">
        <v>3.4342815426847317</v>
      </c>
      <c r="I920" s="1">
        <v>26.306727318960146</v>
      </c>
      <c r="J920" s="1">
        <v>2.7950589320762716E-2</v>
      </c>
      <c r="K920" s="1">
        <v>2.2969196431439278</v>
      </c>
      <c r="L920" s="1">
        <v>2.4179006620631252</v>
      </c>
      <c r="M920" s="1">
        <v>0.1165397765991221</v>
      </c>
      <c r="N920" s="1">
        <v>1.3063068902582111</v>
      </c>
      <c r="O920" s="1">
        <v>0.13745523809523807</v>
      </c>
      <c r="P920" s="1">
        <v>0.11341526405715686</v>
      </c>
      <c r="Q920" s="1">
        <v>1.9910805497599628</v>
      </c>
      <c r="R920" s="2">
        <f t="shared" si="59"/>
        <v>100.21103437507534</v>
      </c>
      <c r="S920" s="2">
        <f t="shared" si="58"/>
        <v>2.4382854965218472</v>
      </c>
      <c r="T920" s="2">
        <f t="shared" si="60"/>
        <v>3.9782025670156962</v>
      </c>
      <c r="U920" s="2">
        <f t="shared" si="61"/>
        <v>106.62752243861289</v>
      </c>
    </row>
    <row r="921" spans="1:21" x14ac:dyDescent="0.25">
      <c r="A921">
        <v>2703957</v>
      </c>
      <c r="B921">
        <v>25</v>
      </c>
      <c r="C921" s="1">
        <f>5.7529268568844*(10.3/7.3)</f>
        <v>8.117143373412242</v>
      </c>
      <c r="D921" s="1">
        <f>5.90125570377202*(10.3/7.3)</f>
        <v>8.3264292806646374</v>
      </c>
      <c r="E921" s="1">
        <f>21.0971689557194*(10.3/7.3)</f>
        <v>29.767238389576654</v>
      </c>
      <c r="F921" s="1">
        <f>40.9385209332118*(38.9/42.5)</f>
        <v>37.470787395339705</v>
      </c>
      <c r="G921" s="1">
        <v>1.3715297723603064</v>
      </c>
      <c r="H921" s="1">
        <v>3.3318370974993097</v>
      </c>
      <c r="I921" s="1">
        <v>32.631280390919095</v>
      </c>
      <c r="J921" s="1">
        <v>3.4822445682138561E-2</v>
      </c>
      <c r="K921" s="1">
        <v>2.6116565192275036</v>
      </c>
      <c r="L921" s="1">
        <v>2.7380989624121161</v>
      </c>
      <c r="M921" s="1">
        <v>0.13582974272766427</v>
      </c>
      <c r="N921" s="1">
        <v>1.6109088848091693</v>
      </c>
      <c r="O921" s="1">
        <v>0.15356373333333329</v>
      </c>
      <c r="P921" s="1">
        <v>0.12514085080097151</v>
      </c>
      <c r="Q921" s="1">
        <v>2.1919425585667027</v>
      </c>
      <c r="R921" s="2">
        <f t="shared" si="59"/>
        <v>123.20818825833864</v>
      </c>
      <c r="S921" s="2">
        <f t="shared" si="58"/>
        <v>2.7716198157106136</v>
      </c>
      <c r="T921" s="2">
        <f t="shared" si="60"/>
        <v>4.6384013232822827</v>
      </c>
      <c r="U921" s="2">
        <f t="shared" si="61"/>
        <v>130.61820939733153</v>
      </c>
    </row>
    <row r="922" spans="1:21" x14ac:dyDescent="0.25">
      <c r="A922">
        <v>2704373</v>
      </c>
      <c r="B922">
        <v>14</v>
      </c>
      <c r="C922" s="1">
        <f>15.2357995852745*(10.3/7.3)</f>
        <v>21.497087086072284</v>
      </c>
      <c r="D922" s="1">
        <f>13.6482247751009*(10.3/7.3)</f>
        <v>19.257084271717723</v>
      </c>
      <c r="E922" s="1">
        <f>49.5601687006582*(10.3/7.3)</f>
        <v>69.927361317367044</v>
      </c>
      <c r="F922" s="1">
        <f>76.9143680148598*(38.9/42.5)</f>
        <v>70.399268606542293</v>
      </c>
      <c r="G922" s="1">
        <v>1.4667218440533678</v>
      </c>
      <c r="H922" s="1">
        <v>6.1804783110942196</v>
      </c>
      <c r="I922" s="1">
        <v>63.680689890458829</v>
      </c>
      <c r="J922" s="1">
        <v>2.8648293252842481E-2</v>
      </c>
      <c r="K922" s="1">
        <v>2.4065072184327732</v>
      </c>
      <c r="L922" s="1">
        <v>6.0230725797937632</v>
      </c>
      <c r="M922" s="1">
        <v>0.1027227153707376</v>
      </c>
      <c r="N922" s="1">
        <v>1.7201310412044977</v>
      </c>
      <c r="O922" s="1">
        <v>9.9398095238095216E-2</v>
      </c>
      <c r="P922" s="1">
        <v>8.2514697276272059E-2</v>
      </c>
      <c r="Q922" s="1">
        <v>2.3440760064779878</v>
      </c>
      <c r="R922" s="2">
        <f t="shared" si="59"/>
        <v>254.75276733378377</v>
      </c>
      <c r="S922" s="2">
        <f t="shared" si="58"/>
        <v>2.5176702089618876</v>
      </c>
      <c r="T922" s="2">
        <f t="shared" si="60"/>
        <v>7.9453244316070943</v>
      </c>
      <c r="U922" s="2">
        <f t="shared" si="61"/>
        <v>265.21576197435274</v>
      </c>
    </row>
    <row r="923" spans="1:21" x14ac:dyDescent="0.25">
      <c r="A923">
        <v>2704381</v>
      </c>
      <c r="B923">
        <v>65</v>
      </c>
      <c r="C923" s="1">
        <f>12.9542265501467*(10.3/7.3)</f>
        <v>18.277881296782358</v>
      </c>
      <c r="D923" s="1">
        <f>11.9283605293225*(10.3/7.3)</f>
        <v>16.830426500276971</v>
      </c>
      <c r="E923" s="1">
        <f>43.2646137578065*(10.3/7.3)</f>
        <v>61.044592014439331</v>
      </c>
      <c r="F923" s="1">
        <f>66.0204473420778*(38.9/42.5)</f>
        <v>60.428127096631172</v>
      </c>
      <c r="G923" s="1">
        <v>1.2119574346588389</v>
      </c>
      <c r="H923" s="1">
        <v>3.4497503182944338</v>
      </c>
      <c r="I923" s="1">
        <v>53.775678864273097</v>
      </c>
      <c r="J923" s="1">
        <v>3.2361805295321858E-2</v>
      </c>
      <c r="K923" s="1">
        <v>2.7007899411265854</v>
      </c>
      <c r="L923" s="1">
        <v>4.6041004674047725</v>
      </c>
      <c r="M923" s="1">
        <v>0.11332405705330074</v>
      </c>
      <c r="N923" s="1">
        <v>1.5747800672555747</v>
      </c>
      <c r="O923" s="1">
        <v>0.10860061538461536</v>
      </c>
      <c r="P923" s="1">
        <v>8.9632103046116601E-2</v>
      </c>
      <c r="Q923" s="1">
        <v>1.9369182745689231</v>
      </c>
      <c r="R923" s="2">
        <f t="shared" si="59"/>
        <v>216.95533179992512</v>
      </c>
      <c r="S923" s="2">
        <f t="shared" si="58"/>
        <v>2.8227838494680237</v>
      </c>
      <c r="T923" s="2">
        <f t="shared" si="60"/>
        <v>6.4008052070982639</v>
      </c>
      <c r="U923" s="2">
        <f t="shared" si="61"/>
        <v>226.1789208564914</v>
      </c>
    </row>
    <row r="924" spans="1:21" x14ac:dyDescent="0.25">
      <c r="A924">
        <v>2715777</v>
      </c>
      <c r="B924">
        <v>2</v>
      </c>
      <c r="C924" s="1">
        <f>0.729272298183006*(10.3/7.3)</f>
        <v>1.0289732426417764</v>
      </c>
      <c r="D924" s="1">
        <f>0.977823508890432*(10.3/7.3)</f>
        <v>1.3796687865166375</v>
      </c>
      <c r="E924" s="1">
        <f>3.43918457835289*(10.3/7.3)</f>
        <v>4.8525481037033877</v>
      </c>
      <c r="F924" s="1">
        <f>7.27131721026109*(38.9/42.5)</f>
        <v>6.6553938700977939</v>
      </c>
      <c r="G924" s="1">
        <v>0.28985728322678667</v>
      </c>
      <c r="H924" s="1">
        <v>7.4874027010367712</v>
      </c>
      <c r="I924" s="1">
        <v>5.3544630328164446</v>
      </c>
      <c r="J924" s="1">
        <v>1.7740834908930005E-2</v>
      </c>
      <c r="K924" s="1">
        <v>2.5310676292028336</v>
      </c>
      <c r="L924" s="1">
        <v>3.0101916827212323</v>
      </c>
      <c r="M924" s="1">
        <v>7.5936889595786317E-2</v>
      </c>
      <c r="N924" s="1">
        <v>0.68464352469529233</v>
      </c>
      <c r="O924" s="1">
        <v>0.16866666666666666</v>
      </c>
      <c r="P924" s="1">
        <v>0.15645235540906227</v>
      </c>
      <c r="Q924" s="1">
        <v>0.46324223346746773</v>
      </c>
      <c r="R924" s="2">
        <f t="shared" si="59"/>
        <v>27.511549253507066</v>
      </c>
      <c r="S924" s="2">
        <f t="shared" si="58"/>
        <v>2.7052608195208259</v>
      </c>
      <c r="T924" s="2">
        <f t="shared" si="60"/>
        <v>3.9394387636789778</v>
      </c>
      <c r="U924" s="2">
        <f t="shared" si="61"/>
        <v>34.156248836706872</v>
      </c>
    </row>
    <row r="925" spans="1:21" x14ac:dyDescent="0.25">
      <c r="A925">
        <v>2715809</v>
      </c>
      <c r="B925">
        <v>17</v>
      </c>
      <c r="C925" s="1">
        <f>0.824534326788786*(10.3/7.3)</f>
        <v>1.1633840501266435</v>
      </c>
      <c r="D925" s="1">
        <f>1.20106663739647*(10.3/7.3)</f>
        <v>1.6946556664635075</v>
      </c>
      <c r="E925" s="1">
        <f>4.21953086386996*(10.3/7.3)</f>
        <v>5.9535846435425421</v>
      </c>
      <c r="F925" s="1">
        <f>8.44918936196068*(38.9/42.5)</f>
        <v>7.7334933218887203</v>
      </c>
      <c r="G925" s="1">
        <v>0.32115269294208693</v>
      </c>
      <c r="H925" s="1">
        <v>4.9623579931342849</v>
      </c>
      <c r="I925" s="1">
        <v>5.9849368333695363</v>
      </c>
      <c r="J925" s="1">
        <v>1.6327348857334261E-2</v>
      </c>
      <c r="K925" s="1">
        <v>2.4429088254619806</v>
      </c>
      <c r="L925" s="1">
        <v>7.0748310315868634</v>
      </c>
      <c r="M925" s="1">
        <v>7.2065554549473609E-2</v>
      </c>
      <c r="N925" s="1">
        <v>0.68138239454989868</v>
      </c>
      <c r="O925" s="1">
        <v>0.16098509803921568</v>
      </c>
      <c r="P925" s="1">
        <v>0.1489933844021645</v>
      </c>
      <c r="Q925" s="1">
        <v>0.51325772844625817</v>
      </c>
      <c r="R925" s="2">
        <f t="shared" si="59"/>
        <v>28.326822929913579</v>
      </c>
      <c r="S925" s="2">
        <f t="shared" si="58"/>
        <v>2.6082295587214794</v>
      </c>
      <c r="T925" s="2">
        <f t="shared" si="60"/>
        <v>7.9892640787254514</v>
      </c>
      <c r="U925" s="2">
        <f t="shared" si="61"/>
        <v>38.924316567360506</v>
      </c>
    </row>
    <row r="926" spans="1:21" x14ac:dyDescent="0.25">
      <c r="A926">
        <v>2716185</v>
      </c>
      <c r="B926">
        <v>24</v>
      </c>
      <c r="C926" s="1">
        <f>6.31806973969717*(10.3/7.3)</f>
        <v>8.9145367560110724</v>
      </c>
      <c r="D926" s="1">
        <f>6.80524552662986*(10.3/7.3)</f>
        <v>9.6019217704503479</v>
      </c>
      <c r="E926" s="1">
        <f>24.2678630571128*(10.3/7.3)</f>
        <v>34.240957464145502</v>
      </c>
      <c r="F926" s="1">
        <f>46.9900103250747*(38.9/42.5)</f>
        <v>43.009680038715402</v>
      </c>
      <c r="G926" s="1">
        <v>1.5918992752698224</v>
      </c>
      <c r="H926" s="1">
        <v>4.0766427581979556</v>
      </c>
      <c r="I926" s="1">
        <v>36.736018648803331</v>
      </c>
      <c r="J926" s="1">
        <v>3.7416217130838474E-2</v>
      </c>
      <c r="K926" s="1">
        <v>2.7181254085686106</v>
      </c>
      <c r="L926" s="1">
        <v>2.9628577311524462</v>
      </c>
      <c r="M926" s="1">
        <v>0.1416278976380129</v>
      </c>
      <c r="N926" s="1">
        <v>1.6451150936340424</v>
      </c>
      <c r="O926" s="1">
        <v>0.16275555555555554</v>
      </c>
      <c r="P926" s="1">
        <v>0.12790925247184662</v>
      </c>
      <c r="Q926" s="1">
        <v>2.5441312618467511</v>
      </c>
      <c r="R926" s="2">
        <f t="shared" si="59"/>
        <v>140.7157879734402</v>
      </c>
      <c r="S926" s="2">
        <f t="shared" si="58"/>
        <v>2.883450878171296</v>
      </c>
      <c r="T926" s="2">
        <f t="shared" si="60"/>
        <v>4.9123562779800576</v>
      </c>
      <c r="U926" s="2">
        <f t="shared" si="61"/>
        <v>148.51159512959154</v>
      </c>
    </row>
    <row r="927" spans="1:21" x14ac:dyDescent="0.25">
      <c r="A927">
        <v>2716601</v>
      </c>
      <c r="B927">
        <v>6</v>
      </c>
      <c r="C927" s="1">
        <f>13.6673833490715*(10.3/7.3)</f>
        <v>19.284116232251531</v>
      </c>
      <c r="D927" s="1">
        <f>12.742866151764*(10.3/7.3)</f>
        <v>17.979660460708079</v>
      </c>
      <c r="E927" s="1">
        <f>46.1150556808363*(10.3/7.3)</f>
        <v>65.066448426385449</v>
      </c>
      <c r="F927" s="1">
        <f>73.8351660564101*(38.9/42.5)</f>
        <v>67.580893166925918</v>
      </c>
      <c r="G927" s="1">
        <v>1.5947604736976269</v>
      </c>
      <c r="H927" s="1">
        <v>7.10558659201127</v>
      </c>
      <c r="I927" s="1">
        <v>60.055004577790605</v>
      </c>
      <c r="J927" s="1">
        <v>2.999662176102906E-2</v>
      </c>
      <c r="K927" s="1">
        <v>2.4852601366470775</v>
      </c>
      <c r="L927" s="1">
        <v>6.5171506952286471</v>
      </c>
      <c r="M927" s="1">
        <v>0.1058893579606054</v>
      </c>
      <c r="N927" s="1">
        <v>1.6310570087045688</v>
      </c>
      <c r="O927" s="1">
        <v>0.10275555555555556</v>
      </c>
      <c r="P927" s="1">
        <v>8.5152013867825879E-2</v>
      </c>
      <c r="Q927" s="1">
        <v>2.5487039533980362</v>
      </c>
      <c r="R927" s="2">
        <f t="shared" si="59"/>
        <v>241.21517388316852</v>
      </c>
      <c r="S927" s="2">
        <f t="shared" si="58"/>
        <v>2.6004087722759324</v>
      </c>
      <c r="T927" s="2">
        <f t="shared" si="60"/>
        <v>8.3568526174493769</v>
      </c>
      <c r="U927" s="2">
        <f t="shared" si="61"/>
        <v>252.17243527289384</v>
      </c>
    </row>
    <row r="928" spans="1:21" x14ac:dyDescent="0.25">
      <c r="A928">
        <v>2716609</v>
      </c>
      <c r="B928">
        <v>58</v>
      </c>
      <c r="C928" s="1">
        <f>10.2297817017012*(10.3/7.3)</f>
        <v>14.433801579112615</v>
      </c>
      <c r="D928" s="1">
        <f>9.40950950798955*(10.3/7.3)</f>
        <v>13.276431223601698</v>
      </c>
      <c r="E928" s="1">
        <f>34.1287196892172*(10.3/7.3)</f>
        <v>48.154220931361216</v>
      </c>
      <c r="F928" s="1">
        <f>52.1867050885809*(38.9/42.5)</f>
        <v>47.766184186959933</v>
      </c>
      <c r="G928" s="1">
        <v>0.96425408541219082</v>
      </c>
      <c r="H928" s="1">
        <v>3.0172237124770103</v>
      </c>
      <c r="I928" s="1">
        <v>42.541410350683698</v>
      </c>
      <c r="J928" s="1">
        <v>2.6427843538923509E-2</v>
      </c>
      <c r="K928" s="1">
        <v>2.2554711407242292</v>
      </c>
      <c r="L928" s="1">
        <v>4.3760749704493263</v>
      </c>
      <c r="M928" s="1">
        <v>9.5743084105917114E-2</v>
      </c>
      <c r="N928" s="1">
        <v>1.4108851545175252</v>
      </c>
      <c r="O928" s="1">
        <v>9.1542068965517268E-2</v>
      </c>
      <c r="P928" s="1">
        <v>7.8589884220759548E-2</v>
      </c>
      <c r="Q928" s="1">
        <v>1.5410453419829553</v>
      </c>
      <c r="R928" s="2">
        <f t="shared" si="59"/>
        <v>171.69457141159131</v>
      </c>
      <c r="S928" s="2">
        <f t="shared" si="58"/>
        <v>2.3604888684839125</v>
      </c>
      <c r="T928" s="2">
        <f t="shared" si="60"/>
        <v>5.9742452780382864</v>
      </c>
      <c r="U928" s="2">
        <f t="shared" si="61"/>
        <v>180.02930555811352</v>
      </c>
    </row>
    <row r="929" spans="1:21" x14ac:dyDescent="0.25">
      <c r="A929">
        <v>2716617</v>
      </c>
      <c r="B929">
        <v>47</v>
      </c>
      <c r="C929" s="1">
        <f>10.8460790987191*(10.3/7.3)</f>
        <v>15.303371879014568</v>
      </c>
      <c r="D929" s="1">
        <f>10.275327705461*(10.3/7.3)</f>
        <v>14.498065118664213</v>
      </c>
      <c r="E929" s="1">
        <f>37.1732231118814*(10.3/7.3)</f>
        <v>52.449890144161451</v>
      </c>
      <c r="F929" s="1">
        <f>58.3646340773613*(38.9/42.5)</f>
        <v>53.420806249631902</v>
      </c>
      <c r="G929" s="1">
        <v>1.2012330682342416</v>
      </c>
      <c r="H929" s="1">
        <v>3.3743376830095495</v>
      </c>
      <c r="I929" s="1">
        <v>46.982649623584628</v>
      </c>
      <c r="J929" s="1">
        <v>2.9420930357656108E-2</v>
      </c>
      <c r="K929" s="1">
        <v>2.5185496403069116</v>
      </c>
      <c r="L929" s="1">
        <v>3.4591007267994849</v>
      </c>
      <c r="M929" s="1">
        <v>0.10636084220332888</v>
      </c>
      <c r="N929" s="1">
        <v>1.4107628310637923</v>
      </c>
      <c r="O929" s="1">
        <v>0.1032408510638298</v>
      </c>
      <c r="P929" s="1">
        <v>8.541139544612035E-2</v>
      </c>
      <c r="Q929" s="1">
        <v>1.9197788761734478</v>
      </c>
      <c r="R929" s="2">
        <f t="shared" si="59"/>
        <v>189.15013264247398</v>
      </c>
      <c r="S929" s="2">
        <f t="shared" si="58"/>
        <v>2.6333819661106883</v>
      </c>
      <c r="T929" s="2">
        <f t="shared" si="60"/>
        <v>5.0794652511304355</v>
      </c>
      <c r="U929" s="2">
        <f t="shared" si="61"/>
        <v>196.8629798597151</v>
      </c>
    </row>
    <row r="930" spans="1:21" x14ac:dyDescent="0.25">
      <c r="A930">
        <v>2728013</v>
      </c>
      <c r="B930">
        <v>14</v>
      </c>
      <c r="C930" s="1">
        <f>0.762387416973871*(10.3/7.3)</f>
        <v>1.0756973143603932</v>
      </c>
      <c r="D930" s="1">
        <f>1.02654741011537*(10.3/7.3)</f>
        <v>1.4484162087929238</v>
      </c>
      <c r="E930" s="1">
        <f>3.61065022053883*(10.3/7.3)</f>
        <v>5.094479078294512</v>
      </c>
      <c r="F930" s="1">
        <f>7.5966054136664*(38.9/42.5)</f>
        <v>6.95312824921466</v>
      </c>
      <c r="G930" s="1">
        <v>0.30141448116195485</v>
      </c>
      <c r="H930" s="1">
        <v>8.1148319794835793</v>
      </c>
      <c r="I930" s="1">
        <v>5.5807507748479894</v>
      </c>
      <c r="J930" s="1">
        <v>1.8023917216733E-2</v>
      </c>
      <c r="K930" s="1">
        <v>2.5767904204890506</v>
      </c>
      <c r="L930" s="1">
        <v>3.11061396194054</v>
      </c>
      <c r="M930" s="1">
        <v>7.7580972776774532E-2</v>
      </c>
      <c r="N930" s="1">
        <v>0.70280778912286224</v>
      </c>
      <c r="O930" s="1">
        <v>0.17085333333333333</v>
      </c>
      <c r="P930" s="1">
        <v>0.15785104780592066</v>
      </c>
      <c r="Q930" s="1">
        <v>0.48171264112641232</v>
      </c>
      <c r="R930" s="2">
        <f t="shared" si="59"/>
        <v>29.050430727282425</v>
      </c>
      <c r="S930" s="2">
        <f t="shared" si="58"/>
        <v>2.7526653855117043</v>
      </c>
      <c r="T930" s="2">
        <f t="shared" si="60"/>
        <v>4.0618560571735101</v>
      </c>
      <c r="U930" s="2">
        <f t="shared" si="61"/>
        <v>35.864952169967637</v>
      </c>
    </row>
    <row r="931" spans="1:21" x14ac:dyDescent="0.25">
      <c r="A931">
        <v>2728037</v>
      </c>
      <c r="B931">
        <v>1</v>
      </c>
      <c r="C931" s="1">
        <f>0.607395005313536*(10.3/7.3)</f>
        <v>0.85700939105882512</v>
      </c>
      <c r="D931" s="1">
        <f>0.851273650883992*(10.3/7.3)</f>
        <v>1.2011121375486469</v>
      </c>
      <c r="E931" s="1">
        <f>2.99711995295866*(10.3/7.3)</f>
        <v>4.2288130843115397</v>
      </c>
      <c r="F931" s="1">
        <f>5.90649136141791*(38.9/42.5)</f>
        <v>5.4061767990389793</v>
      </c>
      <c r="G931" s="1">
        <v>0.2184524999628864</v>
      </c>
      <c r="H931" s="1">
        <v>2.4437350672966582</v>
      </c>
      <c r="I931" s="1">
        <v>4.2185007730271051</v>
      </c>
      <c r="J931" s="1">
        <v>1.449478403465795E-2</v>
      </c>
      <c r="K931" s="1">
        <v>2.1231208297658446</v>
      </c>
      <c r="L931" s="1">
        <v>8.5131017679158703</v>
      </c>
      <c r="M931" s="1">
        <v>6.2953053877159049E-2</v>
      </c>
      <c r="N931" s="1">
        <v>0.58400965546003769</v>
      </c>
      <c r="O931" s="1">
        <v>0.14218666666666666</v>
      </c>
      <c r="P931" s="1">
        <v>0.12634025209513131</v>
      </c>
      <c r="Q931" s="1">
        <v>0.34912499994068641</v>
      </c>
      <c r="R931" s="2">
        <f t="shared" si="59"/>
        <v>18.922924752185327</v>
      </c>
      <c r="S931" s="2">
        <f t="shared" si="58"/>
        <v>2.263955865895634</v>
      </c>
      <c r="T931" s="2">
        <f t="shared" si="60"/>
        <v>9.3022511439197348</v>
      </c>
      <c r="U931" s="2">
        <f t="shared" si="61"/>
        <v>30.489131762000696</v>
      </c>
    </row>
    <row r="932" spans="1:21" x14ac:dyDescent="0.25">
      <c r="A932">
        <v>2728421</v>
      </c>
      <c r="B932">
        <v>11</v>
      </c>
      <c r="C932" s="1">
        <f>6.80354822643299*(10.3/7.3)</f>
        <v>9.5995269496246358</v>
      </c>
      <c r="D932" s="1">
        <f>6.99089942472609*(10.3/7.3)</f>
        <v>9.8638717910518832</v>
      </c>
      <c r="E932" s="1">
        <f>25.0086259028261*(10.3/7.3)</f>
        <v>35.286143397138247</v>
      </c>
      <c r="F932" s="1">
        <f>47.6075748888933*(38.9/42.5)</f>
        <v>43.574933251245874</v>
      </c>
      <c r="G932" s="1">
        <v>1.5493389486562279</v>
      </c>
      <c r="H932" s="1">
        <v>4.7836438399502841</v>
      </c>
      <c r="I932" s="1">
        <v>37.827548406494948</v>
      </c>
      <c r="J932" s="1">
        <v>4.2611023621579085E-2</v>
      </c>
      <c r="K932" s="1">
        <v>2.8136774044596367</v>
      </c>
      <c r="L932" s="1">
        <v>3.0005140956275684</v>
      </c>
      <c r="M932" s="1">
        <v>0.14650765404092009</v>
      </c>
      <c r="N932" s="1">
        <v>1.8795968776020318</v>
      </c>
      <c r="O932" s="1">
        <v>0.16555636363636361</v>
      </c>
      <c r="P932" s="1">
        <v>0.13217331188212642</v>
      </c>
      <c r="Q932" s="1">
        <v>2.4761124750213712</v>
      </c>
      <c r="R932" s="2">
        <f t="shared" si="59"/>
        <v>144.96111905918349</v>
      </c>
      <c r="S932" s="2">
        <f t="shared" si="58"/>
        <v>2.9884617399633417</v>
      </c>
      <c r="T932" s="2">
        <f t="shared" si="60"/>
        <v>5.1921749909068842</v>
      </c>
      <c r="U932" s="2">
        <f t="shared" si="61"/>
        <v>153.14175579005374</v>
      </c>
    </row>
    <row r="933" spans="1:21" x14ac:dyDescent="0.25">
      <c r="A933">
        <v>2728837</v>
      </c>
      <c r="B933">
        <v>71</v>
      </c>
      <c r="C933" s="1">
        <f>15.3246418985497*(10.3/7.3)</f>
        <v>21.622439939049521</v>
      </c>
      <c r="D933" s="1">
        <f>14.1721244307247*(10.3/7.3)</f>
        <v>19.996285155680084</v>
      </c>
      <c r="E933" s="1">
        <f>51.3694897407582*(10.3/7.3)</f>
        <v>72.480238949289003</v>
      </c>
      <c r="F933" s="1">
        <f>79.3878274815909*(38.9/42.5)</f>
        <v>72.663211506679659</v>
      </c>
      <c r="G933" s="1">
        <v>1.5275988779260883</v>
      </c>
      <c r="H933" s="1">
        <v>4.7330184139467519</v>
      </c>
      <c r="I933" s="1">
        <v>64.601427567794644</v>
      </c>
      <c r="J933" s="1">
        <v>3.4129701432003751E-2</v>
      </c>
      <c r="K933" s="1">
        <v>2.7765529831095446</v>
      </c>
      <c r="L933" s="1">
        <v>5.3403758544543996</v>
      </c>
      <c r="M933" s="1">
        <v>0.11892233061238815</v>
      </c>
      <c r="N933" s="1">
        <v>1.8151982682962984</v>
      </c>
      <c r="O933" s="1">
        <v>0.11284056338028167</v>
      </c>
      <c r="P933" s="1">
        <v>9.1737739524976047E-2</v>
      </c>
      <c r="Q933" s="1">
        <v>2.4413680697448923</v>
      </c>
      <c r="R933" s="2">
        <f t="shared" si="59"/>
        <v>260.06558848011065</v>
      </c>
      <c r="S933" s="2">
        <f t="shared" si="58"/>
        <v>2.9024204240665243</v>
      </c>
      <c r="T933" s="2">
        <f t="shared" si="60"/>
        <v>7.3873370167433681</v>
      </c>
      <c r="U933" s="2">
        <f t="shared" si="61"/>
        <v>270.35534592092051</v>
      </c>
    </row>
    <row r="934" spans="1:21" x14ac:dyDescent="0.25">
      <c r="A934">
        <v>2728845</v>
      </c>
      <c r="B934">
        <v>61</v>
      </c>
      <c r="C934" s="1">
        <f>10.4804286044489*(10.3/7.3)</f>
        <v>14.787454058332072</v>
      </c>
      <c r="D934" s="1">
        <f>9.87887230551015*(10.3/7.3)</f>
        <v>13.938682842021166</v>
      </c>
      <c r="E934" s="1">
        <f>35.7722271016294*(10.3/7.3)</f>
        <v>50.473142348874411</v>
      </c>
      <c r="F934" s="1">
        <f>55.0318020271593*(38.9/42.5)</f>
        <v>50.370284678976361</v>
      </c>
      <c r="G934" s="1">
        <v>1.0570961431543302</v>
      </c>
      <c r="H934" s="1">
        <v>2.8377118018800367</v>
      </c>
      <c r="I934" s="1">
        <v>44.310516813271178</v>
      </c>
      <c r="J934" s="1">
        <v>2.8878410043020251E-2</v>
      </c>
      <c r="K934" s="1">
        <v>2.4525122827986534</v>
      </c>
      <c r="L934" s="1">
        <v>3.5235251061528348</v>
      </c>
      <c r="M934" s="1">
        <v>0.1040224753287186</v>
      </c>
      <c r="N934" s="1">
        <v>1.4000745042043765</v>
      </c>
      <c r="O934" s="1">
        <v>9.9681748633879783E-2</v>
      </c>
      <c r="P934" s="1">
        <v>8.3832780763563472E-2</v>
      </c>
      <c r="Q934" s="1">
        <v>1.6894230598356896</v>
      </c>
      <c r="R934" s="2">
        <f t="shared" si="59"/>
        <v>179.46431174634523</v>
      </c>
      <c r="S934" s="2">
        <f t="shared" si="58"/>
        <v>2.5652234736052368</v>
      </c>
      <c r="T934" s="2">
        <f t="shared" si="60"/>
        <v>5.1273038343198101</v>
      </c>
      <c r="U934" s="2">
        <f t="shared" si="61"/>
        <v>187.15683905427028</v>
      </c>
    </row>
    <row r="935" spans="1:21" x14ac:dyDescent="0.25">
      <c r="A935">
        <v>2728853</v>
      </c>
      <c r="B935">
        <v>36</v>
      </c>
      <c r="C935" s="1">
        <f>11.6575586375003*(10.3/7.3)</f>
        <v>16.448336159760704</v>
      </c>
      <c r="D935" s="1">
        <f>11.6670041067854*(10.3/7.3)</f>
        <v>16.461663328751953</v>
      </c>
      <c r="E935" s="1">
        <f>41.8743306991476*(10.3/7.3)</f>
        <v>59.082959753591879</v>
      </c>
      <c r="F935" s="1">
        <f>75.822437138837*(38.9/42.5)</f>
        <v>69.399830698841427</v>
      </c>
      <c r="G935" s="1">
        <v>2.2457427243237684</v>
      </c>
      <c r="H935" s="1">
        <v>5.5058592061855984</v>
      </c>
      <c r="I935" s="1">
        <v>60.52146577905733</v>
      </c>
      <c r="J935" s="1">
        <v>3.292254648517319E-2</v>
      </c>
      <c r="K935" s="1">
        <v>2.7772442655375498</v>
      </c>
      <c r="L935" s="1">
        <v>3.6917148511848819</v>
      </c>
      <c r="M935" s="1">
        <v>0.11677671043382915</v>
      </c>
      <c r="N935" s="1">
        <v>1.5416295293409272</v>
      </c>
      <c r="O935" s="1">
        <v>0.11491851851851852</v>
      </c>
      <c r="P935" s="1">
        <v>9.1634197091290073E-2</v>
      </c>
      <c r="Q935" s="1">
        <v>3.5890865457229211</v>
      </c>
      <c r="R935" s="2">
        <f t="shared" si="59"/>
        <v>233.25494419623558</v>
      </c>
      <c r="S935" s="2">
        <f t="shared" si="58"/>
        <v>2.901801009114013</v>
      </c>
      <c r="T935" s="2">
        <f t="shared" si="60"/>
        <v>5.4650396094781568</v>
      </c>
      <c r="U935" s="2">
        <f t="shared" si="61"/>
        <v>241.62178481482778</v>
      </c>
    </row>
    <row r="936" spans="1:21" x14ac:dyDescent="0.25">
      <c r="A936">
        <v>2740241</v>
      </c>
      <c r="B936">
        <v>20</v>
      </c>
      <c r="C936" s="1">
        <f>0.606100556941557*(10.3/7.3)</f>
        <v>0.85518297760247031</v>
      </c>
      <c r="D936" s="1">
        <f>0.807052073535278*(10.3/7.3)</f>
        <v>1.1387173092347069</v>
      </c>
      <c r="E936" s="1">
        <f>2.83913694480125*(10.3/7.3)</f>
        <v>4.0059055522538118</v>
      </c>
      <c r="F936" s="1">
        <f>6.01515874009849*(38.9/42.5)</f>
        <v>5.5056394115254399</v>
      </c>
      <c r="G936" s="1">
        <v>0.24002951260656835</v>
      </c>
      <c r="H936" s="1">
        <v>4.674672036293325</v>
      </c>
      <c r="I936" s="1">
        <v>4.4409574805719263</v>
      </c>
      <c r="J936" s="1">
        <v>1.6194187139423909E-2</v>
      </c>
      <c r="K936" s="1">
        <v>2.3405379461615103</v>
      </c>
      <c r="L936" s="1">
        <v>2.5940752026655751</v>
      </c>
      <c r="M936" s="1">
        <v>6.8578817618724489E-2</v>
      </c>
      <c r="N936" s="1">
        <v>0.66120294711123884</v>
      </c>
      <c r="O936" s="1">
        <v>0.15492533333333336</v>
      </c>
      <c r="P936" s="1">
        <v>0.14851275694526384</v>
      </c>
      <c r="Q936" s="1">
        <v>0.38360881010182191</v>
      </c>
      <c r="R936" s="2">
        <f t="shared" si="59"/>
        <v>21.244713090190071</v>
      </c>
      <c r="S936" s="2">
        <f t="shared" si="58"/>
        <v>2.5052448902461983</v>
      </c>
      <c r="T936" s="2">
        <f t="shared" si="60"/>
        <v>3.4787823007288714</v>
      </c>
      <c r="U936" s="2">
        <f t="shared" si="61"/>
        <v>27.228740281165141</v>
      </c>
    </row>
    <row r="937" spans="1:21" x14ac:dyDescent="0.25">
      <c r="A937">
        <v>2740273</v>
      </c>
      <c r="B937">
        <v>6</v>
      </c>
      <c r="C937" s="1">
        <f>0.658376356579197*(10.3/7.3)</f>
        <v>0.92894198257064775</v>
      </c>
      <c r="D937" s="1">
        <f>0.920386291473454*(10.3/7.3)</f>
        <v>1.2986272331748729</v>
      </c>
      <c r="E937" s="1">
        <f>3.24070089360645*(10.3/7.3)</f>
        <v>4.572495781389927</v>
      </c>
      <c r="F937" s="1">
        <f>6.39056327241345*(38.9/42.5)</f>
        <v>5.8492449716913688</v>
      </c>
      <c r="G937" s="1">
        <v>0.23642440258753447</v>
      </c>
      <c r="H937" s="1">
        <v>2.5689170056809729</v>
      </c>
      <c r="I937" s="1">
        <v>4.5687584974694175</v>
      </c>
      <c r="J937" s="1">
        <v>1.489647399034129E-2</v>
      </c>
      <c r="K937" s="1">
        <v>2.1942679200426909</v>
      </c>
      <c r="L937" s="1">
        <v>7.9785993633038084</v>
      </c>
      <c r="M937" s="1">
        <v>6.5515443585531422E-2</v>
      </c>
      <c r="N937" s="1">
        <v>0.60258533921939217</v>
      </c>
      <c r="O937" s="1">
        <v>0.14939555555555559</v>
      </c>
      <c r="P937" s="1">
        <v>0.13163523644744801</v>
      </c>
      <c r="Q937" s="1">
        <v>0.37784721874720156</v>
      </c>
      <c r="R937" s="2">
        <f t="shared" si="59"/>
        <v>20.401257093311944</v>
      </c>
      <c r="S937" s="2">
        <f t="shared" si="58"/>
        <v>2.3407996304804803</v>
      </c>
      <c r="T937" s="2">
        <f t="shared" si="60"/>
        <v>8.7960957016642869</v>
      </c>
      <c r="U937" s="2">
        <f t="shared" si="61"/>
        <v>31.538152425456708</v>
      </c>
    </row>
    <row r="938" spans="1:21" x14ac:dyDescent="0.25">
      <c r="A938">
        <v>2741065</v>
      </c>
      <c r="B938">
        <v>52</v>
      </c>
      <c r="C938" s="1">
        <f>16.8592326128074*(10.3/7.3)</f>
        <v>23.787684371495335</v>
      </c>
      <c r="D938" s="1">
        <f>15.8906446005796*(10.3/7.3)</f>
        <v>22.421046491228694</v>
      </c>
      <c r="E938" s="1">
        <f>57.5711933751432*(10.3/7.3)</f>
        <v>81.230587912873347</v>
      </c>
      <c r="F938" s="1">
        <f>87.0848438037648*(38.9/42.5)</f>
        <v>79.70824526979888</v>
      </c>
      <c r="G938" s="1">
        <v>1.5768229604771593</v>
      </c>
      <c r="H938" s="1">
        <v>5.0273243883786005</v>
      </c>
      <c r="I938" s="1">
        <v>69.981183026910728</v>
      </c>
      <c r="J938" s="1">
        <v>3.7088864840978723E-2</v>
      </c>
      <c r="K938" s="1">
        <v>2.9152372552304815</v>
      </c>
      <c r="L938" s="1">
        <v>5.4671907671396447</v>
      </c>
      <c r="M938" s="1">
        <v>0.12609777093138994</v>
      </c>
      <c r="N938" s="1">
        <v>1.9537854878707288</v>
      </c>
      <c r="O938" s="1">
        <v>0.11839487179487182</v>
      </c>
      <c r="P938" s="1">
        <v>9.5580429267362405E-2</v>
      </c>
      <c r="Q938" s="1">
        <v>2.5200366948265125</v>
      </c>
      <c r="R938" s="2">
        <f t="shared" si="59"/>
        <v>286.25293111598921</v>
      </c>
      <c r="S938" s="2">
        <f t="shared" si="58"/>
        <v>3.0479065493388227</v>
      </c>
      <c r="T938" s="2">
        <f t="shared" si="60"/>
        <v>7.665468897736635</v>
      </c>
      <c r="U938" s="2">
        <f t="shared" si="61"/>
        <v>296.96630656306468</v>
      </c>
    </row>
    <row r="939" spans="1:21" x14ac:dyDescent="0.25">
      <c r="A939">
        <v>2741073</v>
      </c>
      <c r="B939">
        <v>43</v>
      </c>
      <c r="C939" s="1">
        <f>10.9054149211734*(10.3/7.3)</f>
        <v>15.387092286039167</v>
      </c>
      <c r="D939" s="1">
        <f>10.2733744061206*(10.3/7.3)</f>
        <v>14.495309093567453</v>
      </c>
      <c r="E939" s="1">
        <f>37.2087253544073*(10.3/7.3)</f>
        <v>52.499982349369176</v>
      </c>
      <c r="F939" s="1">
        <f>56.9079950059925*(38.9/42.5)</f>
        <v>52.087553076073092</v>
      </c>
      <c r="G939" s="1">
        <v>1.0710829774988453</v>
      </c>
      <c r="H939" s="1">
        <v>2.8564026886984433</v>
      </c>
      <c r="I939" s="1">
        <v>45.804100564386019</v>
      </c>
      <c r="J939" s="1">
        <v>2.8582812583565802E-2</v>
      </c>
      <c r="K939" s="1">
        <v>2.4009779556751258</v>
      </c>
      <c r="L939" s="1">
        <v>3.46546428547129</v>
      </c>
      <c r="M939" s="1">
        <v>0.10319593804563845</v>
      </c>
      <c r="N939" s="1">
        <v>1.3915560687210946</v>
      </c>
      <c r="O939" s="1">
        <v>9.8431007751937971E-2</v>
      </c>
      <c r="P939" s="1">
        <v>8.2803122158443085E-2</v>
      </c>
      <c r="Q939" s="1">
        <v>1.7117764480575175</v>
      </c>
      <c r="R939" s="2">
        <f t="shared" si="59"/>
        <v>185.91329948368971</v>
      </c>
      <c r="S939" s="2">
        <f t="shared" si="58"/>
        <v>2.5123638904171348</v>
      </c>
      <c r="T939" s="2">
        <f t="shared" si="60"/>
        <v>5.0586472999899614</v>
      </c>
      <c r="U939" s="2">
        <f t="shared" si="61"/>
        <v>193.4843106740968</v>
      </c>
    </row>
    <row r="940" spans="1:21" x14ac:dyDescent="0.25">
      <c r="A940">
        <v>2741081</v>
      </c>
      <c r="B940">
        <v>59</v>
      </c>
      <c r="C940" s="1">
        <f>11.2277785255624*(10.3/7.3)</f>
        <v>15.841934084012649</v>
      </c>
      <c r="D940" s="1">
        <f>10.768353322135*(10.3/7.3)</f>
        <v>15.193704002464429</v>
      </c>
      <c r="E940" s="1">
        <f>38.926354358371*(10.3/7.3)</f>
        <v>54.923486286468723</v>
      </c>
      <c r="F940" s="1">
        <f>61.2473667644683*(38.9/42.5)</f>
        <v>56.059354520889841</v>
      </c>
      <c r="G940" s="1">
        <v>1.2787392887882787</v>
      </c>
      <c r="H940" s="1">
        <v>3.2096749964097211</v>
      </c>
      <c r="I940" s="1">
        <v>49.006016851219044</v>
      </c>
      <c r="J940" s="1">
        <v>3.0170904762808596E-2</v>
      </c>
      <c r="K940" s="1">
        <v>2.5587627042979717</v>
      </c>
      <c r="L940" s="1">
        <v>3.4025455965481668</v>
      </c>
      <c r="M940" s="1">
        <v>0.10908224150022339</v>
      </c>
      <c r="N940" s="1">
        <v>1.4184144922604327</v>
      </c>
      <c r="O940" s="1">
        <v>0.10538757062146896</v>
      </c>
      <c r="P940" s="1">
        <v>8.6829728582911381E-2</v>
      </c>
      <c r="Q940" s="1">
        <v>2.0436472651867486</v>
      </c>
      <c r="R940" s="2">
        <f t="shared" si="59"/>
        <v>197.55655729543943</v>
      </c>
      <c r="S940" s="2">
        <f t="shared" si="58"/>
        <v>2.6757633376436916</v>
      </c>
      <c r="T940" s="2">
        <f t="shared" si="60"/>
        <v>5.035429900930291</v>
      </c>
      <c r="U940" s="2">
        <f t="shared" si="61"/>
        <v>205.26775053401343</v>
      </c>
    </row>
    <row r="941" spans="1:21" x14ac:dyDescent="0.25">
      <c r="A941">
        <v>2752533</v>
      </c>
      <c r="B941">
        <v>2</v>
      </c>
      <c r="C941" s="1">
        <f>1.38386488259796*(10.3/7.3)</f>
        <v>1.9525764781861561</v>
      </c>
      <c r="D941" s="1">
        <f>1.60390317490247*(10.3/7.3)</f>
        <v>2.2630414659582851</v>
      </c>
      <c r="E941" s="1">
        <f>5.70645625822677*(10.3/7.3)</f>
        <v>8.0515752684569559</v>
      </c>
      <c r="F941" s="1">
        <f>10.653326701202*(38.9/42.5)</f>
        <v>9.7509272629825077</v>
      </c>
      <c r="G941" s="1">
        <v>0.34865491091817258</v>
      </c>
      <c r="H941" s="1">
        <v>2.6834058536219043</v>
      </c>
      <c r="I941" s="1">
        <v>8.0461501509435429</v>
      </c>
      <c r="J941" s="1">
        <v>1.6752168433498124E-2</v>
      </c>
      <c r="K941" s="1">
        <v>2.4860626351796942</v>
      </c>
      <c r="L941" s="1">
        <v>3.6355430090866623</v>
      </c>
      <c r="M941" s="1">
        <v>7.9068577985179564E-2</v>
      </c>
      <c r="N941" s="1">
        <v>0.70217153468042981</v>
      </c>
      <c r="O941" s="1">
        <v>0.18008000000000002</v>
      </c>
      <c r="P941" s="1">
        <v>0.14974600838122643</v>
      </c>
      <c r="Q941" s="1">
        <v>0.55721104484639516</v>
      </c>
      <c r="R941" s="2">
        <f t="shared" si="59"/>
        <v>33.65354243591392</v>
      </c>
      <c r="S941" s="2">
        <f t="shared" si="58"/>
        <v>2.6525608119944186</v>
      </c>
      <c r="T941" s="2">
        <f t="shared" si="60"/>
        <v>4.5968631217522722</v>
      </c>
      <c r="U941" s="2">
        <f t="shared" si="61"/>
        <v>40.902966369660611</v>
      </c>
    </row>
    <row r="942" spans="1:21" x14ac:dyDescent="0.25">
      <c r="A942">
        <v>2752541</v>
      </c>
      <c r="B942">
        <v>18</v>
      </c>
      <c r="C942" s="1">
        <f>1.12258545736144*(10.3/7.3)</f>
        <v>1.5839219466880645</v>
      </c>
      <c r="D942" s="1">
        <f>1.27344018420243*(10.3/7.3)</f>
        <v>1.7967717667513692</v>
      </c>
      <c r="E942" s="1">
        <f>4.5350962888361*(10.3/7.3)</f>
        <v>6.3988344897276521</v>
      </c>
      <c r="F942" s="1">
        <f>8.48603885582019*(38.9/42.5)</f>
        <v>7.7672214468565963</v>
      </c>
      <c r="G942" s="1">
        <v>0.27699977279183946</v>
      </c>
      <c r="H942" s="1">
        <v>2.2505316373484163</v>
      </c>
      <c r="I942" s="1">
        <v>6.4658133728390643</v>
      </c>
      <c r="J942" s="1">
        <v>1.4823396592300309E-2</v>
      </c>
      <c r="K942" s="1">
        <v>2.2228192211381543</v>
      </c>
      <c r="L942" s="1">
        <v>2.9875487184442324</v>
      </c>
      <c r="M942" s="1">
        <v>6.9847699288490731E-2</v>
      </c>
      <c r="N942" s="1">
        <v>0.6305151130524731</v>
      </c>
      <c r="O942" s="1">
        <v>0.16449777777777777</v>
      </c>
      <c r="P942" s="1">
        <v>0.13423684004285219</v>
      </c>
      <c r="Q942" s="1">
        <v>0.44269370080887632</v>
      </c>
      <c r="R942" s="2">
        <f t="shared" si="59"/>
        <v>26.98278813381188</v>
      </c>
      <c r="S942" s="2">
        <f t="shared" si="58"/>
        <v>2.3718794577733067</v>
      </c>
      <c r="T942" s="2">
        <f t="shared" si="60"/>
        <v>3.852409308562974</v>
      </c>
      <c r="U942" s="2">
        <f t="shared" si="61"/>
        <v>33.207076900148159</v>
      </c>
    </row>
    <row r="943" spans="1:21" x14ac:dyDescent="0.25">
      <c r="A943">
        <v>2753301</v>
      </c>
      <c r="B943">
        <v>69</v>
      </c>
      <c r="C943" s="1">
        <f>16.497823870625*(10.3/7.3)</f>
        <v>23.277751488690011</v>
      </c>
      <c r="D943" s="1">
        <f>15.602838520415*(10.3/7.3)</f>
        <v>22.014963939763593</v>
      </c>
      <c r="E943" s="1">
        <f>56.5138477404439*(10.3/7.3)</f>
        <v>79.73871667487289</v>
      </c>
      <c r="F943" s="1">
        <f>85.6528548984937*(38.9/42.5)</f>
        <v>78.397554248268378</v>
      </c>
      <c r="G943" s="1">
        <v>1.5659214595443305</v>
      </c>
      <c r="H943" s="1">
        <v>3.9583372096389438</v>
      </c>
      <c r="I943" s="1">
        <v>68.721463687173951</v>
      </c>
      <c r="J943" s="1">
        <v>3.9239672449796467E-2</v>
      </c>
      <c r="K943" s="1">
        <v>3.0794442465247549</v>
      </c>
      <c r="L943" s="1">
        <v>4.7153568682373583</v>
      </c>
      <c r="M943" s="1">
        <v>0.13355117665851232</v>
      </c>
      <c r="N943" s="1">
        <v>1.8276959253084375</v>
      </c>
      <c r="O943" s="1">
        <v>0.12418859903381643</v>
      </c>
      <c r="P943" s="1">
        <v>9.9652107969035994E-2</v>
      </c>
      <c r="Q943" s="1">
        <v>2.5026142047512154</v>
      </c>
      <c r="R943" s="2">
        <f t="shared" si="59"/>
        <v>280.17732291270335</v>
      </c>
      <c r="S943" s="2">
        <f t="shared" si="58"/>
        <v>3.2183360269435872</v>
      </c>
      <c r="T943" s="2">
        <f t="shared" si="60"/>
        <v>6.8007925692381246</v>
      </c>
      <c r="U943" s="2">
        <f t="shared" si="61"/>
        <v>290.19645150888505</v>
      </c>
    </row>
    <row r="944" spans="1:21" x14ac:dyDescent="0.25">
      <c r="A944">
        <v>2753309</v>
      </c>
      <c r="B944">
        <v>55</v>
      </c>
      <c r="C944" s="1">
        <f>8.04151157854446*(10.3/7.3)</f>
        <v>11.346242364247662</v>
      </c>
      <c r="D944" s="1">
        <f>7.73607234924211*(10.3/7.3)</f>
        <v>10.915280163999135</v>
      </c>
      <c r="E944" s="1">
        <f>27.9746269898744*(10.3/7.3)</f>
        <v>39.471049040507772</v>
      </c>
      <c r="F944" s="1">
        <f>43.2866704409993*(38.9/42.5)</f>
        <v>39.620034827173477</v>
      </c>
      <c r="G944" s="1">
        <v>0.85955733004685897</v>
      </c>
      <c r="H944" s="1">
        <v>2.3959016826117043</v>
      </c>
      <c r="I944" s="1">
        <v>34.507773524695388</v>
      </c>
      <c r="J944" s="1">
        <v>2.2217723469432273E-2</v>
      </c>
      <c r="K944" s="1">
        <v>1.9565566009290059</v>
      </c>
      <c r="L944" s="1">
        <v>2.4065477282304775</v>
      </c>
      <c r="M944" s="1">
        <v>8.4638514721698574E-2</v>
      </c>
      <c r="N944" s="1">
        <v>1.0656740121953674</v>
      </c>
      <c r="O944" s="1">
        <v>8.2245818181818142E-2</v>
      </c>
      <c r="P944" s="1">
        <v>7.161799068073782E-2</v>
      </c>
      <c r="Q944" s="1">
        <v>1.3737217603488623</v>
      </c>
      <c r="R944" s="2">
        <f t="shared" si="59"/>
        <v>140.48956069363086</v>
      </c>
      <c r="S944" s="2">
        <f t="shared" si="58"/>
        <v>2.0503923150791761</v>
      </c>
      <c r="T944" s="2">
        <f t="shared" si="60"/>
        <v>3.6391060733293616</v>
      </c>
      <c r="U944" s="2">
        <f t="shared" si="61"/>
        <v>146.1790590820394</v>
      </c>
    </row>
    <row r="945" spans="1:21" x14ac:dyDescent="0.25">
      <c r="A945">
        <v>2753317</v>
      </c>
      <c r="B945">
        <v>26</v>
      </c>
      <c r="C945" s="1">
        <f>11.4003370228079*(10.3/7.3)</f>
        <v>16.085407032181024</v>
      </c>
      <c r="D945" s="1">
        <f>11.0841888231744*(10.3/7.3)</f>
        <v>15.639334914889918</v>
      </c>
      <c r="E945" s="1">
        <f>39.9976463151444*(10.3/7.3)</f>
        <v>56.435035211779038</v>
      </c>
      <c r="F945" s="1">
        <f>64.8795890349915*(38.9/42.5)</f>
        <v>59.383906199086312</v>
      </c>
      <c r="G945" s="1">
        <v>1.4885109705420341</v>
      </c>
      <c r="H945" s="1">
        <v>3.9053250655164362</v>
      </c>
      <c r="I945" s="1">
        <v>51.755433168668183</v>
      </c>
      <c r="J945" s="1">
        <v>3.1180366809196652E-2</v>
      </c>
      <c r="K945" s="1">
        <v>2.6494558225631675</v>
      </c>
      <c r="L945" s="1">
        <v>3.4371853149875427</v>
      </c>
      <c r="M945" s="1">
        <v>0.11336341283437082</v>
      </c>
      <c r="N945" s="1">
        <v>1.4548661220691939</v>
      </c>
      <c r="O945" s="1">
        <v>0.11081025641025644</v>
      </c>
      <c r="P945" s="1">
        <v>8.9457612990816726E-2</v>
      </c>
      <c r="Q945" s="1">
        <v>2.3788988113685505</v>
      </c>
      <c r="R945" s="2">
        <f t="shared" si="59"/>
        <v>207.0718513740315</v>
      </c>
      <c r="S945" s="2">
        <f t="shared" si="58"/>
        <v>2.7700938023631809</v>
      </c>
      <c r="T945" s="2">
        <f t="shared" si="60"/>
        <v>5.1162251063013633</v>
      </c>
      <c r="U945" s="2">
        <f t="shared" si="61"/>
        <v>214.95817028269605</v>
      </c>
    </row>
    <row r="946" spans="1:21" x14ac:dyDescent="0.25">
      <c r="A946">
        <v>2764705</v>
      </c>
      <c r="B946">
        <v>2</v>
      </c>
      <c r="C946" s="1">
        <f>0.515588743854671*(10.3/7.3)</f>
        <v>0.72747452900042564</v>
      </c>
      <c r="D946" s="1">
        <f>0.678503181110003*(10.3/7.3)</f>
        <v>0.95734010485383925</v>
      </c>
      <c r="E946" s="1">
        <f>2.38806438600711*(10.3/7.3)</f>
        <v>3.3694607090237332</v>
      </c>
      <c r="F946" s="1">
        <f>5.06193577153091*(38.9/42.5)</f>
        <v>4.6331600355894649</v>
      </c>
      <c r="G946" s="1">
        <v>0.20166084168970777</v>
      </c>
      <c r="H946" s="1">
        <v>4.1145444452669091</v>
      </c>
      <c r="I946" s="1">
        <v>3.7512672036849115</v>
      </c>
      <c r="J946" s="1">
        <v>1.4728160241304961E-2</v>
      </c>
      <c r="K946" s="1">
        <v>2.1445669970066383</v>
      </c>
      <c r="L946" s="1">
        <v>2.3720153791997407</v>
      </c>
      <c r="M946" s="1">
        <v>6.6547010696220668E-2</v>
      </c>
      <c r="N946" s="1">
        <v>0.58524701699698756</v>
      </c>
      <c r="O946" s="1">
        <v>0.15053333333333335</v>
      </c>
      <c r="P946" s="1">
        <v>0.13333540778675551</v>
      </c>
      <c r="Q946" s="1">
        <v>0.32228901639907664</v>
      </c>
      <c r="R946" s="2">
        <f t="shared" si="59"/>
        <v>18.077196885508066</v>
      </c>
      <c r="S946" s="2">
        <f t="shared" si="58"/>
        <v>2.292630565034699</v>
      </c>
      <c r="T946" s="2">
        <f t="shared" si="60"/>
        <v>3.1743427402262823</v>
      </c>
      <c r="U946" s="2">
        <f t="shared" si="61"/>
        <v>23.544170190769048</v>
      </c>
    </row>
    <row r="947" spans="1:21" x14ac:dyDescent="0.25">
      <c r="A947">
        <v>2764769</v>
      </c>
      <c r="B947">
        <v>30</v>
      </c>
      <c r="C947" s="1">
        <f>1.18667060906961*(10.3/7.3)</f>
        <v>1.6743434621119102</v>
      </c>
      <c r="D947" s="1">
        <f>1.32091309766335*(10.3/7.3)</f>
        <v>1.8637540967030806</v>
      </c>
      <c r="E947" s="1">
        <f>4.70763251336978*(10.3/7.3)</f>
        <v>6.6422760120149018</v>
      </c>
      <c r="F947" s="1">
        <f>8.85790204082903*(38.9/42.5)</f>
        <v>8.1075856326646853</v>
      </c>
      <c r="G947" s="1">
        <v>0.29004683762262867</v>
      </c>
      <c r="H947" s="1">
        <v>2.9093827660076141</v>
      </c>
      <c r="I947" s="1">
        <v>6.8058844049182605</v>
      </c>
      <c r="J947" s="1">
        <v>1.487356069005231E-2</v>
      </c>
      <c r="K947" s="1">
        <v>2.2233798792613024</v>
      </c>
      <c r="L947" s="1">
        <v>3.0216501058853464</v>
      </c>
      <c r="M947" s="1">
        <v>6.9847539798895644E-2</v>
      </c>
      <c r="N947" s="1">
        <v>0.62660492224525799</v>
      </c>
      <c r="O947" s="1">
        <v>0.16497777777777775</v>
      </c>
      <c r="P947" s="1">
        <v>0.13470555699970463</v>
      </c>
      <c r="Q947" s="1">
        <v>0.46354517428274034</v>
      </c>
      <c r="R947" s="2">
        <f t="shared" si="59"/>
        <v>28.756818386325822</v>
      </c>
      <c r="S947" s="2">
        <f t="shared" si="58"/>
        <v>2.3729589969510592</v>
      </c>
      <c r="T947" s="2">
        <f t="shared" si="60"/>
        <v>3.8830803457072776</v>
      </c>
      <c r="U947" s="2">
        <f t="shared" si="61"/>
        <v>35.012857728984159</v>
      </c>
    </row>
    <row r="948" spans="1:21" x14ac:dyDescent="0.25">
      <c r="A948">
        <v>2764777</v>
      </c>
      <c r="B948">
        <v>40</v>
      </c>
      <c r="C948" s="1">
        <f>1.3719061710999*(10.3/7.3)</f>
        <v>1.9357032277162924</v>
      </c>
      <c r="D948" s="1">
        <f>1.49861784974517*(10.3/7.3)</f>
        <v>2.1144881989555109</v>
      </c>
      <c r="E948" s="1">
        <f>5.34681712628505*(10.3/7.3)</f>
        <v>7.5441392329775336</v>
      </c>
      <c r="F948" s="1">
        <f>10.0231175503062*(38.9/42.5)</f>
        <v>9.174100534280301</v>
      </c>
      <c r="G948" s="1">
        <v>0.3244330779777887</v>
      </c>
      <c r="H948" s="1">
        <v>2.3266205337965924</v>
      </c>
      <c r="I948" s="1">
        <v>7.7539254267478146</v>
      </c>
      <c r="J948" s="1">
        <v>1.5963993335594812E-2</v>
      </c>
      <c r="K948" s="1">
        <v>2.3956213963776087</v>
      </c>
      <c r="L948" s="1">
        <v>3.2781685340359674</v>
      </c>
      <c r="M948" s="1">
        <v>7.438483578238371E-2</v>
      </c>
      <c r="N948" s="1">
        <v>0.68832716857964937</v>
      </c>
      <c r="O948" s="1">
        <v>0.17591333333333331</v>
      </c>
      <c r="P948" s="1">
        <v>0.14757078081748204</v>
      </c>
      <c r="Q948" s="1">
        <v>0.51850035293253949</v>
      </c>
      <c r="R948" s="2">
        <f t="shared" si="59"/>
        <v>31.691910585384374</v>
      </c>
      <c r="S948" s="2">
        <f t="shared" si="58"/>
        <v>2.5591561705306858</v>
      </c>
      <c r="T948" s="2">
        <f t="shared" si="60"/>
        <v>4.2167938717313334</v>
      </c>
      <c r="U948" s="2">
        <f t="shared" si="61"/>
        <v>38.467860627646395</v>
      </c>
    </row>
    <row r="949" spans="1:21" x14ac:dyDescent="0.25">
      <c r="A949">
        <v>2765529</v>
      </c>
      <c r="B949">
        <v>32</v>
      </c>
      <c r="C949" s="1">
        <f>15.7856734301024*(10.3/7.3)</f>
        <v>22.272936483569186</v>
      </c>
      <c r="D949" s="1">
        <f>15.160291591739*(10.3/7.3)</f>
        <v>21.390548410261882</v>
      </c>
      <c r="E949" s="1">
        <f>54.8717519566618*(10.3/7.3)</f>
        <v>77.421787007344804</v>
      </c>
      <c r="F949" s="1">
        <f>82.6650015167984*(38.9/42.5)</f>
        <v>75.662789623610735</v>
      </c>
      <c r="G949" s="1">
        <v>1.4960267748256482</v>
      </c>
      <c r="H949" s="1">
        <v>4.8174541857150155</v>
      </c>
      <c r="I949" s="1">
        <v>65.730864702550917</v>
      </c>
      <c r="J949" s="1">
        <v>3.9268463970942566E-2</v>
      </c>
      <c r="K949" s="1">
        <v>2.9015536652813356</v>
      </c>
      <c r="L949" s="1">
        <v>4.4499338876533026</v>
      </c>
      <c r="M949" s="1">
        <v>0.12768625191057312</v>
      </c>
      <c r="N949" s="1">
        <v>1.7407153419480583</v>
      </c>
      <c r="O949" s="1">
        <v>0.11951833333333332</v>
      </c>
      <c r="P949" s="1">
        <v>9.6391699896853089E-2</v>
      </c>
      <c r="Q949" s="1">
        <v>2.3909103707259258</v>
      </c>
      <c r="R949" s="2">
        <f t="shared" si="59"/>
        <v>271.18331755860413</v>
      </c>
      <c r="S949" s="2">
        <f t="shared" si="58"/>
        <v>3.0372138291491311</v>
      </c>
      <c r="T949" s="2">
        <f t="shared" si="60"/>
        <v>6.4378538148452673</v>
      </c>
      <c r="U949" s="2">
        <f t="shared" si="61"/>
        <v>280.65838520259854</v>
      </c>
    </row>
    <row r="950" spans="1:21" x14ac:dyDescent="0.25">
      <c r="A950">
        <v>2765537</v>
      </c>
      <c r="B950">
        <v>54</v>
      </c>
      <c r="C950" s="1">
        <f>7.64056449306973*(10.3/7.3)</f>
        <v>10.780522503920304</v>
      </c>
      <c r="D950" s="1">
        <f>7.32804597095504*(10.3/7.3)</f>
        <v>10.339571712443416</v>
      </c>
      <c r="E950" s="1">
        <f>26.5078838331577*(10.3/7.3)</f>
        <v>37.401534723496425</v>
      </c>
      <c r="F950" s="1">
        <f>40.813664451064*(38.9/42.5)</f>
        <v>37.356506991679751</v>
      </c>
      <c r="G950" s="1">
        <v>0.7957569041297049</v>
      </c>
      <c r="H950" s="1">
        <v>2.2400935886200872</v>
      </c>
      <c r="I950" s="1">
        <v>32.567324011971024</v>
      </c>
      <c r="J950" s="1">
        <v>2.2043600674444146E-2</v>
      </c>
      <c r="K950" s="1">
        <v>1.9194949517015814</v>
      </c>
      <c r="L950" s="1">
        <v>2.3657824695585243</v>
      </c>
      <c r="M950" s="1">
        <v>8.3850550633114349E-2</v>
      </c>
      <c r="N950" s="1">
        <v>1.0656707086429993</v>
      </c>
      <c r="O950" s="1">
        <v>8.0713086419753055E-2</v>
      </c>
      <c r="P950" s="1">
        <v>7.1229381049119952E-2</v>
      </c>
      <c r="Q950" s="1">
        <v>1.2717576093397125</v>
      </c>
      <c r="R950" s="2">
        <f t="shared" si="59"/>
        <v>132.75306804560043</v>
      </c>
      <c r="S950" s="2">
        <f t="shared" si="58"/>
        <v>2.0127679334251454</v>
      </c>
      <c r="T950" s="2">
        <f t="shared" si="60"/>
        <v>3.5960168152543908</v>
      </c>
      <c r="U950" s="2">
        <f t="shared" si="61"/>
        <v>138.36185279427997</v>
      </c>
    </row>
    <row r="951" spans="1:21" x14ac:dyDescent="0.25">
      <c r="A951">
        <v>2765545</v>
      </c>
      <c r="B951">
        <v>39</v>
      </c>
      <c r="C951" s="1">
        <f>8.80725310857235*(10.3/7.3)</f>
        <v>12.426672194287011</v>
      </c>
      <c r="D951" s="1">
        <f>8.48956602583687*(10.3/7.3)</f>
        <v>11.978428776180793</v>
      </c>
      <c r="E951" s="1">
        <f>30.6910306058415*(10.3/7.3)</f>
        <v>43.303782909611975</v>
      </c>
      <c r="F951" s="1">
        <f>47.7302420177491*(38.9/42.5)</f>
        <v>43.687209752716221</v>
      </c>
      <c r="G951" s="1">
        <v>0.96444396235692742</v>
      </c>
      <c r="H951" s="1">
        <v>3.7977912482102445</v>
      </c>
      <c r="I951" s="1">
        <v>38.035610600114055</v>
      </c>
      <c r="J951" s="1">
        <v>2.5312342413252663E-2</v>
      </c>
      <c r="K951" s="1">
        <v>2.2122841274837177</v>
      </c>
      <c r="L951" s="1">
        <v>2.7246474415972881</v>
      </c>
      <c r="M951" s="1">
        <v>9.5380432265326345E-2</v>
      </c>
      <c r="N951" s="1">
        <v>1.2248082960251527</v>
      </c>
      <c r="O951" s="1">
        <v>9.2661880341880359E-2</v>
      </c>
      <c r="P951" s="1">
        <v>7.9057152812932976E-2</v>
      </c>
      <c r="Q951" s="1">
        <v>1.5413487982873284</v>
      </c>
      <c r="R951" s="2">
        <f t="shared" si="59"/>
        <v>155.73528824176455</v>
      </c>
      <c r="S951" s="2">
        <f t="shared" si="58"/>
        <v>2.3166536227099037</v>
      </c>
      <c r="T951" s="2">
        <f t="shared" si="60"/>
        <v>4.137498050229647</v>
      </c>
      <c r="U951" s="2">
        <f t="shared" si="61"/>
        <v>162.18943991470411</v>
      </c>
    </row>
    <row r="952" spans="1:21" x14ac:dyDescent="0.25">
      <c r="A952">
        <v>2776997</v>
      </c>
      <c r="B952">
        <v>19</v>
      </c>
      <c r="C952" s="1">
        <f>1.28681793947116*(10.3/7.3)</f>
        <v>1.815647229664781</v>
      </c>
      <c r="D952" s="1">
        <f>1.44491380172591*(10.3/7.3)</f>
        <v>2.0387139942160108</v>
      </c>
      <c r="E952" s="1">
        <f>5.14687518446631*(10.3/7.3)</f>
        <v>7.2620293698634208</v>
      </c>
      <c r="F952" s="1">
        <f>9.70642299759956*(38.9/42.5)</f>
        <v>8.8842318730970131</v>
      </c>
      <c r="G952" s="1">
        <v>0.31977280692013249</v>
      </c>
      <c r="H952" s="1">
        <v>4.7017480374187723</v>
      </c>
      <c r="I952" s="1">
        <v>7.4353599168188893</v>
      </c>
      <c r="J952" s="1">
        <v>1.5804370710043664E-2</v>
      </c>
      <c r="K952" s="1">
        <v>2.3520325487991873</v>
      </c>
      <c r="L952" s="1">
        <v>3.2941847781003073</v>
      </c>
      <c r="M952" s="1">
        <v>7.3456787643149224E-2</v>
      </c>
      <c r="N952" s="1">
        <v>0.66213635249234759</v>
      </c>
      <c r="O952" s="1">
        <v>0.17361964912280703</v>
      </c>
      <c r="P952" s="1">
        <v>0.14336345005189244</v>
      </c>
      <c r="Q952" s="1">
        <v>0.51105243115089716</v>
      </c>
      <c r="R952" s="2">
        <f t="shared" si="59"/>
        <v>32.968555659149914</v>
      </c>
      <c r="S952" s="2">
        <f t="shared" si="58"/>
        <v>2.5112003695611236</v>
      </c>
      <c r="T952" s="2">
        <f t="shared" si="60"/>
        <v>4.2033975673586106</v>
      </c>
      <c r="U952" s="2">
        <f t="shared" si="61"/>
        <v>39.683153596069644</v>
      </c>
    </row>
    <row r="953" spans="1:21" x14ac:dyDescent="0.25">
      <c r="A953">
        <v>2777005</v>
      </c>
      <c r="B953">
        <v>22</v>
      </c>
      <c r="C953" s="1">
        <f>1.3307472389142*(10.3/7.3)</f>
        <v>1.8776296658652438</v>
      </c>
      <c r="D953" s="1">
        <f>1.43418027690487*(10.3/7.3)</f>
        <v>2.0235694317972803</v>
      </c>
      <c r="E953" s="1">
        <f>5.11505650531834*(10.3/7.3)</f>
        <v>7.2171345212025884</v>
      </c>
      <c r="F953" s="1">
        <f>9.86164291219561*(38.9/42.5)</f>
        <v>9.0263037478684556</v>
      </c>
      <c r="G953" s="1">
        <v>0.33200468688545931</v>
      </c>
      <c r="H953" s="1">
        <v>3.021574202703357</v>
      </c>
      <c r="I953" s="1">
        <v>7.7030004408741242</v>
      </c>
      <c r="J953" s="1">
        <v>1.51308788524446E-2</v>
      </c>
      <c r="K953" s="1">
        <v>2.2524984260122785</v>
      </c>
      <c r="L953" s="1">
        <v>3.0599723532210352</v>
      </c>
      <c r="M953" s="1">
        <v>7.1149574104953178E-2</v>
      </c>
      <c r="N953" s="1">
        <v>0.64320489416035687</v>
      </c>
      <c r="O953" s="1">
        <v>0.16837333333333332</v>
      </c>
      <c r="P953" s="1">
        <v>0.13742033610410828</v>
      </c>
      <c r="Q953" s="1">
        <v>0.53060109776215014</v>
      </c>
      <c r="R953" s="2">
        <f t="shared" si="59"/>
        <v>31.731817794958658</v>
      </c>
      <c r="S953" s="2">
        <f t="shared" si="58"/>
        <v>2.4050496409688313</v>
      </c>
      <c r="T953" s="2">
        <f t="shared" si="60"/>
        <v>3.9427001548196783</v>
      </c>
      <c r="U953" s="2">
        <f t="shared" si="61"/>
        <v>38.079567590747168</v>
      </c>
    </row>
    <row r="954" spans="1:21" x14ac:dyDescent="0.25">
      <c r="A954">
        <v>2777757</v>
      </c>
      <c r="B954">
        <v>22</v>
      </c>
      <c r="C954" s="1">
        <f>17.5874799362709*(10.3/7.3)</f>
        <v>24.815211416930143</v>
      </c>
      <c r="D954" s="1">
        <f>17.1373179739615*(10.3/7.3)</f>
        <v>24.180051387918247</v>
      </c>
      <c r="E954" s="1">
        <f>61.9878266798941*(10.3/7.3)</f>
        <v>87.462276000398589</v>
      </c>
      <c r="F954" s="1">
        <f>92.7832323515113*(38.9/42.5)</f>
        <v>84.923946787618604</v>
      </c>
      <c r="G954" s="1">
        <v>1.6579019208203163</v>
      </c>
      <c r="H954" s="1">
        <v>6.9847612863825637</v>
      </c>
      <c r="I954" s="1">
        <v>73.140225668419063</v>
      </c>
      <c r="J954" s="1">
        <v>4.0458947825077154E-2</v>
      </c>
      <c r="K954" s="1">
        <v>2.7981202365476321</v>
      </c>
      <c r="L954" s="1">
        <v>4.3043800870651037</v>
      </c>
      <c r="M954" s="1">
        <v>0.12550959416743035</v>
      </c>
      <c r="N954" s="1">
        <v>1.6711922512311661</v>
      </c>
      <c r="O954" s="1">
        <v>0.11807999999999998</v>
      </c>
      <c r="P954" s="1">
        <v>9.5018013102670149E-2</v>
      </c>
      <c r="Q954" s="1">
        <v>2.6496149419502797</v>
      </c>
      <c r="R954" s="2">
        <f t="shared" si="59"/>
        <v>305.81398941043784</v>
      </c>
      <c r="S954" s="2">
        <f t="shared" si="58"/>
        <v>2.9335971974753794</v>
      </c>
      <c r="T954" s="2">
        <f t="shared" si="60"/>
        <v>6.2191619324636997</v>
      </c>
      <c r="U954" s="2">
        <f t="shared" si="61"/>
        <v>314.9667485403769</v>
      </c>
    </row>
    <row r="955" spans="1:21" x14ac:dyDescent="0.25">
      <c r="A955">
        <v>2777765</v>
      </c>
      <c r="B955">
        <v>67</v>
      </c>
      <c r="C955" s="1">
        <f>14.5248104945708*(10.3/7.3)</f>
        <v>20.493910697819135</v>
      </c>
      <c r="D955" s="1">
        <f>13.9526987930936*(10.3/7.3)</f>
        <v>19.686684598474489</v>
      </c>
      <c r="E955" s="1">
        <f>50.4841054711931*(10.3/7.3)</f>
        <v>71.23099813058748</v>
      </c>
      <c r="F955" s="1">
        <f>76.8617209884227*(38.9/42.5)</f>
        <v>70.351081092932759</v>
      </c>
      <c r="G955" s="1">
        <v>1.444348446720424</v>
      </c>
      <c r="H955" s="1">
        <v>3.585252762393353</v>
      </c>
      <c r="I955" s="1">
        <v>61.192744577965478</v>
      </c>
      <c r="J955" s="1">
        <v>3.7471669048596064E-2</v>
      </c>
      <c r="K955" s="1">
        <v>2.904656314326115</v>
      </c>
      <c r="L955" s="1">
        <v>4.1628836692753346</v>
      </c>
      <c r="M955" s="1">
        <v>0.12775015096859355</v>
      </c>
      <c r="N955" s="1">
        <v>1.7671444113834609</v>
      </c>
      <c r="O955" s="1">
        <v>0.11900099502487561</v>
      </c>
      <c r="P955" s="1">
        <v>9.663534677157086E-2</v>
      </c>
      <c r="Q955" s="1">
        <v>2.3083194353979404</v>
      </c>
      <c r="R955" s="2">
        <f t="shared" si="59"/>
        <v>250.29333974229107</v>
      </c>
      <c r="S955" s="2">
        <f t="shared" si="58"/>
        <v>3.0387633301462822</v>
      </c>
      <c r="T955" s="2">
        <f t="shared" si="60"/>
        <v>6.1767792266522648</v>
      </c>
      <c r="U955" s="2">
        <f t="shared" si="61"/>
        <v>259.50888229908963</v>
      </c>
    </row>
    <row r="956" spans="1:21" x14ac:dyDescent="0.25">
      <c r="A956">
        <v>2777773</v>
      </c>
      <c r="B956">
        <v>35</v>
      </c>
      <c r="C956" s="1">
        <f>7.27963625103642*(10.3/7.3)</f>
        <v>10.271267587078787</v>
      </c>
      <c r="D956" s="1">
        <f>6.96265115569576*(10.3/7.3)</f>
        <v>9.8240146443378507</v>
      </c>
      <c r="E956" s="1">
        <f>25.1872875337013*(10.3/7.3)</f>
        <v>35.53822761604431</v>
      </c>
      <c r="F956" s="1">
        <f>38.9244420316766*(38.9/42.5)</f>
        <v>35.627312824287507</v>
      </c>
      <c r="G956" s="1">
        <v>0.76676643552788504</v>
      </c>
      <c r="H956" s="1">
        <v>2.2531405274775338</v>
      </c>
      <c r="I956" s="1">
        <v>31.119193149243742</v>
      </c>
      <c r="J956" s="1">
        <v>2.2097635292448761E-2</v>
      </c>
      <c r="K956" s="1">
        <v>1.9414478764198784</v>
      </c>
      <c r="L956" s="1">
        <v>2.3320187035517677</v>
      </c>
      <c r="M956" s="1">
        <v>8.4574253582537923E-2</v>
      </c>
      <c r="N956" s="1">
        <v>1.0724699845364318</v>
      </c>
      <c r="O956" s="1">
        <v>8.1412571428571445E-2</v>
      </c>
      <c r="P956" s="1">
        <v>7.1792230514052743E-2</v>
      </c>
      <c r="Q956" s="1">
        <v>1.2254258102043836</v>
      </c>
      <c r="R956" s="2">
        <f t="shared" si="59"/>
        <v>126.62534859420199</v>
      </c>
      <c r="S956" s="2">
        <f t="shared" si="58"/>
        <v>2.0353377422263796</v>
      </c>
      <c r="T956" s="2">
        <f t="shared" si="60"/>
        <v>3.5704755130993089</v>
      </c>
      <c r="U956" s="2">
        <f t="shared" si="61"/>
        <v>132.23116184952767</v>
      </c>
    </row>
    <row r="957" spans="1:21" x14ac:dyDescent="0.25">
      <c r="A957">
        <v>2789169</v>
      </c>
      <c r="B957">
        <v>10</v>
      </c>
      <c r="C957" s="1">
        <f>0.500150953424538*(10.3/7.3)</f>
        <v>0.7056924411332518</v>
      </c>
      <c r="D957" s="1">
        <f>0.657224790510684*(10.3/7.3)</f>
        <v>0.92731717017260973</v>
      </c>
      <c r="E957" s="1">
        <f>2.31274344750358*(10.3/7.3)</f>
        <v>3.2631859601762851</v>
      </c>
      <c r="F957" s="1">
        <f>4.93136306176117*(38.9/42.5)</f>
        <v>4.5136476024119894</v>
      </c>
      <c r="G957" s="1">
        <v>0.19769092887112877</v>
      </c>
      <c r="H957" s="1">
        <v>2.9077927986327863</v>
      </c>
      <c r="I957" s="1">
        <v>3.6606629279241703</v>
      </c>
      <c r="J957" s="1">
        <v>1.4058582688415902E-2</v>
      </c>
      <c r="K957" s="1">
        <v>2.0863786251641505</v>
      </c>
      <c r="L957" s="1">
        <v>2.3310423183576172</v>
      </c>
      <c r="M957" s="1">
        <v>6.5658073971384595E-2</v>
      </c>
      <c r="N957" s="1">
        <v>0.56312588467045321</v>
      </c>
      <c r="O957" s="1">
        <v>0.15197333333333335</v>
      </c>
      <c r="P957" s="1">
        <v>0.12954381332309101</v>
      </c>
      <c r="Q957" s="1">
        <v>0.31594440687166736</v>
      </c>
      <c r="R957" s="2">
        <f t="shared" si="59"/>
        <v>16.491934236193892</v>
      </c>
      <c r="S957" s="2">
        <f t="shared" si="58"/>
        <v>2.2299810211756577</v>
      </c>
      <c r="T957" s="2">
        <f t="shared" si="60"/>
        <v>3.1117996103327883</v>
      </c>
      <c r="U957" s="2">
        <f t="shared" si="61"/>
        <v>21.833714867702337</v>
      </c>
    </row>
    <row r="958" spans="1:21" x14ac:dyDescent="0.25">
      <c r="A958">
        <v>2789233</v>
      </c>
      <c r="B958">
        <v>2</v>
      </c>
      <c r="C958" s="1">
        <f>1.46332409804717*(10.3/7.3)</f>
        <v>2.0646901657377859</v>
      </c>
      <c r="D958" s="1">
        <f>1.57647253939343*(10.3/7.3)</f>
        <v>2.2243379665414151</v>
      </c>
      <c r="E958" s="1">
        <f>5.62628760165032*(10.3/7.3)</f>
        <v>7.9384605886299093</v>
      </c>
      <c r="F958" s="1">
        <f>10.6642561895368*(38.9/42.5)</f>
        <v>9.760930959364245</v>
      </c>
      <c r="G958" s="1">
        <v>0.34978150779912065</v>
      </c>
      <c r="H958" s="1">
        <v>4.331877309671162</v>
      </c>
      <c r="I958" s="1">
        <v>8.3097745197814668</v>
      </c>
      <c r="J958" s="1">
        <v>1.6158119907487549E-2</v>
      </c>
      <c r="K958" s="1">
        <v>2.3814808771768168</v>
      </c>
      <c r="L958" s="1">
        <v>3.3649301171548638</v>
      </c>
      <c r="M958" s="1">
        <v>7.5723033148346303E-2</v>
      </c>
      <c r="N958" s="1">
        <v>0.6806596754287646</v>
      </c>
      <c r="O958" s="1">
        <v>0.17858666666666667</v>
      </c>
      <c r="P958" s="1">
        <v>0.14442599608196299</v>
      </c>
      <c r="Q958" s="1">
        <v>0.55901154214471394</v>
      </c>
      <c r="R958" s="2">
        <f t="shared" si="59"/>
        <v>35.538864559669818</v>
      </c>
      <c r="S958" s="2">
        <f t="shared" si="58"/>
        <v>2.5420649931662673</v>
      </c>
      <c r="T958" s="2">
        <f t="shared" si="60"/>
        <v>4.2998994923986418</v>
      </c>
      <c r="U958" s="2">
        <f t="shared" si="61"/>
        <v>42.380829045234726</v>
      </c>
    </row>
    <row r="959" spans="1:21" x14ac:dyDescent="0.25">
      <c r="A959">
        <v>2789241</v>
      </c>
      <c r="B959">
        <v>9</v>
      </c>
      <c r="C959" s="1">
        <f>1.52488230951465*(10.3/7.3)</f>
        <v>2.1515462723288841</v>
      </c>
      <c r="D959" s="1">
        <f>1.57955572323892*(10.3/7.3)</f>
        <v>2.2286882122412197</v>
      </c>
      <c r="E959" s="1">
        <f>5.64849638391058*(10.3/7.3)</f>
        <v>7.969796267709448</v>
      </c>
      <c r="F959" s="1">
        <f>10.7326457008406*(38.9/42.5)</f>
        <v>9.8235274767693763</v>
      </c>
      <c r="G959" s="1">
        <v>0.34913773815286464</v>
      </c>
      <c r="H959" s="1">
        <v>3.0273575987562662</v>
      </c>
      <c r="I959" s="1">
        <v>8.4980842708872348</v>
      </c>
      <c r="J959" s="1">
        <v>1.5951617324636257E-2</v>
      </c>
      <c r="K959" s="1">
        <v>2.355578035320367</v>
      </c>
      <c r="L959" s="1">
        <v>3.2648732990621716</v>
      </c>
      <c r="M959" s="1">
        <v>7.3994425495890914E-2</v>
      </c>
      <c r="N959" s="1">
        <v>0.68398894949672284</v>
      </c>
      <c r="O959" s="1">
        <v>0.17639111111111108</v>
      </c>
      <c r="P959" s="1">
        <v>0.14509027497434734</v>
      </c>
      <c r="Q959" s="1">
        <v>0.55798268654567473</v>
      </c>
      <c r="R959" s="2">
        <f t="shared" si="59"/>
        <v>34.60612052339097</v>
      </c>
      <c r="S959" s="2">
        <f t="shared" si="58"/>
        <v>2.5166199276193506</v>
      </c>
      <c r="T959" s="2">
        <f t="shared" si="60"/>
        <v>4.1992477851658965</v>
      </c>
      <c r="U959" s="2">
        <f t="shared" si="61"/>
        <v>41.321988236176217</v>
      </c>
    </row>
    <row r="960" spans="1:21" x14ac:dyDescent="0.25">
      <c r="A960">
        <v>2789985</v>
      </c>
      <c r="B960">
        <v>18</v>
      </c>
      <c r="C960" s="1">
        <f>15.1824411273526*(10.3/7.3)</f>
        <v>21.421800494757822</v>
      </c>
      <c r="D960" s="1">
        <f>14.9897610632905*(10.3/7.3)</f>
        <v>21.149936842725001</v>
      </c>
      <c r="E960" s="1">
        <f>54.1699459088922*(10.3/7.3)</f>
        <v>76.431567515286218</v>
      </c>
      <c r="F960" s="1">
        <f>81.5514083656931*(38.9/42.5)</f>
        <v>74.643524362952064</v>
      </c>
      <c r="G960" s="1">
        <v>1.5026656493026642</v>
      </c>
      <c r="H960" s="1">
        <v>7.7490381775048824</v>
      </c>
      <c r="I960" s="1">
        <v>63.889014381328302</v>
      </c>
      <c r="J960" s="1">
        <v>3.6661751929450842E-2</v>
      </c>
      <c r="K960" s="1">
        <v>2.7291686971727431</v>
      </c>
      <c r="L960" s="1">
        <v>4.7528766741306976</v>
      </c>
      <c r="M960" s="1">
        <v>0.12283098212400162</v>
      </c>
      <c r="N960" s="1">
        <v>1.7169024584477284</v>
      </c>
      <c r="O960" s="1">
        <v>0.11546074074074071</v>
      </c>
      <c r="P960" s="1">
        <v>9.4089304996435003E-2</v>
      </c>
      <c r="Q960" s="1">
        <v>2.4015204440910183</v>
      </c>
      <c r="R960" s="2">
        <f t="shared" si="59"/>
        <v>269.18906786794798</v>
      </c>
      <c r="S960" s="2">
        <f t="shared" si="58"/>
        <v>2.859919754098629</v>
      </c>
      <c r="T960" s="2">
        <f t="shared" si="60"/>
        <v>6.7080708554431681</v>
      </c>
      <c r="U960" s="2">
        <f t="shared" si="61"/>
        <v>278.75705847748981</v>
      </c>
    </row>
    <row r="961" spans="1:21" x14ac:dyDescent="0.25">
      <c r="A961">
        <v>2789993</v>
      </c>
      <c r="B961">
        <v>56</v>
      </c>
      <c r="C961" s="1">
        <f>16.6490953874508*(10.3/7.3)</f>
        <v>23.491189382293577</v>
      </c>
      <c r="D961" s="1">
        <f>16.208906403882*(10.3/7.3)</f>
        <v>22.870100816436302</v>
      </c>
      <c r="E961" s="1">
        <f>58.6042941326246*(10.3/7.3)</f>
        <v>82.688250625484088</v>
      </c>
      <c r="F961" s="1">
        <f>89.1306169164569*(38.9/42.5)</f>
        <v>81.580729365886469</v>
      </c>
      <c r="G961" s="1">
        <v>1.6848562911553064</v>
      </c>
      <c r="H961" s="1">
        <v>4.312946460696228</v>
      </c>
      <c r="I961" s="1">
        <v>70.44963762482017</v>
      </c>
      <c r="J961" s="1">
        <v>4.3912309511487606E-2</v>
      </c>
      <c r="K961" s="1">
        <v>3.1263360945382765</v>
      </c>
      <c r="L961" s="1">
        <v>4.6823928526374905</v>
      </c>
      <c r="M961" s="1">
        <v>0.13959309774365558</v>
      </c>
      <c r="N961" s="1">
        <v>1.8912532060536933</v>
      </c>
      <c r="O961" s="1">
        <v>0.12842380952380947</v>
      </c>
      <c r="P961" s="1">
        <v>0.10281484312217802</v>
      </c>
      <c r="Q961" s="1">
        <v>2.6926927027596252</v>
      </c>
      <c r="R961" s="2">
        <f t="shared" si="59"/>
        <v>289.77040326953181</v>
      </c>
      <c r="S961" s="2">
        <f t="shared" si="58"/>
        <v>3.2730632471719421</v>
      </c>
      <c r="T961" s="2">
        <f t="shared" si="60"/>
        <v>6.8416629659586485</v>
      </c>
      <c r="U961" s="2">
        <f t="shared" si="61"/>
        <v>299.88512948266242</v>
      </c>
    </row>
    <row r="962" spans="1:21" x14ac:dyDescent="0.25">
      <c r="A962">
        <v>2790001</v>
      </c>
      <c r="B962">
        <v>22</v>
      </c>
      <c r="C962" s="1">
        <f>10.4638499305847*(10.3/7.3)</f>
        <v>14.764062230825028</v>
      </c>
      <c r="D962" s="1">
        <f>9.71580772011957*(10.3/7.3)</f>
        <v>13.708605413319399</v>
      </c>
      <c r="E962" s="1">
        <f>35.2173507418039*(10.3/7.3)</f>
        <v>49.690234608298645</v>
      </c>
      <c r="F962" s="1">
        <f>53.9721346331193*(38.9/42.5)</f>
        <v>49.400377346549149</v>
      </c>
      <c r="G962" s="1">
        <v>1.012215596753822</v>
      </c>
      <c r="H962" s="1">
        <v>3.0151919392973583</v>
      </c>
      <c r="I962" s="1">
        <v>43.786735585421567</v>
      </c>
      <c r="J962" s="1">
        <v>2.6887253480512262E-2</v>
      </c>
      <c r="K962" s="1">
        <v>2.2390537689670307</v>
      </c>
      <c r="L962" s="1">
        <v>2.8473248933867952</v>
      </c>
      <c r="M962" s="1">
        <v>9.8215929546020667E-2</v>
      </c>
      <c r="N962" s="1">
        <v>1.2719488670808248</v>
      </c>
      <c r="O962" s="1">
        <v>9.4334545454545449E-2</v>
      </c>
      <c r="P962" s="1">
        <v>8.0223740089578471E-2</v>
      </c>
      <c r="Q962" s="1">
        <v>1.6176961591956072</v>
      </c>
      <c r="R962" s="2">
        <f t="shared" si="59"/>
        <v>176.99511887966057</v>
      </c>
      <c r="S962" s="2">
        <f t="shared" si="58"/>
        <v>2.3461647625371218</v>
      </c>
      <c r="T962" s="2">
        <f t="shared" si="60"/>
        <v>4.3118242354681859</v>
      </c>
      <c r="U962" s="2">
        <f t="shared" si="61"/>
        <v>183.65310787766586</v>
      </c>
    </row>
    <row r="963" spans="1:21" x14ac:dyDescent="0.25">
      <c r="A963">
        <v>2801397</v>
      </c>
      <c r="B963">
        <v>1</v>
      </c>
      <c r="C963" s="1">
        <f>0.781846816675719*(10.3/7.3)</f>
        <v>1.1031537276383432</v>
      </c>
      <c r="D963" s="1">
        <f>1.03957552079455*(10.3/7.3)</f>
        <v>1.4667983375594387</v>
      </c>
      <c r="E963" s="1">
        <f>3.65246517839588*(10.3/7.3)</f>
        <v>5.1534782654078874</v>
      </c>
      <c r="F963" s="1">
        <f>7.98577252062788*(38.9/42.5)</f>
        <v>7.3093306129982265</v>
      </c>
      <c r="G963" s="1">
        <v>0.32950276394205508</v>
      </c>
      <c r="H963" s="1">
        <v>4.121598525873539</v>
      </c>
      <c r="I963" s="1">
        <v>5.9373418505503803</v>
      </c>
      <c r="J963" s="1">
        <v>1.6845518916156928E-2</v>
      </c>
      <c r="K963" s="1">
        <v>2.5041785195401807</v>
      </c>
      <c r="L963" s="1">
        <v>3.1139034429214858</v>
      </c>
      <c r="M963" s="1">
        <v>8.066708979535317E-2</v>
      </c>
      <c r="N963" s="1">
        <v>0.67980932235494052</v>
      </c>
      <c r="O963" s="1">
        <v>0.18704000000000001</v>
      </c>
      <c r="P963" s="1">
        <v>0.16595443684588165</v>
      </c>
      <c r="Q963" s="1">
        <v>0.5266025907749744</v>
      </c>
      <c r="R963" s="2">
        <f t="shared" si="59"/>
        <v>25.947806674744843</v>
      </c>
      <c r="S963" s="2">
        <f t="shared" si="58"/>
        <v>2.6869784753022192</v>
      </c>
      <c r="T963" s="2">
        <f t="shared" si="60"/>
        <v>4.0614198550717795</v>
      </c>
      <c r="U963" s="2">
        <f t="shared" si="61"/>
        <v>32.696205005118841</v>
      </c>
    </row>
    <row r="964" spans="1:21" x14ac:dyDescent="0.25">
      <c r="A964">
        <v>2801901</v>
      </c>
      <c r="B964">
        <v>7</v>
      </c>
      <c r="C964" s="1">
        <f>11.5521693610124*(10.3/7.3)</f>
        <v>16.299636221702411</v>
      </c>
      <c r="D964" s="1">
        <f>14.4479319586743*(10.3/7.3)</f>
        <v>20.385438243061028</v>
      </c>
      <c r="E964" s="1">
        <f>51.4537816766878*(10.3/7.3)</f>
        <v>72.599171406833477</v>
      </c>
      <c r="F964" s="1">
        <f>84.3410619243889*(38.9/42.5)</f>
        <v>77.19687785549948</v>
      </c>
      <c r="G964" s="1">
        <v>2.2257569126866921</v>
      </c>
      <c r="H964" s="1">
        <v>5.4435908158873954</v>
      </c>
      <c r="I964" s="1">
        <v>59.977650931155225</v>
      </c>
      <c r="J964" s="1">
        <v>4.0635343866984378E-2</v>
      </c>
      <c r="K964" s="1">
        <v>2.9035364875892213</v>
      </c>
      <c r="L964" s="1">
        <v>3.3176954524727078</v>
      </c>
      <c r="M964" s="1">
        <v>0.23673800500698014</v>
      </c>
      <c r="N964" s="1">
        <v>2.007699459415321</v>
      </c>
      <c r="O964" s="1">
        <v>0.1720685714285714</v>
      </c>
      <c r="P964" s="1">
        <v>0.13125757588324688</v>
      </c>
      <c r="Q964" s="1">
        <v>3.5571457508691462</v>
      </c>
      <c r="R964" s="2">
        <f t="shared" si="59"/>
        <v>257.68526813769489</v>
      </c>
      <c r="S964" s="2">
        <f t="shared" si="58"/>
        <v>3.0754294073394526</v>
      </c>
      <c r="T964" s="2">
        <f t="shared" si="60"/>
        <v>5.7342014883235803</v>
      </c>
      <c r="U964" s="2">
        <f t="shared" si="61"/>
        <v>266.49489903335797</v>
      </c>
    </row>
    <row r="965" spans="1:21" x14ac:dyDescent="0.25">
      <c r="A965">
        <v>2802173</v>
      </c>
      <c r="B965">
        <v>8</v>
      </c>
      <c r="C965" s="1">
        <f>23.0760315543298*(10.3/7.3)</f>
        <v>32.559332193095528</v>
      </c>
      <c r="D965" s="1">
        <f>21.9230166666914*(10.3/7.3)</f>
        <v>30.932475570811121</v>
      </c>
      <c r="E965" s="1">
        <f>79.4135006993056*(10.3/7.3)</f>
        <v>112.0491859181983</v>
      </c>
      <c r="F965" s="1">
        <f>118.917303381706*(38.9/42.5)</f>
        <v>108.84430827172585</v>
      </c>
      <c r="G965" s="1">
        <v>2.0868866032800297</v>
      </c>
      <c r="H965" s="1">
        <v>4.5859921658099827</v>
      </c>
      <c r="I965" s="1">
        <v>95.03701458884079</v>
      </c>
      <c r="J965" s="1">
        <v>4.9678368788573374E-2</v>
      </c>
      <c r="K965" s="1">
        <v>3.2933107505997836</v>
      </c>
      <c r="L965" s="1">
        <v>3.8561924713978719</v>
      </c>
      <c r="M965" s="1">
        <v>0.1543106851147617</v>
      </c>
      <c r="N965" s="1">
        <v>2.2843061856170332</v>
      </c>
      <c r="O965" s="1">
        <v>0.13636666666666666</v>
      </c>
      <c r="P965" s="1">
        <v>0.1079830212637766</v>
      </c>
      <c r="Q965" s="1">
        <v>3.3352069002192293</v>
      </c>
      <c r="R965" s="2">
        <f t="shared" si="59"/>
        <v>389.43040221198083</v>
      </c>
      <c r="S965" s="2">
        <f t="shared" si="58"/>
        <v>3.4509721406521336</v>
      </c>
      <c r="T965" s="2">
        <f t="shared" si="60"/>
        <v>6.4311760087963341</v>
      </c>
      <c r="U965" s="2">
        <f t="shared" si="61"/>
        <v>399.31255036142932</v>
      </c>
    </row>
    <row r="966" spans="1:21" x14ac:dyDescent="0.25">
      <c r="A966">
        <v>2802213</v>
      </c>
      <c r="B966">
        <v>6</v>
      </c>
      <c r="C966" s="1">
        <f>13.9654383844658*(10.3/7.3)</f>
        <v>19.704659638355803</v>
      </c>
      <c r="D966" s="1">
        <f>13.9515618741674*(10.3/7.3)</f>
        <v>19.685080452592327</v>
      </c>
      <c r="E966" s="1">
        <f>50.3798211733143*(10.3/7.3)</f>
        <v>71.083857271936651</v>
      </c>
      <c r="F966" s="1">
        <f>76.0937889975511*(38.9/42.5)</f>
        <v>69.648197458934987</v>
      </c>
      <c r="G966" s="1">
        <v>1.4302415640988586</v>
      </c>
      <c r="H966" s="1">
        <v>5.4008504454091328</v>
      </c>
      <c r="I966" s="1">
        <v>59.272050601882377</v>
      </c>
      <c r="J966" s="1">
        <v>3.2754704203221005E-2</v>
      </c>
      <c r="K966" s="1">
        <v>2.5203995962969405</v>
      </c>
      <c r="L966" s="1">
        <v>5.9937283500060587</v>
      </c>
      <c r="M966" s="1">
        <v>0.11450179609534994</v>
      </c>
      <c r="N966" s="1">
        <v>2.0086812515982917</v>
      </c>
      <c r="O966" s="1">
        <v>0.10918222222222222</v>
      </c>
      <c r="P966" s="1">
        <v>8.9758650254341363E-2</v>
      </c>
      <c r="Q966" s="1">
        <v>2.2857741891990915</v>
      </c>
      <c r="R966" s="2">
        <f t="shared" si="59"/>
        <v>248.51071162240922</v>
      </c>
      <c r="S966" s="2">
        <f t="shared" si="58"/>
        <v>2.6429129507545026</v>
      </c>
      <c r="T966" s="2">
        <f t="shared" si="60"/>
        <v>8.2260936199219223</v>
      </c>
      <c r="U966" s="2">
        <f t="shared" si="61"/>
        <v>259.37971819308564</v>
      </c>
    </row>
    <row r="967" spans="1:21" x14ac:dyDescent="0.25">
      <c r="A967">
        <v>2802221</v>
      </c>
      <c r="B967">
        <v>68</v>
      </c>
      <c r="C967" s="1">
        <f>16.6962753948548*(10.3/7.3)</f>
        <v>23.557758433836288</v>
      </c>
      <c r="D967" s="1">
        <f>16.4151854836745*(10.3/7.3)</f>
        <v>23.161152120800953</v>
      </c>
      <c r="E967" s="1">
        <f>59.3274152859273*(10.3/7.3)</f>
        <v>83.708544855486466</v>
      </c>
      <c r="F967" s="1">
        <f>89.7075027370729*(38.9/42.5)</f>
        <v>82.108749564050242</v>
      </c>
      <c r="G967" s="1">
        <v>1.6735738674494052</v>
      </c>
      <c r="H967" s="1">
        <v>5.9925600313083658</v>
      </c>
      <c r="I967" s="1">
        <v>70.480678997616224</v>
      </c>
      <c r="J967" s="1">
        <v>4.1006445909868829E-2</v>
      </c>
      <c r="K967" s="1">
        <v>3.0483741884240154</v>
      </c>
      <c r="L967" s="1">
        <v>4.7422376187277058</v>
      </c>
      <c r="M967" s="1">
        <v>0.13723602071964502</v>
      </c>
      <c r="N967" s="1">
        <v>1.8484751074515686</v>
      </c>
      <c r="O967" s="1">
        <v>0.12678588235294116</v>
      </c>
      <c r="P967" s="1">
        <v>0.10172638914946125</v>
      </c>
      <c r="Q967" s="1">
        <v>2.6746614319967699</v>
      </c>
      <c r="R967" s="2">
        <f t="shared" si="59"/>
        <v>293.35767930254468</v>
      </c>
      <c r="S967" s="2">
        <f t="shared" si="58"/>
        <v>3.1911070234833456</v>
      </c>
      <c r="T967" s="2">
        <f t="shared" si="60"/>
        <v>6.8547346292518601</v>
      </c>
      <c r="U967" s="2">
        <f t="shared" si="61"/>
        <v>303.40352095527993</v>
      </c>
    </row>
    <row r="968" spans="1:21" x14ac:dyDescent="0.25">
      <c r="A968">
        <v>2802229</v>
      </c>
      <c r="B968">
        <v>23</v>
      </c>
      <c r="C968" s="1">
        <f>14.0958933820432*(10.3/7.3)</f>
        <v>19.888726278773284</v>
      </c>
      <c r="D968" s="1">
        <f>13.7544870227276*(10.3/7.3)</f>
        <v>19.407015936177359</v>
      </c>
      <c r="E968" s="1">
        <f>49.6909684769962*(10.3/7.3)</f>
        <v>70.111914426446702</v>
      </c>
      <c r="F968" s="1">
        <f>77.2119655072251*(38.9/42.5)</f>
        <v>70.671657840730759</v>
      </c>
      <c r="G968" s="1">
        <v>1.5683254882233444</v>
      </c>
      <c r="H968" s="1">
        <v>4.2680254661676766</v>
      </c>
      <c r="I968" s="1">
        <v>61.135325383039039</v>
      </c>
      <c r="J968" s="1">
        <v>3.6939487039144334E-2</v>
      </c>
      <c r="K968" s="1">
        <v>2.8625820668403321</v>
      </c>
      <c r="L968" s="1">
        <v>4.020488675531924</v>
      </c>
      <c r="M968" s="1">
        <v>0.12745564182943089</v>
      </c>
      <c r="N968" s="1">
        <v>1.7114867533557641</v>
      </c>
      <c r="O968" s="1">
        <v>0.11901217391304349</v>
      </c>
      <c r="P968" s="1">
        <v>9.6533048839649013E-2</v>
      </c>
      <c r="Q968" s="1">
        <v>2.5064562597176767</v>
      </c>
      <c r="R968" s="2">
        <f t="shared" si="59"/>
        <v>249.55744707927582</v>
      </c>
      <c r="S968" s="2">
        <f t="shared" si="58"/>
        <v>2.9960546027191257</v>
      </c>
      <c r="T968" s="2">
        <f t="shared" si="60"/>
        <v>5.9784432446301627</v>
      </c>
      <c r="U968" s="2">
        <f t="shared" si="61"/>
        <v>258.5319449266251</v>
      </c>
    </row>
    <row r="969" spans="1:21" x14ac:dyDescent="0.25">
      <c r="A969">
        <v>2813617</v>
      </c>
      <c r="B969">
        <v>9</v>
      </c>
      <c r="C969" s="1">
        <f>0.541013037519707*(10.3/7.3)</f>
        <v>0.76334716252780599</v>
      </c>
      <c r="D969" s="1">
        <f>0.733715324875694*(10.3/7.3)</f>
        <v>1.0352421707150201</v>
      </c>
      <c r="E969" s="1">
        <f>2.5704478864993*(10.3/7.3)</f>
        <v>3.6267963330058599</v>
      </c>
      <c r="F969" s="1">
        <f>5.88632147171576*(38.9/42.5)</f>
        <v>5.387715417641016</v>
      </c>
      <c r="G969" s="1">
        <v>0.25505199651855442</v>
      </c>
      <c r="H969" s="1">
        <v>3.1810544449896021</v>
      </c>
      <c r="I969" s="1">
        <v>4.3924403476903855</v>
      </c>
      <c r="J969" s="1">
        <v>1.4069520724767843E-2</v>
      </c>
      <c r="K969" s="1">
        <v>2.0973593667983534</v>
      </c>
      <c r="L969" s="1">
        <v>2.2477975251570368</v>
      </c>
      <c r="M969" s="1">
        <v>6.7953255650133715E-2</v>
      </c>
      <c r="N969" s="1">
        <v>0.58477939481480989</v>
      </c>
      <c r="O969" s="1">
        <v>0.15684148148148147</v>
      </c>
      <c r="P969" s="1">
        <v>0.13724920285165768</v>
      </c>
      <c r="Q969" s="1">
        <v>0.40761734603421984</v>
      </c>
      <c r="R969" s="2">
        <f t="shared" si="59"/>
        <v>19.049265219122464</v>
      </c>
      <c r="S969" s="2">
        <f t="shared" ref="S969:S1032" si="62">J969+K969+P969</f>
        <v>2.2486780903747792</v>
      </c>
      <c r="T969" s="2">
        <f t="shared" si="60"/>
        <v>3.0573716571034617</v>
      </c>
      <c r="U969" s="2">
        <f t="shared" si="61"/>
        <v>24.355314966600705</v>
      </c>
    </row>
    <row r="970" spans="1:21" x14ac:dyDescent="0.25">
      <c r="A970">
        <v>2813633</v>
      </c>
      <c r="B970">
        <v>1</v>
      </c>
      <c r="C970" s="1">
        <f>0.56238803114932*(10.3/7.3)</f>
        <v>0.79350640011479401</v>
      </c>
      <c r="D970" s="1">
        <f>0.745572872388264*(10.3/7.3)</f>
        <v>1.0519726829587828</v>
      </c>
      <c r="E970" s="1">
        <f>2.62067990201642*(10.3/7.3)</f>
        <v>3.6976716425711094</v>
      </c>
      <c r="F970" s="1">
        <f>5.68728862218549*(38.9/42.5)</f>
        <v>5.2055418212474232</v>
      </c>
      <c r="G970" s="1">
        <v>0.2327227271215622</v>
      </c>
      <c r="H970" s="1">
        <v>2.8347326780641233</v>
      </c>
      <c r="I970" s="1">
        <v>4.2257173738351037</v>
      </c>
      <c r="J970" s="1">
        <v>1.4426892774542456E-2</v>
      </c>
      <c r="K970" s="1">
        <v>2.1891797451063808</v>
      </c>
      <c r="L970" s="1">
        <v>2.4938491883474811</v>
      </c>
      <c r="M970" s="1">
        <v>6.8476924581100371E-2</v>
      </c>
      <c r="N970" s="1">
        <v>0.58846397396617878</v>
      </c>
      <c r="O970" s="1">
        <v>0.16165333333333332</v>
      </c>
      <c r="P970" s="1">
        <v>0.14481878476028884</v>
      </c>
      <c r="Q970" s="1">
        <v>0.37193129905272537</v>
      </c>
      <c r="R970" s="2">
        <f t="shared" ref="R970:R1033" si="63">C970+D970+E970+F970+G970+H970+I970+Q970</f>
        <v>18.413796624965624</v>
      </c>
      <c r="S970" s="2">
        <f t="shared" si="62"/>
        <v>2.348425422641212</v>
      </c>
      <c r="T970" s="2">
        <f t="shared" ref="T970:T1033" si="64">L970+M970+N970+O970</f>
        <v>3.3124434202280937</v>
      </c>
      <c r="U970" s="2">
        <f t="shared" ref="U970:U1033" si="65">R970+S970+T970</f>
        <v>24.074665467834929</v>
      </c>
    </row>
    <row r="971" spans="1:21" x14ac:dyDescent="0.25">
      <c r="A971">
        <v>2813961</v>
      </c>
      <c r="B971">
        <v>15</v>
      </c>
      <c r="C971" s="1">
        <f>7.09570130141798*(10.3/7.3)</f>
        <v>10.011742932137699</v>
      </c>
      <c r="D971" s="1">
        <f>7.43435288447661*(10.3/7.3)</f>
        <v>10.489566398645074</v>
      </c>
      <c r="E971" s="1">
        <f>26.4307539624517*(10.3/7.3)</f>
        <v>37.292707645651056</v>
      </c>
      <c r="F971" s="1">
        <f>57.185722967549*(38.9/42.5)</f>
        <v>52.341755845591898</v>
      </c>
      <c r="G971" s="1">
        <v>2.2242241278146535</v>
      </c>
      <c r="H971" s="1">
        <v>5.3821515333248913</v>
      </c>
      <c r="I971" s="1">
        <v>45.839634878345485</v>
      </c>
      <c r="J971" s="1">
        <v>6.9383170556531912E-2</v>
      </c>
      <c r="K971" s="1">
        <v>4.1159419555705048</v>
      </c>
      <c r="L971" s="1">
        <v>5.3377935290896339</v>
      </c>
      <c r="M971" s="1">
        <v>0.18051640064947652</v>
      </c>
      <c r="N971" s="1">
        <v>3.0468067781984591</v>
      </c>
      <c r="O971" s="1">
        <v>0.27770311111111112</v>
      </c>
      <c r="P971" s="1">
        <v>0.18827770578547767</v>
      </c>
      <c r="Q971" s="1">
        <v>3.5546960946809572</v>
      </c>
      <c r="R971" s="2">
        <f t="shared" si="63"/>
        <v>167.13647945619172</v>
      </c>
      <c r="S971" s="2">
        <f t="shared" si="62"/>
        <v>4.373602831912514</v>
      </c>
      <c r="T971" s="2">
        <f t="shared" si="64"/>
        <v>8.84281981904868</v>
      </c>
      <c r="U971" s="2">
        <f t="shared" si="65"/>
        <v>180.35290210715291</v>
      </c>
    </row>
    <row r="972" spans="1:21" x14ac:dyDescent="0.25">
      <c r="A972">
        <v>2814089</v>
      </c>
      <c r="B972">
        <v>4</v>
      </c>
      <c r="C972" s="1">
        <f>11.1671065321169*(10.3/7.3)</f>
        <v>15.756328394630696</v>
      </c>
      <c r="D972" s="1">
        <f>11.0814619415864*(10.3/7.3)</f>
        <v>15.635487397032886</v>
      </c>
      <c r="E972" s="1">
        <f>39.6457073144357*(10.3/7.3)</f>
        <v>55.938463745025651</v>
      </c>
      <c r="F972" s="1">
        <f>79.1271032164432*(38.9/42.5)</f>
        <v>72.424572120462159</v>
      </c>
      <c r="G972" s="1">
        <v>2.7354845218830004</v>
      </c>
      <c r="H972" s="1">
        <v>6.4351690105478658</v>
      </c>
      <c r="I972" s="1">
        <v>64.109580766852474</v>
      </c>
      <c r="J972" s="1">
        <v>4.6630687689951274E-2</v>
      </c>
      <c r="K972" s="1">
        <v>3.0780986746878374</v>
      </c>
      <c r="L972" s="1">
        <v>3.5886283432423709</v>
      </c>
      <c r="M972" s="1">
        <v>0.17936929279531044</v>
      </c>
      <c r="N972" s="1">
        <v>2.2665634947548354</v>
      </c>
      <c r="O972" s="1">
        <v>0.18637333333333334</v>
      </c>
      <c r="P972" s="1">
        <v>0.13625534664369129</v>
      </c>
      <c r="Q972" s="1">
        <v>4.3717789162513752</v>
      </c>
      <c r="R972" s="2">
        <f t="shared" si="63"/>
        <v>237.4068648726861</v>
      </c>
      <c r="S972" s="2">
        <f t="shared" si="62"/>
        <v>3.2609847090214799</v>
      </c>
      <c r="T972" s="2">
        <f t="shared" si="64"/>
        <v>6.2209344641258495</v>
      </c>
      <c r="U972" s="2">
        <f t="shared" si="65"/>
        <v>246.88878404583343</v>
      </c>
    </row>
    <row r="973" spans="1:21" x14ac:dyDescent="0.25">
      <c r="A973">
        <v>2814121</v>
      </c>
      <c r="B973">
        <v>3</v>
      </c>
      <c r="C973" s="1">
        <f>16.9021766396648*(10.3/7.3)</f>
        <v>23.84827662856809</v>
      </c>
      <c r="D973" s="1">
        <f>20.5677229324279*(10.3/7.3)</f>
        <v>29.020211808768178</v>
      </c>
      <c r="E973" s="1">
        <f>73.2886322935095*(10.3/7.3)</f>
        <v>103.40724830454081</v>
      </c>
      <c r="F973" s="1">
        <f>122.709905195097*(38.9/42.5)</f>
        <v>112.31565440210085</v>
      </c>
      <c r="G973" s="1">
        <v>3.3536822071905465</v>
      </c>
      <c r="H973" s="1">
        <v>8.0506094542327471</v>
      </c>
      <c r="I973" s="1">
        <v>88.774288711280519</v>
      </c>
      <c r="J973" s="1">
        <v>5.5314404179098664E-2</v>
      </c>
      <c r="K973" s="1">
        <v>3.6117648240575977</v>
      </c>
      <c r="L973" s="1">
        <v>4.5619030716929254</v>
      </c>
      <c r="M973" s="1">
        <v>0.2823975661750357</v>
      </c>
      <c r="N973" s="1">
        <v>2.5516232694820338</v>
      </c>
      <c r="O973" s="1">
        <v>0.22122666666666668</v>
      </c>
      <c r="P973" s="1">
        <v>0.1535006336492328</v>
      </c>
      <c r="Q973" s="1">
        <v>5.359766084551107</v>
      </c>
      <c r="R973" s="2">
        <f t="shared" si="63"/>
        <v>374.12973760123288</v>
      </c>
      <c r="S973" s="2">
        <f t="shared" si="62"/>
        <v>3.8205798618859292</v>
      </c>
      <c r="T973" s="2">
        <f t="shared" si="64"/>
        <v>7.6171505740166605</v>
      </c>
      <c r="U973" s="2">
        <f t="shared" si="65"/>
        <v>385.56746803713543</v>
      </c>
    </row>
    <row r="974" spans="1:21" x14ac:dyDescent="0.25">
      <c r="A974">
        <v>2814129</v>
      </c>
      <c r="B974">
        <v>17</v>
      </c>
      <c r="C974" s="1">
        <f>11.8074777561374*(10.3/7.3)</f>
        <v>16.659865875098014</v>
      </c>
      <c r="D974" s="1">
        <f>14.7765148594433*(10.3/7.3)</f>
        <v>20.849055212639239</v>
      </c>
      <c r="E974" s="1">
        <f>52.6302506272077*(10.3/7.3)</f>
        <v>74.259120747978002</v>
      </c>
      <c r="F974" s="1">
        <f>85.8802197686465*(38.9/42.5)</f>
        <v>78.605659976478819</v>
      </c>
      <c r="G974" s="1">
        <v>2.2444839372703589</v>
      </c>
      <c r="H974" s="1">
        <v>7.3451355291383607</v>
      </c>
      <c r="I974" s="1">
        <v>60.983321160677768</v>
      </c>
      <c r="J974" s="1">
        <v>4.0399293372255084E-2</v>
      </c>
      <c r="K974" s="1">
        <v>2.9009668656805623</v>
      </c>
      <c r="L974" s="1">
        <v>3.2883893555488588</v>
      </c>
      <c r="M974" s="1">
        <v>0.2287592843600123</v>
      </c>
      <c r="N974" s="1">
        <v>1.9695524670291515</v>
      </c>
      <c r="O974" s="1">
        <v>0.17271215686274513</v>
      </c>
      <c r="P974" s="1">
        <v>0.1315936697442962</v>
      </c>
      <c r="Q974" s="1">
        <v>3.5870747855919021</v>
      </c>
      <c r="R974" s="2">
        <f t="shared" si="63"/>
        <v>264.53371722487242</v>
      </c>
      <c r="S974" s="2">
        <f t="shared" si="62"/>
        <v>3.0729598287971136</v>
      </c>
      <c r="T974" s="2">
        <f t="shared" si="64"/>
        <v>5.6594132638007677</v>
      </c>
      <c r="U974" s="2">
        <f t="shared" si="65"/>
        <v>273.26609031747034</v>
      </c>
    </row>
    <row r="975" spans="1:21" x14ac:dyDescent="0.25">
      <c r="A975">
        <v>2814137</v>
      </c>
      <c r="B975">
        <v>19</v>
      </c>
      <c r="C975" s="1">
        <f>6.62547939186872*(10.3/7.3)</f>
        <v>9.3482791419517621</v>
      </c>
      <c r="D975" s="1">
        <f>7.73164751684722*(10.3/7.3)</f>
        <v>10.909036907332379</v>
      </c>
      <c r="E975" s="1">
        <f>27.5590587423003*(10.3/7.3)</f>
        <v>38.884699321327851</v>
      </c>
      <c r="F975" s="1">
        <f>48.4263058385793*(38.9/42.5)</f>
        <v>44.324312873429051</v>
      </c>
      <c r="G975" s="1">
        <v>1.4331780572221315</v>
      </c>
      <c r="H975" s="1">
        <v>3.946024404308532</v>
      </c>
      <c r="I975" s="1">
        <v>36.043583901819893</v>
      </c>
      <c r="J975" s="1">
        <v>3.0910622738768129E-2</v>
      </c>
      <c r="K975" s="1">
        <v>2.3242991306269962</v>
      </c>
      <c r="L975" s="1">
        <v>2.5032966838726121</v>
      </c>
      <c r="M975" s="1">
        <v>0.18534678653693409</v>
      </c>
      <c r="N975" s="1">
        <v>1.6292355091208484</v>
      </c>
      <c r="O975" s="1">
        <v>0.13365614035087722</v>
      </c>
      <c r="P975" s="1">
        <v>0.11078972001459286</v>
      </c>
      <c r="Q975" s="1">
        <v>2.2904672147385687</v>
      </c>
      <c r="R975" s="2">
        <f t="shared" si="63"/>
        <v>147.17958182213016</v>
      </c>
      <c r="S975" s="2">
        <f t="shared" si="62"/>
        <v>2.4659994733803572</v>
      </c>
      <c r="T975" s="2">
        <f t="shared" si="64"/>
        <v>4.4515351198812718</v>
      </c>
      <c r="U975" s="2">
        <f t="shared" si="65"/>
        <v>154.09711641539178</v>
      </c>
    </row>
    <row r="976" spans="1:21" x14ac:dyDescent="0.25">
      <c r="A976">
        <v>2814409</v>
      </c>
      <c r="B976">
        <v>33</v>
      </c>
      <c r="C976" s="1">
        <f>19.9249700640219*(10.3/7.3)</f>
        <v>28.113313925948759</v>
      </c>
      <c r="D976" s="1">
        <f>19.028101161421*(10.3/7.3)</f>
        <v>26.847868762004982</v>
      </c>
      <c r="E976" s="1">
        <f>68.8968416665786*(10.3/7.3)</f>
        <v>97.210612214487668</v>
      </c>
      <c r="F976" s="1">
        <f>103.631522683131*(38.9/42.5)</f>
        <v>94.853323114677352</v>
      </c>
      <c r="G976" s="1">
        <v>1.8567552115527404</v>
      </c>
      <c r="H976" s="1">
        <v>3.9984727552850972</v>
      </c>
      <c r="I976" s="1">
        <v>82.635363367162782</v>
      </c>
      <c r="J976" s="1">
        <v>4.4301104536272361E-2</v>
      </c>
      <c r="K976" s="1">
        <v>3.0403460983272157</v>
      </c>
      <c r="L976" s="1">
        <v>3.5601709721421164</v>
      </c>
      <c r="M976" s="1">
        <v>0.14276103717098387</v>
      </c>
      <c r="N976" s="1">
        <v>2.0698501167029897</v>
      </c>
      <c r="O976" s="1">
        <v>0.12885171717171717</v>
      </c>
      <c r="P976" s="1">
        <v>0.10326409781995845</v>
      </c>
      <c r="Q976" s="1">
        <v>2.9674170047646573</v>
      </c>
      <c r="R976" s="2">
        <f t="shared" si="63"/>
        <v>338.48312635588405</v>
      </c>
      <c r="S976" s="2">
        <f t="shared" si="62"/>
        <v>3.1879113006834467</v>
      </c>
      <c r="T976" s="2">
        <f t="shared" si="64"/>
        <v>5.9016338431878061</v>
      </c>
      <c r="U976" s="2">
        <f t="shared" si="65"/>
        <v>347.5726714997553</v>
      </c>
    </row>
    <row r="977" spans="1:21" x14ac:dyDescent="0.25">
      <c r="A977">
        <v>2814449</v>
      </c>
      <c r="B977">
        <v>65</v>
      </c>
      <c r="C977" s="1">
        <f>18.6093574495552*(10.3/7.3)</f>
        <v>26.25703859320797</v>
      </c>
      <c r="D977" s="1">
        <f>18.3918582121548*(10.3/7.3)</f>
        <v>25.950156107560879</v>
      </c>
      <c r="E977" s="1">
        <f>66.4566003578039*(10.3/7.3)</f>
        <v>93.767532011695906</v>
      </c>
      <c r="F977" s="1">
        <f>100.249765506635*(38.9/42.5)</f>
        <v>91.758020663720089</v>
      </c>
      <c r="G977" s="1">
        <v>1.8617322962304781</v>
      </c>
      <c r="H977" s="1">
        <v>5.6422825986257799</v>
      </c>
      <c r="I977" s="1">
        <v>78.518631028418326</v>
      </c>
      <c r="J977" s="1">
        <v>4.379038501495601E-2</v>
      </c>
      <c r="K977" s="1">
        <v>3.2170763469975658</v>
      </c>
      <c r="L977" s="1">
        <v>5.902071887164051</v>
      </c>
      <c r="M977" s="1">
        <v>0.14635020029293885</v>
      </c>
      <c r="N977" s="1">
        <v>2.0396333423622348</v>
      </c>
      <c r="O977" s="1">
        <v>0.13352943589743593</v>
      </c>
      <c r="P977" s="1">
        <v>0.10616062988854061</v>
      </c>
      <c r="Q977" s="1">
        <v>2.9753712496834157</v>
      </c>
      <c r="R977" s="2">
        <f t="shared" si="63"/>
        <v>326.73076454914286</v>
      </c>
      <c r="S977" s="2">
        <f t="shared" si="62"/>
        <v>3.3670273619010622</v>
      </c>
      <c r="T977" s="2">
        <f t="shared" si="64"/>
        <v>8.221584865716661</v>
      </c>
      <c r="U977" s="2">
        <f t="shared" si="65"/>
        <v>338.31937677676058</v>
      </c>
    </row>
    <row r="978" spans="1:21" x14ac:dyDescent="0.25">
      <c r="A978">
        <v>2814457</v>
      </c>
      <c r="B978">
        <v>59</v>
      </c>
      <c r="C978" s="1">
        <f>14.8801819006647*(10.3/7.3)</f>
        <v>20.995325147513249</v>
      </c>
      <c r="D978" s="1">
        <f>14.6720218373899*(10.3/7.3)</f>
        <v>20.701619852755563</v>
      </c>
      <c r="E978" s="1">
        <f>52.9775029727473*(10.3/7.3)</f>
        <v>74.749079536890036</v>
      </c>
      <c r="F978" s="1">
        <f>82.162012394552*(38.9/42.5)</f>
        <v>75.202406638778157</v>
      </c>
      <c r="G978" s="1">
        <v>1.6700912212873058</v>
      </c>
      <c r="H978" s="1">
        <v>4.1538799117004874</v>
      </c>
      <c r="I978" s="1">
        <v>64.689165820140673</v>
      </c>
      <c r="J978" s="1">
        <v>3.8180778919697379E-2</v>
      </c>
      <c r="K978" s="1">
        <v>2.9409898512661519</v>
      </c>
      <c r="L978" s="1">
        <v>4.2190199577403069</v>
      </c>
      <c r="M978" s="1">
        <v>0.13246370826423784</v>
      </c>
      <c r="N978" s="1">
        <v>1.7372065810655617</v>
      </c>
      <c r="O978" s="1">
        <v>0.12304271186440682</v>
      </c>
      <c r="P978" s="1">
        <v>9.9156960865219218E-2</v>
      </c>
      <c r="Q978" s="1">
        <v>2.6690955591349663</v>
      </c>
      <c r="R978" s="2">
        <f t="shared" si="63"/>
        <v>264.83066368820045</v>
      </c>
      <c r="S978" s="2">
        <f t="shared" si="62"/>
        <v>3.0783275910510683</v>
      </c>
      <c r="T978" s="2">
        <f t="shared" si="64"/>
        <v>6.2117329589345127</v>
      </c>
      <c r="U978" s="2">
        <f t="shared" si="65"/>
        <v>274.12072423818603</v>
      </c>
    </row>
    <row r="979" spans="1:21" x14ac:dyDescent="0.25">
      <c r="A979">
        <v>2825853</v>
      </c>
      <c r="B979">
        <v>5</v>
      </c>
      <c r="C979" s="1">
        <f>0.533312729255623*(10.3/7.3)</f>
        <v>0.75248234401820768</v>
      </c>
      <c r="D979" s="1">
        <f>0.7220163702912*(10.3/7.3)</f>
        <v>1.0187354265752546</v>
      </c>
      <c r="E979" s="1">
        <f>2.53035041827634*(10.3/7.3)</f>
        <v>3.5702204531844286</v>
      </c>
      <c r="F979" s="1">
        <f>5.75874827194222*(38.9/42.5)</f>
        <v>5.2709484183188824</v>
      </c>
      <c r="G979" s="1">
        <v>0.24800152672603909</v>
      </c>
      <c r="H979" s="1">
        <v>3.1861602557144004</v>
      </c>
      <c r="I979" s="1">
        <v>4.2940092187251109</v>
      </c>
      <c r="J979" s="1">
        <v>1.4014453369340828E-2</v>
      </c>
      <c r="K979" s="1">
        <v>2.1007640489206318</v>
      </c>
      <c r="L979" s="1">
        <v>2.2499730136403713</v>
      </c>
      <c r="M979" s="1">
        <v>6.6720014038960926E-2</v>
      </c>
      <c r="N979" s="1">
        <v>0.57593319261138753</v>
      </c>
      <c r="O979" s="1">
        <v>0.15723733333333334</v>
      </c>
      <c r="P979" s="1">
        <v>0.13967783747167251</v>
      </c>
      <c r="Q979" s="1">
        <v>0.39634947193659265</v>
      </c>
      <c r="R979" s="2">
        <f t="shared" si="63"/>
        <v>18.736907115198914</v>
      </c>
      <c r="S979" s="2">
        <f t="shared" si="62"/>
        <v>2.2544563397616448</v>
      </c>
      <c r="T979" s="2">
        <f t="shared" si="64"/>
        <v>3.049863553624053</v>
      </c>
      <c r="U979" s="2">
        <f t="shared" si="65"/>
        <v>24.041227008584613</v>
      </c>
    </row>
    <row r="980" spans="1:21" x14ac:dyDescent="0.25">
      <c r="A980">
        <v>2825861</v>
      </c>
      <c r="B980">
        <v>4</v>
      </c>
      <c r="C980" s="1">
        <f>0.666043473859384*(10.3/7.3)</f>
        <v>0.93975996996598044</v>
      </c>
      <c r="D980" s="1">
        <f>0.884329190660931*(10.3/7.3)</f>
        <v>1.2477521457270671</v>
      </c>
      <c r="E980" s="1">
        <f>3.10727754611989*(10.3/7.3)</f>
        <v>4.3842409212376552</v>
      </c>
      <c r="F980" s="1">
        <f>6.79031423000482*(38.9/42.5)</f>
        <v>6.2151346716985314</v>
      </c>
      <c r="G980" s="1">
        <v>0.27995932491559988</v>
      </c>
      <c r="H980" s="1">
        <v>3.415182739409639</v>
      </c>
      <c r="I980" s="1">
        <v>5.0501712004883821</v>
      </c>
      <c r="J980" s="1">
        <v>1.5731677929887104E-2</v>
      </c>
      <c r="K980" s="1">
        <v>2.3740461942824305</v>
      </c>
      <c r="L980" s="1">
        <v>2.8003245826805347</v>
      </c>
      <c r="M980" s="1">
        <v>7.5186201700532238E-2</v>
      </c>
      <c r="N980" s="1">
        <v>0.64212973857160938</v>
      </c>
      <c r="O980" s="1">
        <v>0.17692000000000002</v>
      </c>
      <c r="P980" s="1">
        <v>0.15783867280859498</v>
      </c>
      <c r="Q980" s="1">
        <v>0.44742357863223775</v>
      </c>
      <c r="R980" s="2">
        <f t="shared" si="63"/>
        <v>21.979624552075091</v>
      </c>
      <c r="S980" s="2">
        <f t="shared" si="62"/>
        <v>2.5476165450209125</v>
      </c>
      <c r="T980" s="2">
        <f t="shared" si="64"/>
        <v>3.6945605229526763</v>
      </c>
      <c r="U980" s="2">
        <f t="shared" si="65"/>
        <v>28.22180162004868</v>
      </c>
    </row>
    <row r="981" spans="1:21" x14ac:dyDescent="0.25">
      <c r="A981">
        <v>2826189</v>
      </c>
      <c r="B981">
        <v>36</v>
      </c>
      <c r="C981" s="1">
        <f>7.27468921391274*(10.3/7.3)</f>
        <v>10.264287521000172</v>
      </c>
      <c r="D981" s="1">
        <f>7.67088056486858*(10.3/7.3)</f>
        <v>10.823297235362515</v>
      </c>
      <c r="E981" s="1">
        <f>27.2379119979575*(10.3/7.3)</f>
        <v>38.431574462871552</v>
      </c>
      <c r="F981" s="1">
        <f>60.1704294258251*(38.9/42.5)</f>
        <v>55.073640109755232</v>
      </c>
      <c r="G981" s="1">
        <v>2.3994725315176897</v>
      </c>
      <c r="H981" s="1">
        <v>4.6978683913040165</v>
      </c>
      <c r="I981" s="1">
        <v>48.246930690812739</v>
      </c>
      <c r="J981" s="1">
        <v>7.7269211886030614E-2</v>
      </c>
      <c r="K981" s="1">
        <v>4.3213223049315337</v>
      </c>
      <c r="L981" s="1">
        <v>5.6040856594000186</v>
      </c>
      <c r="M981" s="1">
        <v>0.18675210397017</v>
      </c>
      <c r="N981" s="1">
        <v>2.9596738918850978</v>
      </c>
      <c r="O981" s="1">
        <v>0.29153777777777773</v>
      </c>
      <c r="P981" s="1">
        <v>0.19461698861305785</v>
      </c>
      <c r="Q981" s="1">
        <v>3.8347734521972257</v>
      </c>
      <c r="R981" s="2">
        <f t="shared" si="63"/>
        <v>173.77184439482113</v>
      </c>
      <c r="S981" s="2">
        <f t="shared" si="62"/>
        <v>4.5932085054306224</v>
      </c>
      <c r="T981" s="2">
        <f t="shared" si="64"/>
        <v>9.0420494330330641</v>
      </c>
      <c r="U981" s="2">
        <f t="shared" si="65"/>
        <v>187.40710233328483</v>
      </c>
    </row>
    <row r="982" spans="1:21" x14ac:dyDescent="0.25">
      <c r="A982">
        <v>2826197</v>
      </c>
      <c r="B982">
        <v>11</v>
      </c>
      <c r="C982" s="1">
        <f>6.73076945083358*(10.3/7.3)</f>
        <v>9.496839088162444</v>
      </c>
      <c r="D982" s="1">
        <f>6.97915666233384*(10.3/7.3)</f>
        <v>9.8473032358956996</v>
      </c>
      <c r="E982" s="1">
        <f>24.8486622056616*(10.3/7.3)</f>
        <v>35.060441194289695</v>
      </c>
      <c r="F982" s="1">
        <f>52.6278209273685*(38.9/42.5)</f>
        <v>48.16993491940319</v>
      </c>
      <c r="G982" s="1">
        <v>1.9908088606190888</v>
      </c>
      <c r="H982" s="1">
        <v>4.9396886533696653</v>
      </c>
      <c r="I982" s="1">
        <v>42.232356756795426</v>
      </c>
      <c r="J982" s="1">
        <v>5.8204411683560477E-2</v>
      </c>
      <c r="K982" s="1">
        <v>3.8125711471030512</v>
      </c>
      <c r="L982" s="1">
        <v>4.8267356459989079</v>
      </c>
      <c r="M982" s="1">
        <v>0.16712951310162436</v>
      </c>
      <c r="N982" s="1">
        <v>3.3002950208342487</v>
      </c>
      <c r="O982" s="1">
        <v>0.25303272727272724</v>
      </c>
      <c r="P982" s="1">
        <v>0.1777345090341946</v>
      </c>
      <c r="Q982" s="1">
        <v>3.1816579964232048</v>
      </c>
      <c r="R982" s="2">
        <f t="shared" si="63"/>
        <v>154.9190307049584</v>
      </c>
      <c r="S982" s="2">
        <f t="shared" si="62"/>
        <v>4.0485100678208061</v>
      </c>
      <c r="T982" s="2">
        <f t="shared" si="64"/>
        <v>8.5471929072075081</v>
      </c>
      <c r="U982" s="2">
        <f t="shared" si="65"/>
        <v>167.51473367998673</v>
      </c>
    </row>
    <row r="983" spans="1:21" x14ac:dyDescent="0.25">
      <c r="A983">
        <v>2826317</v>
      </c>
      <c r="B983">
        <v>7</v>
      </c>
      <c r="C983" s="1">
        <f>10.5809063408061*(10.3/7.3)</f>
        <v>14.929224015109986</v>
      </c>
      <c r="D983" s="1">
        <f>10.4211866323643*(10.3/7.3)</f>
        <v>14.703866070322174</v>
      </c>
      <c r="E983" s="1">
        <f>37.3119887257378*(10.3/7.3)</f>
        <v>52.645682722616357</v>
      </c>
      <c r="F983" s="1">
        <f>73.8266618925554*(38.9/42.5)</f>
        <v>67.57310935577425</v>
      </c>
      <c r="G983" s="1">
        <v>2.5148401395530988</v>
      </c>
      <c r="H983" s="1">
        <v>5.8356921263416126</v>
      </c>
      <c r="I983" s="1">
        <v>59.935228619835662</v>
      </c>
      <c r="J983" s="1">
        <v>4.5867820271599934E-2</v>
      </c>
      <c r="K983" s="1">
        <v>3.0444620334699399</v>
      </c>
      <c r="L983" s="1">
        <v>3.4847658697401251</v>
      </c>
      <c r="M983" s="1">
        <v>0.17343337976631495</v>
      </c>
      <c r="N983" s="1">
        <v>2.3323421412906735</v>
      </c>
      <c r="O983" s="1">
        <v>0.18307809523809526</v>
      </c>
      <c r="P983" s="1">
        <v>0.13520199291999296</v>
      </c>
      <c r="Q983" s="1">
        <v>4.0191509079615786</v>
      </c>
      <c r="R983" s="2">
        <f t="shared" si="63"/>
        <v>222.15679395751471</v>
      </c>
      <c r="S983" s="2">
        <f t="shared" si="62"/>
        <v>3.2255318466615326</v>
      </c>
      <c r="T983" s="2">
        <f t="shared" si="64"/>
        <v>6.1736194860352089</v>
      </c>
      <c r="U983" s="2">
        <f t="shared" si="65"/>
        <v>231.55594529021147</v>
      </c>
    </row>
    <row r="984" spans="1:21" x14ac:dyDescent="0.25">
      <c r="A984">
        <v>2826325</v>
      </c>
      <c r="B984">
        <v>8</v>
      </c>
      <c r="C984" s="1">
        <f>13.7659605712453*(10.3/7.3)</f>
        <v>19.423204641620096</v>
      </c>
      <c r="D984" s="1">
        <f>13.6106249015117*(10.3/7.3)</f>
        <v>19.204032395283566</v>
      </c>
      <c r="E984" s="1">
        <f>48.7933979062325*(10.3/7.3)</f>
        <v>68.845479237560966</v>
      </c>
      <c r="F984" s="1">
        <f>92.8825224776979*(38.9/42.5)</f>
        <v>85.014826456057619</v>
      </c>
      <c r="G984" s="1">
        <v>2.9852134971598261</v>
      </c>
      <c r="H984" s="1">
        <v>7.4084641799625839</v>
      </c>
      <c r="I984" s="1">
        <v>74.967138705812985</v>
      </c>
      <c r="J984" s="1">
        <v>6.0326688617312871E-2</v>
      </c>
      <c r="K984" s="1">
        <v>3.7610875745602748</v>
      </c>
      <c r="L984" s="1">
        <v>4.6737789490551007</v>
      </c>
      <c r="M984" s="1">
        <v>0.22942665854314165</v>
      </c>
      <c r="N984" s="1">
        <v>2.812128941002729</v>
      </c>
      <c r="O984" s="1">
        <v>0.22991999999999996</v>
      </c>
      <c r="P984" s="1">
        <v>0.15977013652552596</v>
      </c>
      <c r="Q984" s="1">
        <v>4.7708891507120565</v>
      </c>
      <c r="R984" s="2">
        <f t="shared" si="63"/>
        <v>282.6192482641697</v>
      </c>
      <c r="S984" s="2">
        <f t="shared" si="62"/>
        <v>3.9811843997031136</v>
      </c>
      <c r="T984" s="2">
        <f t="shared" si="64"/>
        <v>7.9452545486009711</v>
      </c>
      <c r="U984" s="2">
        <f t="shared" si="65"/>
        <v>294.54568721247381</v>
      </c>
    </row>
    <row r="985" spans="1:21" x14ac:dyDescent="0.25">
      <c r="A985">
        <v>2826333</v>
      </c>
      <c r="B985">
        <v>1</v>
      </c>
      <c r="C985" s="1">
        <f>13.7092039887816*(10.3/7.3)</f>
        <v>19.343123436226072</v>
      </c>
      <c r="D985" s="1">
        <f>12.5271718569925*(10.3/7.3)</f>
        <v>17.675324674934597</v>
      </c>
      <c r="E985" s="1">
        <f>45.2417585555153*(10.3/7.3)</f>
        <v>63.834262071480502</v>
      </c>
      <c r="F985" s="1">
        <f>79.8287651309694*(38.9/42.5)</f>
        <v>73.066799143404907</v>
      </c>
      <c r="G985" s="1">
        <v>2.1652119102411826</v>
      </c>
      <c r="H985" s="1">
        <v>6.8760490484622121</v>
      </c>
      <c r="I985" s="1">
        <v>66.177268399175816</v>
      </c>
      <c r="J985" s="1">
        <v>4.3900186072181255E-2</v>
      </c>
      <c r="K985" s="1">
        <v>2.8607607791919585</v>
      </c>
      <c r="L985" s="1">
        <v>3.1040716481842918</v>
      </c>
      <c r="M985" s="1">
        <v>0.18405130942516373</v>
      </c>
      <c r="N985" s="1">
        <v>1.9783597905767401</v>
      </c>
      <c r="O985" s="1">
        <v>0.16880000000000001</v>
      </c>
      <c r="P985" s="1">
        <v>0.13159095112377409</v>
      </c>
      <c r="Q985" s="1">
        <v>3.4603843314356837</v>
      </c>
      <c r="R985" s="2">
        <f t="shared" si="63"/>
        <v>252.59842301536096</v>
      </c>
      <c r="S985" s="2">
        <f t="shared" si="62"/>
        <v>3.0362519163879136</v>
      </c>
      <c r="T985" s="2">
        <f t="shared" si="64"/>
        <v>5.4352827481861956</v>
      </c>
      <c r="U985" s="2">
        <f t="shared" si="65"/>
        <v>261.0699576799351</v>
      </c>
    </row>
    <row r="986" spans="1:21" x14ac:dyDescent="0.25">
      <c r="A986">
        <v>2826341</v>
      </c>
      <c r="B986">
        <v>1</v>
      </c>
      <c r="C986" s="1">
        <f>17.4929761530298*(10.3/7.3)</f>
        <v>24.68187046249416</v>
      </c>
      <c r="D986" s="1">
        <f>18.5782624626949*(10.3/7.3)</f>
        <v>26.213164844624359</v>
      </c>
      <c r="E986" s="1">
        <f>66.5507072988241*(10.3/7.3)</f>
        <v>93.900313038066912</v>
      </c>
      <c r="F986" s="1">
        <f>116.220215116755*(38.9/42.5)</f>
        <v>106.37567924804189</v>
      </c>
      <c r="G986" s="1">
        <v>3.286444044137137</v>
      </c>
      <c r="H986" s="1">
        <v>6.6173994262191291</v>
      </c>
      <c r="I986" s="1">
        <v>89.940448737843724</v>
      </c>
      <c r="J986" s="1">
        <v>5.7996108953660676E-2</v>
      </c>
      <c r="K986" s="1">
        <v>3.6172437628154448</v>
      </c>
      <c r="L986" s="1">
        <v>4.5042584669038801</v>
      </c>
      <c r="M986" s="1">
        <v>0.25401293684918347</v>
      </c>
      <c r="N986" s="1">
        <v>2.5299540490249774</v>
      </c>
      <c r="O986" s="1">
        <v>0.22304000000000002</v>
      </c>
      <c r="P986" s="1">
        <v>0.15519887953968492</v>
      </c>
      <c r="Q986" s="1">
        <v>5.2523078330958866</v>
      </c>
      <c r="R986" s="2">
        <f t="shared" si="63"/>
        <v>356.26762763452319</v>
      </c>
      <c r="S986" s="2">
        <f t="shared" si="62"/>
        <v>3.8304387513087903</v>
      </c>
      <c r="T986" s="2">
        <f t="shared" si="64"/>
        <v>7.5112654527780416</v>
      </c>
      <c r="U986" s="2">
        <f t="shared" si="65"/>
        <v>367.60933183861005</v>
      </c>
    </row>
    <row r="987" spans="1:21" x14ac:dyDescent="0.25">
      <c r="A987">
        <v>2826357</v>
      </c>
      <c r="B987">
        <v>12</v>
      </c>
      <c r="C987" s="1">
        <f>9.09399767791562*(10.3/7.3)</f>
        <v>12.831256997606967</v>
      </c>
      <c r="D987" s="1">
        <f>11.1539355611147*(10.3/7.3)</f>
        <v>15.737744695819336</v>
      </c>
      <c r="E987" s="1">
        <f>39.741815539442*(10.3/7.3)</f>
        <v>56.074068500856555</v>
      </c>
      <c r="F987" s="1">
        <f>65.957126504911*(38.9/42.5)</f>
        <v>60.370169906847991</v>
      </c>
      <c r="G987" s="1">
        <v>1.7747477372967142</v>
      </c>
      <c r="H987" s="1">
        <v>7.4664084135170414</v>
      </c>
      <c r="I987" s="1">
        <v>47.452453532378804</v>
      </c>
      <c r="J987" s="1">
        <v>3.5788594889632132E-2</v>
      </c>
      <c r="K987" s="1">
        <v>2.6347206885514645</v>
      </c>
      <c r="L987" s="1">
        <v>2.81865752673755</v>
      </c>
      <c r="M987" s="1">
        <v>0.19369425399133031</v>
      </c>
      <c r="N987" s="1">
        <v>1.7824072209720443</v>
      </c>
      <c r="O987" s="1">
        <v>0.15246222222222222</v>
      </c>
      <c r="P987" s="1">
        <v>0.12345641203469854</v>
      </c>
      <c r="Q987" s="1">
        <v>2.8363548312961218</v>
      </c>
      <c r="R987" s="2">
        <f t="shared" si="63"/>
        <v>204.54320461561952</v>
      </c>
      <c r="S987" s="2">
        <f t="shared" si="62"/>
        <v>2.7939656954757948</v>
      </c>
      <c r="T987" s="2">
        <f t="shared" si="64"/>
        <v>4.9472212239231466</v>
      </c>
      <c r="U987" s="2">
        <f t="shared" si="65"/>
        <v>212.28439153501847</v>
      </c>
    </row>
    <row r="988" spans="1:21" x14ac:dyDescent="0.25">
      <c r="A988">
        <v>2826365</v>
      </c>
      <c r="B988">
        <v>48</v>
      </c>
      <c r="C988" s="1">
        <f>10.0688998524277*(10.3/7.3)</f>
        <v>14.206803901370646</v>
      </c>
      <c r="D988" s="1">
        <f>11.746046009074*(10.3/7.3)</f>
        <v>16.573188204583914</v>
      </c>
      <c r="E988" s="1">
        <f>41.9306066661358*(10.3/7.3)</f>
        <v>59.162362830301255</v>
      </c>
      <c r="F988" s="1">
        <f>70.5776815386807*(38.9/42.5)</f>
        <v>64.599336749521896</v>
      </c>
      <c r="G988" s="1">
        <v>1.9197747326060635</v>
      </c>
      <c r="H988" s="1">
        <v>3.8121217335451889</v>
      </c>
      <c r="I988" s="1">
        <v>52.064565145780513</v>
      </c>
      <c r="J988" s="1">
        <v>3.9316995613915759E-2</v>
      </c>
      <c r="K988" s="1">
        <v>2.811847297300226</v>
      </c>
      <c r="L988" s="1">
        <v>3.2299637188284982</v>
      </c>
      <c r="M988" s="1">
        <v>0.22420502439691423</v>
      </c>
      <c r="N988" s="1">
        <v>1.9425106703816848</v>
      </c>
      <c r="O988" s="1">
        <v>0.16609333333333334</v>
      </c>
      <c r="P988" s="1">
        <v>0.12800624599521238</v>
      </c>
      <c r="Q988" s="1">
        <v>3.0681331343019314</v>
      </c>
      <c r="R988" s="2">
        <f t="shared" si="63"/>
        <v>215.40628643201143</v>
      </c>
      <c r="S988" s="2">
        <f t="shared" si="62"/>
        <v>2.9791705389093539</v>
      </c>
      <c r="T988" s="2">
        <f t="shared" si="64"/>
        <v>5.5627727469404311</v>
      </c>
      <c r="U988" s="2">
        <f t="shared" si="65"/>
        <v>223.94822971786121</v>
      </c>
    </row>
    <row r="989" spans="1:21" x14ac:dyDescent="0.25">
      <c r="A989">
        <v>2826637</v>
      </c>
      <c r="B989">
        <v>19</v>
      </c>
      <c r="C989" s="1">
        <f>19.5362131217239*(10.3/7.3)</f>
        <v>27.564793856678936</v>
      </c>
      <c r="D989" s="1">
        <f>18.4840317831861*(10.3/7.3)</f>
        <v>26.080209228331036</v>
      </c>
      <c r="E989" s="1">
        <f>66.9549876452756*(10.3/7.3)</f>
        <v>94.470735992649168</v>
      </c>
      <c r="F989" s="1">
        <f>101.126873382511*(38.9/42.5)</f>
        <v>92.560832343051146</v>
      </c>
      <c r="G989" s="1">
        <v>1.8263857806327348</v>
      </c>
      <c r="H989" s="1">
        <v>3.6965680700740888</v>
      </c>
      <c r="I989" s="1">
        <v>81.084568154738122</v>
      </c>
      <c r="J989" s="1">
        <v>4.2260076156759585E-2</v>
      </c>
      <c r="K989" s="1">
        <v>2.9671908365677089</v>
      </c>
      <c r="L989" s="1">
        <v>3.3999989840352813</v>
      </c>
      <c r="M989" s="1">
        <v>0.13843050389363434</v>
      </c>
      <c r="N989" s="1">
        <v>2.0455126784063311</v>
      </c>
      <c r="O989" s="1">
        <v>0.12611087719298247</v>
      </c>
      <c r="P989" s="1">
        <v>0.10111160335210584</v>
      </c>
      <c r="Q989" s="1">
        <v>2.9188813845728667</v>
      </c>
      <c r="R989" s="2">
        <f t="shared" si="63"/>
        <v>330.20297481072805</v>
      </c>
      <c r="S989" s="2">
        <f t="shared" si="62"/>
        <v>3.1105625160765746</v>
      </c>
      <c r="T989" s="2">
        <f t="shared" si="64"/>
        <v>5.7100530435282293</v>
      </c>
      <c r="U989" s="2">
        <f t="shared" si="65"/>
        <v>339.02359037033284</v>
      </c>
    </row>
    <row r="990" spans="1:21" x14ac:dyDescent="0.25">
      <c r="A990">
        <v>2826645</v>
      </c>
      <c r="B990">
        <v>10</v>
      </c>
      <c r="C990" s="1">
        <f>22.9977672143009*(10.3/7.3)</f>
        <v>32.44890442565746</v>
      </c>
      <c r="D990" s="1">
        <f>22.169694988646*(10.3/7.3)</f>
        <v>31.280528545623767</v>
      </c>
      <c r="E990" s="1">
        <f>80.2138452520742*(10.3/7.3)</f>
        <v>113.17843919128282</v>
      </c>
      <c r="F990" s="1">
        <f>121.373331983455*(38.9/42.5)</f>
        <v>111.09229680368037</v>
      </c>
      <c r="G990" s="1">
        <v>2.2376359954449878</v>
      </c>
      <c r="H990" s="1">
        <v>4.2959350894373829</v>
      </c>
      <c r="I990" s="1">
        <v>96.371874497489983</v>
      </c>
      <c r="J990" s="1">
        <v>4.7817511780845257E-2</v>
      </c>
      <c r="K990" s="1">
        <v>3.309566980427681</v>
      </c>
      <c r="L990" s="1">
        <v>4.3498098119658932</v>
      </c>
      <c r="M990" s="1">
        <v>0.15780348349515308</v>
      </c>
      <c r="N990" s="1">
        <v>2.1961052350374124</v>
      </c>
      <c r="O990" s="1">
        <v>0.141344</v>
      </c>
      <c r="P990" s="1">
        <v>0.11161692117736748</v>
      </c>
      <c r="Q990" s="1">
        <v>3.5761305863276101</v>
      </c>
      <c r="R990" s="2">
        <f t="shared" si="63"/>
        <v>394.48174513494439</v>
      </c>
      <c r="S990" s="2">
        <f t="shared" si="62"/>
        <v>3.4690014133858935</v>
      </c>
      <c r="T990" s="2">
        <f t="shared" si="64"/>
        <v>6.845062530498458</v>
      </c>
      <c r="U990" s="2">
        <f t="shared" si="65"/>
        <v>404.79580907882877</v>
      </c>
    </row>
    <row r="991" spans="1:21" x14ac:dyDescent="0.25">
      <c r="A991">
        <v>2826677</v>
      </c>
      <c r="B991">
        <v>17</v>
      </c>
      <c r="C991" s="1">
        <f>17.1307648981736*(10.3/7.3)</f>
        <v>24.170805267286084</v>
      </c>
      <c r="D991" s="1">
        <f>16.9982609988243*(10.3/7.3)</f>
        <v>23.983847710669924</v>
      </c>
      <c r="E991" s="1">
        <f>61.4074992714355*(10.3/7.3)</f>
        <v>86.643457876135031</v>
      </c>
      <c r="F991" s="1">
        <f>92.6193502601321*(38.9/42.5)</f>
        <v>84.77394647339149</v>
      </c>
      <c r="G991" s="1">
        <v>1.7240403585421831</v>
      </c>
      <c r="H991" s="1">
        <v>5.0317132394347608</v>
      </c>
      <c r="I991" s="1">
        <v>72.387413409124733</v>
      </c>
      <c r="J991" s="1">
        <v>3.963951029949199E-2</v>
      </c>
      <c r="K991" s="1">
        <v>2.9480332679825443</v>
      </c>
      <c r="L991" s="1">
        <v>5.7713829586365675</v>
      </c>
      <c r="M991" s="1">
        <v>0.13496179886471349</v>
      </c>
      <c r="N991" s="1">
        <v>2.0034001881116361</v>
      </c>
      <c r="O991" s="1">
        <v>0.12493803921568629</v>
      </c>
      <c r="P991" s="1">
        <v>0.1001985469267976</v>
      </c>
      <c r="Q991" s="1">
        <v>2.7553156415057751</v>
      </c>
      <c r="R991" s="2">
        <f t="shared" si="63"/>
        <v>301.47053997608998</v>
      </c>
      <c r="S991" s="2">
        <f t="shared" si="62"/>
        <v>3.0878713252088339</v>
      </c>
      <c r="T991" s="2">
        <f t="shared" si="64"/>
        <v>8.0346829848286045</v>
      </c>
      <c r="U991" s="2">
        <f t="shared" si="65"/>
        <v>312.59309428612738</v>
      </c>
    </row>
    <row r="992" spans="1:21" x14ac:dyDescent="0.25">
      <c r="A992">
        <v>2826685</v>
      </c>
      <c r="B992">
        <v>68</v>
      </c>
      <c r="C992" s="1">
        <f>17.4587113431833*(10.3/7.3)</f>
        <v>24.633524223943581</v>
      </c>
      <c r="D992" s="1">
        <f>17.2065437148704*(10.3/7.3)</f>
        <v>24.277726063447268</v>
      </c>
      <c r="E992" s="1">
        <f>62.1665297290098*(10.3/7.3)</f>
        <v>87.714418658739817</v>
      </c>
      <c r="F992" s="1">
        <f>94.622494281231*(38.9/42.5)</f>
        <v>86.607412412703241</v>
      </c>
      <c r="G992" s="1">
        <v>1.8089138126404989</v>
      </c>
      <c r="H992" s="1">
        <v>4.1996972754469368</v>
      </c>
      <c r="I992" s="1">
        <v>74.317800933821488</v>
      </c>
      <c r="J992" s="1">
        <v>4.2772367473534717E-2</v>
      </c>
      <c r="K992" s="1">
        <v>3.2273498223343755</v>
      </c>
      <c r="L992" s="1">
        <v>4.9446234346203521</v>
      </c>
      <c r="M992" s="1">
        <v>0.14627978287928378</v>
      </c>
      <c r="N992" s="1">
        <v>1.9439886963692956</v>
      </c>
      <c r="O992" s="1">
        <v>0.13432627450980389</v>
      </c>
      <c r="P992" s="1">
        <v>0.10669489708382368</v>
      </c>
      <c r="Q992" s="1">
        <v>2.8909581480555957</v>
      </c>
      <c r="R992" s="2">
        <f t="shared" si="63"/>
        <v>306.4504515287984</v>
      </c>
      <c r="S992" s="2">
        <f t="shared" si="62"/>
        <v>3.3768170868917338</v>
      </c>
      <c r="T992" s="2">
        <f t="shared" si="64"/>
        <v>7.1692181883787356</v>
      </c>
      <c r="U992" s="2">
        <f t="shared" si="65"/>
        <v>316.99648680406887</v>
      </c>
    </row>
    <row r="993" spans="1:21" x14ac:dyDescent="0.25">
      <c r="A993">
        <v>2826693</v>
      </c>
      <c r="B993">
        <v>5</v>
      </c>
      <c r="C993" s="1">
        <f>11.098799487257*(10.3/7.3)</f>
        <v>15.659949961472275</v>
      </c>
      <c r="D993" s="1">
        <f>11.0939046033517*(10.3/7.3)</f>
        <v>15.653043481441463</v>
      </c>
      <c r="E993" s="1">
        <f>39.976090897139*(10.3/7.3)</f>
        <v>56.404621402812538</v>
      </c>
      <c r="F993" s="1">
        <f>64.5457262291269*(38.9/42.5)</f>
        <v>59.078323536777297</v>
      </c>
      <c r="G993" s="1">
        <v>1.4849619840306227</v>
      </c>
      <c r="H993" s="1">
        <v>4.4998316098290081</v>
      </c>
      <c r="I993" s="1">
        <v>50.762638681195298</v>
      </c>
      <c r="J993" s="1">
        <v>2.8916584964691745E-2</v>
      </c>
      <c r="K993" s="1">
        <v>2.3842775420590288</v>
      </c>
      <c r="L993" s="1">
        <v>3.1136297047361436</v>
      </c>
      <c r="M993" s="1">
        <v>0.10748941912159475</v>
      </c>
      <c r="N993" s="1">
        <v>1.3567558695245878</v>
      </c>
      <c r="O993" s="1">
        <v>0.104128</v>
      </c>
      <c r="P993" s="1">
        <v>8.6236234310839668E-2</v>
      </c>
      <c r="Q993" s="1">
        <v>2.3732269151174359</v>
      </c>
      <c r="R993" s="2">
        <f t="shared" si="63"/>
        <v>205.91659757267595</v>
      </c>
      <c r="S993" s="2">
        <f t="shared" si="62"/>
        <v>2.4994303613345603</v>
      </c>
      <c r="T993" s="2">
        <f t="shared" si="64"/>
        <v>4.6820029933823264</v>
      </c>
      <c r="U993" s="2">
        <f t="shared" si="65"/>
        <v>213.09803092739284</v>
      </c>
    </row>
    <row r="994" spans="1:21" x14ac:dyDescent="0.25">
      <c r="A994">
        <v>2838425</v>
      </c>
      <c r="B994">
        <v>29</v>
      </c>
      <c r="C994" s="1">
        <f>6.7385480024202*(10.3/7.3)</f>
        <v>9.5078143047846702</v>
      </c>
      <c r="D994" s="1">
        <f>7.07726439244853*(10.3/7.3)</f>
        <v>9.9857292112630009</v>
      </c>
      <c r="E994" s="1">
        <f>25.1505025438559*(10.3/7.3)</f>
        <v>35.486325507084423</v>
      </c>
      <c r="F994" s="1">
        <f>54.7944184436569*(38.9/42.5)</f>
        <v>50.153008881370702</v>
      </c>
      <c r="G994" s="1">
        <v>2.1494506533845685</v>
      </c>
      <c r="H994" s="1">
        <v>4.8516784940769222</v>
      </c>
      <c r="I994" s="1">
        <v>43.922744719084434</v>
      </c>
      <c r="J994" s="1">
        <v>6.3715362348907276E-2</v>
      </c>
      <c r="K994" s="1">
        <v>4.1152185822442968</v>
      </c>
      <c r="L994" s="1">
        <v>5.2528651123309604</v>
      </c>
      <c r="M994" s="1">
        <v>0.177992187294434</v>
      </c>
      <c r="N994" s="1">
        <v>2.8891431223810966</v>
      </c>
      <c r="O994" s="1">
        <v>0.27313839080459756</v>
      </c>
      <c r="P994" s="1">
        <v>0.18848716786384426</v>
      </c>
      <c r="Q994" s="1">
        <v>3.4351951081488581</v>
      </c>
      <c r="R994" s="2">
        <f t="shared" si="63"/>
        <v>159.49194687919757</v>
      </c>
      <c r="S994" s="2">
        <f t="shared" si="62"/>
        <v>4.3674211124570483</v>
      </c>
      <c r="T994" s="2">
        <f t="shared" si="64"/>
        <v>8.5931388128110875</v>
      </c>
      <c r="U994" s="2">
        <f t="shared" si="65"/>
        <v>172.45250680446568</v>
      </c>
    </row>
    <row r="995" spans="1:21" x14ac:dyDescent="0.25">
      <c r="A995">
        <v>2838553</v>
      </c>
      <c r="B995">
        <v>17</v>
      </c>
      <c r="C995" s="1">
        <f>11.2529149875445*(10.3/7.3)</f>
        <v>15.87740059886417</v>
      </c>
      <c r="D995" s="1">
        <f>11.0916409896922*(10.3/7.3)</f>
        <v>15.649849615593061</v>
      </c>
      <c r="E995" s="1">
        <f>39.7125010482811*(10.3/7.3)</f>
        <v>56.032706958533588</v>
      </c>
      <c r="F995" s="1">
        <f>78.4876496491149*(38.9/42.5)</f>
        <v>71.839284031778149</v>
      </c>
      <c r="G995" s="1">
        <v>2.6698137064977638</v>
      </c>
      <c r="H995" s="1">
        <v>5.6596844880602299</v>
      </c>
      <c r="I995" s="1">
        <v>63.691952157265575</v>
      </c>
      <c r="J995" s="1">
        <v>4.8577195013519953E-2</v>
      </c>
      <c r="K995" s="1">
        <v>3.1610593158014124</v>
      </c>
      <c r="L995" s="1">
        <v>3.7219543411050204</v>
      </c>
      <c r="M995" s="1">
        <v>0.18506064723541896</v>
      </c>
      <c r="N995" s="1">
        <v>2.2933513790499758</v>
      </c>
      <c r="O995" s="1">
        <v>0.19164549019607841</v>
      </c>
      <c r="P995" s="1">
        <v>0.13886507173517512</v>
      </c>
      <c r="Q995" s="1">
        <v>4.2668255583297636</v>
      </c>
      <c r="R995" s="2">
        <f t="shared" si="63"/>
        <v>235.68751711492231</v>
      </c>
      <c r="S995" s="2">
        <f t="shared" si="62"/>
        <v>3.3485015825501074</v>
      </c>
      <c r="T995" s="2">
        <f t="shared" si="64"/>
        <v>6.3920118575864944</v>
      </c>
      <c r="U995" s="2">
        <f t="shared" si="65"/>
        <v>245.42803055505891</v>
      </c>
    </row>
    <row r="996" spans="1:21" x14ac:dyDescent="0.25">
      <c r="A996">
        <v>2838561</v>
      </c>
      <c r="B996">
        <v>8</v>
      </c>
      <c r="C996" s="1">
        <f>14.0601986434915*(10.3/7.3)</f>
        <v>19.838362469583835</v>
      </c>
      <c r="D996" s="1">
        <f>13.9627105004112*(10.3/7.3)</f>
        <v>19.70081070605962</v>
      </c>
      <c r="E996" s="1">
        <f>50.0775048868177*(10.3/7.3)</f>
        <v>70.65730141564687</v>
      </c>
      <c r="F996" s="1">
        <f>93.6012344298202*(38.9/42.5)</f>
        <v>85.67265927811782</v>
      </c>
      <c r="G996" s="1">
        <v>2.9233847873839851</v>
      </c>
      <c r="H996" s="1">
        <v>5.1037112960465434</v>
      </c>
      <c r="I996" s="1">
        <v>75.250336407543145</v>
      </c>
      <c r="J996" s="1">
        <v>6.2778199588045785E-2</v>
      </c>
      <c r="K996" s="1">
        <v>3.8156898680734401</v>
      </c>
      <c r="L996" s="1">
        <v>4.7699199072938381</v>
      </c>
      <c r="M996" s="1">
        <v>0.23755282033007494</v>
      </c>
      <c r="N996" s="1">
        <v>3.0835758272636147</v>
      </c>
      <c r="O996" s="1">
        <v>0.23355333333333334</v>
      </c>
      <c r="P996" s="1">
        <v>0.16129436997567242</v>
      </c>
      <c r="Q996" s="1">
        <v>4.6720761442209859</v>
      </c>
      <c r="R996" s="2">
        <f t="shared" si="63"/>
        <v>283.81864250460279</v>
      </c>
      <c r="S996" s="2">
        <f t="shared" si="62"/>
        <v>4.0397624376371581</v>
      </c>
      <c r="T996" s="2">
        <f t="shared" si="64"/>
        <v>8.3246018882208617</v>
      </c>
      <c r="U996" s="2">
        <f t="shared" si="65"/>
        <v>296.18300683046078</v>
      </c>
    </row>
    <row r="997" spans="1:21" x14ac:dyDescent="0.25">
      <c r="A997">
        <v>2838569</v>
      </c>
      <c r="B997">
        <v>8</v>
      </c>
      <c r="C997" s="1">
        <f>15.6951865102535*(10.3/7.3)</f>
        <v>22.145263158302836</v>
      </c>
      <c r="D997" s="1">
        <f>15.30433149766*(10.3/7.3)</f>
        <v>21.593782798068162</v>
      </c>
      <c r="E997" s="1">
        <f>55.0432998139541*(10.3/7.3)</f>
        <v>77.663833984072241</v>
      </c>
      <c r="F997" s="1">
        <f>97.9859082700797*(38.9/42.5)</f>
        <v>89.685925451908204</v>
      </c>
      <c r="G997" s="1">
        <v>2.7818895838839577</v>
      </c>
      <c r="H997" s="1">
        <v>7.4685078422690134</v>
      </c>
      <c r="I997" s="1">
        <v>78.945683848580373</v>
      </c>
      <c r="J997" s="1">
        <v>5.5208324085168209E-2</v>
      </c>
      <c r="K997" s="1">
        <v>3.388525688728667</v>
      </c>
      <c r="L997" s="1">
        <v>4.0826033151071055</v>
      </c>
      <c r="M997" s="1">
        <v>0.22643089911983419</v>
      </c>
      <c r="N997" s="1">
        <v>2.3478390182920577</v>
      </c>
      <c r="O997" s="1">
        <v>0.20669999999999999</v>
      </c>
      <c r="P997" s="1">
        <v>0.14703979001497877</v>
      </c>
      <c r="Q997" s="1">
        <v>4.4459422573487952</v>
      </c>
      <c r="R997" s="2">
        <f t="shared" si="63"/>
        <v>304.73082892443358</v>
      </c>
      <c r="S997" s="2">
        <f t="shared" si="62"/>
        <v>3.5907738028288141</v>
      </c>
      <c r="T997" s="2">
        <f t="shared" si="64"/>
        <v>6.8635732325189966</v>
      </c>
      <c r="U997" s="2">
        <f t="shared" si="65"/>
        <v>315.18517595978142</v>
      </c>
    </row>
    <row r="998" spans="1:21" x14ac:dyDescent="0.25">
      <c r="A998">
        <v>2838577</v>
      </c>
      <c r="B998">
        <v>8</v>
      </c>
      <c r="C998" s="1">
        <f>12.849391550932*(10.3/7.3)</f>
        <v>18.129963421178044</v>
      </c>
      <c r="D998" s="1">
        <f>14.7445153532517*(10.3/7.3)</f>
        <v>20.803905224450968</v>
      </c>
      <c r="E998" s="1">
        <f>52.6586044289826*(10.3/7.3)</f>
        <v>74.299126797057667</v>
      </c>
      <c r="F998" s="1">
        <f>89.5375862663102*(38.9/42.5)</f>
        <v>81.953226017869781</v>
      </c>
      <c r="G998" s="1">
        <v>2.4715389669180197</v>
      </c>
      <c r="H998" s="1">
        <v>4.5612189065367019</v>
      </c>
      <c r="I998" s="1">
        <v>66.669077554167188</v>
      </c>
      <c r="J998" s="1">
        <v>4.9579714301218041E-2</v>
      </c>
      <c r="K998" s="1">
        <v>3.2795389067921139</v>
      </c>
      <c r="L998" s="1">
        <v>3.9466053128388663</v>
      </c>
      <c r="M998" s="1">
        <v>0.22842298333850844</v>
      </c>
      <c r="N998" s="1">
        <v>2.2808254755931481</v>
      </c>
      <c r="O998" s="1">
        <v>0.20000666666666664</v>
      </c>
      <c r="P998" s="1">
        <v>0.14500867998752148</v>
      </c>
      <c r="Q998" s="1">
        <v>3.9499481206452414</v>
      </c>
      <c r="R998" s="2">
        <f t="shared" si="63"/>
        <v>272.83800500882359</v>
      </c>
      <c r="S998" s="2">
        <f t="shared" si="62"/>
        <v>3.4741273010808538</v>
      </c>
      <c r="T998" s="2">
        <f t="shared" si="64"/>
        <v>6.6558604384371893</v>
      </c>
      <c r="U998" s="2">
        <f t="shared" si="65"/>
        <v>282.9679927483416</v>
      </c>
    </row>
    <row r="999" spans="1:21" x14ac:dyDescent="0.25">
      <c r="A999">
        <v>2838593</v>
      </c>
      <c r="B999">
        <v>48</v>
      </c>
      <c r="C999" s="1">
        <f>10.2312037636837*(10.3/7.3)</f>
        <v>14.435808050128987</v>
      </c>
      <c r="D999" s="1">
        <f>12.1084538658109*(10.3/7.3)</f>
        <v>17.084530796966025</v>
      </c>
      <c r="E999" s="1">
        <f>43.2043427749978*(10.3/7.3)</f>
        <v>60.959552134586005</v>
      </c>
      <c r="F999" s="1">
        <f>72.2304975431106*(38.9/42.5)</f>
        <v>66.112149515929488</v>
      </c>
      <c r="G999" s="1">
        <v>1.94758200482629</v>
      </c>
      <c r="H999" s="1">
        <v>5.2586491379421565</v>
      </c>
      <c r="I999" s="1">
        <v>52.870859819366565</v>
      </c>
      <c r="J999" s="1">
        <v>3.9729823979461794E-2</v>
      </c>
      <c r="K999" s="1">
        <v>2.8544184756407529</v>
      </c>
      <c r="L999" s="1">
        <v>3.2146194701536808</v>
      </c>
      <c r="M999" s="1">
        <v>0.21660413932638936</v>
      </c>
      <c r="N999" s="1">
        <v>1.9580913770300512</v>
      </c>
      <c r="O999" s="1">
        <v>0.16904888888888889</v>
      </c>
      <c r="P999" s="1">
        <v>0.13067094759255904</v>
      </c>
      <c r="Q999" s="1">
        <v>3.1125739803159918</v>
      </c>
      <c r="R999" s="2">
        <f t="shared" si="63"/>
        <v>221.78170544006153</v>
      </c>
      <c r="S999" s="2">
        <f t="shared" si="62"/>
        <v>3.0248192472127737</v>
      </c>
      <c r="T999" s="2">
        <f t="shared" si="64"/>
        <v>5.5583638753990101</v>
      </c>
      <c r="U999" s="2">
        <f t="shared" si="65"/>
        <v>230.36488856267331</v>
      </c>
    </row>
    <row r="1000" spans="1:21" x14ac:dyDescent="0.25">
      <c r="A1000">
        <v>2838601</v>
      </c>
      <c r="B1000">
        <v>53</v>
      </c>
      <c r="C1000" s="1">
        <f>9.62588632608857*(10.3/7.3)</f>
        <v>13.581730021741402</v>
      </c>
      <c r="D1000" s="1">
        <f>10.6704089751014*(10.3/7.3)</f>
        <v>15.055508553910137</v>
      </c>
      <c r="E1000" s="1">
        <f>38.1567582372248*(10.3/7.3)</f>
        <v>53.837617786769172</v>
      </c>
      <c r="F1000" s="1">
        <f>65.7398893892595*(38.9/42.5)</f>
        <v>60.171334052757544</v>
      </c>
      <c r="G1000" s="1">
        <v>1.8395009090269188</v>
      </c>
      <c r="H1000" s="1">
        <v>3.6212594967542571</v>
      </c>
      <c r="I1000" s="1">
        <v>49.817842310567698</v>
      </c>
      <c r="J1000" s="1">
        <v>3.8299797596238978E-2</v>
      </c>
      <c r="K1000" s="1">
        <v>2.7542258549004974</v>
      </c>
      <c r="L1000" s="1">
        <v>3.1043510525537572</v>
      </c>
      <c r="M1000" s="1">
        <v>0.21972442416045265</v>
      </c>
      <c r="N1000" s="1">
        <v>1.9295809883484747</v>
      </c>
      <c r="O1000" s="1">
        <v>0.16105559748427672</v>
      </c>
      <c r="P1000" s="1">
        <v>0.12598843989295069</v>
      </c>
      <c r="Q1000" s="1">
        <v>2.9398416354311516</v>
      </c>
      <c r="R1000" s="2">
        <f t="shared" si="63"/>
        <v>200.86463476695826</v>
      </c>
      <c r="S1000" s="2">
        <f t="shared" si="62"/>
        <v>2.9185140923896871</v>
      </c>
      <c r="T1000" s="2">
        <f t="shared" si="64"/>
        <v>5.4147120625469611</v>
      </c>
      <c r="U1000" s="2">
        <f t="shared" si="65"/>
        <v>209.19786092189491</v>
      </c>
    </row>
    <row r="1001" spans="1:21" x14ac:dyDescent="0.25">
      <c r="A1001">
        <v>2838873</v>
      </c>
      <c r="B1001">
        <v>25</v>
      </c>
      <c r="C1001" s="1">
        <f>20.2811781170934*(10.3/7.3)</f>
        <v>28.615908850145434</v>
      </c>
      <c r="D1001" s="1">
        <f>19.3006434386721*(10.3/7.3)</f>
        <v>27.232414714838697</v>
      </c>
      <c r="E1001" s="1">
        <f>69.8723591728569*(10.3/7.3)</f>
        <v>98.587027326085817</v>
      </c>
      <c r="F1001" s="1">
        <f>106.37636082263*(38.9/42.5)</f>
        <v>97.365657317654382</v>
      </c>
      <c r="G1001" s="1">
        <v>1.985170999171574</v>
      </c>
      <c r="H1001" s="1">
        <v>3.9086593459614152</v>
      </c>
      <c r="I1001" s="1">
        <v>85.112502463231181</v>
      </c>
      <c r="J1001" s="1">
        <v>4.3460590162933438E-2</v>
      </c>
      <c r="K1001" s="1">
        <v>3.0536591288066672</v>
      </c>
      <c r="L1001" s="1">
        <v>3.7711505228439957</v>
      </c>
      <c r="M1001" s="1">
        <v>0.14512046134668732</v>
      </c>
      <c r="N1001" s="1">
        <v>2.071216728355227</v>
      </c>
      <c r="O1001" s="1">
        <v>0.13124266666666665</v>
      </c>
      <c r="P1001" s="1">
        <v>0.1047889334174758</v>
      </c>
      <c r="Q1001" s="1">
        <v>3.1726477155710113</v>
      </c>
      <c r="R1001" s="2">
        <f t="shared" si="63"/>
        <v>345.97998873265954</v>
      </c>
      <c r="S1001" s="2">
        <f t="shared" si="62"/>
        <v>3.2019086523870763</v>
      </c>
      <c r="T1001" s="2">
        <f t="shared" si="64"/>
        <v>6.1187303792125771</v>
      </c>
      <c r="U1001" s="2">
        <f t="shared" si="65"/>
        <v>355.30062776425922</v>
      </c>
    </row>
    <row r="1002" spans="1:21" x14ac:dyDescent="0.25">
      <c r="A1002">
        <v>2838905</v>
      </c>
      <c r="B1002">
        <v>21</v>
      </c>
      <c r="C1002" s="1">
        <f>16.9607824340885*(10.3/7.3)</f>
        <v>23.930966996042613</v>
      </c>
      <c r="D1002" s="1">
        <f>16.7456418932814*(10.3/7.3)</f>
        <v>23.627412534355948</v>
      </c>
      <c r="E1002" s="1">
        <f>60.500614231728*(10.3/7.3)</f>
        <v>85.363880354355899</v>
      </c>
      <c r="F1002" s="1">
        <f>91.8170099082024*(38.9/42.5)</f>
        <v>84.039569068919391</v>
      </c>
      <c r="G1002" s="1">
        <v>1.7399662939087137</v>
      </c>
      <c r="H1002" s="1">
        <v>5.1630751433285242</v>
      </c>
      <c r="I1002" s="1">
        <v>72.015985158975326</v>
      </c>
      <c r="J1002" s="1">
        <v>4.2506394666595906E-2</v>
      </c>
      <c r="K1002" s="1">
        <v>2.934132662549469</v>
      </c>
      <c r="L1002" s="1">
        <v>4.611444979276512</v>
      </c>
      <c r="M1002" s="1">
        <v>0.13571698321547163</v>
      </c>
      <c r="N1002" s="1">
        <v>2.4410760917343928</v>
      </c>
      <c r="O1002" s="1">
        <v>0.12573460317460317</v>
      </c>
      <c r="P1002" s="1">
        <v>0.10064156156145561</v>
      </c>
      <c r="Q1002" s="1">
        <v>2.7807680496258009</v>
      </c>
      <c r="R1002" s="2">
        <f t="shared" si="63"/>
        <v>298.66162359951221</v>
      </c>
      <c r="S1002" s="2">
        <f t="shared" si="62"/>
        <v>3.0772806187775203</v>
      </c>
      <c r="T1002" s="2">
        <f t="shared" si="64"/>
        <v>7.3139726574009796</v>
      </c>
      <c r="U1002" s="2">
        <f t="shared" si="65"/>
        <v>309.05287687569074</v>
      </c>
    </row>
    <row r="1003" spans="1:21" x14ac:dyDescent="0.25">
      <c r="A1003">
        <v>2838913</v>
      </c>
      <c r="B1003">
        <v>55</v>
      </c>
      <c r="C1003" s="1">
        <f>17.2350278956317*(10.3/7.3)</f>
        <v>24.317916071918724</v>
      </c>
      <c r="D1003" s="1">
        <f>17.0520134351059*(10.3/7.3)</f>
        <v>24.059690189258998</v>
      </c>
      <c r="E1003" s="1">
        <f>61.6012255752404*(10.3/7.3)</f>
        <v>86.916797729448774</v>
      </c>
      <c r="F1003" s="1">
        <f>93.4385362800436*(38.9/42.5)</f>
        <v>85.523742618675243</v>
      </c>
      <c r="G1003" s="1">
        <v>1.7701129209798556</v>
      </c>
      <c r="H1003" s="1">
        <v>4.6058810086632196</v>
      </c>
      <c r="I1003" s="1">
        <v>73.201570120261806</v>
      </c>
      <c r="J1003" s="1">
        <v>4.19311852305135E-2</v>
      </c>
      <c r="K1003" s="1">
        <v>3.1403104276088198</v>
      </c>
      <c r="L1003" s="1">
        <v>5.0376792195107951</v>
      </c>
      <c r="M1003" s="1">
        <v>0.14395130907279169</v>
      </c>
      <c r="N1003" s="1">
        <v>1.9377937601121358</v>
      </c>
      <c r="O1003" s="1">
        <v>0.13226666666666667</v>
      </c>
      <c r="P1003" s="1">
        <v>0.10526740591067904</v>
      </c>
      <c r="Q1003" s="1">
        <v>2.8289475906070787</v>
      </c>
      <c r="R1003" s="2">
        <f t="shared" si="63"/>
        <v>303.22465824981373</v>
      </c>
      <c r="S1003" s="2">
        <f t="shared" si="62"/>
        <v>3.2875090187500122</v>
      </c>
      <c r="T1003" s="2">
        <f t="shared" si="64"/>
        <v>7.2516909553623892</v>
      </c>
      <c r="U1003" s="2">
        <f t="shared" si="65"/>
        <v>313.76385822392615</v>
      </c>
    </row>
    <row r="1004" spans="1:21" x14ac:dyDescent="0.25">
      <c r="A1004">
        <v>2838921</v>
      </c>
      <c r="B1004">
        <v>26</v>
      </c>
      <c r="C1004" s="1">
        <f>14.0952406630288*(10.3/7.3)</f>
        <v>19.887805319067997</v>
      </c>
      <c r="D1004" s="1">
        <f>13.930246506721*(10.3/7.3)</f>
        <v>19.655005345099525</v>
      </c>
      <c r="E1004" s="1">
        <f>50.2935836747705*(10.3/7.3)</f>
        <v>70.962179705498073</v>
      </c>
      <c r="F1004" s="1">
        <f>77.9476446810925*(38.9/42.5)</f>
        <v>71.345020661046973</v>
      </c>
      <c r="G1004" s="1">
        <v>1.5834669933648025</v>
      </c>
      <c r="H1004" s="1">
        <v>3.9774162189688034</v>
      </c>
      <c r="I1004" s="1">
        <v>61.292242812077305</v>
      </c>
      <c r="J1004" s="1">
        <v>3.6760179749938809E-2</v>
      </c>
      <c r="K1004" s="1">
        <v>2.8871536638540101</v>
      </c>
      <c r="L1004" s="1">
        <v>4.0756766524121257</v>
      </c>
      <c r="M1004" s="1">
        <v>0.13052993425819573</v>
      </c>
      <c r="N1004" s="1">
        <v>1.6927300694533862</v>
      </c>
      <c r="O1004" s="1">
        <v>0.12210666666666666</v>
      </c>
      <c r="P1004" s="1">
        <v>9.8423391308038052E-2</v>
      </c>
      <c r="Q1004" s="1">
        <v>2.5306550122268545</v>
      </c>
      <c r="R1004" s="2">
        <f t="shared" si="63"/>
        <v>251.23379206735032</v>
      </c>
      <c r="S1004" s="2">
        <f t="shared" si="62"/>
        <v>3.0223372349119866</v>
      </c>
      <c r="T1004" s="2">
        <f t="shared" si="64"/>
        <v>6.0210433227903737</v>
      </c>
      <c r="U1004" s="2">
        <f t="shared" si="65"/>
        <v>260.27717262505269</v>
      </c>
    </row>
    <row r="1005" spans="1:21" x14ac:dyDescent="0.25">
      <c r="A1005">
        <v>2850373</v>
      </c>
      <c r="B1005">
        <v>8</v>
      </c>
      <c r="C1005" s="1">
        <f>0.766413009163654*(10.3/7.3)</f>
        <v>1.0813772595048814</v>
      </c>
      <c r="D1005" s="1">
        <f>0.962096372023339*(10.3/7.3)</f>
        <v>1.3574784427178621</v>
      </c>
      <c r="E1005" s="1">
        <f>3.40365342300692*(10.3/7.3)</f>
        <v>4.8024151036946892</v>
      </c>
      <c r="F1005" s="1">
        <f>6.68717944955303*(38.9/42.5)</f>
        <v>6.1207360138261855</v>
      </c>
      <c r="G1005" s="1">
        <v>0.24052843408241681</v>
      </c>
      <c r="H1005" s="1">
        <v>1.9164005533760613</v>
      </c>
      <c r="I1005" s="1">
        <v>4.9542038171668663</v>
      </c>
      <c r="J1005" s="1">
        <v>1.4218975790438758E-2</v>
      </c>
      <c r="K1005" s="1">
        <v>2.1043489109042901</v>
      </c>
      <c r="L1005" s="1">
        <v>3.1219208563537699</v>
      </c>
      <c r="M1005" s="1">
        <v>6.8815236783298886E-2</v>
      </c>
      <c r="N1005" s="1">
        <v>0.57461222763704745</v>
      </c>
      <c r="O1005" s="1">
        <v>0.16760666666666665</v>
      </c>
      <c r="P1005" s="1">
        <v>0.12957139451149249</v>
      </c>
      <c r="Q1005" s="1">
        <v>0.3844061731910775</v>
      </c>
      <c r="R1005" s="2">
        <f t="shared" si="63"/>
        <v>20.857545797560039</v>
      </c>
      <c r="S1005" s="2">
        <f t="shared" si="62"/>
        <v>2.2481392812062215</v>
      </c>
      <c r="T1005" s="2">
        <f t="shared" si="64"/>
        <v>3.932954987440783</v>
      </c>
      <c r="U1005" s="2">
        <f t="shared" si="65"/>
        <v>27.038640066207044</v>
      </c>
    </row>
    <row r="1006" spans="1:21" x14ac:dyDescent="0.25">
      <c r="A1006">
        <v>2850653</v>
      </c>
      <c r="B1006">
        <v>16</v>
      </c>
      <c r="C1006" s="1">
        <f>6.35275431786944*(10.3/7.3)</f>
        <v>8.963475270418531</v>
      </c>
      <c r="D1006" s="1">
        <f>6.6776742105586*(10.3/7.3)</f>
        <v>9.421923886130628</v>
      </c>
      <c r="E1006" s="1">
        <f>23.7286075246113*(10.3/7.3)</f>
        <v>33.480090068972153</v>
      </c>
      <c r="F1006" s="1">
        <f>51.7376837495629*(38.9/42.5)</f>
        <v>47.355197596658783</v>
      </c>
      <c r="G1006" s="1">
        <v>2.0317638273193555</v>
      </c>
      <c r="H1006" s="1">
        <v>4.3561047174689316</v>
      </c>
      <c r="I1006" s="1">
        <v>41.464507005540398</v>
      </c>
      <c r="J1006" s="1">
        <v>6.5289115411379758E-2</v>
      </c>
      <c r="K1006" s="1">
        <v>4.0614231103545588</v>
      </c>
      <c r="L1006" s="1">
        <v>5.0979750005014282</v>
      </c>
      <c r="M1006" s="1">
        <v>0.17213668738116755</v>
      </c>
      <c r="N1006" s="1">
        <v>2.8498238316436244</v>
      </c>
      <c r="O1006" s="1">
        <v>0.26541666666666669</v>
      </c>
      <c r="P1006" s="1">
        <v>0.18599186067956092</v>
      </c>
      <c r="Q1006" s="1">
        <v>3.2471111395514849</v>
      </c>
      <c r="R1006" s="2">
        <f t="shared" si="63"/>
        <v>150.32017351206028</v>
      </c>
      <c r="S1006" s="2">
        <f t="shared" si="62"/>
        <v>4.3127040864454997</v>
      </c>
      <c r="T1006" s="2">
        <f t="shared" si="64"/>
        <v>8.3853521861928861</v>
      </c>
      <c r="U1006" s="2">
        <f t="shared" si="65"/>
        <v>163.01822978469866</v>
      </c>
    </row>
    <row r="1007" spans="1:21" x14ac:dyDescent="0.25">
      <c r="A1007">
        <v>2850789</v>
      </c>
      <c r="B1007">
        <v>2</v>
      </c>
      <c r="C1007" s="1">
        <f>13.0759200160285*(10.3/7.3)</f>
        <v>18.449585776040148</v>
      </c>
      <c r="D1007" s="1">
        <f>12.9587133322736*(10.3/7.3)</f>
        <v>18.28421196197505</v>
      </c>
      <c r="E1007" s="1">
        <f>46.4448391369064*(10.3/7.3)</f>
        <v>65.531759330155609</v>
      </c>
      <c r="F1007" s="1">
        <f>88.6817719702713*(38.9/42.5)</f>
        <v>81.169904226907107</v>
      </c>
      <c r="G1007" s="1">
        <v>2.8663843499550641</v>
      </c>
      <c r="H1007" s="1">
        <v>4.8505201885585905</v>
      </c>
      <c r="I1007" s="1">
        <v>71.532790988477984</v>
      </c>
      <c r="J1007" s="1">
        <v>5.9837659384293446E-2</v>
      </c>
      <c r="K1007" s="1">
        <v>3.7123896937706382</v>
      </c>
      <c r="L1007" s="1">
        <v>4.5891255152423351</v>
      </c>
      <c r="M1007" s="1">
        <v>0.22642449525345415</v>
      </c>
      <c r="N1007" s="1">
        <v>2.7428206713890764</v>
      </c>
      <c r="O1007" s="1">
        <v>0.22642666666666666</v>
      </c>
      <c r="P1007" s="1">
        <v>0.15824878763844605</v>
      </c>
      <c r="Q1007" s="1">
        <v>4.5809795547227097</v>
      </c>
      <c r="R1007" s="2">
        <f t="shared" si="63"/>
        <v>267.26613637679225</v>
      </c>
      <c r="S1007" s="2">
        <f t="shared" si="62"/>
        <v>3.9304761407933775</v>
      </c>
      <c r="T1007" s="2">
        <f t="shared" si="64"/>
        <v>7.7847973485515318</v>
      </c>
      <c r="U1007" s="2">
        <f t="shared" si="65"/>
        <v>278.98140986613714</v>
      </c>
    </row>
    <row r="1008" spans="1:21" x14ac:dyDescent="0.25">
      <c r="A1008">
        <v>2850797</v>
      </c>
      <c r="B1008">
        <v>16</v>
      </c>
      <c r="C1008" s="1">
        <f>13.3380458113543*(10.3/7.3)</f>
        <v>18.81943450095201</v>
      </c>
      <c r="D1008" s="1">
        <f>13.2258199942292*(10.3/7.3)</f>
        <v>18.661088485008296</v>
      </c>
      <c r="E1008" s="1">
        <f>47.4437665802304*(10.3/7.3)</f>
        <v>66.941204900873103</v>
      </c>
      <c r="F1008" s="1">
        <f>88.418790372564*(38.9/42.5)</f>
        <v>80.929198717476183</v>
      </c>
      <c r="G1008" s="1">
        <v>2.746415194001723</v>
      </c>
      <c r="H1008" s="1">
        <v>7.3780224630589739</v>
      </c>
      <c r="I1008" s="1">
        <v>71.103754706770317</v>
      </c>
      <c r="J1008" s="1">
        <v>5.5376991434517638E-2</v>
      </c>
      <c r="K1008" s="1">
        <v>3.3799663971640053</v>
      </c>
      <c r="L1008" s="1">
        <v>4.0665631985394857</v>
      </c>
      <c r="M1008" s="1">
        <v>0.21907780998869281</v>
      </c>
      <c r="N1008" s="1">
        <v>2.3473450906673436</v>
      </c>
      <c r="O1008" s="1">
        <v>0.20538333333333336</v>
      </c>
      <c r="P1008" s="1">
        <v>0.14774811667878454</v>
      </c>
      <c r="Q1008" s="1">
        <v>4.3892480269433971</v>
      </c>
      <c r="R1008" s="2">
        <f t="shared" si="63"/>
        <v>270.96836699508401</v>
      </c>
      <c r="S1008" s="2">
        <f t="shared" si="62"/>
        <v>3.5830915052773071</v>
      </c>
      <c r="T1008" s="2">
        <f t="shared" si="64"/>
        <v>6.8383694325288555</v>
      </c>
      <c r="U1008" s="2">
        <f t="shared" si="65"/>
        <v>281.38982793289017</v>
      </c>
    </row>
    <row r="1009" spans="1:21" x14ac:dyDescent="0.25">
      <c r="A1009">
        <v>2850805</v>
      </c>
      <c r="B1009">
        <v>26</v>
      </c>
      <c r="C1009" s="1">
        <f>13.5958440130106*(10.3/7.3)</f>
        <v>19.183177169042331</v>
      </c>
      <c r="D1009" s="1">
        <f>14.514027914523*(10.3/7.3)</f>
        <v>20.478696920491309</v>
      </c>
      <c r="E1009" s="1">
        <f>51.9803467021595*(10.3/7.3)</f>
        <v>73.342133018115405</v>
      </c>
      <c r="F1009" s="1">
        <f>90.6470453246751*(38.9/42.5)</f>
        <v>82.968707367761468</v>
      </c>
      <c r="G1009" s="1">
        <v>2.5612127772586866</v>
      </c>
      <c r="H1009" s="1">
        <v>4.6001390857078936</v>
      </c>
      <c r="I1009" s="1">
        <v>69.976055649813333</v>
      </c>
      <c r="J1009" s="1">
        <v>5.4058742267251055E-2</v>
      </c>
      <c r="K1009" s="1">
        <v>3.4140540765454217</v>
      </c>
      <c r="L1009" s="1">
        <v>4.1563509602448381</v>
      </c>
      <c r="M1009" s="1">
        <v>0.23344601525926198</v>
      </c>
      <c r="N1009" s="1">
        <v>2.336847709310153</v>
      </c>
      <c r="O1009" s="1">
        <v>0.20869538461538464</v>
      </c>
      <c r="P1009" s="1">
        <v>0.1486538352123718</v>
      </c>
      <c r="Q1009" s="1">
        <v>4.0932624294088651</v>
      </c>
      <c r="R1009" s="2">
        <f t="shared" si="63"/>
        <v>277.20338441759924</v>
      </c>
      <c r="S1009" s="2">
        <f t="shared" si="62"/>
        <v>3.6167666540250445</v>
      </c>
      <c r="T1009" s="2">
        <f t="shared" si="64"/>
        <v>6.9353400694296381</v>
      </c>
      <c r="U1009" s="2">
        <f t="shared" si="65"/>
        <v>287.75549114105394</v>
      </c>
    </row>
    <row r="1010" spans="1:21" x14ac:dyDescent="0.25">
      <c r="A1010">
        <v>2850821</v>
      </c>
      <c r="B1010">
        <v>38</v>
      </c>
      <c r="C1010" s="1">
        <f>7.41661269646002*(10.3/7.3)</f>
        <v>10.464535722402493</v>
      </c>
      <c r="D1010" s="1">
        <f>9.23319385462931*(10.3/7.3)</f>
        <v>13.027657082559159</v>
      </c>
      <c r="E1010" s="1">
        <f>32.8747010643209*(10.3/7.3)</f>
        <v>46.384852186644537</v>
      </c>
      <c r="F1010" s="1">
        <f>54.6151647769742*(38.9/42.5)</f>
        <v>49.988939054689311</v>
      </c>
      <c r="G1010" s="1">
        <v>1.4807831284321191</v>
      </c>
      <c r="H1010" s="1">
        <v>4.4915399712212158</v>
      </c>
      <c r="I1010" s="1">
        <v>39.05042755552131</v>
      </c>
      <c r="J1010" s="1">
        <v>3.449568326059059E-2</v>
      </c>
      <c r="K1010" s="1">
        <v>2.5551436153900569</v>
      </c>
      <c r="L1010" s="1">
        <v>2.7892566761725921</v>
      </c>
      <c r="M1010" s="1">
        <v>0.18106044971243984</v>
      </c>
      <c r="N1010" s="1">
        <v>1.7471201767607099</v>
      </c>
      <c r="O1010" s="1">
        <v>0.14931368421052629</v>
      </c>
      <c r="P1010" s="1">
        <v>0.12118516680307063</v>
      </c>
      <c r="Q1010" s="1">
        <v>2.3665483787727948</v>
      </c>
      <c r="R1010" s="2">
        <f t="shared" si="63"/>
        <v>167.25528308024295</v>
      </c>
      <c r="S1010" s="2">
        <f t="shared" si="62"/>
        <v>2.7108244654537179</v>
      </c>
      <c r="T1010" s="2">
        <f t="shared" si="64"/>
        <v>4.8667509868562684</v>
      </c>
      <c r="U1010" s="2">
        <f t="shared" si="65"/>
        <v>174.83285853255293</v>
      </c>
    </row>
    <row r="1011" spans="1:21" x14ac:dyDescent="0.25">
      <c r="A1011">
        <v>2850829</v>
      </c>
      <c r="B1011">
        <v>50</v>
      </c>
      <c r="C1011" s="1">
        <f>10.4100732950025*(10.3/7.3)</f>
        <v>14.688185608017246</v>
      </c>
      <c r="D1011" s="1">
        <f>11.6424516395181*(10.3/7.3)</f>
        <v>16.427020806443359</v>
      </c>
      <c r="E1011" s="1">
        <f>41.6298429106589*(10.3/7.3)</f>
        <v>58.737997531477589</v>
      </c>
      <c r="F1011" s="1">
        <f>70.9354587556032*(38.9/42.5)</f>
        <v>64.926808131599216</v>
      </c>
      <c r="G1011" s="1">
        <v>1.9474460979009687</v>
      </c>
      <c r="H1011" s="1">
        <v>3.9137853112022332</v>
      </c>
      <c r="I1011" s="1">
        <v>53.436245236904554</v>
      </c>
      <c r="J1011" s="1">
        <v>4.1338479099873371E-2</v>
      </c>
      <c r="K1011" s="1">
        <v>2.9298053693096135</v>
      </c>
      <c r="L1011" s="1">
        <v>3.3799150511266394</v>
      </c>
      <c r="M1011" s="1">
        <v>0.22718799489727595</v>
      </c>
      <c r="N1011" s="1">
        <v>2.0419897538098679</v>
      </c>
      <c r="O1011" s="1">
        <v>0.17323946666666665</v>
      </c>
      <c r="P1011" s="1">
        <v>0.13262665052519496</v>
      </c>
      <c r="Q1011" s="1">
        <v>3.1123567774673058</v>
      </c>
      <c r="R1011" s="2">
        <f t="shared" si="63"/>
        <v>217.18984550101248</v>
      </c>
      <c r="S1011" s="2">
        <f t="shared" si="62"/>
        <v>3.1037704989346819</v>
      </c>
      <c r="T1011" s="2">
        <f t="shared" si="64"/>
        <v>5.8223322665004495</v>
      </c>
      <c r="U1011" s="2">
        <f t="shared" si="65"/>
        <v>226.11594826644762</v>
      </c>
    </row>
    <row r="1012" spans="1:21" x14ac:dyDescent="0.25">
      <c r="A1012">
        <v>2850837</v>
      </c>
      <c r="B1012">
        <v>4</v>
      </c>
      <c r="C1012" s="1">
        <f>13.3477541741442*(10.3/7.3)</f>
        <v>18.833132601874674</v>
      </c>
      <c r="D1012" s="1">
        <f>14.0093481339855*(10.3/7.3)</f>
        <v>19.766614490417908</v>
      </c>
      <c r="E1012" s="1">
        <f>50.2347951943771*(10.3/7.3)</f>
        <v>70.879231575627941</v>
      </c>
      <c r="F1012" s="1">
        <f>86.7553821775065*(38.9/42.5)</f>
        <v>79.406690981294162</v>
      </c>
      <c r="G1012" s="1">
        <v>2.3878489129047331</v>
      </c>
      <c r="H1012" s="1">
        <v>5.4190454945928987</v>
      </c>
      <c r="I1012" s="1">
        <v>67.369573194355723</v>
      </c>
      <c r="J1012" s="1">
        <v>4.5803262957293686E-2</v>
      </c>
      <c r="K1012" s="1">
        <v>3.1454376405196278</v>
      </c>
      <c r="L1012" s="1">
        <v>3.7306143946319033</v>
      </c>
      <c r="M1012" s="1">
        <v>0.26032175959224885</v>
      </c>
      <c r="N1012" s="1">
        <v>2.1773385815803494</v>
      </c>
      <c r="O1012" s="1">
        <v>0.18821333333333334</v>
      </c>
      <c r="P1012" s="1">
        <v>0.13781496310472879</v>
      </c>
      <c r="Q1012" s="1">
        <v>3.8161968927701255</v>
      </c>
      <c r="R1012" s="2">
        <f t="shared" si="63"/>
        <v>267.87833414383817</v>
      </c>
      <c r="S1012" s="2">
        <f t="shared" si="62"/>
        <v>3.3290558665816503</v>
      </c>
      <c r="T1012" s="2">
        <f t="shared" si="64"/>
        <v>6.3564880691378356</v>
      </c>
      <c r="U1012" s="2">
        <f t="shared" si="65"/>
        <v>277.56387807955764</v>
      </c>
    </row>
    <row r="1013" spans="1:21" x14ac:dyDescent="0.25">
      <c r="A1013">
        <v>2851109</v>
      </c>
      <c r="B1013">
        <v>10</v>
      </c>
      <c r="C1013" s="1">
        <f>20.4925117497618*(10.3/7.3)</f>
        <v>28.914091920896794</v>
      </c>
      <c r="D1013" s="1">
        <f>19.7757392511015*(10.3/7.3)</f>
        <v>27.902755381691108</v>
      </c>
      <c r="E1013" s="1">
        <f>71.5354688768702*(10.3/7.3)</f>
        <v>100.93360677147436</v>
      </c>
      <c r="F1013" s="1">
        <f>108.852675096831*(38.9/42.5)</f>
        <v>99.63221320627548</v>
      </c>
      <c r="G1013" s="1">
        <v>2.0483677194457095</v>
      </c>
      <c r="H1013" s="1">
        <v>4.1807184395291008</v>
      </c>
      <c r="I1013" s="1">
        <v>86.445754647175136</v>
      </c>
      <c r="J1013" s="1">
        <v>4.3009113283165402E-2</v>
      </c>
      <c r="K1013" s="1">
        <v>3.0561340528841887</v>
      </c>
      <c r="L1013" s="1">
        <v>3.9453074407724023</v>
      </c>
      <c r="M1013" s="1">
        <v>0.14548802998066077</v>
      </c>
      <c r="N1013" s="1">
        <v>2.019180906651866</v>
      </c>
      <c r="O1013" s="1">
        <v>0.133072</v>
      </c>
      <c r="P1013" s="1">
        <v>0.10579263324524332</v>
      </c>
      <c r="Q1013" s="1">
        <v>3.2736470402100415</v>
      </c>
      <c r="R1013" s="2">
        <f t="shared" si="63"/>
        <v>353.33115512669769</v>
      </c>
      <c r="S1013" s="2">
        <f t="shared" si="62"/>
        <v>3.2049357994125978</v>
      </c>
      <c r="T1013" s="2">
        <f t="shared" si="64"/>
        <v>6.2430483774049295</v>
      </c>
      <c r="U1013" s="2">
        <f t="shared" si="65"/>
        <v>362.77913930351525</v>
      </c>
    </row>
    <row r="1014" spans="1:21" x14ac:dyDescent="0.25">
      <c r="A1014">
        <v>2851133</v>
      </c>
      <c r="B1014">
        <v>31</v>
      </c>
      <c r="C1014" s="1">
        <f>18.6706350887684*(10.3/7.3)</f>
        <v>26.343498823878644</v>
      </c>
      <c r="D1014" s="1">
        <f>18.3726191049439*(10.3/7.3)</f>
        <v>25.92301051793461</v>
      </c>
      <c r="E1014" s="1">
        <f>66.3713939030327*(10.3/7.3)</f>
        <v>93.647309205648824</v>
      </c>
      <c r="F1014" s="1">
        <f>101.717896368339*(38.9/42.5)</f>
        <v>93.101792205373428</v>
      </c>
      <c r="G1014" s="1">
        <v>1.9875522546372946</v>
      </c>
      <c r="H1014" s="1">
        <v>4.5660814544203028</v>
      </c>
      <c r="I1014" s="1">
        <v>80.033920829986101</v>
      </c>
      <c r="J1014" s="1">
        <v>5.1935718968028413E-2</v>
      </c>
      <c r="K1014" s="1">
        <v>3.0633012452434767</v>
      </c>
      <c r="L1014" s="1">
        <v>4.6869895210293988</v>
      </c>
      <c r="M1014" s="1">
        <v>0.1424429464793199</v>
      </c>
      <c r="N1014" s="1">
        <v>2.7484232962133275</v>
      </c>
      <c r="O1014" s="1">
        <v>0.13090924731182796</v>
      </c>
      <c r="P1014" s="1">
        <v>0.10408939264108232</v>
      </c>
      <c r="Q1014" s="1">
        <v>3.1764533749911132</v>
      </c>
      <c r="R1014" s="2">
        <f t="shared" si="63"/>
        <v>328.77961866687036</v>
      </c>
      <c r="S1014" s="2">
        <f t="shared" si="62"/>
        <v>3.2193263568525876</v>
      </c>
      <c r="T1014" s="2">
        <f t="shared" si="64"/>
        <v>7.7087650110338739</v>
      </c>
      <c r="U1014" s="2">
        <f t="shared" si="65"/>
        <v>339.70771003475681</v>
      </c>
    </row>
    <row r="1015" spans="1:21" x14ac:dyDescent="0.25">
      <c r="A1015">
        <v>2851141</v>
      </c>
      <c r="B1015">
        <v>59</v>
      </c>
      <c r="C1015" s="1">
        <f>17.2157245512713*(10.3/7.3)</f>
        <v>24.290679846314266</v>
      </c>
      <c r="D1015" s="1">
        <f>17.0135829857549*(10.3/7.3)</f>
        <v>24.00546640455822</v>
      </c>
      <c r="E1015" s="1">
        <f>61.4632405298115*(10.3/7.3)</f>
        <v>86.722106500966916</v>
      </c>
      <c r="F1015" s="1">
        <f>93.3835355631949*(38.9/42.5)</f>
        <v>85.473400786077207</v>
      </c>
      <c r="G1015" s="1">
        <v>1.7776953172448502</v>
      </c>
      <c r="H1015" s="1">
        <v>5.3811988433963132</v>
      </c>
      <c r="I1015" s="1">
        <v>73.220015692007323</v>
      </c>
      <c r="J1015" s="1">
        <v>4.2349331058271815E-2</v>
      </c>
      <c r="K1015" s="1">
        <v>3.0985832822205035</v>
      </c>
      <c r="L1015" s="1">
        <v>4.8307170149693652</v>
      </c>
      <c r="M1015" s="1">
        <v>0.14343606006414061</v>
      </c>
      <c r="N1015" s="1">
        <v>1.988227412357799</v>
      </c>
      <c r="O1015" s="1">
        <v>0.13162847457627116</v>
      </c>
      <c r="P1015" s="1">
        <v>0.10493350392507027</v>
      </c>
      <c r="Q1015" s="1">
        <v>2.8410655755054708</v>
      </c>
      <c r="R1015" s="2">
        <f t="shared" si="63"/>
        <v>303.71162896607052</v>
      </c>
      <c r="S1015" s="2">
        <f t="shared" si="62"/>
        <v>3.2458661172038452</v>
      </c>
      <c r="T1015" s="2">
        <f t="shared" si="64"/>
        <v>7.0940089619675755</v>
      </c>
      <c r="U1015" s="2">
        <f t="shared" si="65"/>
        <v>314.05150404524193</v>
      </c>
    </row>
    <row r="1016" spans="1:21" x14ac:dyDescent="0.25">
      <c r="A1016">
        <v>2851149</v>
      </c>
      <c r="B1016">
        <v>31</v>
      </c>
      <c r="C1016" s="1">
        <f>14.6309283183679*(10.3/7.3)</f>
        <v>20.643638586190328</v>
      </c>
      <c r="D1016" s="1">
        <f>14.4948658261894*(10.3/7.3)</f>
        <v>20.451660001335672</v>
      </c>
      <c r="E1016" s="1">
        <f>52.3462830997216*(10.3/7.3)</f>
        <v>73.858454236593545</v>
      </c>
      <c r="F1016" s="1">
        <f>80.0600166591971*(38.9/42.5)</f>
        <v>73.27846230688867</v>
      </c>
      <c r="G1016" s="1">
        <v>1.5609337245430976</v>
      </c>
      <c r="H1016" s="1">
        <v>4.1465207768647039</v>
      </c>
      <c r="I1016" s="1">
        <v>62.753162484986767</v>
      </c>
      <c r="J1016" s="1">
        <v>3.6910397586177583E-2</v>
      </c>
      <c r="K1016" s="1">
        <v>2.8939052192807506</v>
      </c>
      <c r="L1016" s="1">
        <v>4.181558450549562</v>
      </c>
      <c r="M1016" s="1">
        <v>0.13159439781791091</v>
      </c>
      <c r="N1016" s="1">
        <v>1.7118529493449819</v>
      </c>
      <c r="O1016" s="1">
        <v>0.12355612903225806</v>
      </c>
      <c r="P1016" s="1">
        <v>9.902707667133305E-2</v>
      </c>
      <c r="Q1016" s="1">
        <v>2.4946429387675102</v>
      </c>
      <c r="R1016" s="2">
        <f t="shared" si="63"/>
        <v>259.18747505617029</v>
      </c>
      <c r="S1016" s="2">
        <f t="shared" si="62"/>
        <v>3.0298426935382614</v>
      </c>
      <c r="T1016" s="2">
        <f t="shared" si="64"/>
        <v>6.1485619267447129</v>
      </c>
      <c r="U1016" s="2">
        <f t="shared" si="65"/>
        <v>268.36587967645329</v>
      </c>
    </row>
    <row r="1017" spans="1:21" x14ac:dyDescent="0.25">
      <c r="A1017">
        <v>2862545</v>
      </c>
      <c r="B1017">
        <v>3</v>
      </c>
      <c r="C1017" s="1">
        <f>0.733255216250636*(10.3/7.3)</f>
        <v>1.0345929763536375</v>
      </c>
      <c r="D1017" s="1">
        <f>1.29913069097712*(10.3/7.3)</f>
        <v>1.8330200160362049</v>
      </c>
      <c r="E1017" s="1">
        <f>4.39824161583385*(10.3/7.3)</f>
        <v>6.2057381702861205</v>
      </c>
      <c r="F1017" s="1">
        <f>15.5798712162033*(38.9/42.5)</f>
        <v>14.260164477889582</v>
      </c>
      <c r="G1017" s="1">
        <v>0.915655026858189</v>
      </c>
      <c r="H1017" s="1">
        <v>3.0734517233551415</v>
      </c>
      <c r="I1017" s="1">
        <v>11.937960649296441</v>
      </c>
      <c r="J1017" s="1">
        <v>1.6551323455656453E-2</v>
      </c>
      <c r="K1017" s="1">
        <v>2.4366763777006915</v>
      </c>
      <c r="L1017" s="1">
        <v>2.796503083643302</v>
      </c>
      <c r="M1017" s="1">
        <v>8.1072738602544298E-2</v>
      </c>
      <c r="N1017" s="1">
        <v>0.68772163729585556</v>
      </c>
      <c r="O1017" s="1">
        <v>0.19008</v>
      </c>
      <c r="P1017" s="1">
        <v>0.16337433730511072</v>
      </c>
      <c r="Q1017" s="1">
        <v>1.4633756137003033</v>
      </c>
      <c r="R1017" s="2">
        <f t="shared" si="63"/>
        <v>40.723958653775618</v>
      </c>
      <c r="S1017" s="2">
        <f t="shared" si="62"/>
        <v>2.6166020384614583</v>
      </c>
      <c r="T1017" s="2">
        <f t="shared" si="64"/>
        <v>3.7553774595417018</v>
      </c>
      <c r="U1017" s="2">
        <f t="shared" si="65"/>
        <v>47.095938151778782</v>
      </c>
    </row>
    <row r="1018" spans="1:21" x14ac:dyDescent="0.25">
      <c r="A1018">
        <v>2863025</v>
      </c>
      <c r="B1018">
        <v>5</v>
      </c>
      <c r="C1018" s="1">
        <f>12.7055086357389*(10.3/7.3)</f>
        <v>17.926950540837066</v>
      </c>
      <c r="D1018" s="1">
        <f>12.636452706115*(10.3/7.3)</f>
        <v>17.829515462052679</v>
      </c>
      <c r="E1018" s="1">
        <f>45.3189566423775*(10.3/7.3)</f>
        <v>63.943185399518981</v>
      </c>
      <c r="F1018" s="1">
        <f>84.609692732634*(38.9/42.5)</f>
        <v>77.442754054104995</v>
      </c>
      <c r="G1018" s="1">
        <v>2.6388117800035502</v>
      </c>
      <c r="H1018" s="1">
        <v>5.2361432617210042</v>
      </c>
      <c r="I1018" s="1">
        <v>67.969497327411602</v>
      </c>
      <c r="J1018" s="1">
        <v>5.7617615178516803E-2</v>
      </c>
      <c r="K1018" s="1">
        <v>3.4391728835474034</v>
      </c>
      <c r="L1018" s="1">
        <v>4.1600373516692875</v>
      </c>
      <c r="M1018" s="1">
        <v>0.21605832552905624</v>
      </c>
      <c r="N1018" s="1">
        <v>2.6933433691151185</v>
      </c>
      <c r="O1018" s="1">
        <v>0.20966399999999999</v>
      </c>
      <c r="P1018" s="1">
        <v>0.14933126900831453</v>
      </c>
      <c r="Q1018" s="1">
        <v>4.2172791004622994</v>
      </c>
      <c r="R1018" s="2">
        <f t="shared" si="63"/>
        <v>257.2041369261122</v>
      </c>
      <c r="S1018" s="2">
        <f t="shared" si="62"/>
        <v>3.6461217677342344</v>
      </c>
      <c r="T1018" s="2">
        <f t="shared" si="64"/>
        <v>7.2791030463134625</v>
      </c>
      <c r="U1018" s="2">
        <f t="shared" si="65"/>
        <v>268.12936174015994</v>
      </c>
    </row>
    <row r="1019" spans="1:21" x14ac:dyDescent="0.25">
      <c r="A1019">
        <v>2863033</v>
      </c>
      <c r="B1019">
        <v>8</v>
      </c>
      <c r="C1019" s="1">
        <f>12.2663919187827*(10.3/7.3)</f>
        <v>17.307374899104371</v>
      </c>
      <c r="D1019" s="1">
        <f>12.7137554507317*(10.3/7.3)</f>
        <v>17.938586457881716</v>
      </c>
      <c r="E1019" s="1">
        <f>45.5752217086666*(10.3/7.3)</f>
        <v>64.30476487661177</v>
      </c>
      <c r="F1019" s="1">
        <f>80.9427119719723*(38.9/42.5)</f>
        <v>74.086388134346436</v>
      </c>
      <c r="G1019" s="1">
        <v>2.3429191563431129</v>
      </c>
      <c r="H1019" s="1">
        <v>4.6367983416077312</v>
      </c>
      <c r="I1019" s="1">
        <v>63.471125533359306</v>
      </c>
      <c r="J1019" s="1">
        <v>4.9491667823255758E-2</v>
      </c>
      <c r="K1019" s="1">
        <v>3.1031353358993594</v>
      </c>
      <c r="L1019" s="1">
        <v>3.6220815043301484</v>
      </c>
      <c r="M1019" s="1">
        <v>0.20583756954513657</v>
      </c>
      <c r="N1019" s="1">
        <v>2.0680874461768481</v>
      </c>
      <c r="O1019" s="1">
        <v>0.18883333333333333</v>
      </c>
      <c r="P1019" s="1">
        <v>0.13792904739349715</v>
      </c>
      <c r="Q1019" s="1">
        <v>3.7443913457538378</v>
      </c>
      <c r="R1019" s="2">
        <f t="shared" si="63"/>
        <v>247.83234874500826</v>
      </c>
      <c r="S1019" s="2">
        <f t="shared" si="62"/>
        <v>3.2905560511161123</v>
      </c>
      <c r="T1019" s="2">
        <f t="shared" si="64"/>
        <v>6.084839853385466</v>
      </c>
      <c r="U1019" s="2">
        <f t="shared" si="65"/>
        <v>257.20774464950983</v>
      </c>
    </row>
    <row r="1020" spans="1:21" x14ac:dyDescent="0.25">
      <c r="A1020">
        <v>2863041</v>
      </c>
      <c r="B1020">
        <v>5</v>
      </c>
      <c r="C1020" s="1">
        <f>13.4359758093422*(10.3/7.3)</f>
        <v>18.9576097035924</v>
      </c>
      <c r="D1020" s="1">
        <f>14.8996542931705*(10.3/7.3)</f>
        <v>21.022799893103581</v>
      </c>
      <c r="E1020" s="1">
        <f>53.28488613739*(10.3/7.3)</f>
        <v>75.182784550016095</v>
      </c>
      <c r="F1020" s="1">
        <f>91.5214961575204*(38.9/42.5)</f>
        <v>83.769087071236299</v>
      </c>
      <c r="G1020" s="1">
        <v>2.5454651812964224</v>
      </c>
      <c r="H1020" s="1">
        <v>4.5468588138732056</v>
      </c>
      <c r="I1020" s="1">
        <v>69.304105992427026</v>
      </c>
      <c r="J1020" s="1">
        <v>5.4404661293551038E-2</v>
      </c>
      <c r="K1020" s="1">
        <v>3.4803277653501383</v>
      </c>
      <c r="L1020" s="1">
        <v>4.2809646162452202</v>
      </c>
      <c r="M1020" s="1">
        <v>0.24136048459542217</v>
      </c>
      <c r="N1020" s="1">
        <v>2.4352708062194237</v>
      </c>
      <c r="O1020" s="1">
        <v>0.21294933333333335</v>
      </c>
      <c r="P1020" s="1">
        <v>0.15161754582393278</v>
      </c>
      <c r="Q1020" s="1">
        <v>4.0680950386015926</v>
      </c>
      <c r="R1020" s="2">
        <f t="shared" si="63"/>
        <v>279.3968062441466</v>
      </c>
      <c r="S1020" s="2">
        <f t="shared" si="62"/>
        <v>3.6863499724676219</v>
      </c>
      <c r="T1020" s="2">
        <f t="shared" si="64"/>
        <v>7.1705452403933991</v>
      </c>
      <c r="U1020" s="2">
        <f t="shared" si="65"/>
        <v>290.25370145700759</v>
      </c>
    </row>
    <row r="1021" spans="1:21" x14ac:dyDescent="0.25">
      <c r="A1021">
        <v>2863049</v>
      </c>
      <c r="B1021">
        <v>12</v>
      </c>
      <c r="C1021" s="1">
        <f>9.44449446786703*(10.3/7.3)</f>
        <v>13.325793564250747</v>
      </c>
      <c r="D1021" s="1">
        <f>12.9922705552797*(10.3/7.3)</f>
        <v>18.33155982457269</v>
      </c>
      <c r="E1021" s="1">
        <f>46.131460602295*(10.3/7.3)</f>
        <v>65.089595096388862</v>
      </c>
      <c r="F1021" s="1">
        <f>73.0468725039888*(38.9/42.5)</f>
        <v>66.859372715415631</v>
      </c>
      <c r="G1021" s="1">
        <v>1.8481553594600777</v>
      </c>
      <c r="H1021" s="1">
        <v>4.7802593063258909</v>
      </c>
      <c r="I1021" s="1">
        <v>49.333908699918233</v>
      </c>
      <c r="J1021" s="1">
        <v>4.1350020614093007E-2</v>
      </c>
      <c r="K1021" s="1">
        <v>2.9248110546916277</v>
      </c>
      <c r="L1021" s="1">
        <v>3.3042998039552423</v>
      </c>
      <c r="M1021" s="1">
        <v>0.20565131953043683</v>
      </c>
      <c r="N1021" s="1">
        <v>2.0250491492722298</v>
      </c>
      <c r="O1021" s="1">
        <v>0.17303111111111111</v>
      </c>
      <c r="P1021" s="1">
        <v>0.13472943420214298</v>
      </c>
      <c r="Q1021" s="1">
        <v>2.9536729489088032</v>
      </c>
      <c r="R1021" s="2">
        <f t="shared" si="63"/>
        <v>222.5223175152409</v>
      </c>
      <c r="S1021" s="2">
        <f t="shared" si="62"/>
        <v>3.1008905095078636</v>
      </c>
      <c r="T1021" s="2">
        <f t="shared" si="64"/>
        <v>5.7080313838690202</v>
      </c>
      <c r="U1021" s="2">
        <f t="shared" si="65"/>
        <v>231.33123940861779</v>
      </c>
    </row>
    <row r="1022" spans="1:21" x14ac:dyDescent="0.25">
      <c r="A1022">
        <v>2863057</v>
      </c>
      <c r="B1022">
        <v>68</v>
      </c>
      <c r="C1022" s="1">
        <f>6.20895926116311*(10.3/7.3)</f>
        <v>8.7605863547917799</v>
      </c>
      <c r="D1022" s="1">
        <f>7.1135359503215*(10.3/7.3)</f>
        <v>10.036906888809796</v>
      </c>
      <c r="E1022" s="1">
        <f>25.4005164610355*(10.3/7.3)</f>
        <v>35.839084869680292</v>
      </c>
      <c r="F1022" s="1">
        <f>43.5276085740866*(38.9/42.5)</f>
        <v>39.840564083105171</v>
      </c>
      <c r="G1022" s="1">
        <v>1.2198645863162132</v>
      </c>
      <c r="H1022" s="1">
        <v>3.0607645872500808</v>
      </c>
      <c r="I1022" s="1">
        <v>32.483898622067365</v>
      </c>
      <c r="J1022" s="1">
        <v>3.131035092429333E-2</v>
      </c>
      <c r="K1022" s="1">
        <v>2.3567332919664921</v>
      </c>
      <c r="L1022" s="1">
        <v>2.5568021812081123</v>
      </c>
      <c r="M1022" s="1">
        <v>0.16620793814265056</v>
      </c>
      <c r="N1022" s="1">
        <v>1.6122197832187692</v>
      </c>
      <c r="O1022" s="1">
        <v>0.1365223529411764</v>
      </c>
      <c r="P1022" s="1">
        <v>0.11356237818729595</v>
      </c>
      <c r="Q1022" s="1">
        <v>1.9495552749345895</v>
      </c>
      <c r="R1022" s="2">
        <f t="shared" si="63"/>
        <v>133.19122526695529</v>
      </c>
      <c r="S1022" s="2">
        <f t="shared" si="62"/>
        <v>2.5016060210780813</v>
      </c>
      <c r="T1022" s="2">
        <f t="shared" si="64"/>
        <v>4.4717522555107081</v>
      </c>
      <c r="U1022" s="2">
        <f t="shared" si="65"/>
        <v>140.1645835435441</v>
      </c>
    </row>
    <row r="1023" spans="1:21" x14ac:dyDescent="0.25">
      <c r="A1023">
        <v>2863065</v>
      </c>
      <c r="B1023">
        <v>9</v>
      </c>
      <c r="C1023" s="1">
        <f>14.0818281013309*(10.3/7.3)</f>
        <v>19.868880745713525</v>
      </c>
      <c r="D1023" s="1">
        <f>15.0571726462914*(10.3/7.3)</f>
        <v>21.245051816000178</v>
      </c>
      <c r="E1023" s="1">
        <f>53.9485866023043*(10.3/7.3)</f>
        <v>76.119238630648596</v>
      </c>
      <c r="F1023" s="1">
        <f>92.6935535418452*(38.9/42.5)</f>
        <v>84.84186430065364</v>
      </c>
      <c r="G1023" s="1">
        <v>2.5434861857171915</v>
      </c>
      <c r="H1023" s="1">
        <v>4.5597726333964532</v>
      </c>
      <c r="I1023" s="1">
        <v>71.329941806221768</v>
      </c>
      <c r="J1023" s="1">
        <v>4.9151386455281054E-2</v>
      </c>
      <c r="K1023" s="1">
        <v>3.3339913603750477</v>
      </c>
      <c r="L1023" s="1">
        <v>4.0475461254027669</v>
      </c>
      <c r="M1023" s="1">
        <v>0.27150153686383566</v>
      </c>
      <c r="N1023" s="1">
        <v>2.317973212236546</v>
      </c>
      <c r="O1023" s="1">
        <v>0.19971555555555556</v>
      </c>
      <c r="P1023" s="1">
        <v>0.14450942866904024</v>
      </c>
      <c r="Q1023" s="1">
        <v>4.0649322602786206</v>
      </c>
      <c r="R1023" s="2">
        <f t="shared" si="63"/>
        <v>284.57316837862999</v>
      </c>
      <c r="S1023" s="2">
        <f t="shared" si="62"/>
        <v>3.5276521754993686</v>
      </c>
      <c r="T1023" s="2">
        <f t="shared" si="64"/>
        <v>6.8367364300587044</v>
      </c>
      <c r="U1023" s="2">
        <f t="shared" si="65"/>
        <v>294.93755698418806</v>
      </c>
    </row>
    <row r="1024" spans="1:21" x14ac:dyDescent="0.25">
      <c r="A1024">
        <v>2863337</v>
      </c>
      <c r="B1024">
        <v>2</v>
      </c>
      <c r="C1024" s="1">
        <f>12.7732182428886*(10.3/7.3)</f>
        <v>18.0224860139387</v>
      </c>
      <c r="D1024" s="1">
        <f>12.2521035764625*(10.3/7.3)</f>
        <v>17.287214635282755</v>
      </c>
      <c r="E1024" s="1">
        <f>44.309343869132*(10.3/7.3)</f>
        <v>62.518663267405479</v>
      </c>
      <c r="F1024" s="1">
        <f>68.7297452791407*(38.9/42.5)</f>
        <v>62.90793156137817</v>
      </c>
      <c r="G1024" s="1">
        <v>1.3728387706410272</v>
      </c>
      <c r="H1024" s="1">
        <v>3.2111182647178564</v>
      </c>
      <c r="I1024" s="1">
        <v>54.891342971059771</v>
      </c>
      <c r="J1024" s="1">
        <v>3.0254042788966977E-2</v>
      </c>
      <c r="K1024" s="1">
        <v>2.3029952532343207</v>
      </c>
      <c r="L1024" s="1">
        <v>2.5586310499833171</v>
      </c>
      <c r="M1024" s="1">
        <v>0.10853247764534091</v>
      </c>
      <c r="N1024" s="1">
        <v>1.5831642793756668</v>
      </c>
      <c r="O1024" s="1">
        <v>0.10231999999999999</v>
      </c>
      <c r="P1024" s="1">
        <v>8.6486351850058513E-2</v>
      </c>
      <c r="Q1024" s="1">
        <v>2.1940345649514157</v>
      </c>
      <c r="R1024" s="2">
        <f t="shared" si="63"/>
        <v>222.40563004937519</v>
      </c>
      <c r="S1024" s="2">
        <f t="shared" si="62"/>
        <v>2.4197356478733463</v>
      </c>
      <c r="T1024" s="2">
        <f t="shared" si="64"/>
        <v>4.3526478070043249</v>
      </c>
      <c r="U1024" s="2">
        <f t="shared" si="65"/>
        <v>229.17801350425287</v>
      </c>
    </row>
    <row r="1025" spans="1:21" x14ac:dyDescent="0.25">
      <c r="A1025">
        <v>2863369</v>
      </c>
      <c r="B1025">
        <v>54</v>
      </c>
      <c r="C1025" s="1">
        <f>17.706062269648*(10.3/7.3)</f>
        <v>24.982526216078728</v>
      </c>
      <c r="D1025" s="1">
        <f>17.4573254609651*(10.3/7.3)</f>
        <v>24.631568801087699</v>
      </c>
      <c r="E1025" s="1">
        <f>63.0606556064586*(10.3/7.3)</f>
        <v>88.975993526921044</v>
      </c>
      <c r="F1025" s="1">
        <f>96.5087572609889*(38.9/42.5)</f>
        <v>88.333897822410975</v>
      </c>
      <c r="G1025" s="1">
        <v>1.8795291949982971</v>
      </c>
      <c r="H1025" s="1">
        <v>4.5829130036404235</v>
      </c>
      <c r="I1025" s="1">
        <v>75.843082818625575</v>
      </c>
      <c r="J1025" s="1">
        <v>4.4601571937679968E-2</v>
      </c>
      <c r="K1025" s="1">
        <v>3.1208113028992148</v>
      </c>
      <c r="L1025" s="1">
        <v>4.7084744486122663</v>
      </c>
      <c r="M1025" s="1">
        <v>0.14508042345818858</v>
      </c>
      <c r="N1025" s="1">
        <v>2.2071793332964642</v>
      </c>
      <c r="O1025" s="1">
        <v>0.13336395061728396</v>
      </c>
      <c r="P1025" s="1">
        <v>0.10599809834187314</v>
      </c>
      <c r="Q1025" s="1">
        <v>3.0038137819607527</v>
      </c>
      <c r="R1025" s="2">
        <f t="shared" si="63"/>
        <v>312.2333251657235</v>
      </c>
      <c r="S1025" s="2">
        <f t="shared" si="62"/>
        <v>3.2714109731787682</v>
      </c>
      <c r="T1025" s="2">
        <f t="shared" si="64"/>
        <v>7.1940981559842028</v>
      </c>
      <c r="U1025" s="2">
        <f t="shared" si="65"/>
        <v>322.69883429488647</v>
      </c>
    </row>
    <row r="1026" spans="1:21" x14ac:dyDescent="0.25">
      <c r="A1026">
        <v>2863377</v>
      </c>
      <c r="B1026">
        <v>16</v>
      </c>
      <c r="C1026" s="1">
        <f>14.2864781762087*(10.3/7.3)</f>
        <v>20.157633591088945</v>
      </c>
      <c r="D1026" s="1">
        <f>14.1740845385258*(10.3/7.3)</f>
        <v>19.999050787234964</v>
      </c>
      <c r="E1026" s="1">
        <f>51.1863548059005*(10.3/7.3)</f>
        <v>72.221843082298022</v>
      </c>
      <c r="F1026" s="1">
        <f>78.1515700512404*(38.9/42.5)</f>
        <v>71.531672352782422</v>
      </c>
      <c r="G1026" s="1">
        <v>1.5165469323000604</v>
      </c>
      <c r="H1026" s="1">
        <v>5.9304663385735399</v>
      </c>
      <c r="I1026" s="1">
        <v>61.195587009811888</v>
      </c>
      <c r="J1026" s="1">
        <v>3.6776907764750913E-2</v>
      </c>
      <c r="K1026" s="1">
        <v>2.8362425725432914</v>
      </c>
      <c r="L1026" s="1">
        <v>4.1766567486182238</v>
      </c>
      <c r="M1026" s="1">
        <v>0.13052232023421859</v>
      </c>
      <c r="N1026" s="1">
        <v>1.7394620712949436</v>
      </c>
      <c r="O1026" s="1">
        <v>0.12233666666666666</v>
      </c>
      <c r="P1026" s="1">
        <v>9.8421364032560493E-2</v>
      </c>
      <c r="Q1026" s="1">
        <v>2.423705142945304</v>
      </c>
      <c r="R1026" s="2">
        <f t="shared" si="63"/>
        <v>254.97650523703513</v>
      </c>
      <c r="S1026" s="2">
        <f t="shared" si="62"/>
        <v>2.9714408443406031</v>
      </c>
      <c r="T1026" s="2">
        <f t="shared" si="64"/>
        <v>6.1689778068140528</v>
      </c>
      <c r="U1026" s="2">
        <f t="shared" si="65"/>
        <v>264.11692388818977</v>
      </c>
    </row>
    <row r="1027" spans="1:21" x14ac:dyDescent="0.25">
      <c r="A1027">
        <v>2874829</v>
      </c>
      <c r="B1027">
        <v>19</v>
      </c>
      <c r="C1027" s="1">
        <f>0.721117797507701*(10.3/7.3)</f>
        <v>1.0174675773053867</v>
      </c>
      <c r="D1027" s="1">
        <f>0.953152039180765*(10.3/7.3)</f>
        <v>1.3448583566523118</v>
      </c>
      <c r="E1027" s="1">
        <f>3.35726052008981*(10.3/7.3)</f>
        <v>4.7369566242363037</v>
      </c>
      <c r="F1027" s="1">
        <f>6.95586836247912*(38.9/42.5)</f>
        <v>6.3666653953044152</v>
      </c>
      <c r="G1027" s="1">
        <v>0.27025336807785794</v>
      </c>
      <c r="H1027" s="1">
        <v>3.3295614051291706</v>
      </c>
      <c r="I1027" s="1">
        <v>5.1227814556039739</v>
      </c>
      <c r="J1027" s="1">
        <v>1.4532302888932301E-2</v>
      </c>
      <c r="K1027" s="1">
        <v>2.1768598150843705</v>
      </c>
      <c r="L1027" s="1">
        <v>3.2498240069288804</v>
      </c>
      <c r="M1027" s="1">
        <v>7.1947860046518639E-2</v>
      </c>
      <c r="N1027" s="1">
        <v>0.59595989764972723</v>
      </c>
      <c r="O1027" s="1">
        <v>0.17661754385964912</v>
      </c>
      <c r="P1027" s="1">
        <v>0.13978819524165922</v>
      </c>
      <c r="Q1027" s="1">
        <v>0.43191177546689657</v>
      </c>
      <c r="R1027" s="2">
        <f t="shared" si="63"/>
        <v>22.620455957776318</v>
      </c>
      <c r="S1027" s="2">
        <f t="shared" si="62"/>
        <v>2.3311803132149618</v>
      </c>
      <c r="T1027" s="2">
        <f t="shared" si="64"/>
        <v>4.0943493084847749</v>
      </c>
      <c r="U1027" s="2">
        <f t="shared" si="65"/>
        <v>29.045985579476053</v>
      </c>
    </row>
    <row r="1028" spans="1:21" x14ac:dyDescent="0.25">
      <c r="A1028">
        <v>2875269</v>
      </c>
      <c r="B1028">
        <v>28</v>
      </c>
      <c r="C1028" s="1">
        <f>13.1043694307972*(10.3/7.3)</f>
        <v>18.489726731124872</v>
      </c>
      <c r="D1028" s="1">
        <f>13.6775970407093*(10.3/7.3)</f>
        <v>19.298527331411716</v>
      </c>
      <c r="E1028" s="1">
        <f>49.0205025973779*(10.3/7.3)</f>
        <v>69.165914623697603</v>
      </c>
      <c r="F1028" s="1">
        <f>86.6296978231731*(38.9/42.5)</f>
        <v>79.29165283109252</v>
      </c>
      <c r="G1028" s="1">
        <v>2.4903922208440901</v>
      </c>
      <c r="H1028" s="1">
        <v>4.690723668694126</v>
      </c>
      <c r="I1028" s="1">
        <v>67.675025835314699</v>
      </c>
      <c r="J1028" s="1">
        <v>5.5884508912479224E-2</v>
      </c>
      <c r="K1028" s="1">
        <v>3.343919064337967</v>
      </c>
      <c r="L1028" s="1">
        <v>4.044943873886587</v>
      </c>
      <c r="M1028" s="1">
        <v>0.22531334017626747</v>
      </c>
      <c r="N1028" s="1">
        <v>2.2807596432535151</v>
      </c>
      <c r="O1028" s="1">
        <v>0.20446095238095235</v>
      </c>
      <c r="P1028" s="1">
        <v>0.14622986453235831</v>
      </c>
      <c r="Q1028" s="1">
        <v>3.9800788917599652</v>
      </c>
      <c r="R1028" s="2">
        <f t="shared" si="63"/>
        <v>265.08204213393958</v>
      </c>
      <c r="S1028" s="2">
        <f t="shared" si="62"/>
        <v>3.5460334377828042</v>
      </c>
      <c r="T1028" s="2">
        <f t="shared" si="64"/>
        <v>6.7554778096973216</v>
      </c>
      <c r="U1028" s="2">
        <f t="shared" si="65"/>
        <v>275.38355338141969</v>
      </c>
    </row>
    <row r="1029" spans="1:21" x14ac:dyDescent="0.25">
      <c r="A1029">
        <v>2875277</v>
      </c>
      <c r="B1029">
        <v>2</v>
      </c>
      <c r="C1029" s="1">
        <f>17.5865747276191*(10.3/7.3)</f>
        <v>24.813934204722898</v>
      </c>
      <c r="D1029" s="1">
        <f>19.4744099707628*(10.3/7.3)</f>
        <v>27.477592150528334</v>
      </c>
      <c r="E1029" s="1">
        <f>69.6596473149349*(10.3/7.3)</f>
        <v>98.286899636141044</v>
      </c>
      <c r="F1029" s="1">
        <f>119.183356172821*(38.9/42.5)</f>
        <v>109.08782482641764</v>
      </c>
      <c r="G1029" s="1">
        <v>3.2869805188423502</v>
      </c>
      <c r="H1029" s="1">
        <v>5.2334559929184792</v>
      </c>
      <c r="I1029" s="1">
        <v>90.242682468479899</v>
      </c>
      <c r="J1029" s="1">
        <v>5.8590157479671251E-2</v>
      </c>
      <c r="K1029" s="1">
        <v>3.6382175484184587</v>
      </c>
      <c r="L1029" s="1">
        <v>4.7082988932417305</v>
      </c>
      <c r="M1029" s="1">
        <v>0.26061408467560576</v>
      </c>
      <c r="N1029" s="1">
        <v>2.4490269492277901</v>
      </c>
      <c r="O1029" s="1">
        <v>0.22855999999999999</v>
      </c>
      <c r="P1029" s="1">
        <v>0.15622129288189587</v>
      </c>
      <c r="Q1029" s="1">
        <v>5.2531652127617523</v>
      </c>
      <c r="R1029" s="2">
        <f t="shared" si="63"/>
        <v>363.6825350108125</v>
      </c>
      <c r="S1029" s="2">
        <f t="shared" si="62"/>
        <v>3.8530289987800259</v>
      </c>
      <c r="T1029" s="2">
        <f t="shared" si="64"/>
        <v>7.6464999271451255</v>
      </c>
      <c r="U1029" s="2">
        <f t="shared" si="65"/>
        <v>375.18206393673762</v>
      </c>
    </row>
    <row r="1030" spans="1:21" x14ac:dyDescent="0.25">
      <c r="A1030">
        <v>2875285</v>
      </c>
      <c r="B1030">
        <v>62</v>
      </c>
      <c r="C1030" s="1">
        <f>6.22620030830121*(10.3/7.3)</f>
        <v>8.7849127637674602</v>
      </c>
      <c r="D1030" s="1">
        <f>7.45563349919761*(10.3/7.3)</f>
        <v>10.519592471470597</v>
      </c>
      <c r="E1030" s="1">
        <f>26.5806215709923*(10.3/7.3)</f>
        <v>37.50416468235894</v>
      </c>
      <c r="F1030" s="1">
        <f>44.79791550779*(38.9/42.5)</f>
        <v>41.003268547130183</v>
      </c>
      <c r="G1030" s="1">
        <v>1.2337360712698944</v>
      </c>
      <c r="H1030" s="1">
        <v>3.0640011335408843</v>
      </c>
      <c r="I1030" s="1">
        <v>32.684183672665583</v>
      </c>
      <c r="J1030" s="1">
        <v>3.2454075498314423E-2</v>
      </c>
      <c r="K1030" s="1">
        <v>2.4117125551736849</v>
      </c>
      <c r="L1030" s="1">
        <v>2.6276981585521528</v>
      </c>
      <c r="M1030" s="1">
        <v>0.16384358644168742</v>
      </c>
      <c r="N1030" s="1">
        <v>1.6503137086420967</v>
      </c>
      <c r="O1030" s="1">
        <v>0.13974451612903227</v>
      </c>
      <c r="P1030" s="1">
        <v>0.11632015386093872</v>
      </c>
      <c r="Q1030" s="1">
        <v>1.9717243148149013</v>
      </c>
      <c r="R1030" s="2">
        <f t="shared" si="63"/>
        <v>136.76558365701842</v>
      </c>
      <c r="S1030" s="2">
        <f t="shared" si="62"/>
        <v>2.5604867845329378</v>
      </c>
      <c r="T1030" s="2">
        <f t="shared" si="64"/>
        <v>4.5815999697649694</v>
      </c>
      <c r="U1030" s="2">
        <f t="shared" si="65"/>
        <v>143.90767041131633</v>
      </c>
    </row>
    <row r="1031" spans="1:21" x14ac:dyDescent="0.25">
      <c r="A1031">
        <v>2875293</v>
      </c>
      <c r="B1031">
        <v>36</v>
      </c>
      <c r="C1031" s="1">
        <f>7.64310913516849*(10.3/7.3)</f>
        <v>10.784112889347325</v>
      </c>
      <c r="D1031" s="1">
        <f>8.33600195273836*(10.3/7.3)</f>
        <v>11.761756179891117</v>
      </c>
      <c r="E1031" s="1">
        <f>29.828663573155*(10.3/7.3)</f>
        <v>42.08701846623233</v>
      </c>
      <c r="F1031" s="1">
        <f>51.6461967488352*(38.9/42.5)</f>
        <v>47.271460083051551</v>
      </c>
      <c r="G1031" s="1">
        <v>1.4505083862958079</v>
      </c>
      <c r="H1031" s="1">
        <v>3.134596419407051</v>
      </c>
      <c r="I1031" s="1">
        <v>39.450278188383329</v>
      </c>
      <c r="J1031" s="1">
        <v>3.512806950475849E-2</v>
      </c>
      <c r="K1031" s="1">
        <v>2.5753791386798124</v>
      </c>
      <c r="L1031" s="1">
        <v>2.8400908947056331</v>
      </c>
      <c r="M1031" s="1">
        <v>0.1860064237271547</v>
      </c>
      <c r="N1031" s="1">
        <v>1.7784067953009257</v>
      </c>
      <c r="O1031" s="1">
        <v>0.14980444444444449</v>
      </c>
      <c r="P1031" s="1">
        <v>0.1211482790961238</v>
      </c>
      <c r="Q1031" s="1">
        <v>2.3181640876873666</v>
      </c>
      <c r="R1031" s="2">
        <f t="shared" si="63"/>
        <v>158.25789470029588</v>
      </c>
      <c r="S1031" s="2">
        <f t="shared" si="62"/>
        <v>2.7316554872806948</v>
      </c>
      <c r="T1031" s="2">
        <f t="shared" si="64"/>
        <v>4.9543085581781581</v>
      </c>
      <c r="U1031" s="2">
        <f t="shared" si="65"/>
        <v>165.94385874575474</v>
      </c>
    </row>
    <row r="1032" spans="1:21" x14ac:dyDescent="0.25">
      <c r="A1032">
        <v>2875301</v>
      </c>
      <c r="B1032">
        <v>34</v>
      </c>
      <c r="C1032" s="1">
        <f>14.9316084015968*(10.3/7.3)</f>
        <v>21.067885826910512</v>
      </c>
      <c r="D1032" s="1">
        <f>15.0022656665444*(10.3/7.3)</f>
        <v>21.167580324028453</v>
      </c>
      <c r="E1032" s="1">
        <f>53.9125253942502*(10.3/7.3)</f>
        <v>76.068357748051696</v>
      </c>
      <c r="F1032" s="1">
        <f>93.6359655402079*(38.9/42.5)</f>
        <v>85.70444845915496</v>
      </c>
      <c r="G1032" s="1">
        <v>2.5611618000242546</v>
      </c>
      <c r="H1032" s="1">
        <v>5.3196066692347399</v>
      </c>
      <c r="I1032" s="1">
        <v>74.208370260577766</v>
      </c>
      <c r="J1032" s="1">
        <v>5.1506752807547719E-2</v>
      </c>
      <c r="K1032" s="1">
        <v>3.4151035517396262</v>
      </c>
      <c r="L1032" s="1">
        <v>4.1038807408128646</v>
      </c>
      <c r="M1032" s="1">
        <v>0.27448754464607428</v>
      </c>
      <c r="N1032" s="1">
        <v>2.3578949489568934</v>
      </c>
      <c r="O1032" s="1">
        <v>0.20139764705882351</v>
      </c>
      <c r="P1032" s="1">
        <v>0.14577612874767984</v>
      </c>
      <c r="Q1032" s="1">
        <v>4.0931809589428756</v>
      </c>
      <c r="R1032" s="2">
        <f t="shared" si="63"/>
        <v>290.19059204692525</v>
      </c>
      <c r="S1032" s="2">
        <f t="shared" si="62"/>
        <v>3.6123864332948536</v>
      </c>
      <c r="T1032" s="2">
        <f t="shared" si="64"/>
        <v>6.9376608814746561</v>
      </c>
      <c r="U1032" s="2">
        <f t="shared" si="65"/>
        <v>300.74063936169472</v>
      </c>
    </row>
    <row r="1033" spans="1:21" x14ac:dyDescent="0.25">
      <c r="A1033">
        <v>2875597</v>
      </c>
      <c r="B1033">
        <v>46</v>
      </c>
      <c r="C1033" s="1">
        <f>16.2444179240033*(10.3/7.3)</f>
        <v>22.920206111949859</v>
      </c>
      <c r="D1033" s="1">
        <f>16.0068735570847*(10.3/7.3)</f>
        <v>22.585040772325009</v>
      </c>
      <c r="E1033" s="1">
        <f>57.7916154893476*(10.3/7.3)</f>
        <v>81.5415944575726</v>
      </c>
      <c r="F1033" s="1">
        <f>90.0208419331622*(38.9/42.5)</f>
        <v>82.395547087059057</v>
      </c>
      <c r="G1033" s="1">
        <v>1.8540612462148616</v>
      </c>
      <c r="H1033" s="1">
        <v>4.8425241033989019</v>
      </c>
      <c r="I1033" s="1">
        <v>70.943923568117384</v>
      </c>
      <c r="J1033" s="1">
        <v>4.2950261891923983E-2</v>
      </c>
      <c r="K1033" s="1">
        <v>2.9446535884601546</v>
      </c>
      <c r="L1033" s="1">
        <v>4.2732754306607728</v>
      </c>
      <c r="M1033" s="1">
        <v>0.13809231699350907</v>
      </c>
      <c r="N1033" s="1">
        <v>1.9744723766262187</v>
      </c>
      <c r="O1033" s="1">
        <v>0.12762666666666669</v>
      </c>
      <c r="P1033" s="1">
        <v>0.10206402524492017</v>
      </c>
      <c r="Q1033" s="1">
        <v>2.9631115807086861</v>
      </c>
      <c r="R1033" s="2">
        <f t="shared" si="63"/>
        <v>290.04600892734635</v>
      </c>
      <c r="S1033" s="2">
        <f t="shared" ref="S1033:S1096" si="66">J1033+K1033+P1033</f>
        <v>3.0896678755969988</v>
      </c>
      <c r="T1033" s="2">
        <f t="shared" si="64"/>
        <v>6.5134667909471675</v>
      </c>
      <c r="U1033" s="2">
        <f t="shared" si="65"/>
        <v>299.64914359389053</v>
      </c>
    </row>
    <row r="1034" spans="1:21" x14ac:dyDescent="0.25">
      <c r="A1034">
        <v>2875605</v>
      </c>
      <c r="B1034">
        <v>11</v>
      </c>
      <c r="C1034" s="1">
        <f>13.7953798524267*(10.3/7.3)</f>
        <v>19.464714038355432</v>
      </c>
      <c r="D1034" s="1">
        <f>13.6433179427777*(10.3/7.3)</f>
        <v>19.250160932960327</v>
      </c>
      <c r="E1034" s="1">
        <f>49.2603051245129*(10.3/7.3)</f>
        <v>69.504266134586729</v>
      </c>
      <c r="F1034" s="1">
        <f>76.1179832779624*(38.9/42.5)</f>
        <v>69.670342341476129</v>
      </c>
      <c r="G1034" s="1">
        <v>1.5324643806558798</v>
      </c>
      <c r="H1034" s="1">
        <v>5.4337796672885652</v>
      </c>
      <c r="I1034" s="1">
        <v>59.806498555563344</v>
      </c>
      <c r="J1034" s="1">
        <v>3.5625167254013206E-2</v>
      </c>
      <c r="K1034" s="1">
        <v>2.7165901059108197</v>
      </c>
      <c r="L1034" s="1">
        <v>3.7712052455996012</v>
      </c>
      <c r="M1034" s="1">
        <v>0.12715178723485057</v>
      </c>
      <c r="N1034" s="1">
        <v>2.0279603368281793</v>
      </c>
      <c r="O1034" s="1">
        <v>0.12008727272727272</v>
      </c>
      <c r="P1034" s="1">
        <v>9.6944424945046931E-2</v>
      </c>
      <c r="Q1034" s="1">
        <v>2.4491439873495824</v>
      </c>
      <c r="R1034" s="2">
        <f t="shared" ref="R1034:R1097" si="67">C1034+D1034+E1034+F1034+G1034+H1034+I1034+Q1034</f>
        <v>247.11137003823598</v>
      </c>
      <c r="S1034" s="2">
        <f t="shared" si="66"/>
        <v>2.8491596981098799</v>
      </c>
      <c r="T1034" s="2">
        <f t="shared" ref="T1034:T1097" si="68">L1034+M1034+N1034+O1034</f>
        <v>6.0464046423899038</v>
      </c>
      <c r="U1034" s="2">
        <f t="shared" ref="U1034:U1097" si="69">R1034+S1034+T1034</f>
        <v>256.00693437873576</v>
      </c>
    </row>
    <row r="1035" spans="1:21" x14ac:dyDescent="0.25">
      <c r="A1035">
        <v>2887009</v>
      </c>
      <c r="B1035">
        <v>4</v>
      </c>
      <c r="C1035" s="1">
        <f>0.819584965366511*(10.3/7.3)</f>
        <v>1.1564007045582276</v>
      </c>
      <c r="D1035" s="1">
        <f>1.51999608718419*(10.3/7.3)</f>
        <v>2.1446520134242668</v>
      </c>
      <c r="E1035" s="1">
        <f>5.11911082164536*(10.3/7.3)</f>
        <v>7.22285499492427</v>
      </c>
      <c r="F1035" s="1">
        <f>19.1456370601541*(38.9/42.5)</f>
        <v>17.523888979764582</v>
      </c>
      <c r="G1035" s="1">
        <v>1.1536888535613636</v>
      </c>
      <c r="H1035" s="1">
        <v>3.9343294811975413</v>
      </c>
      <c r="I1035" s="1">
        <v>14.710882688171964</v>
      </c>
      <c r="J1035" s="1">
        <v>1.7590201175548752E-2</v>
      </c>
      <c r="K1035" s="1">
        <v>2.5815724988020552</v>
      </c>
      <c r="L1035" s="1">
        <v>2.9880289848830861</v>
      </c>
      <c r="M1035" s="1">
        <v>8.5297946505398348E-2</v>
      </c>
      <c r="N1035" s="1">
        <v>0.72771041857363039</v>
      </c>
      <c r="O1035" s="1">
        <v>0.20074666666666663</v>
      </c>
      <c r="P1035" s="1">
        <v>0.1745178691861326</v>
      </c>
      <c r="Q1035" s="1">
        <v>1.8437949714451034</v>
      </c>
      <c r="R1035" s="2">
        <f t="shared" si="67"/>
        <v>49.690492687047325</v>
      </c>
      <c r="S1035" s="2">
        <f t="shared" si="66"/>
        <v>2.7736805691637367</v>
      </c>
      <c r="T1035" s="2">
        <f t="shared" si="68"/>
        <v>4.0017840166287817</v>
      </c>
      <c r="U1035" s="2">
        <f t="shared" si="69"/>
        <v>56.465957272839844</v>
      </c>
    </row>
    <row r="1036" spans="1:21" x14ac:dyDescent="0.25">
      <c r="A1036">
        <v>2887057</v>
      </c>
      <c r="B1036">
        <v>14</v>
      </c>
      <c r="C1036" s="1">
        <f>0.662188578158214*(10.3/7.3)</f>
        <v>0.93432087055200064</v>
      </c>
      <c r="D1036" s="1">
        <f>0.924107748451351*(10.3/7.3)</f>
        <v>1.3038780560340983</v>
      </c>
      <c r="E1036" s="1">
        <f>3.24846224849428*(10.3/7.3)</f>
        <v>4.5834467341768628</v>
      </c>
      <c r="F1036" s="1">
        <f>6.68691459709946*(38.9/42.5)</f>
        <v>6.1204935959333833</v>
      </c>
      <c r="G1036" s="1">
        <v>0.2605274447003354</v>
      </c>
      <c r="H1036" s="1">
        <v>1.8322854408362945</v>
      </c>
      <c r="I1036" s="1">
        <v>4.8339208347890903</v>
      </c>
      <c r="J1036" s="1">
        <v>1.4082587098242449E-2</v>
      </c>
      <c r="K1036" s="1">
        <v>2.0806764039888543</v>
      </c>
      <c r="L1036" s="1">
        <v>3.1360310490124563</v>
      </c>
      <c r="M1036" s="1">
        <v>7.1174561326183647E-2</v>
      </c>
      <c r="N1036" s="1">
        <v>0.56871420603211242</v>
      </c>
      <c r="O1036" s="1">
        <v>0.17263619047619044</v>
      </c>
      <c r="P1036" s="1">
        <v>0.13067870096250353</v>
      </c>
      <c r="Q1036" s="1">
        <v>0.41636806230647255</v>
      </c>
      <c r="R1036" s="2">
        <f t="shared" si="67"/>
        <v>20.285241039328536</v>
      </c>
      <c r="S1036" s="2">
        <f t="shared" si="66"/>
        <v>2.2254376920496006</v>
      </c>
      <c r="T1036" s="2">
        <f t="shared" si="68"/>
        <v>3.948556006846943</v>
      </c>
      <c r="U1036" s="2">
        <f t="shared" si="69"/>
        <v>26.459234738225078</v>
      </c>
    </row>
    <row r="1037" spans="1:21" x14ac:dyDescent="0.25">
      <c r="A1037">
        <v>2887065</v>
      </c>
      <c r="B1037">
        <v>4</v>
      </c>
      <c r="C1037" s="1">
        <f>1.01275649164655*(10.3/7.3)</f>
        <v>1.4289577895834933</v>
      </c>
      <c r="D1037" s="1">
        <f>1.32458809236495*(10.3/7.3)</f>
        <v>1.8689393631998659</v>
      </c>
      <c r="E1037" s="1">
        <f>4.66601289087821*(10.3/7.3)</f>
        <v>6.5835524350747345</v>
      </c>
      <c r="F1037" s="1">
        <f>9.75144533843026*(38.9/42.5)</f>
        <v>8.9254405568220481</v>
      </c>
      <c r="G1037" s="1">
        <v>0.3818895189061412</v>
      </c>
      <c r="H1037" s="1">
        <v>6.7677185248604017</v>
      </c>
      <c r="I1037" s="1">
        <v>7.2191231292804243</v>
      </c>
      <c r="J1037" s="1">
        <v>1.7225285652427969E-2</v>
      </c>
      <c r="K1037" s="1">
        <v>2.5264016403510663</v>
      </c>
      <c r="L1037" s="1">
        <v>4.0005050447202803</v>
      </c>
      <c r="M1037" s="1">
        <v>8.5895618662900491E-2</v>
      </c>
      <c r="N1037" s="1">
        <v>0.70576988208798397</v>
      </c>
      <c r="O1037" s="1">
        <v>0.20791999999999999</v>
      </c>
      <c r="P1037" s="1">
        <v>0.16171893072624213</v>
      </c>
      <c r="Q1037" s="1">
        <v>0.61032571514680156</v>
      </c>
      <c r="R1037" s="2">
        <f t="shared" si="67"/>
        <v>33.785947032873906</v>
      </c>
      <c r="S1037" s="2">
        <f t="shared" si="66"/>
        <v>2.7053458567297364</v>
      </c>
      <c r="T1037" s="2">
        <f t="shared" si="68"/>
        <v>5.0000905454711644</v>
      </c>
      <c r="U1037" s="2">
        <f t="shared" si="69"/>
        <v>41.491383435074809</v>
      </c>
    </row>
    <row r="1038" spans="1:21" x14ac:dyDescent="0.25">
      <c r="A1038">
        <v>2887505</v>
      </c>
      <c r="B1038">
        <v>21</v>
      </c>
      <c r="C1038" s="1">
        <f>11.1974999902282*(10.3/7.3)</f>
        <v>15.799212314979542</v>
      </c>
      <c r="D1038" s="1">
        <f>11.7521745545563*(10.3/7.3)</f>
        <v>16.581835330401319</v>
      </c>
      <c r="E1038" s="1">
        <f>42.1048906019079*(10.3/7.3)</f>
        <v>59.408270301322148</v>
      </c>
      <c r="F1038" s="1">
        <f>74.5314876784843*(38.9/42.5)</f>
        <v>68.218232251600909</v>
      </c>
      <c r="G1038" s="1">
        <v>2.1538693021880997</v>
      </c>
      <c r="H1038" s="1">
        <v>4.4227965708232757</v>
      </c>
      <c r="I1038" s="1">
        <v>58.098933563062282</v>
      </c>
      <c r="J1038" s="1">
        <v>4.9854815344811031E-2</v>
      </c>
      <c r="K1038" s="1">
        <v>3.0395548599191224</v>
      </c>
      <c r="L1038" s="1">
        <v>3.5221271388837438</v>
      </c>
      <c r="M1038" s="1">
        <v>0.20401612482188555</v>
      </c>
      <c r="N1038" s="1">
        <v>2.1362089537722699</v>
      </c>
      <c r="O1038" s="1">
        <v>0.18408634920634923</v>
      </c>
      <c r="P1038" s="1">
        <v>0.13699678549214431</v>
      </c>
      <c r="Q1038" s="1">
        <v>3.4422568756430856</v>
      </c>
      <c r="R1038" s="2">
        <f t="shared" si="67"/>
        <v>228.12540651002067</v>
      </c>
      <c r="S1038" s="2">
        <f t="shared" si="66"/>
        <v>3.2264064607560776</v>
      </c>
      <c r="T1038" s="2">
        <f t="shared" si="68"/>
        <v>6.0464385666842482</v>
      </c>
      <c r="U1038" s="2">
        <f t="shared" si="69"/>
        <v>237.39825153746099</v>
      </c>
    </row>
    <row r="1039" spans="1:21" x14ac:dyDescent="0.25">
      <c r="A1039">
        <v>2887513</v>
      </c>
      <c r="B1039">
        <v>41</v>
      </c>
      <c r="C1039" s="1">
        <f>9.90027143966708*(10.3/7.3)</f>
        <v>13.968876140900127</v>
      </c>
      <c r="D1039" s="1">
        <f>11.2948554763982*(10.3/7.3)</f>
        <v>15.936576905055022</v>
      </c>
      <c r="E1039" s="1">
        <f>40.3478124857713*(10.3/7.3)</f>
        <v>56.929105288143028</v>
      </c>
      <c r="F1039" s="1">
        <f>68.7119046374924*(38.9/42.5)</f>
        <v>62.891602127022438</v>
      </c>
      <c r="G1039" s="1">
        <v>1.8985708970012278</v>
      </c>
      <c r="H1039" s="1">
        <v>3.880653744734901</v>
      </c>
      <c r="I1039" s="1">
        <v>51.30756509903685</v>
      </c>
      <c r="J1039" s="1">
        <v>4.2024896997039866E-2</v>
      </c>
      <c r="K1039" s="1">
        <v>2.8762067735997441</v>
      </c>
      <c r="L1039" s="1">
        <v>3.3399407794209637</v>
      </c>
      <c r="M1039" s="1">
        <v>0.20102992805823444</v>
      </c>
      <c r="N1039" s="1">
        <v>1.9593446199162525</v>
      </c>
      <c r="O1039" s="1">
        <v>0.17183739837398374</v>
      </c>
      <c r="P1039" s="1">
        <v>0.13153713276193066</v>
      </c>
      <c r="Q1039" s="1">
        <v>3.0342457258010516</v>
      </c>
      <c r="R1039" s="2">
        <f t="shared" si="67"/>
        <v>209.84719592769466</v>
      </c>
      <c r="S1039" s="2">
        <f t="shared" si="66"/>
        <v>3.0497688033587145</v>
      </c>
      <c r="T1039" s="2">
        <f t="shared" si="68"/>
        <v>5.6721527257694344</v>
      </c>
      <c r="U1039" s="2">
        <f t="shared" si="69"/>
        <v>218.5691174568228</v>
      </c>
    </row>
    <row r="1040" spans="1:21" x14ac:dyDescent="0.25">
      <c r="A1040">
        <v>2887521</v>
      </c>
      <c r="B1040">
        <v>69</v>
      </c>
      <c r="C1040" s="1">
        <f>6.3528120413197*(10.3/7.3)</f>
        <v>8.9635567158346454</v>
      </c>
      <c r="D1040" s="1">
        <f>6.92437953107905*(10.3/7.3)</f>
        <v>9.7700149548101685</v>
      </c>
      <c r="E1040" s="1">
        <f>24.7724164470942*(10.3/7.3)</f>
        <v>34.952861562338363</v>
      </c>
      <c r="F1040" s="1">
        <f>43.1852249561184*(38.9/42.5)</f>
        <v>39.527182371600105</v>
      </c>
      <c r="G1040" s="1">
        <v>1.2289935746822933</v>
      </c>
      <c r="H1040" s="1">
        <v>2.793542494480485</v>
      </c>
      <c r="I1040" s="1">
        <v>33.035602270363569</v>
      </c>
      <c r="J1040" s="1">
        <v>3.1529217761571048E-2</v>
      </c>
      <c r="K1040" s="1">
        <v>2.3461740963003335</v>
      </c>
      <c r="L1040" s="1">
        <v>2.5559599425520534</v>
      </c>
      <c r="M1040" s="1">
        <v>0.16179724131626907</v>
      </c>
      <c r="N1040" s="1">
        <v>1.5934635970362301</v>
      </c>
      <c r="O1040" s="1">
        <v>0.13635323671497587</v>
      </c>
      <c r="P1040" s="1">
        <v>0.11308362094324437</v>
      </c>
      <c r="Q1040" s="1">
        <v>1.9641449823689636</v>
      </c>
      <c r="R1040" s="2">
        <f t="shared" si="67"/>
        <v>132.2358989264786</v>
      </c>
      <c r="S1040" s="2">
        <f t="shared" si="66"/>
        <v>2.4907869350051488</v>
      </c>
      <c r="T1040" s="2">
        <f t="shared" si="68"/>
        <v>4.4475740176195284</v>
      </c>
      <c r="U1040" s="2">
        <f t="shared" si="69"/>
        <v>139.17425987910329</v>
      </c>
    </row>
    <row r="1041" spans="1:21" x14ac:dyDescent="0.25">
      <c r="A1041">
        <v>2887529</v>
      </c>
      <c r="B1041">
        <v>43</v>
      </c>
      <c r="C1041" s="1">
        <f>8.59217315789466*(10.3/7.3)</f>
        <v>12.12320322278288</v>
      </c>
      <c r="D1041" s="1">
        <f>8.88114280019292*(10.3/7.3)</f>
        <v>12.530927512600975</v>
      </c>
      <c r="E1041" s="1">
        <f>31.8571412026778*(10.3/7.3)</f>
        <v>44.949117039394643</v>
      </c>
      <c r="F1041" s="1">
        <f>55.7730859871026*(38.9/42.5)</f>
        <v>51.048777527018579</v>
      </c>
      <c r="G1041" s="1">
        <v>1.5683526103014647</v>
      </c>
      <c r="H1041" s="1">
        <v>3.6544121574577257</v>
      </c>
      <c r="I1041" s="1">
        <v>43.695093226493853</v>
      </c>
      <c r="J1041" s="1">
        <v>3.7328548922978599E-2</v>
      </c>
      <c r="K1041" s="1">
        <v>2.6767359451823625</v>
      </c>
      <c r="L1041" s="1">
        <v>2.9294265968255635</v>
      </c>
      <c r="M1041" s="1">
        <v>0.19668624811096125</v>
      </c>
      <c r="N1041" s="1">
        <v>1.8347222587093241</v>
      </c>
      <c r="O1041" s="1">
        <v>0.15415317829457365</v>
      </c>
      <c r="P1041" s="1">
        <v>0.12379812240578868</v>
      </c>
      <c r="Q1041" s="1">
        <v>2.5064996055046258</v>
      </c>
      <c r="R1041" s="2">
        <f t="shared" si="67"/>
        <v>172.07638290155472</v>
      </c>
      <c r="S1041" s="2">
        <f t="shared" si="66"/>
        <v>2.8378626165111296</v>
      </c>
      <c r="T1041" s="2">
        <f t="shared" si="68"/>
        <v>5.1149882819404224</v>
      </c>
      <c r="U1041" s="2">
        <f t="shared" si="69"/>
        <v>180.02923380000627</v>
      </c>
    </row>
    <row r="1042" spans="1:21" x14ac:dyDescent="0.25">
      <c r="A1042">
        <v>2887825</v>
      </c>
      <c r="B1042">
        <v>14</v>
      </c>
      <c r="C1042" s="1">
        <f>15.3029402041289*(10.3/7.3)</f>
        <v>21.591819740072225</v>
      </c>
      <c r="D1042" s="1">
        <f>14.9863975541335*(10.3/7.3)</f>
        <v>21.145191069530814</v>
      </c>
      <c r="E1042" s="1">
        <f>54.062807526823*(10.3/7.3)</f>
        <v>76.280399661133771</v>
      </c>
      <c r="F1042" s="1">
        <f>87.3840521850452*(38.9/42.5)</f>
        <v>79.982108941135522</v>
      </c>
      <c r="G1042" s="1">
        <v>1.99384656154731</v>
      </c>
      <c r="H1042" s="1">
        <v>6.4717590545108257</v>
      </c>
      <c r="I1042" s="1">
        <v>69.428258622049825</v>
      </c>
      <c r="J1042" s="1">
        <v>3.5335582374218633E-2</v>
      </c>
      <c r="K1042" s="1">
        <v>2.6564141818444198</v>
      </c>
      <c r="L1042" s="1">
        <v>3.6973007847079815</v>
      </c>
      <c r="M1042" s="1">
        <v>0.12571641261627872</v>
      </c>
      <c r="N1042" s="1">
        <v>2.0291415759156615</v>
      </c>
      <c r="O1042" s="1">
        <v>0.11912380952380951</v>
      </c>
      <c r="P1042" s="1">
        <v>9.6038775797586726E-2</v>
      </c>
      <c r="Q1042" s="1">
        <v>3.1865127695961606</v>
      </c>
      <c r="R1042" s="2">
        <f t="shared" si="67"/>
        <v>280.07989641957641</v>
      </c>
      <c r="S1042" s="2">
        <f t="shared" si="66"/>
        <v>2.787788540016225</v>
      </c>
      <c r="T1042" s="2">
        <f t="shared" si="68"/>
        <v>5.971282582763731</v>
      </c>
      <c r="U1042" s="2">
        <f t="shared" si="69"/>
        <v>288.83896754235633</v>
      </c>
    </row>
    <row r="1043" spans="1:21" x14ac:dyDescent="0.25">
      <c r="A1043">
        <v>2887833</v>
      </c>
      <c r="B1043">
        <v>34</v>
      </c>
      <c r="C1043" s="1">
        <f>14.9450800362373*(10.3/7.3)</f>
        <v>21.086893749759458</v>
      </c>
      <c r="D1043" s="1">
        <f>14.7411461879874*(10.3/7.3)</f>
        <v>20.799151470721938</v>
      </c>
      <c r="E1043" s="1">
        <f>53.2288930563433*(10.3/7.3)</f>
        <v>75.103780613744689</v>
      </c>
      <c r="F1043" s="1">
        <f>82.4096007650351*(38.9/42.5)</f>
        <v>75.429022817879172</v>
      </c>
      <c r="G1043" s="1">
        <v>1.6664482210707474</v>
      </c>
      <c r="H1043" s="1">
        <v>4.3904439621026734</v>
      </c>
      <c r="I1043" s="1">
        <v>64.856567400985995</v>
      </c>
      <c r="J1043" s="1">
        <v>3.7693377376254826E-2</v>
      </c>
      <c r="K1043" s="1">
        <v>2.8003791677636065</v>
      </c>
      <c r="L1043" s="1">
        <v>3.9258499840751417</v>
      </c>
      <c r="M1043" s="1">
        <v>0.13137753183796996</v>
      </c>
      <c r="N1043" s="1">
        <v>1.7811604007604958</v>
      </c>
      <c r="O1043" s="1">
        <v>0.12249568627450978</v>
      </c>
      <c r="P1043" s="1">
        <v>9.8665266358788181E-2</v>
      </c>
      <c r="Q1043" s="1">
        <v>2.6632734126701472</v>
      </c>
      <c r="R1043" s="2">
        <f t="shared" si="67"/>
        <v>265.99558164893483</v>
      </c>
      <c r="S1043" s="2">
        <f t="shared" si="66"/>
        <v>2.9367378114986495</v>
      </c>
      <c r="T1043" s="2">
        <f t="shared" si="68"/>
        <v>5.9608836029481171</v>
      </c>
      <c r="U1043" s="2">
        <f t="shared" si="69"/>
        <v>274.89320306338158</v>
      </c>
    </row>
    <row r="1044" spans="1:21" x14ac:dyDescent="0.25">
      <c r="A1044">
        <v>2899285</v>
      </c>
      <c r="B1044">
        <v>8</v>
      </c>
      <c r="C1044" s="1">
        <f>0.568910059485064*(10.3/7.3)</f>
        <v>0.80270871406796662</v>
      </c>
      <c r="D1044" s="1">
        <f>1.07064896534834*(10.3/7.3)</f>
        <v>1.5106416908339657</v>
      </c>
      <c r="E1044" s="1">
        <f>3.74805330874416*(10.3/7.3)</f>
        <v>5.2883491890499776</v>
      </c>
      <c r="F1044" s="1">
        <f>6.50501097817962*(38.9/42.5)</f>
        <v>5.9539982835573495</v>
      </c>
      <c r="G1044" s="1">
        <v>0.21334257839572901</v>
      </c>
      <c r="H1044" s="1">
        <v>1.8176014363082085</v>
      </c>
      <c r="I1044" s="1">
        <v>4.0428932046374282</v>
      </c>
      <c r="J1044" s="1">
        <v>1.3785108206263177E-2</v>
      </c>
      <c r="K1044" s="1">
        <v>2.0228575843889134</v>
      </c>
      <c r="L1044" s="1">
        <v>3.026489126236271</v>
      </c>
      <c r="M1044" s="1">
        <v>7.014198860782811E-2</v>
      </c>
      <c r="N1044" s="1">
        <v>0.55513114616806869</v>
      </c>
      <c r="O1044" s="1">
        <v>0.16836666666666666</v>
      </c>
      <c r="P1044" s="1">
        <v>0.12777711613733456</v>
      </c>
      <c r="Q1044" s="1">
        <v>0.34095845862331153</v>
      </c>
      <c r="R1044" s="2">
        <f t="shared" si="67"/>
        <v>19.970493555473936</v>
      </c>
      <c r="S1044" s="2">
        <f t="shared" si="66"/>
        <v>2.1644198087325108</v>
      </c>
      <c r="T1044" s="2">
        <f t="shared" si="68"/>
        <v>3.8201289276788342</v>
      </c>
      <c r="U1044" s="2">
        <f t="shared" si="69"/>
        <v>25.955042291885281</v>
      </c>
    </row>
    <row r="1045" spans="1:21" x14ac:dyDescent="0.25">
      <c r="A1045">
        <v>2899293</v>
      </c>
      <c r="B1045">
        <v>4</v>
      </c>
      <c r="C1045" s="1">
        <f>0.81410845302352*(10.3/7.3)</f>
        <v>1.1486735707044187</v>
      </c>
      <c r="D1045" s="1">
        <f>1.10487903390111*(10.3/7.3)</f>
        <v>1.5589389108467766</v>
      </c>
      <c r="E1045" s="1">
        <f>3.88397766948905*(10.3/7.3)</f>
        <v>5.4801328761283852</v>
      </c>
      <c r="F1045" s="1">
        <f>8.21730994657195*(38.9/42.5)</f>
        <v>7.5212554569799694</v>
      </c>
      <c r="G1045" s="1">
        <v>0.32853710947267101</v>
      </c>
      <c r="H1045" s="1">
        <v>2.2636040803773683</v>
      </c>
      <c r="I1045" s="1">
        <v>6.0294350762590678</v>
      </c>
      <c r="J1045" s="1">
        <v>1.5890798070782794E-2</v>
      </c>
      <c r="K1045" s="1">
        <v>2.3695824612276462</v>
      </c>
      <c r="L1045" s="1">
        <v>3.5982101271388522</v>
      </c>
      <c r="M1045" s="1">
        <v>7.867293033463435E-2</v>
      </c>
      <c r="N1045" s="1">
        <v>0.65675801446009696</v>
      </c>
      <c r="O1045" s="1">
        <v>0.19337333333333331</v>
      </c>
      <c r="P1045" s="1">
        <v>0.15422701067401454</v>
      </c>
      <c r="Q1045" s="1">
        <v>0.52505930737641537</v>
      </c>
      <c r="R1045" s="2">
        <f t="shared" si="67"/>
        <v>24.855636388145072</v>
      </c>
      <c r="S1045" s="2">
        <f t="shared" si="66"/>
        <v>2.5397002699724438</v>
      </c>
      <c r="T1045" s="2">
        <f t="shared" si="68"/>
        <v>4.5270144052669172</v>
      </c>
      <c r="U1045" s="2">
        <f t="shared" si="69"/>
        <v>31.922351063384433</v>
      </c>
    </row>
    <row r="1046" spans="1:21" x14ac:dyDescent="0.25">
      <c r="A1046">
        <v>2899741</v>
      </c>
      <c r="B1046">
        <v>5</v>
      </c>
      <c r="C1046" s="1">
        <f>15.1287159880848*(10.3/7.3)</f>
        <v>21.345996531133387</v>
      </c>
      <c r="D1046" s="1">
        <f>16.3535411676593*(10.3/7.3)</f>
        <v>23.074174524231605</v>
      </c>
      <c r="E1046" s="1">
        <f>58.5448632667919*(10.3/7.3)</f>
        <v>82.604396116158426</v>
      </c>
      <c r="F1046" s="1">
        <f>101.359654592283*(38.9/42.5)</f>
        <v>92.773895615054556</v>
      </c>
      <c r="G1046" s="1">
        <v>2.8366636512862433</v>
      </c>
      <c r="H1046" s="1">
        <v>4.7672148556802991</v>
      </c>
      <c r="I1046" s="1">
        <v>77.72574597618663</v>
      </c>
      <c r="J1046" s="1">
        <v>6.1390671959435372E-2</v>
      </c>
      <c r="K1046" s="1">
        <v>3.7870006843729853</v>
      </c>
      <c r="L1046" s="1">
        <v>4.8583201351501684</v>
      </c>
      <c r="M1046" s="1">
        <v>0.27150225209114298</v>
      </c>
      <c r="N1046" s="1">
        <v>2.6272293600860253</v>
      </c>
      <c r="O1046" s="1">
        <v>0.232512</v>
      </c>
      <c r="P1046" s="1">
        <v>0.16245281555747323</v>
      </c>
      <c r="Q1046" s="1">
        <v>4.5334807212337269</v>
      </c>
      <c r="R1046" s="2">
        <f t="shared" si="67"/>
        <v>309.6615679909649</v>
      </c>
      <c r="S1046" s="2">
        <f t="shared" si="66"/>
        <v>4.0108441718898939</v>
      </c>
      <c r="T1046" s="2">
        <f t="shared" si="68"/>
        <v>7.9895637473273364</v>
      </c>
      <c r="U1046" s="2">
        <f t="shared" si="69"/>
        <v>321.66197591018215</v>
      </c>
    </row>
    <row r="1047" spans="1:21" x14ac:dyDescent="0.25">
      <c r="A1047">
        <v>2899749</v>
      </c>
      <c r="B1047">
        <v>57</v>
      </c>
      <c r="C1047" s="1">
        <f>8.04479573905636*(10.3/7.3)</f>
        <v>11.350876179764454</v>
      </c>
      <c r="D1047" s="1">
        <f>8.68601004598615*(10.3/7.3)</f>
        <v>12.255603215569504</v>
      </c>
      <c r="E1047" s="1">
        <f>31.0856634456216*(10.3/7.3)</f>
        <v>43.860593628753747</v>
      </c>
      <c r="F1047" s="1">
        <f>54.4060850025448*(38.9/42.5)</f>
        <v>49.797569567035083</v>
      </c>
      <c r="G1047" s="1">
        <v>1.5547978140776972</v>
      </c>
      <c r="H1047" s="1">
        <v>3.575204882093364</v>
      </c>
      <c r="I1047" s="1">
        <v>41.818205650746634</v>
      </c>
      <c r="J1047" s="1">
        <v>3.7532551633848873E-2</v>
      </c>
      <c r="K1047" s="1">
        <v>2.6726263895581392</v>
      </c>
      <c r="L1047" s="1">
        <v>3.0112317204313857</v>
      </c>
      <c r="M1047" s="1">
        <v>0.18234683717169306</v>
      </c>
      <c r="N1047" s="1">
        <v>1.8334628041868459</v>
      </c>
      <c r="O1047" s="1">
        <v>0.15739789473684215</v>
      </c>
      <c r="P1047" s="1">
        <v>0.12533121565683406</v>
      </c>
      <c r="Q1047" s="1">
        <v>2.4848366891652716</v>
      </c>
      <c r="R1047" s="2">
        <f t="shared" si="67"/>
        <v>166.69768762720577</v>
      </c>
      <c r="S1047" s="2">
        <f t="shared" si="66"/>
        <v>2.8354901568488224</v>
      </c>
      <c r="T1047" s="2">
        <f t="shared" si="68"/>
        <v>5.1844392565267672</v>
      </c>
      <c r="U1047" s="2">
        <f t="shared" si="69"/>
        <v>174.71761704058136</v>
      </c>
    </row>
    <row r="1048" spans="1:21" x14ac:dyDescent="0.25">
      <c r="A1048">
        <v>2899757</v>
      </c>
      <c r="B1048">
        <v>35</v>
      </c>
      <c r="C1048" s="1">
        <f>11.371344880742*(10.3/7.3)</f>
        <v>16.044500311183914</v>
      </c>
      <c r="D1048" s="1">
        <f>11.6162946143737*(10.3/7.3)</f>
        <v>16.390114318910818</v>
      </c>
      <c r="E1048" s="1">
        <f>41.6974464673747*(10.3/7.3)</f>
        <v>58.833383371775312</v>
      </c>
      <c r="F1048" s="1">
        <f>72.8744398333451*(38.9/42.5)</f>
        <v>66.701546106285235</v>
      </c>
      <c r="G1048" s="1">
        <v>2.0326260188098764</v>
      </c>
      <c r="H1048" s="1">
        <v>4.0775944992321831</v>
      </c>
      <c r="I1048" s="1">
        <v>57.376769146346241</v>
      </c>
      <c r="J1048" s="1">
        <v>4.3843690845013709E-2</v>
      </c>
      <c r="K1048" s="1">
        <v>3.0078264058638973</v>
      </c>
      <c r="L1048" s="1">
        <v>3.5178695126649373</v>
      </c>
      <c r="M1048" s="1">
        <v>0.22141790604540665</v>
      </c>
      <c r="N1048" s="1">
        <v>2.0912993922555083</v>
      </c>
      <c r="O1048" s="1">
        <v>0.17882819047619047</v>
      </c>
      <c r="P1048" s="1">
        <v>0.13523615621404694</v>
      </c>
      <c r="Q1048" s="1">
        <v>3.2484890711573415</v>
      </c>
      <c r="R1048" s="2">
        <f t="shared" si="67"/>
        <v>224.70502284370093</v>
      </c>
      <c r="S1048" s="2">
        <f t="shared" si="66"/>
        <v>3.1869062529229577</v>
      </c>
      <c r="T1048" s="2">
        <f t="shared" si="68"/>
        <v>6.0094150014420427</v>
      </c>
      <c r="U1048" s="2">
        <f t="shared" si="69"/>
        <v>233.90134409806595</v>
      </c>
    </row>
    <row r="1049" spans="1:21" x14ac:dyDescent="0.25">
      <c r="A1049">
        <v>2899765</v>
      </c>
      <c r="B1049">
        <v>7</v>
      </c>
      <c r="C1049" s="1">
        <f>11.242639728328*(10.3/7.3)</f>
        <v>15.86290263038063</v>
      </c>
      <c r="D1049" s="1">
        <f>11.2857032276269*(10.3/7.3)</f>
        <v>15.923663458158567</v>
      </c>
      <c r="E1049" s="1">
        <f>40.5396198903618*(10.3/7.3)</f>
        <v>57.199737653524203</v>
      </c>
      <c r="F1049" s="1">
        <f>71.3633990522542*(38.9/42.5)</f>
        <v>65.318499367827968</v>
      </c>
      <c r="G1049" s="1">
        <v>2.005189169600393</v>
      </c>
      <c r="H1049" s="1">
        <v>4.8140501119528869</v>
      </c>
      <c r="I1049" s="1">
        <v>56.680833665527793</v>
      </c>
      <c r="J1049" s="1">
        <v>4.4545153043278447E-2</v>
      </c>
      <c r="K1049" s="1">
        <v>3.0404399448665704</v>
      </c>
      <c r="L1049" s="1">
        <v>3.4357956861951666</v>
      </c>
      <c r="M1049" s="1">
        <v>0.22947151516666464</v>
      </c>
      <c r="N1049" s="1">
        <v>2.0756873529654989</v>
      </c>
      <c r="O1049" s="1">
        <v>0.17535238095238093</v>
      </c>
      <c r="P1049" s="1">
        <v>0.13426375084955938</v>
      </c>
      <c r="Q1049" s="1">
        <v>3.2046402253887587</v>
      </c>
      <c r="R1049" s="2">
        <f t="shared" si="67"/>
        <v>221.0095162823612</v>
      </c>
      <c r="S1049" s="2">
        <f t="shared" si="66"/>
        <v>3.219248848759408</v>
      </c>
      <c r="T1049" s="2">
        <f t="shared" si="68"/>
        <v>5.9163069352797111</v>
      </c>
      <c r="U1049" s="2">
        <f t="shared" si="69"/>
        <v>230.14507206640033</v>
      </c>
    </row>
    <row r="1050" spans="1:21" x14ac:dyDescent="0.25">
      <c r="A1050">
        <v>2900053</v>
      </c>
      <c r="B1050">
        <v>1</v>
      </c>
      <c r="C1050" s="1">
        <f>13.8844523837573*(10.3/7.3)</f>
        <v>19.590391719547963</v>
      </c>
      <c r="D1050" s="1">
        <f>14.1872162645534*(10.3/7.3)</f>
        <v>20.017579113000071</v>
      </c>
      <c r="E1050" s="1">
        <f>50.7552378300238*(10.3/7.3)</f>
        <v>71.613554746471948</v>
      </c>
      <c r="F1050" s="1">
        <f>97.2409667168222*(38.9/42.5)</f>
        <v>89.004084830220805</v>
      </c>
      <c r="G1050" s="1">
        <v>3.1909515466091558</v>
      </c>
      <c r="H1050" s="1">
        <v>8.4313058679238662</v>
      </c>
      <c r="I1050" s="1">
        <v>77.502872148451587</v>
      </c>
      <c r="J1050" s="1">
        <v>3.1433653433473686E-2</v>
      </c>
      <c r="K1050" s="1">
        <v>2.4420195763709112</v>
      </c>
      <c r="L1050" s="1">
        <v>3.2890099830790649</v>
      </c>
      <c r="M1050" s="1">
        <v>0.11595243884966426</v>
      </c>
      <c r="N1050" s="1">
        <v>2.7572164099546916</v>
      </c>
      <c r="O1050" s="1">
        <v>0.11168</v>
      </c>
      <c r="P1050" s="1">
        <v>9.0960129377378976E-2</v>
      </c>
      <c r="Q1050" s="1">
        <v>5.099694252571715</v>
      </c>
      <c r="R1050" s="2">
        <f t="shared" si="67"/>
        <v>294.45043422479711</v>
      </c>
      <c r="S1050" s="2">
        <f t="shared" si="66"/>
        <v>2.5644133591817639</v>
      </c>
      <c r="T1050" s="2">
        <f t="shared" si="68"/>
        <v>6.2738588318834205</v>
      </c>
      <c r="U1050" s="2">
        <f t="shared" si="69"/>
        <v>303.28870641586229</v>
      </c>
    </row>
    <row r="1051" spans="1:21" x14ac:dyDescent="0.25">
      <c r="A1051">
        <v>2900061</v>
      </c>
      <c r="B1051">
        <v>49</v>
      </c>
      <c r="C1051" s="1">
        <f>15.1769499387242*(10.3/7.3)</f>
        <v>21.414052653268449</v>
      </c>
      <c r="D1051" s="1">
        <f>14.8726598057756*(10.3/7.3)</f>
        <v>20.984711780751933</v>
      </c>
      <c r="E1051" s="1">
        <f>53.6955402541807*(10.3/7.3)</f>
        <v>75.76220063261114</v>
      </c>
      <c r="F1051" s="1">
        <f>84.5356397838344*(38.9/42.5)</f>
        <v>77.374973825674303</v>
      </c>
      <c r="G1051" s="1">
        <v>1.7917817215591865</v>
      </c>
      <c r="H1051" s="1">
        <v>4.6985044087218464</v>
      </c>
      <c r="I1051" s="1">
        <v>66.907332333951572</v>
      </c>
      <c r="J1051" s="1">
        <v>3.7035548352952384E-2</v>
      </c>
      <c r="K1051" s="1">
        <v>2.7611804912543927</v>
      </c>
      <c r="L1051" s="1">
        <v>3.8326880343924308</v>
      </c>
      <c r="M1051" s="1">
        <v>0.13037832119889781</v>
      </c>
      <c r="N1051" s="1">
        <v>1.745385726176919</v>
      </c>
      <c r="O1051" s="1">
        <v>0.12218993197278907</v>
      </c>
      <c r="P1051" s="1">
        <v>9.8338646101367583E-2</v>
      </c>
      <c r="Q1051" s="1">
        <v>2.8635780938160544</v>
      </c>
      <c r="R1051" s="2">
        <f t="shared" si="67"/>
        <v>271.79713545035446</v>
      </c>
      <c r="S1051" s="2">
        <f t="shared" si="66"/>
        <v>2.8965546857087126</v>
      </c>
      <c r="T1051" s="2">
        <f t="shared" si="68"/>
        <v>5.8306420137410369</v>
      </c>
      <c r="U1051" s="2">
        <f t="shared" si="69"/>
        <v>280.52433214980425</v>
      </c>
    </row>
    <row r="1052" spans="1:21" x14ac:dyDescent="0.25">
      <c r="A1052">
        <v>2900069</v>
      </c>
      <c r="B1052">
        <v>36</v>
      </c>
      <c r="C1052" s="1">
        <f>13.8892097581158*(10.3/7.3)</f>
        <v>19.597104179259347</v>
      </c>
      <c r="D1052" s="1">
        <f>13.6972570071425*(10.3/7.3)</f>
        <v>19.32626673610519</v>
      </c>
      <c r="E1052" s="1">
        <f>49.456234221112*(10.3/7.3)</f>
        <v>69.780714038007417</v>
      </c>
      <c r="F1052" s="1">
        <f>76.7572092772099*(38.9/42.5)</f>
        <v>70.255422138434469</v>
      </c>
      <c r="G1052" s="1">
        <v>1.563978747278495</v>
      </c>
      <c r="H1052" s="1">
        <v>4.1559638418447253</v>
      </c>
      <c r="I1052" s="1">
        <v>60.434733207120267</v>
      </c>
      <c r="J1052" s="1">
        <v>3.6112021309348999E-2</v>
      </c>
      <c r="K1052" s="1">
        <v>2.7295595603689256</v>
      </c>
      <c r="L1052" s="1">
        <v>3.7191794689778925</v>
      </c>
      <c r="M1052" s="1">
        <v>0.12837322909284674</v>
      </c>
      <c r="N1052" s="1">
        <v>1.7441543225587781</v>
      </c>
      <c r="O1052" s="1">
        <v>0.12050074074074074</v>
      </c>
      <c r="P1052" s="1">
        <v>9.741632000401991E-2</v>
      </c>
      <c r="Q1052" s="1">
        <v>2.4995094134587847</v>
      </c>
      <c r="R1052" s="2">
        <f t="shared" si="67"/>
        <v>247.61369230150871</v>
      </c>
      <c r="S1052" s="2">
        <f t="shared" si="66"/>
        <v>2.8630879016822948</v>
      </c>
      <c r="T1052" s="2">
        <f t="shared" si="68"/>
        <v>5.7122077613702578</v>
      </c>
      <c r="U1052" s="2">
        <f t="shared" si="69"/>
        <v>256.18898796456125</v>
      </c>
    </row>
    <row r="1053" spans="1:21" x14ac:dyDescent="0.25">
      <c r="A1053">
        <v>2900077</v>
      </c>
      <c r="B1053">
        <v>13</v>
      </c>
      <c r="C1053" s="1">
        <f>11.6178656249631*(10.3/7.3)</f>
        <v>16.392330950290368</v>
      </c>
      <c r="D1053" s="1">
        <f>11.5090904625997*(10.3/7.3)</f>
        <v>16.238853666407824</v>
      </c>
      <c r="E1053" s="1">
        <f>41.5434198775199*(10.3/7.3)</f>
        <v>58.616058183349992</v>
      </c>
      <c r="F1053" s="1">
        <f>64.5518644121695*(38.9/42.5)</f>
        <v>59.08394177960929</v>
      </c>
      <c r="G1053" s="1">
        <v>1.3238545033265443</v>
      </c>
      <c r="H1053" s="1">
        <v>5.4311252846427127</v>
      </c>
      <c r="I1053" s="1">
        <v>50.715857872805131</v>
      </c>
      <c r="J1053" s="1">
        <v>3.1705871274513693E-2</v>
      </c>
      <c r="K1053" s="1">
        <v>2.560639634149346</v>
      </c>
      <c r="L1053" s="1">
        <v>3.3610647916558696</v>
      </c>
      <c r="M1053" s="1">
        <v>0.11953500674791957</v>
      </c>
      <c r="N1053" s="1">
        <v>1.5041165219806492</v>
      </c>
      <c r="O1053" s="1">
        <v>0.11393230769230768</v>
      </c>
      <c r="P1053" s="1">
        <v>9.3060942190057575E-2</v>
      </c>
      <c r="Q1053" s="1">
        <v>2.1157492062296397</v>
      </c>
      <c r="R1053" s="2">
        <f t="shared" si="67"/>
        <v>209.91777144666153</v>
      </c>
      <c r="S1053" s="2">
        <f t="shared" si="66"/>
        <v>2.685406447613917</v>
      </c>
      <c r="T1053" s="2">
        <f t="shared" si="68"/>
        <v>5.0986486280767451</v>
      </c>
      <c r="U1053" s="2">
        <f t="shared" si="69"/>
        <v>217.70182652235221</v>
      </c>
    </row>
    <row r="1054" spans="1:21" x14ac:dyDescent="0.25">
      <c r="A1054">
        <v>2911329</v>
      </c>
      <c r="B1054">
        <v>29</v>
      </c>
      <c r="C1054" s="1">
        <f>1.01007076879095*(10.3/7.3)</f>
        <v>1.425168345006409</v>
      </c>
      <c r="D1054" s="1">
        <f>1.3015612068612*(10.3/7.3)</f>
        <v>1.8364493740644323</v>
      </c>
      <c r="E1054" s="1">
        <f>4.58240940555907*(10.3/7.3)</f>
        <v>6.4655913530491045</v>
      </c>
      <c r="F1054" s="1">
        <f>9.85270001842674*(38.9/42.5)</f>
        <v>9.0181183698070608</v>
      </c>
      <c r="G1054" s="1">
        <v>0.39715037435668499</v>
      </c>
      <c r="H1054" s="1">
        <v>2.3037190962409309</v>
      </c>
      <c r="I1054" s="1">
        <v>7.3708514327252876</v>
      </c>
      <c r="J1054" s="1">
        <v>2.229642625310221E-2</v>
      </c>
      <c r="K1054" s="1">
        <v>1.8319378997246905</v>
      </c>
      <c r="L1054" s="1">
        <v>2.0742893588033682</v>
      </c>
      <c r="M1054" s="1">
        <v>8.4113949911955199E-2</v>
      </c>
      <c r="N1054" s="1">
        <v>0.62594234128273651</v>
      </c>
      <c r="O1054" s="1">
        <v>0.20166252873563215</v>
      </c>
      <c r="P1054" s="1">
        <v>0.10558743136189831</v>
      </c>
      <c r="Q1054" s="1">
        <v>0.63471521015908627</v>
      </c>
      <c r="R1054" s="2">
        <f t="shared" si="67"/>
        <v>29.451763555408995</v>
      </c>
      <c r="S1054" s="2">
        <f t="shared" si="66"/>
        <v>1.959821757339691</v>
      </c>
      <c r="T1054" s="2">
        <f t="shared" si="68"/>
        <v>2.9860081787336918</v>
      </c>
      <c r="U1054" s="2">
        <f t="shared" si="69"/>
        <v>34.397593491482375</v>
      </c>
    </row>
    <row r="1055" spans="1:21" x14ac:dyDescent="0.25">
      <c r="A1055">
        <v>2911337</v>
      </c>
      <c r="B1055">
        <v>2</v>
      </c>
      <c r="C1055" s="1">
        <f>0.620936926743477*(10.3/7.3)</f>
        <v>0.87611648567915312</v>
      </c>
      <c r="D1055" s="1">
        <f>0.929690243153933*(10.3/7.3)</f>
        <v>1.3117547266418506</v>
      </c>
      <c r="E1055" s="1">
        <f>3.24798453464168*(10.3/7.3)</f>
        <v>4.582772699562919</v>
      </c>
      <c r="F1055" s="1">
        <f>7.24629694738941*(38.9/42.5)</f>
        <v>6.6324929706693645</v>
      </c>
      <c r="G1055" s="1">
        <v>0.31088709167115103</v>
      </c>
      <c r="H1055" s="1">
        <v>5.6567008293162511</v>
      </c>
      <c r="I1055" s="1">
        <v>5.2319764343548147</v>
      </c>
      <c r="J1055" s="1">
        <v>1.5169453432055672E-2</v>
      </c>
      <c r="K1055" s="1">
        <v>1.6267080857793434</v>
      </c>
      <c r="L1055" s="1">
        <v>1.7147986395401835</v>
      </c>
      <c r="M1055" s="1">
        <v>7.0599646204729596E-2</v>
      </c>
      <c r="N1055" s="1">
        <v>0.5424161501336382</v>
      </c>
      <c r="O1055" s="1">
        <v>0.15207999999999999</v>
      </c>
      <c r="P1055" s="1">
        <v>9.699641153902E-2</v>
      </c>
      <c r="Q1055" s="1">
        <v>0.49685151636941993</v>
      </c>
      <c r="R1055" s="2">
        <f t="shared" si="67"/>
        <v>25.099552754264923</v>
      </c>
      <c r="S1055" s="2">
        <f t="shared" si="66"/>
        <v>1.7388739507504192</v>
      </c>
      <c r="T1055" s="2">
        <f t="shared" si="68"/>
        <v>2.4798944358785509</v>
      </c>
      <c r="U1055" s="2">
        <f t="shared" si="69"/>
        <v>29.318321140893893</v>
      </c>
    </row>
    <row r="1056" spans="1:21" x14ac:dyDescent="0.25">
      <c r="A1056">
        <v>2911473</v>
      </c>
      <c r="B1056">
        <v>1</v>
      </c>
      <c r="C1056" s="1">
        <f>0.550040985139668*(10.3/7.3)</f>
        <v>0.77608522560802451</v>
      </c>
      <c r="D1056" s="1">
        <f>0.788403533618341*(10.3/7.3)</f>
        <v>1.1124049857902618</v>
      </c>
      <c r="E1056" s="1">
        <f>2.73705727021374*(10.3/7.3)</f>
        <v>3.8618753264659591</v>
      </c>
      <c r="F1056" s="1">
        <f>7.22102668722343*(38.9/42.5)</f>
        <v>6.6093632501880375</v>
      </c>
      <c r="G1056" s="1">
        <v>0.35396601049978504</v>
      </c>
      <c r="H1056" s="1">
        <v>4.1787029879272071</v>
      </c>
      <c r="I1056" s="1">
        <v>5.4596457934205933</v>
      </c>
      <c r="J1056" s="1">
        <v>1.4028031621363931E-2</v>
      </c>
      <c r="K1056" s="1">
        <v>2.0248965221396507</v>
      </c>
      <c r="L1056" s="1">
        <v>2.2308904177794822</v>
      </c>
      <c r="M1056" s="1">
        <v>7.3982699664145599E-2</v>
      </c>
      <c r="N1056" s="1">
        <v>0.58378084392870877</v>
      </c>
      <c r="O1056" s="1">
        <v>0.16768</v>
      </c>
      <c r="P1056" s="1">
        <v>0.13275200255991954</v>
      </c>
      <c r="Q1056" s="1">
        <v>0.56569910353846975</v>
      </c>
      <c r="R1056" s="2">
        <f t="shared" si="67"/>
        <v>22.917742683438341</v>
      </c>
      <c r="S1056" s="2">
        <f t="shared" si="66"/>
        <v>2.1716765563209339</v>
      </c>
      <c r="T1056" s="2">
        <f t="shared" si="68"/>
        <v>3.0563339613723364</v>
      </c>
      <c r="U1056" s="2">
        <f t="shared" si="69"/>
        <v>28.145753201131608</v>
      </c>
    </row>
    <row r="1057" spans="1:21" x14ac:dyDescent="0.25">
      <c r="A1057">
        <v>2911513</v>
      </c>
      <c r="B1057">
        <v>3</v>
      </c>
      <c r="C1057" s="1">
        <f>0.547783998234678*(10.3/7.3)</f>
        <v>0.77290070983796977</v>
      </c>
      <c r="D1057" s="1">
        <f>1.11881755909244*(10.3/7.3)</f>
        <v>1.5786055970756365</v>
      </c>
      <c r="E1057" s="1">
        <f>3.91315891806563*(10.3/7.3)</f>
        <v>5.5213064186405445</v>
      </c>
      <c r="F1057" s="1">
        <f>6.49811058600399*(38.9/42.5)</f>
        <v>5.9476823951895375</v>
      </c>
      <c r="G1057" s="1">
        <v>0.20149989927814374</v>
      </c>
      <c r="H1057" s="1">
        <v>1.7576977359185768</v>
      </c>
      <c r="I1057" s="1">
        <v>3.8515995508615384</v>
      </c>
      <c r="J1057" s="1">
        <v>1.3326488600170494E-2</v>
      </c>
      <c r="K1057" s="1">
        <v>1.9369879160322609</v>
      </c>
      <c r="L1057" s="1">
        <v>2.9319872741584825</v>
      </c>
      <c r="M1057" s="1">
        <v>6.6916842090865E-2</v>
      </c>
      <c r="N1057" s="1">
        <v>0.5296029620756012</v>
      </c>
      <c r="O1057" s="1">
        <v>0.16385777777777777</v>
      </c>
      <c r="P1057" s="1">
        <v>0.12292835864883285</v>
      </c>
      <c r="Q1057" s="1">
        <v>0.32203180249931679</v>
      </c>
      <c r="R1057" s="2">
        <f t="shared" si="67"/>
        <v>19.953324109301263</v>
      </c>
      <c r="S1057" s="2">
        <f t="shared" si="66"/>
        <v>2.0732427632812644</v>
      </c>
      <c r="T1057" s="2">
        <f t="shared" si="68"/>
        <v>3.6923648561027265</v>
      </c>
      <c r="U1057" s="2">
        <f t="shared" si="69"/>
        <v>25.718931728685256</v>
      </c>
    </row>
    <row r="1058" spans="1:21" x14ac:dyDescent="0.25">
      <c r="A1058">
        <v>2911521</v>
      </c>
      <c r="B1058">
        <v>1</v>
      </c>
      <c r="C1058" s="1">
        <f>0.618148884096136*(10.3/7.3)</f>
        <v>0.8721826720808501</v>
      </c>
      <c r="D1058" s="1">
        <f>0.935565771545326*(10.3/7.3)</f>
        <v>1.3200448557420352</v>
      </c>
      <c r="E1058" s="1">
        <f>3.28539016886492*(10.3/7.3)</f>
        <v>4.6355505122340599</v>
      </c>
      <c r="F1058" s="1">
        <f>6.40639406406078*(38.9/42.5)</f>
        <v>5.8637348021638633</v>
      </c>
      <c r="G1058" s="1">
        <v>0.23733640958639723</v>
      </c>
      <c r="H1058" s="1">
        <v>1.749411990444123</v>
      </c>
      <c r="I1058" s="1">
        <v>4.4508593566197092</v>
      </c>
      <c r="J1058" s="1">
        <v>1.4333542291883654E-2</v>
      </c>
      <c r="K1058" s="1">
        <v>2.1055117220276913</v>
      </c>
      <c r="L1058" s="1">
        <v>3.1340518955252712</v>
      </c>
      <c r="M1058" s="1">
        <v>7.3370935450045735E-2</v>
      </c>
      <c r="N1058" s="1">
        <v>0.58133469438961816</v>
      </c>
      <c r="O1058" s="1">
        <v>0.17391999999999999</v>
      </c>
      <c r="P1058" s="1">
        <v>0.13234187617737536</v>
      </c>
      <c r="Q1058" s="1">
        <v>0.37930476417917403</v>
      </c>
      <c r="R1058" s="2">
        <f t="shared" si="67"/>
        <v>19.508425363050215</v>
      </c>
      <c r="S1058" s="2">
        <f t="shared" si="66"/>
        <v>2.2521871404969502</v>
      </c>
      <c r="T1058" s="2">
        <f t="shared" si="68"/>
        <v>3.9626775253649349</v>
      </c>
      <c r="U1058" s="2">
        <f t="shared" si="69"/>
        <v>25.7232900289121</v>
      </c>
    </row>
    <row r="1059" spans="1:21" x14ac:dyDescent="0.25">
      <c r="A1059">
        <v>2911969</v>
      </c>
      <c r="B1059">
        <v>15</v>
      </c>
      <c r="C1059" s="1">
        <f>9.01838861659845*(10.3/7.3)</f>
        <v>12.724575719310135</v>
      </c>
      <c r="D1059" s="1">
        <f>9.09074649694236*(10.3/7.3)</f>
        <v>12.826669714863874</v>
      </c>
      <c r="E1059" s="1">
        <f>32.6122148083623*(10.3/7.3)</f>
        <v>46.014494866593317</v>
      </c>
      <c r="F1059" s="1">
        <f>59.1820453317843*(38.9/42.5)</f>
        <v>54.168977962503767</v>
      </c>
      <c r="G1059" s="1">
        <v>1.7646441303485287</v>
      </c>
      <c r="H1059" s="1">
        <v>3.8891721683617675</v>
      </c>
      <c r="I1059" s="1">
        <v>47.10677115590682</v>
      </c>
      <c r="J1059" s="1">
        <v>4.8439848331903942E-2</v>
      </c>
      <c r="K1059" s="1">
        <v>2.9425322502159954</v>
      </c>
      <c r="L1059" s="1">
        <v>3.2892471512576438</v>
      </c>
      <c r="M1059" s="1">
        <v>0.18659568235959437</v>
      </c>
      <c r="N1059" s="1">
        <v>2.0526080031642864</v>
      </c>
      <c r="O1059" s="1">
        <v>0.17250133333333331</v>
      </c>
      <c r="P1059" s="1">
        <v>0.1356779088642204</v>
      </c>
      <c r="Q1059" s="1">
        <v>2.8202075142556429</v>
      </c>
      <c r="R1059" s="2">
        <f t="shared" si="67"/>
        <v>181.31551323214384</v>
      </c>
      <c r="S1059" s="2">
        <f t="shared" si="66"/>
        <v>3.12665000741212</v>
      </c>
      <c r="T1059" s="2">
        <f t="shared" si="68"/>
        <v>5.7009521701148573</v>
      </c>
      <c r="U1059" s="2">
        <f t="shared" si="69"/>
        <v>190.1431154096708</v>
      </c>
    </row>
    <row r="1060" spans="1:21" x14ac:dyDescent="0.25">
      <c r="A1060">
        <v>2911977</v>
      </c>
      <c r="B1060">
        <v>33</v>
      </c>
      <c r="C1060" s="1">
        <f>12.6104013800634*(10.3/7.3)</f>
        <v>17.792758111596253</v>
      </c>
      <c r="D1060" s="1">
        <f>13.1752268610637*(10.3/7.3)</f>
        <v>18.58970365328172</v>
      </c>
      <c r="E1060" s="1">
        <f>47.21908206247*(10.3/7.3)</f>
        <v>66.624184279923384</v>
      </c>
      <c r="F1060" s="1">
        <f>83.3654033060358*(38.9/42.5)</f>
        <v>76.303863261289209</v>
      </c>
      <c r="G1060" s="1">
        <v>2.3930023214366321</v>
      </c>
      <c r="H1060" s="1">
        <v>4.6046961674184699</v>
      </c>
      <c r="I1060" s="1">
        <v>65.087116467609988</v>
      </c>
      <c r="J1060" s="1">
        <v>5.1659591342881256E-2</v>
      </c>
      <c r="K1060" s="1">
        <v>3.3690532649539278</v>
      </c>
      <c r="L1060" s="1">
        <v>4.1184841891183686</v>
      </c>
      <c r="M1060" s="1">
        <v>0.23728626336412686</v>
      </c>
      <c r="N1060" s="1">
        <v>2.3302621410638471</v>
      </c>
      <c r="O1060" s="1">
        <v>0.20426343434343441</v>
      </c>
      <c r="P1060" s="1">
        <v>0.14862399612078711</v>
      </c>
      <c r="Q1060" s="1">
        <v>3.8244329338028393</v>
      </c>
      <c r="R1060" s="2">
        <f t="shared" si="67"/>
        <v>255.2197571963585</v>
      </c>
      <c r="S1060" s="2">
        <f t="shared" si="66"/>
        <v>3.5693368524175959</v>
      </c>
      <c r="T1060" s="2">
        <f t="shared" si="68"/>
        <v>6.8902960278897769</v>
      </c>
      <c r="U1060" s="2">
        <f t="shared" si="69"/>
        <v>265.67939007666592</v>
      </c>
    </row>
    <row r="1061" spans="1:21" x14ac:dyDescent="0.25">
      <c r="A1061">
        <v>2911985</v>
      </c>
      <c r="B1061">
        <v>57</v>
      </c>
      <c r="C1061" s="1">
        <f>9.83808713006776*(10.3/7.3)</f>
        <v>13.881136635575066</v>
      </c>
      <c r="D1061" s="1">
        <f>10.0281740940073*(10.3/7.3)</f>
        <v>14.14934152990068</v>
      </c>
      <c r="E1061" s="1">
        <f>35.9765141796862*(10.3/7.3)</f>
        <v>50.761383020653135</v>
      </c>
      <c r="F1061" s="1">
        <f>64.109055436188*(38.9/42.5)</f>
        <v>58.678641328652034</v>
      </c>
      <c r="G1061" s="1">
        <v>1.8557130645177331</v>
      </c>
      <c r="H1061" s="1">
        <v>3.8309845484004161</v>
      </c>
      <c r="I1061" s="1">
        <v>50.660504508462324</v>
      </c>
      <c r="J1061" s="1">
        <v>3.7662527664727892E-2</v>
      </c>
      <c r="K1061" s="1">
        <v>2.6466795505859473</v>
      </c>
      <c r="L1061" s="1">
        <v>2.9952166326498695</v>
      </c>
      <c r="M1061" s="1">
        <v>0.18667395742653906</v>
      </c>
      <c r="N1061" s="1">
        <v>1.8081006986820265</v>
      </c>
      <c r="O1061" s="1">
        <v>0.15665309941520472</v>
      </c>
      <c r="P1061" s="1">
        <v>0.12280249307055026</v>
      </c>
      <c r="Q1061" s="1">
        <v>2.9657514729735492</v>
      </c>
      <c r="R1061" s="2">
        <f t="shared" si="67"/>
        <v>196.78345610913496</v>
      </c>
      <c r="S1061" s="2">
        <f t="shared" si="66"/>
        <v>2.8071445713212255</v>
      </c>
      <c r="T1061" s="2">
        <f t="shared" si="68"/>
        <v>5.1466443881736401</v>
      </c>
      <c r="U1061" s="2">
        <f t="shared" si="69"/>
        <v>204.73724506862982</v>
      </c>
    </row>
    <row r="1062" spans="1:21" x14ac:dyDescent="0.25">
      <c r="A1062">
        <v>2912289</v>
      </c>
      <c r="B1062">
        <v>50</v>
      </c>
      <c r="C1062" s="1">
        <f>19.2574088569898*(10.3/7.3)</f>
        <v>27.17141249684866</v>
      </c>
      <c r="D1062" s="1">
        <f>17.1964308561328*(10.3/7.3)</f>
        <v>24.2634572353655</v>
      </c>
      <c r="E1062" s="1">
        <f>62.4133201080008*(10.3/7.3)</f>
        <v>88.062629741425766</v>
      </c>
      <c r="F1062" s="1">
        <f>99.037270297096*(38.9/42.5)</f>
        <v>90.648230930753741</v>
      </c>
      <c r="G1062" s="1">
        <v>2.0252778481333253</v>
      </c>
      <c r="H1062" s="1">
        <v>6.1957669511028719</v>
      </c>
      <c r="I1062" s="1">
        <v>82.289443278975099</v>
      </c>
      <c r="J1062" s="1">
        <v>3.7092899148550962E-2</v>
      </c>
      <c r="K1062" s="1">
        <v>2.7781810359115982</v>
      </c>
      <c r="L1062" s="1">
        <v>3.8954913880685349</v>
      </c>
      <c r="M1062" s="1">
        <v>0.13132226548696363</v>
      </c>
      <c r="N1062" s="1">
        <v>1.8373112148077697</v>
      </c>
      <c r="O1062" s="1">
        <v>0.12385066666666664</v>
      </c>
      <c r="P1062" s="1">
        <v>9.9540545389567234E-2</v>
      </c>
      <c r="Q1062" s="1">
        <v>3.2367454193911636</v>
      </c>
      <c r="R1062" s="2">
        <f t="shared" si="67"/>
        <v>323.89296390199615</v>
      </c>
      <c r="S1062" s="2">
        <f t="shared" si="66"/>
        <v>2.9148144804497162</v>
      </c>
      <c r="T1062" s="2">
        <f t="shared" si="68"/>
        <v>5.9879755350299346</v>
      </c>
      <c r="U1062" s="2">
        <f t="shared" si="69"/>
        <v>332.79575391747579</v>
      </c>
    </row>
    <row r="1063" spans="1:21" x14ac:dyDescent="0.25">
      <c r="A1063">
        <v>2912297</v>
      </c>
      <c r="B1063">
        <v>35</v>
      </c>
      <c r="C1063" s="1">
        <f>12.6005871940716*(10.3/7.3)</f>
        <v>17.778910698484601</v>
      </c>
      <c r="D1063" s="1">
        <f>12.4038736133326*(10.3/7.3)</f>
        <v>17.501355920181648</v>
      </c>
      <c r="E1063" s="1">
        <f>44.7771231816804*(10.3/7.3)</f>
        <v>63.178680653603791</v>
      </c>
      <c r="F1063" s="1">
        <f>70.1823654106217*(38.9/42.5)</f>
        <v>64.237506222898418</v>
      </c>
      <c r="G1063" s="1">
        <v>1.4720436731290849</v>
      </c>
      <c r="H1063" s="1">
        <v>3.5901047436768905</v>
      </c>
      <c r="I1063" s="1">
        <v>55.385950882402504</v>
      </c>
      <c r="J1063" s="1">
        <v>3.3181368443875404E-2</v>
      </c>
      <c r="K1063" s="1">
        <v>2.5711278729172484</v>
      </c>
      <c r="L1063" s="1">
        <v>3.4269330432557696</v>
      </c>
      <c r="M1063" s="1">
        <v>0.1219302585451791</v>
      </c>
      <c r="N1063" s="1">
        <v>1.5639368565145908</v>
      </c>
      <c r="O1063" s="1">
        <v>0.11419580952380952</v>
      </c>
      <c r="P1063" s="1">
        <v>9.3615763451554354E-2</v>
      </c>
      <c r="Q1063" s="1">
        <v>2.3525812127633801</v>
      </c>
      <c r="R1063" s="2">
        <f t="shared" si="67"/>
        <v>225.49713400714032</v>
      </c>
      <c r="S1063" s="2">
        <f t="shared" si="66"/>
        <v>2.6979250048126779</v>
      </c>
      <c r="T1063" s="2">
        <f t="shared" si="68"/>
        <v>5.2269959678393487</v>
      </c>
      <c r="U1063" s="2">
        <f t="shared" si="69"/>
        <v>233.42205497979234</v>
      </c>
    </row>
    <row r="1064" spans="1:21" x14ac:dyDescent="0.25">
      <c r="A1064">
        <v>2912305</v>
      </c>
      <c r="B1064">
        <v>29</v>
      </c>
      <c r="C1064" s="1">
        <f>12.832549987896*(10.3/7.3)</f>
        <v>18.106200667853319</v>
      </c>
      <c r="D1064" s="1">
        <f>12.6803292100364*(10.3/7.3)</f>
        <v>17.891423405941836</v>
      </c>
      <c r="E1064" s="1">
        <f>45.7748999124667*(10.3/7.3)</f>
        <v>64.58650261622013</v>
      </c>
      <c r="F1064" s="1">
        <f>71.2648393705547*(38.9/42.5)</f>
        <v>65.228288270931259</v>
      </c>
      <c r="G1064" s="1">
        <v>1.467950186137029</v>
      </c>
      <c r="H1064" s="1">
        <v>5.2779349248223495</v>
      </c>
      <c r="I1064" s="1">
        <v>56.07802680643394</v>
      </c>
      <c r="J1064" s="1">
        <v>3.4890547639268202E-2</v>
      </c>
      <c r="K1064" s="1">
        <v>2.7244282772986992</v>
      </c>
      <c r="L1064" s="1">
        <v>3.6631331818298047</v>
      </c>
      <c r="M1064" s="1">
        <v>0.1277954844424454</v>
      </c>
      <c r="N1064" s="1">
        <v>1.7964283131553722</v>
      </c>
      <c r="O1064" s="1">
        <v>0.12070620689655173</v>
      </c>
      <c r="P1064" s="1">
        <v>9.7657305658303578E-2</v>
      </c>
      <c r="Q1064" s="1">
        <v>2.3460391102646612</v>
      </c>
      <c r="R1064" s="2">
        <f t="shared" si="67"/>
        <v>230.9823659886045</v>
      </c>
      <c r="S1064" s="2">
        <f t="shared" si="66"/>
        <v>2.8569761305962706</v>
      </c>
      <c r="T1064" s="2">
        <f t="shared" si="68"/>
        <v>5.708063186324174</v>
      </c>
      <c r="U1064" s="2">
        <f t="shared" si="69"/>
        <v>239.54740530552496</v>
      </c>
    </row>
    <row r="1065" spans="1:21" x14ac:dyDescent="0.25">
      <c r="A1065">
        <v>2923565</v>
      </c>
      <c r="B1065">
        <v>49</v>
      </c>
      <c r="C1065" s="1">
        <f>0.872206222183486*(10.3/7.3)</f>
        <v>1.2306471354095767</v>
      </c>
      <c r="D1065" s="1">
        <f>1.22223776574934*(10.3/7.3)</f>
        <v>1.7245272585230382</v>
      </c>
      <c r="E1065" s="1">
        <f>4.28449563348491*(10.3/7.3)</f>
        <v>6.0452472636841925</v>
      </c>
      <c r="F1065" s="1">
        <f>9.3878475793287*(38.9/42.5)</f>
        <v>8.5926416667267365</v>
      </c>
      <c r="G1065" s="1">
        <v>0.39164186265448442</v>
      </c>
      <c r="H1065" s="1">
        <v>3.0255287630434364</v>
      </c>
      <c r="I1065" s="1">
        <v>6.8761386610631776</v>
      </c>
      <c r="J1065" s="1">
        <v>1.884571320971264E-2</v>
      </c>
      <c r="K1065" s="1">
        <v>1.8669063074269532</v>
      </c>
      <c r="L1065" s="1">
        <v>2.0896598341638759</v>
      </c>
      <c r="M1065" s="1">
        <v>8.3090020683058124E-2</v>
      </c>
      <c r="N1065" s="1">
        <v>0.60449382380768701</v>
      </c>
      <c r="O1065" s="1">
        <v>0.20179918367346933</v>
      </c>
      <c r="P1065" s="1">
        <v>0.1087300586298408</v>
      </c>
      <c r="Q1065" s="1">
        <v>0.6259116526441536</v>
      </c>
      <c r="R1065" s="2">
        <f t="shared" si="67"/>
        <v>28.512284263748796</v>
      </c>
      <c r="S1065" s="2">
        <f t="shared" si="66"/>
        <v>1.9944820792665066</v>
      </c>
      <c r="T1065" s="2">
        <f t="shared" si="68"/>
        <v>2.9790428623280905</v>
      </c>
      <c r="U1065" s="2">
        <f t="shared" si="69"/>
        <v>33.485809205343394</v>
      </c>
    </row>
    <row r="1066" spans="1:21" x14ac:dyDescent="0.25">
      <c r="A1066">
        <v>2923573</v>
      </c>
      <c r="B1066">
        <v>17</v>
      </c>
      <c r="C1066" s="1">
        <f>0.677892655110583*(10.3/7.3)</f>
        <v>0.95647867775876749</v>
      </c>
      <c r="D1066" s="1">
        <f>1.06945682253912*(10.3/7.3)</f>
        <v>1.5089596263223177</v>
      </c>
      <c r="E1066" s="1">
        <f>3.72984955760409*(10.3/7.3)</f>
        <v>5.2626644442907047</v>
      </c>
      <c r="F1066" s="1">
        <f>8.28093995970024*(38.9/42.5)</f>
        <v>7.5794956337021047</v>
      </c>
      <c r="G1066" s="1">
        <v>0.3562760074657626</v>
      </c>
      <c r="H1066" s="1">
        <v>7.0226632728352962</v>
      </c>
      <c r="I1066" s="1">
        <v>5.889044759607156</v>
      </c>
      <c r="J1066" s="1">
        <v>1.8218819332169598E-2</v>
      </c>
      <c r="K1066" s="1">
        <v>1.8236784321520256</v>
      </c>
      <c r="L1066" s="1">
        <v>2.0498780054384946</v>
      </c>
      <c r="M1066" s="1">
        <v>7.9390674851725768E-2</v>
      </c>
      <c r="N1066" s="1">
        <v>0.58460026307320501</v>
      </c>
      <c r="O1066" s="1">
        <v>0.1992345098039216</v>
      </c>
      <c r="P1066" s="1">
        <v>0.1083829490817269</v>
      </c>
      <c r="Q1066" s="1">
        <v>0.56939087951149325</v>
      </c>
      <c r="R1066" s="2">
        <f t="shared" si="67"/>
        <v>29.1449733014936</v>
      </c>
      <c r="S1066" s="2">
        <f t="shared" si="66"/>
        <v>1.9502802005659221</v>
      </c>
      <c r="T1066" s="2">
        <f t="shared" si="68"/>
        <v>2.9131034531673468</v>
      </c>
      <c r="U1066" s="2">
        <f t="shared" si="69"/>
        <v>34.008356955226866</v>
      </c>
    </row>
    <row r="1067" spans="1:21" x14ac:dyDescent="0.25">
      <c r="A1067">
        <v>2923605</v>
      </c>
      <c r="B1067">
        <v>2</v>
      </c>
      <c r="C1067" s="1">
        <f>0.515190452047908*(10.3/7.3)</f>
        <v>0.72691255562923951</v>
      </c>
      <c r="D1067" s="1">
        <f>0.950324706026963*(10.3/7.3)</f>
        <v>1.3408691057640714</v>
      </c>
      <c r="E1067" s="1">
        <f>3.27746630094023*(10.3/7.3)</f>
        <v>4.6243702602307328</v>
      </c>
      <c r="F1067" s="1">
        <f>8.26955862029831*(38.9/42.5)</f>
        <v>7.5690783606965697</v>
      </c>
      <c r="G1067" s="1">
        <v>0.40294615108576615</v>
      </c>
      <c r="H1067" s="1">
        <v>6.135370584766112</v>
      </c>
      <c r="I1067" s="1">
        <v>5.8635008215084969</v>
      </c>
      <c r="J1067" s="1">
        <v>1.6230254371360265E-2</v>
      </c>
      <c r="K1067" s="1">
        <v>1.7417162259422547</v>
      </c>
      <c r="L1067" s="1">
        <v>1.8291625774186508</v>
      </c>
      <c r="M1067" s="1">
        <v>7.5490593796037481E-2</v>
      </c>
      <c r="N1067" s="1">
        <v>0.74076912550543872</v>
      </c>
      <c r="O1067" s="1">
        <v>0.15346666666666667</v>
      </c>
      <c r="P1067" s="1">
        <v>0.10266011934714345</v>
      </c>
      <c r="Q1067" s="1">
        <v>0.64397786703204707</v>
      </c>
      <c r="R1067" s="2">
        <f t="shared" si="67"/>
        <v>27.307025706713038</v>
      </c>
      <c r="S1067" s="2">
        <f t="shared" si="66"/>
        <v>1.8606065996607584</v>
      </c>
      <c r="T1067" s="2">
        <f t="shared" si="68"/>
        <v>2.7988889633867937</v>
      </c>
      <c r="U1067" s="2">
        <f t="shared" si="69"/>
        <v>31.966521269760591</v>
      </c>
    </row>
    <row r="1068" spans="1:21" x14ac:dyDescent="0.25">
      <c r="A1068">
        <v>2923749</v>
      </c>
      <c r="B1068">
        <v>12</v>
      </c>
      <c r="C1068" s="1">
        <f>0.586252348571202*(10.3/7.3)</f>
        <v>0.82717797127169557</v>
      </c>
      <c r="D1068" s="1">
        <f>2.70123977411902*(10.3/7.3)</f>
        <v>3.8113383114281998</v>
      </c>
      <c r="E1068" s="1">
        <f>9.37612892224429*(10.3/7.3)</f>
        <v>13.22933258892002</v>
      </c>
      <c r="F1068" s="1">
        <f>11.7540484179617*(38.9/42.5)</f>
        <v>10.758411375499081</v>
      </c>
      <c r="G1068" s="1">
        <v>0.21617248246572954</v>
      </c>
      <c r="H1068" s="1">
        <v>1.8707869646915263</v>
      </c>
      <c r="I1068" s="1">
        <v>4.1275624774809199</v>
      </c>
      <c r="J1068" s="1">
        <v>1.3651800888223901E-2</v>
      </c>
      <c r="K1068" s="1">
        <v>1.98905621570201</v>
      </c>
      <c r="L1068" s="1">
        <v>2.9846332411491212</v>
      </c>
      <c r="M1068" s="1">
        <v>6.8321617302723001E-2</v>
      </c>
      <c r="N1068" s="1">
        <v>0.54342628437420304</v>
      </c>
      <c r="O1068" s="1">
        <v>0.16625333333333336</v>
      </c>
      <c r="P1068" s="1">
        <v>0.12709262219809858</v>
      </c>
      <c r="Q1068" s="1">
        <v>0.34548113636075534</v>
      </c>
      <c r="R1068" s="2">
        <f t="shared" si="67"/>
        <v>35.18626330811793</v>
      </c>
      <c r="S1068" s="2">
        <f t="shared" si="66"/>
        <v>2.1298006387883324</v>
      </c>
      <c r="T1068" s="2">
        <f t="shared" si="68"/>
        <v>3.7626344761593806</v>
      </c>
      <c r="U1068" s="2">
        <f t="shared" si="69"/>
        <v>41.078698423065646</v>
      </c>
    </row>
    <row r="1069" spans="1:21" x14ac:dyDescent="0.25">
      <c r="A1069">
        <v>2924205</v>
      </c>
      <c r="B1069">
        <v>25</v>
      </c>
      <c r="C1069" s="1">
        <f>12.0602759087829*(10.3/7.3)</f>
        <v>17.016553679515553</v>
      </c>
      <c r="D1069" s="1">
        <f>11.9901262154306*(10.3/7.3)</f>
        <v>16.917575345059603</v>
      </c>
      <c r="E1069" s="1">
        <f>43.0201973218979*(10.3/7.3)</f>
        <v>60.699730467883406</v>
      </c>
      <c r="F1069" s="1">
        <f>79.3977529057347*(38.9/42.5)</f>
        <v>72.672296189013608</v>
      </c>
      <c r="G1069" s="1">
        <v>2.4273978281730639</v>
      </c>
      <c r="H1069" s="1">
        <v>4.599663645842833</v>
      </c>
      <c r="I1069" s="1">
        <v>63.704998880447071</v>
      </c>
      <c r="J1069" s="1">
        <v>5.278341800199305E-2</v>
      </c>
      <c r="K1069" s="1">
        <v>3.3008720101037436</v>
      </c>
      <c r="L1069" s="1">
        <v>3.9595050016555495</v>
      </c>
      <c r="M1069" s="1">
        <v>0.22056077791701956</v>
      </c>
      <c r="N1069" s="1">
        <v>2.2952456015119402</v>
      </c>
      <c r="O1069" s="1">
        <v>0.19870079999999998</v>
      </c>
      <c r="P1069" s="1">
        <v>0.14688209644688408</v>
      </c>
      <c r="Q1069" s="1">
        <v>3.8794029217377766</v>
      </c>
      <c r="R1069" s="2">
        <f t="shared" si="67"/>
        <v>241.91761895767291</v>
      </c>
      <c r="S1069" s="2">
        <f t="shared" si="66"/>
        <v>3.5005375245526209</v>
      </c>
      <c r="T1069" s="2">
        <f t="shared" si="68"/>
        <v>6.6740121810845094</v>
      </c>
      <c r="U1069" s="2">
        <f t="shared" si="69"/>
        <v>252.09216866331005</v>
      </c>
    </row>
    <row r="1070" spans="1:21" x14ac:dyDescent="0.25">
      <c r="A1070">
        <v>2924213</v>
      </c>
      <c r="B1070">
        <v>15</v>
      </c>
      <c r="C1070" s="1">
        <f>12.7379030360223*(10.3/7.3)</f>
        <v>17.972657708360199</v>
      </c>
      <c r="D1070" s="1">
        <f>13.0032200027142*(10.3/7.3)</f>
        <v>18.347009044925564</v>
      </c>
      <c r="E1070" s="1">
        <f>46.6350669191806*(10.3/7.3)</f>
        <v>65.800162913364389</v>
      </c>
      <c r="F1070" s="1">
        <f>83.6441544015682*(38.9/42.5)</f>
        <v>76.559002499317685</v>
      </c>
      <c r="G1070" s="1">
        <v>2.4523331724713815</v>
      </c>
      <c r="H1070" s="1">
        <v>4.6162799246051138</v>
      </c>
      <c r="I1070" s="1">
        <v>66.114125256239404</v>
      </c>
      <c r="J1070" s="1">
        <v>4.8634469944235023E-2</v>
      </c>
      <c r="K1070" s="1">
        <v>3.2393495325802886</v>
      </c>
      <c r="L1070" s="1">
        <v>3.8873191684500203</v>
      </c>
      <c r="M1070" s="1">
        <v>0.22936929611868895</v>
      </c>
      <c r="N1070" s="1">
        <v>2.2451697068474994</v>
      </c>
      <c r="O1070" s="1">
        <v>0.19583999999999999</v>
      </c>
      <c r="P1070" s="1">
        <v>0.14434127459942198</v>
      </c>
      <c r="Q1070" s="1">
        <v>3.9192539286072337</v>
      </c>
      <c r="R1070" s="2">
        <f t="shared" si="67"/>
        <v>255.78082444789101</v>
      </c>
      <c r="S1070" s="2">
        <f t="shared" si="66"/>
        <v>3.4323252771239456</v>
      </c>
      <c r="T1070" s="2">
        <f t="shared" si="68"/>
        <v>6.5576981714162086</v>
      </c>
      <c r="U1070" s="2">
        <f t="shared" si="69"/>
        <v>265.77084789643118</v>
      </c>
    </row>
    <row r="1071" spans="1:21" x14ac:dyDescent="0.25">
      <c r="A1071">
        <v>2924221</v>
      </c>
      <c r="B1071">
        <v>3</v>
      </c>
      <c r="C1071" s="1">
        <f>16.4069671599228*(10.3/7.3)</f>
        <v>23.149556403726688</v>
      </c>
      <c r="D1071" s="1">
        <f>15.6767664471538*(10.3/7.3)</f>
        <v>22.119273206258136</v>
      </c>
      <c r="E1071" s="1">
        <f>56.3069338554558*(10.3/7.3)</f>
        <v>79.446769686465089</v>
      </c>
      <c r="F1071" s="1">
        <f>107.366672261067*(38.9/42.5)</f>
        <v>98.27208355189461</v>
      </c>
      <c r="G1071" s="1">
        <v>3.4205627204404809</v>
      </c>
      <c r="H1071" s="1">
        <v>6.5513374014903762</v>
      </c>
      <c r="I1071" s="1">
        <v>87.907284762187416</v>
      </c>
      <c r="J1071" s="1">
        <v>5.279111234480615E-2</v>
      </c>
      <c r="K1071" s="1">
        <v>3.4103924279258284</v>
      </c>
      <c r="L1071" s="1">
        <v>4.2253341619495854</v>
      </c>
      <c r="M1071" s="1">
        <v>0.25339715029770082</v>
      </c>
      <c r="N1071" s="1">
        <v>2.600000345695805</v>
      </c>
      <c r="O1071" s="1">
        <v>0.20613333333333331</v>
      </c>
      <c r="P1071" s="1">
        <v>0.14834235616564864</v>
      </c>
      <c r="Q1071" s="1">
        <v>5.4666527495624182</v>
      </c>
      <c r="R1071" s="2">
        <f t="shared" si="67"/>
        <v>326.33352048202516</v>
      </c>
      <c r="S1071" s="2">
        <f t="shared" si="66"/>
        <v>3.6115258964362829</v>
      </c>
      <c r="T1071" s="2">
        <f t="shared" si="68"/>
        <v>7.2848649912764252</v>
      </c>
      <c r="U1071" s="2">
        <f t="shared" si="69"/>
        <v>337.22991136973786</v>
      </c>
    </row>
    <row r="1072" spans="1:21" x14ac:dyDescent="0.25">
      <c r="A1072">
        <v>2924517</v>
      </c>
      <c r="B1072">
        <v>32</v>
      </c>
      <c r="C1072" s="1">
        <f>16.4045193248604*(10.3/7.3)</f>
        <v>23.14610260904961</v>
      </c>
      <c r="D1072" s="1">
        <f>15.5048953015387*(10.3/7.3)</f>
        <v>21.876770082993009</v>
      </c>
      <c r="E1072" s="1">
        <f>56.0755724013983*(10.3/7.3)</f>
        <v>79.120328182794864</v>
      </c>
      <c r="F1072" s="1">
        <f>89.2669352887839*(38.9/42.5)</f>
        <v>81.705500770204523</v>
      </c>
      <c r="G1072" s="1">
        <v>1.9120293790495453</v>
      </c>
      <c r="H1072" s="1">
        <v>7.1586321584777881</v>
      </c>
      <c r="I1072" s="1">
        <v>72.059927831825661</v>
      </c>
      <c r="J1072" s="1">
        <v>3.7791033462726109E-2</v>
      </c>
      <c r="K1072" s="1">
        <v>2.8041512693797275</v>
      </c>
      <c r="L1072" s="1">
        <v>4.02382622700196</v>
      </c>
      <c r="M1072" s="1">
        <v>0.13384020680827421</v>
      </c>
      <c r="N1072" s="1">
        <v>2.238592311222483</v>
      </c>
      <c r="O1072" s="1">
        <v>0.12491166666666666</v>
      </c>
      <c r="P1072" s="1">
        <v>0.1006051844172524</v>
      </c>
      <c r="Q1072" s="1">
        <v>3.0557547153759881</v>
      </c>
      <c r="R1072" s="2">
        <f t="shared" si="67"/>
        <v>290.03504572977101</v>
      </c>
      <c r="S1072" s="2">
        <f t="shared" si="66"/>
        <v>2.9425474872597062</v>
      </c>
      <c r="T1072" s="2">
        <f t="shared" si="68"/>
        <v>6.5211704116993836</v>
      </c>
      <c r="U1072" s="2">
        <f t="shared" si="69"/>
        <v>299.4987636287301</v>
      </c>
    </row>
    <row r="1073" spans="1:21" x14ac:dyDescent="0.25">
      <c r="A1073">
        <v>2924525</v>
      </c>
      <c r="B1073">
        <v>21</v>
      </c>
      <c r="C1073" s="1">
        <f>9.51424294974183*(10.3/7.3)</f>
        <v>13.424205805800124</v>
      </c>
      <c r="D1073" s="1">
        <f>9.30110199638047*(10.3/7.3)</f>
        <v>13.123472679824495</v>
      </c>
      <c r="E1073" s="1">
        <f>33.5738231350012*(10.3/7.3)</f>
        <v>47.371284697330523</v>
      </c>
      <c r="F1073" s="1">
        <f>53.4087174525415*(38.9/42.5)</f>
        <v>48.884684915385058</v>
      </c>
      <c r="G1073" s="1">
        <v>1.1649982512755519</v>
      </c>
      <c r="H1073" s="1">
        <v>3.059327566494249</v>
      </c>
      <c r="I1073" s="1">
        <v>42.381782213781364</v>
      </c>
      <c r="J1073" s="1">
        <v>2.5767966130978297E-2</v>
      </c>
      <c r="K1073" s="1">
        <v>2.0866281089035197</v>
      </c>
      <c r="L1073" s="1">
        <v>2.5626986499172864</v>
      </c>
      <c r="M1073" s="1">
        <v>9.9033145950317245E-2</v>
      </c>
      <c r="N1073" s="1">
        <v>1.2437522194769297</v>
      </c>
      <c r="O1073" s="1">
        <v>9.4481269841269838E-2</v>
      </c>
      <c r="P1073" s="1">
        <v>8.0917264036990344E-2</v>
      </c>
      <c r="Q1073" s="1">
        <v>1.861869351353624</v>
      </c>
      <c r="R1073" s="2">
        <f t="shared" si="67"/>
        <v>171.271625481245</v>
      </c>
      <c r="S1073" s="2">
        <f t="shared" si="66"/>
        <v>2.1933133390714885</v>
      </c>
      <c r="T1073" s="2">
        <f t="shared" si="68"/>
        <v>3.999965285185803</v>
      </c>
      <c r="U1073" s="2">
        <f t="shared" si="69"/>
        <v>177.46490410550228</v>
      </c>
    </row>
    <row r="1074" spans="1:21" x14ac:dyDescent="0.25">
      <c r="A1074">
        <v>2924533</v>
      </c>
      <c r="B1074">
        <v>35</v>
      </c>
      <c r="C1074" s="1">
        <f>15.1884597590993*(10.3/7.3)</f>
        <v>21.430292536811304</v>
      </c>
      <c r="D1074" s="1">
        <f>14.9066619514037*(10.3/7.3)</f>
        <v>21.032687410884648</v>
      </c>
      <c r="E1074" s="1">
        <f>53.8265891727235*(10.3/7.3)</f>
        <v>75.947105271103027</v>
      </c>
      <c r="F1074" s="1">
        <f>84.0937654302601*(38.9/42.5)</f>
        <v>76.970528829108687</v>
      </c>
      <c r="G1074" s="1">
        <v>1.7434201691537068</v>
      </c>
      <c r="H1074" s="1">
        <v>5.019818123117699</v>
      </c>
      <c r="I1074" s="1">
        <v>66.436009039049111</v>
      </c>
      <c r="J1074" s="1">
        <v>3.9336438579703301E-2</v>
      </c>
      <c r="K1074" s="1">
        <v>2.9843817768551442</v>
      </c>
      <c r="L1074" s="1">
        <v>4.1436454709766544</v>
      </c>
      <c r="M1074" s="1">
        <v>0.1411652834162925</v>
      </c>
      <c r="N1074" s="1">
        <v>1.8638122020564616</v>
      </c>
      <c r="O1074" s="1">
        <v>0.13148190476190474</v>
      </c>
      <c r="P1074" s="1">
        <v>0.10418235187083938</v>
      </c>
      <c r="Q1074" s="1">
        <v>2.7862879415698534</v>
      </c>
      <c r="R1074" s="2">
        <f t="shared" si="67"/>
        <v>271.36614932079806</v>
      </c>
      <c r="S1074" s="2">
        <f t="shared" si="66"/>
        <v>3.1279005673056868</v>
      </c>
      <c r="T1074" s="2">
        <f t="shared" si="68"/>
        <v>6.2801048612113126</v>
      </c>
      <c r="U1074" s="2">
        <f t="shared" si="69"/>
        <v>280.77415474931507</v>
      </c>
    </row>
    <row r="1075" spans="1:21" x14ac:dyDescent="0.25">
      <c r="A1075">
        <v>2924541</v>
      </c>
      <c r="B1075">
        <v>4</v>
      </c>
      <c r="C1075" s="1">
        <f>11.8183136361744*(10.3/7.3)</f>
        <v>16.675154856519992</v>
      </c>
      <c r="D1075" s="1">
        <f>11.6979284490202*(10.3/7.3)</f>
        <v>16.505296304781915</v>
      </c>
      <c r="E1075" s="1">
        <f>42.2254822552382*(10.3/7.3)</f>
        <v>59.57842016834973</v>
      </c>
      <c r="F1075" s="1">
        <f>65.689073989689*(38.9/42.5)</f>
        <v>60.124823016444722</v>
      </c>
      <c r="G1075" s="1">
        <v>1.3513797824324922</v>
      </c>
      <c r="H1075" s="1">
        <v>4.2425256219871876</v>
      </c>
      <c r="I1075" s="1">
        <v>51.640064917891948</v>
      </c>
      <c r="J1075" s="1">
        <v>3.1707340075814272E-2</v>
      </c>
      <c r="K1075" s="1">
        <v>2.5642068390712116</v>
      </c>
      <c r="L1075" s="1">
        <v>3.3459182401498868</v>
      </c>
      <c r="M1075" s="1">
        <v>0.12044994748461479</v>
      </c>
      <c r="N1075" s="1">
        <v>1.5015873548877217</v>
      </c>
      <c r="O1075" s="1">
        <v>0.11516</v>
      </c>
      <c r="P1075" s="1">
        <v>9.3690897216532842E-2</v>
      </c>
      <c r="Q1075" s="1">
        <v>2.1597393783167709</v>
      </c>
      <c r="R1075" s="2">
        <f t="shared" si="67"/>
        <v>212.2774040467248</v>
      </c>
      <c r="S1075" s="2">
        <f t="shared" si="66"/>
        <v>2.6896050763635584</v>
      </c>
      <c r="T1075" s="2">
        <f t="shared" si="68"/>
        <v>5.0831155425222239</v>
      </c>
      <c r="U1075" s="2">
        <f t="shared" si="69"/>
        <v>220.05012466561058</v>
      </c>
    </row>
    <row r="1076" spans="1:21" x14ac:dyDescent="0.25">
      <c r="A1076">
        <v>2935793</v>
      </c>
      <c r="B1076">
        <v>1</v>
      </c>
      <c r="C1076" s="1">
        <f>0.605801838086484*(10.3/7.3)</f>
        <v>0.85476149757408071</v>
      </c>
      <c r="D1076" s="1">
        <f>0.790683727481924*(10.3/7.3)</f>
        <v>1.1156222456251805</v>
      </c>
      <c r="E1076" s="1">
        <f>2.7819180509463*(10.3/7.3)</f>
        <v>3.92517204448587</v>
      </c>
      <c r="F1076" s="1">
        <f>5.99624063734385*(38.9/42.5)</f>
        <v>5.4883237833570755</v>
      </c>
      <c r="G1076" s="1">
        <v>0.24291574652061632</v>
      </c>
      <c r="H1076" s="1">
        <v>1.4514610619641044</v>
      </c>
      <c r="I1076" s="1">
        <v>4.4703163385431601</v>
      </c>
      <c r="J1076" s="1">
        <v>1.4706944222518871E-2</v>
      </c>
      <c r="K1076" s="1">
        <v>1.5070045651515644</v>
      </c>
      <c r="L1076" s="1">
        <v>1.4920479176952732</v>
      </c>
      <c r="M1076" s="1">
        <v>6.8034181791624904E-2</v>
      </c>
      <c r="N1076" s="1">
        <v>0.47762152309503086</v>
      </c>
      <c r="O1076" s="1">
        <v>0.13295999999999999</v>
      </c>
      <c r="P1076" s="1">
        <v>8.9077040396809637E-2</v>
      </c>
      <c r="Q1076" s="1">
        <v>0.38822151270418176</v>
      </c>
      <c r="R1076" s="2">
        <f t="shared" si="67"/>
        <v>17.936794230774272</v>
      </c>
      <c r="S1076" s="2">
        <f t="shared" si="66"/>
        <v>1.6107885497708931</v>
      </c>
      <c r="T1076" s="2">
        <f t="shared" si="68"/>
        <v>2.1706636225819294</v>
      </c>
      <c r="U1076" s="2">
        <f t="shared" si="69"/>
        <v>21.718246403127093</v>
      </c>
    </row>
    <row r="1077" spans="1:21" x14ac:dyDescent="0.25">
      <c r="A1077">
        <v>2935801</v>
      </c>
      <c r="B1077">
        <v>54</v>
      </c>
      <c r="C1077" s="1">
        <f>0.857935303315846*(10.3/7.3)</f>
        <v>1.2105114553634537</v>
      </c>
      <c r="D1077" s="1">
        <f>1.27929555247581*(10.3/7.3)</f>
        <v>1.8050334507535437</v>
      </c>
      <c r="E1077" s="1">
        <f>4.47197038160355*(10.3/7.3)</f>
        <v>6.309766428837885</v>
      </c>
      <c r="F1077" s="1">
        <f>9.88051663037132*(38.9/42.5)</f>
        <v>9.0435787510928094</v>
      </c>
      <c r="G1077" s="1">
        <v>0.41967422717166031</v>
      </c>
      <c r="H1077" s="1">
        <v>4.1185255842336153</v>
      </c>
      <c r="I1077" s="1">
        <v>7.1252559495379524</v>
      </c>
      <c r="J1077" s="1">
        <v>1.8423833558147449E-2</v>
      </c>
      <c r="K1077" s="1">
        <v>2.0022627158246613</v>
      </c>
      <c r="L1077" s="1">
        <v>2.2818961764171291</v>
      </c>
      <c r="M1077" s="1">
        <v>8.9064447695215335E-2</v>
      </c>
      <c r="N1077" s="1">
        <v>0.63463163575307346</v>
      </c>
      <c r="O1077" s="1">
        <v>0.22282864197530866</v>
      </c>
      <c r="P1077" s="1">
        <v>0.11731096590838506</v>
      </c>
      <c r="Q1077" s="1">
        <v>0.67071223520585055</v>
      </c>
      <c r="R1077" s="2">
        <f t="shared" si="67"/>
        <v>30.703058082196772</v>
      </c>
      <c r="S1077" s="2">
        <f t="shared" si="66"/>
        <v>2.1379975152911936</v>
      </c>
      <c r="T1077" s="2">
        <f t="shared" si="68"/>
        <v>3.2284209018407264</v>
      </c>
      <c r="U1077" s="2">
        <f t="shared" si="69"/>
        <v>36.069476499328694</v>
      </c>
    </row>
    <row r="1078" spans="1:21" x14ac:dyDescent="0.25">
      <c r="A1078">
        <v>2935841</v>
      </c>
      <c r="B1078">
        <v>10</v>
      </c>
      <c r="C1078" s="1">
        <f>0.435767082861303*(10.3/7.3)</f>
        <v>0.6148494456810164</v>
      </c>
      <c r="D1078" s="1">
        <f>0.772331773081965*(10.3/7.3)</f>
        <v>1.0897283921567456</v>
      </c>
      <c r="E1078" s="1">
        <f>2.6686553967713*(10.3/7.3)</f>
        <v>3.765363094074575</v>
      </c>
      <c r="F1078" s="1">
        <f>6.64776044440199*(38.9/42.5)</f>
        <v>6.0846560302879418</v>
      </c>
      <c r="G1078" s="1">
        <v>0.31963162936612893</v>
      </c>
      <c r="H1078" s="1">
        <v>3.2951290056568112</v>
      </c>
      <c r="I1078" s="1">
        <v>4.7370168336394913</v>
      </c>
      <c r="J1078" s="1">
        <v>1.4253770061247947E-2</v>
      </c>
      <c r="K1078" s="1">
        <v>1.5933007677729765</v>
      </c>
      <c r="L1078" s="1">
        <v>1.6414292855423629</v>
      </c>
      <c r="M1078" s="1">
        <v>7.1121518524314115E-2</v>
      </c>
      <c r="N1078" s="1">
        <v>0.61689900710519652</v>
      </c>
      <c r="O1078" s="1">
        <v>0.14013333333333333</v>
      </c>
      <c r="P1078" s="1">
        <v>9.2154677847261626E-2</v>
      </c>
      <c r="Q1078" s="1">
        <v>0.51082680492303767</v>
      </c>
      <c r="R1078" s="2">
        <f t="shared" si="67"/>
        <v>20.417201235785747</v>
      </c>
      <c r="S1078" s="2">
        <f t="shared" si="66"/>
        <v>1.6997092156814861</v>
      </c>
      <c r="T1078" s="2">
        <f t="shared" si="68"/>
        <v>2.469583144505207</v>
      </c>
      <c r="U1078" s="2">
        <f t="shared" si="69"/>
        <v>24.586493595972442</v>
      </c>
    </row>
    <row r="1079" spans="1:21" x14ac:dyDescent="0.25">
      <c r="A1079">
        <v>2935937</v>
      </c>
      <c r="B1079">
        <v>6</v>
      </c>
      <c r="C1079" s="1">
        <f>0.38694049027023*(10.3/7.3)</f>
        <v>0.54595713010731051</v>
      </c>
      <c r="D1079" s="1">
        <f>0.537340653644983*(10.3/7.3)</f>
        <v>0.75816557980045607</v>
      </c>
      <c r="E1079" s="1">
        <f>1.87441199794478*(10.3/7.3)</f>
        <v>2.644718298470027</v>
      </c>
      <c r="F1079" s="1">
        <f>4.60874790739877*(38.9/42.5)</f>
        <v>4.2183598493602874</v>
      </c>
      <c r="G1079" s="1">
        <v>0.21324869532231669</v>
      </c>
      <c r="H1079" s="1">
        <v>1.761056821921734</v>
      </c>
      <c r="I1079" s="1">
        <v>3.4652714071134523</v>
      </c>
      <c r="J1079" s="1">
        <v>1.1804592852581506E-2</v>
      </c>
      <c r="K1079" s="1">
        <v>1.7411577631469963</v>
      </c>
      <c r="L1079" s="1">
        <v>1.812124891279659</v>
      </c>
      <c r="M1079" s="1">
        <v>6.1598035501107345E-2</v>
      </c>
      <c r="N1079" s="1">
        <v>0.49339043879099304</v>
      </c>
      <c r="O1079" s="1">
        <v>0.14583999999999997</v>
      </c>
      <c r="P1079" s="1">
        <v>0.11513413975677383</v>
      </c>
      <c r="Q1079" s="1">
        <v>0.34080841718178495</v>
      </c>
      <c r="R1079" s="2">
        <f t="shared" si="67"/>
        <v>13.947586199277369</v>
      </c>
      <c r="S1079" s="2">
        <f t="shared" si="66"/>
        <v>1.8680964957563515</v>
      </c>
      <c r="T1079" s="2">
        <f t="shared" si="68"/>
        <v>2.5129533655717591</v>
      </c>
      <c r="U1079" s="2">
        <f t="shared" si="69"/>
        <v>18.328636060605479</v>
      </c>
    </row>
    <row r="1080" spans="1:21" x14ac:dyDescent="0.25">
      <c r="A1080">
        <v>2936433</v>
      </c>
      <c r="B1080">
        <v>1</v>
      </c>
      <c r="C1080" s="1">
        <f>9.7342517572871*(10.3/7.3)</f>
        <v>13.734629191788645</v>
      </c>
      <c r="D1080" s="1">
        <f>9.56167564228929*(10.3/7.3)</f>
        <v>13.491131385695843</v>
      </c>
      <c r="E1080" s="1">
        <f>34.3389632929133*(10.3/7.3)</f>
        <v>48.450866016028307</v>
      </c>
      <c r="F1080" s="1">
        <f>62.9407585940731*(38.9/42.5)</f>
        <v>57.609306101398701</v>
      </c>
      <c r="G1080" s="1">
        <v>1.892682759992788</v>
      </c>
      <c r="H1080" s="1">
        <v>4.3836072341197783</v>
      </c>
      <c r="I1080" s="1">
        <v>50.719646587994134</v>
      </c>
      <c r="J1080" s="1">
        <v>4.7574800525932361E-2</v>
      </c>
      <c r="K1080" s="1">
        <v>2.9936031021479601</v>
      </c>
      <c r="L1080" s="1">
        <v>3.3130912377919062</v>
      </c>
      <c r="M1080" s="1">
        <v>0.19176040632905281</v>
      </c>
      <c r="N1080" s="1">
        <v>2.1121320858757771</v>
      </c>
      <c r="O1080" s="1">
        <v>0.17525333333333334</v>
      </c>
      <c r="P1080" s="1">
        <v>0.13742504960290625</v>
      </c>
      <c r="Q1080" s="1">
        <v>3.0248354611756918</v>
      </c>
      <c r="R1080" s="2">
        <f t="shared" si="67"/>
        <v>193.30670473819387</v>
      </c>
      <c r="S1080" s="2">
        <f t="shared" si="66"/>
        <v>3.1786029522767985</v>
      </c>
      <c r="T1080" s="2">
        <f t="shared" si="68"/>
        <v>5.7922370633300693</v>
      </c>
      <c r="U1080" s="2">
        <f t="shared" si="69"/>
        <v>202.27754475380075</v>
      </c>
    </row>
    <row r="1081" spans="1:21" x14ac:dyDescent="0.25">
      <c r="A1081">
        <v>2936441</v>
      </c>
      <c r="B1081">
        <v>1</v>
      </c>
      <c r="C1081" s="1">
        <f>8.43183754917217*(10.3/7.3)</f>
        <v>11.89697626801005</v>
      </c>
      <c r="D1081" s="1">
        <f>8.20862469836926*(10.3/7.3)</f>
        <v>11.582032108658002</v>
      </c>
      <c r="E1081" s="1">
        <f>29.483968497016*(10.3/7.3)</f>
        <v>41.600667879351349</v>
      </c>
      <c r="F1081" s="1">
        <f>54.5842581782233*(38.9/42.5)</f>
        <v>49.96065042665613</v>
      </c>
      <c r="G1081" s="1">
        <v>1.6652174849823167</v>
      </c>
      <c r="H1081" s="1">
        <v>3.6647628294441978</v>
      </c>
      <c r="I1081" s="1">
        <v>44.204093369844557</v>
      </c>
      <c r="J1081" s="1">
        <v>3.9724873575078375E-2</v>
      </c>
      <c r="K1081" s="1">
        <v>2.7180018660089376</v>
      </c>
      <c r="L1081" s="1">
        <v>2.9497068495139738</v>
      </c>
      <c r="M1081" s="1">
        <v>0.1705149622440528</v>
      </c>
      <c r="N1081" s="1">
        <v>1.8886667381126676</v>
      </c>
      <c r="O1081" s="1">
        <v>0.15701333333333334</v>
      </c>
      <c r="P1081" s="1">
        <v>0.12874321226665542</v>
      </c>
      <c r="Q1081" s="1">
        <v>2.6613064828484543</v>
      </c>
      <c r="R1081" s="2">
        <f t="shared" si="67"/>
        <v>167.23570684979506</v>
      </c>
      <c r="S1081" s="2">
        <f t="shared" si="66"/>
        <v>2.8864699518506716</v>
      </c>
      <c r="T1081" s="2">
        <f t="shared" si="68"/>
        <v>5.1659018832040271</v>
      </c>
      <c r="U1081" s="2">
        <f t="shared" si="69"/>
        <v>175.28807868484975</v>
      </c>
    </row>
    <row r="1082" spans="1:21" x14ac:dyDescent="0.25">
      <c r="A1082">
        <v>2936449</v>
      </c>
      <c r="B1082">
        <v>7</v>
      </c>
      <c r="C1082" s="1">
        <f>14.5410648766208*(10.3/7.3)</f>
        <v>20.516844962903356</v>
      </c>
      <c r="D1082" s="1">
        <f>14.3740673458549*(10.3/7.3)</f>
        <v>20.28121830990488</v>
      </c>
      <c r="E1082" s="1">
        <f>51.5836795657864*(10.3/7.3)</f>
        <v>72.782451990082166</v>
      </c>
      <c r="F1082" s="1">
        <f>95.5347164314021*(38.9/42.5)</f>
        <v>87.44236398074213</v>
      </c>
      <c r="G1082" s="1">
        <v>2.9325240171835127</v>
      </c>
      <c r="H1082" s="1">
        <v>4.849080580271524</v>
      </c>
      <c r="I1082" s="1">
        <v>76.870095923227524</v>
      </c>
      <c r="J1082" s="1">
        <v>5.167979707505848E-2</v>
      </c>
      <c r="K1082" s="1">
        <v>3.4009717504414958</v>
      </c>
      <c r="L1082" s="1">
        <v>4.2302737144792308</v>
      </c>
      <c r="M1082" s="1">
        <v>0.24604372825039464</v>
      </c>
      <c r="N1082" s="1">
        <v>2.6284889014740025</v>
      </c>
      <c r="O1082" s="1">
        <v>0.20727619047619045</v>
      </c>
      <c r="P1082" s="1">
        <v>0.14949927751399933</v>
      </c>
      <c r="Q1082" s="1">
        <v>4.6866822192430622</v>
      </c>
      <c r="R1082" s="2">
        <f t="shared" si="67"/>
        <v>290.36126198355817</v>
      </c>
      <c r="S1082" s="2">
        <f t="shared" si="66"/>
        <v>3.6021508250305536</v>
      </c>
      <c r="T1082" s="2">
        <f t="shared" si="68"/>
        <v>7.3120825346798179</v>
      </c>
      <c r="U1082" s="2">
        <f t="shared" si="69"/>
        <v>301.27549534326852</v>
      </c>
    </row>
    <row r="1083" spans="1:21" x14ac:dyDescent="0.25">
      <c r="A1083">
        <v>2936745</v>
      </c>
      <c r="B1083">
        <v>1</v>
      </c>
      <c r="C1083" s="1">
        <f>11.8690958415366*(10.3/7.3)</f>
        <v>16.746806461346221</v>
      </c>
      <c r="D1083" s="1">
        <f>11.5429262004154*(10.3/7.3)</f>
        <v>16.286594501955999</v>
      </c>
      <c r="E1083" s="1">
        <f>41.6660233576565*(10.3/7.3)</f>
        <v>58.789046655323567</v>
      </c>
      <c r="F1083" s="1">
        <f>66.9033549806267*(38.9/42.5)</f>
        <v>61.236247264620637</v>
      </c>
      <c r="G1083" s="1">
        <v>1.4935455793140366</v>
      </c>
      <c r="H1083" s="1">
        <v>5.0117563167101222</v>
      </c>
      <c r="I1083" s="1">
        <v>53.293727466614158</v>
      </c>
      <c r="J1083" s="1">
        <v>3.0754740832318744E-2</v>
      </c>
      <c r="K1083" s="1">
        <v>2.3610939528035586</v>
      </c>
      <c r="L1083" s="1">
        <v>3.1665728846142205</v>
      </c>
      <c r="M1083" s="1">
        <v>0.11214986082504028</v>
      </c>
      <c r="N1083" s="1">
        <v>1.8655292079646202</v>
      </c>
      <c r="O1083" s="1">
        <v>0.10794666666666666</v>
      </c>
      <c r="P1083" s="1">
        <v>8.9677780439690644E-2</v>
      </c>
      <c r="Q1083" s="1">
        <v>2.386944989771294</v>
      </c>
      <c r="R1083" s="2">
        <f t="shared" si="67"/>
        <v>215.24466923565603</v>
      </c>
      <c r="S1083" s="2">
        <f t="shared" si="66"/>
        <v>2.4815264740755678</v>
      </c>
      <c r="T1083" s="2">
        <f t="shared" si="68"/>
        <v>5.2521986200705477</v>
      </c>
      <c r="U1083" s="2">
        <f t="shared" si="69"/>
        <v>222.97839432980214</v>
      </c>
    </row>
    <row r="1084" spans="1:21" x14ac:dyDescent="0.25">
      <c r="A1084">
        <v>2936753</v>
      </c>
      <c r="B1084">
        <v>63</v>
      </c>
      <c r="C1084" s="1">
        <f>17.9695986817895*(10.3/7.3)</f>
        <v>25.354365263346889</v>
      </c>
      <c r="D1084" s="1">
        <f>16.9165431737554*(10.3/7.3)</f>
        <v>23.86854721776443</v>
      </c>
      <c r="E1084" s="1">
        <f>61.2124342354305*(10.3/7.3)</f>
        <v>86.368229126703312</v>
      </c>
      <c r="F1084" s="1">
        <f>96.5898592586055*(38.9/42.5)</f>
        <v>88.40813000375887</v>
      </c>
      <c r="G1084" s="1">
        <v>2.0103665762792766</v>
      </c>
      <c r="H1084" s="1">
        <v>5.0683115948616884</v>
      </c>
      <c r="I1084" s="1">
        <v>78.05198522458565</v>
      </c>
      <c r="J1084" s="1">
        <v>4.1578143330373941E-2</v>
      </c>
      <c r="K1084" s="1">
        <v>3.0470021711001323</v>
      </c>
      <c r="L1084" s="1">
        <v>4.392153896667967</v>
      </c>
      <c r="M1084" s="1">
        <v>0.14591902678939109</v>
      </c>
      <c r="N1084" s="1">
        <v>1.9432863334965167</v>
      </c>
      <c r="O1084" s="1">
        <v>0.13402328042328046</v>
      </c>
      <c r="P1084" s="1">
        <v>0.10672112057001047</v>
      </c>
      <c r="Q1084" s="1">
        <v>3.2129146196244198</v>
      </c>
      <c r="R1084" s="2">
        <f t="shared" si="67"/>
        <v>312.34284962692453</v>
      </c>
      <c r="S1084" s="2">
        <f t="shared" si="66"/>
        <v>3.1953014350005167</v>
      </c>
      <c r="T1084" s="2">
        <f t="shared" si="68"/>
        <v>6.6153825373771546</v>
      </c>
      <c r="U1084" s="2">
        <f t="shared" si="69"/>
        <v>322.15353359930225</v>
      </c>
    </row>
    <row r="1085" spans="1:21" x14ac:dyDescent="0.25">
      <c r="A1085">
        <v>2936761</v>
      </c>
      <c r="B1085">
        <v>57</v>
      </c>
      <c r="C1085" s="1">
        <f>9.75367721733624*(10.3/7.3)</f>
        <v>13.762037717611408</v>
      </c>
      <c r="D1085" s="1">
        <f>9.61495211760735*(10.3/7.3)</f>
        <v>13.566302302925434</v>
      </c>
      <c r="E1085" s="1">
        <f>34.6948863067849*(10.3/7.3)</f>
        <v>48.953058761627986</v>
      </c>
      <c r="F1085" s="1">
        <f>54.9630608071181*(38.9/42.5)</f>
        <v>50.307366244632767</v>
      </c>
      <c r="G1085" s="1">
        <v>1.1905314892378156</v>
      </c>
      <c r="H1085" s="1">
        <v>3.0619247545443087</v>
      </c>
      <c r="I1085" s="1">
        <v>43.40861480158231</v>
      </c>
      <c r="J1085" s="1">
        <v>2.8734529190855725E-2</v>
      </c>
      <c r="K1085" s="1">
        <v>2.3042434645373637</v>
      </c>
      <c r="L1085" s="1">
        <v>2.93059192279597</v>
      </c>
      <c r="M1085" s="1">
        <v>0.10899740957616345</v>
      </c>
      <c r="N1085" s="1">
        <v>1.385457885685474</v>
      </c>
      <c r="O1085" s="1">
        <v>0.10335719298245617</v>
      </c>
      <c r="P1085" s="1">
        <v>8.6735289028325419E-2</v>
      </c>
      <c r="Q1085" s="1">
        <v>1.9026758960421728</v>
      </c>
      <c r="R1085" s="2">
        <f t="shared" si="67"/>
        <v>176.15251196820421</v>
      </c>
      <c r="S1085" s="2">
        <f t="shared" si="66"/>
        <v>2.4197132827565446</v>
      </c>
      <c r="T1085" s="2">
        <f t="shared" si="68"/>
        <v>4.5284044110400643</v>
      </c>
      <c r="U1085" s="2">
        <f t="shared" si="69"/>
        <v>183.10062966200081</v>
      </c>
    </row>
    <row r="1086" spans="1:21" x14ac:dyDescent="0.25">
      <c r="A1086">
        <v>2936769</v>
      </c>
      <c r="B1086">
        <v>27</v>
      </c>
      <c r="C1086" s="1">
        <f>13.457247542133*(10.3/7.3)</f>
        <v>18.987623244379449</v>
      </c>
      <c r="D1086" s="1">
        <f>13.245472033665*(10.3/7.3)</f>
        <v>18.688816705034171</v>
      </c>
      <c r="E1086" s="1">
        <f>47.820419772902*(10.3/7.3)</f>
        <v>67.472647076834406</v>
      </c>
      <c r="F1086" s="1">
        <f>74.710159091602*(38.9/42.5)</f>
        <v>68.381769145019263</v>
      </c>
      <c r="G1086" s="1">
        <v>1.5516438029452926</v>
      </c>
      <c r="H1086" s="1">
        <v>4.3674214160082707</v>
      </c>
      <c r="I1086" s="1">
        <v>58.936388655447928</v>
      </c>
      <c r="J1086" s="1">
        <v>3.5024975369027538E-2</v>
      </c>
      <c r="K1086" s="1">
        <v>2.7367323475360386</v>
      </c>
      <c r="L1086" s="1">
        <v>3.6792448143706449</v>
      </c>
      <c r="M1086" s="1">
        <v>0.1283548616249921</v>
      </c>
      <c r="N1086" s="1">
        <v>1.8580736422188853</v>
      </c>
      <c r="O1086" s="1">
        <v>0.12271012345679011</v>
      </c>
      <c r="P1086" s="1">
        <v>9.7269824206791256E-2</v>
      </c>
      <c r="Q1086" s="1">
        <v>2.4797960321043515</v>
      </c>
      <c r="R1086" s="2">
        <f t="shared" si="67"/>
        <v>240.86610607777314</v>
      </c>
      <c r="S1086" s="2">
        <f t="shared" si="66"/>
        <v>2.8690271471118574</v>
      </c>
      <c r="T1086" s="2">
        <f t="shared" si="68"/>
        <v>5.7883834416713125</v>
      </c>
      <c r="U1086" s="2">
        <f t="shared" si="69"/>
        <v>249.5235166665563</v>
      </c>
    </row>
    <row r="1087" spans="1:21" x14ac:dyDescent="0.25">
      <c r="A1087">
        <v>294577</v>
      </c>
      <c r="B1087">
        <v>11</v>
      </c>
      <c r="C1087" s="1">
        <f>0.99779339263339*(10.3/7.3)</f>
        <v>1.4078454717977971</v>
      </c>
      <c r="D1087" s="1">
        <f>1.56208480649454*(10.3/7.3)</f>
        <v>2.2040374666977725</v>
      </c>
      <c r="E1087" s="1">
        <f>5.37326290437265*(10.3/7.3)</f>
        <v>7.5814531390463413</v>
      </c>
      <c r="F1087" s="1">
        <f>15.7922872178976*(38.9/42.5)</f>
        <v>14.454587594734544</v>
      </c>
      <c r="G1087" s="1">
        <v>0.83746627709472676</v>
      </c>
      <c r="H1087" s="1">
        <v>3.1998347894617982</v>
      </c>
      <c r="I1087" s="1">
        <v>11.95526312957193</v>
      </c>
      <c r="J1087" s="1">
        <v>1.7080052360192267E-2</v>
      </c>
      <c r="K1087" s="1">
        <v>2.2210885990336573</v>
      </c>
      <c r="L1087" s="1">
        <v>1.1705720853688932</v>
      </c>
      <c r="M1087" s="1">
        <v>6.0621131070963119E-2</v>
      </c>
      <c r="N1087" s="1">
        <v>0.61917358044000215</v>
      </c>
      <c r="O1087" s="1">
        <v>6.5590303030303013E-2</v>
      </c>
      <c r="P1087" s="1">
        <v>5.6753129084728134E-2</v>
      </c>
      <c r="Q1087" s="1">
        <v>1.3384164245806149</v>
      </c>
      <c r="R1087" s="2">
        <f t="shared" si="67"/>
        <v>42.978904292985526</v>
      </c>
      <c r="S1087" s="2">
        <f t="shared" si="66"/>
        <v>2.2949217804785778</v>
      </c>
      <c r="T1087" s="2">
        <f t="shared" si="68"/>
        <v>1.9159570999101618</v>
      </c>
      <c r="U1087" s="2">
        <f t="shared" si="69"/>
        <v>47.189783173374259</v>
      </c>
    </row>
    <row r="1088" spans="1:21" x14ac:dyDescent="0.25">
      <c r="A1088">
        <v>294609</v>
      </c>
      <c r="B1088">
        <v>24</v>
      </c>
      <c r="C1088" s="1">
        <f>1.37724328131052*(10.3/7.3)</f>
        <v>1.9432336708901872</v>
      </c>
      <c r="D1088" s="1">
        <f>1.9273153461247*(10.3/7.3)</f>
        <v>2.7193627486417014</v>
      </c>
      <c r="E1088" s="1">
        <f>6.75095155546924*(10.3/7.3)</f>
        <v>9.5253152084018033</v>
      </c>
      <c r="F1088" s="1">
        <f>15.0725082206951*(38.9/42.5)</f>
        <v>13.795778112589144</v>
      </c>
      <c r="G1088" s="1">
        <v>0.64052397428950936</v>
      </c>
      <c r="H1088" s="1">
        <v>1.399199282231655</v>
      </c>
      <c r="I1088" s="1">
        <v>11.089792391210247</v>
      </c>
      <c r="J1088" s="1">
        <v>2.2146341209861975E-2</v>
      </c>
      <c r="K1088" s="1">
        <v>2.5996877826557543</v>
      </c>
      <c r="L1088" s="1">
        <v>1.4475086329199804</v>
      </c>
      <c r="M1088" s="1">
        <v>7.3831273108797141E-2</v>
      </c>
      <c r="N1088" s="1">
        <v>0.74314875478982689</v>
      </c>
      <c r="O1088" s="1">
        <v>7.7420000000000003E-2</v>
      </c>
      <c r="P1088" s="1">
        <v>6.635818798987414E-2</v>
      </c>
      <c r="Q1088" s="1">
        <v>1.023668452060861</v>
      </c>
      <c r="R1088" s="2">
        <f t="shared" si="67"/>
        <v>42.136873840315104</v>
      </c>
      <c r="S1088" s="2">
        <f t="shared" si="66"/>
        <v>2.6881923118554902</v>
      </c>
      <c r="T1088" s="2">
        <f t="shared" si="68"/>
        <v>2.3419086608186044</v>
      </c>
      <c r="U1088" s="2">
        <f t="shared" si="69"/>
        <v>47.166974812989196</v>
      </c>
    </row>
    <row r="1089" spans="1:21" x14ac:dyDescent="0.25">
      <c r="A1089">
        <v>294617</v>
      </c>
      <c r="B1089">
        <v>18</v>
      </c>
      <c r="C1089" s="1">
        <f>1.10160875553859*(10.3/7.3)</f>
        <v>1.5543246824722625</v>
      </c>
      <c r="D1089" s="1">
        <f>1.49013493462806*(10.3/7.3)</f>
        <v>2.1025191543382218</v>
      </c>
      <c r="E1089" s="1">
        <f>5.2358188136555*(10.3/7.3)</f>
        <v>7.3875251754317297</v>
      </c>
      <c r="F1089" s="1">
        <f>11.237765211331*(38.9/42.5)</f>
        <v>10.285860393430028</v>
      </c>
      <c r="G1089" s="1">
        <v>0.45609887271229582</v>
      </c>
      <c r="H1089" s="1">
        <v>1.4450414753802936</v>
      </c>
      <c r="I1089" s="1">
        <v>8.2798816980257453</v>
      </c>
      <c r="J1089" s="1">
        <v>1.9083101697463415E-2</v>
      </c>
      <c r="K1089" s="1">
        <v>2.1705449774524248</v>
      </c>
      <c r="L1089" s="1">
        <v>1.2168527510482141</v>
      </c>
      <c r="M1089" s="1">
        <v>6.1819900083816805E-2</v>
      </c>
      <c r="N1089" s="1">
        <v>0.69353892855090182</v>
      </c>
      <c r="O1089" s="1">
        <v>6.641777777777777E-2</v>
      </c>
      <c r="P1089" s="1">
        <v>5.8035562616720188E-2</v>
      </c>
      <c r="Q1089" s="1">
        <v>0.72892513903791645</v>
      </c>
      <c r="R1089" s="2">
        <f t="shared" si="67"/>
        <v>32.240176590828497</v>
      </c>
      <c r="S1089" s="2">
        <f t="shared" si="66"/>
        <v>2.2476636417666085</v>
      </c>
      <c r="T1089" s="2">
        <f t="shared" si="68"/>
        <v>2.0386293574607106</v>
      </c>
      <c r="U1089" s="2">
        <f t="shared" si="69"/>
        <v>36.526469590055818</v>
      </c>
    </row>
    <row r="1090" spans="1:21" x14ac:dyDescent="0.25">
      <c r="A1090">
        <v>2948029</v>
      </c>
      <c r="B1090">
        <v>1</v>
      </c>
      <c r="C1090" s="1">
        <f>0.461221912231525*(10.3/7.3)</f>
        <v>0.65076516383352101</v>
      </c>
      <c r="D1090" s="1">
        <f>0.646804332862367*(10.3/7.3)</f>
        <v>0.91261433266881953</v>
      </c>
      <c r="E1090" s="1">
        <f>2.2676542077489*(10.3/7.3)</f>
        <v>3.1995668958648804</v>
      </c>
      <c r="F1090" s="1">
        <f>4.94936830521198*(38.9/42.5)</f>
        <v>4.530127695829318</v>
      </c>
      <c r="G1090" s="1">
        <v>0.20568440197880811</v>
      </c>
      <c r="H1090" s="1">
        <v>1.2573058909816346</v>
      </c>
      <c r="I1090" s="1">
        <v>3.6212337277392241</v>
      </c>
      <c r="J1090" s="1">
        <v>1.2305290895933272E-2</v>
      </c>
      <c r="K1090" s="1">
        <v>1.3846476324524248</v>
      </c>
      <c r="L1090" s="1">
        <v>1.3389443105535461</v>
      </c>
      <c r="M1090" s="1">
        <v>6.0508533835813505E-2</v>
      </c>
      <c r="N1090" s="1">
        <v>0.43245221428811143</v>
      </c>
      <c r="O1090" s="1">
        <v>0.12202666666666667</v>
      </c>
      <c r="P1090" s="1">
        <v>8.2226293369339537E-2</v>
      </c>
      <c r="Q1090" s="1">
        <v>0.32871936389307266</v>
      </c>
      <c r="R1090" s="2">
        <f t="shared" si="67"/>
        <v>14.706017472789277</v>
      </c>
      <c r="S1090" s="2">
        <f t="shared" si="66"/>
        <v>1.4791792167176978</v>
      </c>
      <c r="T1090" s="2">
        <f t="shared" si="68"/>
        <v>1.9539317253441379</v>
      </c>
      <c r="U1090" s="2">
        <f t="shared" si="69"/>
        <v>18.139128414851111</v>
      </c>
    </row>
    <row r="1091" spans="1:21" x14ac:dyDescent="0.25">
      <c r="A1091">
        <v>2948037</v>
      </c>
      <c r="B1091">
        <v>60</v>
      </c>
      <c r="C1091" s="1">
        <f>0.787957276811141*(10.3/7.3)</f>
        <v>1.1117753357746238</v>
      </c>
      <c r="D1091" s="1">
        <f>1.22587087931547*(10.3/7.3)</f>
        <v>1.7296534324588193</v>
      </c>
      <c r="E1091" s="1">
        <f>4.27856231460272*(10.3/7.3)</f>
        <v>6.0368755945764416</v>
      </c>
      <c r="F1091" s="1">
        <f>9.44677780203022*(38.9/42.5)</f>
        <v>8.6465801529170729</v>
      </c>
      <c r="G1091" s="1">
        <v>0.4034826257909796</v>
      </c>
      <c r="H1091" s="1">
        <v>2.7593379927232671</v>
      </c>
      <c r="I1091" s="1">
        <v>6.7334935905247999</v>
      </c>
      <c r="J1091" s="1">
        <v>1.8723136578726058E-2</v>
      </c>
      <c r="K1091" s="1">
        <v>1.9091657912214612</v>
      </c>
      <c r="L1091" s="1">
        <v>2.1576025574907467</v>
      </c>
      <c r="M1091" s="1">
        <v>8.7080735434185749E-2</v>
      </c>
      <c r="N1091" s="1">
        <v>0.60450311014951341</v>
      </c>
      <c r="O1091" s="1">
        <v>0.20872177777777773</v>
      </c>
      <c r="P1091" s="1">
        <v>0.11134899660577177</v>
      </c>
      <c r="Q1091" s="1">
        <v>0.64483524669791303</v>
      </c>
      <c r="R1091" s="2">
        <f t="shared" si="67"/>
        <v>28.06603397146392</v>
      </c>
      <c r="S1091" s="2">
        <f t="shared" si="66"/>
        <v>2.0392379244059593</v>
      </c>
      <c r="T1091" s="2">
        <f t="shared" si="68"/>
        <v>3.0579081808522237</v>
      </c>
      <c r="U1091" s="2">
        <f t="shared" si="69"/>
        <v>33.163180076722107</v>
      </c>
    </row>
    <row r="1092" spans="1:21" x14ac:dyDescent="0.25">
      <c r="A1092">
        <v>2948045</v>
      </c>
      <c r="B1092">
        <v>20</v>
      </c>
      <c r="C1092" s="1">
        <f>0.822910701952982*(10.3/7.3)</f>
        <v>1.1610931822076318</v>
      </c>
      <c r="D1092" s="1">
        <f>1.44762897630555*(10.3/7.3)</f>
        <v>2.0425449939653655</v>
      </c>
      <c r="E1092" s="1">
        <f>5.03157648498736*(10.3/7.3)</f>
        <v>7.0993476432013409</v>
      </c>
      <c r="F1092" s="1">
        <f>11.0895266206805*(38.9/42.5)</f>
        <v>10.150178483399349</v>
      </c>
      <c r="G1092" s="1">
        <v>0.48070815960644497</v>
      </c>
      <c r="H1092" s="1">
        <v>3.8370167596860854</v>
      </c>
      <c r="I1092" s="1">
        <v>7.655124194117799</v>
      </c>
      <c r="J1092" s="1">
        <v>2.0579113902133368E-2</v>
      </c>
      <c r="K1092" s="1">
        <v>2.0677465553898644</v>
      </c>
      <c r="L1092" s="1">
        <v>2.4360412870040542</v>
      </c>
      <c r="M1092" s="1">
        <v>9.2847089139550171E-2</v>
      </c>
      <c r="N1092" s="1">
        <v>0.66441125992413574</v>
      </c>
      <c r="O1092" s="1">
        <v>0.24179733333333334</v>
      </c>
      <c r="P1092" s="1">
        <v>0.11950394593407662</v>
      </c>
      <c r="Q1092" s="1">
        <v>0.7682550495993421</v>
      </c>
      <c r="R1092" s="2">
        <f t="shared" si="67"/>
        <v>33.194268465783352</v>
      </c>
      <c r="S1092" s="2">
        <f t="shared" si="66"/>
        <v>2.2078296152260743</v>
      </c>
      <c r="T1092" s="2">
        <f t="shared" si="68"/>
        <v>3.4350969694010738</v>
      </c>
      <c r="U1092" s="2">
        <f t="shared" si="69"/>
        <v>38.8371950504105</v>
      </c>
    </row>
    <row r="1093" spans="1:21" x14ac:dyDescent="0.25">
      <c r="A1093">
        <v>2948053</v>
      </c>
      <c r="B1093">
        <v>3</v>
      </c>
      <c r="C1093" s="1">
        <f>0.504768483104276*(10.3/7.3)</f>
        <v>0.71220758574986942</v>
      </c>
      <c r="D1093" s="1">
        <f>0.965227089436679*(10.3/7.3)</f>
        <v>1.3618957563284648</v>
      </c>
      <c r="E1093" s="1">
        <f>3.33957730604178*(10.3/7.3)</f>
        <v>4.7120063359219673</v>
      </c>
      <c r="F1093" s="1">
        <f>7.69363632118217*(38.9/42.5)</f>
        <v>7.041940068093794</v>
      </c>
      <c r="G1093" s="1">
        <v>0.35031798250433405</v>
      </c>
      <c r="H1093" s="1">
        <v>4.5985887383218218</v>
      </c>
      <c r="I1093" s="1">
        <v>5.2778792945535757</v>
      </c>
      <c r="J1093" s="1">
        <v>1.3677260110767211E-2</v>
      </c>
      <c r="K1093" s="1">
        <v>1.5851970429745978</v>
      </c>
      <c r="L1093" s="1">
        <v>1.6577624084992337</v>
      </c>
      <c r="M1093" s="1">
        <v>6.8047955522009276E-2</v>
      </c>
      <c r="N1093" s="1">
        <v>0.54623403735597853</v>
      </c>
      <c r="O1093" s="1">
        <v>0.15319111111111108</v>
      </c>
      <c r="P1093" s="1">
        <v>9.4828356127853231E-2</v>
      </c>
      <c r="Q1093" s="1">
        <v>0.55986892181058012</v>
      </c>
      <c r="R1093" s="2">
        <f t="shared" si="67"/>
        <v>24.614704683284405</v>
      </c>
      <c r="S1093" s="2">
        <f t="shared" si="66"/>
        <v>1.6937026592132183</v>
      </c>
      <c r="T1093" s="2">
        <f t="shared" si="68"/>
        <v>2.4252355124883325</v>
      </c>
      <c r="U1093" s="2">
        <f t="shared" si="69"/>
        <v>28.733642854985955</v>
      </c>
    </row>
    <row r="1094" spans="1:21" x14ac:dyDescent="0.25">
      <c r="A1094">
        <v>2948069</v>
      </c>
      <c r="B1094">
        <v>13</v>
      </c>
      <c r="C1094" s="1">
        <f>0.381701421119732*(10.3/7.3)</f>
        <v>0.53856501884017016</v>
      </c>
      <c r="D1094" s="1">
        <f>0.648441234911731*(10.3/7.3)</f>
        <v>0.91492393419052398</v>
      </c>
      <c r="E1094" s="1">
        <f>2.2488407278246*(10.3/7.3)</f>
        <v>3.1730218488484141</v>
      </c>
      <c r="F1094" s="1">
        <f>5.34002422700378*(38.9/42.5)</f>
        <v>4.8876927630693396</v>
      </c>
      <c r="G1094" s="1">
        <v>0.24615110166590318</v>
      </c>
      <c r="H1094" s="1">
        <v>3.0324794871576608</v>
      </c>
      <c r="I1094" s="1">
        <v>3.7941447988911343</v>
      </c>
      <c r="J1094" s="1">
        <v>1.3035774742752866E-2</v>
      </c>
      <c r="K1094" s="1">
        <v>1.4581240721149871</v>
      </c>
      <c r="L1094" s="1">
        <v>1.4889175196100028</v>
      </c>
      <c r="M1094" s="1">
        <v>6.3180659153962496E-2</v>
      </c>
      <c r="N1094" s="1">
        <v>0.66525598442555045</v>
      </c>
      <c r="O1094" s="1">
        <v>0.12906666666666669</v>
      </c>
      <c r="P1094" s="1">
        <v>8.5144680943971568E-2</v>
      </c>
      <c r="Q1094" s="1">
        <v>0.39339217161217432</v>
      </c>
      <c r="R1094" s="2">
        <f t="shared" si="67"/>
        <v>16.980371124275322</v>
      </c>
      <c r="S1094" s="2">
        <f t="shared" si="66"/>
        <v>1.5563045278017116</v>
      </c>
      <c r="T1094" s="2">
        <f t="shared" si="68"/>
        <v>2.3464208298561826</v>
      </c>
      <c r="U1094" s="2">
        <f t="shared" si="69"/>
        <v>20.883096481933215</v>
      </c>
    </row>
    <row r="1095" spans="1:21" x14ac:dyDescent="0.25">
      <c r="A1095">
        <v>2948981</v>
      </c>
      <c r="B1095">
        <v>52</v>
      </c>
      <c r="C1095" s="1">
        <f>16.1747834618008*(10.3/7.3)</f>
        <v>22.821954747472422</v>
      </c>
      <c r="D1095" s="1">
        <f>15.6240786254973*(10.3/7.3)</f>
        <v>22.044932855153771</v>
      </c>
      <c r="E1095" s="1">
        <f>56.4349277488275*(10.3/7.3)</f>
        <v>79.627363809989561</v>
      </c>
      <c r="F1095" s="1">
        <f>89.8471297624335*(38.9/42.5)</f>
        <v>82.236549359027379</v>
      </c>
      <c r="G1095" s="1">
        <v>1.9504363253732584</v>
      </c>
      <c r="H1095" s="1">
        <v>5.3485692863343548</v>
      </c>
      <c r="I1095" s="1">
        <v>71.73520006181883</v>
      </c>
      <c r="J1095" s="1">
        <v>4.0645975190683775E-2</v>
      </c>
      <c r="K1095" s="1">
        <v>2.9345026432480639</v>
      </c>
      <c r="L1095" s="1">
        <v>4.2591904518534518</v>
      </c>
      <c r="M1095" s="1">
        <v>0.14144891572652654</v>
      </c>
      <c r="N1095" s="1">
        <v>1.9271100647552937</v>
      </c>
      <c r="O1095" s="1">
        <v>0.13104717948717948</v>
      </c>
      <c r="P1095" s="1">
        <v>0.10393102634203652</v>
      </c>
      <c r="Q1095" s="1">
        <v>3.1171356798202803</v>
      </c>
      <c r="R1095" s="2">
        <f t="shared" si="67"/>
        <v>288.88214212498991</v>
      </c>
      <c r="S1095" s="2">
        <f t="shared" si="66"/>
        <v>3.079079644780784</v>
      </c>
      <c r="T1095" s="2">
        <f t="shared" si="68"/>
        <v>6.4587966118224509</v>
      </c>
      <c r="U1095" s="2">
        <f t="shared" si="69"/>
        <v>298.42001838159314</v>
      </c>
    </row>
    <row r="1096" spans="1:21" x14ac:dyDescent="0.25">
      <c r="A1096">
        <v>2948989</v>
      </c>
      <c r="B1096">
        <v>68</v>
      </c>
      <c r="C1096" s="1">
        <f>8.91095916377822*(10.3/7.3)</f>
        <v>12.572997176289823</v>
      </c>
      <c r="D1096" s="1">
        <f>8.74361202885426*(10.3/7.3)</f>
        <v>12.336877246191628</v>
      </c>
      <c r="E1096" s="1">
        <f>31.5467664977993*(10.3/7.3)</f>
        <v>44.511191085935948</v>
      </c>
      <c r="F1096" s="1">
        <f>50.5881095437952*(38.9/42.5)</f>
        <v>46.30299908832081</v>
      </c>
      <c r="G1096" s="1">
        <v>1.1309328588596357</v>
      </c>
      <c r="H1096" s="1">
        <v>2.8770324625421129</v>
      </c>
      <c r="I1096" s="1">
        <v>40.112373947104096</v>
      </c>
      <c r="J1096" s="1">
        <v>2.6281780071658052E-2</v>
      </c>
      <c r="K1096" s="1">
        <v>2.1247607168516813</v>
      </c>
      <c r="L1096" s="1">
        <v>2.63494651079839</v>
      </c>
      <c r="M1096" s="1">
        <v>0.10141363834684662</v>
      </c>
      <c r="N1096" s="1">
        <v>1.2699620656719341</v>
      </c>
      <c r="O1096" s="1">
        <v>9.6196862745098033E-2</v>
      </c>
      <c r="P1096" s="1">
        <v>8.1791284269660092E-2</v>
      </c>
      <c r="Q1096" s="1">
        <v>1.8074269433829815</v>
      </c>
      <c r="R1096" s="2">
        <f t="shared" si="67"/>
        <v>161.65183080862704</v>
      </c>
      <c r="S1096" s="2">
        <f t="shared" si="66"/>
        <v>2.2328337811929995</v>
      </c>
      <c r="T1096" s="2">
        <f t="shared" si="68"/>
        <v>4.1025190775622695</v>
      </c>
      <c r="U1096" s="2">
        <f t="shared" si="69"/>
        <v>167.98718366738231</v>
      </c>
    </row>
    <row r="1097" spans="1:21" x14ac:dyDescent="0.25">
      <c r="A1097">
        <v>2948997</v>
      </c>
      <c r="B1097">
        <v>63</v>
      </c>
      <c r="C1097" s="1">
        <f>15.0974722085765*(10.3/7.3)</f>
        <v>21.30191284223811</v>
      </c>
      <c r="D1097" s="1">
        <f>14.787066328707*(10.3/7.3)</f>
        <v>20.863942902148295</v>
      </c>
      <c r="E1097" s="1">
        <f>53.3877476539709*(10.3/7.3)</f>
        <v>75.32791792272613</v>
      </c>
      <c r="F1097" s="1">
        <f>84.0686757124906*(38.9/42.5)</f>
        <v>76.947564358020841</v>
      </c>
      <c r="G1097" s="1">
        <v>1.7824244348641722</v>
      </c>
      <c r="H1097" s="1">
        <v>4.7655886315041665</v>
      </c>
      <c r="I1097" s="1">
        <v>66.557227051584974</v>
      </c>
      <c r="J1097" s="1">
        <v>3.9377065571867646E-2</v>
      </c>
      <c r="K1097" s="1">
        <v>2.9874738962689995</v>
      </c>
      <c r="L1097" s="1">
        <v>4.1593887293923508</v>
      </c>
      <c r="M1097" s="1">
        <v>0.14164132679679015</v>
      </c>
      <c r="N1097" s="1">
        <v>1.8083901898285131</v>
      </c>
      <c r="O1097" s="1">
        <v>0.13245968253968257</v>
      </c>
      <c r="P1097" s="1">
        <v>0.10377362475782245</v>
      </c>
      <c r="Q1097" s="1">
        <v>2.8486235260386343</v>
      </c>
      <c r="R1097" s="2">
        <f t="shared" si="67"/>
        <v>270.3952016691253</v>
      </c>
      <c r="S1097" s="2">
        <f t="shared" ref="S1097:S1160" si="70">J1097+K1097+P1097</f>
        <v>3.1306245865986893</v>
      </c>
      <c r="T1097" s="2">
        <f t="shared" si="68"/>
        <v>6.2418799285573368</v>
      </c>
      <c r="U1097" s="2">
        <f t="shared" si="69"/>
        <v>279.76770618428134</v>
      </c>
    </row>
    <row r="1098" spans="1:21" x14ac:dyDescent="0.25">
      <c r="A1098">
        <v>2960265</v>
      </c>
      <c r="B1098">
        <v>3</v>
      </c>
      <c r="C1098" s="1">
        <f>0.302781431501213*(10.3/7.3)</f>
        <v>0.42721215677568447</v>
      </c>
      <c r="D1098" s="1">
        <f>0.434652823050292*(10.3/7.3)</f>
        <v>0.6132772708791786</v>
      </c>
      <c r="E1098" s="1">
        <f>1.52270563927548*(10.3/7.3)</f>
        <v>2.148475080073621</v>
      </c>
      <c r="F1098" s="1">
        <f>3.31010939928797*(38.9/42.5)</f>
        <v>3.0297236619365182</v>
      </c>
      <c r="G1098" s="1">
        <v>0.13751634943636185</v>
      </c>
      <c r="H1098" s="1">
        <v>0.85298390573498006</v>
      </c>
      <c r="I1098" s="1">
        <v>2.4033935298696356</v>
      </c>
      <c r="J1098" s="1">
        <v>1.0033762484569038E-2</v>
      </c>
      <c r="K1098" s="1">
        <v>1.1984598434715688</v>
      </c>
      <c r="L1098" s="1">
        <v>1.182401396385399</v>
      </c>
      <c r="M1098" s="1">
        <v>5.2707373726145784E-2</v>
      </c>
      <c r="N1098" s="1">
        <v>0.37463380967891347</v>
      </c>
      <c r="O1098" s="1">
        <v>0.10871111111111111</v>
      </c>
      <c r="P1098" s="1">
        <v>6.9888017104013989E-2</v>
      </c>
      <c r="Q1098" s="1">
        <v>0.21977498768368353</v>
      </c>
      <c r="R1098" s="2">
        <f t="shared" ref="R1098:R1161" si="71">C1098+D1098+E1098+F1098+G1098+H1098+I1098+Q1098</f>
        <v>9.832356942389664</v>
      </c>
      <c r="S1098" s="2">
        <f t="shared" si="70"/>
        <v>1.2783816230601517</v>
      </c>
      <c r="T1098" s="2">
        <f t="shared" ref="T1098:T1161" si="72">L1098+M1098+N1098+O1098</f>
        <v>1.7184536909015695</v>
      </c>
      <c r="U1098" s="2">
        <f t="shared" ref="U1098:U1161" si="73">R1098+S1098+T1098</f>
        <v>12.829192256351385</v>
      </c>
    </row>
    <row r="1099" spans="1:21" x14ac:dyDescent="0.25">
      <c r="A1099">
        <v>2960273</v>
      </c>
      <c r="B1099">
        <v>56</v>
      </c>
      <c r="C1099" s="1">
        <f>0.677870606814137*(10.3/7.3)</f>
        <v>0.95644756851857715</v>
      </c>
      <c r="D1099" s="1">
        <f>1.08904953836269*(10.3/7.3)</f>
        <v>1.5366041431692681</v>
      </c>
      <c r="E1099" s="1">
        <f>3.79823982943785*(10.3/7.3)</f>
        <v>5.3591603072890184</v>
      </c>
      <c r="F1099" s="1">
        <f>8.30461495070703*(38.9/42.5)</f>
        <v>7.6011652137059622</v>
      </c>
      <c r="G1099" s="1">
        <v>0.35294479257878958</v>
      </c>
      <c r="H1099" s="1">
        <v>2.0163813489128821</v>
      </c>
      <c r="I1099" s="1">
        <v>5.8539971353370026</v>
      </c>
      <c r="J1099" s="1">
        <v>1.7712496369551432E-2</v>
      </c>
      <c r="K1099" s="1">
        <v>1.7910914513753737</v>
      </c>
      <c r="L1099" s="1">
        <v>1.9837474585642891</v>
      </c>
      <c r="M1099" s="1">
        <v>8.0602241271187022E-2</v>
      </c>
      <c r="N1099" s="1">
        <v>0.56937213782986584</v>
      </c>
      <c r="O1099" s="1">
        <v>0.18963714285714287</v>
      </c>
      <c r="P1099" s="1">
        <v>0.1049597236590063</v>
      </c>
      <c r="Q1099" s="1">
        <v>0.56406702010308896</v>
      </c>
      <c r="R1099" s="2">
        <f t="shared" si="71"/>
        <v>24.24076752961459</v>
      </c>
      <c r="S1099" s="2">
        <f t="shared" si="70"/>
        <v>1.9137636714039314</v>
      </c>
      <c r="T1099" s="2">
        <f t="shared" si="72"/>
        <v>2.8233589805224848</v>
      </c>
      <c r="U1099" s="2">
        <f t="shared" si="73"/>
        <v>28.977890181541007</v>
      </c>
    </row>
    <row r="1100" spans="1:21" x14ac:dyDescent="0.25">
      <c r="A1100">
        <v>2960281</v>
      </c>
      <c r="B1100">
        <v>44</v>
      </c>
      <c r="C1100" s="1">
        <f>0.873888432384036*(10.3/7.3)</f>
        <v>1.2330206648706257</v>
      </c>
      <c r="D1100" s="1">
        <f>1.57175452908612*(10.3/7.3)</f>
        <v>2.2176810478886337</v>
      </c>
      <c r="E1100" s="1">
        <f>5.45860607340132*(10.3/7.3)</f>
        <v>7.7018688432922771</v>
      </c>
      <c r="F1100" s="1">
        <f>12.0565155928377*(38.9/42.5)</f>
        <v>11.035257801444407</v>
      </c>
      <c r="G1100" s="1">
        <v>0.52511851111256302</v>
      </c>
      <c r="H1100" s="1">
        <v>4.1166133368733995</v>
      </c>
      <c r="I1100" s="1">
        <v>8.2829741578988667</v>
      </c>
      <c r="J1100" s="1">
        <v>2.0196492646971109E-2</v>
      </c>
      <c r="K1100" s="1">
        <v>2.1981783009982867</v>
      </c>
      <c r="L1100" s="1">
        <v>2.6101050355336954</v>
      </c>
      <c r="M1100" s="1">
        <v>9.7931284249514597E-2</v>
      </c>
      <c r="N1100" s="1">
        <v>0.70689126979163541</v>
      </c>
      <c r="O1100" s="1">
        <v>0.26060363636363632</v>
      </c>
      <c r="P1100" s="1">
        <v>0.12762312628651534</v>
      </c>
      <c r="Q1100" s="1">
        <v>0.83923049721185972</v>
      </c>
      <c r="R1100" s="2">
        <f t="shared" si="71"/>
        <v>35.951764860592633</v>
      </c>
      <c r="S1100" s="2">
        <f t="shared" si="70"/>
        <v>2.3459979199317731</v>
      </c>
      <c r="T1100" s="2">
        <f t="shared" si="72"/>
        <v>3.6755312259384816</v>
      </c>
      <c r="U1100" s="2">
        <f t="shared" si="73"/>
        <v>41.973294006462893</v>
      </c>
    </row>
    <row r="1101" spans="1:21" x14ac:dyDescent="0.25">
      <c r="A1101">
        <v>2960289</v>
      </c>
      <c r="B1101">
        <v>28</v>
      </c>
      <c r="C1101" s="1">
        <f>0.478888998802939*(10.3/7.3)</f>
        <v>0.67569269694113354</v>
      </c>
      <c r="D1101" s="1">
        <f>0.870773630915098*(10.3/7.3)</f>
        <v>1.2286258080034942</v>
      </c>
      <c r="E1101" s="1">
        <f>3.0181345079439*(10.3/7.3)</f>
        <v>4.2584637577838613</v>
      </c>
      <c r="F1101" s="1">
        <f>6.91780906563522*(38.9/42.5)</f>
        <v>6.3318299447814086</v>
      </c>
      <c r="G1101" s="1">
        <v>0.31189489772451606</v>
      </c>
      <c r="H1101" s="1">
        <v>3.0651899713521393</v>
      </c>
      <c r="I1101" s="1">
        <v>4.7924284508228743</v>
      </c>
      <c r="J1101" s="1">
        <v>1.3169692118475186E-2</v>
      </c>
      <c r="K1101" s="1">
        <v>1.5640893296341289</v>
      </c>
      <c r="L1101" s="1">
        <v>1.5809467611570212</v>
      </c>
      <c r="M1101" s="1">
        <v>6.7481107696304429E-2</v>
      </c>
      <c r="N1101" s="1">
        <v>0.51632449414127057</v>
      </c>
      <c r="O1101" s="1">
        <v>0.14158857142857142</v>
      </c>
      <c r="P1101" s="1">
        <v>9.3221156874444919E-2</v>
      </c>
      <c r="Q1101" s="1">
        <v>0.49846216531315407</v>
      </c>
      <c r="R1101" s="2">
        <f t="shared" si="71"/>
        <v>21.162587692722582</v>
      </c>
      <c r="S1101" s="2">
        <f t="shared" si="70"/>
        <v>1.6704801786270491</v>
      </c>
      <c r="T1101" s="2">
        <f t="shared" si="72"/>
        <v>2.3063409344231678</v>
      </c>
      <c r="U1101" s="2">
        <f t="shared" si="73"/>
        <v>25.139408805772799</v>
      </c>
    </row>
    <row r="1102" spans="1:21" x14ac:dyDescent="0.25">
      <c r="A1102">
        <v>2960305</v>
      </c>
      <c r="B1102">
        <v>9</v>
      </c>
      <c r="C1102" s="1">
        <f>0.362494224264022*(10.3/7.3)</f>
        <v>0.51146445341362046</v>
      </c>
      <c r="D1102" s="1">
        <f>0.590836441126398*(10.3/7.3)</f>
        <v>0.83364593747971272</v>
      </c>
      <c r="E1102" s="1">
        <f>2.05444839353903*(10.3/7.3)</f>
        <v>2.8987422538975309</v>
      </c>
      <c r="F1102" s="1">
        <f>4.75254983817914*(38.9/42.5)</f>
        <v>4.3499809107098475</v>
      </c>
      <c r="G1102" s="1">
        <v>0.21320696951191118</v>
      </c>
      <c r="H1102" s="1">
        <v>2.4952410526783972</v>
      </c>
      <c r="I1102" s="1">
        <v>3.3873665001854012</v>
      </c>
      <c r="J1102" s="1">
        <v>1.1979035673711592E-2</v>
      </c>
      <c r="K1102" s="1">
        <v>1.405585904396301</v>
      </c>
      <c r="L1102" s="1">
        <v>1.4341241779956497</v>
      </c>
      <c r="M1102" s="1">
        <v>6.1251120111279457E-2</v>
      </c>
      <c r="N1102" s="1">
        <v>0.76927720771286401</v>
      </c>
      <c r="O1102" s="1">
        <v>0.12701037037037036</v>
      </c>
      <c r="P1102" s="1">
        <v>8.1527354793017467E-2</v>
      </c>
      <c r="Q1102" s="1">
        <v>0.34074173209666214</v>
      </c>
      <c r="R1102" s="2">
        <f t="shared" si="71"/>
        <v>15.030389809973082</v>
      </c>
      <c r="S1102" s="2">
        <f t="shared" si="70"/>
        <v>1.4990922948630301</v>
      </c>
      <c r="T1102" s="2">
        <f t="shared" si="72"/>
        <v>2.3916628761901633</v>
      </c>
      <c r="U1102" s="2">
        <f t="shared" si="73"/>
        <v>18.921144981026277</v>
      </c>
    </row>
    <row r="1103" spans="1:21" x14ac:dyDescent="0.25">
      <c r="A1103">
        <v>2960881</v>
      </c>
      <c r="B1103">
        <v>2</v>
      </c>
      <c r="C1103" s="1">
        <f>8.11519556279561*(10.3/7.3)</f>
        <v>11.450207437917088</v>
      </c>
      <c r="D1103" s="1">
        <f>8.95498989185825*(10.3/7.3)</f>
        <v>12.635122724128763</v>
      </c>
      <c r="E1103" s="1">
        <f>32.0289124793773*(10.3/7.3)</f>
        <v>45.191479251724196</v>
      </c>
      <c r="F1103" s="1">
        <f>55.2318045054673*(38.9/42.5)</f>
        <v>50.553345770886558</v>
      </c>
      <c r="G1103" s="1">
        <v>1.5455836257197342</v>
      </c>
      <c r="H1103" s="1">
        <v>9.0376208914936882</v>
      </c>
      <c r="I1103" s="1">
        <v>41.944543833740653</v>
      </c>
      <c r="J1103" s="1">
        <v>3.8481614874213393E-2</v>
      </c>
      <c r="K1103" s="1">
        <v>2.6615963911547595</v>
      </c>
      <c r="L1103" s="1">
        <v>2.8813323057801732</v>
      </c>
      <c r="M1103" s="1">
        <v>0.13999175130315805</v>
      </c>
      <c r="N1103" s="1">
        <v>2.7194556715279892</v>
      </c>
      <c r="O1103" s="1">
        <v>0.15146666666666667</v>
      </c>
      <c r="P1103" s="1">
        <v>0.12453802907831499</v>
      </c>
      <c r="Q1103" s="1">
        <v>2.4701108173603084</v>
      </c>
      <c r="R1103" s="2">
        <f t="shared" si="71"/>
        <v>174.828014352971</v>
      </c>
      <c r="S1103" s="2">
        <f t="shared" si="70"/>
        <v>2.824616035107288</v>
      </c>
      <c r="T1103" s="2">
        <f t="shared" si="72"/>
        <v>5.8922463952779873</v>
      </c>
      <c r="U1103" s="2">
        <f t="shared" si="73"/>
        <v>183.54487678335627</v>
      </c>
    </row>
    <row r="1104" spans="1:21" x14ac:dyDescent="0.25">
      <c r="A1104">
        <v>2961209</v>
      </c>
      <c r="B1104">
        <v>10</v>
      </c>
      <c r="C1104" s="1">
        <f>15.4816025288768*(10.3/7.3)</f>
        <v>21.843904938004282</v>
      </c>
      <c r="D1104" s="1">
        <f>14.9590489204593*(10.3/7.3)</f>
        <v>21.106603271332975</v>
      </c>
      <c r="E1104" s="1">
        <f>54.0236047516625*(10.3/7.3)</f>
        <v>76.225086156455333</v>
      </c>
      <c r="F1104" s="1">
        <f>86.4215496278832*(38.9/42.5)</f>
        <v>79.101136012344853</v>
      </c>
      <c r="G1104" s="1">
        <v>1.9021247148045433</v>
      </c>
      <c r="H1104" s="1">
        <v>5.6876044205452931</v>
      </c>
      <c r="I1104" s="1">
        <v>69.03133506296308</v>
      </c>
      <c r="J1104" s="1">
        <v>4.3637956079985156E-2</v>
      </c>
      <c r="K1104" s="1">
        <v>2.7549427744738457</v>
      </c>
      <c r="L1104" s="1">
        <v>4.0379738062441701</v>
      </c>
      <c r="M1104" s="1">
        <v>0.13432717551559947</v>
      </c>
      <c r="N1104" s="1">
        <v>1.8794699691583525</v>
      </c>
      <c r="O1104" s="1">
        <v>0.12577066666666664</v>
      </c>
      <c r="P1104" s="1">
        <v>9.8920514313113078E-2</v>
      </c>
      <c r="Q1104" s="1">
        <v>3.0399253432949349</v>
      </c>
      <c r="R1104" s="2">
        <f t="shared" si="71"/>
        <v>277.93771991974529</v>
      </c>
      <c r="S1104" s="2">
        <f t="shared" si="70"/>
        <v>2.8975012448669442</v>
      </c>
      <c r="T1104" s="2">
        <f t="shared" si="72"/>
        <v>6.1775416175847893</v>
      </c>
      <c r="U1104" s="2">
        <f t="shared" si="73"/>
        <v>287.012762782197</v>
      </c>
    </row>
    <row r="1105" spans="1:21" x14ac:dyDescent="0.25">
      <c r="A1105">
        <v>2961217</v>
      </c>
      <c r="B1105">
        <v>66</v>
      </c>
      <c r="C1105" s="1">
        <f>11.4123275558716*(10.3/7.3)</f>
        <v>16.102325181572326</v>
      </c>
      <c r="D1105" s="1">
        <f>11.1289988605942*(10.3/7.3)</f>
        <v>15.702560036180925</v>
      </c>
      <c r="E1105" s="1">
        <f>40.1629977503419*(10.3/7.3)</f>
        <v>56.66833929157827</v>
      </c>
      <c r="F1105" s="1">
        <f>64.621677872386*(38.9/42.5)</f>
        <v>59.147841629077995</v>
      </c>
      <c r="G1105" s="1">
        <v>1.4529572036623326</v>
      </c>
      <c r="H1105" s="1">
        <v>3.4647903322471705</v>
      </c>
      <c r="I1105" s="1">
        <v>51.42011493282849</v>
      </c>
      <c r="J1105" s="1">
        <v>3.2505383837001411E-2</v>
      </c>
      <c r="K1105" s="1">
        <v>2.4700845813132526</v>
      </c>
      <c r="L1105" s="1">
        <v>3.3199012810883572</v>
      </c>
      <c r="M1105" s="1">
        <v>0.11903926847162924</v>
      </c>
      <c r="N1105" s="1">
        <v>1.5395206011514284</v>
      </c>
      <c r="O1105" s="1">
        <v>0.11173171717171718</v>
      </c>
      <c r="P1105" s="1">
        <v>9.119914680897101E-2</v>
      </c>
      <c r="Q1105" s="1">
        <v>2.322077722748022</v>
      </c>
      <c r="R1105" s="2">
        <f t="shared" si="71"/>
        <v>206.28100632989549</v>
      </c>
      <c r="S1105" s="2">
        <f t="shared" si="70"/>
        <v>2.5937891119592251</v>
      </c>
      <c r="T1105" s="2">
        <f t="shared" si="72"/>
        <v>5.0901928678831325</v>
      </c>
      <c r="U1105" s="2">
        <f t="shared" si="73"/>
        <v>213.96498830973783</v>
      </c>
    </row>
    <row r="1106" spans="1:21" x14ac:dyDescent="0.25">
      <c r="A1106">
        <v>2961225</v>
      </c>
      <c r="B1106">
        <v>51</v>
      </c>
      <c r="C1106" s="1">
        <f>9.50542920948014*(10.3/7.3)</f>
        <v>13.41176998049937</v>
      </c>
      <c r="D1106" s="1">
        <f>9.4351589011328*(10.3/7.3)</f>
        <v>13.312621463242165</v>
      </c>
      <c r="E1106" s="1">
        <f>33.9938238879249*(10.3/7.3)</f>
        <v>47.963888499400959</v>
      </c>
      <c r="F1106" s="1">
        <f>55.8071840391405*(38.9/42.5)</f>
        <v>51.079987273472106</v>
      </c>
      <c r="G1106" s="1">
        <v>1.3352518801181172</v>
      </c>
      <c r="H1106" s="1">
        <v>4.3176637653676071</v>
      </c>
      <c r="I1106" s="1">
        <v>44.141515810755131</v>
      </c>
      <c r="J1106" s="1">
        <v>2.849502683141579E-2</v>
      </c>
      <c r="K1106" s="1">
        <v>2.2808232519103533</v>
      </c>
      <c r="L1106" s="1">
        <v>2.8995429488684663</v>
      </c>
      <c r="M1106" s="1">
        <v>0.10820399490528776</v>
      </c>
      <c r="N1106" s="1">
        <v>1.3606889763533847</v>
      </c>
      <c r="O1106" s="1">
        <v>0.10335686274509805</v>
      </c>
      <c r="P1106" s="1">
        <v>8.5732309324867834E-2</v>
      </c>
      <c r="Q1106" s="1">
        <v>2.133964191969596</v>
      </c>
      <c r="R1106" s="2">
        <f t="shared" si="71"/>
        <v>177.69666286482504</v>
      </c>
      <c r="S1106" s="2">
        <f t="shared" si="70"/>
        <v>2.3950505880666366</v>
      </c>
      <c r="T1106" s="2">
        <f t="shared" si="72"/>
        <v>4.471792782872237</v>
      </c>
      <c r="U1106" s="2">
        <f t="shared" si="73"/>
        <v>184.5635062357639</v>
      </c>
    </row>
    <row r="1107" spans="1:21" x14ac:dyDescent="0.25">
      <c r="A1107">
        <v>2961233</v>
      </c>
      <c r="B1107">
        <v>7</v>
      </c>
      <c r="C1107" s="1">
        <f>13.7820344905897*(10.3/7.3)</f>
        <v>19.445884281242961</v>
      </c>
      <c r="D1107" s="1">
        <f>13.5177267730432*(10.3/7.3)</f>
        <v>19.072956953745877</v>
      </c>
      <c r="E1107" s="1">
        <f>48.8008095506909*(10.3/7.3)</f>
        <v>68.855936763303632</v>
      </c>
      <c r="F1107" s="1">
        <f>76.8536292810751*(38.9/42.5)</f>
        <v>70.343674800795782</v>
      </c>
      <c r="G1107" s="1">
        <v>1.6313429393102723</v>
      </c>
      <c r="H1107" s="1">
        <v>3.7583373681035694</v>
      </c>
      <c r="I1107" s="1">
        <v>60.802433842806259</v>
      </c>
      <c r="J1107" s="1">
        <v>3.5353161361212825E-2</v>
      </c>
      <c r="K1107" s="1">
        <v>2.7539162166979776</v>
      </c>
      <c r="L1107" s="1">
        <v>3.7159660000648338</v>
      </c>
      <c r="M1107" s="1">
        <v>0.13053096436505107</v>
      </c>
      <c r="N1107" s="1">
        <v>1.622053714480852</v>
      </c>
      <c r="O1107" s="1">
        <v>0.12457904761904762</v>
      </c>
      <c r="P1107" s="1">
        <v>9.7742385438421689E-2</v>
      </c>
      <c r="Q1107" s="1">
        <v>2.6071690810894794</v>
      </c>
      <c r="R1107" s="2">
        <f t="shared" si="71"/>
        <v>246.51773603039786</v>
      </c>
      <c r="S1107" s="2">
        <f t="shared" si="70"/>
        <v>2.8870117634976125</v>
      </c>
      <c r="T1107" s="2">
        <f t="shared" si="72"/>
        <v>5.593129726529785</v>
      </c>
      <c r="U1107" s="2">
        <f t="shared" si="73"/>
        <v>254.99787752042525</v>
      </c>
    </row>
    <row r="1108" spans="1:21" x14ac:dyDescent="0.25">
      <c r="A1108">
        <v>2972501</v>
      </c>
      <c r="B1108">
        <v>2</v>
      </c>
      <c r="C1108" s="1">
        <f>0.320824050347576*(10.3/7.3)</f>
        <v>0.45266955049041546</v>
      </c>
      <c r="D1108" s="1">
        <f>0.478246908921594*(10.3/7.3)</f>
        <v>0.6747867345058115</v>
      </c>
      <c r="E1108" s="1">
        <f>1.6728636841261*(10.3/7.3)</f>
        <v>2.3603419104792942</v>
      </c>
      <c r="F1108" s="1">
        <f>3.64234057304874*(38.9/42.5)</f>
        <v>3.3338129009787276</v>
      </c>
      <c r="G1108" s="1">
        <v>0.15246611122164125</v>
      </c>
      <c r="H1108" s="1">
        <v>0.92206910786657414</v>
      </c>
      <c r="I1108" s="1">
        <v>2.6175405554418103</v>
      </c>
      <c r="J1108" s="1">
        <v>1.0794710358363532E-2</v>
      </c>
      <c r="K1108" s="1">
        <v>1.2675651629684894</v>
      </c>
      <c r="L1108" s="1">
        <v>1.2601472727850482</v>
      </c>
      <c r="M1108" s="1">
        <v>5.7615841094392058E-2</v>
      </c>
      <c r="N1108" s="1">
        <v>0.39897247737133446</v>
      </c>
      <c r="O1108" s="1">
        <v>0.11634666666666667</v>
      </c>
      <c r="P1108" s="1">
        <v>7.3992111339273262E-2</v>
      </c>
      <c r="Q1108" s="1">
        <v>0.24366730103915291</v>
      </c>
      <c r="R1108" s="2">
        <f t="shared" si="71"/>
        <v>10.757354172023428</v>
      </c>
      <c r="S1108" s="2">
        <f t="shared" si="70"/>
        <v>1.3523519846661261</v>
      </c>
      <c r="T1108" s="2">
        <f t="shared" si="72"/>
        <v>1.8330822579174415</v>
      </c>
      <c r="U1108" s="2">
        <f t="shared" si="73"/>
        <v>13.942788414606996</v>
      </c>
    </row>
    <row r="1109" spans="1:21" x14ac:dyDescent="0.25">
      <c r="A1109">
        <v>2972509</v>
      </c>
      <c r="B1109">
        <v>68</v>
      </c>
      <c r="C1109" s="1">
        <f>0.635688952398084*(10.3/7.3)</f>
        <v>0.89693098763017276</v>
      </c>
      <c r="D1109" s="1">
        <f>1.05240866606112*(10.3/7.3)</f>
        <v>1.4849053781410286</v>
      </c>
      <c r="E1109" s="1">
        <f>3.66748690222516*(10.3/7.3)</f>
        <v>5.1746733003998786</v>
      </c>
      <c r="F1109" s="1">
        <f>7.97380212604289*(38.9/42.5)</f>
        <v>7.2983741812486667</v>
      </c>
      <c r="G1109" s="1">
        <v>0.33843822351741798</v>
      </c>
      <c r="H1109" s="1">
        <v>2.0671321280191912</v>
      </c>
      <c r="I1109" s="1">
        <v>5.5680104175803224</v>
      </c>
      <c r="J1109" s="1">
        <v>1.5660292266677429E-2</v>
      </c>
      <c r="K1109" s="1">
        <v>1.7712698457030986</v>
      </c>
      <c r="L1109" s="1">
        <v>1.9180138006819718</v>
      </c>
      <c r="M1109" s="1">
        <v>7.9401107734097365E-2</v>
      </c>
      <c r="N1109" s="1">
        <v>0.55910124938505867</v>
      </c>
      <c r="O1109" s="1">
        <v>0.17782980392156858</v>
      </c>
      <c r="P1109" s="1">
        <v>0.10452715365200231</v>
      </c>
      <c r="Q1109" s="1">
        <v>0.54088300562144465</v>
      </c>
      <c r="R1109" s="2">
        <f t="shared" si="71"/>
        <v>23.369347622158124</v>
      </c>
      <c r="S1109" s="2">
        <f t="shared" si="70"/>
        <v>1.8914572916217784</v>
      </c>
      <c r="T1109" s="2">
        <f t="shared" si="72"/>
        <v>2.7343459617226964</v>
      </c>
      <c r="U1109" s="2">
        <f t="shared" si="73"/>
        <v>27.995150875502599</v>
      </c>
    </row>
    <row r="1110" spans="1:21" x14ac:dyDescent="0.25">
      <c r="A1110">
        <v>2972517</v>
      </c>
      <c r="B1110">
        <v>57</v>
      </c>
      <c r="C1110" s="1">
        <f>0.76236545602212*(10.3/7.3)</f>
        <v>1.0756663283599772</v>
      </c>
      <c r="D1110" s="1">
        <f>1.36742159087906*(10.3/7.3)</f>
        <v>1.9293756693225139</v>
      </c>
      <c r="E1110" s="1">
        <f>4.74672902375125*(10.3/7.3)</f>
        <v>6.6974395814572407</v>
      </c>
      <c r="F1110" s="1">
        <f>10.6187618434151*(38.9/42.5)</f>
        <v>9.7192902519728914</v>
      </c>
      <c r="G1110" s="1">
        <v>0.46780217821128978</v>
      </c>
      <c r="H1110" s="1">
        <v>3.1286232376736591</v>
      </c>
      <c r="I1110" s="1">
        <v>7.3277520026921446</v>
      </c>
      <c r="J1110" s="1">
        <v>1.749495241752488E-2</v>
      </c>
      <c r="K1110" s="1">
        <v>2.0014315193089907</v>
      </c>
      <c r="L1110" s="1">
        <v>2.2753740337974326</v>
      </c>
      <c r="M1110" s="1">
        <v>8.8841425958773326E-2</v>
      </c>
      <c r="N1110" s="1">
        <v>0.64677787679626209</v>
      </c>
      <c r="O1110" s="1">
        <v>0.21912701754385966</v>
      </c>
      <c r="P1110" s="1">
        <v>0.11663811748496157</v>
      </c>
      <c r="Q1110" s="1">
        <v>0.74762905193585205</v>
      </c>
      <c r="R1110" s="2">
        <f t="shared" si="71"/>
        <v>31.093578301625566</v>
      </c>
      <c r="S1110" s="2">
        <f t="shared" si="70"/>
        <v>2.1355645892114774</v>
      </c>
      <c r="T1110" s="2">
        <f t="shared" si="72"/>
        <v>3.2301203540963277</v>
      </c>
      <c r="U1110" s="2">
        <f t="shared" si="73"/>
        <v>36.459263244933375</v>
      </c>
    </row>
    <row r="1111" spans="1:21" x14ac:dyDescent="0.25">
      <c r="A1111">
        <v>2972525</v>
      </c>
      <c r="B1111">
        <v>47</v>
      </c>
      <c r="C1111" s="1">
        <f>0.553611205101141*(10.3/7.3)</f>
        <v>0.78112265925229507</v>
      </c>
      <c r="D1111" s="1">
        <f>0.960777284021478*(10.3/7.3)</f>
        <v>1.3556172637563326</v>
      </c>
      <c r="E1111" s="1">
        <f>3.33917750458002*(10.3/7.3)</f>
        <v>4.711442232489615</v>
      </c>
      <c r="F1111" s="1">
        <f>7.44620868648941*(38.9/42.5)</f>
        <v>6.8154710095161919</v>
      </c>
      <c r="G1111" s="1">
        <v>0.32576342110316359</v>
      </c>
      <c r="H1111" s="1">
        <v>3.4278972372811634</v>
      </c>
      <c r="I1111" s="1">
        <v>5.1748321307304748</v>
      </c>
      <c r="J1111" s="1">
        <v>1.4543535737400462E-2</v>
      </c>
      <c r="K1111" s="1">
        <v>1.7460512227377913</v>
      </c>
      <c r="L1111" s="1">
        <v>1.8113613934480099</v>
      </c>
      <c r="M1111" s="1">
        <v>7.6220622096019944E-2</v>
      </c>
      <c r="N1111" s="1">
        <v>0.56706483504176419</v>
      </c>
      <c r="O1111" s="1">
        <v>0.1610099290780142</v>
      </c>
      <c r="P1111" s="1">
        <v>0.10347353894004606</v>
      </c>
      <c r="Q1111" s="1">
        <v>0.52062647208268198</v>
      </c>
      <c r="R1111" s="2">
        <f t="shared" si="71"/>
        <v>23.112772426211919</v>
      </c>
      <c r="S1111" s="2">
        <f t="shared" si="70"/>
        <v>1.8640682974152378</v>
      </c>
      <c r="T1111" s="2">
        <f t="shared" si="72"/>
        <v>2.6156567796638082</v>
      </c>
      <c r="U1111" s="2">
        <f t="shared" si="73"/>
        <v>27.592497503290964</v>
      </c>
    </row>
    <row r="1112" spans="1:21" x14ac:dyDescent="0.25">
      <c r="A1112">
        <v>2972533</v>
      </c>
      <c r="B1112">
        <v>26</v>
      </c>
      <c r="C1112" s="1">
        <f>0.49143694144919*(10.3/7.3)</f>
        <v>0.69339732834611689</v>
      </c>
      <c r="D1112" s="1">
        <f>0.815275118980162*(10.3/7.3)</f>
        <v>1.1503196884240641</v>
      </c>
      <c r="E1112" s="1">
        <f>2.835107951274*(10.3/7.3)</f>
        <v>4.0002208079619468</v>
      </c>
      <c r="F1112" s="1">
        <f>6.45791404735902*(38.9/42.5)</f>
        <v>5.9108907398180159</v>
      </c>
      <c r="G1112" s="1">
        <v>0.28641146492791614</v>
      </c>
      <c r="H1112" s="1">
        <v>3.7963356442755445</v>
      </c>
      <c r="I1112" s="1">
        <v>4.5646150755897832</v>
      </c>
      <c r="J1112" s="1">
        <v>1.3774744997086894E-2</v>
      </c>
      <c r="K1112" s="1">
        <v>1.620487318217148</v>
      </c>
      <c r="L1112" s="1">
        <v>1.6766128193935723</v>
      </c>
      <c r="M1112" s="1">
        <v>7.1497331965434077E-2</v>
      </c>
      <c r="N1112" s="1">
        <v>0.60861504582729653</v>
      </c>
      <c r="O1112" s="1">
        <v>0.14894974358974358</v>
      </c>
      <c r="P1112" s="1">
        <v>9.5021345125576112E-2</v>
      </c>
      <c r="Q1112" s="1">
        <v>0.4577352179213276</v>
      </c>
      <c r="R1112" s="2">
        <f t="shared" si="71"/>
        <v>20.859925967264719</v>
      </c>
      <c r="S1112" s="2">
        <f t="shared" si="70"/>
        <v>1.729283408339811</v>
      </c>
      <c r="T1112" s="2">
        <f t="shared" si="72"/>
        <v>2.5056749407760464</v>
      </c>
      <c r="U1112" s="2">
        <f t="shared" si="73"/>
        <v>25.094884316380575</v>
      </c>
    </row>
    <row r="1113" spans="1:21" x14ac:dyDescent="0.25">
      <c r="A1113">
        <v>2972725</v>
      </c>
      <c r="B1113">
        <v>5</v>
      </c>
      <c r="C1113" s="1">
        <f>2.40034540263774*(10.3/7.3)</f>
        <v>3.3867887187902395</v>
      </c>
      <c r="D1113" s="1">
        <f>2.18631692092196*(10.3/7.3)</f>
        <v>3.084803326780297</v>
      </c>
      <c r="E1113" s="1">
        <f>7.91050490384704*(10.3/7.3)</f>
        <v>11.161397330085549</v>
      </c>
      <c r="F1113" s="1">
        <f>13.3002474937569*(38.9/42.5)</f>
        <v>12.173638294285734</v>
      </c>
      <c r="G1113" s="1">
        <v>0.32285047759740926</v>
      </c>
      <c r="H1113" s="1">
        <v>4.1741346309629126</v>
      </c>
      <c r="I1113" s="1">
        <v>10.996287705148976</v>
      </c>
      <c r="J1113" s="1">
        <v>1.7020338910954325E-2</v>
      </c>
      <c r="K1113" s="1">
        <v>2.359968495757736</v>
      </c>
      <c r="L1113" s="1">
        <v>3.7664285370414858</v>
      </c>
      <c r="M1113" s="1">
        <v>8.1951363680243292E-2</v>
      </c>
      <c r="N1113" s="1">
        <v>0.72721646486050395</v>
      </c>
      <c r="O1113" s="1">
        <v>0.210784</v>
      </c>
      <c r="P1113" s="1">
        <v>0.15798770081709806</v>
      </c>
      <c r="Q1113" s="1">
        <v>0.51597108291823446</v>
      </c>
      <c r="R1113" s="2">
        <f t="shared" si="71"/>
        <v>45.815871566569349</v>
      </c>
      <c r="S1113" s="2">
        <f t="shared" si="70"/>
        <v>2.5349765354857885</v>
      </c>
      <c r="T1113" s="2">
        <f t="shared" si="72"/>
        <v>4.7863803655822332</v>
      </c>
      <c r="U1113" s="2">
        <f t="shared" si="73"/>
        <v>53.137228467637371</v>
      </c>
    </row>
    <row r="1114" spans="1:21" x14ac:dyDescent="0.25">
      <c r="A1114">
        <v>2973445</v>
      </c>
      <c r="B1114">
        <v>65</v>
      </c>
      <c r="C1114" s="1">
        <f>13.9058375899973*(10.3/7.3)</f>
        <v>19.620565366708572</v>
      </c>
      <c r="D1114" s="1">
        <f>13.502035723342*(10.3/7.3)</f>
        <v>19.050817527455099</v>
      </c>
      <c r="E1114" s="1">
        <f>48.7373647354108*(10.3/7.3)</f>
        <v>68.766418736264569</v>
      </c>
      <c r="F1114" s="1">
        <f>78.5007794959215*(38.9/42.5)</f>
        <v>71.851301703325802</v>
      </c>
      <c r="G1114" s="1">
        <v>1.7658122696297276</v>
      </c>
      <c r="H1114" s="1">
        <v>4.4697600383638223</v>
      </c>
      <c r="I1114" s="1">
        <v>62.606676457309824</v>
      </c>
      <c r="J1114" s="1">
        <v>3.9658287916118966E-2</v>
      </c>
      <c r="K1114" s="1">
        <v>2.7084968126173288</v>
      </c>
      <c r="L1114" s="1">
        <v>3.8493637267138938</v>
      </c>
      <c r="M1114" s="1">
        <v>0.13187817807479441</v>
      </c>
      <c r="N1114" s="1">
        <v>1.7340584287768264</v>
      </c>
      <c r="O1114" s="1">
        <v>0.1229981538461538</v>
      </c>
      <c r="P1114" s="1">
        <v>9.7682641333346504E-2</v>
      </c>
      <c r="Q1114" s="1">
        <v>2.8220744035178309</v>
      </c>
      <c r="R1114" s="2">
        <f t="shared" si="71"/>
        <v>250.95342650257524</v>
      </c>
      <c r="S1114" s="2">
        <f t="shared" si="70"/>
        <v>2.8458377418667946</v>
      </c>
      <c r="T1114" s="2">
        <f t="shared" si="72"/>
        <v>5.8382984874116683</v>
      </c>
      <c r="U1114" s="2">
        <f t="shared" si="73"/>
        <v>259.63756273185373</v>
      </c>
    </row>
    <row r="1115" spans="1:21" x14ac:dyDescent="0.25">
      <c r="A1115">
        <v>2973453</v>
      </c>
      <c r="B1115">
        <v>42</v>
      </c>
      <c r="C1115" s="1">
        <f>8.33947178255619*(10.3/7.3)</f>
        <v>11.766651967168322</v>
      </c>
      <c r="D1115" s="1">
        <f>8.25613233505183*(10.3/7.3)</f>
        <v>11.64906343164847</v>
      </c>
      <c r="E1115" s="1">
        <f>29.7500567326771*(10.3/7.3)</f>
        <v>41.976107444736165</v>
      </c>
      <c r="F1115" s="1">
        <f>48.8529679410693*(38.9/42.5)</f>
        <v>44.714834186061104</v>
      </c>
      <c r="G1115" s="1">
        <v>1.1680587117367218</v>
      </c>
      <c r="H1115" s="1">
        <v>3.1160721264761495</v>
      </c>
      <c r="I1115" s="1">
        <v>38.691232099976126</v>
      </c>
      <c r="J1115" s="1">
        <v>2.6379997758626601E-2</v>
      </c>
      <c r="K1115" s="1">
        <v>2.1198459200606274</v>
      </c>
      <c r="L1115" s="1">
        <v>2.6294130239201587</v>
      </c>
      <c r="M1115" s="1">
        <v>0.10187840756123931</v>
      </c>
      <c r="N1115" s="1">
        <v>1.2763212097474506</v>
      </c>
      <c r="O1115" s="1">
        <v>9.6524444444444454E-2</v>
      </c>
      <c r="P1115" s="1">
        <v>8.1716461606248861E-2</v>
      </c>
      <c r="Q1115" s="1">
        <v>1.8667604982093742</v>
      </c>
      <c r="R1115" s="2">
        <f t="shared" si="71"/>
        <v>154.94878046601244</v>
      </c>
      <c r="S1115" s="2">
        <f t="shared" si="70"/>
        <v>2.2279423794255031</v>
      </c>
      <c r="T1115" s="2">
        <f t="shared" si="72"/>
        <v>4.1041370856732931</v>
      </c>
      <c r="U1115" s="2">
        <f t="shared" si="73"/>
        <v>161.28085993111125</v>
      </c>
    </row>
    <row r="1116" spans="1:21" x14ac:dyDescent="0.25">
      <c r="A1116">
        <v>2973461</v>
      </c>
      <c r="B1116">
        <v>10</v>
      </c>
      <c r="C1116" s="1">
        <f>13.5323624265788*(10.3/7.3)</f>
        <v>19.093607259419439</v>
      </c>
      <c r="D1116" s="1">
        <f>13.3143135546298*(10.3/7.3)</f>
        <v>18.785949262011872</v>
      </c>
      <c r="E1116" s="1">
        <f>48.0277044906555*(10.3/7.3)</f>
        <v>67.765117295034443</v>
      </c>
      <c r="F1116" s="1">
        <f>77.1502468658895*(38.9/42.5)</f>
        <v>70.615167131367087</v>
      </c>
      <c r="G1116" s="1">
        <v>1.7356029663063119</v>
      </c>
      <c r="H1116" s="1">
        <v>5.7678865760207447</v>
      </c>
      <c r="I1116" s="1">
        <v>61.105988397107502</v>
      </c>
      <c r="J1116" s="1">
        <v>3.5542771951963953E-2</v>
      </c>
      <c r="K1116" s="1">
        <v>2.7514228132195848</v>
      </c>
      <c r="L1116" s="1">
        <v>3.7242698668954572</v>
      </c>
      <c r="M1116" s="1">
        <v>0.13150478364919357</v>
      </c>
      <c r="N1116" s="1">
        <v>1.6371429746281425</v>
      </c>
      <c r="O1116" s="1">
        <v>0.12433600000000003</v>
      </c>
      <c r="P1116" s="1">
        <v>9.7995143015578975E-2</v>
      </c>
      <c r="Q1116" s="1">
        <v>2.77379469501009</v>
      </c>
      <c r="R1116" s="2">
        <f t="shared" si="71"/>
        <v>247.64311358227749</v>
      </c>
      <c r="S1116" s="2">
        <f t="shared" si="70"/>
        <v>2.8849607281871279</v>
      </c>
      <c r="T1116" s="2">
        <f t="shared" si="72"/>
        <v>5.6172536251727943</v>
      </c>
      <c r="U1116" s="2">
        <f t="shared" si="73"/>
        <v>256.14532793563745</v>
      </c>
    </row>
    <row r="1117" spans="1:21" x14ac:dyDescent="0.25">
      <c r="A1117">
        <v>2984737</v>
      </c>
      <c r="B1117">
        <v>1</v>
      </c>
      <c r="C1117" s="1">
        <f>0.299555267866433*(10.3/7.3)</f>
        <v>0.42266017246907694</v>
      </c>
      <c r="D1117" s="1">
        <f>0.454943954369787*(10.3/7.3)</f>
        <v>0.64190722328887773</v>
      </c>
      <c r="E1117" s="1">
        <f>1.59099581356061*(10.3/7.3)</f>
        <v>2.2448297095444167</v>
      </c>
      <c r="F1117" s="1">
        <f>3.42541432649008*(38.9/42.5)</f>
        <v>3.1352615835403301</v>
      </c>
      <c r="G1117" s="1">
        <v>0.14216579688154443</v>
      </c>
      <c r="H1117" s="1">
        <v>0.82431970517470776</v>
      </c>
      <c r="I1117" s="1">
        <v>2.4419894682803305</v>
      </c>
      <c r="J1117" s="1">
        <v>1.0115797757208594E-2</v>
      </c>
      <c r="K1117" s="1">
        <v>1.2043248373963071</v>
      </c>
      <c r="L1117" s="1">
        <v>1.2223708979227454</v>
      </c>
      <c r="M1117" s="1">
        <v>5.4113859737345171E-2</v>
      </c>
      <c r="N1117" s="1">
        <v>0.37725949416543225</v>
      </c>
      <c r="O1117" s="1">
        <v>0.11375999999999999</v>
      </c>
      <c r="P1117" s="1">
        <v>7.0194163472020663E-2</v>
      </c>
      <c r="Q1117" s="1">
        <v>0.22720561145452331</v>
      </c>
      <c r="R1117" s="2">
        <f t="shared" si="71"/>
        <v>10.080339270633809</v>
      </c>
      <c r="S1117" s="2">
        <f t="shared" si="70"/>
        <v>1.2846347986255364</v>
      </c>
      <c r="T1117" s="2">
        <f t="shared" si="72"/>
        <v>1.7675042518255228</v>
      </c>
      <c r="U1117" s="2">
        <f t="shared" si="73"/>
        <v>13.132478321084868</v>
      </c>
    </row>
    <row r="1118" spans="1:21" x14ac:dyDescent="0.25">
      <c r="A1118">
        <v>2984745</v>
      </c>
      <c r="B1118">
        <v>43</v>
      </c>
      <c r="C1118" s="1">
        <f>0.686037259428878*(10.3/7.3)</f>
        <v>0.96797037974211531</v>
      </c>
      <c r="D1118" s="1">
        <f>1.13839326646531*(10.3/7.3)</f>
        <v>1.6062261156976283</v>
      </c>
      <c r="E1118" s="1">
        <f>3.96662212920487*(10.3/7.3)</f>
        <v>5.5967408124397418</v>
      </c>
      <c r="F1118" s="1">
        <f>8.63392702523737*(38.9/42.5)</f>
        <v>7.9025826183937316</v>
      </c>
      <c r="G1118" s="1">
        <v>0.36697914018643057</v>
      </c>
      <c r="H1118" s="1">
        <v>1.9695571128975304</v>
      </c>
      <c r="I1118" s="1">
        <v>6.0272367611564874</v>
      </c>
      <c r="J1118" s="1">
        <v>1.6407975533377715E-2</v>
      </c>
      <c r="K1118" s="1">
        <v>1.889813051988753</v>
      </c>
      <c r="L1118" s="1">
        <v>2.1277716071579063</v>
      </c>
      <c r="M1118" s="1">
        <v>8.5416538173101839E-2</v>
      </c>
      <c r="N1118" s="1">
        <v>0.60143370440167077</v>
      </c>
      <c r="O1118" s="1">
        <v>0.20465860465116273</v>
      </c>
      <c r="P1118" s="1">
        <v>0.10963102754788656</v>
      </c>
      <c r="Q1118" s="1">
        <v>0.58649634276370255</v>
      </c>
      <c r="R1118" s="2">
        <f t="shared" si="71"/>
        <v>25.023789283277367</v>
      </c>
      <c r="S1118" s="2">
        <f t="shared" si="70"/>
        <v>2.0158520550700172</v>
      </c>
      <c r="T1118" s="2">
        <f t="shared" si="72"/>
        <v>3.0192804543838418</v>
      </c>
      <c r="U1118" s="2">
        <f t="shared" si="73"/>
        <v>30.058921792731226</v>
      </c>
    </row>
    <row r="1119" spans="1:21" x14ac:dyDescent="0.25">
      <c r="A1119">
        <v>2984753</v>
      </c>
      <c r="B1119">
        <v>55</v>
      </c>
      <c r="C1119" s="1">
        <f>0.573738623475143*(10.3/7.3)</f>
        <v>0.80952161942383227</v>
      </c>
      <c r="D1119" s="1">
        <f>0.986232531685773*(10.3/7.3)</f>
        <v>1.3915335721045845</v>
      </c>
      <c r="E1119" s="1">
        <f>3.42912488013586*(10.3/7.3)</f>
        <v>4.8383542829314177</v>
      </c>
      <c r="F1119" s="1">
        <f>7.62680421373548*(38.9/42.5)</f>
        <v>6.9807690332778822</v>
      </c>
      <c r="G1119" s="1">
        <v>0.3324563010463934</v>
      </c>
      <c r="H1119" s="1">
        <v>2.1284878996149299</v>
      </c>
      <c r="I1119" s="1">
        <v>5.308888334060776</v>
      </c>
      <c r="J1119" s="1">
        <v>1.4503116143853944E-2</v>
      </c>
      <c r="K1119" s="1">
        <v>1.7451905057507606</v>
      </c>
      <c r="L1119" s="1">
        <v>1.8127763357948665</v>
      </c>
      <c r="M1119" s="1">
        <v>7.6815197297056478E-2</v>
      </c>
      <c r="N1119" s="1">
        <v>0.55870829891781548</v>
      </c>
      <c r="O1119" s="1">
        <v>0.16382642424242422</v>
      </c>
      <c r="P1119" s="1">
        <v>0.10303920479851039</v>
      </c>
      <c r="Q1119" s="1">
        <v>0.53132285555359737</v>
      </c>
      <c r="R1119" s="2">
        <f t="shared" si="71"/>
        <v>22.321333898013414</v>
      </c>
      <c r="S1119" s="2">
        <f t="shared" si="70"/>
        <v>1.8627328266931251</v>
      </c>
      <c r="T1119" s="2">
        <f t="shared" si="72"/>
        <v>2.6121262562521625</v>
      </c>
      <c r="U1119" s="2">
        <f t="shared" si="73"/>
        <v>26.796192980958701</v>
      </c>
    </row>
    <row r="1120" spans="1:21" x14ac:dyDescent="0.25">
      <c r="A1120">
        <v>2984761</v>
      </c>
      <c r="B1120">
        <v>40</v>
      </c>
      <c r="C1120" s="1">
        <f>0.540273874308323*(10.3/7.3)</f>
        <v>0.76230423361311317</v>
      </c>
      <c r="D1120" s="1">
        <f>0.901823649064656*(10.3/7.3)</f>
        <v>1.272436107584378</v>
      </c>
      <c r="E1120" s="1">
        <f>3.13865638624766*(10.3/7.3)</f>
        <v>4.4285151751165648</v>
      </c>
      <c r="F1120" s="1">
        <f>6.98501470293488*(38.9/42.5)</f>
        <v>6.3933428692745151</v>
      </c>
      <c r="G1120" s="1">
        <v>0.30350251735388883</v>
      </c>
      <c r="H1120" s="1">
        <v>3.213662772365248</v>
      </c>
      <c r="I1120" s="1">
        <v>4.8988285119867241</v>
      </c>
      <c r="J1120" s="1">
        <v>1.4456170880467264E-2</v>
      </c>
      <c r="K1120" s="1">
        <v>1.7383093971004846</v>
      </c>
      <c r="L1120" s="1">
        <v>1.8092611792115942</v>
      </c>
      <c r="M1120" s="1">
        <v>7.656909434410282E-2</v>
      </c>
      <c r="N1120" s="1">
        <v>0.57264405048408507</v>
      </c>
      <c r="O1120" s="1">
        <v>0.16112933333333335</v>
      </c>
      <c r="P1120" s="1">
        <v>0.10281752580193207</v>
      </c>
      <c r="Q1120" s="1">
        <v>0.48504968526877262</v>
      </c>
      <c r="R1120" s="2">
        <f t="shared" si="71"/>
        <v>21.757641872563205</v>
      </c>
      <c r="S1120" s="2">
        <f t="shared" si="70"/>
        <v>1.8555830937828841</v>
      </c>
      <c r="T1120" s="2">
        <f t="shared" si="72"/>
        <v>2.6196036573731156</v>
      </c>
      <c r="U1120" s="2">
        <f t="shared" si="73"/>
        <v>26.232828623719204</v>
      </c>
    </row>
    <row r="1121" spans="1:21" x14ac:dyDescent="0.25">
      <c r="A1121">
        <v>2984953</v>
      </c>
      <c r="B1121">
        <v>31</v>
      </c>
      <c r="C1121" s="1">
        <f>1.25530014181171*(10.3/7.3)</f>
        <v>1.7711769124192571</v>
      </c>
      <c r="D1121" s="1">
        <f>1.32497869693602*(10.3/7.3)</f>
        <v>1.8694904901973963</v>
      </c>
      <c r="E1121" s="1">
        <f>4.74231080948936*(10.3/7.3)</f>
        <v>6.6912056627041618</v>
      </c>
      <c r="F1121" s="1">
        <f>8.56044659176395*(38.9/42.5)</f>
        <v>7.8353264098733542</v>
      </c>
      <c r="G1121" s="1">
        <v>0.25703368408555421</v>
      </c>
      <c r="H1121" s="1">
        <v>2.5096164960037357</v>
      </c>
      <c r="I1121" s="1">
        <v>6.6767236498235718</v>
      </c>
      <c r="J1121" s="1">
        <v>1.511921937467183E-2</v>
      </c>
      <c r="K1121" s="1">
        <v>2.0883494012316755</v>
      </c>
      <c r="L1121" s="1">
        <v>3.1715076554667245</v>
      </c>
      <c r="M1121" s="1">
        <v>7.0787515068835308E-2</v>
      </c>
      <c r="N1121" s="1">
        <v>0.63381294875669503</v>
      </c>
      <c r="O1121" s="1">
        <v>0.18411354838709679</v>
      </c>
      <c r="P1121" s="1">
        <v>0.14207781496143032</v>
      </c>
      <c r="Q1121" s="1">
        <v>0.41078442662074904</v>
      </c>
      <c r="R1121" s="2">
        <f t="shared" si="71"/>
        <v>28.021357731727782</v>
      </c>
      <c r="S1121" s="2">
        <f t="shared" si="70"/>
        <v>2.2455464355677774</v>
      </c>
      <c r="T1121" s="2">
        <f t="shared" si="72"/>
        <v>4.0602216676793512</v>
      </c>
      <c r="U1121" s="2">
        <f t="shared" si="73"/>
        <v>34.327125834974915</v>
      </c>
    </row>
    <row r="1122" spans="1:21" x14ac:dyDescent="0.25">
      <c r="A1122">
        <v>2984961</v>
      </c>
      <c r="B1122">
        <v>23</v>
      </c>
      <c r="C1122" s="1">
        <f>1.52606371612988*(10.3/7.3)</f>
        <v>2.1532131885120167</v>
      </c>
      <c r="D1122" s="1">
        <f>1.46692296095518*(10.3/7.3)</f>
        <v>2.0697680134025132</v>
      </c>
      <c r="E1122" s="1">
        <f>5.28253453536866*(10.3/7.3)</f>
        <v>7.4534391389448276</v>
      </c>
      <c r="F1122" s="1">
        <f>9.28901857404863*(38.9/42.5)</f>
        <v>8.5021840595409781</v>
      </c>
      <c r="G1122" s="1">
        <v>0.25579580444317396</v>
      </c>
      <c r="H1122" s="1">
        <v>2.7071750382746784</v>
      </c>
      <c r="I1122" s="1">
        <v>7.5217376786876891</v>
      </c>
      <c r="J1122" s="1">
        <v>1.5124623061925057E-2</v>
      </c>
      <c r="K1122" s="1">
        <v>2.1244641295650526</v>
      </c>
      <c r="L1122" s="1">
        <v>3.366563355021694</v>
      </c>
      <c r="M1122" s="1">
        <v>7.2439943701640738E-2</v>
      </c>
      <c r="N1122" s="1">
        <v>0.6455595803194456</v>
      </c>
      <c r="O1122" s="1">
        <v>0.18832231884057973</v>
      </c>
      <c r="P1122" s="1">
        <v>0.14613152280611627</v>
      </c>
      <c r="Q1122" s="1">
        <v>0.4088060801603241</v>
      </c>
      <c r="R1122" s="2">
        <f t="shared" si="71"/>
        <v>31.072119001966204</v>
      </c>
      <c r="S1122" s="2">
        <f t="shared" si="70"/>
        <v>2.2857202754330936</v>
      </c>
      <c r="T1122" s="2">
        <f t="shared" si="72"/>
        <v>4.27288519788336</v>
      </c>
      <c r="U1122" s="2">
        <f t="shared" si="73"/>
        <v>37.630724475282662</v>
      </c>
    </row>
    <row r="1123" spans="1:21" x14ac:dyDescent="0.25">
      <c r="A1123">
        <v>2985345</v>
      </c>
      <c r="B1123">
        <v>19</v>
      </c>
      <c r="C1123" s="1">
        <f>9.47116953755682*(10.3/7.3)</f>
        <v>13.36343099134729</v>
      </c>
      <c r="D1123" s="1">
        <f>9.92902001590732*(10.3/7.3)</f>
        <v>14.009439200526769</v>
      </c>
      <c r="E1123" s="1">
        <f>35.5525060566135*(10.3/7.3)</f>
        <v>50.163124983988936</v>
      </c>
      <c r="F1123" s="1">
        <f>64.0717986119476*(38.9/42.5)</f>
        <v>58.644540376582597</v>
      </c>
      <c r="G1123" s="1">
        <v>1.9135205669637074</v>
      </c>
      <c r="H1123" s="1">
        <v>8.4210518159142289</v>
      </c>
      <c r="I1123" s="1">
        <v>50.104772930683843</v>
      </c>
      <c r="J1123" s="1">
        <v>3.8856133437416299E-2</v>
      </c>
      <c r="K1123" s="1">
        <v>2.6935083547816498</v>
      </c>
      <c r="L1123" s="1">
        <v>2.9159339501853059</v>
      </c>
      <c r="M1123" s="1">
        <v>0.14486635754742239</v>
      </c>
      <c r="N1123" s="1">
        <v>2.2124715620289961</v>
      </c>
      <c r="O1123" s="1">
        <v>0.15543859649122807</v>
      </c>
      <c r="P1123" s="1">
        <v>0.12431275445040789</v>
      </c>
      <c r="Q1123" s="1">
        <v>3.0581378924077542</v>
      </c>
      <c r="R1123" s="2">
        <f t="shared" si="71"/>
        <v>199.67801875841513</v>
      </c>
      <c r="S1123" s="2">
        <f t="shared" si="70"/>
        <v>2.8566772426694738</v>
      </c>
      <c r="T1123" s="2">
        <f t="shared" si="72"/>
        <v>5.4287104662529524</v>
      </c>
      <c r="U1123" s="2">
        <f t="shared" si="73"/>
        <v>207.96340646733756</v>
      </c>
    </row>
    <row r="1124" spans="1:21" x14ac:dyDescent="0.25">
      <c r="A1124">
        <v>2985673</v>
      </c>
      <c r="B1124">
        <v>21</v>
      </c>
      <c r="C1124" s="1">
        <f>17.8702153928639*(10.3/7.3)</f>
        <v>25.214139526917581</v>
      </c>
      <c r="D1124" s="1">
        <f>17.177159601745*(10.3/7.3)</f>
        <v>24.23626628739359</v>
      </c>
      <c r="E1124" s="1">
        <f>62.0545796275192*(10.3/7.3)</f>
        <v>87.556461666225786</v>
      </c>
      <c r="F1124" s="1">
        <f>99.1824696400279*(38.9/42.5)</f>
        <v>90.781131035225542</v>
      </c>
      <c r="G1124" s="1">
        <v>2.1709853999258595</v>
      </c>
      <c r="H1124" s="1">
        <v>4.668009849053731</v>
      </c>
      <c r="I1124" s="1">
        <v>79.423551178801262</v>
      </c>
      <c r="J1124" s="1">
        <v>5.9686520507607775E-2</v>
      </c>
      <c r="K1124" s="1">
        <v>2.9841380978930454</v>
      </c>
      <c r="L1124" s="1">
        <v>4.4631293852614551</v>
      </c>
      <c r="M1124" s="1">
        <v>0.14615733838581324</v>
      </c>
      <c r="N1124" s="1">
        <v>1.9736674337859892</v>
      </c>
      <c r="O1124" s="1">
        <v>0.13542095238095236</v>
      </c>
      <c r="P1124" s="1">
        <v>0.10483133799571548</v>
      </c>
      <c r="Q1124" s="1">
        <v>3.4696113697445283</v>
      </c>
      <c r="R1124" s="2">
        <f t="shared" si="71"/>
        <v>317.52015631328788</v>
      </c>
      <c r="S1124" s="2">
        <f t="shared" si="70"/>
        <v>3.1486559563963685</v>
      </c>
      <c r="T1124" s="2">
        <f t="shared" si="72"/>
        <v>6.7183751098142102</v>
      </c>
      <c r="U1124" s="2">
        <f t="shared" si="73"/>
        <v>327.38718737949847</v>
      </c>
    </row>
    <row r="1125" spans="1:21" x14ac:dyDescent="0.25">
      <c r="A1125">
        <v>2985681</v>
      </c>
      <c r="B1125">
        <v>45</v>
      </c>
      <c r="C1125" s="1">
        <f>9.02467277621627*(10.3/7.3)</f>
        <v>12.733442410277744</v>
      </c>
      <c r="D1125" s="1">
        <f>8.95922434683539*(10.3/7.3)</f>
        <v>12.641097366082811</v>
      </c>
      <c r="E1125" s="1">
        <f>32.2484044710475*(10.3/7.3)</f>
        <v>45.501173431751965</v>
      </c>
      <c r="F1125" s="1">
        <f>54.4664131932184*(38.9/42.5)</f>
        <v>49.852787605086917</v>
      </c>
      <c r="G1125" s="1">
        <v>1.3947460132699188</v>
      </c>
      <c r="H1125" s="1">
        <v>3.7994845720774775</v>
      </c>
      <c r="I1125" s="1">
        <v>43.242754546422951</v>
      </c>
      <c r="J1125" s="1">
        <v>2.9114412553194951E-2</v>
      </c>
      <c r="K1125" s="1">
        <v>2.2360156039754364</v>
      </c>
      <c r="L1125" s="1">
        <v>2.8674907816216728</v>
      </c>
      <c r="M1125" s="1">
        <v>0.10786795502410937</v>
      </c>
      <c r="N1125" s="1">
        <v>1.3811383575247889</v>
      </c>
      <c r="O1125" s="1">
        <v>0.10239170370370371</v>
      </c>
      <c r="P1125" s="1">
        <v>8.5033982633539645E-2</v>
      </c>
      <c r="Q1125" s="1">
        <v>2.2290461399290953</v>
      </c>
      <c r="R1125" s="2">
        <f t="shared" si="71"/>
        <v>171.39453208489888</v>
      </c>
      <c r="S1125" s="2">
        <f t="shared" si="70"/>
        <v>2.350163999162171</v>
      </c>
      <c r="T1125" s="2">
        <f t="shared" si="72"/>
        <v>4.4588887978742751</v>
      </c>
      <c r="U1125" s="2">
        <f t="shared" si="73"/>
        <v>178.20358488193531</v>
      </c>
    </row>
    <row r="1126" spans="1:21" x14ac:dyDescent="0.25">
      <c r="A1126">
        <v>2996973</v>
      </c>
      <c r="B1126">
        <v>2</v>
      </c>
      <c r="C1126" s="1">
        <f>0.271455780899305*(10.3/7.3)</f>
        <v>0.3830129511318966</v>
      </c>
      <c r="D1126" s="1">
        <f>0.41436644957789*(10.3/7.3)</f>
        <v>0.58465403159620133</v>
      </c>
      <c r="E1126" s="1">
        <f>1.44900932897001*(10.3/7.3)</f>
        <v>2.0444926148481004</v>
      </c>
      <c r="F1126" s="1">
        <f>3.10996087952102*(38.9/42.5)</f>
        <v>2.8465288991380584</v>
      </c>
      <c r="G1126" s="1">
        <v>0.12875929399826219</v>
      </c>
      <c r="H1126" s="1">
        <v>0.77578091242909042</v>
      </c>
      <c r="I1126" s="1">
        <v>2.2121778575946829</v>
      </c>
      <c r="J1126" s="1">
        <v>1.031098513004064E-2</v>
      </c>
      <c r="K1126" s="1">
        <v>1.2463514812919345</v>
      </c>
      <c r="L1126" s="1">
        <v>1.2383357480688453</v>
      </c>
      <c r="M1126" s="1">
        <v>5.5709810245833075E-2</v>
      </c>
      <c r="N1126" s="1">
        <v>0.39510996068973553</v>
      </c>
      <c r="O1126" s="1">
        <v>0.11349333333333333</v>
      </c>
      <c r="P1126" s="1">
        <v>7.2397839687012078E-2</v>
      </c>
      <c r="Q1126" s="1">
        <v>0.20577969360452883</v>
      </c>
      <c r="R1126" s="2">
        <f t="shared" si="71"/>
        <v>9.1811862543408207</v>
      </c>
      <c r="S1126" s="2">
        <f t="shared" si="70"/>
        <v>1.3290603061089872</v>
      </c>
      <c r="T1126" s="2">
        <f t="shared" si="72"/>
        <v>1.8026488523377471</v>
      </c>
      <c r="U1126" s="2">
        <f t="shared" si="73"/>
        <v>12.312895412787555</v>
      </c>
    </row>
    <row r="1127" spans="1:21" x14ac:dyDescent="0.25">
      <c r="A1127">
        <v>2996981</v>
      </c>
      <c r="B1127">
        <v>36</v>
      </c>
      <c r="C1127" s="1">
        <f>0.518846992107218*(10.3/7.3)</f>
        <v>0.73207178338415646</v>
      </c>
      <c r="D1127" s="1">
        <f>0.858041093829837*(10.3/7.3)</f>
        <v>1.21066072143114</v>
      </c>
      <c r="E1127" s="1">
        <f>2.98970345724741*(10.3/7.3)</f>
        <v>4.2183487136504496</v>
      </c>
      <c r="F1127" s="1">
        <f>6.52819404436681*(38.9/42.5)</f>
        <v>5.9752176076674992</v>
      </c>
      <c r="G1127" s="1">
        <v>0.27820684087856962</v>
      </c>
      <c r="H1127" s="1">
        <v>1.5582240120977753</v>
      </c>
      <c r="I1127" s="1">
        <v>4.5653251265822812</v>
      </c>
      <c r="J1127" s="1">
        <v>1.3147331108199052E-2</v>
      </c>
      <c r="K1127" s="1">
        <v>1.5895879537210751</v>
      </c>
      <c r="L1127" s="1">
        <v>1.6615688454798521</v>
      </c>
      <c r="M1127" s="1">
        <v>7.0585339400371025E-2</v>
      </c>
      <c r="N1127" s="1">
        <v>0.5041030841619708</v>
      </c>
      <c r="O1127" s="1">
        <v>0.15327555555555561</v>
      </c>
      <c r="P1127" s="1">
        <v>9.3498192037376873E-2</v>
      </c>
      <c r="Q1127" s="1">
        <v>0.44462280505707497</v>
      </c>
      <c r="R1127" s="2">
        <f t="shared" si="71"/>
        <v>18.982677610748947</v>
      </c>
      <c r="S1127" s="2">
        <f t="shared" si="70"/>
        <v>1.6962334768666512</v>
      </c>
      <c r="T1127" s="2">
        <f t="shared" si="72"/>
        <v>2.3895328245977496</v>
      </c>
      <c r="U1127" s="2">
        <f t="shared" si="73"/>
        <v>23.06844391221335</v>
      </c>
    </row>
    <row r="1128" spans="1:21" x14ac:dyDescent="0.25">
      <c r="A1128">
        <v>2996989</v>
      </c>
      <c r="B1128">
        <v>27</v>
      </c>
      <c r="C1128" s="1">
        <f>0.458770204887672*(10.3/7.3)</f>
        <v>0.64730590552644196</v>
      </c>
      <c r="D1128" s="1">
        <f>0.756848144630142*(10.3/7.3)</f>
        <v>1.0678816287247208</v>
      </c>
      <c r="E1128" s="1">
        <f>2.63602004674855*(10.3/7.3)</f>
        <v>3.7193159563712404</v>
      </c>
      <c r="F1128" s="1">
        <f>5.82248506424678*(38.9/42.5)</f>
        <v>5.3292863293929384</v>
      </c>
      <c r="G1128" s="1">
        <v>0.25081185940401612</v>
      </c>
      <c r="H1128" s="1">
        <v>1.6116894643146897</v>
      </c>
      <c r="I1128" s="1">
        <v>4.0873029142305164</v>
      </c>
      <c r="J1128" s="1">
        <v>1.2457731919803709E-2</v>
      </c>
      <c r="K1128" s="1">
        <v>1.5333262815507889</v>
      </c>
      <c r="L1128" s="1">
        <v>1.5469431089201056</v>
      </c>
      <c r="M1128" s="1">
        <v>6.7447740581970353E-2</v>
      </c>
      <c r="N1128" s="1">
        <v>0.49104960199524722</v>
      </c>
      <c r="O1128" s="1">
        <v>0.13994666666666669</v>
      </c>
      <c r="P1128" s="1">
        <v>9.0608627136134795E-2</v>
      </c>
      <c r="Q1128" s="1">
        <v>0.40084087119363354</v>
      </c>
      <c r="R1128" s="2">
        <f t="shared" si="71"/>
        <v>17.114434929158197</v>
      </c>
      <c r="S1128" s="2">
        <f t="shared" si="70"/>
        <v>1.6363926406067275</v>
      </c>
      <c r="T1128" s="2">
        <f t="shared" si="72"/>
        <v>2.2453871181639902</v>
      </c>
      <c r="U1128" s="2">
        <f t="shared" si="73"/>
        <v>20.996214687928912</v>
      </c>
    </row>
    <row r="1129" spans="1:21" x14ac:dyDescent="0.25">
      <c r="A1129">
        <v>2997045</v>
      </c>
      <c r="B1129">
        <v>6</v>
      </c>
      <c r="C1129" s="1">
        <f>0.500188127326502*(10.3/7.3)</f>
        <v>0.70574489198122914</v>
      </c>
      <c r="D1129" s="1">
        <f>0.703685847897466*(10.3/7.3)</f>
        <v>0.99287181278683501</v>
      </c>
      <c r="E1129" s="1">
        <f>2.45764202024856*(10.3/7.3)</f>
        <v>3.4676318915835882</v>
      </c>
      <c r="F1129" s="1">
        <f>5.82591986207768*(38.9/42.5)</f>
        <v>5.3324301796428673</v>
      </c>
      <c r="G1129" s="1">
        <v>0.26185330361464848</v>
      </c>
      <c r="H1129" s="1">
        <v>4.5230652880175102</v>
      </c>
      <c r="I1129" s="1">
        <v>4.3344856616090626</v>
      </c>
      <c r="J1129" s="1">
        <v>1.3919122724928658E-2</v>
      </c>
      <c r="K1129" s="1">
        <v>1.8727310150904681</v>
      </c>
      <c r="L1129" s="1">
        <v>1.8628920750500519</v>
      </c>
      <c r="M1129" s="1">
        <v>7.6330416704018134E-2</v>
      </c>
      <c r="N1129" s="1">
        <v>0.558157259941091</v>
      </c>
      <c r="O1129" s="1">
        <v>0.17376888888888889</v>
      </c>
      <c r="P1129" s="1">
        <v>0.12138029680637658</v>
      </c>
      <c r="Q1129" s="1">
        <v>0.41848701490925594</v>
      </c>
      <c r="R1129" s="2">
        <f t="shared" si="71"/>
        <v>20.036570044144998</v>
      </c>
      <c r="S1129" s="2">
        <f t="shared" si="70"/>
        <v>2.0080304346217734</v>
      </c>
      <c r="T1129" s="2">
        <f t="shared" si="72"/>
        <v>2.6711486405840503</v>
      </c>
      <c r="U1129" s="2">
        <f t="shared" si="73"/>
        <v>24.715749119350821</v>
      </c>
    </row>
    <row r="1130" spans="1:21" x14ac:dyDescent="0.25">
      <c r="A1130">
        <v>2997053</v>
      </c>
      <c r="B1130">
        <v>3</v>
      </c>
      <c r="C1130" s="1">
        <f>0.420370449251202*(10.3/7.3)</f>
        <v>0.59312542839553184</v>
      </c>
      <c r="D1130" s="1">
        <f>0.588772685630203*(10.3/7.3)</f>
        <v>0.83073406328645116</v>
      </c>
      <c r="E1130" s="1">
        <f>2.05490692496631*(10.3/7.3)</f>
        <v>2.8993892228976681</v>
      </c>
      <c r="F1130" s="1">
        <f>4.96104552677973*(38.9/42.5)</f>
        <v>4.5408157880407432</v>
      </c>
      <c r="G1130" s="1">
        <v>0.22635656061969681</v>
      </c>
      <c r="H1130" s="1">
        <v>2.922964670413712</v>
      </c>
      <c r="I1130" s="1">
        <v>3.7088388408225774</v>
      </c>
      <c r="J1130" s="1">
        <v>1.2506135873774943E-2</v>
      </c>
      <c r="K1130" s="1">
        <v>1.7470007538215866</v>
      </c>
      <c r="L1130" s="1">
        <v>1.7400923222636735</v>
      </c>
      <c r="M1130" s="1">
        <v>6.869410631313809E-2</v>
      </c>
      <c r="N1130" s="1">
        <v>0.50548020560784079</v>
      </c>
      <c r="O1130" s="1">
        <v>0.16152888888888886</v>
      </c>
      <c r="P1130" s="1">
        <v>0.11327800706017993</v>
      </c>
      <c r="Q1130" s="1">
        <v>0.36175706035111399</v>
      </c>
      <c r="R1130" s="2">
        <f t="shared" si="71"/>
        <v>16.083981634827495</v>
      </c>
      <c r="S1130" s="2">
        <f t="shared" si="70"/>
        <v>1.8727848967555416</v>
      </c>
      <c r="T1130" s="2">
        <f t="shared" si="72"/>
        <v>2.4757955230735411</v>
      </c>
      <c r="U1130" s="2">
        <f t="shared" si="73"/>
        <v>20.432562054656575</v>
      </c>
    </row>
    <row r="1131" spans="1:21" x14ac:dyDescent="0.25">
      <c r="A1131">
        <v>2997181</v>
      </c>
      <c r="B1131">
        <v>32</v>
      </c>
      <c r="C1131" s="1">
        <f>1.02166827082288*(10.3/7.3)</f>
        <v>1.441531943763783</v>
      </c>
      <c r="D1131" s="1">
        <f>1.11439332293714*(10.3/7.3)</f>
        <v>1.5723631816784347</v>
      </c>
      <c r="E1131" s="1">
        <f>3.97729680911425*(10.3/7.3)</f>
        <v>5.6118023471064093</v>
      </c>
      <c r="F1131" s="1">
        <f>7.40403336603942*(38.9/42.5)</f>
        <v>6.7768681867984375</v>
      </c>
      <c r="G1131" s="1">
        <v>0.23687705312005827</v>
      </c>
      <c r="H1131" s="1">
        <v>2.3098020100645358</v>
      </c>
      <c r="I1131" s="1">
        <v>5.7247324159602941</v>
      </c>
      <c r="J1131" s="1">
        <v>1.5980435750154034E-2</v>
      </c>
      <c r="K1131" s="1">
        <v>2.0463331100194981</v>
      </c>
      <c r="L1131" s="1">
        <v>3.0816535215073464</v>
      </c>
      <c r="M1131" s="1">
        <v>7.0543248900463512E-2</v>
      </c>
      <c r="N1131" s="1">
        <v>0.62291672672511778</v>
      </c>
      <c r="O1131" s="1">
        <v>0.18187999999999996</v>
      </c>
      <c r="P1131" s="1">
        <v>0.13680103485460188</v>
      </c>
      <c r="Q1131" s="1">
        <v>0.37857063284027626</v>
      </c>
      <c r="R1131" s="2">
        <f t="shared" si="71"/>
        <v>24.052547771332229</v>
      </c>
      <c r="S1131" s="2">
        <f t="shared" si="70"/>
        <v>2.1991145806242542</v>
      </c>
      <c r="T1131" s="2">
        <f t="shared" si="72"/>
        <v>3.9569934971329279</v>
      </c>
      <c r="U1131" s="2">
        <f t="shared" si="73"/>
        <v>30.208655849089411</v>
      </c>
    </row>
    <row r="1132" spans="1:21" x14ac:dyDescent="0.25">
      <c r="A1132">
        <v>2997189</v>
      </c>
      <c r="B1132">
        <v>56</v>
      </c>
      <c r="C1132" s="1">
        <f>1.22732909018641*(10.3/7.3)</f>
        <v>1.7317109080712412</v>
      </c>
      <c r="D1132" s="1">
        <f>1.22054848693981*(10.3/7.3)</f>
        <v>1.722143755545207</v>
      </c>
      <c r="E1132" s="1">
        <f>4.38464147779332*(10.3/7.3)</f>
        <v>6.1865489344207081</v>
      </c>
      <c r="F1132" s="1">
        <f>7.81934733124361*(38.9/42.5)</f>
        <v>7.1570026161265012</v>
      </c>
      <c r="G1132" s="1">
        <v>0.22452232805615771</v>
      </c>
      <c r="H1132" s="1">
        <v>1.9898085792807654</v>
      </c>
      <c r="I1132" s="1">
        <v>6.2467180746759903</v>
      </c>
      <c r="J1132" s="1">
        <v>1.4154115390149847E-2</v>
      </c>
      <c r="K1132" s="1">
        <v>1.9889677118312281</v>
      </c>
      <c r="L1132" s="1">
        <v>3.0359140800241762</v>
      </c>
      <c r="M1132" s="1">
        <v>6.7874463625489531E-2</v>
      </c>
      <c r="N1132" s="1">
        <v>0.59594707513321166</v>
      </c>
      <c r="O1132" s="1">
        <v>0.17514571428571429</v>
      </c>
      <c r="P1132" s="1">
        <v>0.13639460218781405</v>
      </c>
      <c r="Q1132" s="1">
        <v>0.35882563844591447</v>
      </c>
      <c r="R1132" s="2">
        <f t="shared" si="71"/>
        <v>25.617280834622484</v>
      </c>
      <c r="S1132" s="2">
        <f t="shared" si="70"/>
        <v>2.1395164294091917</v>
      </c>
      <c r="T1132" s="2">
        <f t="shared" si="72"/>
        <v>3.8748813330685912</v>
      </c>
      <c r="U1132" s="2">
        <f t="shared" si="73"/>
        <v>31.631678597100265</v>
      </c>
    </row>
    <row r="1133" spans="1:21" x14ac:dyDescent="0.25">
      <c r="A1133">
        <v>2997197</v>
      </c>
      <c r="B1133">
        <v>30</v>
      </c>
      <c r="C1133" s="1">
        <f>1.28600458567629*(10.3/7.3)</f>
        <v>1.8144996208857269</v>
      </c>
      <c r="D1133" s="1">
        <f>1.29109763391139*(10.3/7.3)</f>
        <v>1.8216857026420998</v>
      </c>
      <c r="E1133" s="1">
        <f>4.63220212580586*(10.3/7.3)</f>
        <v>6.5358468350411423</v>
      </c>
      <c r="F1133" s="1">
        <f>8.43274632804417*(38.9/42.5)</f>
        <v>7.7184431096686614</v>
      </c>
      <c r="G1133" s="1">
        <v>0.25250791424983143</v>
      </c>
      <c r="H1133" s="1">
        <v>2.3559957408941998</v>
      </c>
      <c r="I1133" s="1">
        <v>6.7265011397597272</v>
      </c>
      <c r="J1133" s="1">
        <v>1.4841878101998416E-2</v>
      </c>
      <c r="K1133" s="1">
        <v>2.0616704198712426</v>
      </c>
      <c r="L1133" s="1">
        <v>3.3426676992032838</v>
      </c>
      <c r="M1133" s="1">
        <v>7.1590951905689745E-2</v>
      </c>
      <c r="N1133" s="1">
        <v>0.62901329951274698</v>
      </c>
      <c r="O1133" s="1">
        <v>0.18375644444444444</v>
      </c>
      <c r="P1133" s="1">
        <v>0.14104143977342351</v>
      </c>
      <c r="Q1133" s="1">
        <v>0.40355146112986812</v>
      </c>
      <c r="R1133" s="2">
        <f t="shared" si="71"/>
        <v>27.629031524271259</v>
      </c>
      <c r="S1133" s="2">
        <f t="shared" si="70"/>
        <v>2.2175537377466643</v>
      </c>
      <c r="T1133" s="2">
        <f t="shared" si="72"/>
        <v>4.2270283950661653</v>
      </c>
      <c r="U1133" s="2">
        <f t="shared" si="73"/>
        <v>34.073613657084088</v>
      </c>
    </row>
    <row r="1134" spans="1:21" x14ac:dyDescent="0.25">
      <c r="A1134">
        <v>2997205</v>
      </c>
      <c r="B1134">
        <v>2</v>
      </c>
      <c r="C1134" s="1">
        <f>1.58400651549635*(10.3/7.3)</f>
        <v>2.2349680972071786</v>
      </c>
      <c r="D1134" s="1">
        <f>1.66725384843704*(10.3/7.3)</f>
        <v>2.3524266628632224</v>
      </c>
      <c r="E1134" s="1">
        <f>5.95204234097822*(10.3/7.3)</f>
        <v>8.3980871386405056</v>
      </c>
      <c r="F1134" s="1">
        <f>11.5592995257094*(38.9/42.5)</f>
        <v>10.580158860002252</v>
      </c>
      <c r="G1134" s="1">
        <v>0.39071452780690119</v>
      </c>
      <c r="H1134" s="1">
        <v>3.0460191876626936</v>
      </c>
      <c r="I1134" s="1">
        <v>9.1219968728764655</v>
      </c>
      <c r="J1134" s="1">
        <v>1.7872374225403772E-2</v>
      </c>
      <c r="K1134" s="1">
        <v>2.4284680546708328</v>
      </c>
      <c r="L1134" s="1">
        <v>4.7893236697123998</v>
      </c>
      <c r="M1134" s="1">
        <v>8.6267745679275532E-2</v>
      </c>
      <c r="N1134" s="1">
        <v>0.76806428128899173</v>
      </c>
      <c r="O1134" s="1">
        <v>0.22101333333333334</v>
      </c>
      <c r="P1134" s="1">
        <v>0.16639344496125663</v>
      </c>
      <c r="Q1134" s="1">
        <v>0.62442961065029934</v>
      </c>
      <c r="R1134" s="2">
        <f t="shared" si="71"/>
        <v>36.74880095770952</v>
      </c>
      <c r="S1134" s="2">
        <f t="shared" si="70"/>
        <v>2.612733873857493</v>
      </c>
      <c r="T1134" s="2">
        <f t="shared" si="72"/>
        <v>5.8646690300140003</v>
      </c>
      <c r="U1134" s="2">
        <f t="shared" si="73"/>
        <v>45.226203861581013</v>
      </c>
    </row>
    <row r="1135" spans="1:21" x14ac:dyDescent="0.25">
      <c r="A1135">
        <v>2997581</v>
      </c>
      <c r="B1135">
        <v>15</v>
      </c>
      <c r="C1135" s="1">
        <f>9.13734510288499*(10.3/7.3)</f>
        <v>12.892418432837722</v>
      </c>
      <c r="D1135" s="1">
        <f>9.00173662834945*(10.3/7.3)</f>
        <v>12.701080448219093</v>
      </c>
      <c r="E1135" s="1">
        <f>32.3417344090296*(10.3/7.3)</f>
        <v>45.632858138767865</v>
      </c>
      <c r="F1135" s="1">
        <f>58.3211492255156*(38.9/42.5)</f>
        <v>53.381004820530727</v>
      </c>
      <c r="G1135" s="1">
        <v>1.704058253639765</v>
      </c>
      <c r="H1135" s="1">
        <v>8.0909184862706329</v>
      </c>
      <c r="I1135" s="1">
        <v>46.847575859859653</v>
      </c>
      <c r="J1135" s="1">
        <v>3.7049392166026957E-2</v>
      </c>
      <c r="K1135" s="1">
        <v>2.6221405466320808</v>
      </c>
      <c r="L1135" s="1">
        <v>2.8678344082175617</v>
      </c>
      <c r="M1135" s="1">
        <v>0.14254823712136058</v>
      </c>
      <c r="N1135" s="1">
        <v>2.2224397866294154</v>
      </c>
      <c r="O1135" s="1">
        <v>0.15134933333333336</v>
      </c>
      <c r="P1135" s="1">
        <v>0.12220323229935515</v>
      </c>
      <c r="Q1135" s="1">
        <v>2.7233807706571613</v>
      </c>
      <c r="R1135" s="2">
        <f t="shared" si="71"/>
        <v>183.97329521078265</v>
      </c>
      <c r="S1135" s="2">
        <f t="shared" si="70"/>
        <v>2.7813931710974629</v>
      </c>
      <c r="T1135" s="2">
        <f t="shared" si="72"/>
        <v>5.3841717653016703</v>
      </c>
      <c r="U1135" s="2">
        <f t="shared" si="73"/>
        <v>192.13886014718176</v>
      </c>
    </row>
    <row r="1136" spans="1:21" x14ac:dyDescent="0.25">
      <c r="A1136">
        <v>2997909</v>
      </c>
      <c r="B1136">
        <v>49</v>
      </c>
      <c r="C1136" s="1">
        <f>9.96843108285529*(10.3/7.3)</f>
        <v>14.065046596357464</v>
      </c>
      <c r="D1136" s="1">
        <f>9.75895473862317*(10.3/7.3)</f>
        <v>13.769484083262828</v>
      </c>
      <c r="E1136" s="1">
        <f>35.1860874843062*(10.3/7.3)</f>
        <v>49.646123436760746</v>
      </c>
      <c r="F1136" s="1">
        <f>57.8550060538818*(38.9/42.5)</f>
        <v>52.954346717552944</v>
      </c>
      <c r="G1136" s="1">
        <v>1.3798589253549627</v>
      </c>
      <c r="H1136" s="1">
        <v>3.8590413954227021</v>
      </c>
      <c r="I1136" s="1">
        <v>46.077077739748795</v>
      </c>
      <c r="J1136" s="1">
        <v>3.3863017478473777E-2</v>
      </c>
      <c r="K1136" s="1">
        <v>2.3067624328336933</v>
      </c>
      <c r="L1136" s="1">
        <v>3.0492253451834497</v>
      </c>
      <c r="M1136" s="1">
        <v>0.11203853580170435</v>
      </c>
      <c r="N1136" s="1">
        <v>1.4490507712768981</v>
      </c>
      <c r="O1136" s="1">
        <v>0.1060353741496599</v>
      </c>
      <c r="P1136" s="1">
        <v>8.6219752767278598E-2</v>
      </c>
      <c r="Q1136" s="1">
        <v>2.2052539902933215</v>
      </c>
      <c r="R1136" s="2">
        <f t="shared" si="71"/>
        <v>183.95623288475377</v>
      </c>
      <c r="S1136" s="2">
        <f t="shared" si="70"/>
        <v>2.4268452030794458</v>
      </c>
      <c r="T1136" s="2">
        <f t="shared" si="72"/>
        <v>4.7163500264117122</v>
      </c>
      <c r="U1136" s="2">
        <f t="shared" si="73"/>
        <v>191.09942811424492</v>
      </c>
    </row>
    <row r="1137" spans="1:21" x14ac:dyDescent="0.25">
      <c r="A1137">
        <v>3009217</v>
      </c>
      <c r="B1137">
        <v>3</v>
      </c>
      <c r="C1137" s="1">
        <f>0.331816904214234*(10.3/7.3)</f>
        <v>0.46818001553515226</v>
      </c>
      <c r="D1137" s="1">
        <f>0.525246509423409*(10.3/7.3)</f>
        <v>0.74110123932343952</v>
      </c>
      <c r="E1137" s="1">
        <f>1.83294820831139*(10.3/7.3)</f>
        <v>2.586214595288673</v>
      </c>
      <c r="F1137" s="1">
        <f>4.00282648750871*(38.9/42.5)</f>
        <v>3.6637635379785602</v>
      </c>
      <c r="G1137" s="1">
        <v>0.16956177182777413</v>
      </c>
      <c r="H1137" s="1">
        <v>0.99988793360637596</v>
      </c>
      <c r="I1137" s="1">
        <v>2.8318798028529621</v>
      </c>
      <c r="J1137" s="1">
        <v>1.0384533995165757E-2</v>
      </c>
      <c r="K1137" s="1">
        <v>1.2795953394766146</v>
      </c>
      <c r="L1137" s="1">
        <v>1.3172347165729483</v>
      </c>
      <c r="M1137" s="1">
        <v>5.6763309053155332E-2</v>
      </c>
      <c r="N1137" s="1">
        <v>0.40484442752382083</v>
      </c>
      <c r="O1137" s="1">
        <v>0.12250666666666667</v>
      </c>
      <c r="P1137" s="1">
        <v>7.4651579497692466E-2</v>
      </c>
      <c r="Q1137" s="1">
        <v>0.27098913305808686</v>
      </c>
      <c r="R1137" s="2">
        <f t="shared" si="71"/>
        <v>11.731578029471024</v>
      </c>
      <c r="S1137" s="2">
        <f t="shared" si="70"/>
        <v>1.364631452969473</v>
      </c>
      <c r="T1137" s="2">
        <f t="shared" si="72"/>
        <v>1.9013491198165913</v>
      </c>
      <c r="U1137" s="2">
        <f t="shared" si="73"/>
        <v>14.997558602257088</v>
      </c>
    </row>
    <row r="1138" spans="1:21" x14ac:dyDescent="0.25">
      <c r="A1138">
        <v>3009297</v>
      </c>
      <c r="B1138">
        <v>6</v>
      </c>
      <c r="C1138" s="1">
        <f>0.476688910727487*(10.3/7.3)</f>
        <v>0.67258846308124842</v>
      </c>
      <c r="D1138" s="1">
        <f>0.641304533418289*(10.3/7.3)</f>
        <v>0.90485434167237977</v>
      </c>
      <c r="E1138" s="1">
        <f>2.24661731145237*(10.3/7.3)</f>
        <v>3.1698846997204697</v>
      </c>
      <c r="F1138" s="1">
        <f>5.18746343632372*(38.9/42.5)</f>
        <v>4.7480547687762984</v>
      </c>
      <c r="G1138" s="1">
        <v>0.22623138318848038</v>
      </c>
      <c r="H1138" s="1">
        <v>4.8275664342036846</v>
      </c>
      <c r="I1138" s="1">
        <v>3.8859897778676804</v>
      </c>
      <c r="J1138" s="1">
        <v>1.2913483434467904E-2</v>
      </c>
      <c r="K1138" s="1">
        <v>1.8597739184503297</v>
      </c>
      <c r="L1138" s="1">
        <v>1.8650416068523237</v>
      </c>
      <c r="M1138" s="1">
        <v>7.1744278705287601E-2</v>
      </c>
      <c r="N1138" s="1">
        <v>0.52965381771514375</v>
      </c>
      <c r="O1138" s="1">
        <v>0.17023999999999997</v>
      </c>
      <c r="P1138" s="1">
        <v>0.12536982394656696</v>
      </c>
      <c r="Q1138" s="1">
        <v>0.36155700509574523</v>
      </c>
      <c r="R1138" s="2">
        <f t="shared" si="71"/>
        <v>18.796726873605987</v>
      </c>
      <c r="S1138" s="2">
        <f t="shared" si="70"/>
        <v>1.9980572258313647</v>
      </c>
      <c r="T1138" s="2">
        <f t="shared" si="72"/>
        <v>2.6366797032727551</v>
      </c>
      <c r="U1138" s="2">
        <f t="shared" si="73"/>
        <v>23.431463802710105</v>
      </c>
    </row>
    <row r="1139" spans="1:21" x14ac:dyDescent="0.25">
      <c r="A1139">
        <v>3009417</v>
      </c>
      <c r="B1139">
        <v>11</v>
      </c>
      <c r="C1139" s="1">
        <f>1.01434060678709*(10.3/7.3)</f>
        <v>1.4311929109461656</v>
      </c>
      <c r="D1139" s="1">
        <f>1.07331615684999*(10.3/7.3)</f>
        <v>1.5144049884321746</v>
      </c>
      <c r="E1139" s="1">
        <f>3.83871363551131*(10.3/7.3)</f>
        <v>5.4162671843515708</v>
      </c>
      <c r="F1139" s="1">
        <f>7.04749427984311*(38.9/42.5)</f>
        <v>6.4505300584916956</v>
      </c>
      <c r="G1139" s="1">
        <v>0.21815987739640638</v>
      </c>
      <c r="H1139" s="1">
        <v>1.6067424467464038</v>
      </c>
      <c r="I1139" s="1">
        <v>5.5049817319766152</v>
      </c>
      <c r="J1139" s="1">
        <v>1.4006429856781728E-2</v>
      </c>
      <c r="K1139" s="1">
        <v>1.9216935044921895</v>
      </c>
      <c r="L1139" s="1">
        <v>2.8839065035242828</v>
      </c>
      <c r="M1139" s="1">
        <v>6.6683984907575447E-2</v>
      </c>
      <c r="N1139" s="1">
        <v>0.5742570998343477</v>
      </c>
      <c r="O1139" s="1">
        <v>0.17027393939393939</v>
      </c>
      <c r="P1139" s="1">
        <v>0.12885506491644019</v>
      </c>
      <c r="Q1139" s="1">
        <v>0.34865733830475942</v>
      </c>
      <c r="R1139" s="2">
        <f t="shared" si="71"/>
        <v>22.490936536645787</v>
      </c>
      <c r="S1139" s="2">
        <f t="shared" si="70"/>
        <v>2.0645549992654115</v>
      </c>
      <c r="T1139" s="2">
        <f t="shared" si="72"/>
        <v>3.6951215276601452</v>
      </c>
      <c r="U1139" s="2">
        <f t="shared" si="73"/>
        <v>28.250613063571343</v>
      </c>
    </row>
    <row r="1140" spans="1:21" x14ac:dyDescent="0.25">
      <c r="A1140">
        <v>3009425</v>
      </c>
      <c r="B1140">
        <v>34</v>
      </c>
      <c r="C1140" s="1">
        <f>1.12089857441515*(10.3/7.3)</f>
        <v>1.5815418241748052</v>
      </c>
      <c r="D1140" s="1">
        <f>1.13039344986406*(10.3/7.3)</f>
        <v>1.5949387032328566</v>
      </c>
      <c r="E1140" s="1">
        <f>4.0544199825192*(10.3/7.3)</f>
        <v>5.7206199753353095</v>
      </c>
      <c r="F1140" s="1">
        <f>7.39096450770456*(38.9/42.5)</f>
        <v>6.7649063376401743</v>
      </c>
      <c r="G1140" s="1">
        <v>0.22221729010006028</v>
      </c>
      <c r="H1140" s="1">
        <v>1.6043587530960355</v>
      </c>
      <c r="I1140" s="1">
        <v>5.8852518092740924</v>
      </c>
      <c r="J1140" s="1">
        <v>1.3910469917266877E-2</v>
      </c>
      <c r="K1140" s="1">
        <v>1.923630292136896</v>
      </c>
      <c r="L1140" s="1">
        <v>3.0108108550799804</v>
      </c>
      <c r="M1140" s="1">
        <v>6.7331616249504844E-2</v>
      </c>
      <c r="N1140" s="1">
        <v>0.58012803993949369</v>
      </c>
      <c r="O1140" s="1">
        <v>0.17142274509803926</v>
      </c>
      <c r="P1140" s="1">
        <v>0.12983375285962298</v>
      </c>
      <c r="Q1140" s="1">
        <v>0.35514178783114692</v>
      </c>
      <c r="R1140" s="2">
        <f t="shared" si="71"/>
        <v>23.72897648068448</v>
      </c>
      <c r="S1140" s="2">
        <f t="shared" si="70"/>
        <v>2.0673745149137859</v>
      </c>
      <c r="T1140" s="2">
        <f t="shared" si="72"/>
        <v>3.8296932563670185</v>
      </c>
      <c r="U1140" s="2">
        <f t="shared" si="73"/>
        <v>29.626044251965286</v>
      </c>
    </row>
    <row r="1141" spans="1:21" x14ac:dyDescent="0.25">
      <c r="A1141">
        <v>3009433</v>
      </c>
      <c r="B1141">
        <v>20</v>
      </c>
      <c r="C1141" s="1">
        <f>1.16245446721842*(10.3/7.3)</f>
        <v>1.6401754811437941</v>
      </c>
      <c r="D1141" s="1">
        <f>1.22670082265315*(10.3/7.3)</f>
        <v>1.7308244484010165</v>
      </c>
      <c r="E1141" s="1">
        <f>4.3806057285116*(10.3/7.3)</f>
        <v>6.180854658036921</v>
      </c>
      <c r="F1141" s="1">
        <f>8.41058327111353*(38.9/42.5)</f>
        <v>7.6981573940309698</v>
      </c>
      <c r="G1141" s="1">
        <v>0.27964280483952392</v>
      </c>
      <c r="H1141" s="1">
        <v>1.9267381405507762</v>
      </c>
      <c r="I1141" s="1">
        <v>6.6199045059259962</v>
      </c>
      <c r="J1141" s="1">
        <v>1.483593761673831E-2</v>
      </c>
      <c r="K1141" s="1">
        <v>1.9786742778585691</v>
      </c>
      <c r="L1141" s="1">
        <v>3.4733296069354012</v>
      </c>
      <c r="M1141" s="1">
        <v>7.3385137941352846E-2</v>
      </c>
      <c r="N1141" s="1">
        <v>0.61460117393536084</v>
      </c>
      <c r="O1141" s="1">
        <v>0.18043199999999998</v>
      </c>
      <c r="P1141" s="1">
        <v>0.13047322979612538</v>
      </c>
      <c r="Q1141" s="1">
        <v>0.44691772462937668</v>
      </c>
      <c r="R1141" s="2">
        <f t="shared" si="71"/>
        <v>26.523215157558372</v>
      </c>
      <c r="S1141" s="2">
        <f t="shared" si="70"/>
        <v>2.123983445271433</v>
      </c>
      <c r="T1141" s="2">
        <f t="shared" si="72"/>
        <v>4.3417479188121151</v>
      </c>
      <c r="U1141" s="2">
        <f t="shared" si="73"/>
        <v>32.988946521641921</v>
      </c>
    </row>
    <row r="1142" spans="1:21" x14ac:dyDescent="0.25">
      <c r="A1142">
        <v>3009785</v>
      </c>
      <c r="B1142">
        <v>7</v>
      </c>
      <c r="C1142" s="1">
        <f>8.01818305843405*(10.3/7.3)</f>
        <v>11.313326781078185</v>
      </c>
      <c r="D1142" s="1">
        <f>7.66083534522172*(10.3/7.3)</f>
        <v>10.809123843258043</v>
      </c>
      <c r="E1142" s="1">
        <f>27.3642672981084*(10.3/7.3)</f>
        <v>38.609856598700944</v>
      </c>
      <c r="F1142" s="1">
        <f>59.8157620445473*(38.9/42.5)</f>
        <v>54.749015141950373</v>
      </c>
      <c r="G1142" s="1">
        <v>2.3031625487246217</v>
      </c>
      <c r="H1142" s="1">
        <v>8.4989674574160254</v>
      </c>
      <c r="I1142" s="1">
        <v>49.591703514760304</v>
      </c>
      <c r="J1142" s="1">
        <v>4.8888981346739427E-2</v>
      </c>
      <c r="K1142" s="1">
        <v>3.5994232766878231</v>
      </c>
      <c r="L1142" s="1">
        <v>3.931562957580256</v>
      </c>
      <c r="M1142" s="1">
        <v>0.1659745243458583</v>
      </c>
      <c r="N1142" s="1">
        <v>2.2369054711103473</v>
      </c>
      <c r="O1142" s="1">
        <v>0.19682285714285716</v>
      </c>
      <c r="P1142" s="1">
        <v>0.1525021525360378</v>
      </c>
      <c r="Q1142" s="1">
        <v>3.6808533883726873</v>
      </c>
      <c r="R1142" s="2">
        <f t="shared" si="71"/>
        <v>179.55600927426119</v>
      </c>
      <c r="S1142" s="2">
        <f t="shared" si="70"/>
        <v>3.8008144105706001</v>
      </c>
      <c r="T1142" s="2">
        <f t="shared" si="72"/>
        <v>6.5312658101793186</v>
      </c>
      <c r="U1142" s="2">
        <f t="shared" si="73"/>
        <v>189.88808949501112</v>
      </c>
    </row>
    <row r="1143" spans="1:21" x14ac:dyDescent="0.25">
      <c r="A1143">
        <v>3009809</v>
      </c>
      <c r="B1143">
        <v>5</v>
      </c>
      <c r="C1143" s="1">
        <f>11.2031519406289*(10.3/7.3)</f>
        <v>15.807186984723035</v>
      </c>
      <c r="D1143" s="1">
        <f>11.8593134468908*(10.3/7.3)</f>
        <v>16.733003904517222</v>
      </c>
      <c r="E1143" s="1">
        <f>42.4896868441447*(10.3/7.3)</f>
        <v>59.951201985574009</v>
      </c>
      <c r="F1143" s="1">
        <f>74.1946883268269*(38.9/42.5)</f>
        <v>67.909961786201592</v>
      </c>
      <c r="G1143" s="1">
        <v>2.095041018799273</v>
      </c>
      <c r="H1143" s="1">
        <v>8.1041308912163821</v>
      </c>
      <c r="I1143" s="1">
        <v>57.499146825043304</v>
      </c>
      <c r="J1143" s="1">
        <v>3.9183440775657309E-2</v>
      </c>
      <c r="K1143" s="1">
        <v>2.7762261456020156</v>
      </c>
      <c r="L1143" s="1">
        <v>3.0481902356384429</v>
      </c>
      <c r="M1143" s="1">
        <v>0.14910701409634688</v>
      </c>
      <c r="N1143" s="1">
        <v>1.9757113115052494</v>
      </c>
      <c r="O1143" s="1">
        <v>0.16077866666666668</v>
      </c>
      <c r="P1143" s="1">
        <v>0.1275151598314197</v>
      </c>
      <c r="Q1143" s="1">
        <v>3.3482390711403944</v>
      </c>
      <c r="R1143" s="2">
        <f t="shared" si="71"/>
        <v>231.44791246721522</v>
      </c>
      <c r="S1143" s="2">
        <f t="shared" si="70"/>
        <v>2.9429247462090924</v>
      </c>
      <c r="T1143" s="2">
        <f t="shared" si="72"/>
        <v>5.333787227906706</v>
      </c>
      <c r="U1143" s="2">
        <f t="shared" si="73"/>
        <v>239.724624441331</v>
      </c>
    </row>
    <row r="1144" spans="1:21" x14ac:dyDescent="0.25">
      <c r="A1144">
        <v>3010129</v>
      </c>
      <c r="B1144">
        <v>3</v>
      </c>
      <c r="C1144" s="1">
        <f>16.5755773581191*(10.3/7.3)</f>
        <v>23.387458464195475</v>
      </c>
      <c r="D1144" s="1">
        <f>15.8458110146201*(10.3/7.3)</f>
        <v>22.357788143916039</v>
      </c>
      <c r="E1144" s="1">
        <f>57.2215783251712*(10.3/7.3)</f>
        <v>80.737295445104593</v>
      </c>
      <c r="F1144" s="1">
        <f>93.5365922132833*(38.9/42.5)</f>
        <v>85.613492637569848</v>
      </c>
      <c r="G1144" s="1">
        <v>2.169861357686365</v>
      </c>
      <c r="H1144" s="1">
        <v>14.075690048561873</v>
      </c>
      <c r="I1144" s="1">
        <v>75.309222506764158</v>
      </c>
      <c r="J1144" s="1">
        <v>3.4647173078940392E-2</v>
      </c>
      <c r="K1144" s="1">
        <v>2.7098160300417877</v>
      </c>
      <c r="L1144" s="1">
        <v>4.3514531744517528</v>
      </c>
      <c r="M1144" s="1">
        <v>0.12615391246807794</v>
      </c>
      <c r="N1144" s="1">
        <v>2.4225110941268757</v>
      </c>
      <c r="O1144" s="1">
        <v>0.1194488888888889</v>
      </c>
      <c r="P1144" s="1">
        <v>9.1335591904179614E-2</v>
      </c>
      <c r="Q1144" s="1">
        <v>3.4678149552065229</v>
      </c>
      <c r="R1144" s="2">
        <f t="shared" si="71"/>
        <v>307.11862355900485</v>
      </c>
      <c r="S1144" s="2">
        <f t="shared" si="70"/>
        <v>2.8357987950249077</v>
      </c>
      <c r="T1144" s="2">
        <f t="shared" si="72"/>
        <v>7.0195670699355945</v>
      </c>
      <c r="U1144" s="2">
        <f t="shared" si="73"/>
        <v>316.97398942396535</v>
      </c>
    </row>
    <row r="1145" spans="1:21" x14ac:dyDescent="0.25">
      <c r="A1145">
        <v>3010137</v>
      </c>
      <c r="B1145">
        <v>42</v>
      </c>
      <c r="C1145" s="1">
        <f>13.0690921564839*(10.3/7.3)</f>
        <v>18.439951946819811</v>
      </c>
      <c r="D1145" s="1">
        <f>12.5899914319715*(10.3/7.3)</f>
        <v>17.763960513603578</v>
      </c>
      <c r="E1145" s="1">
        <f>45.4634532011378*(10.3/7.3)</f>
        <v>64.147064105715003</v>
      </c>
      <c r="F1145" s="1">
        <f>73.3466618382957*(38.9/42.5)</f>
        <v>67.133768129640089</v>
      </c>
      <c r="G1145" s="1">
        <v>1.6498385434328666</v>
      </c>
      <c r="H1145" s="1">
        <v>3.924004290649743</v>
      </c>
      <c r="I1145" s="1">
        <v>58.737423491394445</v>
      </c>
      <c r="J1145" s="1">
        <v>4.18448589951134E-2</v>
      </c>
      <c r="K1145" s="1">
        <v>2.4991585188557841</v>
      </c>
      <c r="L1145" s="1">
        <v>3.4608253880486317</v>
      </c>
      <c r="M1145" s="1">
        <v>0.12202761802285005</v>
      </c>
      <c r="N1145" s="1">
        <v>1.586217353052995</v>
      </c>
      <c r="O1145" s="1">
        <v>0.11440253968253973</v>
      </c>
      <c r="P1145" s="1">
        <v>9.0246062778620198E-2</v>
      </c>
      <c r="Q1145" s="1">
        <v>2.6367282657602922</v>
      </c>
      <c r="R1145" s="2">
        <f t="shared" si="71"/>
        <v>234.43273928701586</v>
      </c>
      <c r="S1145" s="2">
        <f t="shared" si="70"/>
        <v>2.6312494406295177</v>
      </c>
      <c r="T1145" s="2">
        <f t="shared" si="72"/>
        <v>5.2834728988070161</v>
      </c>
      <c r="U1145" s="2">
        <f t="shared" si="73"/>
        <v>242.3474616264524</v>
      </c>
    </row>
    <row r="1146" spans="1:21" x14ac:dyDescent="0.25">
      <c r="A1146">
        <v>3010145</v>
      </c>
      <c r="B1146">
        <v>7</v>
      </c>
      <c r="C1146" s="1">
        <f>10.3072229707304*(10.3/7.3)</f>
        <v>14.543068027194957</v>
      </c>
      <c r="D1146" s="1">
        <f>10.1441817245183*(10.3/7.3)</f>
        <v>14.313023529114897</v>
      </c>
      <c r="E1146" s="1">
        <f>36.5248844526673*(10.3/7.3)</f>
        <v>51.535110940064783</v>
      </c>
      <c r="F1146" s="1">
        <f>62.0189714470225*(38.9/42.5)</f>
        <v>56.765599747980623</v>
      </c>
      <c r="G1146" s="1">
        <v>1.6009937988439156</v>
      </c>
      <c r="H1146" s="1">
        <v>6.2795713481873481</v>
      </c>
      <c r="I1146" s="1">
        <v>49.472577854320413</v>
      </c>
      <c r="J1146" s="1">
        <v>3.1594895176247986E-2</v>
      </c>
      <c r="K1146" s="1">
        <v>2.3631975299080943</v>
      </c>
      <c r="L1146" s="1">
        <v>3.1262606554339163</v>
      </c>
      <c r="M1146" s="1">
        <v>0.1156083932775356</v>
      </c>
      <c r="N1146" s="1">
        <v>1.4629357356629042</v>
      </c>
      <c r="O1146" s="1">
        <v>0.10848000000000001</v>
      </c>
      <c r="P1146" s="1">
        <v>8.6725243802399168E-2</v>
      </c>
      <c r="Q1146" s="1">
        <v>2.5586658885633384</v>
      </c>
      <c r="R1146" s="2">
        <f t="shared" si="71"/>
        <v>197.06861113427024</v>
      </c>
      <c r="S1146" s="2">
        <f t="shared" si="70"/>
        <v>2.4815176688867413</v>
      </c>
      <c r="T1146" s="2">
        <f t="shared" si="72"/>
        <v>4.8132847843743569</v>
      </c>
      <c r="U1146" s="2">
        <f t="shared" si="73"/>
        <v>204.36341358753134</v>
      </c>
    </row>
    <row r="1147" spans="1:21" x14ac:dyDescent="0.25">
      <c r="A1147">
        <v>3021525</v>
      </c>
      <c r="B1147">
        <v>8</v>
      </c>
      <c r="C1147" s="1">
        <f>0.367668145470486*(10.3/7.3)</f>
        <v>0.5187646436090424</v>
      </c>
      <c r="D1147" s="1">
        <f>0.492538019948486*(10.3/7.3)</f>
        <v>0.69495090485882338</v>
      </c>
      <c r="E1147" s="1">
        <f>1.72691317226324*(10.3/7.3)</f>
        <v>2.4366035170289488</v>
      </c>
      <c r="F1147" s="1">
        <f>3.92928680038658*(38.9/42.5)</f>
        <v>3.596453094942071</v>
      </c>
      <c r="G1147" s="1">
        <v>0.16889564906880089</v>
      </c>
      <c r="H1147" s="1">
        <v>2.1653088262099893</v>
      </c>
      <c r="I1147" s="1">
        <v>2.9384930656716479</v>
      </c>
      <c r="J1147" s="1">
        <v>1.1576520650631018E-2</v>
      </c>
      <c r="K1147" s="1">
        <v>1.6460403311366563</v>
      </c>
      <c r="L1147" s="1">
        <v>1.6282921990634656</v>
      </c>
      <c r="M1147" s="1">
        <v>6.5205248566401433E-2</v>
      </c>
      <c r="N1147" s="1">
        <v>0.47065729230181097</v>
      </c>
      <c r="O1147" s="1">
        <v>0.15247333333333335</v>
      </c>
      <c r="P1147" s="1">
        <v>0.10848989711904411</v>
      </c>
      <c r="Q1147" s="1">
        <v>0.26992455330630305</v>
      </c>
      <c r="R1147" s="2">
        <f t="shared" si="71"/>
        <v>12.789394254695626</v>
      </c>
      <c r="S1147" s="2">
        <f t="shared" si="70"/>
        <v>1.7661067489063313</v>
      </c>
      <c r="T1147" s="2">
        <f t="shared" si="72"/>
        <v>2.3166280732650115</v>
      </c>
      <c r="U1147" s="2">
        <f t="shared" si="73"/>
        <v>16.872129076866969</v>
      </c>
    </row>
    <row r="1148" spans="1:21" x14ac:dyDescent="0.25">
      <c r="A1148">
        <v>3021661</v>
      </c>
      <c r="B1148">
        <v>8</v>
      </c>
      <c r="C1148" s="1">
        <f>0.990053858661064*(10.3/7.3)</f>
        <v>1.3969253074258849</v>
      </c>
      <c r="D1148" s="1">
        <f>1.03368889933401*(10.3/7.3)</f>
        <v>1.4584925565945597</v>
      </c>
      <c r="E1148" s="1">
        <f>3.69650749652729*(10.3/7.3)</f>
        <v>5.2156201663330322</v>
      </c>
      <c r="F1148" s="1">
        <f>6.94299429826458*(38.9/42.5)</f>
        <v>6.3548818400586384</v>
      </c>
      <c r="G1148" s="1">
        <v>0.2222748822375317</v>
      </c>
      <c r="H1148" s="1">
        <v>1.5801140558850144</v>
      </c>
      <c r="I1148" s="1">
        <v>5.4712279866634637</v>
      </c>
      <c r="J1148" s="1">
        <v>1.3708730538633248E-2</v>
      </c>
      <c r="K1148" s="1">
        <v>1.8404637538553885</v>
      </c>
      <c r="L1148" s="1">
        <v>2.9748450447936232</v>
      </c>
      <c r="M1148" s="1">
        <v>6.7680482802172551E-2</v>
      </c>
      <c r="N1148" s="1">
        <v>0.56108489816583307</v>
      </c>
      <c r="O1148" s="1">
        <v>0.16657333333333335</v>
      </c>
      <c r="P1148" s="1">
        <v>0.12068809625809689</v>
      </c>
      <c r="Q1148" s="1">
        <v>0.35523383005998255</v>
      </c>
      <c r="R1148" s="2">
        <f t="shared" si="71"/>
        <v>22.054770625258111</v>
      </c>
      <c r="S1148" s="2">
        <f t="shared" si="70"/>
        <v>1.9748605806521187</v>
      </c>
      <c r="T1148" s="2">
        <f t="shared" si="72"/>
        <v>3.7701837590949623</v>
      </c>
      <c r="U1148" s="2">
        <f t="shared" si="73"/>
        <v>27.799814965005194</v>
      </c>
    </row>
    <row r="1149" spans="1:21" x14ac:dyDescent="0.25">
      <c r="A1149">
        <v>3021669</v>
      </c>
      <c r="B1149">
        <v>18</v>
      </c>
      <c r="C1149" s="1">
        <f>1.33370224226842*(10.3/7.3)</f>
        <v>1.8817990541595491</v>
      </c>
      <c r="D1149" s="1">
        <f>1.42230519739251*(10.3/7.3)</f>
        <v>2.0068141826223096</v>
      </c>
      <c r="E1149" s="1">
        <f>5.07319025450993*(10.3/7.3)</f>
        <v>7.1580629618427798</v>
      </c>
      <c r="F1149" s="1">
        <f>9.8970184494326*(38.9/42.5)</f>
        <v>9.0586827690100691</v>
      </c>
      <c r="G1149" s="1">
        <v>0.33802675092488982</v>
      </c>
      <c r="H1149" s="1">
        <v>2.210913084100071</v>
      </c>
      <c r="I1149" s="1">
        <v>7.7755961041803419</v>
      </c>
      <c r="J1149" s="1">
        <v>1.6882293348719483E-2</v>
      </c>
      <c r="K1149" s="1">
        <v>2.2634496978242442</v>
      </c>
      <c r="L1149" s="1">
        <v>4.4761514469866865</v>
      </c>
      <c r="M1149" s="1">
        <v>8.2055530247214806E-2</v>
      </c>
      <c r="N1149" s="1">
        <v>0.71836902610504472</v>
      </c>
      <c r="O1149" s="1">
        <v>0.20661629629629627</v>
      </c>
      <c r="P1149" s="1">
        <v>0.15462605818429889</v>
      </c>
      <c r="Q1149" s="1">
        <v>0.54022540102151406</v>
      </c>
      <c r="R1149" s="2">
        <f t="shared" si="71"/>
        <v>30.970120307861521</v>
      </c>
      <c r="S1149" s="2">
        <f t="shared" si="70"/>
        <v>2.4349580493572627</v>
      </c>
      <c r="T1149" s="2">
        <f t="shared" si="72"/>
        <v>5.4831922996352418</v>
      </c>
      <c r="U1149" s="2">
        <f t="shared" si="73"/>
        <v>38.888270656854026</v>
      </c>
    </row>
    <row r="1150" spans="1:21" x14ac:dyDescent="0.25">
      <c r="A1150">
        <v>3022021</v>
      </c>
      <c r="B1150">
        <v>29</v>
      </c>
      <c r="C1150" s="1">
        <f>10.3403420135785*(10.3/7.3)</f>
        <v>14.589797635597032</v>
      </c>
      <c r="D1150" s="1">
        <f>9.95783154696012*(10.3/7.3)</f>
        <v>14.050091086806743</v>
      </c>
      <c r="E1150" s="1">
        <f>35.6492506295725*(10.3/7.3)</f>
        <v>50.299627600629705</v>
      </c>
      <c r="F1150" s="1">
        <f>73.0389961828972*(38.9/42.5)</f>
        <v>66.852163565051796</v>
      </c>
      <c r="G1150" s="1">
        <v>2.5962785854440122</v>
      </c>
      <c r="H1150" s="1">
        <v>8.2457453238874052</v>
      </c>
      <c r="I1150" s="1">
        <v>60.028017712120253</v>
      </c>
      <c r="J1150" s="1">
        <v>6.0585633784531391E-2</v>
      </c>
      <c r="K1150" s="1">
        <v>4.1870466874584231</v>
      </c>
      <c r="L1150" s="1">
        <v>5.0428335877377863</v>
      </c>
      <c r="M1150" s="1">
        <v>0.20959713243141637</v>
      </c>
      <c r="N1150" s="1">
        <v>2.6751840710237396</v>
      </c>
      <c r="O1150" s="1">
        <v>0.23891678160919538</v>
      </c>
      <c r="P1150" s="1">
        <v>0.170957947281628</v>
      </c>
      <c r="Q1150" s="1">
        <v>4.1493036753671477</v>
      </c>
      <c r="R1150" s="2">
        <f t="shared" si="71"/>
        <v>220.81102518490411</v>
      </c>
      <c r="S1150" s="2">
        <f t="shared" si="70"/>
        <v>4.4185902685245821</v>
      </c>
      <c r="T1150" s="2">
        <f t="shared" si="72"/>
        <v>8.1665315728021373</v>
      </c>
      <c r="U1150" s="2">
        <f t="shared" si="73"/>
        <v>233.39614702623084</v>
      </c>
    </row>
    <row r="1151" spans="1:21" x14ac:dyDescent="0.25">
      <c r="A1151">
        <v>3022045</v>
      </c>
      <c r="B1151">
        <v>4</v>
      </c>
      <c r="C1151" s="1">
        <f>9.4534560335192*(10.3/7.3)</f>
        <v>13.338437965102438</v>
      </c>
      <c r="D1151" s="1">
        <f>9.35109734970067*(10.3/7.3)</f>
        <v>13.194014068755742</v>
      </c>
      <c r="E1151" s="1">
        <f>33.6017829701191*(10.3/7.3)</f>
        <v>47.410734875647528</v>
      </c>
      <c r="F1151" s="1">
        <f>59.961772645146*(38.9/42.5)</f>
        <v>54.882657785792439</v>
      </c>
      <c r="G1151" s="1">
        <v>1.7202061422666877</v>
      </c>
      <c r="H1151" s="1">
        <v>6.717332234813048</v>
      </c>
      <c r="I1151" s="1">
        <v>48.018839863175756</v>
      </c>
      <c r="J1151" s="1">
        <v>3.946391654400945E-2</v>
      </c>
      <c r="K1151" s="1">
        <v>2.8352628009996486</v>
      </c>
      <c r="L1151" s="1">
        <v>3.0929562714739514</v>
      </c>
      <c r="M1151" s="1">
        <v>0.14996117490670846</v>
      </c>
      <c r="N1151" s="1">
        <v>2.165852042008491</v>
      </c>
      <c r="O1151" s="1">
        <v>0.16166666666666668</v>
      </c>
      <c r="P1151" s="1">
        <v>0.13146820375924312</v>
      </c>
      <c r="Q1151" s="1">
        <v>2.749187898599732</v>
      </c>
      <c r="R1151" s="2">
        <f t="shared" si="71"/>
        <v>188.03141083415338</v>
      </c>
      <c r="S1151" s="2">
        <f t="shared" si="70"/>
        <v>3.0061949213029013</v>
      </c>
      <c r="T1151" s="2">
        <f t="shared" si="72"/>
        <v>5.5704361550558179</v>
      </c>
      <c r="U1151" s="2">
        <f t="shared" si="73"/>
        <v>196.6080419105121</v>
      </c>
    </row>
    <row r="1152" spans="1:21" x14ac:dyDescent="0.25">
      <c r="A1152">
        <v>3022357</v>
      </c>
      <c r="B1152">
        <v>4</v>
      </c>
      <c r="C1152" s="1">
        <f>12.0881563352563*(10.3/7.3)</f>
        <v>17.055891815498583</v>
      </c>
      <c r="D1152" s="1">
        <f>11.8120672232803*(10.3/7.3)</f>
        <v>16.666341424628374</v>
      </c>
      <c r="E1152" s="1">
        <f>42.5464779057256*(10.3/7.3)</f>
        <v>60.031331839585469</v>
      </c>
      <c r="F1152" s="1">
        <f>72.296332127775*(38.9/42.5)</f>
        <v>66.172407524010538</v>
      </c>
      <c r="G1152" s="1">
        <v>1.8631766512060521</v>
      </c>
      <c r="H1152" s="1">
        <v>9.1543491301033928</v>
      </c>
      <c r="I1152" s="1">
        <v>57.869025680745395</v>
      </c>
      <c r="J1152" s="1">
        <v>3.217197088722968E-2</v>
      </c>
      <c r="K1152" s="1">
        <v>2.5400902053662704</v>
      </c>
      <c r="L1152" s="1">
        <v>4.3545060787584635</v>
      </c>
      <c r="M1152" s="1">
        <v>0.11842678483286703</v>
      </c>
      <c r="N1152" s="1">
        <v>3.1618573705551212</v>
      </c>
      <c r="O1152" s="1">
        <v>0.11078666666666666</v>
      </c>
      <c r="P1152" s="1">
        <v>8.8222141105017415E-2</v>
      </c>
      <c r="Q1152" s="1">
        <v>2.9776795795530546</v>
      </c>
      <c r="R1152" s="2">
        <f t="shared" si="71"/>
        <v>231.79020364533085</v>
      </c>
      <c r="S1152" s="2">
        <f t="shared" si="70"/>
        <v>2.6604843173585175</v>
      </c>
      <c r="T1152" s="2">
        <f t="shared" si="72"/>
        <v>7.7455769008131181</v>
      </c>
      <c r="U1152" s="2">
        <f t="shared" si="73"/>
        <v>242.19626486350248</v>
      </c>
    </row>
    <row r="1153" spans="1:21" x14ac:dyDescent="0.25">
      <c r="A1153">
        <v>3022365</v>
      </c>
      <c r="B1153">
        <v>21</v>
      </c>
      <c r="C1153" s="1">
        <f>12.8898608434406*(10.3/7.3)</f>
        <v>18.187063929786067</v>
      </c>
      <c r="D1153" s="1">
        <f>12.3663559321447*(10.3/7.3)</f>
        <v>17.448420013847993</v>
      </c>
      <c r="E1153" s="1">
        <f>44.6479389337263*(10.3/7.3)</f>
        <v>62.996406988682281</v>
      </c>
      <c r="F1153" s="1">
        <f>72.9615935593516*(38.9/42.5)</f>
        <v>66.781317399030044</v>
      </c>
      <c r="G1153" s="1">
        <v>1.6945447688673145</v>
      </c>
      <c r="H1153" s="1">
        <v>5.3732579532403433</v>
      </c>
      <c r="I1153" s="1">
        <v>58.638879982693815</v>
      </c>
      <c r="J1153" s="1">
        <v>3.4401471375665273E-2</v>
      </c>
      <c r="K1153" s="1">
        <v>2.7331990756496269</v>
      </c>
      <c r="L1153" s="1">
        <v>3.6008625128255551</v>
      </c>
      <c r="M1153" s="1">
        <v>0.12230891426894527</v>
      </c>
      <c r="N1153" s="1">
        <v>1.6824440127263629</v>
      </c>
      <c r="O1153" s="1">
        <v>0.11439746031746033</v>
      </c>
      <c r="P1153" s="1">
        <v>9.0271093751272291E-2</v>
      </c>
      <c r="Q1153" s="1">
        <v>2.7081765712491355</v>
      </c>
      <c r="R1153" s="2">
        <f t="shared" si="71"/>
        <v>233.82806760739697</v>
      </c>
      <c r="S1153" s="2">
        <f t="shared" si="70"/>
        <v>2.8578716407765645</v>
      </c>
      <c r="T1153" s="2">
        <f t="shared" si="72"/>
        <v>5.5200129001383234</v>
      </c>
      <c r="U1153" s="2">
        <f t="shared" si="73"/>
        <v>242.20595214831184</v>
      </c>
    </row>
    <row r="1154" spans="1:21" x14ac:dyDescent="0.25">
      <c r="A1154">
        <v>3022373</v>
      </c>
      <c r="B1154">
        <v>66</v>
      </c>
      <c r="C1154" s="1">
        <f>13.9749732489307*(10.3/7.3)</f>
        <v>19.718112940272079</v>
      </c>
      <c r="D1154" s="1">
        <f>13.4356030088231*(10.3/7.3)</f>
        <v>18.957083697380551</v>
      </c>
      <c r="E1154" s="1">
        <f>48.5085563702782*(10.3/7.3)</f>
        <v>68.44357953614589</v>
      </c>
      <c r="F1154" s="1">
        <f>78.9661136510521*(38.9/42.5)</f>
        <v>72.277219318257053</v>
      </c>
      <c r="G1154" s="1">
        <v>1.8176380771380609</v>
      </c>
      <c r="H1154" s="1">
        <v>4.8834137837682903</v>
      </c>
      <c r="I1154" s="1">
        <v>63.369928636056791</v>
      </c>
      <c r="J1154" s="1">
        <v>3.9661997010312325E-2</v>
      </c>
      <c r="K1154" s="1">
        <v>2.7747832619843087</v>
      </c>
      <c r="L1154" s="1">
        <v>3.9589055774502189</v>
      </c>
      <c r="M1154" s="1">
        <v>0.13642085755216068</v>
      </c>
      <c r="N1154" s="1">
        <v>1.742705628280472</v>
      </c>
      <c r="O1154" s="1">
        <v>0.12488565656565655</v>
      </c>
      <c r="P1154" s="1">
        <v>9.6712932692704173E-2</v>
      </c>
      <c r="Q1154" s="1">
        <v>2.9049010365220185</v>
      </c>
      <c r="R1154" s="2">
        <f t="shared" si="71"/>
        <v>252.37187702554075</v>
      </c>
      <c r="S1154" s="2">
        <f t="shared" si="70"/>
        <v>2.911158191687325</v>
      </c>
      <c r="T1154" s="2">
        <f t="shared" si="72"/>
        <v>5.9629177198485088</v>
      </c>
      <c r="U1154" s="2">
        <f t="shared" si="73"/>
        <v>261.24595293707659</v>
      </c>
    </row>
    <row r="1155" spans="1:21" x14ac:dyDescent="0.25">
      <c r="A1155">
        <v>3033761</v>
      </c>
      <c r="B1155">
        <v>3</v>
      </c>
      <c r="C1155" s="1">
        <f>0.402487147127545*(10.3/7.3)</f>
        <v>0.56789282402927521</v>
      </c>
      <c r="D1155" s="1">
        <f>0.53758658928053*(10.3/7.3)</f>
        <v>0.75851258487526829</v>
      </c>
      <c r="E1155" s="1">
        <f>1.88478334847007*(10.3/7.3)</f>
        <v>2.6593518478413323</v>
      </c>
      <c r="F1155" s="1">
        <f>4.30438615683708*(38.9/42.5)</f>
        <v>3.9397793294344075</v>
      </c>
      <c r="G1155" s="1">
        <v>0.18558448302348027</v>
      </c>
      <c r="H1155" s="1">
        <v>3.2767883960795743</v>
      </c>
      <c r="I1155" s="1">
        <v>3.224062351569573</v>
      </c>
      <c r="J1155" s="1">
        <v>1.2011095435432799E-2</v>
      </c>
      <c r="K1155" s="1">
        <v>1.716414668835581</v>
      </c>
      <c r="L1155" s="1">
        <v>1.7053869998634255</v>
      </c>
      <c r="M1155" s="1">
        <v>6.7345996432136665E-2</v>
      </c>
      <c r="N1155" s="1">
        <v>0.49056560191945286</v>
      </c>
      <c r="O1155" s="1">
        <v>0.15832888888888888</v>
      </c>
      <c r="P1155" s="1">
        <v>0.11426576232299392</v>
      </c>
      <c r="Q1155" s="1">
        <v>0.29659620574528844</v>
      </c>
      <c r="R1155" s="2">
        <f t="shared" si="71"/>
        <v>14.9085680225982</v>
      </c>
      <c r="S1155" s="2">
        <f t="shared" si="70"/>
        <v>1.8426915265940078</v>
      </c>
      <c r="T1155" s="2">
        <f t="shared" si="72"/>
        <v>2.4216274871039039</v>
      </c>
      <c r="U1155" s="2">
        <f t="shared" si="73"/>
        <v>19.17288703629611</v>
      </c>
    </row>
    <row r="1156" spans="1:21" x14ac:dyDescent="0.25">
      <c r="A1156">
        <v>3033825</v>
      </c>
      <c r="B1156">
        <v>2</v>
      </c>
      <c r="C1156" s="1">
        <f>0.560794863922268*(10.3/7.3)</f>
        <v>0.79125850663004971</v>
      </c>
      <c r="D1156" s="1">
        <f>0.70827885191176*(10.3/7.3)</f>
        <v>0.99935235269741451</v>
      </c>
      <c r="E1156" s="1">
        <f>2.49462988307218*(10.3/7.3)</f>
        <v>3.519820245978555</v>
      </c>
      <c r="F1156" s="1">
        <f>5.42565813406841*(38.9/42.5)</f>
        <v>4.96607297447673</v>
      </c>
      <c r="G1156" s="1">
        <v>0.22059839878373988</v>
      </c>
      <c r="H1156" s="1">
        <v>1.546859104453761</v>
      </c>
      <c r="I1156" s="1">
        <v>4.0933634029478601</v>
      </c>
      <c r="J1156" s="1">
        <v>1.3985599583791745E-2</v>
      </c>
      <c r="K1156" s="1">
        <v>1.9947849141768139</v>
      </c>
      <c r="L1156" s="1">
        <v>3.0569620265181063</v>
      </c>
      <c r="M1156" s="1">
        <v>7.5362330370034952E-2</v>
      </c>
      <c r="N1156" s="1">
        <v>0.57936301710396609</v>
      </c>
      <c r="O1156" s="1">
        <v>0.18794666666666665</v>
      </c>
      <c r="P1156" s="1">
        <v>0.13488058049320428</v>
      </c>
      <c r="Q1156" s="1">
        <v>0.35255451860415088</v>
      </c>
      <c r="R1156" s="2">
        <f t="shared" si="71"/>
        <v>16.489879504572261</v>
      </c>
      <c r="S1156" s="2">
        <f t="shared" si="70"/>
        <v>2.1436510942538103</v>
      </c>
      <c r="T1156" s="2">
        <f t="shared" si="72"/>
        <v>3.8996340406587739</v>
      </c>
      <c r="U1156" s="2">
        <f t="shared" si="73"/>
        <v>22.533164639484845</v>
      </c>
    </row>
    <row r="1157" spans="1:21" x14ac:dyDescent="0.25">
      <c r="A1157">
        <v>3033881</v>
      </c>
      <c r="B1157">
        <v>5</v>
      </c>
      <c r="C1157" s="1">
        <f>0.956218969676549*(10.3/7.3)</f>
        <v>1.3491856695436244</v>
      </c>
      <c r="D1157" s="1">
        <f>1.03344905275778*(10.3/7.3)</f>
        <v>1.4581541429322147</v>
      </c>
      <c r="E1157" s="1">
        <f>3.68461046596815*(10.3/7.3)</f>
        <v>5.1988339451331482</v>
      </c>
      <c r="F1157" s="1">
        <f>7.13830868031349*(38.9/42.5)</f>
        <v>6.5336519450398747</v>
      </c>
      <c r="G1157" s="1">
        <v>0.24225051788615173</v>
      </c>
      <c r="H1157" s="1">
        <v>1.9404096205836254</v>
      </c>
      <c r="I1157" s="1">
        <v>5.573754146538394</v>
      </c>
      <c r="J1157" s="1">
        <v>1.4878369654310492E-2</v>
      </c>
      <c r="K1157" s="1">
        <v>2.0061032456792178</v>
      </c>
      <c r="L1157" s="1">
        <v>3.1120246456655436</v>
      </c>
      <c r="M1157" s="1">
        <v>7.5569052392435346E-2</v>
      </c>
      <c r="N1157" s="1">
        <v>0.60521217478608968</v>
      </c>
      <c r="O1157" s="1">
        <v>0.18526933333333334</v>
      </c>
      <c r="P1157" s="1">
        <v>0.13053734435483652</v>
      </c>
      <c r="Q1157" s="1">
        <v>0.38715836191850772</v>
      </c>
      <c r="R1157" s="2">
        <f t="shared" si="71"/>
        <v>22.683398349575544</v>
      </c>
      <c r="S1157" s="2">
        <f t="shared" si="70"/>
        <v>2.151518959688365</v>
      </c>
      <c r="T1157" s="2">
        <f t="shared" si="72"/>
        <v>3.9780752061774018</v>
      </c>
      <c r="U1157" s="2">
        <f t="shared" si="73"/>
        <v>28.812992515441309</v>
      </c>
    </row>
    <row r="1158" spans="1:21" x14ac:dyDescent="0.25">
      <c r="A1158">
        <v>3033897</v>
      </c>
      <c r="B1158">
        <v>14</v>
      </c>
      <c r="C1158" s="1">
        <f>1.04998255087151*(10.3/7.3)</f>
        <v>1.4814822293118528</v>
      </c>
      <c r="D1158" s="1">
        <f>1.12482949395347*(10.3/7.3)</f>
        <v>1.587088190098731</v>
      </c>
      <c r="E1158" s="1">
        <f>4.01266915125633*(10.3/7.3)</f>
        <v>5.6617112682109916</v>
      </c>
      <c r="F1158" s="1">
        <f>7.75288709273728*(38.9/42.5)</f>
        <v>7.096171950764238</v>
      </c>
      <c r="G1158" s="1">
        <v>0.26139346815303693</v>
      </c>
      <c r="H1158" s="1">
        <v>1.7581696075237825</v>
      </c>
      <c r="I1158" s="1">
        <v>6.0718787533466436</v>
      </c>
      <c r="J1158" s="1">
        <v>1.5380401275985956E-2</v>
      </c>
      <c r="K1158" s="1">
        <v>1.94781603297473</v>
      </c>
      <c r="L1158" s="1">
        <v>3.3800754204864245</v>
      </c>
      <c r="M1158" s="1">
        <v>7.1826849026934592E-2</v>
      </c>
      <c r="N1158" s="1">
        <v>0.62200773467878345</v>
      </c>
      <c r="O1158" s="1">
        <v>0.17634285714285713</v>
      </c>
      <c r="P1158" s="1">
        <v>0.13076699778351772</v>
      </c>
      <c r="Q1158" s="1">
        <v>0.41775211805279927</v>
      </c>
      <c r="R1158" s="2">
        <f t="shared" si="71"/>
        <v>24.33564758546208</v>
      </c>
      <c r="S1158" s="2">
        <f t="shared" si="70"/>
        <v>2.0939634320342337</v>
      </c>
      <c r="T1158" s="2">
        <f t="shared" si="72"/>
        <v>4.2502528613349995</v>
      </c>
      <c r="U1158" s="2">
        <f t="shared" si="73"/>
        <v>30.679863878831313</v>
      </c>
    </row>
    <row r="1159" spans="1:21" x14ac:dyDescent="0.25">
      <c r="A1159">
        <v>3033905</v>
      </c>
      <c r="B1159">
        <v>3</v>
      </c>
      <c r="C1159" s="1">
        <f>1.48084893754474*(10.3/7.3)</f>
        <v>2.0894169940699752</v>
      </c>
      <c r="D1159" s="1">
        <f>1.67546958949835*(10.3/7.3)</f>
        <v>2.3640187358675315</v>
      </c>
      <c r="E1159" s="1">
        <f>5.94271758381104*(10.3/7.3)</f>
        <v>8.384930289486805</v>
      </c>
      <c r="F1159" s="1">
        <f>12.3732950394083*(38.9/42.5)</f>
        <v>11.325204165481935</v>
      </c>
      <c r="G1159" s="1">
        <v>0.4679490028674535</v>
      </c>
      <c r="H1159" s="1">
        <v>3.1642590149738172</v>
      </c>
      <c r="I1159" s="1">
        <v>9.6060669747401661</v>
      </c>
      <c r="J1159" s="1">
        <v>1.8613520481664581E-2</v>
      </c>
      <c r="K1159" s="1">
        <v>2.5026584622436374</v>
      </c>
      <c r="L1159" s="1">
        <v>11.347306065267679</v>
      </c>
      <c r="M1159" s="1">
        <v>9.1727650771201263E-2</v>
      </c>
      <c r="N1159" s="1">
        <v>1.0160507361687645</v>
      </c>
      <c r="O1159" s="1">
        <v>0.23328000000000002</v>
      </c>
      <c r="P1159" s="1">
        <v>0.17198879740956496</v>
      </c>
      <c r="Q1159" s="1">
        <v>0.74786370321282591</v>
      </c>
      <c r="R1159" s="2">
        <f t="shared" si="71"/>
        <v>38.149708880700516</v>
      </c>
      <c r="S1159" s="2">
        <f t="shared" si="70"/>
        <v>2.6932607801348669</v>
      </c>
      <c r="T1159" s="2">
        <f t="shared" si="72"/>
        <v>12.688364452207646</v>
      </c>
      <c r="U1159" s="2">
        <f t="shared" si="73"/>
        <v>53.531334113043023</v>
      </c>
    </row>
    <row r="1160" spans="1:21" x14ac:dyDescent="0.25">
      <c r="A1160">
        <v>3034257</v>
      </c>
      <c r="B1160">
        <v>37</v>
      </c>
      <c r="C1160" s="1">
        <f>10.0593439887531*(10.3/7.3)</f>
        <v>14.193320970432444</v>
      </c>
      <c r="D1160" s="1">
        <f>9.89265952276293*(10.3/7.3)</f>
        <v>13.95813603896687</v>
      </c>
      <c r="E1160" s="1">
        <f>35.4166862501133*(10.3/7.3)</f>
        <v>49.971488818652958</v>
      </c>
      <c r="F1160" s="1">
        <f>70.3777698673597*(38.9/42.5)</f>
        <v>64.416358772712755</v>
      </c>
      <c r="G1160" s="1">
        <v>2.4112943074541939</v>
      </c>
      <c r="H1160" s="1">
        <v>6.5270672485666674</v>
      </c>
      <c r="I1160" s="1">
        <v>57.195239490874783</v>
      </c>
      <c r="J1160" s="1">
        <v>5.9666096335082672E-2</v>
      </c>
      <c r="K1160" s="1">
        <v>4.1207976796584749</v>
      </c>
      <c r="L1160" s="1">
        <v>5.0259288423708384</v>
      </c>
      <c r="M1160" s="1">
        <v>0.2094480970139192</v>
      </c>
      <c r="N1160" s="1">
        <v>2.5221172026603713</v>
      </c>
      <c r="O1160" s="1">
        <v>0.23773693693693695</v>
      </c>
      <c r="P1160" s="1">
        <v>0.17130426969041035</v>
      </c>
      <c r="Q1160" s="1">
        <v>3.8536667014108152</v>
      </c>
      <c r="R1160" s="2">
        <f t="shared" si="71"/>
        <v>212.5265723490715</v>
      </c>
      <c r="S1160" s="2">
        <f t="shared" si="70"/>
        <v>4.3517680456839685</v>
      </c>
      <c r="T1160" s="2">
        <f t="shared" si="72"/>
        <v>7.9952310789820658</v>
      </c>
      <c r="U1160" s="2">
        <f t="shared" si="73"/>
        <v>224.87357147373754</v>
      </c>
    </row>
    <row r="1161" spans="1:21" x14ac:dyDescent="0.25">
      <c r="A1161">
        <v>3034265</v>
      </c>
      <c r="B1161">
        <v>5</v>
      </c>
      <c r="C1161" s="1">
        <f>9.38455155094921*(10.3/7.3)</f>
        <v>13.241216571887239</v>
      </c>
      <c r="D1161" s="1">
        <f>8.73588744983953*(10.3/7.3)</f>
        <v>12.325978182650296</v>
      </c>
      <c r="E1161" s="1">
        <f>31.3148697451986*(10.3/7.3)</f>
        <v>44.183994298019975</v>
      </c>
      <c r="F1161" s="1">
        <f>65.278118625826*(38.9/42.5)</f>
        <v>59.748677989285468</v>
      </c>
      <c r="G1161" s="1">
        <v>2.3521196975375225</v>
      </c>
      <c r="H1161" s="1">
        <v>6.9593543813405034</v>
      </c>
      <c r="I1161" s="1">
        <v>54.435583559059786</v>
      </c>
      <c r="J1161" s="1">
        <v>4.7355851212059895E-2</v>
      </c>
      <c r="K1161" s="1">
        <v>3.367103564757536</v>
      </c>
      <c r="L1161" s="1">
        <v>3.7668034164545148</v>
      </c>
      <c r="M1161" s="1">
        <v>0.16357275628454254</v>
      </c>
      <c r="N1161" s="1">
        <v>2.1202575333806042</v>
      </c>
      <c r="O1161" s="1">
        <v>0.18809599999999999</v>
      </c>
      <c r="P1161" s="1">
        <v>0.14944448540101132</v>
      </c>
      <c r="Q1161" s="1">
        <v>3.7590954070234419</v>
      </c>
      <c r="R1161" s="2">
        <f t="shared" si="71"/>
        <v>197.00602008680423</v>
      </c>
      <c r="S1161" s="2">
        <f t="shared" ref="S1161:S1224" si="74">J1161+K1161+P1161</f>
        <v>3.5639039013706073</v>
      </c>
      <c r="T1161" s="2">
        <f t="shared" si="72"/>
        <v>6.2387297061196616</v>
      </c>
      <c r="U1161" s="2">
        <f t="shared" si="73"/>
        <v>206.80865369429449</v>
      </c>
    </row>
    <row r="1162" spans="1:21" x14ac:dyDescent="0.25">
      <c r="A1162">
        <v>3034593</v>
      </c>
      <c r="B1162">
        <v>59</v>
      </c>
      <c r="C1162" s="1">
        <f>17.1984427372829*(10.3/7.3)</f>
        <v>24.266295916988224</v>
      </c>
      <c r="D1162" s="1">
        <f>16.7074177138564*(10.3/7.3)</f>
        <v>23.573479788044029</v>
      </c>
      <c r="E1162" s="1">
        <f>60.2264599860215*(10.3/7.3)</f>
        <v>84.977059980276977</v>
      </c>
      <c r="F1162" s="1">
        <f>100.983461476088*(38.9/42.5)</f>
        <v>92.429568268701686</v>
      </c>
      <c r="G1162" s="1">
        <v>2.5164664502817367</v>
      </c>
      <c r="H1162" s="1">
        <v>7.5614164604283625</v>
      </c>
      <c r="I1162" s="1">
        <v>80.922348945883272</v>
      </c>
      <c r="J1162" s="1">
        <v>4.1658048439383963E-2</v>
      </c>
      <c r="K1162" s="1">
        <v>3.1575240062147727</v>
      </c>
      <c r="L1162" s="1">
        <v>4.9778061761270953</v>
      </c>
      <c r="M1162" s="1">
        <v>0.14611743199034713</v>
      </c>
      <c r="N1162" s="1">
        <v>2.1740830591442397</v>
      </c>
      <c r="O1162" s="1">
        <v>0.13270870056497169</v>
      </c>
      <c r="P1162" s="1">
        <v>0.10132015380006208</v>
      </c>
      <c r="Q1162" s="1">
        <v>4.0217500346968418</v>
      </c>
      <c r="R1162" s="2">
        <f t="shared" ref="R1162:R1225" si="75">C1162+D1162+E1162+F1162+G1162+H1162+I1162+Q1162</f>
        <v>320.26838584530111</v>
      </c>
      <c r="S1162" s="2">
        <f t="shared" si="74"/>
        <v>3.3005022084542186</v>
      </c>
      <c r="T1162" s="2">
        <f t="shared" ref="T1162:T1225" si="76">L1162+M1162+N1162+O1162</f>
        <v>7.4307153678266529</v>
      </c>
      <c r="U1162" s="2">
        <f t="shared" ref="U1162:U1225" si="77">R1162+S1162+T1162</f>
        <v>330.99960342158198</v>
      </c>
    </row>
    <row r="1163" spans="1:21" x14ac:dyDescent="0.25">
      <c r="A1163">
        <v>3034601</v>
      </c>
      <c r="B1163">
        <v>47</v>
      </c>
      <c r="C1163" s="1">
        <f>12.7069492656782*(10.3/7.3)</f>
        <v>17.928983210477522</v>
      </c>
      <c r="D1163" s="1">
        <f>12.0869371228182*(10.3/7.3)</f>
        <v>17.054171556853131</v>
      </c>
      <c r="E1163" s="1">
        <f>43.671730175636*(10.3/7.3)</f>
        <v>61.619016549185012</v>
      </c>
      <c r="F1163" s="1">
        <f>70.8223034400107*(38.9/42.5)</f>
        <v>64.823237736856854</v>
      </c>
      <c r="G1163" s="1">
        <v>1.6040821972988517</v>
      </c>
      <c r="H1163" s="1">
        <v>5.1577693529750066</v>
      </c>
      <c r="I1163" s="1">
        <v>57.10940186309643</v>
      </c>
      <c r="J1163" s="1">
        <v>3.5165505997481729E-2</v>
      </c>
      <c r="K1163" s="1">
        <v>2.5616023049359002</v>
      </c>
      <c r="L1163" s="1">
        <v>3.5531463791781337</v>
      </c>
      <c r="M1163" s="1">
        <v>0.1251001882031326</v>
      </c>
      <c r="N1163" s="1">
        <v>1.7009925798688255</v>
      </c>
      <c r="O1163" s="1">
        <v>0.1164368794326241</v>
      </c>
      <c r="P1163" s="1">
        <v>9.058036433269348E-2</v>
      </c>
      <c r="Q1163" s="1">
        <v>2.5636016851808168</v>
      </c>
      <c r="R1163" s="2">
        <f t="shared" si="75"/>
        <v>227.86026415192362</v>
      </c>
      <c r="S1163" s="2">
        <f t="shared" si="74"/>
        <v>2.6873481752660755</v>
      </c>
      <c r="T1163" s="2">
        <f t="shared" si="76"/>
        <v>5.4956760266827152</v>
      </c>
      <c r="U1163" s="2">
        <f t="shared" si="77"/>
        <v>236.04328835387238</v>
      </c>
    </row>
    <row r="1164" spans="1:21" x14ac:dyDescent="0.25">
      <c r="A1164">
        <v>3034609</v>
      </c>
      <c r="B1164">
        <v>52</v>
      </c>
      <c r="C1164" s="1">
        <f>15.1028423395609*(10.3/7.3)</f>
        <v>21.309489876366719</v>
      </c>
      <c r="D1164" s="1">
        <f>14.4559025805097*(10.3/7.3)</f>
        <v>20.396684462910979</v>
      </c>
      <c r="E1164" s="1">
        <f>52.197576486362*(10.3/7.3)</f>
        <v>73.648635316373856</v>
      </c>
      <c r="F1164" s="1">
        <f>85.3771356476843*(38.9/42.5)</f>
        <v>78.145190039880418</v>
      </c>
      <c r="G1164" s="1">
        <v>1.9851421120720627</v>
      </c>
      <c r="H1164" s="1">
        <v>5.1657639501740915</v>
      </c>
      <c r="I1164" s="1">
        <v>68.702779853654604</v>
      </c>
      <c r="J1164" s="1">
        <v>4.0654624798342726E-2</v>
      </c>
      <c r="K1164" s="1">
        <v>2.9247993145054485</v>
      </c>
      <c r="L1164" s="1">
        <v>4.2221771647352417</v>
      </c>
      <c r="M1164" s="1">
        <v>0.1441651855821463</v>
      </c>
      <c r="N1164" s="1">
        <v>1.817932565284911</v>
      </c>
      <c r="O1164" s="1">
        <v>0.1313948717948718</v>
      </c>
      <c r="P1164" s="1">
        <v>0.10019017432808279</v>
      </c>
      <c r="Q1164" s="1">
        <v>3.172601548973617</v>
      </c>
      <c r="R1164" s="2">
        <f t="shared" si="75"/>
        <v>272.52628716040635</v>
      </c>
      <c r="S1164" s="2">
        <f t="shared" si="74"/>
        <v>3.0656441136318739</v>
      </c>
      <c r="T1164" s="2">
        <f t="shared" si="76"/>
        <v>6.3156697873971712</v>
      </c>
      <c r="U1164" s="2">
        <f t="shared" si="77"/>
        <v>281.9076010614354</v>
      </c>
    </row>
    <row r="1165" spans="1:21" x14ac:dyDescent="0.25">
      <c r="A1165">
        <v>3046053</v>
      </c>
      <c r="B1165">
        <v>7</v>
      </c>
      <c r="C1165" s="1">
        <f>0.527338352154178*(10.3/7.3)</f>
        <v>0.74405274345041605</v>
      </c>
      <c r="D1165" s="1">
        <f>0.668742197384026*(10.3/7.3)</f>
        <v>0.94356775795280368</v>
      </c>
      <c r="E1165" s="1">
        <f>2.35457988098914*(10.3/7.3)</f>
        <v>3.3222154485189233</v>
      </c>
      <c r="F1165" s="1">
        <f>5.13980849433277*(38.9/42.5)</f>
        <v>4.7044364806951693</v>
      </c>
      <c r="G1165" s="1">
        <v>0.20994554392307435</v>
      </c>
      <c r="H1165" s="1">
        <v>1.5800660689421124</v>
      </c>
      <c r="I1165" s="1">
        <v>3.8754894367685688</v>
      </c>
      <c r="J1165" s="1">
        <v>1.3824357841017447E-2</v>
      </c>
      <c r="K1165" s="1">
        <v>1.9659610410018238</v>
      </c>
      <c r="L1165" s="1">
        <v>2.7389801482903624</v>
      </c>
      <c r="M1165" s="1">
        <v>7.4753290468626749E-2</v>
      </c>
      <c r="N1165" s="1">
        <v>0.57344641748183611</v>
      </c>
      <c r="O1165" s="1">
        <v>0.18525714285714284</v>
      </c>
      <c r="P1165" s="1">
        <v>0.1318871951833816</v>
      </c>
      <c r="Q1165" s="1">
        <v>0.33552940809623782</v>
      </c>
      <c r="R1165" s="2">
        <f t="shared" si="75"/>
        <v>15.715302888347308</v>
      </c>
      <c r="S1165" s="2">
        <f t="shared" si="74"/>
        <v>2.1116725940262229</v>
      </c>
      <c r="T1165" s="2">
        <f t="shared" si="76"/>
        <v>3.5724369990979685</v>
      </c>
      <c r="U1165" s="2">
        <f t="shared" si="77"/>
        <v>21.399412481471501</v>
      </c>
    </row>
    <row r="1166" spans="1:21" x14ac:dyDescent="0.25">
      <c r="A1166">
        <v>3046061</v>
      </c>
      <c r="B1166">
        <v>3</v>
      </c>
      <c r="C1166" s="1">
        <f>0.772553341184583*(10.3/7.3)</f>
        <v>1.0900410156440008</v>
      </c>
      <c r="D1166" s="1">
        <f>0.96517528778693*(10.3/7.3)</f>
        <v>1.3618226663295034</v>
      </c>
      <c r="E1166" s="1">
        <f>3.40157992922982*(10.3/7.3)</f>
        <v>4.7994894891872759</v>
      </c>
      <c r="F1166" s="1">
        <f>7.37417625455609*(38.9/42.5)</f>
        <v>6.7495401482878075</v>
      </c>
      <c r="G1166" s="1">
        <v>0.29817264115759395</v>
      </c>
      <c r="H1166" s="1">
        <v>2.0996526910399513</v>
      </c>
      <c r="I1166" s="1">
        <v>5.578925841829566</v>
      </c>
      <c r="J1166" s="1">
        <v>1.6336334465290724E-2</v>
      </c>
      <c r="K1166" s="1">
        <v>2.2674649786559598</v>
      </c>
      <c r="L1166" s="1">
        <v>3.8193174689532832</v>
      </c>
      <c r="M1166" s="1">
        <v>8.802614213552995E-2</v>
      </c>
      <c r="N1166" s="1">
        <v>0.66649816179807653</v>
      </c>
      <c r="O1166" s="1">
        <v>0.21450666666666665</v>
      </c>
      <c r="P1166" s="1">
        <v>0.15066637678499953</v>
      </c>
      <c r="Q1166" s="1">
        <v>0.47653161828839269</v>
      </c>
      <c r="R1166" s="2">
        <f t="shared" si="75"/>
        <v>22.454176111764092</v>
      </c>
      <c r="S1166" s="2">
        <f t="shared" si="74"/>
        <v>2.4344676899062501</v>
      </c>
      <c r="T1166" s="2">
        <f t="shared" si="76"/>
        <v>4.7883484395535572</v>
      </c>
      <c r="U1166" s="2">
        <f t="shared" si="77"/>
        <v>29.6769922412239</v>
      </c>
    </row>
    <row r="1167" spans="1:21" x14ac:dyDescent="0.25">
      <c r="A1167">
        <v>3046069</v>
      </c>
      <c r="B1167">
        <v>2</v>
      </c>
      <c r="C1167" s="1">
        <f>0.743013365516329*(10.3/7.3)</f>
        <v>1.0483613239476974</v>
      </c>
      <c r="D1167" s="1">
        <f>0.902617768160152*(10.3/7.3)</f>
        <v>1.2735565769930919</v>
      </c>
      <c r="E1167" s="1">
        <f>3.18851791465148*(10.3/7.3)</f>
        <v>4.4988677425904458</v>
      </c>
      <c r="F1167" s="1">
        <f>6.74365490360154*(38.9/42.5)</f>
        <v>6.1724276647082359</v>
      </c>
      <c r="G1167" s="1">
        <v>0.26383826002393795</v>
      </c>
      <c r="H1167" s="1">
        <v>1.9044338094898148</v>
      </c>
      <c r="I1167" s="1">
        <v>5.1248068029949794</v>
      </c>
      <c r="J1167" s="1">
        <v>1.5250074303442822E-2</v>
      </c>
      <c r="K1167" s="1">
        <v>2.147005258994831</v>
      </c>
      <c r="L1167" s="1">
        <v>3.4775823702867079</v>
      </c>
      <c r="M1167" s="1">
        <v>8.2477810102647015E-2</v>
      </c>
      <c r="N1167" s="1">
        <v>0.63132393846951151</v>
      </c>
      <c r="O1167" s="1">
        <v>0.20274666666666666</v>
      </c>
      <c r="P1167" s="1">
        <v>0.144683040615984</v>
      </c>
      <c r="Q1167" s="1">
        <v>0.42165931967296066</v>
      </c>
      <c r="R1167" s="2">
        <f t="shared" si="75"/>
        <v>20.707951500421167</v>
      </c>
      <c r="S1167" s="2">
        <f t="shared" si="74"/>
        <v>2.3069383739142579</v>
      </c>
      <c r="T1167" s="2">
        <f t="shared" si="76"/>
        <v>4.394130785525534</v>
      </c>
      <c r="U1167" s="2">
        <f t="shared" si="77"/>
        <v>27.409020659860957</v>
      </c>
    </row>
    <row r="1168" spans="1:21" x14ac:dyDescent="0.25">
      <c r="A1168">
        <v>3046109</v>
      </c>
      <c r="B1168">
        <v>5</v>
      </c>
      <c r="C1168" s="1">
        <f>0.777704581885384*(10.3/7.3)</f>
        <v>1.0973092045780077</v>
      </c>
      <c r="D1168" s="1">
        <f>0.850655047662124*(10.3/7.3)</f>
        <v>1.2002393138246403</v>
      </c>
      <c r="E1168" s="1">
        <f>3.02945743099565*(10.3/7.3)</f>
        <v>4.274439936884268</v>
      </c>
      <c r="F1168" s="1">
        <f>5.94746106309734*(38.9/42.5)</f>
        <v>5.4436761259879214</v>
      </c>
      <c r="G1168" s="1">
        <v>0.20643546656610684</v>
      </c>
      <c r="H1168" s="1">
        <v>1.5553911829017797</v>
      </c>
      <c r="I1168" s="1">
        <v>4.6320090674186387</v>
      </c>
      <c r="J1168" s="1">
        <v>1.3405129309804273E-2</v>
      </c>
      <c r="K1168" s="1">
        <v>1.8096530358896559</v>
      </c>
      <c r="L1168" s="1">
        <v>2.7772252231751997</v>
      </c>
      <c r="M1168" s="1">
        <v>6.8965279109352004E-2</v>
      </c>
      <c r="N1168" s="1">
        <v>0.5390500748401974</v>
      </c>
      <c r="O1168" s="1">
        <v>0.16430933333333334</v>
      </c>
      <c r="P1168" s="1">
        <v>0.11697910600527583</v>
      </c>
      <c r="Q1168" s="1">
        <v>0.32991969542528515</v>
      </c>
      <c r="R1168" s="2">
        <f t="shared" si="75"/>
        <v>18.739419993586647</v>
      </c>
      <c r="S1168" s="2">
        <f t="shared" si="74"/>
        <v>1.940037271204736</v>
      </c>
      <c r="T1168" s="2">
        <f t="shared" si="76"/>
        <v>3.5495499104580825</v>
      </c>
      <c r="U1168" s="2">
        <f t="shared" si="77"/>
        <v>24.229007175249468</v>
      </c>
    </row>
    <row r="1169" spans="1:21" x14ac:dyDescent="0.25">
      <c r="A1169">
        <v>3046133</v>
      </c>
      <c r="B1169">
        <v>4</v>
      </c>
      <c r="C1169" s="1">
        <f>1.71703597895518*(10.3/7.3)</f>
        <v>2.4226672031833409</v>
      </c>
      <c r="D1169" s="1">
        <f>1.8366819076102*(10.3/7.3)</f>
        <v>2.5914826915596012</v>
      </c>
      <c r="E1169" s="1">
        <f>6.55043342572997*(10.3/7.3)</f>
        <v>9.2423923678107798</v>
      </c>
      <c r="F1169" s="1">
        <f>12.76602114191*(38.9/42.5)</f>
        <v>11.684664056948233</v>
      </c>
      <c r="G1169" s="1">
        <v>0.43575157930956404</v>
      </c>
      <c r="H1169" s="1">
        <v>2.8936846374195273</v>
      </c>
      <c r="I1169" s="1">
        <v>10.016437612553579</v>
      </c>
      <c r="J1169" s="1">
        <v>2.0174312263694739E-2</v>
      </c>
      <c r="K1169" s="1">
        <v>2.299300168868514</v>
      </c>
      <c r="L1169" s="1">
        <v>4.3350616566821243</v>
      </c>
      <c r="M1169" s="1">
        <v>8.9789855047657463E-2</v>
      </c>
      <c r="N1169" s="1">
        <v>0.99897693457554682</v>
      </c>
      <c r="O1169" s="1">
        <v>0.21876000000000001</v>
      </c>
      <c r="P1169" s="1">
        <v>0.14984853853277583</v>
      </c>
      <c r="Q1169" s="1">
        <v>0.69640663359976063</v>
      </c>
      <c r="R1169" s="2">
        <f t="shared" si="75"/>
        <v>39.983486782384382</v>
      </c>
      <c r="S1169" s="2">
        <f t="shared" si="74"/>
        <v>2.4693230196649845</v>
      </c>
      <c r="T1169" s="2">
        <f t="shared" si="76"/>
        <v>5.6425884463053277</v>
      </c>
      <c r="U1169" s="2">
        <f t="shared" si="77"/>
        <v>48.095398248354691</v>
      </c>
    </row>
    <row r="1170" spans="1:21" x14ac:dyDescent="0.25">
      <c r="A1170">
        <v>3046485</v>
      </c>
      <c r="B1170">
        <v>8</v>
      </c>
      <c r="C1170" s="1">
        <f>8.55879306257787*(10.3/7.3)</f>
        <v>12.076105280075625</v>
      </c>
      <c r="D1170" s="1">
        <f>8.6028575704566*(10.3/7.3)</f>
        <v>12.138278489822323</v>
      </c>
      <c r="E1170" s="1">
        <f>30.6843373158192*(10.3/7.3)</f>
        <v>43.294338952457217</v>
      </c>
      <c r="F1170" s="1">
        <f>64.861144786679*(38.9/42.5)</f>
        <v>59.367024287101515</v>
      </c>
      <c r="G1170" s="1">
        <v>2.4288892278535568</v>
      </c>
      <c r="H1170" s="1">
        <v>7.7515108380349851</v>
      </c>
      <c r="I1170" s="1">
        <v>52.624950873657575</v>
      </c>
      <c r="J1170" s="1">
        <v>5.2968973302296218E-2</v>
      </c>
      <c r="K1170" s="1">
        <v>3.9368347532032368</v>
      </c>
      <c r="L1170" s="1">
        <v>4.6191897925427243</v>
      </c>
      <c r="M1170" s="1">
        <v>0.19123157221518283</v>
      </c>
      <c r="N1170" s="1">
        <v>2.3632033334524949</v>
      </c>
      <c r="O1170" s="1">
        <v>0.22174666666666668</v>
      </c>
      <c r="P1170" s="1">
        <v>0.16501289091151031</v>
      </c>
      <c r="Q1170" s="1">
        <v>3.8817864372088846</v>
      </c>
      <c r="R1170" s="2">
        <f t="shared" si="75"/>
        <v>193.56288438621169</v>
      </c>
      <c r="S1170" s="2">
        <f t="shared" si="74"/>
        <v>4.154816617417044</v>
      </c>
      <c r="T1170" s="2">
        <f t="shared" si="76"/>
        <v>7.395371364877068</v>
      </c>
      <c r="U1170" s="2">
        <f t="shared" si="77"/>
        <v>205.11307236850581</v>
      </c>
    </row>
    <row r="1171" spans="1:21" x14ac:dyDescent="0.25">
      <c r="A1171">
        <v>3046493</v>
      </c>
      <c r="B1171">
        <v>30</v>
      </c>
      <c r="C1171" s="1">
        <f>10.1344022591483*(10.3/7.3)</f>
        <v>14.299225105373631</v>
      </c>
      <c r="D1171" s="1">
        <f>9.9315129986546*(10.3/7.3)</f>
        <v>14.012956696731839</v>
      </c>
      <c r="E1171" s="1">
        <f>35.5683389134365*(10.3/7.3)</f>
        <v>50.185464494300874</v>
      </c>
      <c r="F1171" s="1">
        <f>70.4034345469109*(38.9/42.5)</f>
        <v>64.439849502937278</v>
      </c>
      <c r="G1171" s="1">
        <v>2.3959317984632817</v>
      </c>
      <c r="H1171" s="1">
        <v>6.0305671014676161</v>
      </c>
      <c r="I1171" s="1">
        <v>57.27178227085853</v>
      </c>
      <c r="J1171" s="1">
        <v>5.823401124431539E-2</v>
      </c>
      <c r="K1171" s="1">
        <v>4.0231336229265713</v>
      </c>
      <c r="L1171" s="1">
        <v>4.9644587725119917</v>
      </c>
      <c r="M1171" s="1">
        <v>0.20759363205808146</v>
      </c>
      <c r="N1171" s="1">
        <v>2.4607050440094582</v>
      </c>
      <c r="O1171" s="1">
        <v>0.23417600000000002</v>
      </c>
      <c r="P1171" s="1">
        <v>0.16920632761029106</v>
      </c>
      <c r="Q1171" s="1">
        <v>3.8291147464025093</v>
      </c>
      <c r="R1171" s="2">
        <f t="shared" si="75"/>
        <v>212.46489171653556</v>
      </c>
      <c r="S1171" s="2">
        <f t="shared" si="74"/>
        <v>4.2505739617811775</v>
      </c>
      <c r="T1171" s="2">
        <f t="shared" si="76"/>
        <v>7.8669334485795313</v>
      </c>
      <c r="U1171" s="2">
        <f t="shared" si="77"/>
        <v>224.58239912689629</v>
      </c>
    </row>
    <row r="1172" spans="1:21" x14ac:dyDescent="0.25">
      <c r="A1172">
        <v>3046501</v>
      </c>
      <c r="B1172">
        <v>8</v>
      </c>
      <c r="C1172" s="1">
        <f>14.3673811994574*(10.3/7.3)</f>
        <v>20.271784432111129</v>
      </c>
      <c r="D1172" s="1">
        <f>12.7759444337112*(10.3/7.3)</f>
        <v>18.026332557154177</v>
      </c>
      <c r="E1172" s="1">
        <f>46.1344478166135*(10.3/7.3)</f>
        <v>65.093809933030073</v>
      </c>
      <c r="F1172" s="1">
        <f>85.576495433405*(38.9/42.5)</f>
        <v>78.327662879045974</v>
      </c>
      <c r="G1172" s="1">
        <v>2.5304170658151879</v>
      </c>
      <c r="H1172" s="1">
        <v>8.099176239361725</v>
      </c>
      <c r="I1172" s="1">
        <v>72.097593737585655</v>
      </c>
      <c r="J1172" s="1">
        <v>5.4284366467033905E-2</v>
      </c>
      <c r="K1172" s="1">
        <v>3.7110497459214398</v>
      </c>
      <c r="L1172" s="1">
        <v>4.5841172717642591</v>
      </c>
      <c r="M1172" s="1">
        <v>0.19871738899138575</v>
      </c>
      <c r="N1172" s="1">
        <v>2.5234671290707471</v>
      </c>
      <c r="O1172" s="1">
        <v>0.22006666666666666</v>
      </c>
      <c r="P1172" s="1">
        <v>0.1596560544028876</v>
      </c>
      <c r="Q1172" s="1">
        <v>4.0440455389740482</v>
      </c>
      <c r="R1172" s="2">
        <f t="shared" si="75"/>
        <v>268.49082238307795</v>
      </c>
      <c r="S1172" s="2">
        <f t="shared" si="74"/>
        <v>3.9249901667913614</v>
      </c>
      <c r="T1172" s="2">
        <f t="shared" si="76"/>
        <v>7.5263684564930591</v>
      </c>
      <c r="U1172" s="2">
        <f t="shared" si="77"/>
        <v>279.94218100636238</v>
      </c>
    </row>
    <row r="1173" spans="1:21" x14ac:dyDescent="0.25">
      <c r="A1173">
        <v>3046821</v>
      </c>
      <c r="B1173">
        <v>6</v>
      </c>
      <c r="C1173" s="1">
        <f>13.296308149104*(10.3/7.3)</f>
        <v>18.760544374763132</v>
      </c>
      <c r="D1173" s="1">
        <f>28.7545855701676*(10.3/7.3)</f>
        <v>40.571538544209091</v>
      </c>
      <c r="E1173" s="1">
        <f>101.053147093948*(10.3/7.3)</f>
        <v>142.58183768050165</v>
      </c>
      <c r="F1173" s="1">
        <f>135.793437350363*(38.9/42.5)</f>
        <v>124.29093442186156</v>
      </c>
      <c r="G1173" s="1">
        <v>2.5677467640529517</v>
      </c>
      <c r="H1173" s="1">
        <v>6.8586937707792357</v>
      </c>
      <c r="I1173" s="1">
        <v>69.095475398554314</v>
      </c>
      <c r="J1173" s="1">
        <v>3.4075754972968324E-2</v>
      </c>
      <c r="K1173" s="1">
        <v>3.2860203171019826</v>
      </c>
      <c r="L1173" s="1">
        <v>4.3950094490589127</v>
      </c>
      <c r="M1173" s="1">
        <v>0.12543370267530787</v>
      </c>
      <c r="N1173" s="1">
        <v>1.7726530666525209</v>
      </c>
      <c r="O1173" s="1">
        <v>0.11718222222222224</v>
      </c>
      <c r="P1173" s="1">
        <v>8.9662379737020848E-2</v>
      </c>
      <c r="Q1173" s="1">
        <v>4.1037048740572333</v>
      </c>
      <c r="R1173" s="2">
        <f t="shared" si="75"/>
        <v>408.83047582877919</v>
      </c>
      <c r="S1173" s="2">
        <f t="shared" si="74"/>
        <v>3.4097584518119719</v>
      </c>
      <c r="T1173" s="2">
        <f t="shared" si="76"/>
        <v>6.4102784406089643</v>
      </c>
      <c r="U1173" s="2">
        <f t="shared" si="77"/>
        <v>418.65051272120013</v>
      </c>
    </row>
    <row r="1174" spans="1:21" x14ac:dyDescent="0.25">
      <c r="A1174">
        <v>3046829</v>
      </c>
      <c r="B1174">
        <v>59</v>
      </c>
      <c r="C1174" s="1">
        <f>15.764119683335*(10.3/7.3)</f>
        <v>22.242525032650704</v>
      </c>
      <c r="D1174" s="1">
        <f>15.4582766082304*(10.3/7.3)</f>
        <v>21.810993022571612</v>
      </c>
      <c r="E1174" s="1">
        <f>55.5906621197034*(10.3/7.3)</f>
        <v>78.436139703143098</v>
      </c>
      <c r="F1174" s="1">
        <f>98.3825418870804*(38.9/42.5)</f>
        <v>90.048961868410032</v>
      </c>
      <c r="G1174" s="1">
        <v>2.7674456844054593</v>
      </c>
      <c r="H1174" s="1">
        <v>6.4535443496583564</v>
      </c>
      <c r="I1174" s="1">
        <v>79.01246245472008</v>
      </c>
      <c r="J1174" s="1">
        <v>4.0597535174910375E-2</v>
      </c>
      <c r="K1174" s="1">
        <v>2.9943403607684296</v>
      </c>
      <c r="L1174" s="1">
        <v>4.4342215281610624</v>
      </c>
      <c r="M1174" s="1">
        <v>0.14367832274757836</v>
      </c>
      <c r="N1174" s="1">
        <v>1.9276328085521126</v>
      </c>
      <c r="O1174" s="1">
        <v>0.13100836158192092</v>
      </c>
      <c r="P1174" s="1">
        <v>9.9562774177057861E-2</v>
      </c>
      <c r="Q1174" s="1">
        <v>4.4228583997347553</v>
      </c>
      <c r="R1174" s="2">
        <f t="shared" si="75"/>
        <v>305.19493051529412</v>
      </c>
      <c r="S1174" s="2">
        <f t="shared" si="74"/>
        <v>3.1345006701203975</v>
      </c>
      <c r="T1174" s="2">
        <f t="shared" si="76"/>
        <v>6.6365410210426745</v>
      </c>
      <c r="U1174" s="2">
        <f t="shared" si="77"/>
        <v>314.9659722064572</v>
      </c>
    </row>
    <row r="1175" spans="1:21" x14ac:dyDescent="0.25">
      <c r="A1175">
        <v>3046837</v>
      </c>
      <c r="B1175">
        <v>61</v>
      </c>
      <c r="C1175" s="1">
        <f>16.4351522905107*(10.3/7.3)</f>
        <v>23.189324464693136</v>
      </c>
      <c r="D1175" s="1">
        <f>15.3302394980492*(10.3/7.3)</f>
        <v>21.630337921905081</v>
      </c>
      <c r="E1175" s="1">
        <f>55.4695262785209*(10.3/7.3)</f>
        <v>78.265222009419873</v>
      </c>
      <c r="F1175" s="1">
        <f>89.187343465498*(38.9/42.5)</f>
        <v>81.632650842538212</v>
      </c>
      <c r="G1175" s="1">
        <v>1.9502174734600972</v>
      </c>
      <c r="H1175" s="1">
        <v>4.832237949984032</v>
      </c>
      <c r="I1175" s="1">
        <v>72.557974391918577</v>
      </c>
      <c r="J1175" s="1">
        <v>4.1635149994434621E-2</v>
      </c>
      <c r="K1175" s="1">
        <v>2.9772051958657126</v>
      </c>
      <c r="L1175" s="1">
        <v>4.3585419949158659</v>
      </c>
      <c r="M1175" s="1">
        <v>0.14709451059183107</v>
      </c>
      <c r="N1175" s="1">
        <v>1.9383818913834383</v>
      </c>
      <c r="O1175" s="1">
        <v>0.13372327868852457</v>
      </c>
      <c r="P1175" s="1">
        <v>0.10128179811575404</v>
      </c>
      <c r="Q1175" s="1">
        <v>3.1167859164887433</v>
      </c>
      <c r="R1175" s="2">
        <f t="shared" si="75"/>
        <v>287.17475097040779</v>
      </c>
      <c r="S1175" s="2">
        <f t="shared" si="74"/>
        <v>3.1201221439759013</v>
      </c>
      <c r="T1175" s="2">
        <f t="shared" si="76"/>
        <v>6.5777416755796594</v>
      </c>
      <c r="U1175" s="2">
        <f t="shared" si="77"/>
        <v>296.87261478996334</v>
      </c>
    </row>
    <row r="1176" spans="1:21" x14ac:dyDescent="0.25">
      <c r="A1176">
        <v>3058289</v>
      </c>
      <c r="B1176">
        <v>15</v>
      </c>
      <c r="C1176" s="1">
        <f>0.639523877725749*(10.3/7.3)</f>
        <v>0.90234190966783823</v>
      </c>
      <c r="D1176" s="1">
        <f>0.806668644462892*(10.3/7.3)</f>
        <v>1.1381763065709294</v>
      </c>
      <c r="E1176" s="1">
        <f>2.84050507225682*(10.3/7.3)</f>
        <v>4.0078359238692132</v>
      </c>
      <c r="F1176" s="1">
        <f>6.21984543725688*(38.9/42.5)</f>
        <v>5.6929879413951161</v>
      </c>
      <c r="G1176" s="1">
        <v>0.25464666007461545</v>
      </c>
      <c r="H1176" s="1">
        <v>2.1022727781224138</v>
      </c>
      <c r="I1176" s="1">
        <v>4.7003513415591378</v>
      </c>
      <c r="J1176" s="1">
        <v>1.479463710016805E-2</v>
      </c>
      <c r="K1176" s="1">
        <v>2.1025955384071788</v>
      </c>
      <c r="L1176" s="1">
        <v>3.1042667864702387</v>
      </c>
      <c r="M1176" s="1">
        <v>7.8896988729101017E-2</v>
      </c>
      <c r="N1176" s="1">
        <v>0.61313670119086872</v>
      </c>
      <c r="O1176" s="1">
        <v>0.1988088888888889</v>
      </c>
      <c r="P1176" s="1">
        <v>0.14355761653018934</v>
      </c>
      <c r="Q1176" s="1">
        <v>0.40696954806445435</v>
      </c>
      <c r="R1176" s="2">
        <f t="shared" si="75"/>
        <v>19.205582409323718</v>
      </c>
      <c r="S1176" s="2">
        <f t="shared" si="74"/>
        <v>2.2609477920375363</v>
      </c>
      <c r="T1176" s="2">
        <f t="shared" si="76"/>
        <v>3.9951093652790974</v>
      </c>
      <c r="U1176" s="2">
        <f t="shared" si="77"/>
        <v>25.461639566640354</v>
      </c>
    </row>
    <row r="1177" spans="1:21" x14ac:dyDescent="0.25">
      <c r="A1177">
        <v>3058345</v>
      </c>
      <c r="B1177">
        <v>8</v>
      </c>
      <c r="C1177" s="1">
        <f>1.07548745121172*(10.3/7.3)</f>
        <v>1.5174685955453062</v>
      </c>
      <c r="D1177" s="1">
        <f>1.16167892976978*(10.3/7.3)</f>
        <v>1.6390812296751676</v>
      </c>
      <c r="E1177" s="1">
        <f>4.13999385989353*(10.3/7.3)</f>
        <v>5.8413611995757968</v>
      </c>
      <c r="F1177" s="1">
        <f>8.11759446843414*(38.9/42.5)</f>
        <v>7.4299864664020712</v>
      </c>
      <c r="G1177" s="1">
        <v>0.28029462160635821</v>
      </c>
      <c r="H1177" s="1">
        <v>2.122438491094699</v>
      </c>
      <c r="I1177" s="1">
        <v>6.351162314149521</v>
      </c>
      <c r="J1177" s="1">
        <v>1.5731677929887104E-2</v>
      </c>
      <c r="K1177" s="1">
        <v>2.12842327915273</v>
      </c>
      <c r="L1177" s="1">
        <v>3.3695613442851475</v>
      </c>
      <c r="M1177" s="1">
        <v>8.0236493599579323E-2</v>
      </c>
      <c r="N1177" s="1">
        <v>0.64446346915153774</v>
      </c>
      <c r="O1177" s="1">
        <v>0.19937999999999997</v>
      </c>
      <c r="P1177" s="1">
        <v>0.13980924964487007</v>
      </c>
      <c r="Q1177" s="1">
        <v>0.44795944092340401</v>
      </c>
      <c r="R1177" s="2">
        <f t="shared" si="75"/>
        <v>25.629752358972326</v>
      </c>
      <c r="S1177" s="2">
        <f t="shared" si="74"/>
        <v>2.2839642067274872</v>
      </c>
      <c r="T1177" s="2">
        <f t="shared" si="76"/>
        <v>4.293641307036264</v>
      </c>
      <c r="U1177" s="2">
        <f t="shared" si="77"/>
        <v>32.207357872736075</v>
      </c>
    </row>
    <row r="1178" spans="1:21" x14ac:dyDescent="0.25">
      <c r="A1178">
        <v>3058361</v>
      </c>
      <c r="B1178">
        <v>3</v>
      </c>
      <c r="C1178" s="1">
        <f>2.46901091012368*(10.3/7.3)</f>
        <v>3.4836729279827252</v>
      </c>
      <c r="D1178" s="1">
        <f>2.60222716467625*(10.3/7.3)</f>
        <v>3.6716355885158034</v>
      </c>
      <c r="E1178" s="1">
        <f>9.289813904008*(10.3/7.3)</f>
        <v>13.107545645381153</v>
      </c>
      <c r="F1178" s="1">
        <f>18.0111072697122*(38.9/42.5)</f>
        <v>16.485460536277788</v>
      </c>
      <c r="G1178" s="1">
        <v>0.60750395618362607</v>
      </c>
      <c r="H1178" s="1">
        <v>3.7968868789017036</v>
      </c>
      <c r="I1178" s="1">
        <v>14.202740586262978</v>
      </c>
      <c r="J1178" s="1">
        <v>2.5535600210940149E-2</v>
      </c>
      <c r="K1178" s="1">
        <v>2.601695302402399</v>
      </c>
      <c r="L1178" s="1">
        <v>5.1034915379494477</v>
      </c>
      <c r="M1178" s="1">
        <v>0.10148887107437192</v>
      </c>
      <c r="N1178" s="1">
        <v>1.2002764603819067</v>
      </c>
      <c r="O1178" s="1">
        <v>0.25507555555555556</v>
      </c>
      <c r="P1178" s="1">
        <v>0.17075072416830628</v>
      </c>
      <c r="Q1178" s="1">
        <v>0.97089673362680085</v>
      </c>
      <c r="R1178" s="2">
        <f t="shared" si="75"/>
        <v>56.32634285313258</v>
      </c>
      <c r="S1178" s="2">
        <f t="shared" si="74"/>
        <v>2.7979816267816453</v>
      </c>
      <c r="T1178" s="2">
        <f t="shared" si="76"/>
        <v>6.6603324249612816</v>
      </c>
      <c r="U1178" s="2">
        <f t="shared" si="77"/>
        <v>65.784656904875504</v>
      </c>
    </row>
    <row r="1179" spans="1:21" x14ac:dyDescent="0.25">
      <c r="A1179">
        <v>3058705</v>
      </c>
      <c r="B1179">
        <v>4</v>
      </c>
      <c r="C1179" s="1">
        <f>8.09627670197436*(10.3/7.3)</f>
        <v>11.423513702785748</v>
      </c>
      <c r="D1179" s="1">
        <f>8.49379341869943*(10.3/7.3)</f>
        <v>11.984393453781385</v>
      </c>
      <c r="E1179" s="1">
        <f>30.268440676775*(10.3/7.3)</f>
        <v>42.707525886408554</v>
      </c>
      <c r="F1179" s="1">
        <f>61.7798350126571*(38.9/42.5)</f>
        <v>56.546719576290876</v>
      </c>
      <c r="G1179" s="1">
        <v>2.2365630460345614</v>
      </c>
      <c r="H1179" s="1">
        <v>8.8831029353484698</v>
      </c>
      <c r="I1179" s="1">
        <v>49.139876532382537</v>
      </c>
      <c r="J1179" s="1">
        <v>5.763543663429712E-2</v>
      </c>
      <c r="K1179" s="1">
        <v>4.0105190315085437</v>
      </c>
      <c r="L1179" s="1">
        <v>4.5148221354810953</v>
      </c>
      <c r="M1179" s="1">
        <v>0.18013922228582863</v>
      </c>
      <c r="N1179" s="1">
        <v>2.3008721480362571</v>
      </c>
      <c r="O1179" s="1">
        <v>0.21937333333333334</v>
      </c>
      <c r="P1179" s="1">
        <v>0.1598069614569286</v>
      </c>
      <c r="Q1179" s="1">
        <v>3.5744158269958781</v>
      </c>
      <c r="R1179" s="2">
        <f t="shared" si="75"/>
        <v>186.49611096002803</v>
      </c>
      <c r="S1179" s="2">
        <f t="shared" si="74"/>
        <v>4.2279614295997696</v>
      </c>
      <c r="T1179" s="2">
        <f t="shared" si="76"/>
        <v>7.2152068391365143</v>
      </c>
      <c r="U1179" s="2">
        <f t="shared" si="77"/>
        <v>197.93927922876432</v>
      </c>
    </row>
    <row r="1180" spans="1:21" x14ac:dyDescent="0.25">
      <c r="A1180">
        <v>3058721</v>
      </c>
      <c r="B1180">
        <v>50</v>
      </c>
      <c r="C1180" s="1">
        <f>8.7320699131101*(10.3/7.3)</f>
        <v>12.320591795210143</v>
      </c>
      <c r="D1180" s="1">
        <f>8.63323986595687*(10.3/7.3)</f>
        <v>12.181146660185727</v>
      </c>
      <c r="E1180" s="1">
        <f>30.8928066585434*(10.3/7.3)</f>
        <v>43.588480627807755</v>
      </c>
      <c r="F1180" s="1">
        <f>61.677541699634*(38.9/42.5)</f>
        <v>56.453091108606195</v>
      </c>
      <c r="G1180" s="1">
        <v>2.1309204470839438</v>
      </c>
      <c r="H1180" s="1">
        <v>5.5027875086516023</v>
      </c>
      <c r="I1180" s="1">
        <v>50.045368695355307</v>
      </c>
      <c r="J1180" s="1">
        <v>5.2647805209912329E-2</v>
      </c>
      <c r="K1180" s="1">
        <v>3.8953330289009922</v>
      </c>
      <c r="L1180" s="1">
        <v>4.6317393588093356</v>
      </c>
      <c r="M1180" s="1">
        <v>0.193441177844451</v>
      </c>
      <c r="N1180" s="1">
        <v>2.2985945145653202</v>
      </c>
      <c r="O1180" s="1">
        <v>0.22229546666666664</v>
      </c>
      <c r="P1180" s="1">
        <v>0.16502837307992124</v>
      </c>
      <c r="Q1180" s="1">
        <v>3.4055806231935208</v>
      </c>
      <c r="R1180" s="2">
        <f t="shared" si="75"/>
        <v>185.62796746609416</v>
      </c>
      <c r="S1180" s="2">
        <f t="shared" si="74"/>
        <v>4.1130092071908262</v>
      </c>
      <c r="T1180" s="2">
        <f t="shared" si="76"/>
        <v>7.3460705178857744</v>
      </c>
      <c r="U1180" s="2">
        <f t="shared" si="77"/>
        <v>197.08704719117077</v>
      </c>
    </row>
    <row r="1181" spans="1:21" x14ac:dyDescent="0.25">
      <c r="A1181">
        <v>3058729</v>
      </c>
      <c r="B1181">
        <v>54</v>
      </c>
      <c r="C1181" s="1">
        <f>11.3025626252873*(10.3/7.3)</f>
        <v>15.947451375405379</v>
      </c>
      <c r="D1181" s="1">
        <f>10.4341993025653*(10.3/7.3)</f>
        <v>14.722226413208563</v>
      </c>
      <c r="E1181" s="1">
        <f>37.5372154047674*(10.3/7.3)</f>
        <v>52.963468310836177</v>
      </c>
      <c r="F1181" s="1">
        <f>72.3891720451974*(38.9/42.5)</f>
        <v>66.257383354310107</v>
      </c>
      <c r="G1181" s="1">
        <v>2.3211472245565372</v>
      </c>
      <c r="H1181" s="1">
        <v>5.8438143607513622</v>
      </c>
      <c r="I1181" s="1">
        <v>60.188280492800139</v>
      </c>
      <c r="J1181" s="1">
        <v>5.3966008318471488E-2</v>
      </c>
      <c r="K1181" s="1">
        <v>3.8076894831774548</v>
      </c>
      <c r="L1181" s="1">
        <v>4.6425315580755893</v>
      </c>
      <c r="M1181" s="1">
        <v>0.19754705949389278</v>
      </c>
      <c r="N1181" s="1">
        <v>2.3425335730045362</v>
      </c>
      <c r="O1181" s="1">
        <v>0.22128592592592594</v>
      </c>
      <c r="P1181" s="1">
        <v>0.16351061490571789</v>
      </c>
      <c r="Q1181" s="1">
        <v>3.709596020980769</v>
      </c>
      <c r="R1181" s="2">
        <f t="shared" si="75"/>
        <v>221.95336755284904</v>
      </c>
      <c r="S1181" s="2">
        <f t="shared" si="74"/>
        <v>4.0251661064016444</v>
      </c>
      <c r="T1181" s="2">
        <f t="shared" si="76"/>
        <v>7.4038981164999438</v>
      </c>
      <c r="U1181" s="2">
        <f t="shared" si="77"/>
        <v>233.38243177575063</v>
      </c>
    </row>
    <row r="1182" spans="1:21" x14ac:dyDescent="0.25">
      <c r="A1182">
        <v>3058737</v>
      </c>
      <c r="B1182">
        <v>4</v>
      </c>
      <c r="C1182" s="1">
        <f>9.58887524781861*(10.3/7.3)</f>
        <v>13.52950891130571</v>
      </c>
      <c r="D1182" s="1">
        <f>8.50082184446874*(10.3/7.3)</f>
        <v>11.994310273702462</v>
      </c>
      <c r="E1182" s="1">
        <f>30.6515394767147*(10.3/7.3)</f>
        <v>43.248062549337199</v>
      </c>
      <c r="F1182" s="1">
        <f>59.4282642270979*(38.9/42.5)</f>
        <v>54.394340669037888</v>
      </c>
      <c r="G1182" s="1">
        <v>1.8948286588136414</v>
      </c>
      <c r="H1182" s="1">
        <v>7.678030831715926</v>
      </c>
      <c r="I1182" s="1">
        <v>50.281500770828096</v>
      </c>
      <c r="J1182" s="1">
        <v>4.1623707256433599E-2</v>
      </c>
      <c r="K1182" s="1">
        <v>3.0656240788636984</v>
      </c>
      <c r="L1182" s="1">
        <v>3.3924155194748424</v>
      </c>
      <c r="M1182" s="1">
        <v>0.15322131159617425</v>
      </c>
      <c r="N1182" s="1">
        <v>2.0299016883024401</v>
      </c>
      <c r="O1182" s="1">
        <v>0.17329333333333333</v>
      </c>
      <c r="P1182" s="1">
        <v>0.140636711290473</v>
      </c>
      <c r="Q1182" s="1">
        <v>3.0282649798391561</v>
      </c>
      <c r="R1182" s="2">
        <f t="shared" si="75"/>
        <v>186.04884764458006</v>
      </c>
      <c r="S1182" s="2">
        <f t="shared" si="74"/>
        <v>3.2478844974106047</v>
      </c>
      <c r="T1182" s="2">
        <f t="shared" si="76"/>
        <v>5.7488318527067896</v>
      </c>
      <c r="U1182" s="2">
        <f t="shared" si="77"/>
        <v>195.04556399469746</v>
      </c>
    </row>
    <row r="1183" spans="1:21" x14ac:dyDescent="0.25">
      <c r="A1183">
        <v>3059057</v>
      </c>
      <c r="B1183">
        <v>57</v>
      </c>
      <c r="C1183" s="1">
        <f>15.417177082239*(10.3/7.3)</f>
        <v>21.753003280419431</v>
      </c>
      <c r="D1183" s="1">
        <f>15.6639882444029*(10.3/7.3)</f>
        <v>22.101243687308202</v>
      </c>
      <c r="E1183" s="1">
        <f>56.3392818684341*(10.3/7.3)</f>
        <v>79.49241140340709</v>
      </c>
      <c r="F1183" s="1">
        <f>93.6606174283936*(38.9/42.5)</f>
        <v>85.72701218740022</v>
      </c>
      <c r="G1183" s="1">
        <v>2.337184994691337</v>
      </c>
      <c r="H1183" s="1">
        <v>6.0446457970141809</v>
      </c>
      <c r="I1183" s="1">
        <v>73.395312803547142</v>
      </c>
      <c r="J1183" s="1">
        <v>3.9440951134200639E-2</v>
      </c>
      <c r="K1183" s="1">
        <v>3.1970097938148694</v>
      </c>
      <c r="L1183" s="1">
        <v>4.6409490661474688</v>
      </c>
      <c r="M1183" s="1">
        <v>0.14151256243403451</v>
      </c>
      <c r="N1183" s="1">
        <v>1.8685700746772045</v>
      </c>
      <c r="O1183" s="1">
        <v>0.12934269005847951</v>
      </c>
      <c r="P1183" s="1">
        <v>9.8395401938900659E-2</v>
      </c>
      <c r="Q1183" s="1">
        <v>3.7352271604656098</v>
      </c>
      <c r="R1183" s="2">
        <f t="shared" si="75"/>
        <v>294.58604131425324</v>
      </c>
      <c r="S1183" s="2">
        <f t="shared" si="74"/>
        <v>3.3348461468879709</v>
      </c>
      <c r="T1183" s="2">
        <f t="shared" si="76"/>
        <v>6.7803743933171869</v>
      </c>
      <c r="U1183" s="2">
        <f t="shared" si="77"/>
        <v>304.70126185445838</v>
      </c>
    </row>
    <row r="1184" spans="1:21" x14ac:dyDescent="0.25">
      <c r="A1184">
        <v>3059065</v>
      </c>
      <c r="B1184">
        <v>54</v>
      </c>
      <c r="C1184" s="1">
        <f>16.9186983738712*(10.3/7.3)</f>
        <v>23.871588116558033</v>
      </c>
      <c r="D1184" s="1">
        <f>15.7007059460636*(10.3/7.3)</f>
        <v>22.153050855404853</v>
      </c>
      <c r="E1184" s="1">
        <f>56.8248239176815*(10.3/7.3)</f>
        <v>80.177491281112225</v>
      </c>
      <c r="F1184" s="1">
        <f>91.4927335105915*(38.9/42.5)</f>
        <v>83.742760789694316</v>
      </c>
      <c r="G1184" s="1">
        <v>2.0022825553245278</v>
      </c>
      <c r="H1184" s="1">
        <v>7.1114338898686142</v>
      </c>
      <c r="I1184" s="1">
        <v>74.636947423547738</v>
      </c>
      <c r="J1184" s="1">
        <v>4.2012274711608497E-2</v>
      </c>
      <c r="K1184" s="1">
        <v>3.0343118860549492</v>
      </c>
      <c r="L1184" s="1">
        <v>4.5008392094797713</v>
      </c>
      <c r="M1184" s="1">
        <v>0.14939483792914873</v>
      </c>
      <c r="N1184" s="1">
        <v>1.9356903858430532</v>
      </c>
      <c r="O1184" s="1">
        <v>0.13428938271604934</v>
      </c>
      <c r="P1184" s="1">
        <v>0.10219405343385057</v>
      </c>
      <c r="Q1184" s="1">
        <v>3.1999949514318979</v>
      </c>
      <c r="R1184" s="2">
        <f t="shared" si="75"/>
        <v>296.89554986294223</v>
      </c>
      <c r="S1184" s="2">
        <f t="shared" si="74"/>
        <v>3.178518214200408</v>
      </c>
      <c r="T1184" s="2">
        <f t="shared" si="76"/>
        <v>6.7202138159680223</v>
      </c>
      <c r="U1184" s="2">
        <f t="shared" si="77"/>
        <v>306.79428189311062</v>
      </c>
    </row>
    <row r="1185" spans="1:21" x14ac:dyDescent="0.25">
      <c r="A1185">
        <v>3059073</v>
      </c>
      <c r="B1185">
        <v>36</v>
      </c>
      <c r="C1185" s="1">
        <f>12.564668227403*(10.3/7.3)</f>
        <v>17.728230512637083</v>
      </c>
      <c r="D1185" s="1">
        <f>11.6273352913699*(10.3/7.3)</f>
        <v>16.405692260426086</v>
      </c>
      <c r="E1185" s="1">
        <f>42.0886519828899*(10.3/7.3)</f>
        <v>59.385358277228235</v>
      </c>
      <c r="F1185" s="1">
        <f>67.8020066639944*(38.9/42.5)</f>
        <v>62.058777864220744</v>
      </c>
      <c r="G1185" s="1">
        <v>1.4835105219115177</v>
      </c>
      <c r="H1185" s="1">
        <v>3.692932497898449</v>
      </c>
      <c r="I1185" s="1">
        <v>55.392530630503614</v>
      </c>
      <c r="J1185" s="1">
        <v>3.3970146346121999E-2</v>
      </c>
      <c r="K1185" s="1">
        <v>2.5407595702662551</v>
      </c>
      <c r="L1185" s="1">
        <v>3.4900366676270429</v>
      </c>
      <c r="M1185" s="1">
        <v>0.12495136173733656</v>
      </c>
      <c r="N1185" s="1">
        <v>1.5693164843721052</v>
      </c>
      <c r="O1185" s="1">
        <v>0.11542518518518523</v>
      </c>
      <c r="P1185" s="1">
        <v>9.0634568066747134E-2</v>
      </c>
      <c r="Q1185" s="1">
        <v>2.3709072267992317</v>
      </c>
      <c r="R1185" s="2">
        <f t="shared" si="75"/>
        <v>218.51793979162497</v>
      </c>
      <c r="S1185" s="2">
        <f t="shared" si="74"/>
        <v>2.6653642846791241</v>
      </c>
      <c r="T1185" s="2">
        <f t="shared" si="76"/>
        <v>5.2997296989216709</v>
      </c>
      <c r="U1185" s="2">
        <f t="shared" si="77"/>
        <v>226.48303377522578</v>
      </c>
    </row>
    <row r="1186" spans="1:21" x14ac:dyDescent="0.25">
      <c r="A1186">
        <v>306805</v>
      </c>
      <c r="B1186">
        <v>26</v>
      </c>
      <c r="C1186" s="1">
        <f>1.37969813754259*(10.3/7.3)</f>
        <v>1.9466973721491325</v>
      </c>
      <c r="D1186" s="1">
        <f>2.09834917303152*(10.3/7.3)</f>
        <v>2.9606844496198197</v>
      </c>
      <c r="E1186" s="1">
        <f>7.25765525140877*(10.3/7.3)</f>
        <v>10.240253299932919</v>
      </c>
      <c r="F1186" s="1">
        <f>19.6831724495476*(38.9/42.5)</f>
        <v>18.015891959703552</v>
      </c>
      <c r="G1186" s="1">
        <v>0.9897669440191661</v>
      </c>
      <c r="H1186" s="1">
        <v>1.7631842430570666</v>
      </c>
      <c r="I1186" s="1">
        <v>14.764622668229842</v>
      </c>
      <c r="J1186" s="1">
        <v>2.1938016225397008E-2</v>
      </c>
      <c r="K1186" s="1">
        <v>2.7659026236698758</v>
      </c>
      <c r="L1186" s="1">
        <v>1.452519248228298</v>
      </c>
      <c r="M1186" s="1">
        <v>7.5149859300878377E-2</v>
      </c>
      <c r="N1186" s="1">
        <v>0.75620580732853881</v>
      </c>
      <c r="O1186" s="1">
        <v>7.7757948717948722E-2</v>
      </c>
      <c r="P1186" s="1">
        <v>6.6745684127686611E-2</v>
      </c>
      <c r="Q1186" s="1">
        <v>1.581819316925609</v>
      </c>
      <c r="R1186" s="2">
        <f t="shared" si="75"/>
        <v>52.262920253637105</v>
      </c>
      <c r="S1186" s="2">
        <f t="shared" si="74"/>
        <v>2.8545863240229594</v>
      </c>
      <c r="T1186" s="2">
        <f t="shared" si="76"/>
        <v>2.361632863575664</v>
      </c>
      <c r="U1186" s="2">
        <f t="shared" si="77"/>
        <v>57.479139441235731</v>
      </c>
    </row>
    <row r="1187" spans="1:21" x14ac:dyDescent="0.25">
      <c r="A1187">
        <v>306821</v>
      </c>
      <c r="B1187">
        <v>13</v>
      </c>
      <c r="C1187" s="1">
        <f>0.740363193109791*(10.3/7.3)</f>
        <v>1.0446220395932662</v>
      </c>
      <c r="D1187" s="1">
        <f>1.05847885083555*(10.3/7.3)</f>
        <v>1.4934701593981103</v>
      </c>
      <c r="E1187" s="1">
        <f>3.68121806722925*(10.3/7.3)</f>
        <v>5.1940474099262071</v>
      </c>
      <c r="F1187" s="1">
        <f>9.39604057514651*(38.9/42.5)</f>
        <v>8.6001406676046894</v>
      </c>
      <c r="G1187" s="1">
        <v>0.449375973457733</v>
      </c>
      <c r="H1187" s="1">
        <v>1.8712176167432135</v>
      </c>
      <c r="I1187" s="1">
        <v>7.064554769647529</v>
      </c>
      <c r="J1187" s="1">
        <v>1.340525986991988E-2</v>
      </c>
      <c r="K1187" s="1">
        <v>1.7596172723651635</v>
      </c>
      <c r="L1187" s="1">
        <v>0.91083836608868929</v>
      </c>
      <c r="M1187" s="1">
        <v>4.902445398515011E-2</v>
      </c>
      <c r="N1187" s="1">
        <v>0.50638305644677761</v>
      </c>
      <c r="O1187" s="1">
        <v>5.2687179487179485E-2</v>
      </c>
      <c r="P1187" s="1">
        <v>4.7601938327548929E-2</v>
      </c>
      <c r="Q1187" s="1">
        <v>0.71818077949866088</v>
      </c>
      <c r="R1187" s="2">
        <f t="shared" si="75"/>
        <v>26.435609415869408</v>
      </c>
      <c r="S1187" s="2">
        <f t="shared" si="74"/>
        <v>1.8206244705626324</v>
      </c>
      <c r="T1187" s="2">
        <f t="shared" si="76"/>
        <v>1.5189330560077965</v>
      </c>
      <c r="U1187" s="2">
        <f t="shared" si="77"/>
        <v>29.775166942439835</v>
      </c>
    </row>
    <row r="1188" spans="1:21" x14ac:dyDescent="0.25">
      <c r="A1188">
        <v>306837</v>
      </c>
      <c r="B1188">
        <v>26</v>
      </c>
      <c r="C1188" s="1">
        <f>1.45355062986583*(10.3/7.3)</f>
        <v>2.050900203783296</v>
      </c>
      <c r="D1188" s="1">
        <f>2.0698026811887*(10.3/7.3)</f>
        <v>2.9204065227730927</v>
      </c>
      <c r="E1188" s="1">
        <f>7.2370353735274*(10.3/7.3)</f>
        <v>10.211159499634553</v>
      </c>
      <c r="F1188" s="1">
        <f>16.5610582078635*(38.9/42.5)</f>
        <v>15.158239159667964</v>
      </c>
      <c r="G1188" s="1">
        <v>0.72240033112632451</v>
      </c>
      <c r="H1188" s="1">
        <v>1.4575978537006409</v>
      </c>
      <c r="I1188" s="1">
        <v>12.191301415765279</v>
      </c>
      <c r="J1188" s="1">
        <v>2.2492570316436547E-2</v>
      </c>
      <c r="K1188" s="1">
        <v>2.6600927457447758</v>
      </c>
      <c r="L1188" s="1">
        <v>1.4741650775006763</v>
      </c>
      <c r="M1188" s="1">
        <v>7.5263135966429168E-2</v>
      </c>
      <c r="N1188" s="1">
        <v>0.75817110565460188</v>
      </c>
      <c r="O1188" s="1">
        <v>7.895179487179485E-2</v>
      </c>
      <c r="P1188" s="1">
        <v>6.7403298523192434E-2</v>
      </c>
      <c r="Q1188" s="1">
        <v>1.1545210771425287</v>
      </c>
      <c r="R1188" s="2">
        <f t="shared" si="75"/>
        <v>45.866526063593675</v>
      </c>
      <c r="S1188" s="2">
        <f t="shared" si="74"/>
        <v>2.7499886145844048</v>
      </c>
      <c r="T1188" s="2">
        <f t="shared" si="76"/>
        <v>2.3865511139935025</v>
      </c>
      <c r="U1188" s="2">
        <f t="shared" si="77"/>
        <v>51.003065792171583</v>
      </c>
    </row>
    <row r="1189" spans="1:21" x14ac:dyDescent="0.25">
      <c r="A1189">
        <v>306845</v>
      </c>
      <c r="B1189">
        <v>33</v>
      </c>
      <c r="C1189" s="1">
        <f>1.2614384298131*(10.3/7.3)</f>
        <v>1.779837784530812</v>
      </c>
      <c r="D1189" s="1">
        <f>1.74043879459918*(10.3/7.3)</f>
        <v>2.4556876142974779</v>
      </c>
      <c r="E1189" s="1">
        <f>6.10335175108551*(10.3/7.3)</f>
        <v>8.6115784981069528</v>
      </c>
      <c r="F1189" s="1">
        <f>13.4508634170431*(38.9/42.5)</f>
        <v>12.311496162893521</v>
      </c>
      <c r="G1189" s="1">
        <v>0.56301232063126361</v>
      </c>
      <c r="H1189" s="1">
        <v>1.6032815702583028</v>
      </c>
      <c r="I1189" s="1">
        <v>9.9089507067158316</v>
      </c>
      <c r="J1189" s="1">
        <v>2.1576305359659296E-2</v>
      </c>
      <c r="K1189" s="1">
        <v>2.4555159985725683</v>
      </c>
      <c r="L1189" s="1">
        <v>1.3622735320195392</v>
      </c>
      <c r="M1189" s="1">
        <v>6.9186528545823023E-2</v>
      </c>
      <c r="N1189" s="1">
        <v>0.71395684967665107</v>
      </c>
      <c r="O1189" s="1">
        <v>7.3688888888888859E-2</v>
      </c>
      <c r="P1189" s="1">
        <v>6.3416389975941276E-2</v>
      </c>
      <c r="Q1189" s="1">
        <v>0.89979138000430336</v>
      </c>
      <c r="R1189" s="2">
        <f t="shared" si="75"/>
        <v>38.133636037438464</v>
      </c>
      <c r="S1189" s="2">
        <f t="shared" si="74"/>
        <v>2.5405086939081691</v>
      </c>
      <c r="T1189" s="2">
        <f t="shared" si="76"/>
        <v>2.2191057991309022</v>
      </c>
      <c r="U1189" s="2">
        <f t="shared" si="77"/>
        <v>42.89325053047753</v>
      </c>
    </row>
    <row r="1190" spans="1:21" x14ac:dyDescent="0.25">
      <c r="A1190">
        <v>306853</v>
      </c>
      <c r="B1190">
        <v>17</v>
      </c>
      <c r="C1190" s="1">
        <f>1.32668657939766*(10.3/7.3)</f>
        <v>1.87190024216382</v>
      </c>
      <c r="D1190" s="1">
        <f>1.81903631473636*(10.3/7.3)</f>
        <v>2.5665854851759553</v>
      </c>
      <c r="E1190" s="1">
        <f>6.38771861653205*(10.3/7.3)</f>
        <v>9.0128084589424819</v>
      </c>
      <c r="F1190" s="1">
        <f>13.7179021264012*(38.9/42.5)</f>
        <v>12.555915122753122</v>
      </c>
      <c r="G1190" s="1">
        <v>0.55841336492304228</v>
      </c>
      <c r="H1190" s="1">
        <v>2.7443930239086329</v>
      </c>
      <c r="I1190" s="1">
        <v>10.067423900177943</v>
      </c>
      <c r="J1190" s="1">
        <v>2.319285253651358E-2</v>
      </c>
      <c r="K1190" s="1">
        <v>2.5222588334560183</v>
      </c>
      <c r="L1190" s="1">
        <v>1.4092191100588898</v>
      </c>
      <c r="M1190" s="1">
        <v>7.1323195637985393E-2</v>
      </c>
      <c r="N1190" s="1">
        <v>0.7451521153855134</v>
      </c>
      <c r="O1190" s="1">
        <v>7.4757647058823498E-2</v>
      </c>
      <c r="P1190" s="1">
        <v>6.51836925035119E-2</v>
      </c>
      <c r="Q1190" s="1">
        <v>0.89244145079025095</v>
      </c>
      <c r="R1190" s="2">
        <f t="shared" si="75"/>
        <v>40.269881048835252</v>
      </c>
      <c r="S1190" s="2">
        <f t="shared" si="74"/>
        <v>2.6106353784960441</v>
      </c>
      <c r="T1190" s="2">
        <f t="shared" si="76"/>
        <v>2.3004520681412117</v>
      </c>
      <c r="U1190" s="2">
        <f t="shared" si="77"/>
        <v>45.180968495472506</v>
      </c>
    </row>
    <row r="1191" spans="1:21" x14ac:dyDescent="0.25">
      <c r="A1191">
        <v>3070533</v>
      </c>
      <c r="B1191">
        <v>8</v>
      </c>
      <c r="C1191" s="1">
        <f>0.865985960854397*(10.3/7.3)</f>
        <v>1.2218706023014101</v>
      </c>
      <c r="D1191" s="1">
        <f>1.04682205663891*(10.3/7.3)</f>
        <v>1.4770229018329832</v>
      </c>
      <c r="E1191" s="1">
        <f>3.69818588943989*(10.3/7.3)</f>
        <v>5.2179883097576534</v>
      </c>
      <c r="F1191" s="1">
        <f>7.85122761902321*(38.9/42.5)</f>
        <v>7.1861824560000658</v>
      </c>
      <c r="G1191" s="1">
        <v>0.30819130627745378</v>
      </c>
      <c r="H1191" s="1">
        <v>2.5084394614324688</v>
      </c>
      <c r="I1191" s="1">
        <v>5.9801966839716076</v>
      </c>
      <c r="J1191" s="1">
        <v>1.6756411637255341E-2</v>
      </c>
      <c r="K1191" s="1">
        <v>2.3455069941795514</v>
      </c>
      <c r="L1191" s="1">
        <v>3.804975566372744</v>
      </c>
      <c r="M1191" s="1">
        <v>8.824080500937706E-2</v>
      </c>
      <c r="N1191" s="1">
        <v>0.69570772417207494</v>
      </c>
      <c r="O1191" s="1">
        <v>0.22417333333333334</v>
      </c>
      <c r="P1191" s="1">
        <v>0.16017303814260253</v>
      </c>
      <c r="Q1191" s="1">
        <v>0.49254318354844262</v>
      </c>
      <c r="R1191" s="2">
        <f t="shared" si="75"/>
        <v>24.392434905122087</v>
      </c>
      <c r="S1191" s="2">
        <f t="shared" si="74"/>
        <v>2.5224364439594096</v>
      </c>
      <c r="T1191" s="2">
        <f t="shared" si="76"/>
        <v>4.813097428887529</v>
      </c>
      <c r="U1191" s="2">
        <f t="shared" si="77"/>
        <v>31.727968777969025</v>
      </c>
    </row>
    <row r="1192" spans="1:21" x14ac:dyDescent="0.25">
      <c r="A1192">
        <v>3070541</v>
      </c>
      <c r="B1192">
        <v>18</v>
      </c>
      <c r="C1192" s="1">
        <f>1.5845375712387*(10.3/7.3)</f>
        <v>2.2357173950354272</v>
      </c>
      <c r="D1192" s="1">
        <f>1.41639940371986*(10.3/7.3)</f>
        <v>1.9984813504540542</v>
      </c>
      <c r="E1192" s="1">
        <f>5.09497903305134*(10.3/7.3)</f>
        <v>7.1888060329354539</v>
      </c>
      <c r="F1192" s="1">
        <f>10.3586284792662*(38.9/42.5)</f>
        <v>9.481191713963609</v>
      </c>
      <c r="G1192" s="1">
        <v>0.35618940011139155</v>
      </c>
      <c r="H1192" s="1">
        <v>2.4903703779738198</v>
      </c>
      <c r="I1192" s="1">
        <v>8.7611658731869841</v>
      </c>
      <c r="J1192" s="1">
        <v>1.5684295487931502E-2</v>
      </c>
      <c r="K1192" s="1">
        <v>2.1819889048786116</v>
      </c>
      <c r="L1192" s="1">
        <v>3.5206291081799788</v>
      </c>
      <c r="M1192" s="1">
        <v>8.4055263409477388E-2</v>
      </c>
      <c r="N1192" s="1">
        <v>0.64882589225934173</v>
      </c>
      <c r="O1192" s="1">
        <v>0.20946370370370365</v>
      </c>
      <c r="P1192" s="1">
        <v>0.14718836984316994</v>
      </c>
      <c r="Q1192" s="1">
        <v>0.56925246593144818</v>
      </c>
      <c r="R1192" s="2">
        <f t="shared" si="75"/>
        <v>33.081174609592182</v>
      </c>
      <c r="S1192" s="2">
        <f t="shared" si="74"/>
        <v>2.3448615702097131</v>
      </c>
      <c r="T1192" s="2">
        <f t="shared" si="76"/>
        <v>4.462973967552502</v>
      </c>
      <c r="U1192" s="2">
        <f t="shared" si="77"/>
        <v>39.889010147354398</v>
      </c>
    </row>
    <row r="1193" spans="1:21" x14ac:dyDescent="0.25">
      <c r="A1193">
        <v>3070573</v>
      </c>
      <c r="B1193">
        <v>29</v>
      </c>
      <c r="C1193" s="1">
        <f>0.969359852459681*(10.3/7.3)</f>
        <v>1.3677269151143441</v>
      </c>
      <c r="D1193" s="1">
        <f>1.041818114882*(10.3/7.3)</f>
        <v>1.4699625456554266</v>
      </c>
      <c r="E1193" s="1">
        <f>3.71137748524881*(10.3/7.3)</f>
        <v>5.2366011093236589</v>
      </c>
      <c r="F1193" s="1">
        <f>7.3993187825183*(38.9/42.5)</f>
        <v>6.7725529562343993</v>
      </c>
      <c r="G1193" s="1">
        <v>0.26118178527674352</v>
      </c>
      <c r="H1193" s="1">
        <v>2.3711672265732848</v>
      </c>
      <c r="I1193" s="1">
        <v>5.8141740673449291</v>
      </c>
      <c r="J1193" s="1">
        <v>1.5172818731587261E-2</v>
      </c>
      <c r="K1193" s="1">
        <v>2.0712410895213282</v>
      </c>
      <c r="L1193" s="1">
        <v>3.3196362148733867</v>
      </c>
      <c r="M1193" s="1">
        <v>7.9322710044595124E-2</v>
      </c>
      <c r="N1193" s="1">
        <v>0.62542780293130451</v>
      </c>
      <c r="O1193" s="1">
        <v>0.19371402298850574</v>
      </c>
      <c r="P1193" s="1">
        <v>0.13833015510639224</v>
      </c>
      <c r="Q1193" s="1">
        <v>0.41741381208612005</v>
      </c>
      <c r="R1193" s="2">
        <f t="shared" si="75"/>
        <v>23.710780417608909</v>
      </c>
      <c r="S1193" s="2">
        <f t="shared" si="74"/>
        <v>2.2247440633593074</v>
      </c>
      <c r="T1193" s="2">
        <f t="shared" si="76"/>
        <v>4.2181007508377926</v>
      </c>
      <c r="U1193" s="2">
        <f t="shared" si="77"/>
        <v>30.153625231806007</v>
      </c>
    </row>
    <row r="1194" spans="1:21" x14ac:dyDescent="0.25">
      <c r="A1194">
        <v>3070605</v>
      </c>
      <c r="B1194">
        <v>13</v>
      </c>
      <c r="C1194" s="1">
        <f>1.41396655183985*(10.3/7.3)</f>
        <v>1.9950486964315681</v>
      </c>
      <c r="D1194" s="1">
        <f>1.65889155208052*(10.3/7.3)</f>
        <v>2.3406278063601804</v>
      </c>
      <c r="E1194" s="1">
        <f>5.87524665025967*(10.3/7.3)</f>
        <v>8.2897315750239162</v>
      </c>
      <c r="F1194" s="1">
        <f>12.1455363877503*(38.9/42.5)</f>
        <v>11.116738011376198</v>
      </c>
      <c r="G1194" s="1">
        <v>0.45908203889359339</v>
      </c>
      <c r="H1194" s="1">
        <v>3.1667395707915338</v>
      </c>
      <c r="I1194" s="1">
        <v>9.3010229597173417</v>
      </c>
      <c r="J1194" s="1">
        <v>1.9503070069331694E-2</v>
      </c>
      <c r="K1194" s="1">
        <v>2.6256084380180811</v>
      </c>
      <c r="L1194" s="1">
        <v>9.3131210405222369</v>
      </c>
      <c r="M1194" s="1">
        <v>9.7495074305043172E-2</v>
      </c>
      <c r="N1194" s="1">
        <v>0.85106654979285079</v>
      </c>
      <c r="O1194" s="1">
        <v>0.25003897435897438</v>
      </c>
      <c r="P1194" s="1">
        <v>0.1861712050487688</v>
      </c>
      <c r="Q1194" s="1">
        <v>0.73369275622263863</v>
      </c>
      <c r="R1194" s="2">
        <f t="shared" si="75"/>
        <v>37.40268341481697</v>
      </c>
      <c r="S1194" s="2">
        <f t="shared" si="74"/>
        <v>2.8312827131361815</v>
      </c>
      <c r="T1194" s="2">
        <f t="shared" si="76"/>
        <v>10.511721638979104</v>
      </c>
      <c r="U1194" s="2">
        <f t="shared" si="77"/>
        <v>50.745687766932257</v>
      </c>
    </row>
    <row r="1195" spans="1:21" x14ac:dyDescent="0.25">
      <c r="A1195">
        <v>3070621</v>
      </c>
      <c r="B1195">
        <v>4</v>
      </c>
      <c r="C1195" s="1">
        <f>1.19158951288313*(10.3/7.3)</f>
        <v>1.6812838332460589</v>
      </c>
      <c r="D1195" s="1">
        <f>2.06942058787775*(10.3/7.3)</f>
        <v>2.9198674048138189</v>
      </c>
      <c r="E1195" s="1">
        <f>7.26776545682477*(10.3/7.3)</f>
        <v>10.254518384287007</v>
      </c>
      <c r="F1195" s="1">
        <f>12.3702204601118*(38.9/42.5)</f>
        <v>11.322390021137638</v>
      </c>
      <c r="G1195" s="1">
        <v>0.38642273016519424</v>
      </c>
      <c r="H1195" s="1">
        <v>5.0394687762361663</v>
      </c>
      <c r="I1195" s="1">
        <v>7.8334185924277877</v>
      </c>
      <c r="J1195" s="1">
        <v>1.8967120794766115E-2</v>
      </c>
      <c r="K1195" s="1">
        <v>2.5716510534137695</v>
      </c>
      <c r="L1195" s="1">
        <v>6.8192905331467237</v>
      </c>
      <c r="M1195" s="1">
        <v>9.3860302132133672E-2</v>
      </c>
      <c r="N1195" s="1">
        <v>0.86465184045956245</v>
      </c>
      <c r="O1195" s="1">
        <v>0.24156</v>
      </c>
      <c r="P1195" s="1">
        <v>0.18315639547583032</v>
      </c>
      <c r="Q1195" s="1">
        <v>0.6175705733233704</v>
      </c>
      <c r="R1195" s="2">
        <f t="shared" si="75"/>
        <v>40.05494031563704</v>
      </c>
      <c r="S1195" s="2">
        <f t="shared" si="74"/>
        <v>2.7737745696843659</v>
      </c>
      <c r="T1195" s="2">
        <f t="shared" si="76"/>
        <v>8.0193626757384209</v>
      </c>
      <c r="U1195" s="2">
        <f t="shared" si="77"/>
        <v>50.848077561059824</v>
      </c>
    </row>
    <row r="1196" spans="1:21" x14ac:dyDescent="0.25">
      <c r="A1196">
        <v>3070629</v>
      </c>
      <c r="B1196">
        <v>16</v>
      </c>
      <c r="C1196" s="1">
        <f>1.27896477799176*(10.3/7.3)</f>
        <v>1.8045667415500128</v>
      </c>
      <c r="D1196" s="1">
        <f>2.51459869154853*(10.3/7.3)</f>
        <v>3.5479954141027257</v>
      </c>
      <c r="E1196" s="1">
        <f>8.81573472255845*(10.3/7.3)</f>
        <v>12.438639403061922</v>
      </c>
      <c r="F1196" s="1">
        <f>14.0817535335403*(38.9/42.5)</f>
        <v>12.888946175405112</v>
      </c>
      <c r="G1196" s="1">
        <v>0.40350944952624018</v>
      </c>
      <c r="H1196" s="1">
        <v>4.1651826667645002</v>
      </c>
      <c r="I1196" s="1">
        <v>8.28970909765291</v>
      </c>
      <c r="J1196" s="1">
        <v>1.9286952277966448E-2</v>
      </c>
      <c r="K1196" s="1">
        <v>2.5758866961029354</v>
      </c>
      <c r="L1196" s="1">
        <v>5.7471544784996418</v>
      </c>
      <c r="M1196" s="1">
        <v>9.4295271028180222E-2</v>
      </c>
      <c r="N1196" s="1">
        <v>0.87851472901471583</v>
      </c>
      <c r="O1196" s="1">
        <v>0.23998666666666665</v>
      </c>
      <c r="P1196" s="1">
        <v>0.18093755815621104</v>
      </c>
      <c r="Q1196" s="1">
        <v>0.64487811568120657</v>
      </c>
      <c r="R1196" s="2">
        <f t="shared" si="75"/>
        <v>44.183427063744631</v>
      </c>
      <c r="S1196" s="2">
        <f t="shared" si="74"/>
        <v>2.776111206537113</v>
      </c>
      <c r="T1196" s="2">
        <f t="shared" si="76"/>
        <v>6.9599511452092049</v>
      </c>
      <c r="U1196" s="2">
        <f t="shared" si="77"/>
        <v>53.919489415490943</v>
      </c>
    </row>
    <row r="1197" spans="1:21" x14ac:dyDescent="0.25">
      <c r="A1197">
        <v>3070925</v>
      </c>
      <c r="B1197">
        <v>2</v>
      </c>
      <c r="C1197" s="1">
        <f>10.3555869758373*(10.3/7.3)</f>
        <v>14.611307650838986</v>
      </c>
      <c r="D1197" s="1">
        <f>11.1505423290129*(10.3/7.3)</f>
        <v>15.732956984771654</v>
      </c>
      <c r="E1197" s="1">
        <f>39.7248943955334*(10.3/7.3)</f>
        <v>56.050193462190904</v>
      </c>
      <c r="F1197" s="1">
        <f>78.8946947478357*(38.9/42.5)</f>
        <v>72.21185001625436</v>
      </c>
      <c r="G1197" s="1">
        <v>2.7714283271322966</v>
      </c>
      <c r="H1197" s="1">
        <v>5.6298281412909947</v>
      </c>
      <c r="I1197" s="1">
        <v>61.915399145601739</v>
      </c>
      <c r="J1197" s="1">
        <v>7.147252408658622E-2</v>
      </c>
      <c r="K1197" s="1">
        <v>4.979256940083765</v>
      </c>
      <c r="L1197" s="1">
        <v>5.5659357654175885</v>
      </c>
      <c r="M1197" s="1">
        <v>0.22109310171873309</v>
      </c>
      <c r="N1197" s="1">
        <v>2.7114068322408036</v>
      </c>
      <c r="O1197" s="1">
        <v>0.26450666666666667</v>
      </c>
      <c r="P1197" s="1">
        <v>0.17933533789005315</v>
      </c>
      <c r="Q1197" s="1">
        <v>4.4292233538644057</v>
      </c>
      <c r="R1197" s="2">
        <f t="shared" si="75"/>
        <v>233.35218708194537</v>
      </c>
      <c r="S1197" s="2">
        <f t="shared" si="74"/>
        <v>5.2300648020604044</v>
      </c>
      <c r="T1197" s="2">
        <f t="shared" si="76"/>
        <v>8.7629423660437915</v>
      </c>
      <c r="U1197" s="2">
        <f t="shared" si="77"/>
        <v>247.34519425004959</v>
      </c>
    </row>
    <row r="1198" spans="1:21" x14ac:dyDescent="0.25">
      <c r="A1198">
        <v>3070941</v>
      </c>
      <c r="B1198">
        <v>6</v>
      </c>
      <c r="C1198" s="1">
        <f>8.98944607864034*(10.3/7.3)</f>
        <v>12.683738987670612</v>
      </c>
      <c r="D1198" s="1">
        <f>10.1590009997507*(10.3/7.3)</f>
        <v>14.333932917456501</v>
      </c>
      <c r="E1198" s="1">
        <f>36.1137860454811*(10.3/7.3)</f>
        <v>50.955067981980164</v>
      </c>
      <c r="F1198" s="1">
        <f>71.2102231559825*(38.9/42.5)</f>
        <v>65.17829837100517</v>
      </c>
      <c r="G1198" s="1">
        <v>2.5085557215777423</v>
      </c>
      <c r="H1198" s="1">
        <v>8.2835060837849586</v>
      </c>
      <c r="I1198" s="1">
        <v>54.826128023134906</v>
      </c>
      <c r="J1198" s="1">
        <v>5.4820778142008926E-2</v>
      </c>
      <c r="K1198" s="1">
        <v>4.2167970314773369</v>
      </c>
      <c r="L1198" s="1">
        <v>4.8594071998302066</v>
      </c>
      <c r="M1198" s="1">
        <v>0.19403641100283106</v>
      </c>
      <c r="N1198" s="1">
        <v>2.3434790706998108</v>
      </c>
      <c r="O1198" s="1">
        <v>0.23178666666666667</v>
      </c>
      <c r="P1198" s="1">
        <v>0.17004697838800856</v>
      </c>
      <c r="Q1198" s="1">
        <v>4.0091073175900034</v>
      </c>
      <c r="R1198" s="2">
        <f t="shared" si="75"/>
        <v>212.77833540420011</v>
      </c>
      <c r="S1198" s="2">
        <f t="shared" si="74"/>
        <v>4.4416647880073548</v>
      </c>
      <c r="T1198" s="2">
        <f t="shared" si="76"/>
        <v>7.6287093481995152</v>
      </c>
      <c r="U1198" s="2">
        <f t="shared" si="77"/>
        <v>224.84870954040699</v>
      </c>
    </row>
    <row r="1199" spans="1:21" x14ac:dyDescent="0.25">
      <c r="A1199">
        <v>3070949</v>
      </c>
      <c r="B1199">
        <v>13</v>
      </c>
      <c r="C1199" s="1">
        <f>7.01973990504098*(10.3/7.3)</f>
        <v>9.9045645235509703</v>
      </c>
      <c r="D1199" s="1">
        <f>7.02308018208767*(10.3/7.3)</f>
        <v>9.9092775171921872</v>
      </c>
      <c r="E1199" s="1">
        <f>25.0427194912051*(10.3/7.3)</f>
        <v>35.33424804923466</v>
      </c>
      <c r="F1199" s="1">
        <f>53.6147005130615*(38.9/42.5)</f>
        <v>49.073219999013901</v>
      </c>
      <c r="G1199" s="1">
        <v>2.0369531884101693</v>
      </c>
      <c r="H1199" s="1">
        <v>7.1737157465881172</v>
      </c>
      <c r="I1199" s="1">
        <v>43.6325790107283</v>
      </c>
      <c r="J1199" s="1">
        <v>4.4823246089520756E-2</v>
      </c>
      <c r="K1199" s="1">
        <v>3.5450332126915876</v>
      </c>
      <c r="L1199" s="1">
        <v>3.9606025371809759</v>
      </c>
      <c r="M1199" s="1">
        <v>0.16453140513158651</v>
      </c>
      <c r="N1199" s="1">
        <v>2.0555622266507858</v>
      </c>
      <c r="O1199" s="1">
        <v>0.19554871794871792</v>
      </c>
      <c r="P1199" s="1">
        <v>0.15359971887655702</v>
      </c>
      <c r="Q1199" s="1">
        <v>3.2554046390116893</v>
      </c>
      <c r="R1199" s="2">
        <f t="shared" si="75"/>
        <v>160.31996267372998</v>
      </c>
      <c r="S1199" s="2">
        <f t="shared" si="74"/>
        <v>3.7434561776576656</v>
      </c>
      <c r="T1199" s="2">
        <f t="shared" si="76"/>
        <v>6.3762448869120654</v>
      </c>
      <c r="U1199" s="2">
        <f t="shared" si="77"/>
        <v>170.43966373829971</v>
      </c>
    </row>
    <row r="1200" spans="1:21" x14ac:dyDescent="0.25">
      <c r="A1200">
        <v>3070957</v>
      </c>
      <c r="B1200">
        <v>49</v>
      </c>
      <c r="C1200" s="1">
        <f>9.21183921809003*(10.3/7.3)</f>
        <v>12.997526567990045</v>
      </c>
      <c r="D1200" s="1">
        <f>9.02331205352982*(10.3/7.3)</f>
        <v>12.731522486487281</v>
      </c>
      <c r="E1200" s="1">
        <f>32.3258520846633*(10.3/7.3)</f>
        <v>45.610448831785199</v>
      </c>
      <c r="F1200" s="1">
        <f>63.5174620428258*(38.9/42.5)</f>
        <v>58.137159375668787</v>
      </c>
      <c r="G1200" s="1">
        <v>2.1379502364456457</v>
      </c>
      <c r="H1200" s="1">
        <v>5.0820229116741187</v>
      </c>
      <c r="I1200" s="1">
        <v>51.63950307509176</v>
      </c>
      <c r="J1200" s="1">
        <v>5.2835853608912874E-2</v>
      </c>
      <c r="K1200" s="1">
        <v>3.885757464784156</v>
      </c>
      <c r="L1200" s="1">
        <v>4.6991825065392856</v>
      </c>
      <c r="M1200" s="1">
        <v>0.19668932454072086</v>
      </c>
      <c r="N1200" s="1">
        <v>2.3014192800082851</v>
      </c>
      <c r="O1200" s="1">
        <v>0.22452244897959187</v>
      </c>
      <c r="P1200" s="1">
        <v>0.16591423901435848</v>
      </c>
      <c r="Q1200" s="1">
        <v>3.416815446374323</v>
      </c>
      <c r="R1200" s="2">
        <f t="shared" si="75"/>
        <v>191.75294893151718</v>
      </c>
      <c r="S1200" s="2">
        <f t="shared" si="74"/>
        <v>4.1045075574074277</v>
      </c>
      <c r="T1200" s="2">
        <f t="shared" si="76"/>
        <v>7.421813560067883</v>
      </c>
      <c r="U1200" s="2">
        <f t="shared" si="77"/>
        <v>203.27927004899249</v>
      </c>
    </row>
    <row r="1201" spans="1:21" x14ac:dyDescent="0.25">
      <c r="A1201">
        <v>3070965</v>
      </c>
      <c r="B1201">
        <v>44</v>
      </c>
      <c r="C1201" s="1">
        <f>12.9825930040347*(10.3/7.3)</f>
        <v>18.317905197473582</v>
      </c>
      <c r="D1201" s="1">
        <f>11.7368028577693*(10.3/7.3)</f>
        <v>16.560146497948427</v>
      </c>
      <c r="E1201" s="1">
        <f>42.3283203469206*(10.3/7.3)</f>
        <v>59.723520489490731</v>
      </c>
      <c r="F1201" s="1">
        <f>79.045507073181*(38.9/42.5)</f>
        <v>72.349887650511519</v>
      </c>
      <c r="G1201" s="1">
        <v>2.3814599868699196</v>
      </c>
      <c r="H1201" s="1">
        <v>7.8017062709230665</v>
      </c>
      <c r="I1201" s="1">
        <v>66.145344973603699</v>
      </c>
      <c r="J1201" s="1">
        <v>5.6293427009627757E-2</v>
      </c>
      <c r="K1201" s="1">
        <v>3.9340071862649313</v>
      </c>
      <c r="L1201" s="1">
        <v>4.9602151515028794</v>
      </c>
      <c r="M1201" s="1">
        <v>0.21220504572950497</v>
      </c>
      <c r="N1201" s="1">
        <v>2.4551949589708504</v>
      </c>
      <c r="O1201" s="1">
        <v>0.23323030303030307</v>
      </c>
      <c r="P1201" s="1">
        <v>0.16803930267036868</v>
      </c>
      <c r="Q1201" s="1">
        <v>3.805986280385719</v>
      </c>
      <c r="R1201" s="2">
        <f t="shared" si="75"/>
        <v>247.08595734720666</v>
      </c>
      <c r="S1201" s="2">
        <f t="shared" si="74"/>
        <v>4.1583399159449277</v>
      </c>
      <c r="T1201" s="2">
        <f t="shared" si="76"/>
        <v>7.8608454592335368</v>
      </c>
      <c r="U1201" s="2">
        <f t="shared" si="77"/>
        <v>259.10514272238515</v>
      </c>
    </row>
    <row r="1202" spans="1:21" x14ac:dyDescent="0.25">
      <c r="A1202">
        <v>3071285</v>
      </c>
      <c r="B1202">
        <v>43</v>
      </c>
      <c r="C1202" s="1">
        <f>13.2083751982775*(10.3/7.3)</f>
        <v>18.636474594829949</v>
      </c>
      <c r="D1202" s="1">
        <f>13.5799664233083*(10.3/7.3)</f>
        <v>19.160774542476037</v>
      </c>
      <c r="E1202" s="1">
        <f>48.8570769703706*(10.3/7.3)</f>
        <v>68.93532778011199</v>
      </c>
      <c r="F1202" s="1">
        <f>78.960047645247*(38.9/42.5)</f>
        <v>72.271667138826103</v>
      </c>
      <c r="G1202" s="1">
        <v>1.8482676448634947</v>
      </c>
      <c r="H1202" s="1">
        <v>6.1465805578231585</v>
      </c>
      <c r="I1202" s="1">
        <v>61.262297467362849</v>
      </c>
      <c r="J1202" s="1">
        <v>3.6293207206217308E-2</v>
      </c>
      <c r="K1202" s="1">
        <v>2.8687962267864791</v>
      </c>
      <c r="L1202" s="1">
        <v>4.3146571342233724</v>
      </c>
      <c r="M1202" s="1">
        <v>0.1285448162387724</v>
      </c>
      <c r="N1202" s="1">
        <v>1.748256694783318</v>
      </c>
      <c r="O1202" s="1">
        <v>0.11861333333333332</v>
      </c>
      <c r="P1202" s="1">
        <v>9.1929346732058478E-2</v>
      </c>
      <c r="Q1202" s="1">
        <v>2.9538524004667752</v>
      </c>
      <c r="R1202" s="2">
        <f t="shared" si="75"/>
        <v>251.21524212676039</v>
      </c>
      <c r="S1202" s="2">
        <f t="shared" si="74"/>
        <v>2.9970187807247548</v>
      </c>
      <c r="T1202" s="2">
        <f t="shared" si="76"/>
        <v>6.3100719785787964</v>
      </c>
      <c r="U1202" s="2">
        <f t="shared" si="77"/>
        <v>260.52233288606391</v>
      </c>
    </row>
    <row r="1203" spans="1:21" x14ac:dyDescent="0.25">
      <c r="A1203">
        <v>3071293</v>
      </c>
      <c r="B1203">
        <v>61</v>
      </c>
      <c r="C1203" s="1">
        <f>16.9854479212317*(10.3/7.3)</f>
        <v>23.965768984751591</v>
      </c>
      <c r="D1203" s="1">
        <f>16.1736443956005*(10.3/7.3)</f>
        <v>22.820347571874642</v>
      </c>
      <c r="E1203" s="1">
        <f>58.4296246826031*(10.3/7.3)</f>
        <v>82.441799209700321</v>
      </c>
      <c r="F1203" s="1">
        <f>94.9727824002664*(38.9/42.5)</f>
        <v>86.928029067537977</v>
      </c>
      <c r="G1203" s="1">
        <v>2.1656868222753061</v>
      </c>
      <c r="H1203" s="1">
        <v>4.9228341514986846</v>
      </c>
      <c r="I1203" s="1">
        <v>76.564212173758762</v>
      </c>
      <c r="J1203" s="1">
        <v>4.3039024391617907E-2</v>
      </c>
      <c r="K1203" s="1">
        <v>3.1745079525363256</v>
      </c>
      <c r="L1203" s="1">
        <v>4.7887645358905937</v>
      </c>
      <c r="M1203" s="1">
        <v>0.15329811421786271</v>
      </c>
      <c r="N1203" s="1">
        <v>1.96586638543637</v>
      </c>
      <c r="O1203" s="1">
        <v>0.13754491803278687</v>
      </c>
      <c r="P1203" s="1">
        <v>0.1039136340884924</v>
      </c>
      <c r="Q1203" s="1">
        <v>3.4611433232710391</v>
      </c>
      <c r="R1203" s="2">
        <f t="shared" si="75"/>
        <v>303.26982130466831</v>
      </c>
      <c r="S1203" s="2">
        <f t="shared" si="74"/>
        <v>3.3214606110164357</v>
      </c>
      <c r="T1203" s="2">
        <f t="shared" si="76"/>
        <v>7.0454739535776136</v>
      </c>
      <c r="U1203" s="2">
        <f t="shared" si="77"/>
        <v>313.6367558692624</v>
      </c>
    </row>
    <row r="1204" spans="1:21" x14ac:dyDescent="0.25">
      <c r="A1204">
        <v>3071301</v>
      </c>
      <c r="B1204">
        <v>24</v>
      </c>
      <c r="C1204" s="1">
        <f>14.5486039715346*(10.3/7.3)</f>
        <v>20.52748231600081</v>
      </c>
      <c r="D1204" s="1">
        <f>12.8897500118017*(10.3/7.3)</f>
        <v>18.186907550898255</v>
      </c>
      <c r="E1204" s="1">
        <f>46.7814373305085*(10.3/7.3)</f>
        <v>66.006685548525638</v>
      </c>
      <c r="F1204" s="1">
        <f>75.4335243038056*(38.9/42.5)</f>
        <v>69.043861068659709</v>
      </c>
      <c r="G1204" s="1">
        <v>1.6106311837268557</v>
      </c>
      <c r="H1204" s="1">
        <v>4.5187684571718059</v>
      </c>
      <c r="I1204" s="1">
        <v>63.014111505595658</v>
      </c>
      <c r="J1204" s="1">
        <v>3.2983483605797691E-2</v>
      </c>
      <c r="K1204" s="1">
        <v>2.4992786056114471</v>
      </c>
      <c r="L1204" s="1">
        <v>3.4213698626825022</v>
      </c>
      <c r="M1204" s="1">
        <v>0.12336976835323553</v>
      </c>
      <c r="N1204" s="1">
        <v>1.6970388581028937</v>
      </c>
      <c r="O1204" s="1">
        <v>0.11410222222222222</v>
      </c>
      <c r="P1204" s="1">
        <v>8.9514597927153203E-2</v>
      </c>
      <c r="Q1204" s="1">
        <v>2.5740681018465761</v>
      </c>
      <c r="R1204" s="2">
        <f t="shared" si="75"/>
        <v>245.4825157324253</v>
      </c>
      <c r="S1204" s="2">
        <f t="shared" si="74"/>
        <v>2.6217766871443979</v>
      </c>
      <c r="T1204" s="2">
        <f t="shared" si="76"/>
        <v>5.3558807113608538</v>
      </c>
      <c r="U1204" s="2">
        <f t="shared" si="77"/>
        <v>253.46017313093057</v>
      </c>
    </row>
    <row r="1205" spans="1:21" x14ac:dyDescent="0.25">
      <c r="A1205">
        <v>3082729</v>
      </c>
      <c r="B1205">
        <v>1</v>
      </c>
      <c r="C1205" s="1">
        <f>0.506228886395741*(10.3/7.3)</f>
        <v>0.71426815477755201</v>
      </c>
      <c r="D1205" s="1">
        <f>0.679432977481909*(10.3/7.3)</f>
        <v>0.9586520093237888</v>
      </c>
      <c r="E1205" s="1">
        <f>2.36796991362002*(10.3/7.3)</f>
        <v>3.3411082342857825</v>
      </c>
      <c r="F1205" s="1">
        <f>6.10022217829714*(38.9/42.5)</f>
        <v>5.583497476135503</v>
      </c>
      <c r="G1205" s="1">
        <v>0.29152035481294813</v>
      </c>
      <c r="H1205" s="1">
        <v>1.5744036096796477</v>
      </c>
      <c r="I1205" s="1">
        <v>4.6651320168557913</v>
      </c>
      <c r="J1205" s="1">
        <v>1.3646143283214278E-2</v>
      </c>
      <c r="K1205" s="1">
        <v>1.8853999706861619</v>
      </c>
      <c r="L1205" s="1">
        <v>2.037147069511855</v>
      </c>
      <c r="M1205" s="1">
        <v>7.3733171091507413E-2</v>
      </c>
      <c r="N1205" s="1">
        <v>1.0433132028847707</v>
      </c>
      <c r="O1205" s="1">
        <v>0.18325333333333335</v>
      </c>
      <c r="P1205" s="1">
        <v>0.12541026607432554</v>
      </c>
      <c r="Q1205" s="1">
        <v>0.46590011043165275</v>
      </c>
      <c r="R1205" s="2">
        <f t="shared" si="75"/>
        <v>17.59448196630267</v>
      </c>
      <c r="S1205" s="2">
        <f t="shared" si="74"/>
        <v>2.0244563800437017</v>
      </c>
      <c r="T1205" s="2">
        <f t="shared" si="76"/>
        <v>3.3374467768214666</v>
      </c>
      <c r="U1205" s="2">
        <f t="shared" si="77"/>
        <v>22.956385123167838</v>
      </c>
    </row>
    <row r="1206" spans="1:21" x14ac:dyDescent="0.25">
      <c r="A1206">
        <v>3082737</v>
      </c>
      <c r="B1206">
        <v>1</v>
      </c>
      <c r="C1206" s="1">
        <f>0.591463333043017*(10.3/7.3)</f>
        <v>0.83453045621138056</v>
      </c>
      <c r="D1206" s="1">
        <f>0.768635862164355*(10.3/7.3)</f>
        <v>1.0845136137387479</v>
      </c>
      <c r="E1206" s="1">
        <f>2.69000912933297*(10.3/7.3)</f>
        <v>3.7954923331684332</v>
      </c>
      <c r="F1206" s="1">
        <f>6.54965534381452*(38.9/42.5)</f>
        <v>5.9948610088090506</v>
      </c>
      <c r="G1206" s="1">
        <v>0.29785075633446595</v>
      </c>
      <c r="H1206" s="1">
        <v>1.7447092700397033</v>
      </c>
      <c r="I1206" s="1">
        <v>5.0016972315275936</v>
      </c>
      <c r="J1206" s="1">
        <v>1.449478403465795E-2</v>
      </c>
      <c r="K1206" s="1">
        <v>2.0145513489401736</v>
      </c>
      <c r="L1206" s="1">
        <v>2.2600748411390787</v>
      </c>
      <c r="M1206" s="1">
        <v>7.8559006280210675E-2</v>
      </c>
      <c r="N1206" s="1">
        <v>0.80277669617276204</v>
      </c>
      <c r="O1206" s="1">
        <v>0.19669333333333333</v>
      </c>
      <c r="P1206" s="1">
        <v>0.13503365367720763</v>
      </c>
      <c r="Q1206" s="1">
        <v>0.47601719048887303</v>
      </c>
      <c r="R1206" s="2">
        <f t="shared" si="75"/>
        <v>19.229671860318245</v>
      </c>
      <c r="S1206" s="2">
        <f t="shared" si="74"/>
        <v>2.1640797866520392</v>
      </c>
      <c r="T1206" s="2">
        <f t="shared" si="76"/>
        <v>3.338103876925385</v>
      </c>
      <c r="U1206" s="2">
        <f t="shared" si="77"/>
        <v>24.731855523895668</v>
      </c>
    </row>
    <row r="1207" spans="1:21" x14ac:dyDescent="0.25">
      <c r="A1207">
        <v>3082777</v>
      </c>
      <c r="B1207">
        <v>8</v>
      </c>
      <c r="C1207" s="1">
        <f>1.77299597780538*(10.3/7.3)</f>
        <v>2.5016244618349899</v>
      </c>
      <c r="D1207" s="1">
        <f>1.54502546299718*(10.3/7.3)</f>
        <v>2.1799674340919162</v>
      </c>
      <c r="E1207" s="1">
        <f>5.56098708999001*(10.3/7.3)</f>
        <v>7.8463242502598813</v>
      </c>
      <c r="F1207" s="1">
        <f>11.5867013924861*(38.9/42.5)</f>
        <v>10.6052396274755</v>
      </c>
      <c r="G1207" s="1">
        <v>0.40912902206335033</v>
      </c>
      <c r="H1207" s="1">
        <v>2.8012257951826331</v>
      </c>
      <c r="I1207" s="1">
        <v>9.9142301437896876</v>
      </c>
      <c r="J1207" s="1">
        <v>1.5420863254670861E-2</v>
      </c>
      <c r="K1207" s="1">
        <v>2.1431245030407888</v>
      </c>
      <c r="L1207" s="1">
        <v>3.5118080911892156</v>
      </c>
      <c r="M1207" s="1">
        <v>8.2668706047619195E-2</v>
      </c>
      <c r="N1207" s="1">
        <v>0.63482392357061435</v>
      </c>
      <c r="O1207" s="1">
        <v>0.20710000000000001</v>
      </c>
      <c r="P1207" s="1">
        <v>0.14428591678956026</v>
      </c>
      <c r="Q1207" s="1">
        <v>0.65385916768115404</v>
      </c>
      <c r="R1207" s="2">
        <f t="shared" si="75"/>
        <v>36.911599902379116</v>
      </c>
      <c r="S1207" s="2">
        <f t="shared" si="74"/>
        <v>2.3028312830850202</v>
      </c>
      <c r="T1207" s="2">
        <f t="shared" si="76"/>
        <v>4.4364007208074483</v>
      </c>
      <c r="U1207" s="2">
        <f t="shared" si="77"/>
        <v>43.650831906271584</v>
      </c>
    </row>
    <row r="1208" spans="1:21" x14ac:dyDescent="0.25">
      <c r="A1208">
        <v>3082801</v>
      </c>
      <c r="B1208">
        <v>10</v>
      </c>
      <c r="C1208" s="1">
        <f>0.983780762704547*(10.3/7.3)</f>
        <v>1.3880742268297037</v>
      </c>
      <c r="D1208" s="1">
        <f>1.04189481416059*(10.3/7.3)</f>
        <v>1.4700707651854912</v>
      </c>
      <c r="E1208" s="1">
        <f>3.7139367194071*(10.3/7.3)</f>
        <v>5.2402120835469983</v>
      </c>
      <c r="F1208" s="1">
        <f>7.43345836277852*(38.9/42.5)</f>
        <v>6.8038007132255194</v>
      </c>
      <c r="G1208" s="1">
        <v>0.26276531061351116</v>
      </c>
      <c r="H1208" s="1">
        <v>2.2129322680197463</v>
      </c>
      <c r="I1208" s="1">
        <v>5.8764989239595664</v>
      </c>
      <c r="J1208" s="1">
        <v>1.5003968485524152E-2</v>
      </c>
      <c r="K1208" s="1">
        <v>2.0409057366943801</v>
      </c>
      <c r="L1208" s="1">
        <v>3.4094101300618256</v>
      </c>
      <c r="M1208" s="1">
        <v>7.9494520496580873E-2</v>
      </c>
      <c r="N1208" s="1">
        <v>0.61471711348342539</v>
      </c>
      <c r="O1208" s="1">
        <v>0.19406399999999999</v>
      </c>
      <c r="P1208" s="1">
        <v>0.13561764173741214</v>
      </c>
      <c r="Q1208" s="1">
        <v>0.41994456034122835</v>
      </c>
      <c r="R1208" s="2">
        <f t="shared" si="75"/>
        <v>23.674298851721765</v>
      </c>
      <c r="S1208" s="2">
        <f t="shared" si="74"/>
        <v>2.1915273469173164</v>
      </c>
      <c r="T1208" s="2">
        <f t="shared" si="76"/>
        <v>4.297685764041832</v>
      </c>
      <c r="U1208" s="2">
        <f t="shared" si="77"/>
        <v>30.163511962680914</v>
      </c>
    </row>
    <row r="1209" spans="1:21" x14ac:dyDescent="0.25">
      <c r="A1209">
        <v>3082841</v>
      </c>
      <c r="B1209">
        <v>7</v>
      </c>
      <c r="C1209" s="1">
        <f>1.76147396482402*(10.3/7.3)</f>
        <v>2.4853673750256773</v>
      </c>
      <c r="D1209" s="1">
        <f>2.13706646363358*(10.3/7.3)</f>
        <v>3.0153129555377971</v>
      </c>
      <c r="E1209" s="1">
        <f>7.55510220051288*(10.3/7.3)</f>
        <v>10.659938721271594</v>
      </c>
      <c r="F1209" s="1">
        <f>15.7052161497734*(38.9/42.5)</f>
        <v>14.374891958263209</v>
      </c>
      <c r="G1209" s="1">
        <v>0.6020012584930089</v>
      </c>
      <c r="H1209" s="1">
        <v>3.3992990613089971</v>
      </c>
      <c r="I1209" s="1">
        <v>11.902876984287811</v>
      </c>
      <c r="J1209" s="1">
        <v>2.2431999748517568E-2</v>
      </c>
      <c r="K1209" s="1">
        <v>2.947085166864138</v>
      </c>
      <c r="L1209" s="1">
        <v>13.348687082675742</v>
      </c>
      <c r="M1209" s="1">
        <v>0.1139392963025513</v>
      </c>
      <c r="N1209" s="1">
        <v>0.96477075739593821</v>
      </c>
      <c r="O1209" s="1">
        <v>0.28569904761904763</v>
      </c>
      <c r="P1209" s="1">
        <v>0.2058326798531728</v>
      </c>
      <c r="Q1209" s="1">
        <v>0.96210246791120257</v>
      </c>
      <c r="R1209" s="2">
        <f t="shared" si="75"/>
        <v>47.40179078209929</v>
      </c>
      <c r="S1209" s="2">
        <f t="shared" si="74"/>
        <v>3.1753498464658283</v>
      </c>
      <c r="T1209" s="2">
        <f t="shared" si="76"/>
        <v>14.713096183993278</v>
      </c>
      <c r="U1209" s="2">
        <f t="shared" si="77"/>
        <v>65.290236812558391</v>
      </c>
    </row>
    <row r="1210" spans="1:21" x14ac:dyDescent="0.25">
      <c r="A1210">
        <v>3082849</v>
      </c>
      <c r="B1210">
        <v>1</v>
      </c>
      <c r="C1210" s="1">
        <f>1.20881563352563*(10.3/7.3)</f>
        <v>1.7055891815498583</v>
      </c>
      <c r="D1210" s="1">
        <f>1.4727870248219*(10.3/7.3)</f>
        <v>2.0780419665295313</v>
      </c>
      <c r="E1210" s="1">
        <f>5.21024417244627*(10.3/7.3)</f>
        <v>7.3514404076981572</v>
      </c>
      <c r="F1210" s="1">
        <f>10.5998962525075*(38.9/42.5)</f>
        <v>9.7020226875892259</v>
      </c>
      <c r="G1210" s="1">
        <v>0.39613292232955633</v>
      </c>
      <c r="H1210" s="1">
        <v>2.6429288672838638</v>
      </c>
      <c r="I1210" s="1">
        <v>7.9899627687685264</v>
      </c>
      <c r="J1210" s="1">
        <v>1.8474909158928781E-2</v>
      </c>
      <c r="K1210" s="1">
        <v>2.4345653195105754</v>
      </c>
      <c r="L1210" s="1">
        <v>15.119351379191382</v>
      </c>
      <c r="M1210" s="1">
        <v>9.2002887042339387E-2</v>
      </c>
      <c r="N1210" s="1">
        <v>0.8099256452854372</v>
      </c>
      <c r="O1210" s="1">
        <v>0.23674666666666666</v>
      </c>
      <c r="P1210" s="1">
        <v>0.16936825766648436</v>
      </c>
      <c r="Q1210" s="1">
        <v>0.63308914527554727</v>
      </c>
      <c r="R1210" s="2">
        <f t="shared" si="75"/>
        <v>32.499207947024267</v>
      </c>
      <c r="S1210" s="2">
        <f t="shared" si="74"/>
        <v>2.6224084863359889</v>
      </c>
      <c r="T1210" s="2">
        <f t="shared" si="76"/>
        <v>16.258026578185824</v>
      </c>
      <c r="U1210" s="2">
        <f t="shared" si="77"/>
        <v>51.379643011546079</v>
      </c>
    </row>
    <row r="1211" spans="1:21" x14ac:dyDescent="0.25">
      <c r="A1211">
        <v>3082857</v>
      </c>
      <c r="B1211">
        <v>13</v>
      </c>
      <c r="C1211" s="1">
        <f>1.17333702489243*(10.3/7.3)</f>
        <v>1.6555303227934337</v>
      </c>
      <c r="D1211" s="1">
        <f>1.80063553261299*(10.3/7.3)</f>
        <v>2.5406227377964083</v>
      </c>
      <c r="E1211" s="1">
        <f>6.34002610746396*(10.3/7.3)</f>
        <v>8.945516288613538</v>
      </c>
      <c r="F1211" s="1">
        <f>11.3506767516589*(38.9/42.5)</f>
        <v>10.389207662106649</v>
      </c>
      <c r="G1211" s="1">
        <v>0.37411269904479805</v>
      </c>
      <c r="H1211" s="1">
        <v>2.8736463974545412</v>
      </c>
      <c r="I1211" s="1">
        <v>7.646323692973815</v>
      </c>
      <c r="J1211" s="1">
        <v>1.8397878690720817E-2</v>
      </c>
      <c r="K1211" s="1">
        <v>2.4226230931021684</v>
      </c>
      <c r="L1211" s="1">
        <v>6.8917222649498768</v>
      </c>
      <c r="M1211" s="1">
        <v>9.2695610465347716E-2</v>
      </c>
      <c r="N1211" s="1">
        <v>0.82268374711218728</v>
      </c>
      <c r="O1211" s="1">
        <v>0.22976410256410254</v>
      </c>
      <c r="P1211" s="1">
        <v>0.16768112057914769</v>
      </c>
      <c r="Q1211" s="1">
        <v>0.59789700760584208</v>
      </c>
      <c r="R1211" s="2">
        <f t="shared" si="75"/>
        <v>35.022856808389029</v>
      </c>
      <c r="S1211" s="2">
        <f t="shared" si="74"/>
        <v>2.6087020923720368</v>
      </c>
      <c r="T1211" s="2">
        <f t="shared" si="76"/>
        <v>8.0368657250915145</v>
      </c>
      <c r="U1211" s="2">
        <f t="shared" si="77"/>
        <v>45.66842462585258</v>
      </c>
    </row>
    <row r="1212" spans="1:21" x14ac:dyDescent="0.25">
      <c r="A1212">
        <v>3082865</v>
      </c>
      <c r="B1212">
        <v>10</v>
      </c>
      <c r="C1212" s="1">
        <f>1.36259610011681*(10.3/7.3)</f>
        <v>1.9225671001648172</v>
      </c>
      <c r="D1212" s="1">
        <f>2.00293827980184*(10.3/7.3)</f>
        <v>2.8260636002683484</v>
      </c>
      <c r="E1212" s="1">
        <f>7.06168753341955*(10.3/7.3)</f>
        <v>9.9637509033179903</v>
      </c>
      <c r="F1212" s="1">
        <f>12.7504556042202*(38.9/42.5)</f>
        <v>11.670417011862687</v>
      </c>
      <c r="G1212" s="1">
        <v>0.42155109386256601</v>
      </c>
      <c r="H1212" s="1">
        <v>4.6399054961606518</v>
      </c>
      <c r="I1212" s="1">
        <v>8.7441622852692085</v>
      </c>
      <c r="J1212" s="1">
        <v>2.0125515420486729E-2</v>
      </c>
      <c r="K1212" s="1">
        <v>2.665735411024019</v>
      </c>
      <c r="L1212" s="1">
        <v>5.9730126587711698</v>
      </c>
      <c r="M1212" s="1">
        <v>9.8516427576992804E-2</v>
      </c>
      <c r="N1212" s="1">
        <v>0.92160366974172869</v>
      </c>
      <c r="O1212" s="1">
        <v>0.24869333333333329</v>
      </c>
      <c r="P1212" s="1">
        <v>0.18667014795847964</v>
      </c>
      <c r="Q1212" s="1">
        <v>0.67371179384428426</v>
      </c>
      <c r="R1212" s="2">
        <f t="shared" si="75"/>
        <v>40.862129284750552</v>
      </c>
      <c r="S1212" s="2">
        <f t="shared" si="74"/>
        <v>2.8725310744029855</v>
      </c>
      <c r="T1212" s="2">
        <f t="shared" si="76"/>
        <v>7.2418260894232249</v>
      </c>
      <c r="U1212" s="2">
        <f t="shared" si="77"/>
        <v>50.976486448576765</v>
      </c>
    </row>
    <row r="1213" spans="1:21" x14ac:dyDescent="0.25">
      <c r="A1213">
        <v>3083161</v>
      </c>
      <c r="B1213">
        <v>15</v>
      </c>
      <c r="C1213" s="1">
        <f>9.32719753077534*(10.3/7.3)</f>
        <v>13.16029240643644</v>
      </c>
      <c r="D1213" s="1">
        <f>9.95792968053124*(10.3/7.3)</f>
        <v>14.050229549242712</v>
      </c>
      <c r="E1213" s="1">
        <f>35.4851366663452*(10.3/7.3)</f>
        <v>50.068069542925372</v>
      </c>
      <c r="F1213" s="1">
        <f>70.8152121718489*(38.9/42.5)</f>
        <v>64.816747140821661</v>
      </c>
      <c r="G1213" s="1">
        <v>2.4985415270804263</v>
      </c>
      <c r="H1213" s="1">
        <v>6.0490420744849782</v>
      </c>
      <c r="I1213" s="1">
        <v>55.791265929016326</v>
      </c>
      <c r="J1213" s="1">
        <v>6.8074566517805746E-2</v>
      </c>
      <c r="K1213" s="1">
        <v>4.8337851603984321</v>
      </c>
      <c r="L1213" s="1">
        <v>5.4422767402846111</v>
      </c>
      <c r="M1213" s="1">
        <v>0.21400373844812776</v>
      </c>
      <c r="N1213" s="1">
        <v>2.6141095161389116</v>
      </c>
      <c r="O1213" s="1">
        <v>0.25784888888888891</v>
      </c>
      <c r="P1213" s="1">
        <v>0.17917880236391806</v>
      </c>
      <c r="Q1213" s="1">
        <v>3.9931028971605027</v>
      </c>
      <c r="R1213" s="2">
        <f t="shared" si="75"/>
        <v>210.42729106716843</v>
      </c>
      <c r="S1213" s="2">
        <f t="shared" si="74"/>
        <v>5.0810385292801552</v>
      </c>
      <c r="T1213" s="2">
        <f t="shared" si="76"/>
        <v>8.5282388837605385</v>
      </c>
      <c r="U1213" s="2">
        <f t="shared" si="77"/>
        <v>224.03656848020913</v>
      </c>
    </row>
    <row r="1214" spans="1:21" x14ac:dyDescent="0.25">
      <c r="A1214">
        <v>3083169</v>
      </c>
      <c r="B1214">
        <v>15</v>
      </c>
      <c r="C1214" s="1">
        <f>8.82003929683049*(10.3/7.3)</f>
        <v>12.444712980459451</v>
      </c>
      <c r="D1214" s="1">
        <f>9.34081461786645*(10.3/7.3)</f>
        <v>13.17950555671568</v>
      </c>
      <c r="E1214" s="1">
        <f>33.2879830983503*(10.3/7.3)</f>
        <v>46.967976152466917</v>
      </c>
      <c r="F1214" s="1">
        <f>67.0458012352157*(38.9/42.5)</f>
        <v>61.366627483526834</v>
      </c>
      <c r="G1214" s="1">
        <v>2.3903882265094096</v>
      </c>
      <c r="H1214" s="1">
        <v>8.1713126112795198</v>
      </c>
      <c r="I1214" s="1">
        <v>53.048543009752429</v>
      </c>
      <c r="J1214" s="1">
        <v>6.1840451557700502E-2</v>
      </c>
      <c r="K1214" s="1">
        <v>4.617767853435037</v>
      </c>
      <c r="L1214" s="1">
        <v>5.4308573258294945</v>
      </c>
      <c r="M1214" s="1">
        <v>0.21387381172684955</v>
      </c>
      <c r="N1214" s="1">
        <v>2.5067614109795238</v>
      </c>
      <c r="O1214" s="1">
        <v>0.25301333333333337</v>
      </c>
      <c r="P1214" s="1">
        <v>0.17974565604730336</v>
      </c>
      <c r="Q1214" s="1">
        <v>3.8202551565218923</v>
      </c>
      <c r="R1214" s="2">
        <f t="shared" si="75"/>
        <v>201.38932117723209</v>
      </c>
      <c r="S1214" s="2">
        <f t="shared" si="74"/>
        <v>4.8593539610400409</v>
      </c>
      <c r="T1214" s="2">
        <f t="shared" si="76"/>
        <v>8.404505881869202</v>
      </c>
      <c r="U1214" s="2">
        <f t="shared" si="77"/>
        <v>214.65318102014132</v>
      </c>
    </row>
    <row r="1215" spans="1:21" x14ac:dyDescent="0.25">
      <c r="A1215">
        <v>3083177</v>
      </c>
      <c r="B1215">
        <v>20</v>
      </c>
      <c r="C1215" s="1">
        <f>11.4068781997882*(10.3/7.3)</f>
        <v>16.094636364084732</v>
      </c>
      <c r="D1215" s="1">
        <f>11.5160969326884*(10.3/7.3)</f>
        <v>16.248739507765816</v>
      </c>
      <c r="E1215" s="1">
        <f>41.2072695046234*(10.3/7.3)</f>
        <v>58.141763821591873</v>
      </c>
      <c r="F1215" s="1">
        <f>79.9166304947828*(38.9/42.5)</f>
        <v>73.147221794048221</v>
      </c>
      <c r="G1215" s="1">
        <v>2.6621484296803319</v>
      </c>
      <c r="H1215" s="1">
        <v>8.939871488801824</v>
      </c>
      <c r="I1215" s="1">
        <v>64.099354561410948</v>
      </c>
      <c r="J1215" s="1">
        <v>5.4015983829389838E-2</v>
      </c>
      <c r="K1215" s="1">
        <v>4.1708036969768099</v>
      </c>
      <c r="L1215" s="1">
        <v>4.9927123098934354</v>
      </c>
      <c r="M1215" s="1">
        <v>0.19913571811922953</v>
      </c>
      <c r="N1215" s="1">
        <v>2.30818848302909</v>
      </c>
      <c r="O1215" s="1">
        <v>0.23600000000000004</v>
      </c>
      <c r="P1215" s="1">
        <v>0.17154854112196949</v>
      </c>
      <c r="Q1215" s="1">
        <v>4.2545751159274765</v>
      </c>
      <c r="R1215" s="2">
        <f t="shared" si="75"/>
        <v>243.58831108331123</v>
      </c>
      <c r="S1215" s="2">
        <f t="shared" si="74"/>
        <v>4.396368221928169</v>
      </c>
      <c r="T1215" s="2">
        <f t="shared" si="76"/>
        <v>7.736036511041755</v>
      </c>
      <c r="U1215" s="2">
        <f t="shared" si="77"/>
        <v>255.72071581628114</v>
      </c>
    </row>
    <row r="1216" spans="1:21" x14ac:dyDescent="0.25">
      <c r="A1216">
        <v>3083185</v>
      </c>
      <c r="B1216">
        <v>50</v>
      </c>
      <c r="C1216" s="1">
        <f>8.75238279525501*(10.3/7.3)</f>
        <v>12.349252437140638</v>
      </c>
      <c r="D1216" s="1">
        <f>8.69687660511817*(10.3/7.3)</f>
        <v>12.270935483933853</v>
      </c>
      <c r="E1216" s="1">
        <f>31.1129792733187*(10.3/7.3)</f>
        <v>43.899135139066047</v>
      </c>
      <c r="F1216" s="1">
        <f>62.0544593608919*(38.9/42.5)</f>
        <v>56.798081626792801</v>
      </c>
      <c r="G1216" s="1">
        <v>2.14401042989115</v>
      </c>
      <c r="H1216" s="1">
        <v>5.6772315629675436</v>
      </c>
      <c r="I1216" s="1">
        <v>50.247182187417344</v>
      </c>
      <c r="J1216" s="1">
        <v>5.2024733170202404E-2</v>
      </c>
      <c r="K1216" s="1">
        <v>3.9374952575190889</v>
      </c>
      <c r="L1216" s="1">
        <v>4.7470327664641943</v>
      </c>
      <c r="M1216" s="1">
        <v>0.19413425129067569</v>
      </c>
      <c r="N1216" s="1">
        <v>2.2774392716446892</v>
      </c>
      <c r="O1216" s="1">
        <v>0.22556479999999998</v>
      </c>
      <c r="P1216" s="1">
        <v>0.16712333833701051</v>
      </c>
      <c r="Q1216" s="1">
        <v>3.4265006870406536</v>
      </c>
      <c r="R1216" s="2">
        <f t="shared" si="75"/>
        <v>186.81232955425003</v>
      </c>
      <c r="S1216" s="2">
        <f t="shared" si="74"/>
        <v>4.1566433290263021</v>
      </c>
      <c r="T1216" s="2">
        <f t="shared" si="76"/>
        <v>7.4441710893995587</v>
      </c>
      <c r="U1216" s="2">
        <f t="shared" si="77"/>
        <v>198.4131439726759</v>
      </c>
    </row>
    <row r="1217" spans="1:21" x14ac:dyDescent="0.25">
      <c r="A1217">
        <v>3083193</v>
      </c>
      <c r="B1217">
        <v>17</v>
      </c>
      <c r="C1217" s="1">
        <f>7.99324798313671*(10.3/7.3)</f>
        <v>11.278144414562751</v>
      </c>
      <c r="D1217" s="1">
        <f>7.58068677964853*(10.3/7.3)</f>
        <v>10.696037511010941</v>
      </c>
      <c r="E1217" s="1">
        <f>27.2062144297826*(10.3/7.3)</f>
        <v>38.386850496816592</v>
      </c>
      <c r="F1217" s="1">
        <f>53.5673577546983*(38.9/42.5)</f>
        <v>49.029887450770929</v>
      </c>
      <c r="G1217" s="1">
        <v>1.7903107633038358</v>
      </c>
      <c r="H1217" s="1">
        <v>6.0074289267046934</v>
      </c>
      <c r="I1217" s="1">
        <v>44.127744013884445</v>
      </c>
      <c r="J1217" s="1">
        <v>4.4188723927672091E-2</v>
      </c>
      <c r="K1217" s="1">
        <v>3.3770161674391037</v>
      </c>
      <c r="L1217" s="1">
        <v>3.8438645065048176</v>
      </c>
      <c r="M1217" s="1">
        <v>0.16695790735526148</v>
      </c>
      <c r="N1217" s="1">
        <v>2.027209297448366</v>
      </c>
      <c r="O1217" s="1">
        <v>0.19155764705882353</v>
      </c>
      <c r="P1217" s="1">
        <v>0.15114116562971591</v>
      </c>
      <c r="Q1217" s="1">
        <v>2.8612272472892375</v>
      </c>
      <c r="R1217" s="2">
        <f t="shared" si="75"/>
        <v>164.17763082434342</v>
      </c>
      <c r="S1217" s="2">
        <f t="shared" si="74"/>
        <v>3.5723460569964915</v>
      </c>
      <c r="T1217" s="2">
        <f t="shared" si="76"/>
        <v>6.229589358367269</v>
      </c>
      <c r="U1217" s="2">
        <f t="shared" si="77"/>
        <v>173.97956623970717</v>
      </c>
    </row>
    <row r="1218" spans="1:21" x14ac:dyDescent="0.25">
      <c r="A1218">
        <v>3083201</v>
      </c>
      <c r="B1218">
        <v>26</v>
      </c>
      <c r="C1218" s="1">
        <f>14.5401019733517*(10.3/7.3)</f>
        <v>20.515486345962035</v>
      </c>
      <c r="D1218" s="1">
        <f>11.5825211885086*(10.3/7.3)</f>
        <v>16.342461402964187</v>
      </c>
      <c r="E1218" s="1">
        <f>42.2024564289754*(10.3/7.3)</f>
        <v>59.54593167375986</v>
      </c>
      <c r="F1218" s="1">
        <f>74.5277681653601*(38.9/42.5)</f>
        <v>68.214827803117856</v>
      </c>
      <c r="G1218" s="1">
        <v>1.8917336124374105</v>
      </c>
      <c r="H1218" s="1">
        <v>6.4163710484917393</v>
      </c>
      <c r="I1218" s="1">
        <v>65.938745368077988</v>
      </c>
      <c r="J1218" s="1">
        <v>4.8952209745583265E-2</v>
      </c>
      <c r="K1218" s="1">
        <v>3.5346052344218579</v>
      </c>
      <c r="L1218" s="1">
        <v>4.2679729095924008</v>
      </c>
      <c r="M1218" s="1">
        <v>0.18531797388065002</v>
      </c>
      <c r="N1218" s="1">
        <v>2.2287452167177686</v>
      </c>
      <c r="O1218" s="1">
        <v>0.205854358974359</v>
      </c>
      <c r="P1218" s="1">
        <v>0.15580295164586591</v>
      </c>
      <c r="Q1218" s="1">
        <v>3.0233185586899292</v>
      </c>
      <c r="R1218" s="2">
        <f t="shared" si="75"/>
        <v>241.88887581350099</v>
      </c>
      <c r="S1218" s="2">
        <f t="shared" si="74"/>
        <v>3.7393603958133075</v>
      </c>
      <c r="T1218" s="2">
        <f t="shared" si="76"/>
        <v>6.8878904591651784</v>
      </c>
      <c r="U1218" s="2">
        <f t="shared" si="77"/>
        <v>252.5161266684795</v>
      </c>
    </row>
    <row r="1219" spans="1:21" x14ac:dyDescent="0.25">
      <c r="A1219">
        <v>3083513</v>
      </c>
      <c r="B1219">
        <v>15</v>
      </c>
      <c r="C1219" s="1">
        <f>11.4277885196433*(10.3/7.3)</f>
        <v>16.124139966072008</v>
      </c>
      <c r="D1219" s="1">
        <f>10.9030511343395*(10.3/7.3)</f>
        <v>15.383757079958491</v>
      </c>
      <c r="E1219" s="1">
        <f>39.3751967429867*(10.3/7.3)</f>
        <v>55.556784445584007</v>
      </c>
      <c r="F1219" s="1">
        <f>64.4584717974669*(38.9/42.5)</f>
        <v>58.998460068740314</v>
      </c>
      <c r="G1219" s="1">
        <v>1.4994110360910362</v>
      </c>
      <c r="H1219" s="1">
        <v>6.2685023600245637</v>
      </c>
      <c r="I1219" s="1">
        <v>51.956873797562288</v>
      </c>
      <c r="J1219" s="1">
        <v>3.4371081954470709E-2</v>
      </c>
      <c r="K1219" s="1">
        <v>2.2177732037658733</v>
      </c>
      <c r="L1219" s="1">
        <v>3.8545958126915201</v>
      </c>
      <c r="M1219" s="1">
        <v>0.10987708479528623</v>
      </c>
      <c r="N1219" s="1">
        <v>1.7682255836729486</v>
      </c>
      <c r="O1219" s="1">
        <v>0.10233955555555554</v>
      </c>
      <c r="P1219" s="1">
        <v>8.1915140449219104E-2</v>
      </c>
      <c r="Q1219" s="1">
        <v>2.3963190074514302</v>
      </c>
      <c r="R1219" s="2">
        <f t="shared" si="75"/>
        <v>208.18424776148416</v>
      </c>
      <c r="S1219" s="2">
        <f t="shared" si="74"/>
        <v>2.3340594261695635</v>
      </c>
      <c r="T1219" s="2">
        <f t="shared" si="76"/>
        <v>5.8350380367153107</v>
      </c>
      <c r="U1219" s="2">
        <f t="shared" si="77"/>
        <v>216.35334522436904</v>
      </c>
    </row>
    <row r="1220" spans="1:21" x14ac:dyDescent="0.25">
      <c r="A1220">
        <v>3083521</v>
      </c>
      <c r="B1220">
        <v>55</v>
      </c>
      <c r="C1220" s="1">
        <f>15.3098301351238*(10.3/7.3)</f>
        <v>21.601541149558198</v>
      </c>
      <c r="D1220" s="1">
        <f>14.8032251611855*(10.3/7.3)</f>
        <v>20.886742350713799</v>
      </c>
      <c r="E1220" s="1">
        <f>53.4324530106166*(10.3/7.3)</f>
        <v>75.390995343746738</v>
      </c>
      <c r="F1220" s="1">
        <f>86.7924424991102*(38.9/42.5)</f>
        <v>79.440612075656119</v>
      </c>
      <c r="G1220" s="1">
        <v>1.9925450878468698</v>
      </c>
      <c r="H1220" s="1">
        <v>4.749381162718084</v>
      </c>
      <c r="I1220" s="1">
        <v>69.436426372510226</v>
      </c>
      <c r="J1220" s="1">
        <v>4.0159531938135977E-2</v>
      </c>
      <c r="K1220" s="1">
        <v>3.0013628727025106</v>
      </c>
      <c r="L1220" s="1">
        <v>4.4966322453144345</v>
      </c>
      <c r="M1220" s="1">
        <v>0.14236955342023394</v>
      </c>
      <c r="N1220" s="1">
        <v>1.8675548255420631</v>
      </c>
      <c r="O1220" s="1">
        <v>0.12986860606060607</v>
      </c>
      <c r="P1220" s="1">
        <v>9.9001643153147079E-2</v>
      </c>
      <c r="Q1220" s="1">
        <v>3.1844327887963719</v>
      </c>
      <c r="R1220" s="2">
        <f t="shared" si="75"/>
        <v>276.68267633154642</v>
      </c>
      <c r="S1220" s="2">
        <f t="shared" si="74"/>
        <v>3.1405240477937935</v>
      </c>
      <c r="T1220" s="2">
        <f t="shared" si="76"/>
        <v>6.6364252303373377</v>
      </c>
      <c r="U1220" s="2">
        <f t="shared" si="77"/>
        <v>286.45962560967757</v>
      </c>
    </row>
    <row r="1221" spans="1:21" x14ac:dyDescent="0.25">
      <c r="A1221">
        <v>3083529</v>
      </c>
      <c r="B1221">
        <v>17</v>
      </c>
      <c r="C1221" s="1">
        <f>12.8498308433659*(10.3/7.3)</f>
        <v>18.130583244749207</v>
      </c>
      <c r="D1221" s="1">
        <f>11.9527978984263*(10.3/7.3)</f>
        <v>16.86490662380691</v>
      </c>
      <c r="E1221" s="1">
        <f>43.2584648741902*(10.3/7.3)</f>
        <v>61.035916192350626</v>
      </c>
      <c r="F1221" s="1">
        <f>69.4324774474685*(38.9/42.5)</f>
        <v>63.551138181329968</v>
      </c>
      <c r="G1221" s="1">
        <v>1.5081881830328017</v>
      </c>
      <c r="H1221" s="1">
        <v>4.7282099393848176</v>
      </c>
      <c r="I1221" s="1">
        <v>56.55528637944046</v>
      </c>
      <c r="J1221" s="1">
        <v>3.2523407998415757E-2</v>
      </c>
      <c r="K1221" s="1">
        <v>2.5195617928754515</v>
      </c>
      <c r="L1221" s="1">
        <v>3.4655649637514063</v>
      </c>
      <c r="M1221" s="1">
        <v>0.12319182194742935</v>
      </c>
      <c r="N1221" s="1">
        <v>1.5489137541685434</v>
      </c>
      <c r="O1221" s="1">
        <v>0.1140549019607843</v>
      </c>
      <c r="P1221" s="1">
        <v>8.9882671190028476E-2</v>
      </c>
      <c r="Q1221" s="1">
        <v>2.4103464112396402</v>
      </c>
      <c r="R1221" s="2">
        <f t="shared" si="75"/>
        <v>224.78457515533444</v>
      </c>
      <c r="S1221" s="2">
        <f t="shared" si="74"/>
        <v>2.6419678720638959</v>
      </c>
      <c r="T1221" s="2">
        <f t="shared" si="76"/>
        <v>5.2517254418281638</v>
      </c>
      <c r="U1221" s="2">
        <f t="shared" si="77"/>
        <v>232.67826846922651</v>
      </c>
    </row>
    <row r="1222" spans="1:21" x14ac:dyDescent="0.25">
      <c r="A1222">
        <v>3094877</v>
      </c>
      <c r="B1222">
        <v>18</v>
      </c>
      <c r="C1222" s="1">
        <f>0.391153532492878*(10.3/7.3)</f>
        <v>0.55190155954474585</v>
      </c>
      <c r="D1222" s="1">
        <f>0.545651727918089*(10.3/7.3)</f>
        <v>0.76989216404881111</v>
      </c>
      <c r="E1222" s="1">
        <f>1.91021131092429*(10.3/7.3)</f>
        <v>2.6952296578794792</v>
      </c>
      <c r="F1222" s="1">
        <f>4.33221791604811*(38.9/42.5)</f>
        <v>3.9652535749240316</v>
      </c>
      <c r="G1222" s="1">
        <v>0.18681241401541313</v>
      </c>
      <c r="H1222" s="1">
        <v>1.1002126355673292</v>
      </c>
      <c r="I1222" s="1">
        <v>3.2010409928903658</v>
      </c>
      <c r="J1222" s="1">
        <v>1.1933303366550459E-2</v>
      </c>
      <c r="K1222" s="1">
        <v>1.5973727164570035</v>
      </c>
      <c r="L1222" s="1">
        <v>1.5635995874964297</v>
      </c>
      <c r="M1222" s="1">
        <v>6.781108354519827E-2</v>
      </c>
      <c r="N1222" s="1">
        <v>0.52600682991629433</v>
      </c>
      <c r="O1222" s="1">
        <v>0.16505185185185181</v>
      </c>
      <c r="P1222" s="1">
        <v>9.9347063041489755E-2</v>
      </c>
      <c r="Q1222" s="1">
        <v>0.29855865253604863</v>
      </c>
      <c r="R1222" s="2">
        <f t="shared" si="75"/>
        <v>12.768901651406225</v>
      </c>
      <c r="S1222" s="2">
        <f t="shared" si="74"/>
        <v>1.7086530828650437</v>
      </c>
      <c r="T1222" s="2">
        <f t="shared" si="76"/>
        <v>2.3224693528097737</v>
      </c>
      <c r="U1222" s="2">
        <f t="shared" si="77"/>
        <v>16.800024087081042</v>
      </c>
    </row>
    <row r="1223" spans="1:21" x14ac:dyDescent="0.25">
      <c r="A1223">
        <v>3094957</v>
      </c>
      <c r="B1223">
        <v>12</v>
      </c>
      <c r="C1223" s="1">
        <f>0.453807046428954*(10.3/7.3)</f>
        <v>0.64030309290660614</v>
      </c>
      <c r="D1223" s="1">
        <f>0.573717621584943*(10.3/7.3)</f>
        <v>0.80949198661985067</v>
      </c>
      <c r="E1223" s="1">
        <f>2.01652033891055*(10.3/7.3)</f>
        <v>2.8452273275039315</v>
      </c>
      <c r="F1223" s="1">
        <f>4.59257400802351*(38.9/42.5)</f>
        <v>4.2035559744026942</v>
      </c>
      <c r="G1223" s="1">
        <v>0.19572385495201305</v>
      </c>
      <c r="H1223" s="1">
        <v>1.3498487103686079</v>
      </c>
      <c r="I1223" s="1">
        <v>3.4931513149124491</v>
      </c>
      <c r="J1223" s="1">
        <v>1.3218286904361427E-2</v>
      </c>
      <c r="K1223" s="1">
        <v>1.8102267762590338</v>
      </c>
      <c r="L1223" s="1">
        <v>1.9066186026535814</v>
      </c>
      <c r="M1223" s="1">
        <v>7.0829991950020002E-2</v>
      </c>
      <c r="N1223" s="1">
        <v>0.58268598990674458</v>
      </c>
      <c r="O1223" s="1">
        <v>0.17530666666666664</v>
      </c>
      <c r="P1223" s="1">
        <v>0.12101494288606672</v>
      </c>
      <c r="Q1223" s="1">
        <v>0.31280068143015821</v>
      </c>
      <c r="R1223" s="2">
        <f t="shared" si="75"/>
        <v>13.85010294309631</v>
      </c>
      <c r="S1223" s="2">
        <f t="shared" si="74"/>
        <v>1.9444600060494619</v>
      </c>
      <c r="T1223" s="2">
        <f t="shared" si="76"/>
        <v>2.7354412511770128</v>
      </c>
      <c r="U1223" s="2">
        <f t="shared" si="77"/>
        <v>18.530004200322786</v>
      </c>
    </row>
    <row r="1224" spans="1:21" x14ac:dyDescent="0.25">
      <c r="A1224">
        <v>3094965</v>
      </c>
      <c r="B1224">
        <v>8</v>
      </c>
      <c r="C1224" s="1">
        <f>0.609734969678269*(10.3/7.3)</f>
        <v>0.86031098461454336</v>
      </c>
      <c r="D1224" s="1">
        <f>0.890749000299774*(10.3/7.3)</f>
        <v>1.2568102332996816</v>
      </c>
      <c r="E1224" s="1">
        <f>3.06675967343032*(10.3/7.3)</f>
        <v>4.3270718679907212</v>
      </c>
      <c r="F1224" s="1">
        <f>9.28170434881155*(38.9/42.5)</f>
        <v>8.4954893922063341</v>
      </c>
      <c r="G1224" s="1">
        <v>0.49755346535014489</v>
      </c>
      <c r="H1224" s="1">
        <v>3.2730094243260224</v>
      </c>
      <c r="I1224" s="1">
        <v>7.1564759282491055</v>
      </c>
      <c r="J1224" s="1">
        <v>1.4711187426276088E-2</v>
      </c>
      <c r="K1224" s="1">
        <v>2.0430695951891646</v>
      </c>
      <c r="L1224" s="1">
        <v>2.2290821946363337</v>
      </c>
      <c r="M1224" s="1">
        <v>7.7744341549901425E-2</v>
      </c>
      <c r="N1224" s="1">
        <v>1.3323278623194701</v>
      </c>
      <c r="O1224" s="1">
        <v>0.19688666666666671</v>
      </c>
      <c r="P1224" s="1">
        <v>0.13860343585509674</v>
      </c>
      <c r="Q1224" s="1">
        <v>0.79517677110753837</v>
      </c>
      <c r="R1224" s="2">
        <f t="shared" si="75"/>
        <v>26.66189806714409</v>
      </c>
      <c r="S1224" s="2">
        <f t="shared" si="74"/>
        <v>2.1963842184705373</v>
      </c>
      <c r="T1224" s="2">
        <f t="shared" si="76"/>
        <v>3.8360410651723722</v>
      </c>
      <c r="U1224" s="2">
        <f t="shared" si="77"/>
        <v>32.694323350787002</v>
      </c>
    </row>
    <row r="1225" spans="1:21" x14ac:dyDescent="0.25">
      <c r="A1225">
        <v>3095013</v>
      </c>
      <c r="B1225">
        <v>5</v>
      </c>
      <c r="C1225" s="1">
        <f>0.809886559871832*(10.3/7.3)</f>
        <v>1.1427166529698458</v>
      </c>
      <c r="D1225" s="1">
        <f>0.902346170380598*(10.3/7.3)</f>
        <v>1.273173363687693</v>
      </c>
      <c r="E1225" s="1">
        <f>3.20355303231116*(10.3/7.3)</f>
        <v>4.5200816757267077</v>
      </c>
      <c r="F1225" s="1">
        <f>6.64154291628502*(38.9/42.5)</f>
        <v>6.0789651633761723</v>
      </c>
      <c r="G1225" s="1">
        <v>0.24896718119542319</v>
      </c>
      <c r="H1225" s="1">
        <v>2.3517632925302214</v>
      </c>
      <c r="I1225" s="1">
        <v>5.1805722424966758</v>
      </c>
      <c r="J1225" s="1">
        <v>1.4683182281478446E-2</v>
      </c>
      <c r="K1225" s="1">
        <v>2.0186496774473217</v>
      </c>
      <c r="L1225" s="1">
        <v>3.2993784747721691</v>
      </c>
      <c r="M1225" s="1">
        <v>7.9292043966401007E-2</v>
      </c>
      <c r="N1225" s="1">
        <v>0.60415357455941976</v>
      </c>
      <c r="O1225" s="1">
        <v>0.19545600000000002</v>
      </c>
      <c r="P1225" s="1">
        <v>0.13451262721693966</v>
      </c>
      <c r="Q1225" s="1">
        <v>0.39789275533515167</v>
      </c>
      <c r="R1225" s="2">
        <f t="shared" si="75"/>
        <v>21.194132327317892</v>
      </c>
      <c r="S1225" s="2">
        <f t="shared" ref="S1225:S1288" si="78">J1225+K1225+P1225</f>
        <v>2.16784548694574</v>
      </c>
      <c r="T1225" s="2">
        <f t="shared" si="76"/>
        <v>4.1782800932979898</v>
      </c>
      <c r="U1225" s="2">
        <f t="shared" si="77"/>
        <v>27.540257907561621</v>
      </c>
    </row>
    <row r="1226" spans="1:21" x14ac:dyDescent="0.25">
      <c r="A1226">
        <v>3095037</v>
      </c>
      <c r="B1226">
        <v>2</v>
      </c>
      <c r="C1226" s="1">
        <f>1.28309705548692*(10.3/7.3)</f>
        <v>1.8103972152760686</v>
      </c>
      <c r="D1226" s="1">
        <f>1.3376731212245*(10.3/7.3)</f>
        <v>1.8874018011797731</v>
      </c>
      <c r="E1226" s="1">
        <f>4.77227298042722*(10.3/7.3)</f>
        <v>6.7334810545753925</v>
      </c>
      <c r="F1226" s="1">
        <f>9.55118097289619*(38.9/42.5)</f>
        <v>8.7421397610743927</v>
      </c>
      <c r="G1226" s="1">
        <v>0.33615505028670101</v>
      </c>
      <c r="H1226" s="1">
        <v>3.5975811093810597</v>
      </c>
      <c r="I1226" s="1">
        <v>7.5955825130511556</v>
      </c>
      <c r="J1226" s="1">
        <v>1.7316514533208167E-2</v>
      </c>
      <c r="K1226" s="1">
        <v>2.3737029599343473</v>
      </c>
      <c r="L1226" s="1">
        <v>4.0609552448468671</v>
      </c>
      <c r="M1226" s="1">
        <v>9.0183836382909055E-2</v>
      </c>
      <c r="N1226" s="1">
        <v>0.72304263817307324</v>
      </c>
      <c r="O1226" s="1">
        <v>0.23066666666666666</v>
      </c>
      <c r="P1226" s="1">
        <v>0.16226335139010306</v>
      </c>
      <c r="Q1226" s="1">
        <v>0.53723409863171434</v>
      </c>
      <c r="R1226" s="2">
        <f t="shared" ref="R1226:R1289" si="79">C1226+D1226+E1226+F1226+G1226+H1226+I1226+Q1226</f>
        <v>31.239972603456263</v>
      </c>
      <c r="S1226" s="2">
        <f t="shared" si="78"/>
        <v>2.5532828258576585</v>
      </c>
      <c r="T1226" s="2">
        <f t="shared" ref="T1226:T1289" si="80">L1226+M1226+N1226+O1226</f>
        <v>5.1048483860695164</v>
      </c>
      <c r="U1226" s="2">
        <f t="shared" ref="U1226:U1289" si="81">R1226+S1226+T1226</f>
        <v>38.898103815383436</v>
      </c>
    </row>
    <row r="1227" spans="1:21" x14ac:dyDescent="0.25">
      <c r="A1227">
        <v>3095061</v>
      </c>
      <c r="B1227">
        <v>1</v>
      </c>
      <c r="C1227" s="1">
        <f>1.05945620598951*(10.3/7.3)</f>
        <v>1.4948491673550655</v>
      </c>
      <c r="D1227" s="1">
        <f>1.33454782759389*(10.3/7.3)</f>
        <v>1.882992140303706</v>
      </c>
      <c r="E1227" s="1">
        <f>4.7185181699665*(10.3/7.3)</f>
        <v>6.6576352261171197</v>
      </c>
      <c r="F1227" s="1">
        <f>9.37365125163053*(38.9/42.5)</f>
        <v>8.5796478514924104</v>
      </c>
      <c r="G1227" s="1">
        <v>0.3423781568671761</v>
      </c>
      <c r="H1227" s="1">
        <v>4.4071208361418766</v>
      </c>
      <c r="I1227" s="1">
        <v>6.9522386682782553</v>
      </c>
      <c r="J1227" s="1">
        <v>1.7524431517311867E-2</v>
      </c>
      <c r="K1227" s="1">
        <v>2.3785011880469344</v>
      </c>
      <c r="L1227" s="1">
        <v>4.4514561773454693</v>
      </c>
      <c r="M1227" s="1">
        <v>8.6510751013203671E-2</v>
      </c>
      <c r="N1227" s="1">
        <v>0.7620966016425923</v>
      </c>
      <c r="O1227" s="1">
        <v>0.22570666666666667</v>
      </c>
      <c r="P1227" s="1">
        <v>0.17011918272008564</v>
      </c>
      <c r="Q1227" s="1">
        <v>0.54717970275576144</v>
      </c>
      <c r="R1227" s="2">
        <f t="shared" si="79"/>
        <v>30.864041749311376</v>
      </c>
      <c r="S1227" s="2">
        <f t="shared" si="78"/>
        <v>2.5661448022843318</v>
      </c>
      <c r="T1227" s="2">
        <f t="shared" si="80"/>
        <v>5.5257701966679313</v>
      </c>
      <c r="U1227" s="2">
        <f t="shared" si="81"/>
        <v>38.955956748263645</v>
      </c>
    </row>
    <row r="1228" spans="1:21" x14ac:dyDescent="0.25">
      <c r="A1228">
        <v>3095069</v>
      </c>
      <c r="B1228">
        <v>31</v>
      </c>
      <c r="C1228" s="1">
        <f>1.11075876032514*(10.3/7.3)</f>
        <v>1.5672349631984899</v>
      </c>
      <c r="D1228" s="1">
        <f>1.29049178498954*(10.3/7.3)</f>
        <v>1.8208308747112678</v>
      </c>
      <c r="E1228" s="1">
        <f>4.57560720490155*(10.3/7.3)</f>
        <v>6.4559937274638299</v>
      </c>
      <c r="F1228" s="1">
        <f>9.30924727338499*(38.9/42.5)</f>
        <v>8.5206992690511996</v>
      </c>
      <c r="G1228" s="1">
        <v>0.34418140410211912</v>
      </c>
      <c r="H1228" s="1">
        <v>2.5252741710829678</v>
      </c>
      <c r="I1228" s="1">
        <v>7.1337433585762708</v>
      </c>
      <c r="J1228" s="1">
        <v>1.7227407254306586E-2</v>
      </c>
      <c r="K1228" s="1">
        <v>2.3223651177659623</v>
      </c>
      <c r="L1228" s="1">
        <v>5.3724909869722994</v>
      </c>
      <c r="M1228" s="1">
        <v>8.7086573907133882E-2</v>
      </c>
      <c r="N1228" s="1">
        <v>0.74641657802783712</v>
      </c>
      <c r="O1228" s="1">
        <v>0.22122494623655914</v>
      </c>
      <c r="P1228" s="1">
        <v>0.16412128587204688</v>
      </c>
      <c r="Q1228" s="1">
        <v>0.55006160472941468</v>
      </c>
      <c r="R1228" s="2">
        <f t="shared" si="79"/>
        <v>28.918019372915563</v>
      </c>
      <c r="S1228" s="2">
        <f t="shared" si="78"/>
        <v>2.5037138108923154</v>
      </c>
      <c r="T1228" s="2">
        <f t="shared" si="80"/>
        <v>6.4272190851438289</v>
      </c>
      <c r="U1228" s="2">
        <f t="shared" si="81"/>
        <v>37.848952268951706</v>
      </c>
    </row>
    <row r="1229" spans="1:21" x14ac:dyDescent="0.25">
      <c r="A1229">
        <v>3095077</v>
      </c>
      <c r="B1229">
        <v>28</v>
      </c>
      <c r="C1229" s="1">
        <f>1.11834649456089*(10.3/7.3)</f>
        <v>1.5779409443804409</v>
      </c>
      <c r="D1229" s="1">
        <f>1.34474718004968*(10.3/7.3)</f>
        <v>1.8973830074673528</v>
      </c>
      <c r="E1229" s="1">
        <f>4.75893104420979*(10.3/7.3)</f>
        <v>6.7146561308713517</v>
      </c>
      <c r="F1229" s="1">
        <f>9.74551386186541*(38.9/42.5)</f>
        <v>8.9200115112132838</v>
      </c>
      <c r="G1229" s="1">
        <v>0.36611716257286797</v>
      </c>
      <c r="H1229" s="1">
        <v>2.3006979872408011</v>
      </c>
      <c r="I1229" s="1">
        <v>7.3881132873670721</v>
      </c>
      <c r="J1229" s="1">
        <v>1.7689007205895408E-2</v>
      </c>
      <c r="K1229" s="1">
        <v>2.3758830879650219</v>
      </c>
      <c r="L1229" s="1">
        <v>10.919553407222491</v>
      </c>
      <c r="M1229" s="1">
        <v>9.0225578744129051E-2</v>
      </c>
      <c r="N1229" s="1">
        <v>0.77900156709163149</v>
      </c>
      <c r="O1229" s="1">
        <v>0.22500380952380955</v>
      </c>
      <c r="P1229" s="1">
        <v>0.16917805144487849</v>
      </c>
      <c r="Q1229" s="1">
        <v>0.58511875297033733</v>
      </c>
      <c r="R1229" s="2">
        <f t="shared" si="79"/>
        <v>29.750038784083507</v>
      </c>
      <c r="S1229" s="2">
        <f t="shared" si="78"/>
        <v>2.5627501466157958</v>
      </c>
      <c r="T1229" s="2">
        <f t="shared" si="80"/>
        <v>12.01378436258206</v>
      </c>
      <c r="U1229" s="2">
        <f t="shared" si="81"/>
        <v>44.326573293281363</v>
      </c>
    </row>
    <row r="1230" spans="1:21" x14ac:dyDescent="0.25">
      <c r="A1230">
        <v>3095085</v>
      </c>
      <c r="B1230">
        <v>14</v>
      </c>
      <c r="C1230" s="1">
        <f>1.25385105710461*(10.3/7.3)</f>
        <v>1.7691323134489738</v>
      </c>
      <c r="D1230" s="1">
        <f>1.64571652846053*(10.3/7.3)</f>
        <v>2.3220383894717047</v>
      </c>
      <c r="E1230" s="1">
        <f>5.81290089117706*(10.3/7.3)</f>
        <v>8.2017642711128431</v>
      </c>
      <c r="F1230" s="1">
        <f>11.311055935591*(38.9/42.5)</f>
        <v>10.352942962223286</v>
      </c>
      <c r="G1230" s="1">
        <v>0.40572815562851544</v>
      </c>
      <c r="H1230" s="1">
        <v>3.1505347493037759</v>
      </c>
      <c r="I1230" s="1">
        <v>8.2334236549681972</v>
      </c>
      <c r="J1230" s="1">
        <v>1.9091386047656079E-2</v>
      </c>
      <c r="K1230" s="1">
        <v>2.5201051934329768</v>
      </c>
      <c r="L1230" s="1">
        <v>11.480202935574098</v>
      </c>
      <c r="M1230" s="1">
        <v>9.6043512207762166E-2</v>
      </c>
      <c r="N1230" s="1">
        <v>0.84907008782248194</v>
      </c>
      <c r="O1230" s="1">
        <v>0.24267809523809528</v>
      </c>
      <c r="P1230" s="1">
        <v>0.17554358226631953</v>
      </c>
      <c r="Q1230" s="1">
        <v>0.64842399301360998</v>
      </c>
      <c r="R1230" s="2">
        <f t="shared" si="79"/>
        <v>35.083988489170906</v>
      </c>
      <c r="S1230" s="2">
        <f t="shared" si="78"/>
        <v>2.7147401617469522</v>
      </c>
      <c r="T1230" s="2">
        <f t="shared" si="80"/>
        <v>12.667994630842436</v>
      </c>
      <c r="U1230" s="2">
        <f t="shared" si="81"/>
        <v>50.466723281760295</v>
      </c>
    </row>
    <row r="1231" spans="1:21" x14ac:dyDescent="0.25">
      <c r="A1231">
        <v>3095093</v>
      </c>
      <c r="B1231">
        <v>40</v>
      </c>
      <c r="C1231" s="1">
        <f>1.326859367755*(10.3/7.3)</f>
        <v>1.8721440394351432</v>
      </c>
      <c r="D1231" s="1">
        <f>1.92967237889134*(10.3/7.3)</f>
        <v>2.7226884250110754</v>
      </c>
      <c r="E1231" s="1">
        <f>6.80201649682698*(10.3/7.3)</f>
        <v>9.5973657420983418</v>
      </c>
      <c r="F1231" s="1">
        <f>12.4919312768526*(38.9/42.5)</f>
        <v>11.433791215754509</v>
      </c>
      <c r="G1231" s="1">
        <v>0.42269914973172257</v>
      </c>
      <c r="H1231" s="1">
        <v>2.7781908629159844</v>
      </c>
      <c r="I1231" s="1">
        <v>8.6429721827225183</v>
      </c>
      <c r="J1231" s="1">
        <v>1.9709044971715741E-2</v>
      </c>
      <c r="K1231" s="1">
        <v>2.6137638636451421</v>
      </c>
      <c r="L1231" s="1">
        <v>7.4555098886551603</v>
      </c>
      <c r="M1231" s="1">
        <v>9.8598540313453387E-2</v>
      </c>
      <c r="N1231" s="1">
        <v>0.89077040193207613</v>
      </c>
      <c r="O1231" s="1">
        <v>0.24617333333333336</v>
      </c>
      <c r="P1231" s="1">
        <v>0.18420610407728774</v>
      </c>
      <c r="Q1231" s="1">
        <v>0.67554658632923792</v>
      </c>
      <c r="R1231" s="2">
        <f t="shared" si="79"/>
        <v>38.145398203998539</v>
      </c>
      <c r="S1231" s="2">
        <f t="shared" si="78"/>
        <v>2.8176790126941458</v>
      </c>
      <c r="T1231" s="2">
        <f t="shared" si="80"/>
        <v>8.6910521642340228</v>
      </c>
      <c r="U1231" s="2">
        <f t="shared" si="81"/>
        <v>49.654129380926705</v>
      </c>
    </row>
    <row r="1232" spans="1:21" x14ac:dyDescent="0.25">
      <c r="A1232">
        <v>3095101</v>
      </c>
      <c r="B1232">
        <v>18</v>
      </c>
      <c r="C1232" s="1">
        <f>1.31980628367691*(10.3/7.3)</f>
        <v>1.8621924276537227</v>
      </c>
      <c r="D1232" s="1">
        <f>1.68647074156562*(10.3/7.3)</f>
        <v>2.3795409093323072</v>
      </c>
      <c r="E1232" s="1">
        <f>5.9656494959208*(10.3/7.3)</f>
        <v>8.4172862750663313</v>
      </c>
      <c r="F1232" s="1">
        <f>11.5159094437088*(38.9/42.5)</f>
        <v>10.540444173182843</v>
      </c>
      <c r="G1232" s="1">
        <v>0.40608750852629338</v>
      </c>
      <c r="H1232" s="1">
        <v>3.6645202287884149</v>
      </c>
      <c r="I1232" s="1">
        <v>8.4461997165285663</v>
      </c>
      <c r="J1232" s="1">
        <v>2.0045837483267843E-2</v>
      </c>
      <c r="K1232" s="1">
        <v>2.6862912007454121</v>
      </c>
      <c r="L1232" s="1">
        <v>6.353336317224775</v>
      </c>
      <c r="M1232" s="1">
        <v>9.7613754395867405E-2</v>
      </c>
      <c r="N1232" s="1">
        <v>0.92924923219247746</v>
      </c>
      <c r="O1232" s="1">
        <v>0.2497540740740741</v>
      </c>
      <c r="P1232" s="1">
        <v>0.19256317890745517</v>
      </c>
      <c r="Q1232" s="1">
        <v>0.64899830129772995</v>
      </c>
      <c r="R1232" s="2">
        <f t="shared" si="79"/>
        <v>36.365269540376211</v>
      </c>
      <c r="S1232" s="2">
        <f t="shared" si="78"/>
        <v>2.8989002171361351</v>
      </c>
      <c r="T1232" s="2">
        <f t="shared" si="80"/>
        <v>7.629953377887194</v>
      </c>
      <c r="U1232" s="2">
        <f t="shared" si="81"/>
        <v>46.894123135399539</v>
      </c>
    </row>
    <row r="1233" spans="1:21" x14ac:dyDescent="0.25">
      <c r="A1233">
        <v>3095109</v>
      </c>
      <c r="B1233">
        <v>1</v>
      </c>
      <c r="C1233" s="1">
        <f>1.28568595223088*(10.3/7.3)</f>
        <v>1.8140500421887786</v>
      </c>
      <c r="D1233" s="1">
        <f>1.51424962314334*(10.3/7.3)</f>
        <v>2.1365439888186892</v>
      </c>
      <c r="E1233" s="1">
        <f>5.37112674852987*(10.3/7.3)</f>
        <v>7.5784391109394003</v>
      </c>
      <c r="F1233" s="1">
        <f>10.6410395025808*(38.9/42.5)</f>
        <v>9.7396808623621887</v>
      </c>
      <c r="G1233" s="1">
        <v>0.3812189255246245</v>
      </c>
      <c r="H1233" s="1">
        <v>4.5985887383218218</v>
      </c>
      <c r="I1233" s="1">
        <v>8.076957053477031</v>
      </c>
      <c r="J1233" s="1">
        <v>2.0112785809215075E-2</v>
      </c>
      <c r="K1233" s="1">
        <v>2.6679370784483312</v>
      </c>
      <c r="L1233" s="1">
        <v>5.8939608310073623</v>
      </c>
      <c r="M1233" s="1">
        <v>9.6113815426498189E-2</v>
      </c>
      <c r="N1233" s="1">
        <v>0.95874490763900733</v>
      </c>
      <c r="O1233" s="1">
        <v>0.24714666666666665</v>
      </c>
      <c r="P1233" s="1">
        <v>0.19436250925827445</v>
      </c>
      <c r="Q1233" s="1">
        <v>0.60925399056446894</v>
      </c>
      <c r="R1233" s="2">
        <f t="shared" si="79"/>
        <v>34.934732712197004</v>
      </c>
      <c r="S1233" s="2">
        <f t="shared" si="78"/>
        <v>2.8824123735158209</v>
      </c>
      <c r="T1233" s="2">
        <f t="shared" si="80"/>
        <v>7.1959662207395345</v>
      </c>
      <c r="U1233" s="2">
        <f t="shared" si="81"/>
        <v>45.013111306452359</v>
      </c>
    </row>
    <row r="1234" spans="1:21" x14ac:dyDescent="0.25">
      <c r="A1234">
        <v>3095389</v>
      </c>
      <c r="B1234">
        <v>1</v>
      </c>
      <c r="C1234" s="1">
        <f>8.00168239786816*(10.3/7.3)</f>
        <v>11.290045027129047</v>
      </c>
      <c r="D1234" s="1">
        <f>8.53200613634041*(10.3/7.3)</f>
        <v>12.03831002798716</v>
      </c>
      <c r="E1234" s="1">
        <f>30.4088670536301*(10.3/7.3)</f>
        <v>42.90566173320417</v>
      </c>
      <c r="F1234" s="1">
        <f>60.5332189807347*(38.9/42.5)</f>
        <v>55.405699255307788</v>
      </c>
      <c r="G1234" s="1">
        <v>2.1276586808762463</v>
      </c>
      <c r="H1234" s="1">
        <v>5.0117563167101222</v>
      </c>
      <c r="I1234" s="1">
        <v>47.696624624901219</v>
      </c>
      <c r="J1234" s="1">
        <v>5.9608526381403661E-2</v>
      </c>
      <c r="K1234" s="1">
        <v>5.0201621337192881</v>
      </c>
      <c r="L1234" s="1">
        <v>5.5328293825243451</v>
      </c>
      <c r="M1234" s="1">
        <v>0.21958034454176686</v>
      </c>
      <c r="N1234" s="1">
        <v>2.5005223245612345</v>
      </c>
      <c r="O1234" s="1">
        <v>0.25770666666666669</v>
      </c>
      <c r="P1234" s="1">
        <v>0.18500482782108935</v>
      </c>
      <c r="Q1234" s="1">
        <v>3.400367754825055</v>
      </c>
      <c r="R1234" s="2">
        <f t="shared" si="79"/>
        <v>179.87612342094084</v>
      </c>
      <c r="S1234" s="2">
        <f t="shared" si="78"/>
        <v>5.2647754879217805</v>
      </c>
      <c r="T1234" s="2">
        <f t="shared" si="80"/>
        <v>8.5106387182940146</v>
      </c>
      <c r="U1234" s="2">
        <f t="shared" si="81"/>
        <v>193.65153762715664</v>
      </c>
    </row>
    <row r="1235" spans="1:21" x14ac:dyDescent="0.25">
      <c r="A1235">
        <v>3095397</v>
      </c>
      <c r="B1235">
        <v>6</v>
      </c>
      <c r="C1235" s="1">
        <f>9.84842874189248*(10.3/7.3)</f>
        <v>13.895728224861998</v>
      </c>
      <c r="D1235" s="1">
        <f>10.3926009844602*(10.3/7.3)</f>
        <v>14.663532895882197</v>
      </c>
      <c r="E1235" s="1">
        <f>37.0558041629796*(10.3/7.3)</f>
        <v>52.284216832697204</v>
      </c>
      <c r="F1235" s="1">
        <f>74.0019571521166*(38.9/42.5)</f>
        <v>67.733556075702054</v>
      </c>
      <c r="G1235" s="1">
        <v>2.6052999934178884</v>
      </c>
      <c r="H1235" s="1">
        <v>13.455378833312231</v>
      </c>
      <c r="I1235" s="1">
        <v>58.56393837833221</v>
      </c>
      <c r="J1235" s="1">
        <v>6.9766756176184427E-2</v>
      </c>
      <c r="K1235" s="1">
        <v>5.228791036844779</v>
      </c>
      <c r="L1235" s="1">
        <v>6.2718229698615966</v>
      </c>
      <c r="M1235" s="1">
        <v>0.23948732729491354</v>
      </c>
      <c r="N1235" s="1">
        <v>2.7522588171442783</v>
      </c>
      <c r="O1235" s="1">
        <v>0.28631111111111113</v>
      </c>
      <c r="P1235" s="1">
        <v>0.19580659589981539</v>
      </c>
      <c r="Q1235" s="1">
        <v>4.1637214506678619</v>
      </c>
      <c r="R1235" s="2">
        <f t="shared" si="79"/>
        <v>227.36537268487368</v>
      </c>
      <c r="S1235" s="2">
        <f t="shared" si="78"/>
        <v>5.4943643889207783</v>
      </c>
      <c r="T1235" s="2">
        <f t="shared" si="80"/>
        <v>9.5498802254118988</v>
      </c>
      <c r="U1235" s="2">
        <f t="shared" si="81"/>
        <v>242.40961729920636</v>
      </c>
    </row>
    <row r="1236" spans="1:21" x14ac:dyDescent="0.25">
      <c r="A1236">
        <v>3095405</v>
      </c>
      <c r="B1236">
        <v>49</v>
      </c>
      <c r="C1236" s="1">
        <f>6.55546046229914*(10.3/7.3)</f>
        <v>9.2494853098193364</v>
      </c>
      <c r="D1236" s="1">
        <f>7.04433470004846*(10.3/7.3)</f>
        <v>9.9392667685615255</v>
      </c>
      <c r="E1236" s="1">
        <f>25.10478828658*(10.3/7.3)</f>
        <v>35.421824568736106</v>
      </c>
      <c r="F1236" s="1">
        <f>49.5560750359906*(38.9/42.5)</f>
        <v>45.358383974118482</v>
      </c>
      <c r="G1236" s="1">
        <v>1.7250727342354091</v>
      </c>
      <c r="H1236" s="1">
        <v>5.3014603462885121</v>
      </c>
      <c r="I1236" s="1">
        <v>38.886597849871478</v>
      </c>
      <c r="J1236" s="1">
        <v>4.4036661360372611E-2</v>
      </c>
      <c r="K1236" s="1">
        <v>3.56751601001569</v>
      </c>
      <c r="L1236" s="1">
        <v>4.0094585715145596</v>
      </c>
      <c r="M1236" s="1">
        <v>0.16221955682880476</v>
      </c>
      <c r="N1236" s="1">
        <v>1.9357853901832269</v>
      </c>
      <c r="O1236" s="1">
        <v>0.19778938775510208</v>
      </c>
      <c r="P1236" s="1">
        <v>0.1517395554900649</v>
      </c>
      <c r="Q1236" s="1">
        <v>2.7569655569972311</v>
      </c>
      <c r="R1236" s="2">
        <f t="shared" si="79"/>
        <v>148.63905710862809</v>
      </c>
      <c r="S1236" s="2">
        <f t="shared" si="78"/>
        <v>3.7632922268661275</v>
      </c>
      <c r="T1236" s="2">
        <f t="shared" si="80"/>
        <v>6.3052529062816935</v>
      </c>
      <c r="U1236" s="2">
        <f t="shared" si="81"/>
        <v>158.7076022417759</v>
      </c>
    </row>
    <row r="1237" spans="1:21" x14ac:dyDescent="0.25">
      <c r="A1237">
        <v>3095413</v>
      </c>
      <c r="B1237">
        <v>51</v>
      </c>
      <c r="C1237" s="1">
        <f>9.12830153597849*(10.3/7.3)</f>
        <v>12.879658331586086</v>
      </c>
      <c r="D1237" s="1">
        <f>9.098840178354*(10.3/7.3)</f>
        <v>12.838089566718658</v>
      </c>
      <c r="E1237" s="1">
        <f>32.5141385834144*(10.3/7.3)</f>
        <v>45.876113343721642</v>
      </c>
      <c r="F1237" s="1">
        <f>66.421391858635*(38.9/42.5)</f>
        <v>60.795109254138865</v>
      </c>
      <c r="G1237" s="1">
        <v>2.3745822090181625</v>
      </c>
      <c r="H1237" s="1">
        <v>7.1526137960554657</v>
      </c>
      <c r="I1237" s="1">
        <v>53.859419597078677</v>
      </c>
      <c r="J1237" s="1">
        <v>5.2864494809783912E-2</v>
      </c>
      <c r="K1237" s="1">
        <v>4.0347488085087528</v>
      </c>
      <c r="L1237" s="1">
        <v>4.9029011126001709</v>
      </c>
      <c r="M1237" s="1">
        <v>0.19791758948307317</v>
      </c>
      <c r="N1237" s="1">
        <v>2.3060279311171334</v>
      </c>
      <c r="O1237" s="1">
        <v>0.23077960784313728</v>
      </c>
      <c r="P1237" s="1">
        <v>0.16901963827522348</v>
      </c>
      <c r="Q1237" s="1">
        <v>3.7949943979742367</v>
      </c>
      <c r="R1237" s="2">
        <f t="shared" si="79"/>
        <v>199.57058049629183</v>
      </c>
      <c r="S1237" s="2">
        <f t="shared" si="78"/>
        <v>4.25663294159376</v>
      </c>
      <c r="T1237" s="2">
        <f t="shared" si="80"/>
        <v>7.637626241043515</v>
      </c>
      <c r="U1237" s="2">
        <f t="shared" si="81"/>
        <v>211.46483967892908</v>
      </c>
    </row>
    <row r="1238" spans="1:21" x14ac:dyDescent="0.25">
      <c r="A1238">
        <v>3095421</v>
      </c>
      <c r="B1238">
        <v>28</v>
      </c>
      <c r="C1238" s="1">
        <f>9.12699899904741*(10.3/7.3)</f>
        <v>12.877820505505245</v>
      </c>
      <c r="D1238" s="1">
        <f>9.02549545500974*(10.3/7.3)</f>
        <v>12.734603176246617</v>
      </c>
      <c r="E1238" s="1">
        <f>32.3190801230205*(10.3/7.3)</f>
        <v>45.600893872206974</v>
      </c>
      <c r="F1238" s="1">
        <f>63.3640379369103*(38.9/42.5)</f>
        <v>57.996731194019048</v>
      </c>
      <c r="G1238" s="1">
        <v>2.1319887981397541</v>
      </c>
      <c r="H1238" s="1">
        <v>9.7305523470020585</v>
      </c>
      <c r="I1238" s="1">
        <v>51.308061226132999</v>
      </c>
      <c r="J1238" s="1">
        <v>5.4738843898030264E-2</v>
      </c>
      <c r="K1238" s="1">
        <v>4.0130684876412372</v>
      </c>
      <c r="L1238" s="1">
        <v>5.0266390125670659</v>
      </c>
      <c r="M1238" s="1">
        <v>0.20626513175977879</v>
      </c>
      <c r="N1238" s="1">
        <v>2.3794201913469273</v>
      </c>
      <c r="O1238" s="1">
        <v>0.23390666666666665</v>
      </c>
      <c r="P1238" s="1">
        <v>0.17005811704087101</v>
      </c>
      <c r="Q1238" s="1">
        <v>3.407288033556688</v>
      </c>
      <c r="R1238" s="2">
        <f t="shared" si="79"/>
        <v>195.78793915280937</v>
      </c>
      <c r="S1238" s="2">
        <f t="shared" si="78"/>
        <v>4.2378654485801386</v>
      </c>
      <c r="T1238" s="2">
        <f t="shared" si="80"/>
        <v>7.8462310023404394</v>
      </c>
      <c r="U1238" s="2">
        <f t="shared" si="81"/>
        <v>207.87203560372996</v>
      </c>
    </row>
    <row r="1239" spans="1:21" x14ac:dyDescent="0.25">
      <c r="A1239">
        <v>3095429</v>
      </c>
      <c r="B1239">
        <v>10</v>
      </c>
      <c r="C1239" s="1">
        <f>13.3989346713132*(10.3/7.3)</f>
        <v>18.90534618007209</v>
      </c>
      <c r="D1239" s="1">
        <f>11.1369007295465*(10.3/7.3)</f>
        <v>15.713709248538267</v>
      </c>
      <c r="E1239" s="1">
        <f>40.4312958809205*(10.3/7.3)</f>
        <v>57.046896927874187</v>
      </c>
      <c r="F1239" s="1">
        <f>72.954907221515*(38.9/42.5)</f>
        <v>66.775197433339571</v>
      </c>
      <c r="G1239" s="1">
        <v>1.983883459879062</v>
      </c>
      <c r="H1239" s="1">
        <v>8.0641577677788128</v>
      </c>
      <c r="I1239" s="1">
        <v>63.290119749887197</v>
      </c>
      <c r="J1239" s="1">
        <v>4.9450296586622887E-2</v>
      </c>
      <c r="K1239" s="1">
        <v>3.6034608083545181</v>
      </c>
      <c r="L1239" s="1">
        <v>4.4055741878579724</v>
      </c>
      <c r="M1239" s="1">
        <v>0.19047090454827459</v>
      </c>
      <c r="N1239" s="1">
        <v>2.2080579577475392</v>
      </c>
      <c r="O1239" s="1">
        <v>0.21129066666666668</v>
      </c>
      <c r="P1239" s="1">
        <v>0.15782423194217959</v>
      </c>
      <c r="Q1239" s="1">
        <v>3.1705900043729329</v>
      </c>
      <c r="R1239" s="2">
        <f t="shared" si="79"/>
        <v>234.94990077174214</v>
      </c>
      <c r="S1239" s="2">
        <f t="shared" si="78"/>
        <v>3.8107353368833206</v>
      </c>
      <c r="T1239" s="2">
        <f t="shared" si="80"/>
        <v>7.0153937168204532</v>
      </c>
      <c r="U1239" s="2">
        <f t="shared" si="81"/>
        <v>245.7760298254459</v>
      </c>
    </row>
    <row r="1240" spans="1:21" x14ac:dyDescent="0.25">
      <c r="A1240">
        <v>3095749</v>
      </c>
      <c r="B1240">
        <v>37</v>
      </c>
      <c r="C1240" s="1">
        <f>15.2906377544991*(10.3/7.3)</f>
        <v>21.574461489224777</v>
      </c>
      <c r="D1240" s="1">
        <f>14.5877195372516*(10.3/7.3)</f>
        <v>20.582672771738583</v>
      </c>
      <c r="E1240" s="1">
        <f>52.6785137019577*(10.3/7.3)</f>
        <v>74.327217963036162</v>
      </c>
      <c r="F1240" s="1">
        <f>86.4186693567709*(38.9/42.5)</f>
        <v>79.098499717138566</v>
      </c>
      <c r="G1240" s="1">
        <v>2.0212336988149988</v>
      </c>
      <c r="H1240" s="1">
        <v>5.5065406063643172</v>
      </c>
      <c r="I1240" s="1">
        <v>69.676838827143499</v>
      </c>
      <c r="J1240" s="1">
        <v>4.0126716439005221E-2</v>
      </c>
      <c r="K1240" s="1">
        <v>2.7967672370229009</v>
      </c>
      <c r="L1240" s="1">
        <v>4.3728897265313487</v>
      </c>
      <c r="M1240" s="1">
        <v>0.13930555322135021</v>
      </c>
      <c r="N1240" s="1">
        <v>1.7986072199709806</v>
      </c>
      <c r="O1240" s="1">
        <v>0.12738162162162159</v>
      </c>
      <c r="P1240" s="1">
        <v>9.6764889636184098E-2</v>
      </c>
      <c r="Q1240" s="1">
        <v>3.230282167055937</v>
      </c>
      <c r="R1240" s="2">
        <f t="shared" si="79"/>
        <v>276.01774724051683</v>
      </c>
      <c r="S1240" s="2">
        <f t="shared" si="78"/>
        <v>2.9336588430980903</v>
      </c>
      <c r="T1240" s="2">
        <f t="shared" si="80"/>
        <v>6.4381841213453006</v>
      </c>
      <c r="U1240" s="2">
        <f t="shared" si="81"/>
        <v>285.3895902049602</v>
      </c>
    </row>
    <row r="1241" spans="1:21" x14ac:dyDescent="0.25">
      <c r="A1241">
        <v>3095757</v>
      </c>
      <c r="B1241">
        <v>16</v>
      </c>
      <c r="C1241" s="1">
        <f>15.9622909531639*(10.3/7.3)</f>
        <v>22.522136550354521</v>
      </c>
      <c r="D1241" s="1">
        <f>14.9504198447056*(10.3/7.3)</f>
        <v>21.094428000064045</v>
      </c>
      <c r="E1241" s="1">
        <f>54.0759681311884*(10.3/7.3)</f>
        <v>76.29896873304665</v>
      </c>
      <c r="F1241" s="1">
        <f>87.2501059418017*(38.9/42.5)</f>
        <v>79.859508732613833</v>
      </c>
      <c r="G1241" s="1">
        <v>1.9313759981063023</v>
      </c>
      <c r="H1241" s="1">
        <v>5.1715228447352732</v>
      </c>
      <c r="I1241" s="1">
        <v>70.861707689155253</v>
      </c>
      <c r="J1241" s="1">
        <v>3.9458082138843262E-2</v>
      </c>
      <c r="K1241" s="1">
        <v>2.8926227494519212</v>
      </c>
      <c r="L1241" s="1">
        <v>4.3408325911259569</v>
      </c>
      <c r="M1241" s="1">
        <v>0.14390315220463715</v>
      </c>
      <c r="N1241" s="1">
        <v>1.804610463373399</v>
      </c>
      <c r="O1241" s="1">
        <v>0.13066666666666665</v>
      </c>
      <c r="P1241" s="1">
        <v>9.787297140839199E-2</v>
      </c>
      <c r="Q1241" s="1">
        <v>3.0866739695762857</v>
      </c>
      <c r="R1241" s="2">
        <f t="shared" si="79"/>
        <v>280.82632251765216</v>
      </c>
      <c r="S1241" s="2">
        <f t="shared" si="78"/>
        <v>3.0299538029991564</v>
      </c>
      <c r="T1241" s="2">
        <f t="shared" si="80"/>
        <v>6.4200128733706592</v>
      </c>
      <c r="U1241" s="2">
        <f t="shared" si="81"/>
        <v>290.27628919402196</v>
      </c>
    </row>
    <row r="1242" spans="1:21" x14ac:dyDescent="0.25">
      <c r="A1242">
        <v>3107113</v>
      </c>
      <c r="B1242">
        <v>16</v>
      </c>
      <c r="C1242" s="1">
        <f>0.417235560822139*(10.3/7.3)</f>
        <v>0.58870222965315444</v>
      </c>
      <c r="D1242" s="1">
        <f>0.576350538715813*(10.3/7.3)</f>
        <v>0.81320692448943421</v>
      </c>
      <c r="E1242" s="1">
        <f>2.01870612945322*(10.3/7.3)</f>
        <v>2.8483113881326214</v>
      </c>
      <c r="F1242" s="1">
        <f>4.5672906505976*(38.9/42.5)</f>
        <v>4.1804142660763919</v>
      </c>
      <c r="G1242" s="1">
        <v>0.19620221156416165</v>
      </c>
      <c r="H1242" s="1">
        <v>1.1434748640496544</v>
      </c>
      <c r="I1242" s="1">
        <v>3.3822841542920967</v>
      </c>
      <c r="J1242" s="1">
        <v>1.2126545937660447E-2</v>
      </c>
      <c r="K1242" s="1">
        <v>1.6317987274782901</v>
      </c>
      <c r="L1242" s="1">
        <v>1.5866669744165722</v>
      </c>
      <c r="M1242" s="1">
        <v>6.8767268389862246E-2</v>
      </c>
      <c r="N1242" s="1">
        <v>0.5297862089091202</v>
      </c>
      <c r="O1242" s="1">
        <v>0.16866666666666669</v>
      </c>
      <c r="P1242" s="1">
        <v>0.10372368879761665</v>
      </c>
      <c r="Q1242" s="1">
        <v>0.3135651782988888</v>
      </c>
      <c r="R1242" s="2">
        <f t="shared" si="79"/>
        <v>13.466161216556403</v>
      </c>
      <c r="S1242" s="2">
        <f t="shared" si="78"/>
        <v>1.7476489622135674</v>
      </c>
      <c r="T1242" s="2">
        <f t="shared" si="80"/>
        <v>2.3538871183822216</v>
      </c>
      <c r="U1242" s="2">
        <f t="shared" si="81"/>
        <v>17.567697297152193</v>
      </c>
    </row>
    <row r="1243" spans="1:21" x14ac:dyDescent="0.25">
      <c r="A1243">
        <v>3107185</v>
      </c>
      <c r="B1243">
        <v>11</v>
      </c>
      <c r="C1243" s="1">
        <f>0.580673245914348*(10.3/7.3)</f>
        <v>0.81930608670106575</v>
      </c>
      <c r="D1243" s="1">
        <f>0.723959701969527*(10.3/7.3)</f>
        <v>1.021477387710428</v>
      </c>
      <c r="E1243" s="1">
        <f>2.54677626682154*(10.3/7.3)</f>
        <v>3.5933966504468362</v>
      </c>
      <c r="F1243" s="1">
        <f>5.7703253745471*(38.9/42.5)</f>
        <v>5.2815448722325202</v>
      </c>
      <c r="G1243" s="1">
        <v>0.24409599087208578</v>
      </c>
      <c r="H1243" s="1">
        <v>1.66769458913096</v>
      </c>
      <c r="I1243" s="1">
        <v>4.4030799224600408</v>
      </c>
      <c r="J1243" s="1">
        <v>1.4632881029665605E-2</v>
      </c>
      <c r="K1243" s="1">
        <v>1.9991350922110025</v>
      </c>
      <c r="L1243" s="1">
        <v>2.1063114178272748</v>
      </c>
      <c r="M1243" s="1">
        <v>7.6611869834161225E-2</v>
      </c>
      <c r="N1243" s="1">
        <v>0.6122264681363947</v>
      </c>
      <c r="O1243" s="1">
        <v>0.19349333333333332</v>
      </c>
      <c r="P1243" s="1">
        <v>0.13662372435014794</v>
      </c>
      <c r="Q1243" s="1">
        <v>0.39010774796908726</v>
      </c>
      <c r="R1243" s="2">
        <f t="shared" si="79"/>
        <v>17.420703247523022</v>
      </c>
      <c r="S1243" s="2">
        <f t="shared" si="78"/>
        <v>2.1503916975908162</v>
      </c>
      <c r="T1243" s="2">
        <f t="shared" si="80"/>
        <v>2.9886430891311644</v>
      </c>
      <c r="U1243" s="2">
        <f t="shared" si="81"/>
        <v>22.559738034245001</v>
      </c>
    </row>
    <row r="1244" spans="1:21" x14ac:dyDescent="0.25">
      <c r="A1244">
        <v>3107193</v>
      </c>
      <c r="B1244">
        <v>29</v>
      </c>
      <c r="C1244" s="1">
        <f>0.534315325872647*(10.3/7.3)</f>
        <v>0.75389696664222816</v>
      </c>
      <c r="D1244" s="1">
        <f>0.708141817910778*(10.3/7.3)</f>
        <v>0.99915900335356389</v>
      </c>
      <c r="E1244" s="1">
        <f>2.47047536939114*(10.3/7.3)</f>
        <v>3.4857392198258519</v>
      </c>
      <c r="F1244" s="1">
        <f>6.30665930972262*(38.9/42.5)</f>
        <v>5.7724481681931765</v>
      </c>
      <c r="G1244" s="1">
        <v>0.29880901115274372</v>
      </c>
      <c r="H1244" s="1">
        <v>1.8536710701490038</v>
      </c>
      <c r="I1244" s="1">
        <v>4.8306648931695424</v>
      </c>
      <c r="J1244" s="1">
        <v>1.4103531384768234E-2</v>
      </c>
      <c r="K1244" s="1">
        <v>1.9392037188194935</v>
      </c>
      <c r="L1244" s="1">
        <v>2.0645947133887823</v>
      </c>
      <c r="M1244" s="1">
        <v>7.464491292580161E-2</v>
      </c>
      <c r="N1244" s="1">
        <v>0.69275029591884063</v>
      </c>
      <c r="O1244" s="1">
        <v>0.18681563218390801</v>
      </c>
      <c r="P1244" s="1">
        <v>0.13096770304853711</v>
      </c>
      <c r="Q1244" s="1">
        <v>0.47754864796100638</v>
      </c>
      <c r="R1244" s="2">
        <f t="shared" si="79"/>
        <v>18.471936980447119</v>
      </c>
      <c r="S1244" s="2">
        <f t="shared" si="78"/>
        <v>2.0842749532527987</v>
      </c>
      <c r="T1244" s="2">
        <f t="shared" si="80"/>
        <v>3.0188055544173329</v>
      </c>
      <c r="U1244" s="2">
        <f t="shared" si="81"/>
        <v>23.575017488117251</v>
      </c>
    </row>
    <row r="1245" spans="1:21" x14ac:dyDescent="0.25">
      <c r="A1245">
        <v>3107201</v>
      </c>
      <c r="B1245">
        <v>4</v>
      </c>
      <c r="C1245" s="1">
        <f>0.615460414400486*(10.3/7.3)</f>
        <v>0.86838935182534382</v>
      </c>
      <c r="D1245" s="1">
        <f>0.77595503509247*(10.3/7.3)</f>
        <v>1.0948406659523893</v>
      </c>
      <c r="E1245" s="1">
        <f>2.72256938762883*(10.3/7.3)</f>
        <v>3.8414335195310891</v>
      </c>
      <c r="F1245" s="1">
        <f>6.46018376323108*(38.9/42.5)</f>
        <v>5.9129681974044512</v>
      </c>
      <c r="G1245" s="1">
        <v>0.28594101787872905</v>
      </c>
      <c r="H1245" s="1">
        <v>2.9195495996438359</v>
      </c>
      <c r="I1245" s="1">
        <v>4.9526883605527576</v>
      </c>
      <c r="J1245" s="1">
        <v>1.4513878451565434E-2</v>
      </c>
      <c r="K1245" s="1">
        <v>1.9921595496054874</v>
      </c>
      <c r="L1245" s="1">
        <v>2.2214748516166782</v>
      </c>
      <c r="M1245" s="1">
        <v>7.8042256319131226E-2</v>
      </c>
      <c r="N1245" s="1">
        <v>1.269776710621906</v>
      </c>
      <c r="O1245" s="1">
        <v>0.19772000000000001</v>
      </c>
      <c r="P1245" s="1">
        <v>0.13320254892756045</v>
      </c>
      <c r="Q1245" s="1">
        <v>0.45698336190664501</v>
      </c>
      <c r="R1245" s="2">
        <f t="shared" si="79"/>
        <v>20.332794074695236</v>
      </c>
      <c r="S1245" s="2">
        <f t="shared" si="78"/>
        <v>2.1398759769846132</v>
      </c>
      <c r="T1245" s="2">
        <f t="shared" si="80"/>
        <v>3.7670138185577153</v>
      </c>
      <c r="U1245" s="2">
        <f t="shared" si="81"/>
        <v>26.239683870237563</v>
      </c>
    </row>
    <row r="1246" spans="1:21" x14ac:dyDescent="0.25">
      <c r="A1246">
        <v>3107241</v>
      </c>
      <c r="B1246">
        <v>2</v>
      </c>
      <c r="C1246" s="1">
        <f>0.892571938955826*(10.3/7.3)</f>
        <v>1.2593823248280831</v>
      </c>
      <c r="D1246" s="1">
        <f>1.01056891924798*(10.3/7.3)</f>
        <v>1.4258712148293391</v>
      </c>
      <c r="E1246" s="1">
        <f>3.5833320740894*(10.3/7.3)</f>
        <v>5.0559342963179148</v>
      </c>
      <c r="F1246" s="1">
        <f>7.5078484784731*(38.9/42.5)</f>
        <v>6.8718895485318514</v>
      </c>
      <c r="G1246" s="1">
        <v>0.28615560776081439</v>
      </c>
      <c r="H1246" s="1">
        <v>3.3631169063607067</v>
      </c>
      <c r="I1246" s="1">
        <v>5.8330690827849736</v>
      </c>
      <c r="J1246" s="1">
        <v>1.6650331543324882E-2</v>
      </c>
      <c r="K1246" s="1">
        <v>2.2569382735320644</v>
      </c>
      <c r="L1246" s="1">
        <v>3.3124804744665113</v>
      </c>
      <c r="M1246" s="1">
        <v>8.5001852929408234E-2</v>
      </c>
      <c r="N1246" s="1">
        <v>0.6965637787259229</v>
      </c>
      <c r="O1246" s="1">
        <v>0.22037333333333331</v>
      </c>
      <c r="P1246" s="1">
        <v>0.15907480808558072</v>
      </c>
      <c r="Q1246" s="1">
        <v>0.45732631377299149</v>
      </c>
      <c r="R1246" s="2">
        <f t="shared" si="79"/>
        <v>24.552745295186675</v>
      </c>
      <c r="S1246" s="2">
        <f t="shared" si="78"/>
        <v>2.4326634131609701</v>
      </c>
      <c r="T1246" s="2">
        <f t="shared" si="80"/>
        <v>4.3144194394551754</v>
      </c>
      <c r="U1246" s="2">
        <f t="shared" si="81"/>
        <v>31.29982814780282</v>
      </c>
    </row>
    <row r="1247" spans="1:21" x14ac:dyDescent="0.25">
      <c r="A1247">
        <v>3107289</v>
      </c>
      <c r="B1247">
        <v>10</v>
      </c>
      <c r="C1247" s="1">
        <f>0.985573075834981*(10.3/7.3)</f>
        <v>1.3906031070000411</v>
      </c>
      <c r="D1247" s="1">
        <f>2.59359392766144*(10.3/7.3)</f>
        <v>3.6594544458784739</v>
      </c>
      <c r="E1247" s="1">
        <f>8.91912630197574*(10.3/7.3)</f>
        <v>12.584520672650699</v>
      </c>
      <c r="F1247" s="1">
        <f>19.579779206607*(38.9/42.5)</f>
        <v>17.921256732635563</v>
      </c>
      <c r="G1247" s="1">
        <v>0.88153523560661839</v>
      </c>
      <c r="H1247" s="1">
        <v>3.4412156559341049</v>
      </c>
      <c r="I1247" s="1">
        <v>12.379262725144811</v>
      </c>
      <c r="J1247" s="1">
        <v>1.6753017074249563E-2</v>
      </c>
      <c r="K1247" s="1">
        <v>2.2756079529187323</v>
      </c>
      <c r="L1247" s="1">
        <v>4.0394391118865061</v>
      </c>
      <c r="M1247" s="1">
        <v>8.3963970389890785E-2</v>
      </c>
      <c r="N1247" s="1">
        <v>0.72752167202962137</v>
      </c>
      <c r="O1247" s="1">
        <v>0.21038399999999999</v>
      </c>
      <c r="P1247" s="1">
        <v>0.16406903617141649</v>
      </c>
      <c r="Q1247" s="1">
        <v>1.4088462669512176</v>
      </c>
      <c r="R1247" s="2">
        <f t="shared" si="79"/>
        <v>53.666694841801529</v>
      </c>
      <c r="S1247" s="2">
        <f t="shared" si="78"/>
        <v>2.4564300061643984</v>
      </c>
      <c r="T1247" s="2">
        <f t="shared" si="80"/>
        <v>5.0613087543060189</v>
      </c>
      <c r="U1247" s="2">
        <f t="shared" si="81"/>
        <v>61.184433602271945</v>
      </c>
    </row>
    <row r="1248" spans="1:21" x14ac:dyDescent="0.25">
      <c r="A1248">
        <v>3107297</v>
      </c>
      <c r="B1248">
        <v>33</v>
      </c>
      <c r="C1248" s="1">
        <f>0.961609185461408*(10.3/7.3)</f>
        <v>1.3567910425003433</v>
      </c>
      <c r="D1248" s="1">
        <f>1.13071285241623*(10.3/7.3)</f>
        <v>1.5953893671078261</v>
      </c>
      <c r="E1248" s="1">
        <f>4.00901390637833*(10.3/7.3)</f>
        <v>5.6565538679036758</v>
      </c>
      <c r="F1248" s="1">
        <f>8.04336837459989*(38.9/42.5)</f>
        <v>7.3620477593396654</v>
      </c>
      <c r="G1248" s="1">
        <v>0.2929021835991038</v>
      </c>
      <c r="H1248" s="1">
        <v>3.0957031233639332</v>
      </c>
      <c r="I1248" s="1">
        <v>6.1226774738250977</v>
      </c>
      <c r="J1248" s="1">
        <v>1.6185893604807523E-2</v>
      </c>
      <c r="K1248" s="1">
        <v>2.1795827437402919</v>
      </c>
      <c r="L1248" s="1">
        <v>4.2306187036921132</v>
      </c>
      <c r="M1248" s="1">
        <v>8.0834147688915253E-2</v>
      </c>
      <c r="N1248" s="1">
        <v>0.69576690233351546</v>
      </c>
      <c r="O1248" s="1">
        <v>0.20087595959595955</v>
      </c>
      <c r="P1248" s="1">
        <v>0.15415826160366872</v>
      </c>
      <c r="Q1248" s="1">
        <v>0.46810851260130792</v>
      </c>
      <c r="R1248" s="2">
        <f t="shared" si="79"/>
        <v>25.950173330240954</v>
      </c>
      <c r="S1248" s="2">
        <f t="shared" si="78"/>
        <v>2.3499268989487683</v>
      </c>
      <c r="T1248" s="2">
        <f t="shared" si="80"/>
        <v>5.2080957133105041</v>
      </c>
      <c r="U1248" s="2">
        <f t="shared" si="81"/>
        <v>33.50819594250023</v>
      </c>
    </row>
    <row r="1249" spans="1:21" x14ac:dyDescent="0.25">
      <c r="A1249">
        <v>3107305</v>
      </c>
      <c r="B1249">
        <v>27</v>
      </c>
      <c r="C1249" s="1">
        <f>1.08888554504478*(10.3/7.3)</f>
        <v>1.5363727553371505</v>
      </c>
      <c r="D1249" s="1">
        <f>1.27327738195655*(10.3/7.3)</f>
        <v>1.7965420594729471</v>
      </c>
      <c r="E1249" s="1">
        <f>4.51218619200858*(10.3/7.3)</f>
        <v>6.3665092846148417</v>
      </c>
      <c r="F1249" s="1">
        <f>9.22966896861887*(38.9/42.5)</f>
        <v>8.4478617148064519</v>
      </c>
      <c r="G1249" s="1">
        <v>0.34407500649033246</v>
      </c>
      <c r="H1249" s="1">
        <v>2.1355824702144592</v>
      </c>
      <c r="I1249" s="1">
        <v>7.0633130343539792</v>
      </c>
      <c r="J1249" s="1">
        <v>1.7497715049210865E-2</v>
      </c>
      <c r="K1249" s="1">
        <v>2.3672960171983495</v>
      </c>
      <c r="L1249" s="1">
        <v>6.0077793803249717</v>
      </c>
      <c r="M1249" s="1">
        <v>8.9057553529379219E-2</v>
      </c>
      <c r="N1249" s="1">
        <v>0.76861462776893441</v>
      </c>
      <c r="O1249" s="1">
        <v>0.22512197530864203</v>
      </c>
      <c r="P1249" s="1">
        <v>0.1699773417489496</v>
      </c>
      <c r="Q1249" s="1">
        <v>0.54989156288409358</v>
      </c>
      <c r="R1249" s="2">
        <f t="shared" si="79"/>
        <v>28.240147888174249</v>
      </c>
      <c r="S1249" s="2">
        <f t="shared" si="78"/>
        <v>2.5547710739965099</v>
      </c>
      <c r="T1249" s="2">
        <f t="shared" si="80"/>
        <v>7.0905735369319274</v>
      </c>
      <c r="U1249" s="2">
        <f t="shared" si="81"/>
        <v>37.885492499102682</v>
      </c>
    </row>
    <row r="1250" spans="1:21" x14ac:dyDescent="0.25">
      <c r="A1250">
        <v>3107313</v>
      </c>
      <c r="B1250">
        <v>4</v>
      </c>
      <c r="C1250" s="1">
        <f>1.18999634565608*(10.3/7.3)</f>
        <v>1.6790359397613144</v>
      </c>
      <c r="D1250" s="1">
        <f>1.4423483360478*(10.3/7.3)</f>
        <v>2.03509422757429</v>
      </c>
      <c r="E1250" s="1">
        <f>5.10412220248174*(10.3/7.3)</f>
        <v>7.2017066692550609</v>
      </c>
      <c r="F1250" s="1">
        <f>10.367221816924*(38.9/42.5)</f>
        <v>9.4890571453727972</v>
      </c>
      <c r="G1250" s="1">
        <v>0.38620814028310879</v>
      </c>
      <c r="H1250" s="1">
        <v>2.5258647200738449</v>
      </c>
      <c r="I1250" s="1">
        <v>7.8261168753257824</v>
      </c>
      <c r="J1250" s="1">
        <v>1.8143939265865747E-2</v>
      </c>
      <c r="K1250" s="1">
        <v>2.3766016445315152</v>
      </c>
      <c r="L1250" s="1">
        <v>12.211871571209139</v>
      </c>
      <c r="M1250" s="1">
        <v>9.2991501744087462E-2</v>
      </c>
      <c r="N1250" s="1">
        <v>0.7894948037040973</v>
      </c>
      <c r="O1250" s="1">
        <v>0.23104000000000002</v>
      </c>
      <c r="P1250" s="1">
        <v>0.16387639905687754</v>
      </c>
      <c r="Q1250" s="1">
        <v>0.61722762145702392</v>
      </c>
      <c r="R1250" s="2">
        <f t="shared" si="79"/>
        <v>31.760311339103222</v>
      </c>
      <c r="S1250" s="2">
        <f t="shared" si="78"/>
        <v>2.5586219828542585</v>
      </c>
      <c r="T1250" s="2">
        <f t="shared" si="80"/>
        <v>13.325397876657323</v>
      </c>
      <c r="U1250" s="2">
        <f t="shared" si="81"/>
        <v>47.644331198614807</v>
      </c>
    </row>
    <row r="1251" spans="1:21" x14ac:dyDescent="0.25">
      <c r="A1251">
        <v>3107329</v>
      </c>
      <c r="B1251">
        <v>29</v>
      </c>
      <c r="C1251" s="1">
        <f>1.45866820416811*(10.3/7.3)</f>
        <v>2.0581208908125408</v>
      </c>
      <c r="D1251" s="1">
        <f>1.93776109395567*(10.3/7.3)</f>
        <v>2.7341012695538898</v>
      </c>
      <c r="E1251" s="1">
        <f>6.845168678257*(10.3/7.3)</f>
        <v>9.6582516967187786</v>
      </c>
      <c r="F1251" s="1">
        <f>13.1051197613319*(38.9/42.5)</f>
        <v>11.995039028607351</v>
      </c>
      <c r="G1251" s="1">
        <v>0.46103526218371504</v>
      </c>
      <c r="H1251" s="1">
        <v>2.9489416021714594</v>
      </c>
      <c r="I1251" s="1">
        <v>9.4631850665757646</v>
      </c>
      <c r="J1251" s="1">
        <v>2.1041023210449331E-2</v>
      </c>
      <c r="K1251" s="1">
        <v>2.7489564216077595</v>
      </c>
      <c r="L1251" s="1">
        <v>7.9825275021737578</v>
      </c>
      <c r="M1251" s="1">
        <v>0.10580965310160231</v>
      </c>
      <c r="N1251" s="1">
        <v>0.94966263929285877</v>
      </c>
      <c r="O1251" s="1">
        <v>0.26276229885057473</v>
      </c>
      <c r="P1251" s="1">
        <v>0.19243022154052619</v>
      </c>
      <c r="Q1251" s="1">
        <v>0.73681434595570994</v>
      </c>
      <c r="R1251" s="2">
        <f t="shared" si="79"/>
        <v>40.055489162579207</v>
      </c>
      <c r="S1251" s="2">
        <f t="shared" si="78"/>
        <v>2.9624276663587352</v>
      </c>
      <c r="T1251" s="2">
        <f t="shared" si="80"/>
        <v>9.3007620934187933</v>
      </c>
      <c r="U1251" s="2">
        <f t="shared" si="81"/>
        <v>52.318678922356739</v>
      </c>
    </row>
    <row r="1252" spans="1:21" x14ac:dyDescent="0.25">
      <c r="A1252">
        <v>3107337</v>
      </c>
      <c r="B1252">
        <v>39</v>
      </c>
      <c r="C1252" s="1">
        <f>1.29875809358105*(10.3/7.3)</f>
        <v>1.8324942964225792</v>
      </c>
      <c r="D1252" s="1">
        <f>1.56286678491133*(10.3/7.3)</f>
        <v>2.2051408061077682</v>
      </c>
      <c r="E1252" s="1">
        <f>5.53757763522923*(10.3/7.3)</f>
        <v>7.8132944716248041</v>
      </c>
      <c r="F1252" s="1">
        <f>10.9895173645403*(38.9/42.5)</f>
        <v>10.058640599543972</v>
      </c>
      <c r="G1252" s="1">
        <v>0.39664738781609421</v>
      </c>
      <c r="H1252" s="1">
        <v>2.9134041948662652</v>
      </c>
      <c r="I1252" s="1">
        <v>8.2803796887896475</v>
      </c>
      <c r="J1252" s="1">
        <v>1.9857758383396613E-2</v>
      </c>
      <c r="K1252" s="1">
        <v>2.6217785845969002</v>
      </c>
      <c r="L1252" s="1">
        <v>6.2724361084586784</v>
      </c>
      <c r="M1252" s="1">
        <v>9.7194161979667751E-2</v>
      </c>
      <c r="N1252" s="1">
        <v>0.92666849821770292</v>
      </c>
      <c r="O1252" s="1">
        <v>0.24447726495726491</v>
      </c>
      <c r="P1252" s="1">
        <v>0.1895986513822524</v>
      </c>
      <c r="Q1252" s="1">
        <v>0.63391135039101898</v>
      </c>
      <c r="R1252" s="2">
        <f t="shared" si="79"/>
        <v>34.133912795562154</v>
      </c>
      <c r="S1252" s="2">
        <f t="shared" si="78"/>
        <v>2.831234994362549</v>
      </c>
      <c r="T1252" s="2">
        <f t="shared" si="80"/>
        <v>7.5407760336133141</v>
      </c>
      <c r="U1252" s="2">
        <f t="shared" si="81"/>
        <v>44.505923823538012</v>
      </c>
    </row>
    <row r="1253" spans="1:21" x14ac:dyDescent="0.25">
      <c r="A1253">
        <v>3107345</v>
      </c>
      <c r="B1253">
        <v>2</v>
      </c>
      <c r="C1253" s="1">
        <f>1.5027549869167*(10.3/7.3)</f>
        <v>2.120325529485211</v>
      </c>
      <c r="D1253" s="1">
        <f>1.75195380656561*(10.3/7.3)</f>
        <v>2.4719348229624316</v>
      </c>
      <c r="E1253" s="1">
        <f>6.21681410175051*(10.3/7.3)</f>
        <v>8.7716692120589332</v>
      </c>
      <c r="F1253" s="1">
        <f>12.341858004504*(38.9/42.5)</f>
        <v>11.296430032357824</v>
      </c>
      <c r="G1253" s="1">
        <v>0.44226974697790655</v>
      </c>
      <c r="H1253" s="1">
        <v>6.7148129203106794</v>
      </c>
      <c r="I1253" s="1">
        <v>9.4058519838264303</v>
      </c>
      <c r="J1253" s="1">
        <v>2.1394233343895019E-2</v>
      </c>
      <c r="K1253" s="1">
        <v>2.7539027682663182</v>
      </c>
      <c r="L1253" s="1">
        <v>6.3473383846339893</v>
      </c>
      <c r="M1253" s="1">
        <v>0.10278668949477282</v>
      </c>
      <c r="N1253" s="1">
        <v>1.0153651390969736</v>
      </c>
      <c r="O1253" s="1">
        <v>0.25944</v>
      </c>
      <c r="P1253" s="1">
        <v>0.19633513161061933</v>
      </c>
      <c r="Q1253" s="1">
        <v>0.70682379654003402</v>
      </c>
      <c r="R1253" s="2">
        <f t="shared" si="79"/>
        <v>41.930118044519453</v>
      </c>
      <c r="S1253" s="2">
        <f t="shared" si="78"/>
        <v>2.9716321332208326</v>
      </c>
      <c r="T1253" s="2">
        <f t="shared" si="80"/>
        <v>7.7249302132257345</v>
      </c>
      <c r="U1253" s="2">
        <f t="shared" si="81"/>
        <v>52.626680390966015</v>
      </c>
    </row>
    <row r="1254" spans="1:21" x14ac:dyDescent="0.25">
      <c r="A1254">
        <v>3107625</v>
      </c>
      <c r="B1254">
        <v>9</v>
      </c>
      <c r="C1254" s="1">
        <f>6.85947000536234*(10.3/7.3)</f>
        <v>9.6784302815386436</v>
      </c>
      <c r="D1254" s="1">
        <f>7.31696533017669*(10.3/7.3)</f>
        <v>10.323937383673957</v>
      </c>
      <c r="E1254" s="1">
        <f>26.07262410754*(10.3/7.3)</f>
        <v>36.787401138035833</v>
      </c>
      <c r="F1254" s="1">
        <f>52.1630342621981*(38.9/42.5)</f>
        <v>47.74451841881195</v>
      </c>
      <c r="G1254" s="1">
        <v>1.846426718743279</v>
      </c>
      <c r="H1254" s="1">
        <v>4.6135180094469641</v>
      </c>
      <c r="I1254" s="1">
        <v>41.124178261165355</v>
      </c>
      <c r="J1254" s="1">
        <v>5.3050419241080594E-2</v>
      </c>
      <c r="K1254" s="1">
        <v>4.6065946588867686</v>
      </c>
      <c r="L1254" s="1">
        <v>4.9299727859381468</v>
      </c>
      <c r="M1254" s="1">
        <v>0.19149735732663251</v>
      </c>
      <c r="N1254" s="1">
        <v>2.2752287884633651</v>
      </c>
      <c r="O1254" s="1">
        <v>0.23439407407407409</v>
      </c>
      <c r="P1254" s="1">
        <v>0.17592441037726381</v>
      </c>
      <c r="Q1254" s="1">
        <v>2.9509102810965673</v>
      </c>
      <c r="R1254" s="2">
        <f t="shared" si="79"/>
        <v>155.06932049251253</v>
      </c>
      <c r="S1254" s="2">
        <f t="shared" si="78"/>
        <v>4.8355694885051133</v>
      </c>
      <c r="T1254" s="2">
        <f t="shared" si="80"/>
        <v>7.6310930058022182</v>
      </c>
      <c r="U1254" s="2">
        <f t="shared" si="81"/>
        <v>167.53598298681987</v>
      </c>
    </row>
    <row r="1255" spans="1:21" x14ac:dyDescent="0.25">
      <c r="A1255">
        <v>3107633</v>
      </c>
      <c r="B1255">
        <v>17</v>
      </c>
      <c r="C1255" s="1">
        <f>6.38398508130562*(10.3/7.3)</f>
        <v>9.0075405941709494</v>
      </c>
      <c r="D1255" s="1">
        <f>6.75196158661244*(10.3/7.3)</f>
        <v>9.5267403208367369</v>
      </c>
      <c r="E1255" s="1">
        <f>24.0640057690196*(10.3/7.3)</f>
        <v>33.953323208342681</v>
      </c>
      <c r="F1255" s="1">
        <f>48.4542739515256*(38.9/42.5)</f>
        <v>44.349911922690453</v>
      </c>
      <c r="G1255" s="1">
        <v>1.7262872408369594</v>
      </c>
      <c r="H1255" s="1">
        <v>4.3585128857432531</v>
      </c>
      <c r="I1255" s="1">
        <v>38.35596875353945</v>
      </c>
      <c r="J1255" s="1">
        <v>4.8659563086454194E-2</v>
      </c>
      <c r="K1255" s="1">
        <v>3.9761738401664286</v>
      </c>
      <c r="L1255" s="1">
        <v>4.4494139649541529</v>
      </c>
      <c r="M1255" s="1">
        <v>0.17602708455013716</v>
      </c>
      <c r="N1255" s="1">
        <v>2.1141749512167962</v>
      </c>
      <c r="O1255" s="1">
        <v>0.21397647058823527</v>
      </c>
      <c r="P1255" s="1">
        <v>0.1640227589369232</v>
      </c>
      <c r="Q1255" s="1">
        <v>2.7589065492828149</v>
      </c>
      <c r="R1255" s="2">
        <f t="shared" si="79"/>
        <v>144.03719147544328</v>
      </c>
      <c r="S1255" s="2">
        <f t="shared" si="78"/>
        <v>4.1888561621898059</v>
      </c>
      <c r="T1255" s="2">
        <f t="shared" si="80"/>
        <v>6.9535924713093218</v>
      </c>
      <c r="U1255" s="2">
        <f t="shared" si="81"/>
        <v>155.17964010894241</v>
      </c>
    </row>
    <row r="1256" spans="1:21" x14ac:dyDescent="0.25">
      <c r="A1256">
        <v>3107641</v>
      </c>
      <c r="B1256">
        <v>56</v>
      </c>
      <c r="C1256" s="1">
        <f>4.84925253381506*(10.3/7.3)</f>
        <v>6.8420960408623461</v>
      </c>
      <c r="D1256" s="1">
        <f>4.96074618539222*(10.3/7.3)</f>
        <v>6.999409001306832</v>
      </c>
      <c r="E1256" s="1">
        <f>17.7116779854344*(10.3/7.3)</f>
        <v>24.990449760270391</v>
      </c>
      <c r="F1256" s="1">
        <f>35.668438553299*(38.9/42.5)</f>
        <v>32.647111993490142</v>
      </c>
      <c r="G1256" s="1">
        <v>1.259560220654133</v>
      </c>
      <c r="H1256" s="1">
        <v>3.2724695712183727</v>
      </c>
      <c r="I1256" s="1">
        <v>28.591982999681473</v>
      </c>
      <c r="J1256" s="1">
        <v>3.4141726688526983E-2</v>
      </c>
      <c r="K1256" s="1">
        <v>2.8455736558750124</v>
      </c>
      <c r="L1256" s="1">
        <v>3.1385606248627282</v>
      </c>
      <c r="M1256" s="1">
        <v>0.1314276412092546</v>
      </c>
      <c r="N1256" s="1">
        <v>1.5356733139391754</v>
      </c>
      <c r="O1256" s="1">
        <v>0.16263333333333332</v>
      </c>
      <c r="P1256" s="1">
        <v>0.12976180940361801</v>
      </c>
      <c r="Q1256" s="1">
        <v>2.0129957864335482</v>
      </c>
      <c r="R1256" s="2">
        <f t="shared" si="79"/>
        <v>106.61607537391724</v>
      </c>
      <c r="S1256" s="2">
        <f t="shared" si="78"/>
        <v>3.0094771919671577</v>
      </c>
      <c r="T1256" s="2">
        <f t="shared" si="80"/>
        <v>4.9682949133444909</v>
      </c>
      <c r="U1256" s="2">
        <f t="shared" si="81"/>
        <v>114.5938474792289</v>
      </c>
    </row>
    <row r="1257" spans="1:21" x14ac:dyDescent="0.25">
      <c r="A1257">
        <v>3107649</v>
      </c>
      <c r="B1257">
        <v>64</v>
      </c>
      <c r="C1257" s="1">
        <f>7.24743595873922*(10.3/7.3)</f>
        <v>10.225834297947118</v>
      </c>
      <c r="D1257" s="1">
        <f>7.30675591813607*(10.3/7.3)</f>
        <v>10.309532322849529</v>
      </c>
      <c r="E1257" s="1">
        <f>26.1175344920756*(10.3/7.3)</f>
        <v>36.850767844983423</v>
      </c>
      <c r="F1257" s="1">
        <f>52.1504533443081*(38.9/42.5)</f>
        <v>47.733003178672547</v>
      </c>
      <c r="G1257" s="1">
        <v>1.8123590847547157</v>
      </c>
      <c r="H1257" s="1">
        <v>5.5735949421693949</v>
      </c>
      <c r="I1257" s="1">
        <v>41.995877759174881</v>
      </c>
      <c r="J1257" s="1">
        <v>4.5694663461132372E-2</v>
      </c>
      <c r="K1257" s="1">
        <v>3.5526733009722644</v>
      </c>
      <c r="L1257" s="1">
        <v>4.2251431141918854</v>
      </c>
      <c r="M1257" s="1">
        <v>0.17540289338840653</v>
      </c>
      <c r="N1257" s="1">
        <v>2.0290748193741628</v>
      </c>
      <c r="O1257" s="1">
        <v>0.20542583333333325</v>
      </c>
      <c r="P1257" s="1">
        <v>0.15504851374736822</v>
      </c>
      <c r="Q1257" s="1">
        <v>2.8964642907038853</v>
      </c>
      <c r="R1257" s="2">
        <f t="shared" si="79"/>
        <v>157.39743372125548</v>
      </c>
      <c r="S1257" s="2">
        <f t="shared" si="78"/>
        <v>3.7534164781807648</v>
      </c>
      <c r="T1257" s="2">
        <f t="shared" si="80"/>
        <v>6.635046660287788</v>
      </c>
      <c r="U1257" s="2">
        <f t="shared" si="81"/>
        <v>167.78589685972403</v>
      </c>
    </row>
    <row r="1258" spans="1:21" x14ac:dyDescent="0.25">
      <c r="A1258">
        <v>3107657</v>
      </c>
      <c r="B1258">
        <v>27</v>
      </c>
      <c r="C1258" s="1">
        <f>11.0592358344519*(10.3/7.3)</f>
        <v>15.604127273267789</v>
      </c>
      <c r="D1258" s="1">
        <f>10.8433801841392*(10.3/7.3)</f>
        <v>15.299563821456674</v>
      </c>
      <c r="E1258" s="1">
        <f>38.8599733901719*(10.3/7.3)</f>
        <v>54.829825468324678</v>
      </c>
      <c r="F1258" s="1">
        <f>75.5547486400321*(38.9/42.5)</f>
        <v>69.154816990523472</v>
      </c>
      <c r="G1258" s="1">
        <v>2.5035883631961373</v>
      </c>
      <c r="H1258" s="1">
        <v>10.248073753260924</v>
      </c>
      <c r="I1258" s="1">
        <v>61.33284399948716</v>
      </c>
      <c r="J1258" s="1">
        <v>6.0910089845006739E-2</v>
      </c>
      <c r="K1258" s="1">
        <v>4.3382010412014278</v>
      </c>
      <c r="L1258" s="1">
        <v>5.7081203751244054</v>
      </c>
      <c r="M1258" s="1">
        <v>0.23376175757483561</v>
      </c>
      <c r="N1258" s="1">
        <v>2.6021074274453189</v>
      </c>
      <c r="O1258" s="1">
        <v>0.25875753086419756</v>
      </c>
      <c r="P1258" s="1">
        <v>0.1803187136124762</v>
      </c>
      <c r="Q1258" s="1">
        <v>4.0011686169801326</v>
      </c>
      <c r="R1258" s="2">
        <f t="shared" si="79"/>
        <v>232.97400828649694</v>
      </c>
      <c r="S1258" s="2">
        <f t="shared" si="78"/>
        <v>4.579429844658911</v>
      </c>
      <c r="T1258" s="2">
        <f t="shared" si="80"/>
        <v>8.802747091008758</v>
      </c>
      <c r="U1258" s="2">
        <f t="shared" si="81"/>
        <v>246.35618522216461</v>
      </c>
    </row>
    <row r="1259" spans="1:21" x14ac:dyDescent="0.25">
      <c r="A1259">
        <v>3107673</v>
      </c>
      <c r="B1259">
        <v>2</v>
      </c>
      <c r="C1259" s="1">
        <f>17.8116095984402*(10.3/7.3)</f>
        <v>25.131449159443054</v>
      </c>
      <c r="D1259" s="1">
        <f>14.1932380341758*(10.3/7.3)</f>
        <v>20.026075582467161</v>
      </c>
      <c r="E1259" s="1">
        <f>51.7266179220027*(10.3/7.3)</f>
        <v>72.984132136524309</v>
      </c>
      <c r="F1259" s="1">
        <f>90.7019955306467*(38.9/42.5)</f>
        <v>83.0190029680507</v>
      </c>
      <c r="G1259" s="1">
        <v>2.2649962054108705</v>
      </c>
      <c r="H1259" s="1">
        <v>8.7705735542427146</v>
      </c>
      <c r="I1259" s="1">
        <v>80.224951099239846</v>
      </c>
      <c r="J1259" s="1">
        <v>4.961153832939718E-2</v>
      </c>
      <c r="K1259" s="1">
        <v>3.4923307870264764</v>
      </c>
      <c r="L1259" s="1">
        <v>4.4099913267578135</v>
      </c>
      <c r="M1259" s="1">
        <v>0.1945892416077491</v>
      </c>
      <c r="N1259" s="1">
        <v>2.3397484267236881</v>
      </c>
      <c r="O1259" s="1">
        <v>0.20946666666666663</v>
      </c>
      <c r="P1259" s="1">
        <v>0.1538905312661023</v>
      </c>
      <c r="Q1259" s="1">
        <v>3.6198569492867829</v>
      </c>
      <c r="R1259" s="2">
        <f t="shared" si="79"/>
        <v>296.04103765466544</v>
      </c>
      <c r="S1259" s="2">
        <f t="shared" si="78"/>
        <v>3.6958328566219758</v>
      </c>
      <c r="T1259" s="2">
        <f t="shared" si="80"/>
        <v>7.1537956617559173</v>
      </c>
      <c r="U1259" s="2">
        <f t="shared" si="81"/>
        <v>306.89066617304331</v>
      </c>
    </row>
    <row r="1260" spans="1:21" x14ac:dyDescent="0.25">
      <c r="A1260">
        <v>3107977</v>
      </c>
      <c r="B1260">
        <v>36</v>
      </c>
      <c r="C1260" s="1">
        <f>12.0385911326369*(10.3/7.3)</f>
        <v>16.985957351528757</v>
      </c>
      <c r="D1260" s="1">
        <f>11.5579589622928*(10.3/7.3)</f>
        <v>16.30780511118029</v>
      </c>
      <c r="E1260" s="1">
        <f>41.6436159546148*(10.3/7.3)</f>
        <v>58.757430730483939</v>
      </c>
      <c r="F1260" s="1">
        <f>72.2569898744879*(38.9/42.5)</f>
        <v>66.136397791001869</v>
      </c>
      <c r="G1260" s="1">
        <v>1.9339913122942183</v>
      </c>
      <c r="H1260" s="1">
        <v>5.1566635545685324</v>
      </c>
      <c r="I1260" s="1">
        <v>58.455514451589934</v>
      </c>
      <c r="J1260" s="1">
        <v>3.6623798829177955E-2</v>
      </c>
      <c r="K1260" s="1">
        <v>2.4331014088889154</v>
      </c>
      <c r="L1260" s="1">
        <v>3.8162255805000407</v>
      </c>
      <c r="M1260" s="1">
        <v>0.12311860727045928</v>
      </c>
      <c r="N1260" s="1">
        <v>1.6139526800477781</v>
      </c>
      <c r="O1260" s="1">
        <v>0.1140903703703704</v>
      </c>
      <c r="P1260" s="1">
        <v>8.8823522964183568E-2</v>
      </c>
      <c r="Q1260" s="1">
        <v>3.0908536954473833</v>
      </c>
      <c r="R1260" s="2">
        <f t="shared" si="79"/>
        <v>226.82461399809489</v>
      </c>
      <c r="S1260" s="2">
        <f t="shared" si="78"/>
        <v>2.558548730682277</v>
      </c>
      <c r="T1260" s="2">
        <f t="shared" si="80"/>
        <v>5.667387238188649</v>
      </c>
      <c r="U1260" s="2">
        <f t="shared" si="81"/>
        <v>235.0505499669658</v>
      </c>
    </row>
    <row r="1261" spans="1:21" x14ac:dyDescent="0.25">
      <c r="A1261">
        <v>3107985</v>
      </c>
      <c r="B1261">
        <v>64</v>
      </c>
      <c r="C1261" s="1">
        <f>16.2014527365061*(10.3/7.3)</f>
        <v>22.859583998083945</v>
      </c>
      <c r="D1261" s="1">
        <f>15.2648084738891*(10.3/7.3)</f>
        <v>21.538017435761269</v>
      </c>
      <c r="E1261" s="1">
        <f>55.1855126804748*(10.3/7.3)</f>
        <v>77.864490494368582</v>
      </c>
      <c r="F1261" s="1">
        <f>89.4518111930198*(38.9/42.5)</f>
        <v>81.874716597846373</v>
      </c>
      <c r="G1261" s="1">
        <v>2.0124339730971368</v>
      </c>
      <c r="H1261" s="1">
        <v>4.4448160793835552</v>
      </c>
      <c r="I1261" s="1">
        <v>72.470686551404356</v>
      </c>
      <c r="J1261" s="1">
        <v>4.1880686283980138E-2</v>
      </c>
      <c r="K1261" s="1">
        <v>2.985928259659766</v>
      </c>
      <c r="L1261" s="1">
        <v>4.6226828979545278</v>
      </c>
      <c r="M1261" s="1">
        <v>0.14954496858619151</v>
      </c>
      <c r="N1261" s="1">
        <v>1.8961411113325339</v>
      </c>
      <c r="O1261" s="1">
        <v>0.13481333333333337</v>
      </c>
      <c r="P1261" s="1">
        <v>0.10096855235740847</v>
      </c>
      <c r="Q1261" s="1">
        <v>3.2162186784657467</v>
      </c>
      <c r="R1261" s="2">
        <f t="shared" si="79"/>
        <v>286.28096380841095</v>
      </c>
      <c r="S1261" s="2">
        <f t="shared" si="78"/>
        <v>3.1287774983011549</v>
      </c>
      <c r="T1261" s="2">
        <f t="shared" si="80"/>
        <v>6.8031823112065872</v>
      </c>
      <c r="U1261" s="2">
        <f t="shared" si="81"/>
        <v>296.21292361791865</v>
      </c>
    </row>
    <row r="1262" spans="1:21" x14ac:dyDescent="0.25">
      <c r="A1262">
        <v>3107993</v>
      </c>
      <c r="B1262">
        <v>3</v>
      </c>
      <c r="C1262" s="1">
        <f>13.1290255902635*(10.3/7.3)</f>
        <v>18.524515558864966</v>
      </c>
      <c r="D1262" s="1">
        <f>11.8939398659942*(10.3/7.3)</f>
        <v>16.781860358868499</v>
      </c>
      <c r="E1262" s="1">
        <f>43.1114740768177*(10.3/7.3)</f>
        <v>60.828518217975713</v>
      </c>
      <c r="F1262" s="1">
        <f>69.3366510753431*(38.9/42.5)</f>
        <v>63.46342886660819</v>
      </c>
      <c r="G1262" s="1">
        <v>1.4903267310827566</v>
      </c>
      <c r="H1262" s="1">
        <v>5.1226061548143011</v>
      </c>
      <c r="I1262" s="1">
        <v>57.252470101655753</v>
      </c>
      <c r="J1262" s="1">
        <v>3.1973954711892821E-2</v>
      </c>
      <c r="K1262" s="1">
        <v>2.4415967173780522</v>
      </c>
      <c r="L1262" s="1">
        <v>3.3823936814094662</v>
      </c>
      <c r="M1262" s="1">
        <v>0.12135533253300405</v>
      </c>
      <c r="N1262" s="1">
        <v>1.5093461980685567</v>
      </c>
      <c r="O1262" s="1">
        <v>0.11048888888888887</v>
      </c>
      <c r="P1262" s="1">
        <v>8.7561714073068217E-2</v>
      </c>
      <c r="Q1262" s="1">
        <v>2.3818007117760973</v>
      </c>
      <c r="R1262" s="2">
        <f t="shared" si="79"/>
        <v>225.84552670164624</v>
      </c>
      <c r="S1262" s="2">
        <f t="shared" si="78"/>
        <v>2.5611323861630133</v>
      </c>
      <c r="T1262" s="2">
        <f t="shared" si="80"/>
        <v>5.1235841008999161</v>
      </c>
      <c r="U1262" s="2">
        <f t="shared" si="81"/>
        <v>233.53024318870916</v>
      </c>
    </row>
    <row r="1263" spans="1:21" x14ac:dyDescent="0.25">
      <c r="A1263">
        <v>3119349</v>
      </c>
      <c r="B1263">
        <v>2</v>
      </c>
      <c r="C1263" s="1">
        <f>0.514593014337763*(10.3/7.3)</f>
        <v>0.7260695955724602</v>
      </c>
      <c r="D1263" s="1">
        <f>0.701591030886468*(10.3/7.3)</f>
        <v>0.98991611207268826</v>
      </c>
      <c r="E1263" s="1">
        <f>2.45836550853487*(10.3/7.3)</f>
        <v>3.4686527038231767</v>
      </c>
      <c r="F1263" s="1">
        <f>5.57881831149137*(38.9/42.5)</f>
        <v>5.1062595839297495</v>
      </c>
      <c r="G1263" s="1">
        <v>0.23985784070090005</v>
      </c>
      <c r="H1263" s="1">
        <v>1.3535437049720804</v>
      </c>
      <c r="I1263" s="1">
        <v>4.1491803662148623</v>
      </c>
      <c r="J1263" s="1">
        <v>1.2950257867030465E-2</v>
      </c>
      <c r="K1263" s="1">
        <v>1.7436463314201742</v>
      </c>
      <c r="L1263" s="1">
        <v>1.7002295130719087</v>
      </c>
      <c r="M1263" s="1">
        <v>7.3982682523503346E-2</v>
      </c>
      <c r="N1263" s="1">
        <v>0.55730859628446139</v>
      </c>
      <c r="O1263" s="1">
        <v>0.18293333333333334</v>
      </c>
      <c r="P1263" s="1">
        <v>0.11251456658901862</v>
      </c>
      <c r="Q1263" s="1">
        <v>0.38333444860874477</v>
      </c>
      <c r="R1263" s="2">
        <f t="shared" si="79"/>
        <v>16.416814355894665</v>
      </c>
      <c r="S1263" s="2">
        <f t="shared" si="78"/>
        <v>1.8691111558762232</v>
      </c>
      <c r="T1263" s="2">
        <f t="shared" si="80"/>
        <v>2.5144541252132067</v>
      </c>
      <c r="U1263" s="2">
        <f t="shared" si="81"/>
        <v>20.800379636984093</v>
      </c>
    </row>
    <row r="1264" spans="1:21" x14ac:dyDescent="0.25">
      <c r="A1264">
        <v>3119421</v>
      </c>
      <c r="B1264">
        <v>28</v>
      </c>
      <c r="C1264" s="1">
        <f>0.556726597610332*(10.3/7.3)</f>
        <v>0.78551835005293447</v>
      </c>
      <c r="D1264" s="1">
        <f>0.692140091483619*(10.3/7.3)</f>
        <v>0.97658122497003796</v>
      </c>
      <c r="E1264" s="1">
        <f>2.4348738411299*(10.3/7.3)</f>
        <v>3.435506926525751</v>
      </c>
      <c r="F1264" s="1">
        <f>5.53091274218815*(38.9/42.5)</f>
        <v>5.0624118981439814</v>
      </c>
      <c r="G1264" s="1">
        <v>0.23444327814042512</v>
      </c>
      <c r="H1264" s="1">
        <v>2.480013196130753</v>
      </c>
      <c r="I1264" s="1">
        <v>4.2258428712352751</v>
      </c>
      <c r="J1264" s="1">
        <v>1.438536999491825E-2</v>
      </c>
      <c r="K1264" s="1">
        <v>1.9281318694666107</v>
      </c>
      <c r="L1264" s="1">
        <v>2.0338139700982185</v>
      </c>
      <c r="M1264" s="1">
        <v>7.4353575413635936E-2</v>
      </c>
      <c r="N1264" s="1">
        <v>0.60157705699586361</v>
      </c>
      <c r="O1264" s="1">
        <v>0.18738666666666665</v>
      </c>
      <c r="P1264" s="1">
        <v>0.13044104535462611</v>
      </c>
      <c r="Q1264" s="1">
        <v>0.37468103812396736</v>
      </c>
      <c r="R1264" s="2">
        <f t="shared" si="79"/>
        <v>17.574998783323124</v>
      </c>
      <c r="S1264" s="2">
        <f t="shared" si="78"/>
        <v>2.0729582848161554</v>
      </c>
      <c r="T1264" s="2">
        <f t="shared" si="80"/>
        <v>2.8971312691743849</v>
      </c>
      <c r="U1264" s="2">
        <f t="shared" si="81"/>
        <v>22.545088337313665</v>
      </c>
    </row>
    <row r="1265" spans="1:21" x14ac:dyDescent="0.25">
      <c r="A1265">
        <v>3119437</v>
      </c>
      <c r="B1265">
        <v>7</v>
      </c>
      <c r="C1265" s="1">
        <f>0.699115918528095*(10.3/7.3)</f>
        <v>0.98642383025197033</v>
      </c>
      <c r="D1265" s="1">
        <f>0.879599315255016*(10.3/7.3)</f>
        <v>1.2410784859077617</v>
      </c>
      <c r="E1265" s="1">
        <f>3.08583210114588*(10.3/7.3)</f>
        <v>4.3539822796989851</v>
      </c>
      <c r="F1265" s="1">
        <f>7.35658764693375*(38.9/42.5)</f>
        <v>6.7334413991934836</v>
      </c>
      <c r="G1265" s="1">
        <v>0.32688170181086973</v>
      </c>
      <c r="H1265" s="1">
        <v>3.3947403017332838</v>
      </c>
      <c r="I1265" s="1">
        <v>5.6476580932972427</v>
      </c>
      <c r="J1265" s="1">
        <v>1.5882917835233674E-2</v>
      </c>
      <c r="K1265" s="1">
        <v>2.1865095086235566</v>
      </c>
      <c r="L1265" s="1">
        <v>2.470842747156889</v>
      </c>
      <c r="M1265" s="1">
        <v>8.4427697733081467E-2</v>
      </c>
      <c r="N1265" s="1">
        <v>0.98733222747227345</v>
      </c>
      <c r="O1265" s="1">
        <v>0.21604571428571431</v>
      </c>
      <c r="P1265" s="1">
        <v>0.14816246092896154</v>
      </c>
      <c r="Q1265" s="1">
        <v>0.52241367869317135</v>
      </c>
      <c r="R1265" s="2">
        <f t="shared" si="79"/>
        <v>23.206619770586766</v>
      </c>
      <c r="S1265" s="2">
        <f t="shared" si="78"/>
        <v>2.3505548873877515</v>
      </c>
      <c r="T1265" s="2">
        <f t="shared" si="80"/>
        <v>3.7586483866479581</v>
      </c>
      <c r="U1265" s="2">
        <f t="shared" si="81"/>
        <v>29.315823044622476</v>
      </c>
    </row>
    <row r="1266" spans="1:21" x14ac:dyDescent="0.25">
      <c r="A1266">
        <v>3119477</v>
      </c>
      <c r="B1266">
        <v>2</v>
      </c>
      <c r="C1266" s="1">
        <f>0.778859628124997*(10.3/7.3)</f>
        <v>1.0989389273544474</v>
      </c>
      <c r="D1266" s="1">
        <f>0.897474058813582*(10.3/7.3)</f>
        <v>1.2662990144903965</v>
      </c>
      <c r="E1266" s="1">
        <f>3.1799827803789*(10.3/7.3)</f>
        <v>4.4868250188907703</v>
      </c>
      <c r="F1266" s="1">
        <f>6.64152615671352*(38.9/42.5)</f>
        <v>6.0789498234389621</v>
      </c>
      <c r="G1266" s="1">
        <v>0.2531624133901918</v>
      </c>
      <c r="H1266" s="1">
        <v>2.7710779983042997</v>
      </c>
      <c r="I1266" s="1">
        <v>5.1263021884931108</v>
      </c>
      <c r="J1266" s="1">
        <v>1.5334938378587189E-2</v>
      </c>
      <c r="K1266" s="1">
        <v>2.0647461526088087</v>
      </c>
      <c r="L1266" s="1">
        <v>3.0810809670755681</v>
      </c>
      <c r="M1266" s="1">
        <v>8.0150350853258029E-2</v>
      </c>
      <c r="N1266" s="1">
        <v>0.63318744107735703</v>
      </c>
      <c r="O1266" s="1">
        <v>0.20255999999999999</v>
      </c>
      <c r="P1266" s="1">
        <v>0.14131543056791057</v>
      </c>
      <c r="Q1266" s="1">
        <v>0.40459746432222476</v>
      </c>
      <c r="R1266" s="2">
        <f t="shared" si="79"/>
        <v>21.486152848684405</v>
      </c>
      <c r="S1266" s="2">
        <f t="shared" si="78"/>
        <v>2.2213965215553064</v>
      </c>
      <c r="T1266" s="2">
        <f t="shared" si="80"/>
        <v>3.9969787590061836</v>
      </c>
      <c r="U1266" s="2">
        <f t="shared" si="81"/>
        <v>27.704528129245894</v>
      </c>
    </row>
    <row r="1267" spans="1:21" x14ac:dyDescent="0.25">
      <c r="A1267">
        <v>3119517</v>
      </c>
      <c r="B1267">
        <v>8</v>
      </c>
      <c r="C1267" s="1">
        <f>1.09072211282041*(10.3/7.3)</f>
        <v>1.5389640769931756</v>
      </c>
      <c r="D1267" s="1">
        <f>1.50570466535418*(10.3/7.3)</f>
        <v>2.1244874045408348</v>
      </c>
      <c r="E1267" s="1">
        <f>5.25667901439535*(10.3/7.3)</f>
        <v>7.4169580614071444</v>
      </c>
      <c r="F1267" s="1">
        <f>12.7704120678745*(38.9/42.5)</f>
        <v>11.68868304565458</v>
      </c>
      <c r="G1267" s="1">
        <v>0.58458307440338475</v>
      </c>
      <c r="H1267" s="1">
        <v>3.4546939885217722</v>
      </c>
      <c r="I1267" s="1">
        <v>9.5944675729580986</v>
      </c>
      <c r="J1267" s="1">
        <v>1.749791149382925E-2</v>
      </c>
      <c r="K1267" s="1">
        <v>2.3784458392084926</v>
      </c>
      <c r="L1267" s="1">
        <v>4.2378548101201732</v>
      </c>
      <c r="M1267" s="1">
        <v>8.842738640982703E-2</v>
      </c>
      <c r="N1267" s="1">
        <v>0.76445266269117884</v>
      </c>
      <c r="O1267" s="1">
        <v>0.22653333333333334</v>
      </c>
      <c r="P1267" s="1">
        <v>0.17127950489247712</v>
      </c>
      <c r="Q1267" s="1">
        <v>0.93426518740267062</v>
      </c>
      <c r="R1267" s="2">
        <f t="shared" si="79"/>
        <v>37.337102411881659</v>
      </c>
      <c r="S1267" s="2">
        <f t="shared" si="78"/>
        <v>2.5672232555947989</v>
      </c>
      <c r="T1267" s="2">
        <f t="shared" si="80"/>
        <v>5.3172681925545122</v>
      </c>
      <c r="U1267" s="2">
        <f t="shared" si="81"/>
        <v>45.221593860030971</v>
      </c>
    </row>
    <row r="1268" spans="1:21" x14ac:dyDescent="0.25">
      <c r="A1268">
        <v>3119525</v>
      </c>
      <c r="B1268">
        <v>31</v>
      </c>
      <c r="C1268" s="1">
        <f>0.858331691697009*(10.3/7.3)</f>
        <v>1.2110707430793417</v>
      </c>
      <c r="D1268" s="1">
        <f>1.26465187317997*(10.3/7.3)</f>
        <v>1.7843718210621562</v>
      </c>
      <c r="E1268" s="1">
        <f>4.44610576223268*(10.3/7.3)</f>
        <v>6.2732725138351579</v>
      </c>
      <c r="F1268" s="1">
        <f>8.64269413064672*(38.9/42.5)</f>
        <v>7.9106070984036991</v>
      </c>
      <c r="G1268" s="1">
        <v>0.31724691277327727</v>
      </c>
      <c r="H1268" s="1">
        <v>3.19192271357401</v>
      </c>
      <c r="I1268" s="1">
        <v>6.0510252475013795</v>
      </c>
      <c r="J1268" s="1">
        <v>1.5471268408980396E-2</v>
      </c>
      <c r="K1268" s="1">
        <v>2.1035123946444161</v>
      </c>
      <c r="L1268" s="1">
        <v>3.757033020644494</v>
      </c>
      <c r="M1268" s="1">
        <v>7.8252078514994008E-2</v>
      </c>
      <c r="N1268" s="1">
        <v>0.66958133334469661</v>
      </c>
      <c r="O1268" s="1">
        <v>0.1872533333333333</v>
      </c>
      <c r="P1268" s="1">
        <v>0.15139673860382655</v>
      </c>
      <c r="Q1268" s="1">
        <v>0.50701561402121997</v>
      </c>
      <c r="R1268" s="2">
        <f t="shared" si="79"/>
        <v>27.246532664250239</v>
      </c>
      <c r="S1268" s="2">
        <f t="shared" si="78"/>
        <v>2.2703804016572233</v>
      </c>
      <c r="T1268" s="2">
        <f t="shared" si="80"/>
        <v>4.6921197658375178</v>
      </c>
      <c r="U1268" s="2">
        <f t="shared" si="81"/>
        <v>34.209032831744977</v>
      </c>
    </row>
    <row r="1269" spans="1:21" x14ac:dyDescent="0.25">
      <c r="A1269">
        <v>3119533</v>
      </c>
      <c r="B1269">
        <v>26</v>
      </c>
      <c r="C1269" s="1">
        <f>1.04020032902409*(10.3/7.3)</f>
        <v>1.4676799162942598</v>
      </c>
      <c r="D1269" s="1">
        <f>1.20837728221501*(10.3/7.3)</f>
        <v>1.7049706858650147</v>
      </c>
      <c r="E1269" s="1">
        <f>4.28469364124225*(10.3/7.3)</f>
        <v>6.0455266444924947</v>
      </c>
      <c r="F1269" s="1">
        <f>8.70675068701849*(38.9/42.5)</f>
        <v>7.9692376876475119</v>
      </c>
      <c r="G1269" s="1">
        <v>0.32139786916483154</v>
      </c>
      <c r="H1269" s="1">
        <v>2.1294925717013289</v>
      </c>
      <c r="I1269" s="1">
        <v>6.6709264758794262</v>
      </c>
      <c r="J1269" s="1">
        <v>1.6981301436387916E-2</v>
      </c>
      <c r="K1269" s="1">
        <v>2.2869895398995301</v>
      </c>
      <c r="L1269" s="1">
        <v>4.8646427736783693</v>
      </c>
      <c r="M1269" s="1">
        <v>8.6760140012040646E-2</v>
      </c>
      <c r="N1269" s="1">
        <v>0.73795566685887404</v>
      </c>
      <c r="O1269" s="1">
        <v>0.2166871794871795</v>
      </c>
      <c r="P1269" s="1">
        <v>0.16227023923904887</v>
      </c>
      <c r="Q1269" s="1">
        <v>0.51364956259219685</v>
      </c>
      <c r="R1269" s="2">
        <f t="shared" si="79"/>
        <v>26.822881413637067</v>
      </c>
      <c r="S1269" s="2">
        <f t="shared" si="78"/>
        <v>2.4662410805749668</v>
      </c>
      <c r="T1269" s="2">
        <f t="shared" si="80"/>
        <v>5.9060457600364638</v>
      </c>
      <c r="U1269" s="2">
        <f t="shared" si="81"/>
        <v>35.1951682542485</v>
      </c>
    </row>
    <row r="1270" spans="1:21" x14ac:dyDescent="0.25">
      <c r="A1270">
        <v>3119541</v>
      </c>
      <c r="B1270">
        <v>2</v>
      </c>
      <c r="C1270" s="1">
        <f>0.780851087158812*(10.3/7.3)</f>
        <v>1.1017487942103783</v>
      </c>
      <c r="D1270" s="1">
        <f>0.919235592943895*(10.3/7.3)</f>
        <v>1.2970036448386466</v>
      </c>
      <c r="E1270" s="1">
        <f>3.25729636397934*(10.3/7.3)</f>
        <v>4.5959113080804377</v>
      </c>
      <c r="F1270" s="1">
        <f>6.62253351129393*(38.9/42.5)</f>
        <v>6.0615659668078568</v>
      </c>
      <c r="G1270" s="1">
        <v>0.24538353016459785</v>
      </c>
      <c r="H1270" s="1">
        <v>1.6123612815153208</v>
      </c>
      <c r="I1270" s="1">
        <v>5.0509345687995122</v>
      </c>
      <c r="J1270" s="1">
        <v>1.5050643726853555E-2</v>
      </c>
      <c r="K1270" s="1">
        <v>1.9772336595181765</v>
      </c>
      <c r="L1270" s="1">
        <v>5.9872565606110735</v>
      </c>
      <c r="M1270" s="1">
        <v>7.9102893550976328E-2</v>
      </c>
      <c r="N1270" s="1">
        <v>0.64806406164590424</v>
      </c>
      <c r="O1270" s="1">
        <v>0.17904</v>
      </c>
      <c r="P1270" s="1">
        <v>0.13648351666531472</v>
      </c>
      <c r="Q1270" s="1">
        <v>0.39216545916716589</v>
      </c>
      <c r="R1270" s="2">
        <f t="shared" si="79"/>
        <v>20.357074553583917</v>
      </c>
      <c r="S1270" s="2">
        <f t="shared" si="78"/>
        <v>2.1287678199103448</v>
      </c>
      <c r="T1270" s="2">
        <f t="shared" si="80"/>
        <v>6.8934635158079534</v>
      </c>
      <c r="U1270" s="2">
        <f t="shared" si="81"/>
        <v>29.379305889302216</v>
      </c>
    </row>
    <row r="1271" spans="1:21" x14ac:dyDescent="0.25">
      <c r="A1271">
        <v>3119565</v>
      </c>
      <c r="B1271">
        <v>13</v>
      </c>
      <c r="C1271" s="1">
        <f>1.14196388565203*(10.3/7.3)</f>
        <v>1.6112641126323117</v>
      </c>
      <c r="D1271" s="1">
        <f>1.41116689843037*(10.3/7.3)</f>
        <v>1.9910985005250441</v>
      </c>
      <c r="E1271" s="1">
        <f>4.99440905698109*(10.3/7.3)</f>
        <v>7.0469059297130441</v>
      </c>
      <c r="F1271" s="1">
        <f>9.88806484843302*(38.9/42.5)</f>
        <v>9.050487590683403</v>
      </c>
      <c r="G1271" s="1">
        <v>0.35799369751738702</v>
      </c>
      <c r="H1271" s="1">
        <v>2.3221878322285807</v>
      </c>
      <c r="I1271" s="1">
        <v>7.3776571019307617</v>
      </c>
      <c r="J1271" s="1">
        <v>1.8647248511529654E-2</v>
      </c>
      <c r="K1271" s="1">
        <v>2.4503818623959757</v>
      </c>
      <c r="L1271" s="1">
        <v>6.6478994820315709</v>
      </c>
      <c r="M1271" s="1">
        <v>9.233601900340245E-2</v>
      </c>
      <c r="N1271" s="1">
        <v>0.85592254308965066</v>
      </c>
      <c r="O1271" s="1">
        <v>0.22786461538461539</v>
      </c>
      <c r="P1271" s="1">
        <v>0.17441367378051831</v>
      </c>
      <c r="Q1271" s="1">
        <v>0.57213604626066461</v>
      </c>
      <c r="R1271" s="2">
        <f t="shared" si="79"/>
        <v>30.329730811491196</v>
      </c>
      <c r="S1271" s="2">
        <f t="shared" si="78"/>
        <v>2.6434427846880237</v>
      </c>
      <c r="T1271" s="2">
        <f t="shared" si="80"/>
        <v>7.8240226595092404</v>
      </c>
      <c r="U1271" s="2">
        <f t="shared" si="81"/>
        <v>40.797196255688462</v>
      </c>
    </row>
    <row r="1272" spans="1:21" x14ac:dyDescent="0.25">
      <c r="A1272">
        <v>3119573</v>
      </c>
      <c r="B1272">
        <v>57</v>
      </c>
      <c r="C1272" s="1">
        <f>1.27016654691824*(10.3/7.3)</f>
        <v>1.7921527990764221</v>
      </c>
      <c r="D1272" s="1">
        <f>1.49547792588205*(10.3/7.3)</f>
        <v>2.1100578954226257</v>
      </c>
      <c r="E1272" s="1">
        <f>5.30314715960251*(10.3/7.3)</f>
        <v>7.4825227046446354</v>
      </c>
      <c r="F1272" s="1">
        <f>10.5809762808371*(38.9/42.5)</f>
        <v>9.6847053488132477</v>
      </c>
      <c r="G1272" s="1">
        <v>0.38263070106465957</v>
      </c>
      <c r="H1272" s="1">
        <v>2.9342146619576179</v>
      </c>
      <c r="I1272" s="1">
        <v>8.0426018793737892</v>
      </c>
      <c r="J1272" s="1">
        <v>2.0046681161207884E-2</v>
      </c>
      <c r="K1272" s="1">
        <v>2.6505044529082324</v>
      </c>
      <c r="L1272" s="1">
        <v>6.3316802689331615</v>
      </c>
      <c r="M1272" s="1">
        <v>9.7635647048494437E-2</v>
      </c>
      <c r="N1272" s="1">
        <v>0.95560806946472987</v>
      </c>
      <c r="O1272" s="1">
        <v>0.24657684210526321</v>
      </c>
      <c r="P1272" s="1">
        <v>0.19375619635836944</v>
      </c>
      <c r="Q1272" s="1">
        <v>0.61151025284306404</v>
      </c>
      <c r="R1272" s="2">
        <f t="shared" si="79"/>
        <v>33.040396243196057</v>
      </c>
      <c r="S1272" s="2">
        <f t="shared" si="78"/>
        <v>2.8643073304278097</v>
      </c>
      <c r="T1272" s="2">
        <f t="shared" si="80"/>
        <v>7.6315008275516485</v>
      </c>
      <c r="U1272" s="2">
        <f t="shared" si="81"/>
        <v>43.53620440117551</v>
      </c>
    </row>
    <row r="1273" spans="1:21" x14ac:dyDescent="0.25">
      <c r="A1273">
        <v>3119581</v>
      </c>
      <c r="B1273">
        <v>18</v>
      </c>
      <c r="C1273" s="1">
        <f>1.30077678624268*(10.3/7.3)</f>
        <v>1.8353425888081638</v>
      </c>
      <c r="D1273" s="1">
        <f>1.51448296513616*(10.3/7.3)</f>
        <v>2.136873224781151</v>
      </c>
      <c r="E1273" s="1">
        <f>5.37342599141003*(10.3/7.3)</f>
        <v>7.5816832481538841</v>
      </c>
      <c r="F1273" s="1">
        <f>10.7212175442761*(38.9/42.5)</f>
        <v>9.8130673522903287</v>
      </c>
      <c r="G1273" s="1">
        <v>0.38665520253745334</v>
      </c>
      <c r="H1273" s="1">
        <v>3.4961926968524413</v>
      </c>
      <c r="I1273" s="1">
        <v>8.181858697083328</v>
      </c>
      <c r="J1273" s="1">
        <v>2.0113728743383345E-2</v>
      </c>
      <c r="K1273" s="1">
        <v>2.5811678395657576</v>
      </c>
      <c r="L1273" s="1">
        <v>5.8177073374475334</v>
      </c>
      <c r="M1273" s="1">
        <v>9.6032966553934021E-2</v>
      </c>
      <c r="N1273" s="1">
        <v>0.96209491554372439</v>
      </c>
      <c r="O1273" s="1">
        <v>0.23839407407407404</v>
      </c>
      <c r="P1273" s="1">
        <v>0.18847962086787121</v>
      </c>
      <c r="Q1273" s="1">
        <v>0.61794210451191245</v>
      </c>
      <c r="R1273" s="2">
        <f t="shared" si="79"/>
        <v>34.049615115018661</v>
      </c>
      <c r="S1273" s="2">
        <f t="shared" si="78"/>
        <v>2.7897611891770122</v>
      </c>
      <c r="T1273" s="2">
        <f t="shared" si="80"/>
        <v>7.1142292936192657</v>
      </c>
      <c r="U1273" s="2">
        <f t="shared" si="81"/>
        <v>43.953605597814942</v>
      </c>
    </row>
    <row r="1274" spans="1:21" x14ac:dyDescent="0.25">
      <c r="A1274">
        <v>3119869</v>
      </c>
      <c r="B1274">
        <v>44</v>
      </c>
      <c r="C1274" s="1">
        <f>4.40178526704663*(10.3/7.3)</f>
        <v>6.2107381165178541</v>
      </c>
      <c r="D1274" s="1">
        <f>4.66371877085352*(10.3/7.3)</f>
        <v>6.5803155259988015</v>
      </c>
      <c r="E1274" s="1">
        <f>16.616515686369*(10.3/7.3)</f>
        <v>23.445220762958979</v>
      </c>
      <c r="F1274" s="1">
        <f>33.6320141498767*(38.9/42.5)</f>
        <v>30.783184716004786</v>
      </c>
      <c r="G1274" s="1">
        <v>1.2071656275855875</v>
      </c>
      <c r="H1274" s="1">
        <v>3.220462631235729</v>
      </c>
      <c r="I1274" s="1">
        <v>26.623878806496005</v>
      </c>
      <c r="J1274" s="1">
        <v>3.691799428967843E-2</v>
      </c>
      <c r="K1274" s="1">
        <v>3.1490653937877515</v>
      </c>
      <c r="L1274" s="1">
        <v>3.4264509163352428</v>
      </c>
      <c r="M1274" s="1">
        <v>0.13887325538816597</v>
      </c>
      <c r="N1274" s="1">
        <v>1.6765324443455598</v>
      </c>
      <c r="O1274" s="1">
        <v>0.17354787878787878</v>
      </c>
      <c r="P1274" s="1">
        <v>0.14064314220212959</v>
      </c>
      <c r="Q1274" s="1">
        <v>1.9292601354107588</v>
      </c>
      <c r="R1274" s="2">
        <f t="shared" si="79"/>
        <v>100.0002263222085</v>
      </c>
      <c r="S1274" s="2">
        <f t="shared" si="78"/>
        <v>3.3266265302795595</v>
      </c>
      <c r="T1274" s="2">
        <f t="shared" si="80"/>
        <v>5.4154044948568476</v>
      </c>
      <c r="U1274" s="2">
        <f t="shared" si="81"/>
        <v>108.7422573473449</v>
      </c>
    </row>
    <row r="1275" spans="1:21" x14ac:dyDescent="0.25">
      <c r="A1275">
        <v>3119877</v>
      </c>
      <c r="B1275">
        <v>55</v>
      </c>
      <c r="C1275" s="1">
        <f>4.4594488685794*(10.3/7.3)</f>
        <v>6.2920990885435302</v>
      </c>
      <c r="D1275" s="1">
        <f>4.59040542997836*(10.3/7.3)</f>
        <v>6.4768734149009708</v>
      </c>
      <c r="E1275" s="1">
        <f>16.3808062682383*(10.3/7.3)</f>
        <v>23.11264446066502</v>
      </c>
      <c r="F1275" s="1">
        <f>33.1438386570911*(38.9/42.5)</f>
        <v>30.336360559078692</v>
      </c>
      <c r="G1275" s="1">
        <v>1.1799712370740441</v>
      </c>
      <c r="H1275" s="1">
        <v>3.1830637891623992</v>
      </c>
      <c r="I1275" s="1">
        <v>26.52106556624507</v>
      </c>
      <c r="J1275" s="1">
        <v>3.4340479454645925E-2</v>
      </c>
      <c r="K1275" s="1">
        <v>2.8919766952110617</v>
      </c>
      <c r="L1275" s="1">
        <v>3.1729704806804686</v>
      </c>
      <c r="M1275" s="1">
        <v>0.13242866457844629</v>
      </c>
      <c r="N1275" s="1">
        <v>1.5935262743654484</v>
      </c>
      <c r="O1275" s="1">
        <v>0.16402230303030305</v>
      </c>
      <c r="P1275" s="1">
        <v>0.13402079787802504</v>
      </c>
      <c r="Q1275" s="1">
        <v>1.8857987807119447</v>
      </c>
      <c r="R1275" s="2">
        <f t="shared" si="79"/>
        <v>98.987876896381678</v>
      </c>
      <c r="S1275" s="2">
        <f t="shared" si="78"/>
        <v>3.0603379725437327</v>
      </c>
      <c r="T1275" s="2">
        <f t="shared" si="80"/>
        <v>5.0629477226546671</v>
      </c>
      <c r="U1275" s="2">
        <f t="shared" si="81"/>
        <v>107.11116259158008</v>
      </c>
    </row>
    <row r="1276" spans="1:21" x14ac:dyDescent="0.25">
      <c r="A1276">
        <v>3119885</v>
      </c>
      <c r="B1276">
        <v>49</v>
      </c>
      <c r="C1276" s="1">
        <f>7.75194530662355*(10.3/7.3)</f>
        <v>10.937676254551043</v>
      </c>
      <c r="D1276" s="1">
        <f>7.77190267824496*(10.3/7.3)</f>
        <v>10.965835285742891</v>
      </c>
      <c r="E1276" s="1">
        <f>27.8041817153106*(10.3/7.3)</f>
        <v>39.230557762698496</v>
      </c>
      <c r="F1276" s="1">
        <f>54.7406534378036*(38.9/42.5)</f>
        <v>50.103798087777911</v>
      </c>
      <c r="G1276" s="1">
        <v>1.8610307523851983</v>
      </c>
      <c r="H1276" s="1">
        <v>4.7686544639673656</v>
      </c>
      <c r="I1276" s="1">
        <v>44.105649584410884</v>
      </c>
      <c r="J1276" s="1">
        <v>4.7903865307104394E-2</v>
      </c>
      <c r="K1276" s="1">
        <v>3.6434094941263124</v>
      </c>
      <c r="L1276" s="1">
        <v>4.4765647376129412</v>
      </c>
      <c r="M1276" s="1">
        <v>0.18484058612828541</v>
      </c>
      <c r="N1276" s="1">
        <v>2.1227391875145267</v>
      </c>
      <c r="O1276" s="1">
        <v>0.21279020408163271</v>
      </c>
      <c r="P1276" s="1">
        <v>0.15874909334156187</v>
      </c>
      <c r="Q1276" s="1">
        <v>2.9742500608895894</v>
      </c>
      <c r="R1276" s="2">
        <f t="shared" si="79"/>
        <v>164.9474522524234</v>
      </c>
      <c r="S1276" s="2">
        <f t="shared" si="78"/>
        <v>3.8500624527749787</v>
      </c>
      <c r="T1276" s="2">
        <f t="shared" si="80"/>
        <v>6.9969347153373862</v>
      </c>
      <c r="U1276" s="2">
        <f t="shared" si="81"/>
        <v>175.79444942053576</v>
      </c>
    </row>
    <row r="1277" spans="1:21" x14ac:dyDescent="0.25">
      <c r="A1277">
        <v>3119909</v>
      </c>
      <c r="B1277">
        <v>16</v>
      </c>
      <c r="C1277" s="1">
        <f>15.4880747707367*(10.3/7.3)</f>
        <v>21.853037005286058</v>
      </c>
      <c r="D1277" s="1">
        <f>12.9623296151663*(10.3/7.3)</f>
        <v>18.289314388522289</v>
      </c>
      <c r="E1277" s="1">
        <f>47.0028117464043*(10.3/7.3)</f>
        <v>66.3190357517759</v>
      </c>
      <c r="F1277" s="1">
        <f>86.5258715457211*(38.9/42.5)</f>
        <v>79.196621250083538</v>
      </c>
      <c r="G1277" s="1">
        <v>2.4575906245824726</v>
      </c>
      <c r="H1277" s="1">
        <v>10.762091668364372</v>
      </c>
      <c r="I1277" s="1">
        <v>74.884236741700519</v>
      </c>
      <c r="J1277" s="1">
        <v>5.2986476517794742E-2</v>
      </c>
      <c r="K1277" s="1">
        <v>3.6330293103120046</v>
      </c>
      <c r="L1277" s="1">
        <v>4.6076195145284755</v>
      </c>
      <c r="M1277" s="1">
        <v>0.20686679655004733</v>
      </c>
      <c r="N1277" s="1">
        <v>2.42684455641426</v>
      </c>
      <c r="O1277" s="1">
        <v>0.21777999999999997</v>
      </c>
      <c r="P1277" s="1">
        <v>0.16077666274855004</v>
      </c>
      <c r="Q1277" s="1">
        <v>3.9276562493327223</v>
      </c>
      <c r="R1277" s="2">
        <f t="shared" si="79"/>
        <v>277.68958367964785</v>
      </c>
      <c r="S1277" s="2">
        <f t="shared" si="78"/>
        <v>3.8467924495783494</v>
      </c>
      <c r="T1277" s="2">
        <f t="shared" si="80"/>
        <v>7.4591108674927833</v>
      </c>
      <c r="U1277" s="2">
        <f t="shared" si="81"/>
        <v>288.99548699671897</v>
      </c>
    </row>
    <row r="1278" spans="1:21" x14ac:dyDescent="0.25">
      <c r="A1278">
        <v>3120205</v>
      </c>
      <c r="B1278">
        <v>27</v>
      </c>
      <c r="C1278" s="1">
        <f>15.2336290002959*(10.3/7.3)</f>
        <v>21.494024479869523</v>
      </c>
      <c r="D1278" s="1">
        <f>13.7527079677817*(10.3/7.3)</f>
        <v>19.404505762760436</v>
      </c>
      <c r="E1278" s="1">
        <f>49.8210544589382*(10.3/7.3)</f>
        <v>70.295460400967585</v>
      </c>
      <c r="F1278" s="1">
        <f>82.0524899523245*(38.9/42.5)</f>
        <v>75.102161391657049</v>
      </c>
      <c r="G1278" s="1">
        <v>1.8799663225358785</v>
      </c>
      <c r="H1278" s="1">
        <v>5.8067400041239274</v>
      </c>
      <c r="I1278" s="1">
        <v>68.012878635371322</v>
      </c>
      <c r="J1278" s="1">
        <v>3.559387898388422E-2</v>
      </c>
      <c r="K1278" s="1">
        <v>2.5019709146227451</v>
      </c>
      <c r="L1278" s="1">
        <v>4.0948115666909395</v>
      </c>
      <c r="M1278" s="1">
        <v>0.12922165991346987</v>
      </c>
      <c r="N1278" s="1">
        <v>1.7161745164686963</v>
      </c>
      <c r="O1278" s="1">
        <v>0.11927901234567903</v>
      </c>
      <c r="P1278" s="1">
        <v>9.0183103580910348E-2</v>
      </c>
      <c r="Q1278" s="1">
        <v>3.0045123876144211</v>
      </c>
      <c r="R1278" s="2">
        <f t="shared" si="79"/>
        <v>265.00024938490009</v>
      </c>
      <c r="S1278" s="2">
        <f t="shared" si="78"/>
        <v>2.6277478971875396</v>
      </c>
      <c r="T1278" s="2">
        <f t="shared" si="80"/>
        <v>6.059486755418785</v>
      </c>
      <c r="U1278" s="2">
        <f t="shared" si="81"/>
        <v>273.68748403750641</v>
      </c>
    </row>
    <row r="1279" spans="1:21" x14ac:dyDescent="0.25">
      <c r="A1279">
        <v>3120213</v>
      </c>
      <c r="B1279">
        <v>49</v>
      </c>
      <c r="C1279" s="1">
        <f>13.9678498110509*(10.3/7.3)</f>
        <v>19.708062062167752</v>
      </c>
      <c r="D1279" s="1">
        <f>13.3391904270082*(10.3/7.3)</f>
        <v>18.821049506600669</v>
      </c>
      <c r="E1279" s="1">
        <f>48.1179590999229*(10.3/7.3)</f>
        <v>67.89246283961721</v>
      </c>
      <c r="F1279" s="1">
        <f>81.3972359375992*(38.9/42.5)</f>
        <v>74.502411246414297</v>
      </c>
      <c r="G1279" s="1">
        <v>2.0536908623370307</v>
      </c>
      <c r="H1279" s="1">
        <v>5.573347509495056</v>
      </c>
      <c r="I1279" s="1">
        <v>65.825909705785747</v>
      </c>
      <c r="J1279" s="1">
        <v>3.8669961163436857E-2</v>
      </c>
      <c r="K1279" s="1">
        <v>2.7248330768683395</v>
      </c>
      <c r="L1279" s="1">
        <v>4.2254312789426267</v>
      </c>
      <c r="M1279" s="1">
        <v>0.13844478600173865</v>
      </c>
      <c r="N1279" s="1">
        <v>1.7709982328617806</v>
      </c>
      <c r="O1279" s="1">
        <v>0.12472054421768708</v>
      </c>
      <c r="P1279" s="1">
        <v>9.4981410489611617E-2</v>
      </c>
      <c r="Q1279" s="1">
        <v>3.2821543462007376</v>
      </c>
      <c r="R1279" s="2">
        <f t="shared" si="79"/>
        <v>257.65908807861848</v>
      </c>
      <c r="S1279" s="2">
        <f t="shared" si="78"/>
        <v>2.8584844485213878</v>
      </c>
      <c r="T1279" s="2">
        <f t="shared" si="80"/>
        <v>6.2595948420238328</v>
      </c>
      <c r="U1279" s="2">
        <f t="shared" si="81"/>
        <v>266.77716736916369</v>
      </c>
    </row>
    <row r="1280" spans="1:21" x14ac:dyDescent="0.25">
      <c r="A1280">
        <v>3120221</v>
      </c>
      <c r="B1280">
        <v>61</v>
      </c>
      <c r="C1280" s="1">
        <f>19.2023009414311*(10.3/7.3)</f>
        <v>27.093657492704214</v>
      </c>
      <c r="D1280" s="1">
        <f>17.6895662301555*(10.3/7.3)</f>
        <v>24.95925098227417</v>
      </c>
      <c r="E1280" s="1">
        <f>64.0582774627338*(10.3/7.3)</f>
        <v>90.383596967966895</v>
      </c>
      <c r="F1280" s="1">
        <f>102.786456503365*(38.9/42.5)</f>
        <v>94.079839011315599</v>
      </c>
      <c r="G1280" s="1">
        <v>2.2175225913331365</v>
      </c>
      <c r="H1280" s="1">
        <v>5.1004141604000006</v>
      </c>
      <c r="I1280" s="1">
        <v>84.133383832611983</v>
      </c>
      <c r="J1280" s="1">
        <v>4.6302674127374828E-2</v>
      </c>
      <c r="K1280" s="1">
        <v>3.2524888499996498</v>
      </c>
      <c r="L1280" s="1">
        <v>5.0927476910102003</v>
      </c>
      <c r="M1280" s="1">
        <v>0.16423466656752511</v>
      </c>
      <c r="N1280" s="1">
        <v>2.0651002220557984</v>
      </c>
      <c r="O1280" s="1">
        <v>0.14383650273224047</v>
      </c>
      <c r="P1280" s="1">
        <v>0.10728919816578741</v>
      </c>
      <c r="Q1280" s="1">
        <v>3.5439858765598098</v>
      </c>
      <c r="R1280" s="2">
        <f t="shared" si="79"/>
        <v>331.51165091516583</v>
      </c>
      <c r="S1280" s="2">
        <f t="shared" si="78"/>
        <v>3.406080722292812</v>
      </c>
      <c r="T1280" s="2">
        <f t="shared" si="80"/>
        <v>7.4659190823657635</v>
      </c>
      <c r="U1280" s="2">
        <f t="shared" si="81"/>
        <v>342.3836507198244</v>
      </c>
    </row>
    <row r="1281" spans="1:21" x14ac:dyDescent="0.25">
      <c r="A1281">
        <v>3131577</v>
      </c>
      <c r="B1281">
        <v>9</v>
      </c>
      <c r="C1281" s="1">
        <f>0.381656485633841*(10.3/7.3)</f>
        <v>0.5385016167162413</v>
      </c>
      <c r="D1281" s="1">
        <f>0.521812073221907*(10.3/7.3)</f>
        <v>0.73625539098433412</v>
      </c>
      <c r="E1281" s="1">
        <f>1.82894409887309*(10.3/7.3)</f>
        <v>2.5805649614236734</v>
      </c>
      <c r="F1281" s="1">
        <f>4.11317510312375*(38.9/42.5)</f>
        <v>3.7647649767415023</v>
      </c>
      <c r="G1281" s="1">
        <v>0.17539146362442615</v>
      </c>
      <c r="H1281" s="1">
        <v>1.0220952244050245</v>
      </c>
      <c r="I1281" s="1">
        <v>3.0510262052075721</v>
      </c>
      <c r="J1281" s="1">
        <v>1.16725820690236E-2</v>
      </c>
      <c r="K1281" s="1">
        <v>1.5649534054834977</v>
      </c>
      <c r="L1281" s="1">
        <v>1.545667503511154</v>
      </c>
      <c r="M1281" s="1">
        <v>6.7207947875995405E-2</v>
      </c>
      <c r="N1281" s="1">
        <v>0.49998648473193658</v>
      </c>
      <c r="O1281" s="1">
        <v>0.16913185185185187</v>
      </c>
      <c r="P1281" s="1">
        <v>9.9258172769631933E-2</v>
      </c>
      <c r="Q1281" s="1">
        <v>0.280305992093832</v>
      </c>
      <c r="R1281" s="2">
        <f t="shared" si="79"/>
        <v>12.148905831196604</v>
      </c>
      <c r="S1281" s="2">
        <f t="shared" si="78"/>
        <v>1.6758841603221533</v>
      </c>
      <c r="T1281" s="2">
        <f t="shared" si="80"/>
        <v>2.2819937879709378</v>
      </c>
      <c r="U1281" s="2">
        <f t="shared" si="81"/>
        <v>16.106783779489696</v>
      </c>
    </row>
    <row r="1282" spans="1:21" x14ac:dyDescent="0.25">
      <c r="A1282">
        <v>3131649</v>
      </c>
      <c r="B1282">
        <v>13</v>
      </c>
      <c r="C1282" s="1">
        <f>0.632793767452498*(10.3/7.3)</f>
        <v>0.89284600065215503</v>
      </c>
      <c r="D1282" s="1">
        <f>0.775414152261816*(10.3/7.3)</f>
        <v>1.0940775025063985</v>
      </c>
      <c r="E1282" s="1">
        <f>2.730611408193*(10.3/7.3)</f>
        <v>3.8527804800531329</v>
      </c>
      <c r="F1282" s="1">
        <f>6.15262271399667*(38.9/42.5)</f>
        <v>5.6314593782228375</v>
      </c>
      <c r="G1282" s="1">
        <v>0.25805258666463676</v>
      </c>
      <c r="H1282" s="1">
        <v>4.6478122678296216</v>
      </c>
      <c r="I1282" s="1">
        <v>4.7147867958753089</v>
      </c>
      <c r="J1282" s="1">
        <v>1.5744244341014253E-2</v>
      </c>
      <c r="K1282" s="1">
        <v>2.0595273299348524</v>
      </c>
      <c r="L1282" s="1">
        <v>2.1455660216747612</v>
      </c>
      <c r="M1282" s="1">
        <v>7.9384524097897008E-2</v>
      </c>
      <c r="N1282" s="1">
        <v>0.62987314096056957</v>
      </c>
      <c r="O1282" s="1">
        <v>0.20150153846153843</v>
      </c>
      <c r="P1282" s="1">
        <v>0.141287215780941</v>
      </c>
      <c r="Q1282" s="1">
        <v>0.41241280973800437</v>
      </c>
      <c r="R1282" s="2">
        <f t="shared" si="79"/>
        <v>21.504227821542095</v>
      </c>
      <c r="S1282" s="2">
        <f t="shared" si="78"/>
        <v>2.2165587900568076</v>
      </c>
      <c r="T1282" s="2">
        <f t="shared" si="80"/>
        <v>3.0563252251947666</v>
      </c>
      <c r="U1282" s="2">
        <f t="shared" si="81"/>
        <v>26.777111836793669</v>
      </c>
    </row>
    <row r="1283" spans="1:21" x14ac:dyDescent="0.25">
      <c r="A1283">
        <v>3131705</v>
      </c>
      <c r="B1283">
        <v>18</v>
      </c>
      <c r="C1283" s="1">
        <f>0.818246262349335*(10.3/7.3)</f>
        <v>1.1545118496161855</v>
      </c>
      <c r="D1283" s="1">
        <f>0.951095722245825*(10.3/7.3)</f>
        <v>1.3419569779632874</v>
      </c>
      <c r="E1283" s="1">
        <f>3.36781485565916*(10.3/7.3)</f>
        <v>4.7518483579848398</v>
      </c>
      <c r="F1283" s="1">
        <f>7.07126880515219*(38.9/42.5)</f>
        <v>6.4722907416569457</v>
      </c>
      <c r="G1283" s="1">
        <v>0.2717780856610959</v>
      </c>
      <c r="H1283" s="1">
        <v>2.8383343647230643</v>
      </c>
      <c r="I1283" s="1">
        <v>5.4465774632458706</v>
      </c>
      <c r="J1283" s="1">
        <v>1.6580082947788712E-2</v>
      </c>
      <c r="K1283" s="1">
        <v>2.1450301907485945</v>
      </c>
      <c r="L1283" s="1">
        <v>3.1265051647829458</v>
      </c>
      <c r="M1283" s="1">
        <v>8.3252392189242991E-2</v>
      </c>
      <c r="N1283" s="1">
        <v>0.66949605596964534</v>
      </c>
      <c r="O1283" s="1">
        <v>0.21159703703703706</v>
      </c>
      <c r="P1283" s="1">
        <v>0.14857212607481685</v>
      </c>
      <c r="Q1283" s="1">
        <v>0.43434853872777929</v>
      </c>
      <c r="R1283" s="2">
        <f t="shared" si="79"/>
        <v>22.711646379579069</v>
      </c>
      <c r="S1283" s="2">
        <f t="shared" si="78"/>
        <v>2.3101823997712003</v>
      </c>
      <c r="T1283" s="2">
        <f t="shared" si="80"/>
        <v>4.0908506499788713</v>
      </c>
      <c r="U1283" s="2">
        <f t="shared" si="81"/>
        <v>29.112679429329141</v>
      </c>
    </row>
    <row r="1284" spans="1:21" x14ac:dyDescent="0.25">
      <c r="A1284">
        <v>3131729</v>
      </c>
      <c r="B1284">
        <v>15</v>
      </c>
      <c r="C1284" s="1">
        <f>1.16983614203709*(10.3/7.3)</f>
        <v>1.6505907209564439</v>
      </c>
      <c r="D1284" s="1">
        <f>1.09282885216904*(10.3/7.3)</f>
        <v>1.5419365996357657</v>
      </c>
      <c r="E1284" s="1">
        <f>3.92883144486906*(10.3/7.3)</f>
        <v>5.5434197098837368</v>
      </c>
      <c r="F1284" s="1">
        <f>7.56935504611233*(38.9/42.5)</f>
        <v>6.9281861480886944</v>
      </c>
      <c r="G1284" s="1">
        <v>0.24333062029264804</v>
      </c>
      <c r="H1284" s="1">
        <v>2.5079607916770188</v>
      </c>
      <c r="I1284" s="1">
        <v>6.2620180596596402</v>
      </c>
      <c r="J1284" s="1">
        <v>1.5702682704212784E-2</v>
      </c>
      <c r="K1284" s="1">
        <v>2.0595563088920064</v>
      </c>
      <c r="L1284" s="1">
        <v>4.6507089995969428</v>
      </c>
      <c r="M1284" s="1">
        <v>7.8792849043009733E-2</v>
      </c>
      <c r="N1284" s="1">
        <v>0.6387543201433884</v>
      </c>
      <c r="O1284" s="1">
        <v>0.19025422222222224</v>
      </c>
      <c r="P1284" s="1">
        <v>0.14537909153247602</v>
      </c>
      <c r="Q1284" s="1">
        <v>0.38888455297911828</v>
      </c>
      <c r="R1284" s="2">
        <f t="shared" si="79"/>
        <v>25.066327203173064</v>
      </c>
      <c r="S1284" s="2">
        <f t="shared" si="78"/>
        <v>2.2206380831286952</v>
      </c>
      <c r="T1284" s="2">
        <f t="shared" si="80"/>
        <v>5.558510391005564</v>
      </c>
      <c r="U1284" s="2">
        <f t="shared" si="81"/>
        <v>32.84547567730732</v>
      </c>
    </row>
    <row r="1285" spans="1:21" x14ac:dyDescent="0.25">
      <c r="A1285">
        <v>3131753</v>
      </c>
      <c r="B1285">
        <v>31</v>
      </c>
      <c r="C1285" s="1">
        <f>0.780125168220679*(10.3/7.3)</f>
        <v>1.1007245524209581</v>
      </c>
      <c r="D1285" s="1">
        <f>1.07400990774127*(10.3/7.3)</f>
        <v>1.5153838424294663</v>
      </c>
      <c r="E1285" s="1">
        <f>3.77158992764301*(10.3/7.3)</f>
        <v>5.3215583910579491</v>
      </c>
      <c r="F1285" s="1">
        <f>8.06239935146874*(38.9/42.5)</f>
        <v>7.3794667005207977</v>
      </c>
      <c r="G1285" s="1">
        <v>0.32681346816172741</v>
      </c>
      <c r="H1285" s="1">
        <v>1.7723621328785955</v>
      </c>
      <c r="I1285" s="1">
        <v>5.9036485825377909</v>
      </c>
      <c r="J1285" s="1">
        <v>1.4538858602716805E-2</v>
      </c>
      <c r="K1285" s="1">
        <v>1.9880100237937184</v>
      </c>
      <c r="L1285" s="1">
        <v>3.4372447366577643</v>
      </c>
      <c r="M1285" s="1">
        <v>7.3818497998549726E-2</v>
      </c>
      <c r="N1285" s="1">
        <v>0.6260549660039797</v>
      </c>
      <c r="O1285" s="1">
        <v>0.17198451612903221</v>
      </c>
      <c r="P1285" s="1">
        <v>0.1440868664955629</v>
      </c>
      <c r="Q1285" s="1">
        <v>0.52230462948221323</v>
      </c>
      <c r="R1285" s="2">
        <f t="shared" si="79"/>
        <v>23.842262299489498</v>
      </c>
      <c r="S1285" s="2">
        <f t="shared" si="78"/>
        <v>2.146635748891998</v>
      </c>
      <c r="T1285" s="2">
        <f t="shared" si="80"/>
        <v>4.3091027167893259</v>
      </c>
      <c r="U1285" s="2">
        <f t="shared" si="81"/>
        <v>30.298000765170823</v>
      </c>
    </row>
    <row r="1286" spans="1:21" x14ac:dyDescent="0.25">
      <c r="A1286">
        <v>3131761</v>
      </c>
      <c r="B1286">
        <v>5</v>
      </c>
      <c r="C1286" s="1">
        <f>0.996048150352847*(10.3/7.3)</f>
        <v>1.4053830066622357</v>
      </c>
      <c r="D1286" s="1">
        <f>1.17003052493326*(10.3/7.3)</f>
        <v>1.6508649872345968</v>
      </c>
      <c r="E1286" s="1">
        <f>4.14758844596838*(10.3/7.3)</f>
        <v>5.8520768484211381</v>
      </c>
      <c r="F1286" s="1">
        <f>8.37330539865009*(38.9/42.5)</f>
        <v>7.664037176646791</v>
      </c>
      <c r="G1286" s="1">
        <v>0.30731417013442985</v>
      </c>
      <c r="H1286" s="1">
        <v>2.1187770873512579</v>
      </c>
      <c r="I1286" s="1">
        <v>6.3831355786480568</v>
      </c>
      <c r="J1286" s="1">
        <v>1.6730103773960586E-2</v>
      </c>
      <c r="K1286" s="1">
        <v>2.1818418894597431</v>
      </c>
      <c r="L1286" s="1">
        <v>4.253165558219564</v>
      </c>
      <c r="M1286" s="1">
        <v>8.7602214220948479E-2</v>
      </c>
      <c r="N1286" s="1">
        <v>0.7128459905155492</v>
      </c>
      <c r="O1286" s="1">
        <v>0.21524266666666669</v>
      </c>
      <c r="P1286" s="1">
        <v>0.14752442549187988</v>
      </c>
      <c r="Q1286" s="1">
        <v>0.49114136779475148</v>
      </c>
      <c r="R1286" s="2">
        <f t="shared" si="79"/>
        <v>25.872730222893257</v>
      </c>
      <c r="S1286" s="2">
        <f t="shared" si="78"/>
        <v>2.3460964187255833</v>
      </c>
      <c r="T1286" s="2">
        <f t="shared" si="80"/>
        <v>5.268856429622728</v>
      </c>
      <c r="U1286" s="2">
        <f t="shared" si="81"/>
        <v>33.48768307124157</v>
      </c>
    </row>
    <row r="1287" spans="1:21" x14ac:dyDescent="0.25">
      <c r="A1287">
        <v>3131801</v>
      </c>
      <c r="B1287">
        <v>11</v>
      </c>
      <c r="C1287" s="1">
        <f>0.989175806268882*(10.3/7.3)</f>
        <v>1.3956864115848608</v>
      </c>
      <c r="D1287" s="1">
        <f>1.17972826505209*(10.3/7.3)</f>
        <v>1.6645481000050002</v>
      </c>
      <c r="E1287" s="1">
        <f>4.18001027368321*(10.3/7.3)</f>
        <v>5.897822714922885</v>
      </c>
      <c r="F1287" s="1">
        <f>8.38524612938699*(38.9/42.5)</f>
        <v>7.6749664572506839</v>
      </c>
      <c r="G1287" s="1">
        <v>0.30631730259128792</v>
      </c>
      <c r="H1287" s="1">
        <v>2.0372245866237044</v>
      </c>
      <c r="I1287" s="1">
        <v>6.3508909755825016</v>
      </c>
      <c r="J1287" s="1">
        <v>1.7569178029660713E-2</v>
      </c>
      <c r="K1287" s="1">
        <v>2.2743630059403497</v>
      </c>
      <c r="L1287" s="1">
        <v>5.7505796664927935</v>
      </c>
      <c r="M1287" s="1">
        <v>8.876645018466732E-2</v>
      </c>
      <c r="N1287" s="1">
        <v>0.80918065914972626</v>
      </c>
      <c r="O1287" s="1">
        <v>0.20482424242424244</v>
      </c>
      <c r="P1287" s="1">
        <v>0.16107079996076504</v>
      </c>
      <c r="Q1287" s="1">
        <v>0.48954820048836023</v>
      </c>
      <c r="R1287" s="2">
        <f t="shared" si="79"/>
        <v>25.817004749049286</v>
      </c>
      <c r="S1287" s="2">
        <f t="shared" si="78"/>
        <v>2.4530029839307756</v>
      </c>
      <c r="T1287" s="2">
        <f t="shared" si="80"/>
        <v>6.8533510182514297</v>
      </c>
      <c r="U1287" s="2">
        <f t="shared" si="81"/>
        <v>35.123358751231493</v>
      </c>
    </row>
    <row r="1288" spans="1:21" x14ac:dyDescent="0.25">
      <c r="A1288">
        <v>3131809</v>
      </c>
      <c r="B1288">
        <v>37</v>
      </c>
      <c r="C1288" s="1">
        <f>1.1991274544422*(10.3/7.3)</f>
        <v>1.6919195590074936</v>
      </c>
      <c r="D1288" s="1">
        <f>1.39740044277205*(10.3/7.3)</f>
        <v>1.9716745973359042</v>
      </c>
      <c r="E1288" s="1">
        <f>4.95705342962607*(10.3/7.3)</f>
        <v>6.9941986746778779</v>
      </c>
      <c r="F1288" s="1">
        <f>9.92799008982292*(38.9/42.5)</f>
        <v>9.0870309292732134</v>
      </c>
      <c r="G1288" s="1">
        <v>0.35992522952256073</v>
      </c>
      <c r="H1288" s="1">
        <v>2.7510369649206008</v>
      </c>
      <c r="I1288" s="1">
        <v>7.5790815145241339</v>
      </c>
      <c r="J1288" s="1">
        <v>1.9110013548320006E-2</v>
      </c>
      <c r="K1288" s="1">
        <v>2.4665438150222108</v>
      </c>
      <c r="L1288" s="1">
        <v>5.8533877829582615</v>
      </c>
      <c r="M1288" s="1">
        <v>9.2674673814815034E-2</v>
      </c>
      <c r="N1288" s="1">
        <v>0.90812545134744516</v>
      </c>
      <c r="O1288" s="1">
        <v>0.22666522522522523</v>
      </c>
      <c r="P1288" s="1">
        <v>0.18003701334447894</v>
      </c>
      <c r="Q1288" s="1">
        <v>0.57522296955660435</v>
      </c>
      <c r="R1288" s="2">
        <f t="shared" si="79"/>
        <v>31.010090438818388</v>
      </c>
      <c r="S1288" s="2">
        <f t="shared" si="78"/>
        <v>2.6656908419150098</v>
      </c>
      <c r="T1288" s="2">
        <f t="shared" si="80"/>
        <v>7.0808531333457463</v>
      </c>
      <c r="U1288" s="2">
        <f t="shared" si="81"/>
        <v>40.756634414079144</v>
      </c>
    </row>
    <row r="1289" spans="1:21" x14ac:dyDescent="0.25">
      <c r="A1289">
        <v>3132089</v>
      </c>
      <c r="B1289">
        <v>22</v>
      </c>
      <c r="C1289" s="1">
        <f>5.81330427395506*(10.3/7.3)</f>
        <v>8.202333427635228</v>
      </c>
      <c r="D1289" s="1">
        <f>6.23260912555805*(10.3/7.3)</f>
        <v>8.793955341540812</v>
      </c>
      <c r="E1289" s="1">
        <f>22.1878614117996*(10.3/7.3)</f>
        <v>31.306160622128207</v>
      </c>
      <c r="F1289" s="1">
        <f>45.1459695111899*(38.9/42.5)</f>
        <v>41.321840329065559</v>
      </c>
      <c r="G1289" s="1">
        <v>1.6368428501193037</v>
      </c>
      <c r="H1289" s="1">
        <v>4.2182638599007509</v>
      </c>
      <c r="I1289" s="1">
        <v>35.608395268062054</v>
      </c>
      <c r="J1289" s="1">
        <v>4.905374990822102E-2</v>
      </c>
      <c r="K1289" s="1">
        <v>4.1480400480421347</v>
      </c>
      <c r="L1289" s="1">
        <v>4.5843834148834288</v>
      </c>
      <c r="M1289" s="1">
        <v>0.17520208778702429</v>
      </c>
      <c r="N1289" s="1">
        <v>2.1278530377741056</v>
      </c>
      <c r="O1289" s="1">
        <v>0.21935515151515148</v>
      </c>
      <c r="P1289" s="1">
        <v>0.16899515766542927</v>
      </c>
      <c r="Q1289" s="1">
        <v>2.615958892884735</v>
      </c>
      <c r="R1289" s="2">
        <f t="shared" si="79"/>
        <v>133.70375059133664</v>
      </c>
      <c r="S1289" s="2">
        <f t="shared" ref="S1289:S1352" si="82">J1289+K1289+P1289</f>
        <v>4.3660889556157843</v>
      </c>
      <c r="T1289" s="2">
        <f t="shared" si="80"/>
        <v>7.1067936919597106</v>
      </c>
      <c r="U1289" s="2">
        <f t="shared" si="81"/>
        <v>145.17663323891216</v>
      </c>
    </row>
    <row r="1290" spans="1:21" x14ac:dyDescent="0.25">
      <c r="A1290">
        <v>3132097</v>
      </c>
      <c r="B1290">
        <v>33</v>
      </c>
      <c r="C1290" s="1">
        <f>5.12476033037574*(10.3/7.3)</f>
        <v>7.2308262195712567</v>
      </c>
      <c r="D1290" s="1">
        <f>5.47760876553613*(10.3/7.3)</f>
        <v>7.728680860961938</v>
      </c>
      <c r="E1290" s="1">
        <f>19.5021144822841*(10.3/7.3)</f>
        <v>27.51668207774328</v>
      </c>
      <c r="F1290" s="1">
        <f>39.7364910421189*(38.9/42.5)</f>
        <v>36.370576506786442</v>
      </c>
      <c r="G1290" s="1">
        <v>1.4422195811534408</v>
      </c>
      <c r="H1290" s="1">
        <v>3.7191902017438352</v>
      </c>
      <c r="I1290" s="1">
        <v>31.382951824464087</v>
      </c>
      <c r="J1290" s="1">
        <v>4.3837180925483173E-2</v>
      </c>
      <c r="K1290" s="1">
        <v>3.6683293608091381</v>
      </c>
      <c r="L1290" s="1">
        <v>4.1234649186442436</v>
      </c>
      <c r="M1290" s="1">
        <v>0.16089482159576401</v>
      </c>
      <c r="N1290" s="1">
        <v>1.934797146514609</v>
      </c>
      <c r="O1290" s="1">
        <v>0.20000808080808077</v>
      </c>
      <c r="P1290" s="1">
        <v>0.15740036826973586</v>
      </c>
      <c r="Q1290" s="1">
        <v>2.3049171388297025</v>
      </c>
      <c r="R1290" s="2">
        <f t="shared" ref="R1290:R1353" si="83">C1290+D1290+E1290+F1290+G1290+H1290+I1290+Q1290</f>
        <v>117.69604441125398</v>
      </c>
      <c r="S1290" s="2">
        <f t="shared" si="82"/>
        <v>3.8695669100043575</v>
      </c>
      <c r="T1290" s="2">
        <f t="shared" ref="T1290:T1353" si="84">L1290+M1290+N1290+O1290</f>
        <v>6.4191649675626969</v>
      </c>
      <c r="U1290" s="2">
        <f t="shared" ref="U1290:U1353" si="85">R1290+S1290+T1290</f>
        <v>127.98477628882102</v>
      </c>
    </row>
    <row r="1291" spans="1:21" x14ac:dyDescent="0.25">
      <c r="A1291">
        <v>3132105</v>
      </c>
      <c r="B1291">
        <v>64</v>
      </c>
      <c r="C1291" s="1">
        <f>4.35131309564757*(10.3/7.3)</f>
        <v>6.1395239568726039</v>
      </c>
      <c r="D1291" s="1">
        <f>4.57447438391887*(10.3/7.3)</f>
        <v>6.4543953636115514</v>
      </c>
      <c r="E1291" s="1">
        <f>16.3040281875797*(10.3/7.3)</f>
        <v>23.004313744119266</v>
      </c>
      <c r="F1291" s="1">
        <f>33.0623351104658*(38.9/42.5)</f>
        <v>30.261760842285177</v>
      </c>
      <c r="G1291" s="1">
        <v>1.1873040232933425</v>
      </c>
      <c r="H1291" s="1">
        <v>3.160705731811102</v>
      </c>
      <c r="I1291" s="1">
        <v>26.255392734077351</v>
      </c>
      <c r="J1291" s="1">
        <v>3.5585628309911861E-2</v>
      </c>
      <c r="K1291" s="1">
        <v>2.997914772829541</v>
      </c>
      <c r="L1291" s="1">
        <v>3.3273581393133087</v>
      </c>
      <c r="M1291" s="1">
        <v>0.1360747661487775</v>
      </c>
      <c r="N1291" s="1">
        <v>1.6167559228133934</v>
      </c>
      <c r="O1291" s="1">
        <v>0.17018083333333334</v>
      </c>
      <c r="P1291" s="1">
        <v>0.13679923019757698</v>
      </c>
      <c r="Q1291" s="1">
        <v>1.897517845445984</v>
      </c>
      <c r="R1291" s="2">
        <f t="shared" si="83"/>
        <v>98.360914241516383</v>
      </c>
      <c r="S1291" s="2">
        <f t="shared" si="82"/>
        <v>3.1702996313370297</v>
      </c>
      <c r="T1291" s="2">
        <f t="shared" si="84"/>
        <v>5.2503696616088131</v>
      </c>
      <c r="U1291" s="2">
        <f t="shared" si="85"/>
        <v>106.78158353446223</v>
      </c>
    </row>
    <row r="1292" spans="1:21" x14ac:dyDescent="0.25">
      <c r="A1292">
        <v>3132113</v>
      </c>
      <c r="B1292">
        <v>48</v>
      </c>
      <c r="C1292" s="1">
        <f>7.72395684011072*(10.3/7.3)</f>
        <v>10.898185678512391</v>
      </c>
      <c r="D1292" s="1">
        <f>7.90438791764378*(10.3/7.3)</f>
        <v>11.152766513935749</v>
      </c>
      <c r="E1292" s="1">
        <f>28.2324153141852*(10.3/7.3)</f>
        <v>39.8347777720696</v>
      </c>
      <c r="F1292" s="1">
        <f>56.2792585997946*(38.9/42.5)</f>
        <v>51.512074341929669</v>
      </c>
      <c r="G1292" s="1">
        <v>1.9595699791765375</v>
      </c>
      <c r="H1292" s="1">
        <v>4.6302481239015743</v>
      </c>
      <c r="I1292" s="1">
        <v>45.051619943546626</v>
      </c>
      <c r="J1292" s="1">
        <v>4.9910860994437617E-2</v>
      </c>
      <c r="K1292" s="1">
        <v>3.8184495758088022</v>
      </c>
      <c r="L1292" s="1">
        <v>4.7222253633350322</v>
      </c>
      <c r="M1292" s="1">
        <v>0.19123628976885329</v>
      </c>
      <c r="N1292" s="1">
        <v>2.1810045608504818</v>
      </c>
      <c r="O1292" s="1">
        <v>0.22289777777777767</v>
      </c>
      <c r="P1292" s="1">
        <v>0.16401827744055456</v>
      </c>
      <c r="Q1292" s="1">
        <v>3.1317328434328253</v>
      </c>
      <c r="R1292" s="2">
        <f t="shared" si="83"/>
        <v>168.17097519650497</v>
      </c>
      <c r="S1292" s="2">
        <f t="shared" si="82"/>
        <v>4.0323787142437943</v>
      </c>
      <c r="T1292" s="2">
        <f t="shared" si="84"/>
        <v>7.3173639917321456</v>
      </c>
      <c r="U1292" s="2">
        <f t="shared" si="85"/>
        <v>179.52071790248092</v>
      </c>
    </row>
    <row r="1293" spans="1:21" x14ac:dyDescent="0.25">
      <c r="A1293">
        <v>3132121</v>
      </c>
      <c r="B1293">
        <v>52</v>
      </c>
      <c r="C1293" s="1">
        <f>10.1403562110289*(10.3/7.3)</f>
        <v>14.307625886794183</v>
      </c>
      <c r="D1293" s="1">
        <f>10.041189493044*(10.3/7.3)</f>
        <v>14.167705723062134</v>
      </c>
      <c r="E1293" s="1">
        <f>35.9605724258568*(10.3/7.3)</f>
        <v>50.738889861140471</v>
      </c>
      <c r="F1293" s="1">
        <f>70.141622967161*(38.9/42.5)</f>
        <v>64.200214904060346</v>
      </c>
      <c r="G1293" s="1">
        <v>2.3428263049518261</v>
      </c>
      <c r="H1293" s="1">
        <v>5.6436520721501413</v>
      </c>
      <c r="I1293" s="1">
        <v>56.733041826855441</v>
      </c>
      <c r="J1293" s="1">
        <v>5.8023036977504563E-2</v>
      </c>
      <c r="K1293" s="1">
        <v>4.1948244284699934</v>
      </c>
      <c r="L1293" s="1">
        <v>5.5138970109910925</v>
      </c>
      <c r="M1293" s="1">
        <v>0.22466443486778298</v>
      </c>
      <c r="N1293" s="1">
        <v>2.4987281892164486</v>
      </c>
      <c r="O1293" s="1">
        <v>0.25038564102564104</v>
      </c>
      <c r="P1293" s="1">
        <v>0.17640962357521991</v>
      </c>
      <c r="Q1293" s="1">
        <v>3.7442429531193611</v>
      </c>
      <c r="R1293" s="2">
        <f t="shared" si="83"/>
        <v>211.87819953213389</v>
      </c>
      <c r="S1293" s="2">
        <f t="shared" si="82"/>
        <v>4.4292570890227179</v>
      </c>
      <c r="T1293" s="2">
        <f t="shared" si="84"/>
        <v>8.4876752761009655</v>
      </c>
      <c r="U1293" s="2">
        <f t="shared" si="85"/>
        <v>224.79513189725756</v>
      </c>
    </row>
    <row r="1294" spans="1:21" x14ac:dyDescent="0.25">
      <c r="A1294">
        <v>3132129</v>
      </c>
      <c r="B1294">
        <v>1</v>
      </c>
      <c r="C1294" s="1">
        <f>12.769235324821*(10.3/7.3)</f>
        <v>18.016866280226843</v>
      </c>
      <c r="D1294" s="1">
        <f>11.8561349253104*(10.3/7.3)</f>
        <v>16.728519141191445</v>
      </c>
      <c r="E1294" s="1">
        <f>42.6609284616315*(10.3/7.3)</f>
        <v>60.192816870521121</v>
      </c>
      <c r="F1294" s="1">
        <f>81.1123646889737*(38.9/42.5)</f>
        <v>74.241670268260634</v>
      </c>
      <c r="G1294" s="1">
        <v>2.5461089509426791</v>
      </c>
      <c r="H1294" s="1">
        <v>6.5099086741181083</v>
      </c>
      <c r="I1294" s="1">
        <v>67.198058555876855</v>
      </c>
      <c r="J1294" s="1">
        <v>6.1365212736892064E-2</v>
      </c>
      <c r="K1294" s="1">
        <v>4.2720525145374246</v>
      </c>
      <c r="L1294" s="1">
        <v>5.8086303941548785</v>
      </c>
      <c r="M1294" s="1">
        <v>0.23871549152011012</v>
      </c>
      <c r="N1294" s="1">
        <v>2.6473015779678222</v>
      </c>
      <c r="O1294" s="1">
        <v>0.25711999999999996</v>
      </c>
      <c r="P1294" s="1">
        <v>0.17970214167335113</v>
      </c>
      <c r="Q1294" s="1">
        <v>4.0691238942006329</v>
      </c>
      <c r="R1294" s="2">
        <f t="shared" si="83"/>
        <v>249.5030726353383</v>
      </c>
      <c r="S1294" s="2">
        <f t="shared" si="82"/>
        <v>4.5131198689476681</v>
      </c>
      <c r="T1294" s="2">
        <f t="shared" si="84"/>
        <v>8.9517674636428115</v>
      </c>
      <c r="U1294" s="2">
        <f t="shared" si="85"/>
        <v>262.96795996792878</v>
      </c>
    </row>
    <row r="1295" spans="1:21" x14ac:dyDescent="0.25">
      <c r="A1295">
        <v>3132137</v>
      </c>
      <c r="B1295">
        <v>6</v>
      </c>
      <c r="C1295" s="1">
        <f>14.6777168988936*(10.3/7.3)</f>
        <v>20.709655350493641</v>
      </c>
      <c r="D1295" s="1">
        <f>12.1408840693848*(10.3/7.3)</f>
        <v>17.130288481460678</v>
      </c>
      <c r="E1295" s="1">
        <f>44.0857787995844*(10.3/7.3)</f>
        <v>62.20322214187933</v>
      </c>
      <c r="F1295" s="1">
        <f>79.7781352429148*(38.9/42.5)</f>
        <v>73.020457904691426</v>
      </c>
      <c r="G1295" s="1">
        <v>2.1773720035593525</v>
      </c>
      <c r="H1295" s="1">
        <v>9.510132322604429</v>
      </c>
      <c r="I1295" s="1">
        <v>69.374030859524908</v>
      </c>
      <c r="J1295" s="1">
        <v>5.3784022023995244E-2</v>
      </c>
      <c r="K1295" s="1">
        <v>3.8005026936495345</v>
      </c>
      <c r="L1295" s="1">
        <v>4.9384878218250146</v>
      </c>
      <c r="M1295" s="1">
        <v>0.21089543985266876</v>
      </c>
      <c r="N1295" s="1">
        <v>2.4094535943853366</v>
      </c>
      <c r="O1295" s="1">
        <v>0.22720888888888888</v>
      </c>
      <c r="P1295" s="1">
        <v>0.16576381644647381</v>
      </c>
      <c r="Q1295" s="1">
        <v>3.4798182705286487</v>
      </c>
      <c r="R1295" s="2">
        <f t="shared" si="83"/>
        <v>257.60497733474239</v>
      </c>
      <c r="S1295" s="2">
        <f t="shared" si="82"/>
        <v>4.0200505321200035</v>
      </c>
      <c r="T1295" s="2">
        <f t="shared" si="84"/>
        <v>7.7860457449519087</v>
      </c>
      <c r="U1295" s="2">
        <f t="shared" si="85"/>
        <v>269.41107361181434</v>
      </c>
    </row>
    <row r="1296" spans="1:21" x14ac:dyDescent="0.25">
      <c r="A1296">
        <v>3132145</v>
      </c>
      <c r="B1296">
        <v>3</v>
      </c>
      <c r="C1296" s="1">
        <f>13.0984898850784*(10.3/7.3)</f>
        <v>18.481430933740697</v>
      </c>
      <c r="D1296" s="1">
        <f>10.6048783920817*(10.3/7.3)</f>
        <v>14.963047594307</v>
      </c>
      <c r="E1296" s="1">
        <f>38.5097089468287*(10.3/7.3)</f>
        <v>54.335616733196716</v>
      </c>
      <c r="F1296" s="1">
        <f>72.4095866332623*(38.9/42.5)</f>
        <v>66.276068706680036</v>
      </c>
      <c r="G1296" s="1">
        <v>2.1104914903094181</v>
      </c>
      <c r="H1296" s="1">
        <v>9.7872569178648732</v>
      </c>
      <c r="I1296" s="1">
        <v>63.667436709516927</v>
      </c>
      <c r="J1296" s="1">
        <v>4.6129282445973301E-2</v>
      </c>
      <c r="K1296" s="1">
        <v>3.2256935755095779</v>
      </c>
      <c r="L1296" s="1">
        <v>3.8975584054157077</v>
      </c>
      <c r="M1296" s="1">
        <v>0.17750937435552569</v>
      </c>
      <c r="N1296" s="1">
        <v>2.3158742687133835</v>
      </c>
      <c r="O1296" s="1">
        <v>0.18840888888888888</v>
      </c>
      <c r="P1296" s="1">
        <v>0.14787447209378943</v>
      </c>
      <c r="Q1296" s="1">
        <v>3.3729316055173388</v>
      </c>
      <c r="R1296" s="2">
        <f t="shared" si="83"/>
        <v>232.99428069113301</v>
      </c>
      <c r="S1296" s="2">
        <f t="shared" si="82"/>
        <v>3.4196973300493405</v>
      </c>
      <c r="T1296" s="2">
        <f t="shared" si="84"/>
        <v>6.5793509373735048</v>
      </c>
      <c r="U1296" s="2">
        <f t="shared" si="85"/>
        <v>242.99332895855585</v>
      </c>
    </row>
    <row r="1297" spans="1:21" x14ac:dyDescent="0.25">
      <c r="A1297">
        <v>3132433</v>
      </c>
      <c r="B1297">
        <v>12</v>
      </c>
      <c r="C1297" s="1">
        <f>15.2954011092151*(10.3/7.3)</f>
        <v>21.581182386974774</v>
      </c>
      <c r="D1297" s="1">
        <f>14.365085158122*(10.3/7.3)</f>
        <v>20.268544812144782</v>
      </c>
      <c r="E1297" s="1">
        <f>51.8791786553883*(10.3/7.3)</f>
        <v>73.199389061712267</v>
      </c>
      <c r="F1297" s="1">
        <f>87.2715411811562*(38.9/42.5)</f>
        <v>79.879128281105338</v>
      </c>
      <c r="G1297" s="1">
        <v>2.1551083032929972</v>
      </c>
      <c r="H1297" s="1">
        <v>6.7383265223327795</v>
      </c>
      <c r="I1297" s="1">
        <v>71.097616576716533</v>
      </c>
      <c r="J1297" s="1">
        <v>3.7582762878309306E-2</v>
      </c>
      <c r="K1297" s="1">
        <v>2.643476026417384</v>
      </c>
      <c r="L1297" s="1">
        <v>4.4428606116509606</v>
      </c>
      <c r="M1297" s="1">
        <v>0.13815997167629993</v>
      </c>
      <c r="N1297" s="1">
        <v>1.9176248810858174</v>
      </c>
      <c r="O1297" s="1">
        <v>0.12517333333333333</v>
      </c>
      <c r="P1297" s="1">
        <v>9.4229541533827607E-2</v>
      </c>
      <c r="Q1297" s="1">
        <v>3.4442370143952048</v>
      </c>
      <c r="R1297" s="2">
        <f t="shared" si="83"/>
        <v>278.36353295867463</v>
      </c>
      <c r="S1297" s="2">
        <f t="shared" si="82"/>
        <v>2.7752883308295209</v>
      </c>
      <c r="T1297" s="2">
        <f t="shared" si="84"/>
        <v>6.623818797746412</v>
      </c>
      <c r="U1297" s="2">
        <f t="shared" si="85"/>
        <v>287.76264008725059</v>
      </c>
    </row>
    <row r="1298" spans="1:21" x14ac:dyDescent="0.25">
      <c r="A1298">
        <v>3132441</v>
      </c>
      <c r="B1298">
        <v>55</v>
      </c>
      <c r="C1298" s="1">
        <f>12.2636943970005*(10.3/7.3)</f>
        <v>17.303568806726787</v>
      </c>
      <c r="D1298" s="1">
        <f>11.593979813898*(10.3/7.3)</f>
        <v>16.358629052486183</v>
      </c>
      <c r="E1298" s="1">
        <f>41.8830536212334*(10.3/7.3)</f>
        <v>59.095267438178695</v>
      </c>
      <c r="F1298" s="1">
        <f>69.0547268414368*(38.9/42.5)</f>
        <v>63.205385273691597</v>
      </c>
      <c r="G1298" s="1">
        <v>1.6280934353815515</v>
      </c>
      <c r="H1298" s="1">
        <v>4.0704060551854271</v>
      </c>
      <c r="I1298" s="1">
        <v>55.956907395334788</v>
      </c>
      <c r="J1298" s="1">
        <v>3.5023866707035757E-2</v>
      </c>
      <c r="K1298" s="1">
        <v>2.4891101320958202</v>
      </c>
      <c r="L1298" s="1">
        <v>3.8456832520715807</v>
      </c>
      <c r="M1298" s="1">
        <v>0.12796251450363696</v>
      </c>
      <c r="N1298" s="1">
        <v>1.6523689207915708</v>
      </c>
      <c r="O1298" s="1">
        <v>0.11462981818181819</v>
      </c>
      <c r="P1298" s="1">
        <v>8.9352098992719647E-2</v>
      </c>
      <c r="Q1298" s="1">
        <v>2.6019758099705181</v>
      </c>
      <c r="R1298" s="2">
        <f t="shared" si="83"/>
        <v>220.22023326695555</v>
      </c>
      <c r="S1298" s="2">
        <f t="shared" si="82"/>
        <v>2.6134860977955756</v>
      </c>
      <c r="T1298" s="2">
        <f t="shared" si="84"/>
        <v>5.7406445055486071</v>
      </c>
      <c r="U1298" s="2">
        <f t="shared" si="85"/>
        <v>228.57436387029972</v>
      </c>
    </row>
    <row r="1299" spans="1:21" x14ac:dyDescent="0.25">
      <c r="A1299">
        <v>3132449</v>
      </c>
      <c r="B1299">
        <v>60</v>
      </c>
      <c r="C1299" s="1">
        <f>18.801099210375*(10.3/7.3)</f>
        <v>26.527578337926418</v>
      </c>
      <c r="D1299" s="1">
        <f>17.5028117608887*(10.3/7.3)</f>
        <v>24.695748100979944</v>
      </c>
      <c r="E1299" s="1">
        <f>63.3262938774731*(10.3/7.3)</f>
        <v>89.350798210681276</v>
      </c>
      <c r="F1299" s="1">
        <f>102.403879898563*(38.9/42.5)</f>
        <v>93.729668895390162</v>
      </c>
      <c r="G1299" s="1">
        <v>2.2728108536168121</v>
      </c>
      <c r="H1299" s="1">
        <v>4.5937180636172448</v>
      </c>
      <c r="I1299" s="1">
        <v>83.44255860988865</v>
      </c>
      <c r="J1299" s="1">
        <v>4.6259407361194653E-2</v>
      </c>
      <c r="K1299" s="1">
        <v>3.2152032619488344</v>
      </c>
      <c r="L1299" s="1">
        <v>5.1295525521907894</v>
      </c>
      <c r="M1299" s="1">
        <v>0.16440978420674809</v>
      </c>
      <c r="N1299" s="1">
        <v>2.0672760595167854</v>
      </c>
      <c r="O1299" s="1">
        <v>0.14359199999999997</v>
      </c>
      <c r="P1299" s="1">
        <v>0.10747480000112139</v>
      </c>
      <c r="Q1299" s="1">
        <v>3.6323461130862329</v>
      </c>
      <c r="R1299" s="2">
        <f t="shared" si="83"/>
        <v>328.24522718518671</v>
      </c>
      <c r="S1299" s="2">
        <f t="shared" si="82"/>
        <v>3.3689374693111502</v>
      </c>
      <c r="T1299" s="2">
        <f t="shared" si="84"/>
        <v>7.5048303959143237</v>
      </c>
      <c r="U1299" s="2">
        <f t="shared" si="85"/>
        <v>339.1189950504122</v>
      </c>
    </row>
    <row r="1300" spans="1:21" x14ac:dyDescent="0.25">
      <c r="A1300">
        <v>3132457</v>
      </c>
      <c r="B1300">
        <v>18</v>
      </c>
      <c r="C1300" s="1">
        <f>16.5140634012968*(10.3/7.3)</f>
        <v>23.300664799090065</v>
      </c>
      <c r="D1300" s="1">
        <f>14.8854947072005*(10.3/7.3)</f>
        <v>21.002821299200729</v>
      </c>
      <c r="E1300" s="1">
        <f>53.9824847523404*(10.3/7.3)</f>
        <v>76.167067527274881</v>
      </c>
      <c r="F1300" s="1">
        <f>86.269724334751*(38.9/42.5)</f>
        <v>78.962171214630914</v>
      </c>
      <c r="G1300" s="1">
        <v>1.8139998032281595</v>
      </c>
      <c r="H1300" s="1">
        <v>5.1513450017301992</v>
      </c>
      <c r="I1300" s="1">
        <v>71.377747089320977</v>
      </c>
      <c r="J1300" s="1">
        <v>3.8027592072191044E-2</v>
      </c>
      <c r="K1300" s="1">
        <v>2.7860114431826979</v>
      </c>
      <c r="L1300" s="1">
        <v>4.1081697833430502</v>
      </c>
      <c r="M1300" s="1">
        <v>0.13998937854853719</v>
      </c>
      <c r="N1300" s="1">
        <v>1.7386205452352184</v>
      </c>
      <c r="O1300" s="1">
        <v>0.12554074074074073</v>
      </c>
      <c r="P1300" s="1">
        <v>9.6309026618554658E-2</v>
      </c>
      <c r="Q1300" s="1">
        <v>2.8990864435153267</v>
      </c>
      <c r="R1300" s="2">
        <f t="shared" si="83"/>
        <v>280.67490317799127</v>
      </c>
      <c r="S1300" s="2">
        <f t="shared" si="82"/>
        <v>2.9203480618734434</v>
      </c>
      <c r="T1300" s="2">
        <f t="shared" si="84"/>
        <v>6.1123204478675461</v>
      </c>
      <c r="U1300" s="2">
        <f t="shared" si="85"/>
        <v>289.70757168773224</v>
      </c>
    </row>
    <row r="1301" spans="1:21" x14ac:dyDescent="0.25">
      <c r="A1301">
        <v>3143885</v>
      </c>
      <c r="B1301">
        <v>17</v>
      </c>
      <c r="C1301" s="1">
        <f>0.921834672288*(10.3/7.3)</f>
        <v>1.3006708389816988</v>
      </c>
      <c r="D1301" s="1">
        <f>1.06463921457561*(10.3/7.3)</f>
        <v>1.5021621794696927</v>
      </c>
      <c r="E1301" s="1">
        <f>3.76068463790796*(10.3/7.3)</f>
        <v>5.3061714754043834</v>
      </c>
      <c r="F1301" s="1">
        <f>8.42013184255061*(38.9/42.5)</f>
        <v>7.7068971452992656</v>
      </c>
      <c r="G1301" s="1">
        <v>0.34706126547033289</v>
      </c>
      <c r="H1301" s="1">
        <v>7.8600636540928859</v>
      </c>
      <c r="I1301" s="1">
        <v>6.5653079836142831</v>
      </c>
      <c r="J1301" s="1">
        <v>2.3583726482619694E-2</v>
      </c>
      <c r="K1301" s="1">
        <v>2.2579720591205872</v>
      </c>
      <c r="L1301" s="1">
        <v>2.421713063551227</v>
      </c>
      <c r="M1301" s="1">
        <v>9.0165523695224042E-2</v>
      </c>
      <c r="N1301" s="1">
        <v>0.70733203968336067</v>
      </c>
      <c r="O1301" s="1">
        <v>0.23051607843137256</v>
      </c>
      <c r="P1301" s="1">
        <v>0.15253462565167022</v>
      </c>
      <c r="Q1301" s="1">
        <v>0.55466412289779266</v>
      </c>
      <c r="R1301" s="2">
        <f t="shared" si="83"/>
        <v>31.142998665230337</v>
      </c>
      <c r="S1301" s="2">
        <f t="shared" si="82"/>
        <v>2.4340904112548771</v>
      </c>
      <c r="T1301" s="2">
        <f t="shared" si="84"/>
        <v>3.4497267053611842</v>
      </c>
      <c r="U1301" s="2">
        <f t="shared" si="85"/>
        <v>37.026815781846402</v>
      </c>
    </row>
    <row r="1302" spans="1:21" x14ac:dyDescent="0.25">
      <c r="A1302">
        <v>3143965</v>
      </c>
      <c r="B1302">
        <v>16</v>
      </c>
      <c r="C1302" s="1">
        <f>1.73050322067136*(10.3/7.3)</f>
        <v>2.4416689277965715</v>
      </c>
      <c r="D1302" s="1">
        <f>1.40477620714508*(10.3/7.3)</f>
        <v>1.982081497752642</v>
      </c>
      <c r="E1302" s="1">
        <f>5.10751806773813*(10.3/7.3)</f>
        <v>7.2064980955757116</v>
      </c>
      <c r="F1302" s="1">
        <f>9.23892878880692*(38.9/42.5)</f>
        <v>8.4563371737550401</v>
      </c>
      <c r="G1302" s="1">
        <v>0.24966191593867454</v>
      </c>
      <c r="H1302" s="1">
        <v>2.9332168808191805</v>
      </c>
      <c r="I1302" s="1">
        <v>8.105171946018606</v>
      </c>
      <c r="J1302" s="1">
        <v>1.5797447588123986E-2</v>
      </c>
      <c r="K1302" s="1">
        <v>2.0819033917655343</v>
      </c>
      <c r="L1302" s="1">
        <v>4.7608508824731928</v>
      </c>
      <c r="M1302" s="1">
        <v>8.1596694163139777E-2</v>
      </c>
      <c r="N1302" s="1">
        <v>0.65643197740536685</v>
      </c>
      <c r="O1302" s="1">
        <v>0.19585333333333335</v>
      </c>
      <c r="P1302" s="1">
        <v>0.1463325493043274</v>
      </c>
      <c r="Q1302" s="1">
        <v>0.39900306200244823</v>
      </c>
      <c r="R1302" s="2">
        <f t="shared" si="83"/>
        <v>31.773639499658877</v>
      </c>
      <c r="S1302" s="2">
        <f t="shared" si="82"/>
        <v>2.2440333886579857</v>
      </c>
      <c r="T1302" s="2">
        <f t="shared" si="84"/>
        <v>5.6947328873750322</v>
      </c>
      <c r="U1302" s="2">
        <f t="shared" si="85"/>
        <v>39.712405775691899</v>
      </c>
    </row>
    <row r="1303" spans="1:21" x14ac:dyDescent="0.25">
      <c r="A1303">
        <v>3143973</v>
      </c>
      <c r="B1303">
        <v>6</v>
      </c>
      <c r="C1303" s="1">
        <f>2.2106522914701*(10.3/7.3)</f>
        <v>3.119139534539999</v>
      </c>
      <c r="D1303" s="1">
        <f>1.83391282836204*(10.3/7.3)</f>
        <v>2.5875756345382199</v>
      </c>
      <c r="E1303" s="1">
        <f>6.65125353445816*(10.3/7.3)</f>
        <v>9.3846453979341113</v>
      </c>
      <c r="F1303" s="1">
        <f>12.3745091126702*(38.9/42.5)</f>
        <v>11.326315399596984</v>
      </c>
      <c r="G1303" s="1">
        <v>0.35732791865245556</v>
      </c>
      <c r="H1303" s="1">
        <v>4.8376436922131552</v>
      </c>
      <c r="I1303" s="1">
        <v>10.757189990531243</v>
      </c>
      <c r="J1303" s="1">
        <v>1.8640394105460298E-2</v>
      </c>
      <c r="K1303" s="1">
        <v>2.5065580085235641</v>
      </c>
      <c r="L1303" s="1">
        <v>4.9024967875347043</v>
      </c>
      <c r="M1303" s="1">
        <v>9.608008182631711E-2</v>
      </c>
      <c r="N1303" s="1">
        <v>0.80768624963292124</v>
      </c>
      <c r="O1303" s="1">
        <v>0.24926222222222219</v>
      </c>
      <c r="P1303" s="1">
        <v>0.17974161530033542</v>
      </c>
      <c r="Q1303" s="1">
        <v>0.57107201611123082</v>
      </c>
      <c r="R1303" s="2">
        <f t="shared" si="83"/>
        <v>42.940909584117399</v>
      </c>
      <c r="S1303" s="2">
        <f t="shared" si="82"/>
        <v>2.7049400179293599</v>
      </c>
      <c r="T1303" s="2">
        <f t="shared" si="84"/>
        <v>6.055525341216164</v>
      </c>
      <c r="U1303" s="2">
        <f t="shared" si="85"/>
        <v>51.70137494326292</v>
      </c>
    </row>
    <row r="1304" spans="1:21" x14ac:dyDescent="0.25">
      <c r="A1304">
        <v>3143981</v>
      </c>
      <c r="B1304">
        <v>23</v>
      </c>
      <c r="C1304" s="1">
        <f>0.963294710208869*(10.3/7.3)</f>
        <v>1.3591692486508695</v>
      </c>
      <c r="D1304" s="1">
        <f>1.05588841490148*(10.3/7.3)</f>
        <v>1.4898151607514074</v>
      </c>
      <c r="E1304" s="1">
        <f>3.75311040137227*(10.3/7.3)</f>
        <v>5.2954845389225218</v>
      </c>
      <c r="F1304" s="1">
        <f>7.71321048377048*(38.9/42.5)</f>
        <v>7.059856183968745</v>
      </c>
      <c r="G1304" s="1">
        <v>0.28486806846830232</v>
      </c>
      <c r="H1304" s="1">
        <v>3.5396441781874795</v>
      </c>
      <c r="I1304" s="1">
        <v>6.0436604563115059</v>
      </c>
      <c r="J1304" s="1">
        <v>1.5601706753932305E-2</v>
      </c>
      <c r="K1304" s="1">
        <v>2.1107607002014301</v>
      </c>
      <c r="L1304" s="1">
        <v>3.7943720699815997</v>
      </c>
      <c r="M1304" s="1">
        <v>8.0408350842324547E-2</v>
      </c>
      <c r="N1304" s="1">
        <v>0.67653482058067882</v>
      </c>
      <c r="O1304" s="1">
        <v>0.19250782608695646</v>
      </c>
      <c r="P1304" s="1">
        <v>0.15049869220678436</v>
      </c>
      <c r="Q1304" s="1">
        <v>0.4552686025749127</v>
      </c>
      <c r="R1304" s="2">
        <f t="shared" si="83"/>
        <v>25.527766437835744</v>
      </c>
      <c r="S1304" s="2">
        <f t="shared" si="82"/>
        <v>2.2768610991621472</v>
      </c>
      <c r="T1304" s="2">
        <f t="shared" si="84"/>
        <v>4.7438230674915589</v>
      </c>
      <c r="U1304" s="2">
        <f t="shared" si="85"/>
        <v>32.548450604489453</v>
      </c>
    </row>
    <row r="1305" spans="1:21" x14ac:dyDescent="0.25">
      <c r="A1305">
        <v>3143989</v>
      </c>
      <c r="B1305">
        <v>12</v>
      </c>
      <c r="C1305" s="1">
        <f>1.36069757583791*(10.3/7.3)</f>
        <v>1.9198883604288302</v>
      </c>
      <c r="D1305" s="1">
        <f>1.61096183234089*(10.3/7.3)</f>
        <v>2.2730009415220751</v>
      </c>
      <c r="E1305" s="1">
        <f>5.70672441842969*(10.3/7.3)</f>
        <v>8.0519536314829843</v>
      </c>
      <c r="F1305" s="1">
        <f>11.6101039982447*(38.9/42.5)</f>
        <v>10.626659894863991</v>
      </c>
      <c r="G1305" s="1">
        <v>0.43110213186438151</v>
      </c>
      <c r="H1305" s="1">
        <v>6.0020988475908608</v>
      </c>
      <c r="I1305" s="1">
        <v>8.8384320273079755</v>
      </c>
      <c r="J1305" s="1">
        <v>1.9242221838359105E-2</v>
      </c>
      <c r="K1305" s="1">
        <v>2.5593241311525827</v>
      </c>
      <c r="L1305" s="1">
        <v>5.1789665650056778</v>
      </c>
      <c r="M1305" s="1">
        <v>0.10084772331022923</v>
      </c>
      <c r="N1305" s="1">
        <v>0.94638743145868676</v>
      </c>
      <c r="O1305" s="1">
        <v>0.25935999999999998</v>
      </c>
      <c r="P1305" s="1">
        <v>0.18220281596747503</v>
      </c>
      <c r="Q1305" s="1">
        <v>0.68897600982892093</v>
      </c>
      <c r="R1305" s="2">
        <f t="shared" si="83"/>
        <v>38.832111844890022</v>
      </c>
      <c r="S1305" s="2">
        <f t="shared" si="82"/>
        <v>2.7607691689584168</v>
      </c>
      <c r="T1305" s="2">
        <f t="shared" si="84"/>
        <v>6.4855617197745943</v>
      </c>
      <c r="U1305" s="2">
        <f t="shared" si="85"/>
        <v>48.078442733623035</v>
      </c>
    </row>
    <row r="1306" spans="1:21" x14ac:dyDescent="0.25">
      <c r="A1306">
        <v>3143997</v>
      </c>
      <c r="B1306">
        <v>1</v>
      </c>
      <c r="C1306" s="1">
        <f>0.82486233180612*(10.3/7.3)</f>
        <v>1.1638468517264438</v>
      </c>
      <c r="D1306" s="1">
        <f>0.95597171683826*(10.3/7.3)</f>
        <v>1.3488368059498741</v>
      </c>
      <c r="E1306" s="1">
        <f>3.39055077229602*(10.3/7.3)</f>
        <v>4.7839278020067173</v>
      </c>
      <c r="F1306" s="1">
        <f>6.86673798033585*(38.9/42.5)</f>
        <v>6.2850848808250479</v>
      </c>
      <c r="G1306" s="1">
        <v>0.25225040639132906</v>
      </c>
      <c r="H1306" s="1">
        <v>1.6990257003967693</v>
      </c>
      <c r="I1306" s="1">
        <v>5.2625022264507182</v>
      </c>
      <c r="J1306" s="1">
        <v>1.5334938378587187E-2</v>
      </c>
      <c r="K1306" s="1">
        <v>2.0262317425949843</v>
      </c>
      <c r="L1306" s="1">
        <v>4.116346909840999</v>
      </c>
      <c r="M1306" s="1">
        <v>8.1082525093051472E-2</v>
      </c>
      <c r="N1306" s="1">
        <v>0.65683029221794775</v>
      </c>
      <c r="O1306" s="1">
        <v>0.18608</v>
      </c>
      <c r="P1306" s="1">
        <v>0.14072913139144499</v>
      </c>
      <c r="Q1306" s="1">
        <v>0.40313991889025236</v>
      </c>
      <c r="R1306" s="2">
        <f t="shared" si="83"/>
        <v>21.198614592637153</v>
      </c>
      <c r="S1306" s="2">
        <f t="shared" si="82"/>
        <v>2.1822958123650165</v>
      </c>
      <c r="T1306" s="2">
        <f t="shared" si="84"/>
        <v>5.0403397271519976</v>
      </c>
      <c r="U1306" s="2">
        <f t="shared" si="85"/>
        <v>28.421250132154167</v>
      </c>
    </row>
    <row r="1307" spans="1:21" x14ac:dyDescent="0.25">
      <c r="A1307">
        <v>3144037</v>
      </c>
      <c r="B1307">
        <v>1</v>
      </c>
      <c r="C1307" s="1">
        <f>1.09410759317789*(10.3/7.3)</f>
        <v>1.5437408506482573</v>
      </c>
      <c r="D1307" s="1">
        <f>1.28152318235082*(10.3/7.3)</f>
        <v>1.8081765449607401</v>
      </c>
      <c r="E1307" s="1">
        <f>4.54422455591597*(10.3/7.3)</f>
        <v>6.4117140994430821</v>
      </c>
      <c r="F1307" s="1">
        <f>9.13447060842448*(38.9/42.5)</f>
        <v>8.3607272157108774</v>
      </c>
      <c r="G1307" s="1">
        <v>0.33315079193750602</v>
      </c>
      <c r="H1307" s="1">
        <v>2.1938190686617833</v>
      </c>
      <c r="I1307" s="1">
        <v>6.9651567191641046</v>
      </c>
      <c r="J1307" s="1">
        <v>1.7685673260086167E-2</v>
      </c>
      <c r="K1307" s="1">
        <v>2.2864915890561788</v>
      </c>
      <c r="L1307" s="1">
        <v>5.637908044100028</v>
      </c>
      <c r="M1307" s="1">
        <v>8.7249120908333574E-2</v>
      </c>
      <c r="N1307" s="1">
        <v>0.82545081573914114</v>
      </c>
      <c r="O1307" s="1">
        <v>0.20661333333333334</v>
      </c>
      <c r="P1307" s="1">
        <v>0.16393271554772437</v>
      </c>
      <c r="Q1307" s="1">
        <v>0.53243277250286414</v>
      </c>
      <c r="R1307" s="2">
        <f t="shared" si="83"/>
        <v>28.148918063029214</v>
      </c>
      <c r="S1307" s="2">
        <f t="shared" si="82"/>
        <v>2.468109977863989</v>
      </c>
      <c r="T1307" s="2">
        <f t="shared" si="84"/>
        <v>6.7572213140808364</v>
      </c>
      <c r="U1307" s="2">
        <f t="shared" si="85"/>
        <v>37.37424935497404</v>
      </c>
    </row>
    <row r="1308" spans="1:21" x14ac:dyDescent="0.25">
      <c r="A1308">
        <v>3144045</v>
      </c>
      <c r="B1308">
        <v>1</v>
      </c>
      <c r="C1308" s="1">
        <f>1.10924268183488*(10.3/7.3)</f>
        <v>1.5650958387533298</v>
      </c>
      <c r="D1308" s="1">
        <f>1.29116595743467*(10.3/7.3)</f>
        <v>1.821782104325635</v>
      </c>
      <c r="E1308" s="1">
        <f>4.58042801134761*(10.3/7.3)</f>
        <v>6.4627956872438919</v>
      </c>
      <c r="F1308" s="1">
        <f>9.17520569102344*(38.9/42.5)</f>
        <v>8.3980117971955721</v>
      </c>
      <c r="G1308" s="1">
        <v>0.33261431723229268</v>
      </c>
      <c r="H1308" s="1">
        <v>2.3563988312145785</v>
      </c>
      <c r="I1308" s="1">
        <v>7.0074847064904056</v>
      </c>
      <c r="J1308" s="1">
        <v>1.7346216959508696E-2</v>
      </c>
      <c r="K1308" s="1">
        <v>2.1916754002114427</v>
      </c>
      <c r="L1308" s="1">
        <v>4.8546734507106111</v>
      </c>
      <c r="M1308" s="1">
        <v>8.7337037711128371E-2</v>
      </c>
      <c r="N1308" s="1">
        <v>0.80869890751108164</v>
      </c>
      <c r="O1308" s="1">
        <v>0.19322666666666666</v>
      </c>
      <c r="P1308" s="1">
        <v>0.15732458085237971</v>
      </c>
      <c r="Q1308" s="1">
        <v>0.53157539283699795</v>
      </c>
      <c r="R1308" s="2">
        <f t="shared" si="83"/>
        <v>28.475758675292699</v>
      </c>
      <c r="S1308" s="2">
        <f t="shared" si="82"/>
        <v>2.3663461980233311</v>
      </c>
      <c r="T1308" s="2">
        <f t="shared" si="84"/>
        <v>5.9439360625994881</v>
      </c>
      <c r="U1308" s="2">
        <f t="shared" si="85"/>
        <v>36.786040935915523</v>
      </c>
    </row>
    <row r="1309" spans="1:21" x14ac:dyDescent="0.25">
      <c r="A1309">
        <v>3144325</v>
      </c>
      <c r="B1309">
        <v>37</v>
      </c>
      <c r="C1309" s="1">
        <f>4.24579066009331*(10.3/7.3)</f>
        <v>5.9906361368439836</v>
      </c>
      <c r="D1309" s="1">
        <f>4.59313142013898*(10.3/7.3)</f>
        <v>6.480719674990616</v>
      </c>
      <c r="E1309" s="1">
        <f>16.3327797646488*(10.3/7.3)</f>
        <v>23.044881037792198</v>
      </c>
      <c r="F1309" s="1">
        <f>33.7862587700049*(38.9/42.5)</f>
        <v>30.924363909486882</v>
      </c>
      <c r="G1309" s="1">
        <v>1.2541531666682002</v>
      </c>
      <c r="H1309" s="1">
        <v>3.9604441052193797</v>
      </c>
      <c r="I1309" s="1">
        <v>26.622922951408274</v>
      </c>
      <c r="J1309" s="1">
        <v>3.9547117742005727E-2</v>
      </c>
      <c r="K1309" s="1">
        <v>3.4008816656423311</v>
      </c>
      <c r="L1309" s="1">
        <v>3.6605934523393926</v>
      </c>
      <c r="M1309" s="1">
        <v>0.14359163845353989</v>
      </c>
      <c r="N1309" s="1">
        <v>1.7683114156100457</v>
      </c>
      <c r="O1309" s="1">
        <v>0.18421621621621631</v>
      </c>
      <c r="P1309" s="1">
        <v>0.1494495423894773</v>
      </c>
      <c r="Q1309" s="1">
        <v>2.0043543759537465</v>
      </c>
      <c r="R1309" s="2">
        <f t="shared" si="83"/>
        <v>100.28247535836329</v>
      </c>
      <c r="S1309" s="2">
        <f t="shared" si="82"/>
        <v>3.5898783257738143</v>
      </c>
      <c r="T1309" s="2">
        <f t="shared" si="84"/>
        <v>5.756712722619195</v>
      </c>
      <c r="U1309" s="2">
        <f t="shared" si="85"/>
        <v>109.62906640675629</v>
      </c>
    </row>
    <row r="1310" spans="1:21" x14ac:dyDescent="0.25">
      <c r="A1310">
        <v>3144333</v>
      </c>
      <c r="B1310">
        <v>46</v>
      </c>
      <c r="C1310" s="1">
        <f>4.73295349086966*(10.3/7.3)</f>
        <v>6.6780028706791068</v>
      </c>
      <c r="D1310" s="1">
        <f>5.03659032773803*(10.3/7.3)</f>
        <v>7.1064219692742085</v>
      </c>
      <c r="E1310" s="1">
        <f>17.9346792550594*(10.3/7.3)</f>
        <v>25.305095387275639</v>
      </c>
      <c r="F1310" s="1">
        <f>36.6138367896478*(38.9/42.5)</f>
        <v>33.512429438054085</v>
      </c>
      <c r="G1310" s="1">
        <v>1.3307721562561441</v>
      </c>
      <c r="H1310" s="1">
        <v>3.5452742984232057</v>
      </c>
      <c r="I1310" s="1">
        <v>28.971172979081299</v>
      </c>
      <c r="J1310" s="1">
        <v>3.95141892841765E-2</v>
      </c>
      <c r="K1310" s="1">
        <v>3.3242376312430291</v>
      </c>
      <c r="L1310" s="1">
        <v>3.6943148526852241</v>
      </c>
      <c r="M1310" s="1">
        <v>0.147552455811537</v>
      </c>
      <c r="N1310" s="1">
        <v>1.7689245918396534</v>
      </c>
      <c r="O1310" s="1">
        <v>0.18523478260869572</v>
      </c>
      <c r="P1310" s="1">
        <v>0.14793512373273413</v>
      </c>
      <c r="Q1310" s="1">
        <v>2.1268048159344786</v>
      </c>
      <c r="R1310" s="2">
        <f t="shared" si="83"/>
        <v>108.57597391497816</v>
      </c>
      <c r="S1310" s="2">
        <f t="shared" si="82"/>
        <v>3.5116869442599397</v>
      </c>
      <c r="T1310" s="2">
        <f t="shared" si="84"/>
        <v>5.7960266829451097</v>
      </c>
      <c r="U1310" s="2">
        <f t="shared" si="85"/>
        <v>117.88368754218321</v>
      </c>
    </row>
    <row r="1311" spans="1:21" x14ac:dyDescent="0.25">
      <c r="A1311">
        <v>3144341</v>
      </c>
      <c r="B1311">
        <v>41</v>
      </c>
      <c r="C1311" s="1">
        <f>6.56305239184029*(10.3/7.3)</f>
        <v>9.2601972104047992</v>
      </c>
      <c r="D1311" s="1">
        <f>6.84948678634077*(10.3/7.3)</f>
        <v>9.6643443697684894</v>
      </c>
      <c r="E1311" s="1">
        <f>24.4269663186865*(10.3/7.3)</f>
        <v>34.465445627735782</v>
      </c>
      <c r="F1311" s="1">
        <f>49.2826792392356*(38.9/42.5)</f>
        <v>45.108146409559204</v>
      </c>
      <c r="G1311" s="1">
        <v>1.7542592012988296</v>
      </c>
      <c r="H1311" s="1">
        <v>4.2544708595301222</v>
      </c>
      <c r="I1311" s="1">
        <v>39.21711351321936</v>
      </c>
      <c r="J1311" s="1">
        <v>4.673733699414185E-2</v>
      </c>
      <c r="K1311" s="1">
        <v>3.6895362639575882</v>
      </c>
      <c r="L1311" s="1">
        <v>4.4364979651999015</v>
      </c>
      <c r="M1311" s="1">
        <v>0.17891066060060182</v>
      </c>
      <c r="N1311" s="1">
        <v>2.0441461056808259</v>
      </c>
      <c r="O1311" s="1">
        <v>0.21267902439024394</v>
      </c>
      <c r="P1311" s="1">
        <v>0.16003297732394231</v>
      </c>
      <c r="Q1311" s="1">
        <v>2.8036105956830641</v>
      </c>
      <c r="R1311" s="2">
        <f t="shared" si="83"/>
        <v>146.52758778719968</v>
      </c>
      <c r="S1311" s="2">
        <f t="shared" si="82"/>
        <v>3.8963065782756723</v>
      </c>
      <c r="T1311" s="2">
        <f t="shared" si="84"/>
        <v>6.8722337558715729</v>
      </c>
      <c r="U1311" s="2">
        <f t="shared" si="85"/>
        <v>157.29612812134692</v>
      </c>
    </row>
    <row r="1312" spans="1:21" x14ac:dyDescent="0.25">
      <c r="A1312">
        <v>3144349</v>
      </c>
      <c r="B1312">
        <v>26</v>
      </c>
      <c r="C1312" s="1">
        <f>8.70987586812402*(10.3/7.3)</f>
        <v>12.28927690981882</v>
      </c>
      <c r="D1312" s="1">
        <f>8.86088827541268*(10.3/7.3)</f>
        <v>12.502349210513783</v>
      </c>
      <c r="E1312" s="1">
        <f>31.6662930440664*(10.3/7.3)</f>
        <v>44.679838130669012</v>
      </c>
      <c r="F1312" s="1">
        <f>62.7566777207244*(38.9/42.5)</f>
        <v>57.44081796085127</v>
      </c>
      <c r="G1312" s="1">
        <v>2.1633548824154438</v>
      </c>
      <c r="H1312" s="1">
        <v>5.2825503268107719</v>
      </c>
      <c r="I1312" s="1">
        <v>50.315600452728845</v>
      </c>
      <c r="J1312" s="1">
        <v>5.5709348528808995E-2</v>
      </c>
      <c r="K1312" s="1">
        <v>4.1340975927596348</v>
      </c>
      <c r="L1312" s="1">
        <v>5.3022081194051411</v>
      </c>
      <c r="M1312" s="1">
        <v>0.21265399107699334</v>
      </c>
      <c r="N1312" s="1">
        <v>2.4058408225679853</v>
      </c>
      <c r="O1312" s="1">
        <v>0.24217230769230771</v>
      </c>
      <c r="P1312" s="1">
        <v>0.17507417746014309</v>
      </c>
      <c r="Q1312" s="1">
        <v>3.457416478746147</v>
      </c>
      <c r="R1312" s="2">
        <f t="shared" si="83"/>
        <v>188.13120435255405</v>
      </c>
      <c r="S1312" s="2">
        <f t="shared" si="82"/>
        <v>4.3648811187485865</v>
      </c>
      <c r="T1312" s="2">
        <f t="shared" si="84"/>
        <v>8.1628752407424265</v>
      </c>
      <c r="U1312" s="2">
        <f t="shared" si="85"/>
        <v>200.65896071204509</v>
      </c>
    </row>
    <row r="1313" spans="1:21" x14ac:dyDescent="0.25">
      <c r="A1313">
        <v>3144357</v>
      </c>
      <c r="B1313">
        <v>10</v>
      </c>
      <c r="C1313" s="1">
        <f>11.9117130648603*(10.3/7.3)</f>
        <v>16.806937612063138</v>
      </c>
      <c r="D1313" s="1">
        <f>11.596712935403*(10.3/7.3)</f>
        <v>16.362485374609694</v>
      </c>
      <c r="E1313" s="1">
        <f>41.5873575684601*(10.3/7.3)</f>
        <v>58.678052459608089</v>
      </c>
      <c r="F1313" s="1">
        <f>80.3114823479023*(38.9/42.5)</f>
        <v>73.508627372550606</v>
      </c>
      <c r="G1313" s="1">
        <v>2.6274385162530267</v>
      </c>
      <c r="H1313" s="1">
        <v>6.6056426252080795</v>
      </c>
      <c r="I1313" s="1">
        <v>65.334651303821502</v>
      </c>
      <c r="J1313" s="1">
        <v>6.3418074714634315E-2</v>
      </c>
      <c r="K1313" s="1">
        <v>4.4483348750514793</v>
      </c>
      <c r="L1313" s="1">
        <v>6.0732611951184721</v>
      </c>
      <c r="M1313" s="1">
        <v>0.24629025231331164</v>
      </c>
      <c r="N1313" s="1">
        <v>2.6981951534621453</v>
      </c>
      <c r="O1313" s="1">
        <v>0.26929066666666668</v>
      </c>
      <c r="P1313" s="1">
        <v>0.18453290088426844</v>
      </c>
      <c r="Q1313" s="1">
        <v>4.199102651545938</v>
      </c>
      <c r="R1313" s="2">
        <f t="shared" si="83"/>
        <v>244.12293791566006</v>
      </c>
      <c r="S1313" s="2">
        <f t="shared" si="82"/>
        <v>4.6962858506503817</v>
      </c>
      <c r="T1313" s="2">
        <f t="shared" si="84"/>
        <v>9.2870372675605957</v>
      </c>
      <c r="U1313" s="2">
        <f t="shared" si="85"/>
        <v>258.10626103387102</v>
      </c>
    </row>
    <row r="1314" spans="1:21" x14ac:dyDescent="0.25">
      <c r="A1314">
        <v>3144365</v>
      </c>
      <c r="B1314">
        <v>18</v>
      </c>
      <c r="C1314" s="1">
        <f>14.28606328891*(10.3/7.3)</f>
        <v>20.157048202160631</v>
      </c>
      <c r="D1314" s="1">
        <f>13.0601727801945*(10.3/7.3)</f>
        <v>18.427367073425135</v>
      </c>
      <c r="E1314" s="1">
        <f>47.0057020051382*(10.3/7.3)</f>
        <v>66.323113788071723</v>
      </c>
      <c r="F1314" s="1">
        <f>90.9637977340447*(38.9/42.5)</f>
        <v>83.258628984807984</v>
      </c>
      <c r="G1314" s="1">
        <v>2.923131452106523</v>
      </c>
      <c r="H1314" s="1">
        <v>8.2719358986629778</v>
      </c>
      <c r="I1314" s="1">
        <v>75.963409748159933</v>
      </c>
      <c r="J1314" s="1">
        <v>6.3726791361326154E-2</v>
      </c>
      <c r="K1314" s="1">
        <v>4.3473257650365085</v>
      </c>
      <c r="L1314" s="1">
        <v>6.0170105876166033</v>
      </c>
      <c r="M1314" s="1">
        <v>0.24828954281168622</v>
      </c>
      <c r="N1314" s="1">
        <v>2.7398353893693912</v>
      </c>
      <c r="O1314" s="1">
        <v>0.26432592592592596</v>
      </c>
      <c r="P1314" s="1">
        <v>0.18156725915612054</v>
      </c>
      <c r="Q1314" s="1">
        <v>4.671671270489882</v>
      </c>
      <c r="R1314" s="2">
        <f t="shared" si="83"/>
        <v>279.9963064178848</v>
      </c>
      <c r="S1314" s="2">
        <f t="shared" si="82"/>
        <v>4.592619815553955</v>
      </c>
      <c r="T1314" s="2">
        <f t="shared" si="84"/>
        <v>9.2694614457236053</v>
      </c>
      <c r="U1314" s="2">
        <f t="shared" si="85"/>
        <v>293.85838767916238</v>
      </c>
    </row>
    <row r="1315" spans="1:21" x14ac:dyDescent="0.25">
      <c r="A1315">
        <v>3144373</v>
      </c>
      <c r="B1315">
        <v>19</v>
      </c>
      <c r="C1315" s="1">
        <f>21.76706649413*(10.3/7.3)</f>
        <v>30.712436286238209</v>
      </c>
      <c r="D1315" s="1">
        <f>15.895061173435*(10.3/7.3)</f>
        <v>22.427278094024668</v>
      </c>
      <c r="E1315" s="1">
        <f>58.3428083749722*(10.3/7.3)</f>
        <v>82.319304967426547</v>
      </c>
      <c r="F1315" s="1">
        <f>99.8241242315941*(38.9/42.5)</f>
        <v>91.36843370844727</v>
      </c>
      <c r="G1315" s="1">
        <v>2.2180123154384987</v>
      </c>
      <c r="H1315" s="1">
        <v>10.805826084155473</v>
      </c>
      <c r="I1315" s="1">
        <v>92.265908005125837</v>
      </c>
      <c r="J1315" s="1">
        <v>5.2536669003715404E-2</v>
      </c>
      <c r="K1315" s="1">
        <v>3.6322304648063124</v>
      </c>
      <c r="L1315" s="1">
        <v>4.6560922694011611</v>
      </c>
      <c r="M1315" s="1">
        <v>0.20236202656553437</v>
      </c>
      <c r="N1315" s="1">
        <v>2.3447884340534824</v>
      </c>
      <c r="O1315" s="1">
        <v>0.21674947368421052</v>
      </c>
      <c r="P1315" s="1">
        <v>0.16063594022955538</v>
      </c>
      <c r="Q1315" s="1">
        <v>3.5447685406551384</v>
      </c>
      <c r="R1315" s="2">
        <f t="shared" si="83"/>
        <v>335.66196800151164</v>
      </c>
      <c r="S1315" s="2">
        <f t="shared" si="82"/>
        <v>3.845403074039583</v>
      </c>
      <c r="T1315" s="2">
        <f t="shared" si="84"/>
        <v>7.4199922037043882</v>
      </c>
      <c r="U1315" s="2">
        <f t="shared" si="85"/>
        <v>346.92736327925564</v>
      </c>
    </row>
    <row r="1316" spans="1:21" x14ac:dyDescent="0.25">
      <c r="A1316">
        <v>3144669</v>
      </c>
      <c r="B1316">
        <v>62</v>
      </c>
      <c r="C1316" s="1">
        <f>14.6646546407148*(10.3/7.3)</f>
        <v>20.691225041008511</v>
      </c>
      <c r="D1316" s="1">
        <f>13.8088486845964*(10.3/7.3)</f>
        <v>19.483718007033257</v>
      </c>
      <c r="E1316" s="1">
        <f>49.9003406170856*(10.3/7.3)</f>
        <v>70.407329911778334</v>
      </c>
      <c r="F1316" s="1">
        <f>82.0509244189552*(38.9/42.5)</f>
        <v>75.100728468173102</v>
      </c>
      <c r="G1316" s="1">
        <v>1.9169279555413024</v>
      </c>
      <c r="H1316" s="1">
        <v>5.5923364071912438</v>
      </c>
      <c r="I1316" s="1">
        <v>66.597975892466209</v>
      </c>
      <c r="J1316" s="1">
        <v>3.7289822128597244E-2</v>
      </c>
      <c r="K1316" s="1">
        <v>2.6294593418003411</v>
      </c>
      <c r="L1316" s="1">
        <v>4.2081320340452661</v>
      </c>
      <c r="M1316" s="1">
        <v>0.13720348863558418</v>
      </c>
      <c r="N1316" s="1">
        <v>1.7946462284525404</v>
      </c>
      <c r="O1316" s="1">
        <v>0.12202494623655911</v>
      </c>
      <c r="P1316" s="1">
        <v>9.3810197872334536E-2</v>
      </c>
      <c r="Q1316" s="1">
        <v>3.0635834905911246</v>
      </c>
      <c r="R1316" s="2">
        <f t="shared" si="83"/>
        <v>262.85382517378304</v>
      </c>
      <c r="S1316" s="2">
        <f t="shared" si="82"/>
        <v>2.7605593618012727</v>
      </c>
      <c r="T1316" s="2">
        <f t="shared" si="84"/>
        <v>6.2620066973699497</v>
      </c>
      <c r="U1316" s="2">
        <f t="shared" si="85"/>
        <v>271.87639123295423</v>
      </c>
    </row>
    <row r="1317" spans="1:21" x14ac:dyDescent="0.25">
      <c r="A1317">
        <v>3144677</v>
      </c>
      <c r="B1317">
        <v>63</v>
      </c>
      <c r="C1317" s="1">
        <f>18.9780356039604*(10.3/7.3)</f>
        <v>26.777228317916677</v>
      </c>
      <c r="D1317" s="1">
        <f>17.8052131742585*(10.3/7.3)</f>
        <v>25.122424067789364</v>
      </c>
      <c r="E1317" s="1">
        <f>64.377253037928*(10.3/7.3)</f>
        <v>90.833658395980564</v>
      </c>
      <c r="F1317" s="1">
        <f>104.776341199059*(38.9/42.5)</f>
        <v>95.901168768080311</v>
      </c>
      <c r="G1317" s="1">
        <v>2.3775707387905651</v>
      </c>
      <c r="H1317" s="1">
        <v>4.7821654543356189</v>
      </c>
      <c r="I1317" s="1">
        <v>85.103224002306916</v>
      </c>
      <c r="J1317" s="1">
        <v>4.7989826264852674E-2</v>
      </c>
      <c r="K1317" s="1">
        <v>3.264929778052851</v>
      </c>
      <c r="L1317" s="1">
        <v>5.3600645813337371</v>
      </c>
      <c r="M1317" s="1">
        <v>0.16918617480306805</v>
      </c>
      <c r="N1317" s="1">
        <v>2.1502517116040902</v>
      </c>
      <c r="O1317" s="1">
        <v>0.14699767195767197</v>
      </c>
      <c r="P1317" s="1">
        <v>0.10892575905098943</v>
      </c>
      <c r="Q1317" s="1">
        <v>3.7997705871082141</v>
      </c>
      <c r="R1317" s="2">
        <f t="shared" si="83"/>
        <v>334.69721033230826</v>
      </c>
      <c r="S1317" s="2">
        <f t="shared" si="82"/>
        <v>3.4218453633686932</v>
      </c>
      <c r="T1317" s="2">
        <f t="shared" si="84"/>
        <v>7.8265001396985667</v>
      </c>
      <c r="U1317" s="2">
        <f t="shared" si="85"/>
        <v>345.9455558353755</v>
      </c>
    </row>
    <row r="1318" spans="1:21" x14ac:dyDescent="0.25">
      <c r="A1318">
        <v>3144685</v>
      </c>
      <c r="B1318">
        <v>45</v>
      </c>
      <c r="C1318" s="1">
        <f>19.2599756264112*(10.3/7.3)</f>
        <v>27.175034103018522</v>
      </c>
      <c r="D1318" s="1">
        <f>17.5125051572733*(10.3/7.3)</f>
        <v>24.709425084919857</v>
      </c>
      <c r="E1318" s="1">
        <f>63.4700903724993*(10.3/7.3)</f>
        <v>89.55368915571826</v>
      </c>
      <c r="F1318" s="1">
        <f>101.703425933258*(38.9/42.5)</f>
        <v>93.088547501264728</v>
      </c>
      <c r="G1318" s="1">
        <v>2.1676200855845842</v>
      </c>
      <c r="H1318" s="1">
        <v>4.8684353139087602</v>
      </c>
      <c r="I1318" s="1">
        <v>83.792170504261279</v>
      </c>
      <c r="J1318" s="1">
        <v>4.5405863352075984E-2</v>
      </c>
      <c r="K1318" s="1">
        <v>3.1978857762070056</v>
      </c>
      <c r="L1318" s="1">
        <v>5.0004217634810555</v>
      </c>
      <c r="M1318" s="1">
        <v>0.16270200262508544</v>
      </c>
      <c r="N1318" s="1">
        <v>2.0343930605220053</v>
      </c>
      <c r="O1318" s="1">
        <v>0.14314074074074074</v>
      </c>
      <c r="P1318" s="1">
        <v>0.10712132003508537</v>
      </c>
      <c r="Q1318" s="1">
        <v>3.4642330134913495</v>
      </c>
      <c r="R1318" s="2">
        <f t="shared" si="83"/>
        <v>328.81915476216733</v>
      </c>
      <c r="S1318" s="2">
        <f t="shared" si="82"/>
        <v>3.3504129595941672</v>
      </c>
      <c r="T1318" s="2">
        <f t="shared" si="84"/>
        <v>7.3406575673688863</v>
      </c>
      <c r="U1318" s="2">
        <f t="shared" si="85"/>
        <v>339.5102252891304</v>
      </c>
    </row>
    <row r="1319" spans="1:21" x14ac:dyDescent="0.25">
      <c r="A1319">
        <v>3156113</v>
      </c>
      <c r="B1319">
        <v>31</v>
      </c>
      <c r="C1319" s="1">
        <f>0.616311602535907*(10.3/7.3)</f>
        <v>0.86959034330408846</v>
      </c>
      <c r="D1319" s="1">
        <f>0.731674700777554*(10.3/7.3)</f>
        <v>1.0323629339738094</v>
      </c>
      <c r="E1319" s="1">
        <f>2.58212195233108*(10.3/7.3)</f>
        <v>3.6432679601383704</v>
      </c>
      <c r="F1319" s="1">
        <f>5.73044176159196*(38.9/42.5)</f>
        <v>5.2450396359041713</v>
      </c>
      <c r="G1319" s="1">
        <v>0.23526665556241272</v>
      </c>
      <c r="H1319" s="1">
        <v>2.2654217793355285</v>
      </c>
      <c r="I1319" s="1">
        <v>4.4233048519675835</v>
      </c>
      <c r="J1319" s="1">
        <v>1.6120067951213141E-2</v>
      </c>
      <c r="K1319" s="1">
        <v>1.9516569040674718</v>
      </c>
      <c r="L1319" s="1">
        <v>2.0123325809679344</v>
      </c>
      <c r="M1319" s="1">
        <v>7.8041962677022542E-2</v>
      </c>
      <c r="N1319" s="1">
        <v>0.61171933977281145</v>
      </c>
      <c r="O1319" s="1">
        <v>0.1978116129032258</v>
      </c>
      <c r="P1319" s="1">
        <v>0.13357037484469997</v>
      </c>
      <c r="Q1319" s="1">
        <v>0.37599693811344531</v>
      </c>
      <c r="R1319" s="2">
        <f t="shared" si="83"/>
        <v>18.090251098299408</v>
      </c>
      <c r="S1319" s="2">
        <f t="shared" si="82"/>
        <v>2.1013473468633852</v>
      </c>
      <c r="T1319" s="2">
        <f t="shared" si="84"/>
        <v>2.899905496320994</v>
      </c>
      <c r="U1319" s="2">
        <f t="shared" si="85"/>
        <v>23.091503941483786</v>
      </c>
    </row>
    <row r="1320" spans="1:21" x14ac:dyDescent="0.25">
      <c r="A1320">
        <v>3156169</v>
      </c>
      <c r="B1320">
        <v>1</v>
      </c>
      <c r="C1320" s="1">
        <f>1.02878773686876*(10.3/7.3)</f>
        <v>1.4515772177737345</v>
      </c>
      <c r="D1320" s="1">
        <f>1.23208337582053*(10.3/7.3)</f>
        <v>1.7384190097193721</v>
      </c>
      <c r="E1320" s="1">
        <f>4.35551656834106*(10.3/7.3)</f>
        <v>6.1454548840976555</v>
      </c>
      <c r="F1320" s="1">
        <f>9.19887227470162*(38.9/42.5)</f>
        <v>8.419673682021017</v>
      </c>
      <c r="G1320" s="1">
        <v>0.358257808141492</v>
      </c>
      <c r="H1320" s="1">
        <v>3.3960359491916443</v>
      </c>
      <c r="I1320" s="1">
        <v>7.021790932361462</v>
      </c>
      <c r="J1320" s="1">
        <v>2.3057569216724621E-2</v>
      </c>
      <c r="K1320" s="1">
        <v>2.4738680032862872</v>
      </c>
      <c r="L1320" s="1">
        <v>3.6774228250360395</v>
      </c>
      <c r="M1320" s="1">
        <v>9.9486290660978985E-2</v>
      </c>
      <c r="N1320" s="1">
        <v>0.81824319990987116</v>
      </c>
      <c r="O1320" s="1">
        <v>0.25178666666666666</v>
      </c>
      <c r="P1320" s="1">
        <v>0.17088166046681921</v>
      </c>
      <c r="Q1320" s="1">
        <v>0.5725581408653988</v>
      </c>
      <c r="R1320" s="2">
        <f t="shared" si="83"/>
        <v>29.103767624171777</v>
      </c>
      <c r="S1320" s="2">
        <f t="shared" si="82"/>
        <v>2.6678072329698308</v>
      </c>
      <c r="T1320" s="2">
        <f t="shared" si="84"/>
        <v>4.8469389822735565</v>
      </c>
      <c r="U1320" s="2">
        <f t="shared" si="85"/>
        <v>36.618513839415165</v>
      </c>
    </row>
    <row r="1321" spans="1:21" x14ac:dyDescent="0.25">
      <c r="A1321">
        <v>3156201</v>
      </c>
      <c r="B1321">
        <v>12</v>
      </c>
      <c r="C1321" s="1">
        <f>21.0105566264248*(10.3/7.3)</f>
        <v>29.645031952352863</v>
      </c>
      <c r="D1321" s="1">
        <f>11.9056342104267*(10.3/7.3)</f>
        <v>16.798360598273298</v>
      </c>
      <c r="E1321" s="1">
        <f>44.8991521766499*(10.3/7.3)</f>
        <v>63.350858550615577</v>
      </c>
      <c r="F1321" s="1">
        <f>63.9902595036136*(38.9/42.5)</f>
        <v>58.569908110366327</v>
      </c>
      <c r="G1321" s="1">
        <v>0.30060465982122792</v>
      </c>
      <c r="H1321" s="1">
        <v>5.00025144714931</v>
      </c>
      <c r="I1321" s="1">
        <v>69.735854027210408</v>
      </c>
      <c r="J1321" s="1">
        <v>1.6128417481187023E-2</v>
      </c>
      <c r="K1321" s="1">
        <v>2.1397320655784404</v>
      </c>
      <c r="L1321" s="1">
        <v>4.5027082242452598</v>
      </c>
      <c r="M1321" s="1">
        <v>8.4325333817527937E-2</v>
      </c>
      <c r="N1321" s="1">
        <v>0.67495962436766099</v>
      </c>
      <c r="O1321" s="1">
        <v>0.21059555555555556</v>
      </c>
      <c r="P1321" s="1">
        <v>0.15067696290280649</v>
      </c>
      <c r="Q1321" s="1">
        <v>0.48041840610698577</v>
      </c>
      <c r="R1321" s="2">
        <f t="shared" si="83"/>
        <v>243.88128775189602</v>
      </c>
      <c r="S1321" s="2">
        <f t="shared" si="82"/>
        <v>2.3065374459624342</v>
      </c>
      <c r="T1321" s="2">
        <f t="shared" si="84"/>
        <v>5.4725887379860048</v>
      </c>
      <c r="U1321" s="2">
        <f t="shared" si="85"/>
        <v>251.66041393584447</v>
      </c>
    </row>
    <row r="1322" spans="1:21" x14ac:dyDescent="0.25">
      <c r="A1322">
        <v>3156209</v>
      </c>
      <c r="B1322">
        <v>24</v>
      </c>
      <c r="C1322" s="1">
        <f>1.11050393922297*(10.3/7.3)</f>
        <v>1.566875421095419</v>
      </c>
      <c r="D1322" s="1">
        <f>1.08564813935367*(10.3/7.3)</f>
        <v>1.5318049089510701</v>
      </c>
      <c r="E1322" s="1">
        <f>3.88892462960105*(10.3/7.3)</f>
        <v>5.4871128335466928</v>
      </c>
      <c r="F1322" s="1">
        <f>7.68294206651379*(38.9/42.5)</f>
        <v>7.0321516797032091</v>
      </c>
      <c r="G1322" s="1">
        <v>0.26053446996433222</v>
      </c>
      <c r="H1322" s="1">
        <v>3.396819735925714</v>
      </c>
      <c r="I1322" s="1">
        <v>6.2546430578210748</v>
      </c>
      <c r="J1322" s="1">
        <v>1.5524114546096509E-2</v>
      </c>
      <c r="K1322" s="1">
        <v>2.1004722477660178</v>
      </c>
      <c r="L1322" s="1">
        <v>3.881642811791385</v>
      </c>
      <c r="M1322" s="1">
        <v>8.0604264444158163E-2</v>
      </c>
      <c r="N1322" s="1">
        <v>0.67094510522665229</v>
      </c>
      <c r="O1322" s="1">
        <v>0.18946666666666664</v>
      </c>
      <c r="P1322" s="1">
        <v>0.15067744450570145</v>
      </c>
      <c r="Q1322" s="1">
        <v>0.41637928989733503</v>
      </c>
      <c r="R1322" s="2">
        <f t="shared" si="83"/>
        <v>25.946321396904846</v>
      </c>
      <c r="S1322" s="2">
        <f t="shared" si="82"/>
        <v>2.2666738068178161</v>
      </c>
      <c r="T1322" s="2">
        <f t="shared" si="84"/>
        <v>4.8226588481288619</v>
      </c>
      <c r="U1322" s="2">
        <f t="shared" si="85"/>
        <v>33.035654051851523</v>
      </c>
    </row>
    <row r="1323" spans="1:21" x14ac:dyDescent="0.25">
      <c r="A1323">
        <v>3156217</v>
      </c>
      <c r="B1323">
        <v>17</v>
      </c>
      <c r="C1323" s="1">
        <f>1.2781418368322*(10.3/7.3)</f>
        <v>1.8034056053933711</v>
      </c>
      <c r="D1323" s="1">
        <f>1.42807971547057*(10.3/7.3)</f>
        <v>2.0149617903214843</v>
      </c>
      <c r="E1323" s="1">
        <f>5.07297151196389*(10.3/7.3)</f>
        <v>7.1577543250997353</v>
      </c>
      <c r="F1323" s="1">
        <f>10.3325800074329*(38.9/42.5)</f>
        <v>9.4573497009209202</v>
      </c>
      <c r="G1323" s="1">
        <v>0.37900991203256934</v>
      </c>
      <c r="H1323" s="1">
        <v>2.8496114531251657</v>
      </c>
      <c r="I1323" s="1">
        <v>8.0298561689352272</v>
      </c>
      <c r="J1323" s="1">
        <v>1.8403024295277081E-2</v>
      </c>
      <c r="K1323" s="1">
        <v>2.4662060717879881</v>
      </c>
      <c r="L1323" s="1">
        <v>5.5426825404169691</v>
      </c>
      <c r="M1323" s="1">
        <v>9.7120895569301952E-2</v>
      </c>
      <c r="N1323" s="1">
        <v>1.0094309506421004</v>
      </c>
      <c r="O1323" s="1">
        <v>0.24898823529411759</v>
      </c>
      <c r="P1323" s="1">
        <v>0.17709089358013816</v>
      </c>
      <c r="Q1323" s="1">
        <v>0.6057236037050201</v>
      </c>
      <c r="R1323" s="2">
        <f t="shared" si="83"/>
        <v>32.297672559533495</v>
      </c>
      <c r="S1323" s="2">
        <f t="shared" si="82"/>
        <v>2.6616999896634033</v>
      </c>
      <c r="T1323" s="2">
        <f t="shared" si="84"/>
        <v>6.8982226219224883</v>
      </c>
      <c r="U1323" s="2">
        <f t="shared" si="85"/>
        <v>41.857595171119385</v>
      </c>
    </row>
    <row r="1324" spans="1:21" x14ac:dyDescent="0.25">
      <c r="A1324">
        <v>3156225</v>
      </c>
      <c r="B1324">
        <v>16</v>
      </c>
      <c r="C1324" s="1">
        <f>0.804225837568214*(10.3/7.3)</f>
        <v>1.134729606431863</v>
      </c>
      <c r="D1324" s="1">
        <f>0.93438591054659*(10.3/7.3)</f>
        <v>1.3183801203602576</v>
      </c>
      <c r="E1324" s="1">
        <f>3.31348990637467*(10.3/7.3)</f>
        <v>4.6751980870765824</v>
      </c>
      <c r="F1324" s="1">
        <f>6.71579906249668*(38.9/42.5)</f>
        <v>6.1469313772028471</v>
      </c>
      <c r="G1324" s="1">
        <v>0.24709354328746549</v>
      </c>
      <c r="H1324" s="1">
        <v>1.6972831745326316</v>
      </c>
      <c r="I1324" s="1">
        <v>5.1429610099702936</v>
      </c>
      <c r="J1324" s="1">
        <v>1.5437836069699732E-2</v>
      </c>
      <c r="K1324" s="1">
        <v>2.0346968184775895</v>
      </c>
      <c r="L1324" s="1">
        <v>3.9706255649065727</v>
      </c>
      <c r="M1324" s="1">
        <v>8.192030520377469E-2</v>
      </c>
      <c r="N1324" s="1">
        <v>0.66285537036482833</v>
      </c>
      <c r="O1324" s="1">
        <v>0.18773999999999996</v>
      </c>
      <c r="P1324" s="1">
        <v>0.14209920534341197</v>
      </c>
      <c r="Q1324" s="1">
        <v>0.39489835685211416</v>
      </c>
      <c r="R1324" s="2">
        <f t="shared" si="83"/>
        <v>20.757475275714054</v>
      </c>
      <c r="S1324" s="2">
        <f t="shared" si="82"/>
        <v>2.1922338598907012</v>
      </c>
      <c r="T1324" s="2">
        <f t="shared" si="84"/>
        <v>4.9031412404751755</v>
      </c>
      <c r="U1324" s="2">
        <f t="shared" si="85"/>
        <v>27.852850376079932</v>
      </c>
    </row>
    <row r="1325" spans="1:21" x14ac:dyDescent="0.25">
      <c r="A1325">
        <v>3156249</v>
      </c>
      <c r="B1325">
        <v>1</v>
      </c>
      <c r="C1325" s="1">
        <f>0.980992720057206*(10.3/7.3)</f>
        <v>1.3841404132314008</v>
      </c>
      <c r="D1325" s="1">
        <f>1.21718166475056*(10.3/7.3)</f>
        <v>1.7173933077987351</v>
      </c>
      <c r="E1325" s="1">
        <f>4.28383345397671*(10.3/7.3)</f>
        <v>6.0443129556109696</v>
      </c>
      <c r="F1325" s="1">
        <f>9.65304135677883*(38.9/42.5)</f>
        <v>8.8353719712634433</v>
      </c>
      <c r="G1325" s="1">
        <v>0.40578946702339708</v>
      </c>
      <c r="H1325" s="1">
        <v>2.0742356069493972</v>
      </c>
      <c r="I1325" s="1">
        <v>7.3694176504181765</v>
      </c>
      <c r="J1325" s="1">
        <v>1.707465191904672E-2</v>
      </c>
      <c r="K1325" s="1">
        <v>2.2487144480574592</v>
      </c>
      <c r="L1325" s="1">
        <v>5.2782073944999413</v>
      </c>
      <c r="M1325" s="1">
        <v>8.885462120322131E-2</v>
      </c>
      <c r="N1325" s="1">
        <v>0.75253423878572412</v>
      </c>
      <c r="O1325" s="1">
        <v>0.20634666666666668</v>
      </c>
      <c r="P1325" s="1">
        <v>0.16322800126665241</v>
      </c>
      <c r="Q1325" s="1">
        <v>0.64852197926113753</v>
      </c>
      <c r="R1325" s="2">
        <f t="shared" si="83"/>
        <v>28.479183351556653</v>
      </c>
      <c r="S1325" s="2">
        <f t="shared" si="82"/>
        <v>2.4290171012431583</v>
      </c>
      <c r="T1325" s="2">
        <f t="shared" si="84"/>
        <v>6.325942921155554</v>
      </c>
      <c r="U1325" s="2">
        <f t="shared" si="85"/>
        <v>37.234143373955362</v>
      </c>
    </row>
    <row r="1326" spans="1:21" x14ac:dyDescent="0.25">
      <c r="A1326">
        <v>3156257</v>
      </c>
      <c r="B1326">
        <v>18</v>
      </c>
      <c r="C1326" s="1">
        <f>1.06702375031801*(10.3/7.3)</f>
        <v>1.5055266614076017</v>
      </c>
      <c r="D1326" s="1">
        <f>1.33133185944218*(10.3/7.3)</f>
        <v>1.8784545414047222</v>
      </c>
      <c r="E1326" s="1">
        <f>4.68720885885338*(10.3/7.3)</f>
        <v>6.6134590748205202</v>
      </c>
      <c r="F1326" s="1">
        <f>10.4193822811538*(38.9/42.5)</f>
        <v>9.5367993114560843</v>
      </c>
      <c r="G1326" s="1">
        <v>0.43245225987250185</v>
      </c>
      <c r="H1326" s="1">
        <v>2.2732054678697251</v>
      </c>
      <c r="I1326" s="1">
        <v>7.9219972356996955</v>
      </c>
      <c r="J1326" s="1">
        <v>1.8894043396725131E-2</v>
      </c>
      <c r="K1326" s="1">
        <v>2.4918002944082747</v>
      </c>
      <c r="L1326" s="1">
        <v>6.9729222824874535</v>
      </c>
      <c r="M1326" s="1">
        <v>9.5636890115258721E-2</v>
      </c>
      <c r="N1326" s="1">
        <v>0.85995744232246207</v>
      </c>
      <c r="O1326" s="1">
        <v>0.2369748148148148</v>
      </c>
      <c r="P1326" s="1">
        <v>0.18305498866323397</v>
      </c>
      <c r="Q1326" s="1">
        <v>0.69113374865468391</v>
      </c>
      <c r="R1326" s="2">
        <f t="shared" si="83"/>
        <v>30.853028301185535</v>
      </c>
      <c r="S1326" s="2">
        <f t="shared" si="82"/>
        <v>2.6937493264682337</v>
      </c>
      <c r="T1326" s="2">
        <f t="shared" si="84"/>
        <v>8.1654914297399888</v>
      </c>
      <c r="U1326" s="2">
        <f t="shared" si="85"/>
        <v>41.712269057393755</v>
      </c>
    </row>
    <row r="1327" spans="1:21" x14ac:dyDescent="0.25">
      <c r="A1327">
        <v>3156553</v>
      </c>
      <c r="B1327">
        <v>17</v>
      </c>
      <c r="C1327" s="1">
        <f>7.85103437919252*(10.3/7.3)</f>
        <v>11.077486863792181</v>
      </c>
      <c r="D1327" s="1">
        <f>8.62722836345581*(10.3/7.3)</f>
        <v>12.172664677204773</v>
      </c>
      <c r="E1327" s="1">
        <f>30.5978358891248*(10.3/7.3)</f>
        <v>43.172288994244518</v>
      </c>
      <c r="F1327" s="1">
        <f>66.0849329088533*(38.9/42.5)</f>
        <v>60.487150356574006</v>
      </c>
      <c r="G1327" s="1">
        <v>2.5926875782894401</v>
      </c>
      <c r="H1327" s="1">
        <v>6.4401582412290264</v>
      </c>
      <c r="I1327" s="1">
        <v>52.102045620138206</v>
      </c>
      <c r="J1327" s="1">
        <v>6.2971140558888708E-2</v>
      </c>
      <c r="K1327" s="1">
        <v>4.816893973982995</v>
      </c>
      <c r="L1327" s="1">
        <v>5.8762028226128287</v>
      </c>
      <c r="M1327" s="1">
        <v>0.2192618725609603</v>
      </c>
      <c r="N1327" s="1">
        <v>2.5495704345401684</v>
      </c>
      <c r="O1327" s="1">
        <v>0.26866509803921573</v>
      </c>
      <c r="P1327" s="1">
        <v>0.19052735424386372</v>
      </c>
      <c r="Q1327" s="1">
        <v>4.1435646228370082</v>
      </c>
      <c r="R1327" s="2">
        <f t="shared" si="83"/>
        <v>192.18804695430913</v>
      </c>
      <c r="S1327" s="2">
        <f t="shared" si="82"/>
        <v>5.070392468785748</v>
      </c>
      <c r="T1327" s="2">
        <f t="shared" si="84"/>
        <v>8.9137002277531732</v>
      </c>
      <c r="U1327" s="2">
        <f t="shared" si="85"/>
        <v>206.17213965084804</v>
      </c>
    </row>
    <row r="1328" spans="1:21" x14ac:dyDescent="0.25">
      <c r="A1328">
        <v>3156561</v>
      </c>
      <c r="B1328">
        <v>23</v>
      </c>
      <c r="C1328" s="1">
        <f>6.42318269952619*(10.3/7.3)</f>
        <v>9.0628468226191377</v>
      </c>
      <c r="D1328" s="1">
        <f>6.90739714734518*(10.3/7.3)</f>
        <v>9.7460535092678544</v>
      </c>
      <c r="E1328" s="1">
        <f>24.5764753515736*(10.3/7.3)</f>
        <v>34.676396728932637</v>
      </c>
      <c r="F1328" s="1">
        <f>50.4969980980623*(38.9/42.5)</f>
        <v>46.219605317991146</v>
      </c>
      <c r="G1328" s="1">
        <v>1.8556753353279383</v>
      </c>
      <c r="H1328" s="1">
        <v>5.0401332910759225</v>
      </c>
      <c r="I1328" s="1">
        <v>39.838755496415587</v>
      </c>
      <c r="J1328" s="1">
        <v>5.0407415764555444E-2</v>
      </c>
      <c r="K1328" s="1">
        <v>3.9930840318532557</v>
      </c>
      <c r="L1328" s="1">
        <v>4.7683285717015966</v>
      </c>
      <c r="M1328" s="1">
        <v>0.18496845408975263</v>
      </c>
      <c r="N1328" s="1">
        <v>2.1281721630420831</v>
      </c>
      <c r="O1328" s="1">
        <v>0.22713275362318847</v>
      </c>
      <c r="P1328" s="1">
        <v>0.16850708224857519</v>
      </c>
      <c r="Q1328" s="1">
        <v>2.965691175181639</v>
      </c>
      <c r="R1328" s="2">
        <f t="shared" si="83"/>
        <v>149.40515767681185</v>
      </c>
      <c r="S1328" s="2">
        <f t="shared" si="82"/>
        <v>4.2119985298663858</v>
      </c>
      <c r="T1328" s="2">
        <f t="shared" si="84"/>
        <v>7.3086019424566215</v>
      </c>
      <c r="U1328" s="2">
        <f t="shared" si="85"/>
        <v>160.92575814913485</v>
      </c>
    </row>
    <row r="1329" spans="1:21" x14ac:dyDescent="0.25">
      <c r="A1329">
        <v>3156569</v>
      </c>
      <c r="B1329">
        <v>23</v>
      </c>
      <c r="C1329" s="1">
        <f>6.57820479753236*(10.3/7.3)</f>
        <v>9.2815766321347066</v>
      </c>
      <c r="D1329" s="1">
        <f>6.9800902319811*(10.3/7.3)</f>
        <v>9.8486204643020958</v>
      </c>
      <c r="E1329" s="1">
        <f>24.8611878636176*(10.3/7.3)</f>
        <v>35.078114382912567</v>
      </c>
      <c r="F1329" s="1">
        <f>50.6444815779459*(38.9/42.5)</f>
        <v>46.354596079578727</v>
      </c>
      <c r="G1329" s="1">
        <v>1.8341370421629806</v>
      </c>
      <c r="H1329" s="1">
        <v>4.525185406791965</v>
      </c>
      <c r="I1329" s="1">
        <v>40.103846689277674</v>
      </c>
      <c r="J1329" s="1">
        <v>4.9253633316831802E-2</v>
      </c>
      <c r="K1329" s="1">
        <v>3.9077004725380959</v>
      </c>
      <c r="L1329" s="1">
        <v>4.685634770915339</v>
      </c>
      <c r="M1329" s="1">
        <v>0.18453091800990556</v>
      </c>
      <c r="N1329" s="1">
        <v>2.116330439499758</v>
      </c>
      <c r="O1329" s="1">
        <v>0.22213797101449273</v>
      </c>
      <c r="P1329" s="1">
        <v>0.16724230972890572</v>
      </c>
      <c r="Q1329" s="1">
        <v>2.9312692454659537</v>
      </c>
      <c r="R1329" s="2">
        <f t="shared" si="83"/>
        <v>149.95734594262666</v>
      </c>
      <c r="S1329" s="2">
        <f t="shared" si="82"/>
        <v>4.1241964155838335</v>
      </c>
      <c r="T1329" s="2">
        <f t="shared" si="84"/>
        <v>7.2086340994394957</v>
      </c>
      <c r="U1329" s="2">
        <f t="shared" si="85"/>
        <v>161.29017645765001</v>
      </c>
    </row>
    <row r="1330" spans="1:21" x14ac:dyDescent="0.25">
      <c r="A1330">
        <v>3156577</v>
      </c>
      <c r="B1330">
        <v>17</v>
      </c>
      <c r="C1330" s="1">
        <f>9.48801370498834*(10.3/7.3)</f>
        <v>13.387197419367114</v>
      </c>
      <c r="D1330" s="1">
        <f>9.81972838397547*(10.3/7.3)</f>
        <v>13.855233199307861</v>
      </c>
      <c r="E1330" s="1">
        <f>35.0473988983892*(10.3/7.3)</f>
        <v>49.45043954156278</v>
      </c>
      <c r="F1330" s="1">
        <f>70.0998556577741*(38.9/42.5)</f>
        <v>64.161985531468531</v>
      </c>
      <c r="G1330" s="1">
        <v>2.4600836540949342</v>
      </c>
      <c r="H1330" s="1">
        <v>6.5492297396844741</v>
      </c>
      <c r="I1330" s="1">
        <v>55.897062148058538</v>
      </c>
      <c r="J1330" s="1">
        <v>6.1498998455354933E-2</v>
      </c>
      <c r="K1330" s="1">
        <v>4.498464202887094</v>
      </c>
      <c r="L1330" s="1">
        <v>5.9509403914795662</v>
      </c>
      <c r="M1330" s="1">
        <v>0.23379470927258489</v>
      </c>
      <c r="N1330" s="1">
        <v>2.5802131412937497</v>
      </c>
      <c r="O1330" s="1">
        <v>0.26583843137254898</v>
      </c>
      <c r="P1330" s="1">
        <v>0.18655628417324685</v>
      </c>
      <c r="Q1330" s="1">
        <v>3.9316405430740997</v>
      </c>
      <c r="R1330" s="2">
        <f t="shared" si="83"/>
        <v>209.69287177661838</v>
      </c>
      <c r="S1330" s="2">
        <f t="shared" si="82"/>
        <v>4.7465194855156962</v>
      </c>
      <c r="T1330" s="2">
        <f t="shared" si="84"/>
        <v>9.030786673418449</v>
      </c>
      <c r="U1330" s="2">
        <f t="shared" si="85"/>
        <v>223.47017793555253</v>
      </c>
    </row>
    <row r="1331" spans="1:21" x14ac:dyDescent="0.25">
      <c r="A1331">
        <v>3156585</v>
      </c>
      <c r="B1331">
        <v>16</v>
      </c>
      <c r="C1331" s="1">
        <f>10.2908645572384*(10.3/7.3)</f>
        <v>14.519986978021242</v>
      </c>
      <c r="D1331" s="1">
        <f>10.3342392651137*(10.3/7.3)</f>
        <v>14.581186908311143</v>
      </c>
      <c r="E1331" s="1">
        <f>36.9664614797241*(10.3/7.3)</f>
        <v>52.158157978240922</v>
      </c>
      <c r="F1331" s="1">
        <f>72.8391062110031*(38.9/42.5)</f>
        <v>66.66920544960044</v>
      </c>
      <c r="G1331" s="1">
        <v>2.4805249182303437</v>
      </c>
      <c r="H1331" s="1">
        <v>8.3943559218891401</v>
      </c>
      <c r="I1331" s="1">
        <v>58.655817091439275</v>
      </c>
      <c r="J1331" s="1">
        <v>6.1312703090396478E-2</v>
      </c>
      <c r="K1331" s="1">
        <v>4.3811725578740113</v>
      </c>
      <c r="L1331" s="1">
        <v>5.906145569875755</v>
      </c>
      <c r="M1331" s="1">
        <v>0.23602859453302488</v>
      </c>
      <c r="N1331" s="1">
        <v>2.5992229791375236</v>
      </c>
      <c r="O1331" s="1">
        <v>0.26252000000000003</v>
      </c>
      <c r="P1331" s="1">
        <v>0.18334557226995885</v>
      </c>
      <c r="Q1331" s="1">
        <v>3.9643092300484986</v>
      </c>
      <c r="R1331" s="2">
        <f t="shared" si="83"/>
        <v>221.423544475781</v>
      </c>
      <c r="S1331" s="2">
        <f t="shared" si="82"/>
        <v>4.6258308332343665</v>
      </c>
      <c r="T1331" s="2">
        <f t="shared" si="84"/>
        <v>9.0039171435463032</v>
      </c>
      <c r="U1331" s="2">
        <f t="shared" si="85"/>
        <v>235.05329245256166</v>
      </c>
    </row>
    <row r="1332" spans="1:21" x14ac:dyDescent="0.25">
      <c r="A1332">
        <v>3156593</v>
      </c>
      <c r="B1332">
        <v>4</v>
      </c>
      <c r="C1332" s="1">
        <f>11.5136204040007*(10.3/7.3)</f>
        <v>16.245245227562613</v>
      </c>
      <c r="D1332" s="1">
        <f>11.0354831699103*(10.3/7.3)</f>
        <v>15.570613239736417</v>
      </c>
      <c r="E1332" s="1">
        <f>39.6058119087757*(10.3/7.3)</f>
        <v>55.882172967176729</v>
      </c>
      <c r="F1332" s="1">
        <f>76.7124117600552*(38.9/42.5)</f>
        <v>70.214419234497541</v>
      </c>
      <c r="G1332" s="1">
        <v>2.5085557215777428</v>
      </c>
      <c r="H1332" s="1">
        <v>9.3936840078283232</v>
      </c>
      <c r="I1332" s="1">
        <v>62.824882190121109</v>
      </c>
      <c r="J1332" s="1">
        <v>6.0809353044696458E-2</v>
      </c>
      <c r="K1332" s="1">
        <v>4.2829213807632271</v>
      </c>
      <c r="L1332" s="1">
        <v>5.8314476466909397</v>
      </c>
      <c r="M1332" s="1">
        <v>0.23557110926079464</v>
      </c>
      <c r="N1332" s="1">
        <v>2.620138428365872</v>
      </c>
      <c r="O1332" s="1">
        <v>0.25795999999999997</v>
      </c>
      <c r="P1332" s="1">
        <v>0.1800674970377476</v>
      </c>
      <c r="Q1332" s="1">
        <v>4.0091073175900043</v>
      </c>
      <c r="R1332" s="2">
        <f t="shared" si="83"/>
        <v>236.64867990609048</v>
      </c>
      <c r="S1332" s="2">
        <f t="shared" si="82"/>
        <v>4.5237982308456708</v>
      </c>
      <c r="T1332" s="2">
        <f t="shared" si="84"/>
        <v>8.9451171843176063</v>
      </c>
      <c r="U1332" s="2">
        <f t="shared" si="85"/>
        <v>250.11759532125376</v>
      </c>
    </row>
    <row r="1333" spans="1:21" x14ac:dyDescent="0.25">
      <c r="A1333">
        <v>3156601</v>
      </c>
      <c r="B1333">
        <v>27</v>
      </c>
      <c r="C1333" s="1">
        <f>15.1583961034629*(10.3/7.3)</f>
        <v>21.38787395420103</v>
      </c>
      <c r="D1333" s="1">
        <f>12.8341494797843*(10.3/7.3)</f>
        <v>18.108457485175069</v>
      </c>
      <c r="E1333" s="1">
        <f>46.4581333486575*(10.3/7.3)</f>
        <v>65.55051691659898</v>
      </c>
      <c r="F1333" s="1">
        <f>87.7659899350228*(38.9/42.5)</f>
        <v>80.331694316997357</v>
      </c>
      <c r="G1333" s="1">
        <v>2.6297195272218601</v>
      </c>
      <c r="H1333" s="1">
        <v>7.6098227242629335</v>
      </c>
      <c r="I1333" s="1">
        <v>75.646884793513379</v>
      </c>
      <c r="J1333" s="1">
        <v>5.6718747467043237E-2</v>
      </c>
      <c r="K1333" s="1">
        <v>3.8809321254139699</v>
      </c>
      <c r="L1333" s="1">
        <v>5.1650738651388686</v>
      </c>
      <c r="M1333" s="1">
        <v>0.2176785170049379</v>
      </c>
      <c r="N1333" s="1">
        <v>2.4557745532793342</v>
      </c>
      <c r="O1333" s="1">
        <v>0.23475950617283953</v>
      </c>
      <c r="P1333" s="1">
        <v>0.16734717775673466</v>
      </c>
      <c r="Q1333" s="1">
        <v>4.2027481028659901</v>
      </c>
      <c r="R1333" s="2">
        <f t="shared" si="83"/>
        <v>275.46771782083658</v>
      </c>
      <c r="S1333" s="2">
        <f t="shared" si="82"/>
        <v>4.1049980506377484</v>
      </c>
      <c r="T1333" s="2">
        <f t="shared" si="84"/>
        <v>8.0732864415959806</v>
      </c>
      <c r="U1333" s="2">
        <f t="shared" si="85"/>
        <v>287.64600231307031</v>
      </c>
    </row>
    <row r="1334" spans="1:21" x14ac:dyDescent="0.25">
      <c r="A1334">
        <v>3156897</v>
      </c>
      <c r="B1334">
        <v>39</v>
      </c>
      <c r="C1334" s="1">
        <f>18.5816404248486*(10.3/7.3)</f>
        <v>26.217931010402879</v>
      </c>
      <c r="D1334" s="1">
        <f>17.6075333781155*(10.3/7.3)</f>
        <v>24.84350599925888</v>
      </c>
      <c r="E1334" s="1">
        <f>63.6216908880552*(10.3/7.3)</f>
        <v>89.7675912530094</v>
      </c>
      <c r="F1334" s="1">
        <f>103.723181525431*(38.9/42.5)</f>
        <v>94.937217913864899</v>
      </c>
      <c r="G1334" s="1">
        <v>2.377765939599056</v>
      </c>
      <c r="H1334" s="1">
        <v>6.3324800288231549</v>
      </c>
      <c r="I1334" s="1">
        <v>83.849152922602144</v>
      </c>
      <c r="J1334" s="1">
        <v>4.2371109518233897E-2</v>
      </c>
      <c r="K1334" s="1">
        <v>2.9196849714948243</v>
      </c>
      <c r="L1334" s="1">
        <v>4.8465916643790949</v>
      </c>
      <c r="M1334" s="1">
        <v>0.15287523283083984</v>
      </c>
      <c r="N1334" s="1">
        <v>2.1059536482799084</v>
      </c>
      <c r="O1334" s="1">
        <v>0.1345750427350427</v>
      </c>
      <c r="P1334" s="1">
        <v>0.10097927640400357</v>
      </c>
      <c r="Q1334" s="1">
        <v>3.8000825518706418</v>
      </c>
      <c r="R1334" s="2">
        <f t="shared" si="83"/>
        <v>332.12572761943102</v>
      </c>
      <c r="S1334" s="2">
        <f t="shared" si="82"/>
        <v>3.0630353574170615</v>
      </c>
      <c r="T1334" s="2">
        <f t="shared" si="84"/>
        <v>7.2399955882248861</v>
      </c>
      <c r="U1334" s="2">
        <f t="shared" si="85"/>
        <v>342.42875856507294</v>
      </c>
    </row>
    <row r="1335" spans="1:21" x14ac:dyDescent="0.25">
      <c r="A1335">
        <v>3156905</v>
      </c>
      <c r="B1335">
        <v>67</v>
      </c>
      <c r="C1335" s="1">
        <f>17.5432679244509*(10.3/7.3)</f>
        <v>24.752830085184215</v>
      </c>
      <c r="D1335" s="1">
        <f>16.6504570623679*(10.3/7.3)</f>
        <v>23.493110649642325</v>
      </c>
      <c r="E1335" s="1">
        <f>60.1541001027971*(10.3/7.3)</f>
        <v>84.874963158741082</v>
      </c>
      <c r="F1335" s="1">
        <f>98.25390646623*(38.9/42.5)</f>
        <v>89.931222624384617</v>
      </c>
      <c r="G1335" s="1">
        <v>2.2656367722230653</v>
      </c>
      <c r="H1335" s="1">
        <v>4.7327516360001489</v>
      </c>
      <c r="I1335" s="1">
        <v>79.381339947885238</v>
      </c>
      <c r="J1335" s="1">
        <v>4.5269917577571095E-2</v>
      </c>
      <c r="K1335" s="1">
        <v>3.0904028009561793</v>
      </c>
      <c r="L1335" s="1">
        <v>5.0600353609007369</v>
      </c>
      <c r="M1335" s="1">
        <v>0.16131704457672083</v>
      </c>
      <c r="N1335" s="1">
        <v>2.0773476203696841</v>
      </c>
      <c r="O1335" s="1">
        <v>0.14093691542288558</v>
      </c>
      <c r="P1335" s="1">
        <v>0.10509760784580208</v>
      </c>
      <c r="Q1335" s="1">
        <v>3.6208806862012501</v>
      </c>
      <c r="R1335" s="2">
        <f t="shared" si="83"/>
        <v>313.05273556026197</v>
      </c>
      <c r="S1335" s="2">
        <f t="shared" si="82"/>
        <v>3.2407703263795522</v>
      </c>
      <c r="T1335" s="2">
        <f t="shared" si="84"/>
        <v>7.4396369412700274</v>
      </c>
      <c r="U1335" s="2">
        <f t="shared" si="85"/>
        <v>323.73314282791154</v>
      </c>
    </row>
    <row r="1336" spans="1:21" x14ac:dyDescent="0.25">
      <c r="A1336">
        <v>3156913</v>
      </c>
      <c r="B1336">
        <v>33</v>
      </c>
      <c r="C1336" s="1">
        <f>17.5406504753545*(10.3/7.3)</f>
        <v>24.74913697207554</v>
      </c>
      <c r="D1336" s="1">
        <f>16.1881014788285*(10.3/7.3)</f>
        <v>22.840745922182631</v>
      </c>
      <c r="E1336" s="1">
        <f>58.6034401775449*(10.3/7.3)</f>
        <v>82.687045729960673</v>
      </c>
      <c r="F1336" s="1">
        <f>94.5984016774903*(38.9/42.5)</f>
        <v>86.585360594220532</v>
      </c>
      <c r="G1336" s="1">
        <v>2.0783355216151134</v>
      </c>
      <c r="H1336" s="1">
        <v>4.5296765800146321</v>
      </c>
      <c r="I1336" s="1">
        <v>77.406382487676382</v>
      </c>
      <c r="J1336" s="1">
        <v>4.2273110304186075E-2</v>
      </c>
      <c r="K1336" s="1">
        <v>2.9939792462813455</v>
      </c>
      <c r="L1336" s="1">
        <v>4.6628386828085331</v>
      </c>
      <c r="M1336" s="1">
        <v>0.15373500377055785</v>
      </c>
      <c r="N1336" s="1">
        <v>1.9146942258829063</v>
      </c>
      <c r="O1336" s="1">
        <v>0.13586585858585862</v>
      </c>
      <c r="P1336" s="1">
        <v>0.10237313924712491</v>
      </c>
      <c r="Q1336" s="1">
        <v>3.3215407879693633</v>
      </c>
      <c r="R1336" s="2">
        <f t="shared" si="83"/>
        <v>304.19822459571486</v>
      </c>
      <c r="S1336" s="2">
        <f t="shared" si="82"/>
        <v>3.1386254958326565</v>
      </c>
      <c r="T1336" s="2">
        <f t="shared" si="84"/>
        <v>6.8671337710478557</v>
      </c>
      <c r="U1336" s="2">
        <f t="shared" si="85"/>
        <v>314.20398386259541</v>
      </c>
    </row>
    <row r="1337" spans="1:21" x14ac:dyDescent="0.25">
      <c r="A1337">
        <v>3168429</v>
      </c>
      <c r="B1337">
        <v>7</v>
      </c>
      <c r="C1337" s="1">
        <f>3.8748671903379*(10.3/7.3)</f>
        <v>5.4672783644493723</v>
      </c>
      <c r="D1337" s="1">
        <f>2.59762914036422*(10.3/7.3)</f>
        <v>3.6651479651714336</v>
      </c>
      <c r="E1337" s="1">
        <f>9.61561698606772*(10.3/7.3)</f>
        <v>13.567240404999662</v>
      </c>
      <c r="F1337" s="1">
        <f>15.5825415715988*(38.9/42.5)</f>
        <v>14.262608638475143</v>
      </c>
      <c r="G1337" s="1">
        <v>0.27033726788138002</v>
      </c>
      <c r="H1337" s="1">
        <v>3.5306873109753347</v>
      </c>
      <c r="I1337" s="1">
        <v>15.117451597926138</v>
      </c>
      <c r="J1337" s="1">
        <v>1.5534975127141767E-2</v>
      </c>
      <c r="K1337" s="1">
        <v>2.0428603121850846</v>
      </c>
      <c r="L1337" s="1">
        <v>4.6491697128018519</v>
      </c>
      <c r="M1337" s="1">
        <v>8.0939593125176998E-2</v>
      </c>
      <c r="N1337" s="1">
        <v>0.64091246868434659</v>
      </c>
      <c r="O1337" s="1">
        <v>0.19667047619047623</v>
      </c>
      <c r="P1337" s="1">
        <v>0.14292579264612801</v>
      </c>
      <c r="Q1337" s="1">
        <v>0.43204586191088173</v>
      </c>
      <c r="R1337" s="2">
        <f t="shared" si="83"/>
        <v>56.312797411789333</v>
      </c>
      <c r="S1337" s="2">
        <f t="shared" si="82"/>
        <v>2.2013210799583542</v>
      </c>
      <c r="T1337" s="2">
        <f t="shared" si="84"/>
        <v>5.5676922508018523</v>
      </c>
      <c r="U1337" s="2">
        <f t="shared" si="85"/>
        <v>64.081810742549536</v>
      </c>
    </row>
    <row r="1338" spans="1:21" x14ac:dyDescent="0.25">
      <c r="A1338">
        <v>3168437</v>
      </c>
      <c r="B1338">
        <v>14</v>
      </c>
      <c r="C1338" s="1">
        <f>1.77168730472602*(10.3/7.3)</f>
        <v>2.4997779779010925</v>
      </c>
      <c r="D1338" s="1">
        <f>1.39791309422721*(10.3/7.3)</f>
        <v>1.9723979274712691</v>
      </c>
      <c r="E1338" s="1">
        <f>5.09422907755186*(10.3/7.3)</f>
        <v>7.1877478765457825</v>
      </c>
      <c r="F1338" s="1">
        <f>9.12793054454065*(38.9/42.5)</f>
        <v>8.3547411337089734</v>
      </c>
      <c r="G1338" s="1">
        <v>0.2382024330390988</v>
      </c>
      <c r="H1338" s="1">
        <v>3.3370839898362408</v>
      </c>
      <c r="I1338" s="1">
        <v>8.1153539577199574</v>
      </c>
      <c r="J1338" s="1">
        <v>1.4854850182056194E-2</v>
      </c>
      <c r="K1338" s="1">
        <v>1.9956083422266706</v>
      </c>
      <c r="L1338" s="1">
        <v>3.8320650643078791</v>
      </c>
      <c r="M1338" s="1">
        <v>7.7151824965271315E-2</v>
      </c>
      <c r="N1338" s="1">
        <v>0.63242405696049875</v>
      </c>
      <c r="O1338" s="1">
        <v>0.17718095238095238</v>
      </c>
      <c r="P1338" s="1">
        <v>0.14226109895704733</v>
      </c>
      <c r="Q1338" s="1">
        <v>0.3806888199255008</v>
      </c>
      <c r="R1338" s="2">
        <f t="shared" si="83"/>
        <v>32.085994116147916</v>
      </c>
      <c r="S1338" s="2">
        <f t="shared" si="82"/>
        <v>2.1527242913657743</v>
      </c>
      <c r="T1338" s="2">
        <f t="shared" si="84"/>
        <v>4.7188218986146016</v>
      </c>
      <c r="U1338" s="2">
        <f t="shared" si="85"/>
        <v>38.957540306128287</v>
      </c>
    </row>
    <row r="1339" spans="1:21" x14ac:dyDescent="0.25">
      <c r="A1339">
        <v>3168453</v>
      </c>
      <c r="B1339">
        <v>18</v>
      </c>
      <c r="C1339" s="1">
        <f>1.32069137658083*(10.3/7.3)</f>
        <v>1.8634412573674692</v>
      </c>
      <c r="D1339" s="1">
        <f>1.52396985867033*(10.3/7.3)</f>
        <v>2.150258841685535</v>
      </c>
      <c r="E1339" s="1">
        <f>5.40494240756647*(10.3/7.3)</f>
        <v>7.6261516161554237</v>
      </c>
      <c r="F1339" s="1">
        <f>11.0106761059755*(38.9/42.5)</f>
        <v>10.078007071116369</v>
      </c>
      <c r="G1339" s="1">
        <v>0.40710084963614079</v>
      </c>
      <c r="H1339" s="1">
        <v>6.5306976841598665</v>
      </c>
      <c r="I1339" s="1">
        <v>8.459644533370918</v>
      </c>
      <c r="J1339" s="1">
        <v>1.922312742145162E-2</v>
      </c>
      <c r="K1339" s="1">
        <v>2.5653755274950938</v>
      </c>
      <c r="L1339" s="1">
        <v>5.4408592425632269</v>
      </c>
      <c r="M1339" s="1">
        <v>0.10058897211979936</v>
      </c>
      <c r="N1339" s="1">
        <v>0.87657305677105368</v>
      </c>
      <c r="O1339" s="1">
        <v>0.26081777777777776</v>
      </c>
      <c r="P1339" s="1">
        <v>0.18421731891832754</v>
      </c>
      <c r="Q1339" s="1">
        <v>0.65061779622214355</v>
      </c>
      <c r="R1339" s="2">
        <f t="shared" si="83"/>
        <v>37.765919649713865</v>
      </c>
      <c r="S1339" s="2">
        <f t="shared" si="82"/>
        <v>2.7688159738348732</v>
      </c>
      <c r="T1339" s="2">
        <f t="shared" si="84"/>
        <v>6.6788390492318577</v>
      </c>
      <c r="U1339" s="2">
        <f t="shared" si="85"/>
        <v>47.213574672780595</v>
      </c>
    </row>
    <row r="1340" spans="1:21" x14ac:dyDescent="0.25">
      <c r="A1340">
        <v>3168477</v>
      </c>
      <c r="B1340">
        <v>15</v>
      </c>
      <c r="C1340" s="1">
        <f>1.05658850498082*(10.3/7.3)</f>
        <v>1.4908029590825254</v>
      </c>
      <c r="D1340" s="1">
        <f>1.26585514403334*(10.3/7.3)</f>
        <v>1.786069586786772</v>
      </c>
      <c r="E1340" s="1">
        <f>4.47161294853631*(10.3/7.3)</f>
        <v>6.3092621054690463</v>
      </c>
      <c r="F1340" s="1">
        <f>9.60645960551737*(38.9/42.5)</f>
        <v>8.7927359683441377</v>
      </c>
      <c r="G1340" s="1">
        <v>0.38147643338312687</v>
      </c>
      <c r="H1340" s="1">
        <v>2.159847512216523</v>
      </c>
      <c r="I1340" s="1">
        <v>7.3536832296835408</v>
      </c>
      <c r="J1340" s="1">
        <v>1.8313101655653526E-2</v>
      </c>
      <c r="K1340" s="1">
        <v>2.4438165243662833</v>
      </c>
      <c r="L1340" s="1">
        <v>5.3909804669057131</v>
      </c>
      <c r="M1340" s="1">
        <v>9.3188074302475346E-2</v>
      </c>
      <c r="N1340" s="1">
        <v>0.81548356731156491</v>
      </c>
      <c r="O1340" s="1">
        <v>0.23247644444444446</v>
      </c>
      <c r="P1340" s="1">
        <v>0.1813453212668982</v>
      </c>
      <c r="Q1340" s="1">
        <v>0.60966553280408475</v>
      </c>
      <c r="R1340" s="2">
        <f t="shared" si="83"/>
        <v>28.883543327769754</v>
      </c>
      <c r="S1340" s="2">
        <f t="shared" si="82"/>
        <v>2.6434749472888353</v>
      </c>
      <c r="T1340" s="2">
        <f t="shared" si="84"/>
        <v>6.5321285529641981</v>
      </c>
      <c r="U1340" s="2">
        <f t="shared" si="85"/>
        <v>38.059146828022783</v>
      </c>
    </row>
    <row r="1341" spans="1:21" x14ac:dyDescent="0.25">
      <c r="A1341">
        <v>3168485</v>
      </c>
      <c r="B1341">
        <v>25</v>
      </c>
      <c r="C1341" s="1">
        <f>1.04376350880305*(10.3/7.3)</f>
        <v>1.4727074165303324</v>
      </c>
      <c r="D1341" s="1">
        <f>1.36024442782025*(10.3/7.3)</f>
        <v>1.9192489871984324</v>
      </c>
      <c r="E1341" s="1">
        <f>4.75688974714877*(10.3/7.3)</f>
        <v>6.7117759446071723</v>
      </c>
      <c r="F1341" s="1">
        <f>11.7349058319373*(38.9/42.5)</f>
        <v>10.740890279114414</v>
      </c>
      <c r="G1341" s="1">
        <v>0.53975793040928099</v>
      </c>
      <c r="H1341" s="1">
        <v>2.2298956523356885</v>
      </c>
      <c r="I1341" s="1">
        <v>8.9749983355702767</v>
      </c>
      <c r="J1341" s="1">
        <v>1.8587948107021083E-2</v>
      </c>
      <c r="K1341" s="1">
        <v>2.4837833833004774</v>
      </c>
      <c r="L1341" s="1">
        <v>6.1312906839648846</v>
      </c>
      <c r="M1341" s="1">
        <v>9.3181875854449439E-2</v>
      </c>
      <c r="N1341" s="1">
        <v>0.84166946847812374</v>
      </c>
      <c r="O1341" s="1">
        <v>0.2380736</v>
      </c>
      <c r="P1341" s="1">
        <v>0.18454249065931067</v>
      </c>
      <c r="Q1341" s="1">
        <v>0.8626268294212267</v>
      </c>
      <c r="R1341" s="2">
        <f t="shared" si="83"/>
        <v>33.451901375186814</v>
      </c>
      <c r="S1341" s="2">
        <f t="shared" si="82"/>
        <v>2.686913822066809</v>
      </c>
      <c r="T1341" s="2">
        <f t="shared" si="84"/>
        <v>7.3042156282974577</v>
      </c>
      <c r="U1341" s="2">
        <f t="shared" si="85"/>
        <v>43.443030825551077</v>
      </c>
    </row>
    <row r="1342" spans="1:21" x14ac:dyDescent="0.25">
      <c r="A1342">
        <v>3168493</v>
      </c>
      <c r="B1342">
        <v>22</v>
      </c>
      <c r="C1342" s="1">
        <f>1.06655304181911*(10.3/7.3)</f>
        <v>1.5048625110598361</v>
      </c>
      <c r="D1342" s="1">
        <f>1.30141175012217*(10.3/7.3)</f>
        <v>1.836238496747713</v>
      </c>
      <c r="E1342" s="1">
        <f>4.59518538681663*(10.3/7.3)</f>
        <v>6.483617737563188</v>
      </c>
      <c r="F1342" s="1">
        <f>9.77634233674159*(38.9/42.5)</f>
        <v>8.9482286329234828</v>
      </c>
      <c r="G1342" s="1">
        <v>0.38541805935361279</v>
      </c>
      <c r="H1342" s="1">
        <v>2.2897057054791721</v>
      </c>
      <c r="I1342" s="1">
        <v>7.4266465210826942</v>
      </c>
      <c r="J1342" s="1">
        <v>1.8861040700835649E-2</v>
      </c>
      <c r="K1342" s="1">
        <v>2.4950358234347423</v>
      </c>
      <c r="L1342" s="1">
        <v>7.6275221625849436</v>
      </c>
      <c r="M1342" s="1">
        <v>9.5022774590891271E-2</v>
      </c>
      <c r="N1342" s="1">
        <v>0.86414612149200321</v>
      </c>
      <c r="O1342" s="1">
        <v>0.23422545454545449</v>
      </c>
      <c r="P1342" s="1">
        <v>0.18449257143027609</v>
      </c>
      <c r="Q1342" s="1">
        <v>0.61596493504002103</v>
      </c>
      <c r="R1342" s="2">
        <f t="shared" si="83"/>
        <v>29.49068259924972</v>
      </c>
      <c r="S1342" s="2">
        <f t="shared" si="82"/>
        <v>2.6983894355658542</v>
      </c>
      <c r="T1342" s="2">
        <f t="shared" si="84"/>
        <v>8.8209165132132927</v>
      </c>
      <c r="U1342" s="2">
        <f t="shared" si="85"/>
        <v>41.009988548028865</v>
      </c>
    </row>
    <row r="1343" spans="1:21" x14ac:dyDescent="0.25">
      <c r="A1343">
        <v>3168797</v>
      </c>
      <c r="B1343">
        <v>3</v>
      </c>
      <c r="C1343" s="1">
        <f>9.28949257306844*(10.3/7.3)</f>
        <v>13.107092260630816</v>
      </c>
      <c r="D1343" s="1">
        <f>9.96915403557912*(10.3/7.3)</f>
        <v>14.066066652940405</v>
      </c>
      <c r="E1343" s="1">
        <f>35.4793571851392*(10.3/7.3)</f>
        <v>50.059914932456735</v>
      </c>
      <c r="F1343" s="1">
        <f>72.6287410913261*(38.9/42.5)</f>
        <v>66.476659493002018</v>
      </c>
      <c r="G1343" s="1">
        <v>2.6548344911992565</v>
      </c>
      <c r="H1343" s="1">
        <v>6.6274766842286006</v>
      </c>
      <c r="I1343" s="1">
        <v>57.312860333214786</v>
      </c>
      <c r="J1343" s="1">
        <v>6.8657865594298026E-2</v>
      </c>
      <c r="K1343" s="1">
        <v>5.0023574907494845</v>
      </c>
      <c r="L1343" s="1">
        <v>6.6692153590751735</v>
      </c>
      <c r="M1343" s="1">
        <v>0.24964013699751994</v>
      </c>
      <c r="N1343" s="1">
        <v>2.7745028806339302</v>
      </c>
      <c r="O1343" s="1">
        <v>0.29374222222222224</v>
      </c>
      <c r="P1343" s="1">
        <v>0.20088400453147323</v>
      </c>
      <c r="Q1343" s="1">
        <v>4.2428861731495005</v>
      </c>
      <c r="R1343" s="2">
        <f t="shared" si="83"/>
        <v>214.54779102082216</v>
      </c>
      <c r="S1343" s="2">
        <f t="shared" si="82"/>
        <v>5.2718993608752562</v>
      </c>
      <c r="T1343" s="2">
        <f t="shared" si="84"/>
        <v>9.9871005989288459</v>
      </c>
      <c r="U1343" s="2">
        <f t="shared" si="85"/>
        <v>229.80679098062626</v>
      </c>
    </row>
    <row r="1344" spans="1:21" x14ac:dyDescent="0.25">
      <c r="A1344">
        <v>3168805</v>
      </c>
      <c r="B1344">
        <v>7</v>
      </c>
      <c r="C1344" s="1">
        <f>8.12287690478318*(10.3/7.3)</f>
        <v>11.461045495789964</v>
      </c>
      <c r="D1344" s="1">
        <f>8.61617509279604*(10.3/7.3)</f>
        <v>12.15706896654784</v>
      </c>
      <c r="E1344" s="1">
        <f>30.6869645184304*(10.3/7.3)</f>
        <v>43.298045827374395</v>
      </c>
      <c r="F1344" s="1">
        <f>62.6166144904344*(38.9/42.5)</f>
        <v>57.31261891006821</v>
      </c>
      <c r="G1344" s="1">
        <v>2.272506851283858</v>
      </c>
      <c r="H1344" s="1">
        <v>5.5156192171836613</v>
      </c>
      <c r="I1344" s="1">
        <v>49.601578796839476</v>
      </c>
      <c r="J1344" s="1">
        <v>5.919996647678006E-2</v>
      </c>
      <c r="K1344" s="1">
        <v>4.407357959367503</v>
      </c>
      <c r="L1344" s="1">
        <v>5.7209126056642159</v>
      </c>
      <c r="M1344" s="1">
        <v>0.22193008732570688</v>
      </c>
      <c r="N1344" s="1">
        <v>2.4712814139651846</v>
      </c>
      <c r="O1344" s="1">
        <v>0.25673904761904764</v>
      </c>
      <c r="P1344" s="1">
        <v>0.18390814469030775</v>
      </c>
      <c r="Q1344" s="1">
        <v>3.6318602646089082</v>
      </c>
      <c r="R1344" s="2">
        <f t="shared" si="83"/>
        <v>185.25034432969633</v>
      </c>
      <c r="S1344" s="2">
        <f t="shared" si="82"/>
        <v>4.6504660705345904</v>
      </c>
      <c r="T1344" s="2">
        <f t="shared" si="84"/>
        <v>8.670863154574155</v>
      </c>
      <c r="U1344" s="2">
        <f t="shared" si="85"/>
        <v>198.57167355480507</v>
      </c>
    </row>
    <row r="1345" spans="1:21" x14ac:dyDescent="0.25">
      <c r="A1345">
        <v>3168813</v>
      </c>
      <c r="B1345">
        <v>2</v>
      </c>
      <c r="C1345" s="1">
        <f>7.89812652810978*(10.3/7.3)</f>
        <v>11.143931950620656</v>
      </c>
      <c r="D1345" s="1">
        <f>8.2675912789281*(10.3/7.3)</f>
        <v>11.665231530542396</v>
      </c>
      <c r="E1345" s="1">
        <f>29.4646824949723*(10.3/7.3)</f>
        <v>41.573456123043108</v>
      </c>
      <c r="F1345" s="1">
        <f>60.1971406253759*(38.9/42.5)</f>
        <v>55.098088713579337</v>
      </c>
      <c r="G1345" s="1">
        <v>2.1807696766923703</v>
      </c>
      <c r="H1345" s="1">
        <v>7.1363782137068732</v>
      </c>
      <c r="I1345" s="1">
        <v>47.926136063863396</v>
      </c>
      <c r="J1345" s="1">
        <v>5.5153162436324364E-2</v>
      </c>
      <c r="K1345" s="1">
        <v>4.1056984375229977</v>
      </c>
      <c r="L1345" s="1">
        <v>5.2795236621008952</v>
      </c>
      <c r="M1345" s="1">
        <v>0.20981239694462123</v>
      </c>
      <c r="N1345" s="1">
        <v>2.349932074929046</v>
      </c>
      <c r="O1345" s="1">
        <v>0.24127999999999999</v>
      </c>
      <c r="P1345" s="1">
        <v>0.17556917148160758</v>
      </c>
      <c r="Q1345" s="1">
        <v>3.4852483417458009</v>
      </c>
      <c r="R1345" s="2">
        <f t="shared" si="83"/>
        <v>180.20924061379392</v>
      </c>
      <c r="S1345" s="2">
        <f t="shared" si="82"/>
        <v>4.3364207714409302</v>
      </c>
      <c r="T1345" s="2">
        <f t="shared" si="84"/>
        <v>8.0805481339745633</v>
      </c>
      <c r="U1345" s="2">
        <f t="shared" si="85"/>
        <v>192.62620951920943</v>
      </c>
    </row>
    <row r="1346" spans="1:21" x14ac:dyDescent="0.25">
      <c r="A1346">
        <v>3168837</v>
      </c>
      <c r="B1346">
        <v>2</v>
      </c>
      <c r="C1346" s="1">
        <f>20.159539799308*(10.3/7.3)</f>
        <v>28.444282182585201</v>
      </c>
      <c r="D1346" s="1">
        <f>15.2238922655892*(10.3/7.3)</f>
        <v>21.480286347338218</v>
      </c>
      <c r="E1346" s="1">
        <f>55.6722702450786*(10.3/7.3)</f>
        <v>78.551285414288941</v>
      </c>
      <c r="F1346" s="1">
        <f>98.7158103742721*(38.9/42.5)</f>
        <v>90.354000554333794</v>
      </c>
      <c r="G1346" s="1">
        <v>2.4549082510564051</v>
      </c>
      <c r="H1346" s="1">
        <v>7.5344299050809678</v>
      </c>
      <c r="I1346" s="1">
        <v>89.659288851004533</v>
      </c>
      <c r="J1346" s="1">
        <v>5.1542196038931537E-2</v>
      </c>
      <c r="K1346" s="1">
        <v>3.4996689288720946</v>
      </c>
      <c r="L1346" s="1">
        <v>4.4592985173969293</v>
      </c>
      <c r="M1346" s="1">
        <v>0.19227362409349591</v>
      </c>
      <c r="N1346" s="1">
        <v>2.193052511090043</v>
      </c>
      <c r="O1346" s="1">
        <v>0.20983999999999997</v>
      </c>
      <c r="P1346" s="1">
        <v>0.15573608554668469</v>
      </c>
      <c r="Q1346" s="1">
        <v>3.9233693510033909</v>
      </c>
      <c r="R1346" s="2">
        <f t="shared" si="83"/>
        <v>322.4018508566914</v>
      </c>
      <c r="S1346" s="2">
        <f t="shared" si="82"/>
        <v>3.7069472104577108</v>
      </c>
      <c r="T1346" s="2">
        <f t="shared" si="84"/>
        <v>7.0544646525804682</v>
      </c>
      <c r="U1346" s="2">
        <f t="shared" si="85"/>
        <v>333.16326271972957</v>
      </c>
    </row>
    <row r="1347" spans="1:21" x14ac:dyDescent="0.25">
      <c r="A1347">
        <v>3169125</v>
      </c>
      <c r="B1347">
        <v>5</v>
      </c>
      <c r="C1347" s="1">
        <f>16.9090803643153*(10.3/7.3)</f>
        <v>23.858017500335318</v>
      </c>
      <c r="D1347" s="1">
        <f>16.0801039922961*(10.3/7.3)</f>
        <v>22.688365906938348</v>
      </c>
      <c r="E1347" s="1">
        <f>58.0868345815396*(10.3/7.3)</f>
        <v>81.95813646436406</v>
      </c>
      <c r="F1347" s="1">
        <f>94.8792345851127*(38.9/42.5)</f>
        <v>86.842405302609023</v>
      </c>
      <c r="G1347" s="1">
        <v>2.1903189264451681</v>
      </c>
      <c r="H1347" s="1">
        <v>7.0507215206263707</v>
      </c>
      <c r="I1347" s="1">
        <v>76.580851197927856</v>
      </c>
      <c r="J1347" s="1">
        <v>3.9127430486062029E-2</v>
      </c>
      <c r="K1347" s="1">
        <v>2.7790487012705198</v>
      </c>
      <c r="L1347" s="1">
        <v>4.42966449559494</v>
      </c>
      <c r="M1347" s="1">
        <v>0.14207090876016176</v>
      </c>
      <c r="N1347" s="1">
        <v>2.5531958917220847</v>
      </c>
      <c r="O1347" s="1">
        <v>0.12707199999999999</v>
      </c>
      <c r="P1347" s="1">
        <v>9.611494336356205E-2</v>
      </c>
      <c r="Q1347" s="1">
        <v>3.5005096997982177</v>
      </c>
      <c r="R1347" s="2">
        <f t="shared" si="83"/>
        <v>304.66932651904438</v>
      </c>
      <c r="S1347" s="2">
        <f t="shared" si="82"/>
        <v>2.9142910751201438</v>
      </c>
      <c r="T1347" s="2">
        <f t="shared" si="84"/>
        <v>7.2520032960771861</v>
      </c>
      <c r="U1347" s="2">
        <f t="shared" si="85"/>
        <v>314.83562089024173</v>
      </c>
    </row>
    <row r="1348" spans="1:21" x14ac:dyDescent="0.25">
      <c r="A1348">
        <v>3169133</v>
      </c>
      <c r="B1348">
        <v>60</v>
      </c>
      <c r="C1348" s="1">
        <f>17.8953172598282*(10.3/7.3)</f>
        <v>25.249557229620667</v>
      </c>
      <c r="D1348" s="1">
        <f>17.1443737843688*(10.3/7.3)</f>
        <v>24.19000684643812</v>
      </c>
      <c r="E1348" s="1">
        <f>61.9127162723128*(10.3/7.3)</f>
        <v>87.356298302030339</v>
      </c>
      <c r="F1348" s="1">
        <f>100.72425712868*(38.9/42.5)</f>
        <v>92.192320054250786</v>
      </c>
      <c r="G1348" s="1">
        <v>2.3101852580800104</v>
      </c>
      <c r="H1348" s="1">
        <v>5.6521660632119888</v>
      </c>
      <c r="I1348" s="1">
        <v>80.964693982760764</v>
      </c>
      <c r="J1348" s="1">
        <v>4.5588132526802723E-2</v>
      </c>
      <c r="K1348" s="1">
        <v>3.1011726412161642</v>
      </c>
      <c r="L1348" s="1">
        <v>5.1263744249104297</v>
      </c>
      <c r="M1348" s="1">
        <v>0.16247563258374795</v>
      </c>
      <c r="N1348" s="1">
        <v>2.1779527361083262</v>
      </c>
      <c r="O1348" s="1">
        <v>0.14196266666666665</v>
      </c>
      <c r="P1348" s="1">
        <v>0.10591258774620957</v>
      </c>
      <c r="Q1348" s="1">
        <v>3.6920768964749056</v>
      </c>
      <c r="R1348" s="2">
        <f t="shared" si="83"/>
        <v>321.60730463286757</v>
      </c>
      <c r="S1348" s="2">
        <f t="shared" si="82"/>
        <v>3.2526733614891765</v>
      </c>
      <c r="T1348" s="2">
        <f t="shared" si="84"/>
        <v>7.6087654602691703</v>
      </c>
      <c r="U1348" s="2">
        <f t="shared" si="85"/>
        <v>332.46874345462595</v>
      </c>
    </row>
    <row r="1349" spans="1:21" x14ac:dyDescent="0.25">
      <c r="A1349">
        <v>3169141</v>
      </c>
      <c r="B1349">
        <v>26</v>
      </c>
      <c r="C1349" s="1">
        <f>14.9344108620471*(10.3/7.3)</f>
        <v>21.071839983436281</v>
      </c>
      <c r="D1349" s="1">
        <f>14.1968112804024*(10.3/7.3)</f>
        <v>20.031117286047238</v>
      </c>
      <c r="E1349" s="1">
        <f>51.2540158831368*(10.3/7.3)</f>
        <v>72.31731008168623</v>
      </c>
      <c r="F1349" s="1">
        <f>85.2651794259224*(38.9/42.5)</f>
        <v>78.042717168667821</v>
      </c>
      <c r="G1349" s="1">
        <v>2.0620436977001493</v>
      </c>
      <c r="H1349" s="1">
        <v>4.5922581531620255</v>
      </c>
      <c r="I1349" s="1">
        <v>68.97651079001389</v>
      </c>
      <c r="J1349" s="1">
        <v>3.8118004952248694E-2</v>
      </c>
      <c r="K1349" s="1">
        <v>2.7336020534731578</v>
      </c>
      <c r="L1349" s="1">
        <v>4.1717056179404999</v>
      </c>
      <c r="M1349" s="1">
        <v>0.14175682965893929</v>
      </c>
      <c r="N1349" s="1">
        <v>1.7686898306584311</v>
      </c>
      <c r="O1349" s="1">
        <v>0.12637538461538464</v>
      </c>
      <c r="P1349" s="1">
        <v>9.5997769862433385E-2</v>
      </c>
      <c r="Q1349" s="1">
        <v>3.2955036264614281</v>
      </c>
      <c r="R1349" s="2">
        <f t="shared" si="83"/>
        <v>270.38930078717505</v>
      </c>
      <c r="S1349" s="2">
        <f t="shared" si="82"/>
        <v>2.8677178282878399</v>
      </c>
      <c r="T1349" s="2">
        <f t="shared" si="84"/>
        <v>6.2085276628732542</v>
      </c>
      <c r="U1349" s="2">
        <f t="shared" si="85"/>
        <v>279.46554627833615</v>
      </c>
    </row>
    <row r="1350" spans="1:21" x14ac:dyDescent="0.25">
      <c r="A1350">
        <v>3180577</v>
      </c>
      <c r="B1350">
        <v>24</v>
      </c>
      <c r="C1350" s="1">
        <f>0.69179967736339*(10.3/7.3)</f>
        <v>0.97610091463601589</v>
      </c>
      <c r="D1350" s="1">
        <f>0.801982524449017*(10.3/7.3)</f>
        <v>1.1315643838116274</v>
      </c>
      <c r="E1350" s="1">
        <f>2.83373856763502*(10.3/7.3)</f>
        <v>3.9982886639233848</v>
      </c>
      <c r="F1350" s="1">
        <f>6.27530185552467*(38.9/42.5)</f>
        <v>5.7437468748214062</v>
      </c>
      <c r="G1350" s="1">
        <v>0.25587608127406281</v>
      </c>
      <c r="H1350" s="1">
        <v>2.473700913683154</v>
      </c>
      <c r="I1350" s="1">
        <v>4.8789149362506823</v>
      </c>
      <c r="J1350" s="1">
        <v>1.5513860137016557E-2</v>
      </c>
      <c r="K1350" s="1">
        <v>2.0173143615923279</v>
      </c>
      <c r="L1350" s="1">
        <v>2.0861102057587551</v>
      </c>
      <c r="M1350" s="1">
        <v>8.1471663584699941E-2</v>
      </c>
      <c r="N1350" s="1">
        <v>0.68654336674772132</v>
      </c>
      <c r="O1350" s="1">
        <v>0.21084666666666671</v>
      </c>
      <c r="P1350" s="1">
        <v>0.13981309885781312</v>
      </c>
      <c r="Q1350" s="1">
        <v>0.4089343764653976</v>
      </c>
      <c r="R1350" s="2">
        <f t="shared" si="83"/>
        <v>19.867127144865727</v>
      </c>
      <c r="S1350" s="2">
        <f t="shared" si="82"/>
        <v>2.1726413205871578</v>
      </c>
      <c r="T1350" s="2">
        <f t="shared" si="84"/>
        <v>3.0649719027578435</v>
      </c>
      <c r="U1350" s="2">
        <f t="shared" si="85"/>
        <v>25.104740368210727</v>
      </c>
    </row>
    <row r="1351" spans="1:21" x14ac:dyDescent="0.25">
      <c r="A1351">
        <v>3180681</v>
      </c>
      <c r="B1351">
        <v>14</v>
      </c>
      <c r="C1351" s="1">
        <f>1.34096316512663*(10.3/7.3)</f>
        <v>1.8920439179183943</v>
      </c>
      <c r="D1351" s="1">
        <f>1.42558158004079*(10.3/7.3)</f>
        <v>2.0114370238931696</v>
      </c>
      <c r="E1351" s="1">
        <f>5.07862513951573*(10.3/7.3)</f>
        <v>7.1657313612345188</v>
      </c>
      <c r="F1351" s="1">
        <f>10.2649958281229*(38.9/42.5)</f>
        <v>9.3954902991524669</v>
      </c>
      <c r="G1351" s="1">
        <v>0.36809062309561719</v>
      </c>
      <c r="H1351" s="1">
        <v>2.4426073741384551</v>
      </c>
      <c r="I1351" s="1">
        <v>8.1142756074337576</v>
      </c>
      <c r="J1351" s="1">
        <v>1.8876194999968572E-2</v>
      </c>
      <c r="K1351" s="1">
        <v>2.4958292118750607</v>
      </c>
      <c r="L1351" s="1">
        <v>10.604282308190895</v>
      </c>
      <c r="M1351" s="1">
        <v>0.1006881043441034</v>
      </c>
      <c r="N1351" s="1">
        <v>0.94586102114744697</v>
      </c>
      <c r="O1351" s="1">
        <v>0.25647999999999999</v>
      </c>
      <c r="P1351" s="1">
        <v>0.17743698945224073</v>
      </c>
      <c r="Q1351" s="1">
        <v>0.58827268531263066</v>
      </c>
      <c r="R1351" s="2">
        <f t="shared" si="83"/>
        <v>31.977948892179011</v>
      </c>
      <c r="S1351" s="2">
        <f t="shared" si="82"/>
        <v>2.6921423963272701</v>
      </c>
      <c r="T1351" s="2">
        <f t="shared" si="84"/>
        <v>11.907311433682445</v>
      </c>
      <c r="U1351" s="2">
        <f t="shared" si="85"/>
        <v>46.577402722188729</v>
      </c>
    </row>
    <row r="1352" spans="1:21" x14ac:dyDescent="0.25">
      <c r="A1352">
        <v>3180689</v>
      </c>
      <c r="B1352">
        <v>3</v>
      </c>
      <c r="C1352" s="1">
        <f>0.793928334814196*(10.3/7.3)</f>
        <v>1.1202002532309889</v>
      </c>
      <c r="D1352" s="1">
        <f>0.894610083268164*(10.3/7.3)</f>
        <v>1.2622580626934368</v>
      </c>
      <c r="E1352" s="1">
        <f>3.17690112744744*(10.3/7.3)</f>
        <v>4.4824769332477574</v>
      </c>
      <c r="F1352" s="1">
        <f>6.45447097378631*(38.9/42.5)</f>
        <v>5.9077393148302972</v>
      </c>
      <c r="G1352" s="1">
        <v>0.23647805005805581</v>
      </c>
      <c r="H1352" s="1">
        <v>1.6626356020292359</v>
      </c>
      <c r="I1352" s="1">
        <v>4.9988669900975538</v>
      </c>
      <c r="J1352" s="1">
        <v>1.5657421864135785E-2</v>
      </c>
      <c r="K1352" s="1">
        <v>2.0473066859088829</v>
      </c>
      <c r="L1352" s="1">
        <v>5.2130894130264656</v>
      </c>
      <c r="M1352" s="1">
        <v>8.2893244584124268E-2</v>
      </c>
      <c r="N1352" s="1">
        <v>0.67593110386622179</v>
      </c>
      <c r="O1352" s="1">
        <v>0.19123555555555558</v>
      </c>
      <c r="P1352" s="1">
        <v>0.14266999153947138</v>
      </c>
      <c r="Q1352" s="1">
        <v>0.37793295671378818</v>
      </c>
      <c r="R1352" s="2">
        <f t="shared" si="83"/>
        <v>20.048588162901115</v>
      </c>
      <c r="S1352" s="2">
        <f t="shared" si="82"/>
        <v>2.2056340993124901</v>
      </c>
      <c r="T1352" s="2">
        <f t="shared" si="84"/>
        <v>6.1631493170323663</v>
      </c>
      <c r="U1352" s="2">
        <f t="shared" si="85"/>
        <v>28.417371579245973</v>
      </c>
    </row>
    <row r="1353" spans="1:21" x14ac:dyDescent="0.25">
      <c r="A1353">
        <v>3180705</v>
      </c>
      <c r="B1353">
        <v>15</v>
      </c>
      <c r="C1353" s="1">
        <f>1.03502764184138*(10.3/7.3)</f>
        <v>1.4603814672556505</v>
      </c>
      <c r="D1353" s="1">
        <f>1.21324689262132*(10.3/7.3)</f>
        <v>1.7118415060273418</v>
      </c>
      <c r="E1353" s="1">
        <f>4.29533433706058*(10.3/7.3)</f>
        <v>6.060540229003287</v>
      </c>
      <c r="F1353" s="1">
        <f>8.96878149969198*(38.9/42.5)</f>
        <v>8.2090729491298369</v>
      </c>
      <c r="G1353" s="1">
        <v>0.34306484448984925</v>
      </c>
      <c r="H1353" s="1">
        <v>2.0562309059724764</v>
      </c>
      <c r="I1353" s="1">
        <v>6.8820381971013083</v>
      </c>
      <c r="J1353" s="1">
        <v>1.8034747489179992E-2</v>
      </c>
      <c r="K1353" s="1">
        <v>2.3888766370099317</v>
      </c>
      <c r="L1353" s="1">
        <v>5.0801979103713393</v>
      </c>
      <c r="M1353" s="1">
        <v>9.3150626080251056E-2</v>
      </c>
      <c r="N1353" s="1">
        <v>0.79561675501003715</v>
      </c>
      <c r="O1353" s="1">
        <v>0.22103111111111112</v>
      </c>
      <c r="P1353" s="1">
        <v>0.17605303023244048</v>
      </c>
      <c r="Q1353" s="1">
        <v>0.54827714872807021</v>
      </c>
      <c r="R1353" s="2">
        <f t="shared" si="83"/>
        <v>27.271447247707819</v>
      </c>
      <c r="S1353" s="2">
        <f t="shared" ref="S1353:S1416" si="86">J1353+K1353+P1353</f>
        <v>2.5829644147315522</v>
      </c>
      <c r="T1353" s="2">
        <f t="shared" si="84"/>
        <v>6.1899964025727394</v>
      </c>
      <c r="U1353" s="2">
        <f t="shared" si="85"/>
        <v>36.044408065012114</v>
      </c>
    </row>
    <row r="1354" spans="1:21" x14ac:dyDescent="0.25">
      <c r="A1354">
        <v>3180713</v>
      </c>
      <c r="B1354">
        <v>23</v>
      </c>
      <c r="C1354" s="1">
        <f>1.09575271151017*(10.3/7.3)</f>
        <v>1.5460620450075042</v>
      </c>
      <c r="D1354" s="1">
        <f>1.34885523745024*(10.3/7.3)</f>
        <v>1.9031793076352637</v>
      </c>
      <c r="E1354" s="1">
        <f>4.74943874800788*(10.3/7.3)</f>
        <v>6.7012628910248173</v>
      </c>
      <c r="F1354" s="1">
        <f>10.6783422317345*(38.9/42.5)</f>
        <v>9.7738238309287144</v>
      </c>
      <c r="G1354" s="1">
        <v>0.44726129423510919</v>
      </c>
      <c r="H1354" s="1">
        <v>2.3451385907431264</v>
      </c>
      <c r="I1354" s="1">
        <v>8.1685301423901393</v>
      </c>
      <c r="J1354" s="1">
        <v>1.9053460766869514E-2</v>
      </c>
      <c r="K1354" s="1">
        <v>2.5630611287812699</v>
      </c>
      <c r="L1354" s="1">
        <v>5.722248982669333</v>
      </c>
      <c r="M1354" s="1">
        <v>9.6038217741695561E-2</v>
      </c>
      <c r="N1354" s="1">
        <v>0.85813933363557227</v>
      </c>
      <c r="O1354" s="1">
        <v>0.24952811594202903</v>
      </c>
      <c r="P1354" s="1">
        <v>0.19251483229590172</v>
      </c>
      <c r="Q1354" s="1">
        <v>0.71480115517026654</v>
      </c>
      <c r="R1354" s="2">
        <f t="shared" ref="R1354:R1417" si="87">C1354+D1354+E1354+F1354+G1354+H1354+I1354+Q1354</f>
        <v>31.600059257134941</v>
      </c>
      <c r="S1354" s="2">
        <f t="shared" si="86"/>
        <v>2.774629421844041</v>
      </c>
      <c r="T1354" s="2">
        <f t="shared" ref="T1354:T1417" si="88">L1354+M1354+N1354+O1354</f>
        <v>6.92595464998863</v>
      </c>
      <c r="U1354" s="2">
        <f t="shared" ref="U1354:U1417" si="89">R1354+S1354+T1354</f>
        <v>41.300643328967617</v>
      </c>
    </row>
    <row r="1355" spans="1:21" x14ac:dyDescent="0.25">
      <c r="A1355">
        <v>3180729</v>
      </c>
      <c r="B1355">
        <v>11</v>
      </c>
      <c r="C1355" s="1">
        <f>1.08338992274136*(10.3/7.3)</f>
        <v>1.528618658114522</v>
      </c>
      <c r="D1355" s="1">
        <f>1.30284955022644*(10.3/7.3)</f>
        <v>1.8382671736071663</v>
      </c>
      <c r="E1355" s="1">
        <f>4.60624277435435*(10.3/7.3)</f>
        <v>6.4992192569657288</v>
      </c>
      <c r="F1355" s="1">
        <f>9.65482420104141*(38.9/42.5)</f>
        <v>8.837003798129663</v>
      </c>
      <c r="G1355" s="1">
        <v>0.37302549366318377</v>
      </c>
      <c r="H1355" s="1">
        <v>2.4708825896312625</v>
      </c>
      <c r="I1355" s="1">
        <v>7.3498782939048004</v>
      </c>
      <c r="J1355" s="1">
        <v>1.8822851867020686E-2</v>
      </c>
      <c r="K1355" s="1">
        <v>2.4252700598352623</v>
      </c>
      <c r="L1355" s="1">
        <v>7.5697369201187623</v>
      </c>
      <c r="M1355" s="1">
        <v>9.5072934565699235E-2</v>
      </c>
      <c r="N1355" s="1">
        <v>0.85906454095627549</v>
      </c>
      <c r="O1355" s="1">
        <v>0.22616727272727274</v>
      </c>
      <c r="P1355" s="1">
        <v>0.17819609111195012</v>
      </c>
      <c r="Q1355" s="1">
        <v>0.59615946475851345</v>
      </c>
      <c r="R1355" s="2">
        <f t="shared" si="87"/>
        <v>29.493054728774844</v>
      </c>
      <c r="S1355" s="2">
        <f t="shared" si="86"/>
        <v>2.6222890028142332</v>
      </c>
      <c r="T1355" s="2">
        <f t="shared" si="88"/>
        <v>8.7500416683680093</v>
      </c>
      <c r="U1355" s="2">
        <f t="shared" si="89"/>
        <v>40.865385399957091</v>
      </c>
    </row>
    <row r="1356" spans="1:21" x14ac:dyDescent="0.25">
      <c r="A1356">
        <v>3181025</v>
      </c>
      <c r="B1356">
        <v>17</v>
      </c>
      <c r="C1356" s="1">
        <f>6.36906085301692*(10.3/7.3)</f>
        <v>8.9864831213800347</v>
      </c>
      <c r="D1356" s="1">
        <f>6.94861757673226*(10.3/7.3)</f>
        <v>9.8042138411427775</v>
      </c>
      <c r="E1356" s="1">
        <f>24.6834672587683*(10.3/7.3)</f>
        <v>34.827357913056652</v>
      </c>
      <c r="F1356" s="1">
        <f>51.7908717764527*(38.9/42.5)</f>
        <v>47.403880284800202</v>
      </c>
      <c r="G1356" s="1">
        <v>1.9605941462056811</v>
      </c>
      <c r="H1356" s="1">
        <v>7.7739129777766287</v>
      </c>
      <c r="I1356" s="1">
        <v>40.768898475092655</v>
      </c>
      <c r="J1356" s="1">
        <v>5.4602045148328011E-2</v>
      </c>
      <c r="K1356" s="1">
        <v>4.1802207016314954</v>
      </c>
      <c r="L1356" s="1">
        <v>5.1309196581158547</v>
      </c>
      <c r="M1356" s="1">
        <v>0.19385207746317651</v>
      </c>
      <c r="N1356" s="1">
        <v>2.2673428058944096</v>
      </c>
      <c r="O1356" s="1">
        <v>0.23834666666666665</v>
      </c>
      <c r="P1356" s="1">
        <v>0.17831275873271724</v>
      </c>
      <c r="Q1356" s="1">
        <v>3.1333696400547444</v>
      </c>
      <c r="R1356" s="2">
        <f t="shared" si="87"/>
        <v>154.65871039950937</v>
      </c>
      <c r="S1356" s="2">
        <f t="shared" si="86"/>
        <v>4.4131355055125407</v>
      </c>
      <c r="T1356" s="2">
        <f t="shared" si="88"/>
        <v>7.8304612081401075</v>
      </c>
      <c r="U1356" s="2">
        <f t="shared" si="89"/>
        <v>166.90230711316201</v>
      </c>
    </row>
    <row r="1357" spans="1:21" x14ac:dyDescent="0.25">
      <c r="A1357">
        <v>3181033</v>
      </c>
      <c r="B1357">
        <v>12</v>
      </c>
      <c r="C1357" s="1">
        <f>7.64421550129839*(10.3/7.3)</f>
        <v>10.785673926489507</v>
      </c>
      <c r="D1357" s="1">
        <f>8.26361434350242*(10.3/7.3)</f>
        <v>11.659620238092462</v>
      </c>
      <c r="E1357" s="1">
        <f>29.3716588696707*(10.3/7.3)</f>
        <v>41.442203610631296</v>
      </c>
      <c r="F1357" s="1">
        <f>61.4733088029966*(38.9/42.5)</f>
        <v>56.266157939683964</v>
      </c>
      <c r="G1357" s="1">
        <v>2.3149777654465833</v>
      </c>
      <c r="H1357" s="1">
        <v>6.5787699371828241</v>
      </c>
      <c r="I1357" s="1">
        <v>48.530712588452673</v>
      </c>
      <c r="J1357" s="1">
        <v>5.8471347774469135E-2</v>
      </c>
      <c r="K1357" s="1">
        <v>4.3376622337646857</v>
      </c>
      <c r="L1357" s="1">
        <v>5.5928127553913045</v>
      </c>
      <c r="M1357" s="1">
        <v>0.21461485311350822</v>
      </c>
      <c r="N1357" s="1">
        <v>2.4017448262204169</v>
      </c>
      <c r="O1357" s="1">
        <v>0.25199555555555558</v>
      </c>
      <c r="P1357" s="1">
        <v>0.1827833416855478</v>
      </c>
      <c r="Q1357" s="1">
        <v>3.6997361548233108</v>
      </c>
      <c r="R1357" s="2">
        <f t="shared" si="87"/>
        <v>181.27785216080261</v>
      </c>
      <c r="S1357" s="2">
        <f t="shared" si="86"/>
        <v>4.5789169232247025</v>
      </c>
      <c r="T1357" s="2">
        <f t="shared" si="88"/>
        <v>8.461167990280785</v>
      </c>
      <c r="U1357" s="2">
        <f t="shared" si="89"/>
        <v>194.31793707430811</v>
      </c>
    </row>
    <row r="1358" spans="1:21" x14ac:dyDescent="0.25">
      <c r="A1358">
        <v>3181041</v>
      </c>
      <c r="B1358">
        <v>17</v>
      </c>
      <c r="C1358" s="1">
        <f>7.39909032316559*(10.3/7.3)</f>
        <v>10.439812373781585</v>
      </c>
      <c r="D1358" s="1">
        <f>7.83311154427007*(10.3/7.3)</f>
        <v>11.052198480271469</v>
      </c>
      <c r="E1358" s="1">
        <f>27.892066953852*(10.3/7.3)</f>
        <v>39.354560222558348</v>
      </c>
      <c r="F1358" s="1">
        <f>57.3608210849286*(38.9/42.5)</f>
        <v>52.502022122440522</v>
      </c>
      <c r="G1358" s="1">
        <v>2.1020341243684069</v>
      </c>
      <c r="H1358" s="1">
        <v>5.7203258700819291</v>
      </c>
      <c r="I1358" s="1">
        <v>45.518037071162738</v>
      </c>
      <c r="J1358" s="1">
        <v>5.4478742639147641E-2</v>
      </c>
      <c r="K1358" s="1">
        <v>4.0640873004329885</v>
      </c>
      <c r="L1358" s="1">
        <v>5.1420929599385028</v>
      </c>
      <c r="M1358" s="1">
        <v>0.20136284273226132</v>
      </c>
      <c r="N1358" s="1">
        <v>2.3084130200517516</v>
      </c>
      <c r="O1358" s="1">
        <v>0.23500549019607841</v>
      </c>
      <c r="P1358" s="1">
        <v>0.17476030627409675</v>
      </c>
      <c r="Q1358" s="1">
        <v>3.3594152672554487</v>
      </c>
      <c r="R1358" s="2">
        <f t="shared" si="87"/>
        <v>170.04840553192045</v>
      </c>
      <c r="S1358" s="2">
        <f t="shared" si="86"/>
        <v>4.2933263493462333</v>
      </c>
      <c r="T1358" s="2">
        <f t="shared" si="88"/>
        <v>7.8868743129185948</v>
      </c>
      <c r="U1358" s="2">
        <f t="shared" si="89"/>
        <v>182.22860619418529</v>
      </c>
    </row>
    <row r="1359" spans="1:21" x14ac:dyDescent="0.25">
      <c r="A1359">
        <v>3181049</v>
      </c>
      <c r="B1359">
        <v>2</v>
      </c>
      <c r="C1359" s="1">
        <f>9.61874713332584*(10.3/7.3)</f>
        <v>13.571656914144674</v>
      </c>
      <c r="D1359" s="1">
        <f>10.0276473012059*(10.3/7.3)</f>
        <v>14.148598246906975</v>
      </c>
      <c r="E1359" s="1">
        <f>35.735616917468*(10.3/7.3)</f>
        <v>50.42148688355077</v>
      </c>
      <c r="F1359" s="1">
        <f>73.4888444171271*(38.9/42.5)</f>
        <v>67.263907007676309</v>
      </c>
      <c r="G1359" s="1">
        <v>2.6823735260668764</v>
      </c>
      <c r="H1359" s="1">
        <v>9.5246883619514424</v>
      </c>
      <c r="I1359" s="1">
        <v>58.645381689614119</v>
      </c>
      <c r="J1359" s="1">
        <v>6.2421770472439436E-2</v>
      </c>
      <c r="K1359" s="1">
        <v>4.4433336092054105</v>
      </c>
      <c r="L1359" s="1">
        <v>6.0122499601385542</v>
      </c>
      <c r="M1359" s="1">
        <v>0.23501657520252478</v>
      </c>
      <c r="N1359" s="1">
        <v>2.5882334541085168</v>
      </c>
      <c r="O1359" s="1">
        <v>0.26463999999999999</v>
      </c>
      <c r="P1359" s="1">
        <v>0.18598103039077102</v>
      </c>
      <c r="Q1359" s="1">
        <v>4.2868983293306293</v>
      </c>
      <c r="R1359" s="2">
        <f t="shared" si="87"/>
        <v>220.54499095924174</v>
      </c>
      <c r="S1359" s="2">
        <f t="shared" si="86"/>
        <v>4.6917364100686205</v>
      </c>
      <c r="T1359" s="2">
        <f t="shared" si="88"/>
        <v>9.1001399894495947</v>
      </c>
      <c r="U1359" s="2">
        <f t="shared" si="89"/>
        <v>234.33686735875995</v>
      </c>
    </row>
    <row r="1360" spans="1:21" x14ac:dyDescent="0.25">
      <c r="A1360">
        <v>3181057</v>
      </c>
      <c r="B1360">
        <v>10</v>
      </c>
      <c r="C1360" s="1">
        <f>11.3214446072376*(10.3/7.3)</f>
        <v>15.974093075965312</v>
      </c>
      <c r="D1360" s="1">
        <f>11.6689865214868*(10.3/7.3)</f>
        <v>16.464460434426567</v>
      </c>
      <c r="E1360" s="1">
        <f>41.5492855391639*(10.3/7.3)</f>
        <v>58.624334390875063</v>
      </c>
      <c r="F1360" s="1">
        <f>88.5335519816786*(38.9/42.5)</f>
        <v>81.034239343230539</v>
      </c>
      <c r="G1360" s="1">
        <v>3.3688465588579115</v>
      </c>
      <c r="H1360" s="1">
        <v>10.246891852630181</v>
      </c>
      <c r="I1360" s="1">
        <v>71.248957853662162</v>
      </c>
      <c r="J1360" s="1">
        <v>6.4458508275904242E-2</v>
      </c>
      <c r="K1360" s="1">
        <v>4.5000999503091137</v>
      </c>
      <c r="L1360" s="1">
        <v>6.27574784882008</v>
      </c>
      <c r="M1360" s="1">
        <v>0.24647013502833484</v>
      </c>
      <c r="N1360" s="1">
        <v>2.7179487574541095</v>
      </c>
      <c r="O1360" s="1">
        <v>0.27246933333333334</v>
      </c>
      <c r="P1360" s="1">
        <v>0.18717904582386266</v>
      </c>
      <c r="Q1360" s="1">
        <v>5.384001349772924</v>
      </c>
      <c r="R1360" s="2">
        <f t="shared" si="87"/>
        <v>262.34582485942065</v>
      </c>
      <c r="S1360" s="2">
        <f t="shared" si="86"/>
        <v>4.7517375044088803</v>
      </c>
      <c r="T1360" s="2">
        <f t="shared" si="88"/>
        <v>9.5126360746358571</v>
      </c>
      <c r="U1360" s="2">
        <f t="shared" si="89"/>
        <v>276.61019843846537</v>
      </c>
    </row>
    <row r="1361" spans="1:21" x14ac:dyDescent="0.25">
      <c r="A1361">
        <v>3181361</v>
      </c>
      <c r="B1361">
        <v>8</v>
      </c>
      <c r="C1361" s="1">
        <f>15.5826690748429*(10.3/7.3)</f>
        <v>21.986505680942759</v>
      </c>
      <c r="D1361" s="1">
        <f>14.9728830382102*(10.3/7.3)</f>
        <v>21.126122642954158</v>
      </c>
      <c r="E1361" s="1">
        <f>54.0519469447491*(10.3/7.3)</f>
        <v>76.265075826152838</v>
      </c>
      <c r="F1361" s="1">
        <f>88.4223576992578*(38.9/42.5)</f>
        <v>80.932463870614754</v>
      </c>
      <c r="G1361" s="1">
        <v>2.0610016987534845</v>
      </c>
      <c r="H1361" s="1">
        <v>5.2426934794271602</v>
      </c>
      <c r="I1361" s="1">
        <v>71.019809093815155</v>
      </c>
      <c r="J1361" s="1">
        <v>3.6446998672627184E-2</v>
      </c>
      <c r="K1361" s="1">
        <v>2.6097252408448366</v>
      </c>
      <c r="L1361" s="1">
        <v>4.0011600468060156</v>
      </c>
      <c r="M1361" s="1">
        <v>0.13583702919020069</v>
      </c>
      <c r="N1361" s="1">
        <v>1.8816214714131401</v>
      </c>
      <c r="O1361" s="1">
        <v>0.12136666666666665</v>
      </c>
      <c r="P1361" s="1">
        <v>9.3208573722344812E-2</v>
      </c>
      <c r="Q1361" s="1">
        <v>3.2938383313411883</v>
      </c>
      <c r="R1361" s="2">
        <f t="shared" si="87"/>
        <v>281.92751062400151</v>
      </c>
      <c r="S1361" s="2">
        <f t="shared" si="86"/>
        <v>2.7393808132398085</v>
      </c>
      <c r="T1361" s="2">
        <f t="shared" si="88"/>
        <v>6.1399852140760238</v>
      </c>
      <c r="U1361" s="2">
        <f t="shared" si="89"/>
        <v>290.80687665131734</v>
      </c>
    </row>
    <row r="1362" spans="1:21" x14ac:dyDescent="0.25">
      <c r="A1362">
        <v>3181369</v>
      </c>
      <c r="B1362">
        <v>20</v>
      </c>
      <c r="C1362" s="1">
        <f>14.0700563657088*(10.3/7.3)</f>
        <v>19.852271310520688</v>
      </c>
      <c r="D1362" s="1">
        <f>13.8012285612511*(10.3/7.3)</f>
        <v>19.472966326148779</v>
      </c>
      <c r="E1362" s="1">
        <f>49.750327421913*(10.3/7.3)</f>
        <v>70.195667458315569</v>
      </c>
      <c r="F1362" s="1">
        <f>82.0402396517512*(38.9/42.5)</f>
        <v>75.090948763602881</v>
      </c>
      <c r="G1362" s="1">
        <v>1.9729393758927092</v>
      </c>
      <c r="H1362" s="1">
        <v>4.6630831895824336</v>
      </c>
      <c r="I1362" s="1">
        <v>65.301897325051669</v>
      </c>
      <c r="J1362" s="1">
        <v>3.7817553486208723E-2</v>
      </c>
      <c r="K1362" s="1">
        <v>2.6991822387995663</v>
      </c>
      <c r="L1362" s="1">
        <v>4.145319439802166</v>
      </c>
      <c r="M1362" s="1">
        <v>0.14018698738118265</v>
      </c>
      <c r="N1362" s="1">
        <v>1.8223289885053877</v>
      </c>
      <c r="O1362" s="1">
        <v>0.12453333333333338</v>
      </c>
      <c r="P1362" s="1">
        <v>9.5682582667815388E-2</v>
      </c>
      <c r="Q1362" s="1">
        <v>3.1530994591892636</v>
      </c>
      <c r="R1362" s="2">
        <f t="shared" si="87"/>
        <v>259.70287320830397</v>
      </c>
      <c r="S1362" s="2">
        <f t="shared" si="86"/>
        <v>2.8326823749535905</v>
      </c>
      <c r="T1362" s="2">
        <f t="shared" si="88"/>
        <v>6.2323687490220703</v>
      </c>
      <c r="U1362" s="2">
        <f t="shared" si="89"/>
        <v>268.76792433227962</v>
      </c>
    </row>
    <row r="1363" spans="1:21" x14ac:dyDescent="0.25">
      <c r="A1363">
        <v>319001</v>
      </c>
      <c r="B1363">
        <v>1</v>
      </c>
      <c r="C1363" s="1">
        <f>0.836014502395483*(10.3/7.3)</f>
        <v>1.1795821061196547</v>
      </c>
      <c r="D1363" s="1">
        <f>1.1087366526098*(10.3/7.3)</f>
        <v>1.5643818523124606</v>
      </c>
      <c r="E1363" s="1">
        <f>3.87678315197683*(10.3/7.3)</f>
        <v>5.4699817075837451</v>
      </c>
      <c r="F1363" s="1">
        <f>9.44389168759465*(38.9/42.5)</f>
        <v>8.6439385093513348</v>
      </c>
      <c r="G1363" s="1">
        <v>0.430896483227383</v>
      </c>
      <c r="H1363" s="1">
        <v>0.94020817228362141</v>
      </c>
      <c r="I1363" s="1">
        <v>7.1736256966100509</v>
      </c>
      <c r="J1363" s="1">
        <v>1.6692763580897066E-2</v>
      </c>
      <c r="K1363" s="1">
        <v>2.1435935627261236</v>
      </c>
      <c r="L1363" s="1">
        <v>1.0508687245803179</v>
      </c>
      <c r="M1363" s="1">
        <v>5.6856433019823321E-2</v>
      </c>
      <c r="N1363" s="1">
        <v>0.5916133674109042</v>
      </c>
      <c r="O1363" s="1">
        <v>6.0639999999999999E-2</v>
      </c>
      <c r="P1363" s="1">
        <v>5.2686057029978646E-2</v>
      </c>
      <c r="Q1363" s="1">
        <v>0.68864734762367208</v>
      </c>
      <c r="R1363" s="2">
        <f t="shared" si="87"/>
        <v>26.091261875111925</v>
      </c>
      <c r="S1363" s="2">
        <f t="shared" si="86"/>
        <v>2.2129723833369992</v>
      </c>
      <c r="T1363" s="2">
        <f t="shared" si="88"/>
        <v>1.7599785250110453</v>
      </c>
      <c r="U1363" s="2">
        <f t="shared" si="89"/>
        <v>30.064212783459972</v>
      </c>
    </row>
    <row r="1364" spans="1:21" x14ac:dyDescent="0.25">
      <c r="A1364">
        <v>319041</v>
      </c>
      <c r="B1364">
        <v>22</v>
      </c>
      <c r="C1364" s="1">
        <f>1.16867868190774*(10.3/7.3)</f>
        <v>1.6489575922807849</v>
      </c>
      <c r="D1364" s="1">
        <f>1.89685260232837*(10.3/7.3)</f>
        <v>2.676381069038662</v>
      </c>
      <c r="E1364" s="1">
        <f>6.50425284875633*(10.3/7.3)</f>
        <v>9.1772334715329063</v>
      </c>
      <c r="F1364" s="1">
        <f>19.7403561106132*(38.9/42.5)</f>
        <v>18.06823182830248</v>
      </c>
      <c r="G1364" s="1">
        <v>1.0693550299018211</v>
      </c>
      <c r="H1364" s="1">
        <v>4.2872014658291739</v>
      </c>
      <c r="I1364" s="1">
        <v>14.931606531856589</v>
      </c>
      <c r="J1364" s="1">
        <v>2.0057624160371233E-2</v>
      </c>
      <c r="K1364" s="1">
        <v>2.5213791014649085</v>
      </c>
      <c r="L1364" s="1">
        <v>1.3096303734441368</v>
      </c>
      <c r="M1364" s="1">
        <v>6.8072107799976855E-2</v>
      </c>
      <c r="N1364" s="1">
        <v>0.70001420466957154</v>
      </c>
      <c r="O1364" s="1">
        <v>7.129939393939394E-2</v>
      </c>
      <c r="P1364" s="1">
        <v>6.146190293625102E-2</v>
      </c>
      <c r="Q1364" s="1">
        <v>1.7090148879709481</v>
      </c>
      <c r="R1364" s="2">
        <f t="shared" si="87"/>
        <v>53.567981876713361</v>
      </c>
      <c r="S1364" s="2">
        <f t="shared" si="86"/>
        <v>2.602898628561531</v>
      </c>
      <c r="T1364" s="2">
        <f t="shared" si="88"/>
        <v>2.1490160798530789</v>
      </c>
      <c r="U1364" s="2">
        <f t="shared" si="89"/>
        <v>58.319896585127971</v>
      </c>
    </row>
    <row r="1365" spans="1:21" x14ac:dyDescent="0.25">
      <c r="A1365">
        <v>319049</v>
      </c>
      <c r="B1365">
        <v>1</v>
      </c>
      <c r="C1365" s="1">
        <f>0.714535501332776*(10.3/7.3)</f>
        <v>1.0081802279078902</v>
      </c>
      <c r="D1365" s="1">
        <f>1.11396765257052*(10.3/7.3)</f>
        <v>1.5717625782844327</v>
      </c>
      <c r="E1365" s="1">
        <f>3.83042843256882*(10.3/7.3)</f>
        <v>5.4045771034875072</v>
      </c>
      <c r="F1365" s="1">
        <f>11.3597899758131*(38.9/42.5)</f>
        <v>10.39754894256774</v>
      </c>
      <c r="G1365" s="1">
        <v>0.60535805736277271</v>
      </c>
      <c r="H1365" s="1">
        <v>1.9166944734013378</v>
      </c>
      <c r="I1365" s="1">
        <v>8.6205223203482841</v>
      </c>
      <c r="J1365" s="1">
        <v>1.3892249101132943E-2</v>
      </c>
      <c r="K1365" s="1">
        <v>1.7921851673481022</v>
      </c>
      <c r="L1365" s="1">
        <v>0.9113153049878453</v>
      </c>
      <c r="M1365" s="1">
        <v>4.9250001706791495E-2</v>
      </c>
      <c r="N1365" s="1">
        <v>0.51546396230404645</v>
      </c>
      <c r="O1365" s="1">
        <v>5.2719999999999996E-2</v>
      </c>
      <c r="P1365" s="1">
        <v>4.7635219592525146E-2</v>
      </c>
      <c r="Q1365" s="1">
        <v>0.96746721496333632</v>
      </c>
      <c r="R1365" s="2">
        <f t="shared" si="87"/>
        <v>30.492110918323299</v>
      </c>
      <c r="S1365" s="2">
        <f t="shared" si="86"/>
        <v>1.8537126360417602</v>
      </c>
      <c r="T1365" s="2">
        <f t="shared" si="88"/>
        <v>1.5287492689986835</v>
      </c>
      <c r="U1365" s="2">
        <f t="shared" si="89"/>
        <v>33.874572823363742</v>
      </c>
    </row>
    <row r="1366" spans="1:21" x14ac:dyDescent="0.25">
      <c r="A1366">
        <v>319057</v>
      </c>
      <c r="B1366">
        <v>26</v>
      </c>
      <c r="C1366" s="1">
        <f>0.892204284980352*(10.3/7.3)</f>
        <v>1.2588635801777575</v>
      </c>
      <c r="D1366" s="1">
        <f>1.27299867368125*(10.3/7.3)</f>
        <v>1.796148813550251</v>
      </c>
      <c r="E1366" s="1">
        <f>4.43447777868742*(10.3/7.3)</f>
        <v>6.2568659069151229</v>
      </c>
      <c r="F1366" s="1">
        <f>10.9696289506942*(38.9/42.5)</f>
        <v>10.040436851341267</v>
      </c>
      <c r="G1366" s="1">
        <v>0.51185876970108457</v>
      </c>
      <c r="H1366" s="1">
        <v>2.412056302374578</v>
      </c>
      <c r="I1366" s="1">
        <v>8.201787239310093</v>
      </c>
      <c r="J1366" s="1">
        <v>1.4765369874252874E-2</v>
      </c>
      <c r="K1366" s="1">
        <v>1.9154649179938765</v>
      </c>
      <c r="L1366" s="1">
        <v>1.0103251795284065</v>
      </c>
      <c r="M1366" s="1">
        <v>5.3091137813365198E-2</v>
      </c>
      <c r="N1366" s="1">
        <v>0.56963465205408992</v>
      </c>
      <c r="O1366" s="1">
        <v>5.7963076923076923E-2</v>
      </c>
      <c r="P1366" s="1">
        <v>5.1137641016016554E-2</v>
      </c>
      <c r="Q1366" s="1">
        <v>0.81803912965926862</v>
      </c>
      <c r="R1366" s="2">
        <f t="shared" si="87"/>
        <v>31.296056593029423</v>
      </c>
      <c r="S1366" s="2">
        <f t="shared" si="86"/>
        <v>1.9813679288841459</v>
      </c>
      <c r="T1366" s="2">
        <f t="shared" si="88"/>
        <v>1.6910140463189387</v>
      </c>
      <c r="U1366" s="2">
        <f t="shared" si="89"/>
        <v>34.968438568232507</v>
      </c>
    </row>
    <row r="1367" spans="1:21" x14ac:dyDescent="0.25">
      <c r="A1367">
        <v>319065</v>
      </c>
      <c r="B1367">
        <v>27</v>
      </c>
      <c r="C1367" s="1">
        <f>1.47997859618922*(10.3/7.3)</f>
        <v>2.0881889781847902</v>
      </c>
      <c r="D1367" s="1">
        <f>2.17287303043865*(10.3/7.3)</f>
        <v>3.0658345497969943</v>
      </c>
      <c r="E1367" s="1">
        <f>7.57359754865276*(10.3/7.3)</f>
        <v>10.686034897414162</v>
      </c>
      <c r="F1367" s="1">
        <f>18.0779969398108*(38.9/42.5)</f>
        <v>16.546684257850323</v>
      </c>
      <c r="G1367" s="1">
        <v>0.82211768158920784</v>
      </c>
      <c r="H1367" s="1">
        <v>1.643575899226138</v>
      </c>
      <c r="I1367" s="1">
        <v>13.32208011171612</v>
      </c>
      <c r="J1367" s="1">
        <v>2.3363708510023187E-2</v>
      </c>
      <c r="K1367" s="1">
        <v>2.7732681496733864</v>
      </c>
      <c r="L1367" s="1">
        <v>1.5014363349225885</v>
      </c>
      <c r="M1367" s="1">
        <v>7.7239766682242264E-2</v>
      </c>
      <c r="N1367" s="1">
        <v>0.79611484518809406</v>
      </c>
      <c r="O1367" s="1">
        <v>7.9841975308641969E-2</v>
      </c>
      <c r="P1367" s="1">
        <v>6.8466181591262235E-2</v>
      </c>
      <c r="Q1367" s="1">
        <v>1.3138867057361787</v>
      </c>
      <c r="R1367" s="2">
        <f t="shared" si="87"/>
        <v>49.488403081513908</v>
      </c>
      <c r="S1367" s="2">
        <f t="shared" si="86"/>
        <v>2.8650980397746721</v>
      </c>
      <c r="T1367" s="2">
        <f t="shared" si="88"/>
        <v>2.4546329221015668</v>
      </c>
      <c r="U1367" s="2">
        <f t="shared" si="89"/>
        <v>54.808134043390147</v>
      </c>
    </row>
    <row r="1368" spans="1:21" x14ac:dyDescent="0.25">
      <c r="A1368">
        <v>319073</v>
      </c>
      <c r="B1368">
        <v>40</v>
      </c>
      <c r="C1368" s="1">
        <f>1.26862910560626*(10.3/7.3)</f>
        <v>1.7899835325677327</v>
      </c>
      <c r="D1368" s="1">
        <f>1.80472792117632*(10.3/7.3)</f>
        <v>2.5463969298789193</v>
      </c>
      <c r="E1368" s="1">
        <f>6.30475717970696*(10.3/7.3)</f>
        <v>8.8957532809564004</v>
      </c>
      <c r="F1368" s="1">
        <f>14.7165945908257*(38.9/42.5)</f>
        <v>13.470012460779252</v>
      </c>
      <c r="G1368" s="1">
        <v>0.65353616826446004</v>
      </c>
      <c r="H1368" s="1">
        <v>2.4127223057725113</v>
      </c>
      <c r="I1368" s="1">
        <v>10.882237349235256</v>
      </c>
      <c r="J1368" s="1">
        <v>2.1270756114559964E-2</v>
      </c>
      <c r="K1368" s="1">
        <v>2.45269331622075</v>
      </c>
      <c r="L1368" s="1">
        <v>1.3445198659992403</v>
      </c>
      <c r="M1368" s="1">
        <v>6.8722787309065864E-2</v>
      </c>
      <c r="N1368" s="1">
        <v>0.71319961947382648</v>
      </c>
      <c r="O1368" s="1">
        <v>7.2746666666666654E-2</v>
      </c>
      <c r="P1368" s="1">
        <v>6.2871632934414917E-2</v>
      </c>
      <c r="Q1368" s="1">
        <v>1.044464195856444</v>
      </c>
      <c r="R1368" s="2">
        <f t="shared" si="87"/>
        <v>41.695106223310972</v>
      </c>
      <c r="S1368" s="2">
        <f t="shared" si="86"/>
        <v>2.5368357052697248</v>
      </c>
      <c r="T1368" s="2">
        <f t="shared" si="88"/>
        <v>2.1991889394487996</v>
      </c>
      <c r="U1368" s="2">
        <f t="shared" si="89"/>
        <v>46.431130868029499</v>
      </c>
    </row>
    <row r="1369" spans="1:21" x14ac:dyDescent="0.25">
      <c r="A1369">
        <v>319081</v>
      </c>
      <c r="B1369">
        <v>10</v>
      </c>
      <c r="C1369" s="1">
        <f>1.04806506031609*(10.3/7.3)</f>
        <v>1.4787767289391429</v>
      </c>
      <c r="D1369" s="1">
        <f>1.4208463305289*(10.3/7.3)</f>
        <v>2.0047557814311827</v>
      </c>
      <c r="E1369" s="1">
        <f>4.98986773173216*(10.3/7.3)</f>
        <v>7.0404983064166169</v>
      </c>
      <c r="F1369" s="1">
        <f>10.8128068190831*(38.9/42.5)</f>
        <v>9.8968984767607875</v>
      </c>
      <c r="G1369" s="1">
        <v>0.44349290930579299</v>
      </c>
      <c r="H1369" s="1">
        <v>4.7769562050894541</v>
      </c>
      <c r="I1369" s="1">
        <v>7.9778466270019495</v>
      </c>
      <c r="J1369" s="1">
        <v>2.0302032696787008E-2</v>
      </c>
      <c r="K1369" s="1">
        <v>2.1286967933850218</v>
      </c>
      <c r="L1369" s="1">
        <v>1.1738544594661475</v>
      </c>
      <c r="M1369" s="1">
        <v>5.9702456934574044E-2</v>
      </c>
      <c r="N1369" s="1">
        <v>0.6877382801669738</v>
      </c>
      <c r="O1369" s="1">
        <v>6.4496000000000012E-2</v>
      </c>
      <c r="P1369" s="1">
        <v>5.6740417210120575E-2</v>
      </c>
      <c r="Q1369" s="1">
        <v>0.70877862217820886</v>
      </c>
      <c r="R1369" s="2">
        <f t="shared" si="87"/>
        <v>34.328003657123134</v>
      </c>
      <c r="S1369" s="2">
        <f t="shared" si="86"/>
        <v>2.2057392432919296</v>
      </c>
      <c r="T1369" s="2">
        <f t="shared" si="88"/>
        <v>1.9857911965676955</v>
      </c>
      <c r="U1369" s="2">
        <f t="shared" si="89"/>
        <v>38.51953409698276</v>
      </c>
    </row>
    <row r="1370" spans="1:21" x14ac:dyDescent="0.25">
      <c r="A1370">
        <v>3192805</v>
      </c>
      <c r="B1370">
        <v>5</v>
      </c>
      <c r="C1370" s="1">
        <f>0.616157425062322*(10.3/7.3)</f>
        <v>0.86937280522491966</v>
      </c>
      <c r="D1370" s="1">
        <f>0.740914668370526*(10.3/7.3)</f>
        <v>1.0454001485227964</v>
      </c>
      <c r="E1370" s="1">
        <f>2.61227451741451*(10.3/7.3)</f>
        <v>3.6858119903245874</v>
      </c>
      <c r="F1370" s="1">
        <f>5.8419728847651*(38.9/42.5)</f>
        <v>5.3471234168791151</v>
      </c>
      <c r="G1370" s="1">
        <v>0.24233635383898586</v>
      </c>
      <c r="H1370" s="1">
        <v>3.1604296569302184</v>
      </c>
      <c r="I1370" s="1">
        <v>4.4970481170967531</v>
      </c>
      <c r="J1370" s="1">
        <v>1.4000875117317731E-2</v>
      </c>
      <c r="K1370" s="1">
        <v>1.9077799132059652</v>
      </c>
      <c r="L1370" s="1">
        <v>1.9546143960783664</v>
      </c>
      <c r="M1370" s="1">
        <v>7.9755154736203121E-2</v>
      </c>
      <c r="N1370" s="1">
        <v>0.66613818098166588</v>
      </c>
      <c r="O1370" s="1">
        <v>0.20283733333333331</v>
      </c>
      <c r="P1370" s="1">
        <v>0.1296997752580121</v>
      </c>
      <c r="Q1370" s="1">
        <v>0.38729554266504634</v>
      </c>
      <c r="R1370" s="2">
        <f t="shared" si="87"/>
        <v>19.234818031482423</v>
      </c>
      <c r="S1370" s="2">
        <f t="shared" si="86"/>
        <v>2.0514805635812952</v>
      </c>
      <c r="T1370" s="2">
        <f t="shared" si="88"/>
        <v>2.9033450651295682</v>
      </c>
      <c r="U1370" s="2">
        <f t="shared" si="89"/>
        <v>24.189643660193287</v>
      </c>
    </row>
    <row r="1371" spans="1:21" x14ac:dyDescent="0.25">
      <c r="A1371">
        <v>3192917</v>
      </c>
      <c r="B1371">
        <v>1</v>
      </c>
      <c r="C1371" s="1">
        <f>0.980594428250443*(10.3/7.3)</f>
        <v>1.3835784398602147</v>
      </c>
      <c r="D1371" s="1">
        <f>1.09723478269123*(10.3/7.3)</f>
        <v>1.5481531865369476</v>
      </c>
      <c r="E1371" s="1">
        <f>3.89759918309985*(10.3/7.3)</f>
        <v>5.4993522720449945</v>
      </c>
      <c r="F1371" s="1">
        <f>7.92971885662645*(38.9/42.5)</f>
        <v>7.258025024065148</v>
      </c>
      <c r="G1371" s="1">
        <v>0.29055470034356401</v>
      </c>
      <c r="H1371" s="1">
        <v>2.0151156932938354</v>
      </c>
      <c r="I1371" s="1">
        <v>6.1581904694449019</v>
      </c>
      <c r="J1371" s="1">
        <v>1.7524431517311867E-2</v>
      </c>
      <c r="K1371" s="1">
        <v>2.2741039772791569</v>
      </c>
      <c r="L1371" s="1">
        <v>6.7624616479385953</v>
      </c>
      <c r="M1371" s="1">
        <v>9.4025100837105108E-2</v>
      </c>
      <c r="N1371" s="1">
        <v>0.7580184536268546</v>
      </c>
      <c r="O1371" s="1">
        <v>0.23216000000000001</v>
      </c>
      <c r="P1371" s="1">
        <v>0.15763649779060598</v>
      </c>
      <c r="Q1371" s="1">
        <v>0.46435682703309367</v>
      </c>
      <c r="R1371" s="2">
        <f t="shared" si="87"/>
        <v>24.617326612622698</v>
      </c>
      <c r="S1371" s="2">
        <f t="shared" si="86"/>
        <v>2.4492649065870751</v>
      </c>
      <c r="T1371" s="2">
        <f t="shared" si="88"/>
        <v>7.8466652024025549</v>
      </c>
      <c r="U1371" s="2">
        <f t="shared" si="89"/>
        <v>34.913256721612328</v>
      </c>
    </row>
    <row r="1372" spans="1:21" x14ac:dyDescent="0.25">
      <c r="A1372">
        <v>3192933</v>
      </c>
      <c r="B1372">
        <v>2</v>
      </c>
      <c r="C1372" s="1">
        <f>0.97481919705238*(10.3/7.3)</f>
        <v>1.375429825978016</v>
      </c>
      <c r="D1372" s="1">
        <f>1.12323049947022*(10.3/7.3)</f>
        <v>1.5848320745949702</v>
      </c>
      <c r="E1372" s="1">
        <f>3.98242789972488*(10.3/7.3)</f>
        <v>5.6190421050912676</v>
      </c>
      <c r="F1372" s="1">
        <f>8.18986854494965*(38.9/42.5)</f>
        <v>7.4961385034950885</v>
      </c>
      <c r="G1372" s="1">
        <v>0.30632705667683729</v>
      </c>
      <c r="H1372" s="1">
        <v>1.9183740164029162</v>
      </c>
      <c r="I1372" s="1">
        <v>6.3054993138363731</v>
      </c>
      <c r="J1372" s="1">
        <v>1.7465026664710809E-2</v>
      </c>
      <c r="K1372" s="1">
        <v>2.2887368200537948</v>
      </c>
      <c r="L1372" s="1">
        <v>4.6643706726820735</v>
      </c>
      <c r="M1372" s="1">
        <v>9.1062174314039221E-2</v>
      </c>
      <c r="N1372" s="1">
        <v>0.76085650001624039</v>
      </c>
      <c r="O1372" s="1">
        <v>0.2084</v>
      </c>
      <c r="P1372" s="1">
        <v>0.16773066341497694</v>
      </c>
      <c r="Q1372" s="1">
        <v>0.48956378920955779</v>
      </c>
      <c r="R1372" s="2">
        <f t="shared" si="87"/>
        <v>25.095206685285024</v>
      </c>
      <c r="S1372" s="2">
        <f t="shared" si="86"/>
        <v>2.4739325101334826</v>
      </c>
      <c r="T1372" s="2">
        <f t="shared" si="88"/>
        <v>5.7246893470123537</v>
      </c>
      <c r="U1372" s="2">
        <f t="shared" si="89"/>
        <v>33.293828542430859</v>
      </c>
    </row>
    <row r="1373" spans="1:21" x14ac:dyDescent="0.25">
      <c r="A1373">
        <v>3192941</v>
      </c>
      <c r="B1373">
        <v>28</v>
      </c>
      <c r="C1373" s="1">
        <f>1.17733635608397*(10.3/7.3)</f>
        <v>1.6611732147486129</v>
      </c>
      <c r="D1373" s="1">
        <f>1.40208428224193*(10.3/7.3)</f>
        <v>1.97828330234136</v>
      </c>
      <c r="E1373" s="1">
        <f>4.9545290918004*(10.3/7.3)</f>
        <v>6.9906369377457667</v>
      </c>
      <c r="F1373" s="1">
        <f>10.6292664708525*(38.9/42.5)</f>
        <v>9.728905075674442</v>
      </c>
      <c r="G1373" s="1">
        <v>0.42093338155913462</v>
      </c>
      <c r="H1373" s="1">
        <v>2.4930416511287108</v>
      </c>
      <c r="I1373" s="1">
        <v>8.1506141786106809</v>
      </c>
      <c r="J1373" s="1">
        <v>1.9777269626412158E-2</v>
      </c>
      <c r="K1373" s="1">
        <v>2.6657151850792706</v>
      </c>
      <c r="L1373" s="1">
        <v>5.6336788682376655</v>
      </c>
      <c r="M1373" s="1">
        <v>9.9021481218548396E-2</v>
      </c>
      <c r="N1373" s="1">
        <v>0.88799235968068468</v>
      </c>
      <c r="O1373" s="1">
        <v>0.26215619047619049</v>
      </c>
      <c r="P1373" s="1">
        <v>0.20224742923807379</v>
      </c>
      <c r="Q1373" s="1">
        <v>0.67272458240044408</v>
      </c>
      <c r="R1373" s="2">
        <f t="shared" si="87"/>
        <v>32.096312324209151</v>
      </c>
      <c r="S1373" s="2">
        <f t="shared" si="86"/>
        <v>2.8877398839437567</v>
      </c>
      <c r="T1373" s="2">
        <f t="shared" si="88"/>
        <v>6.882848899613089</v>
      </c>
      <c r="U1373" s="2">
        <f t="shared" si="89"/>
        <v>41.866901107765997</v>
      </c>
    </row>
    <row r="1374" spans="1:21" x14ac:dyDescent="0.25">
      <c r="A1374">
        <v>3193253</v>
      </c>
      <c r="B1374">
        <v>6</v>
      </c>
      <c r="C1374" s="1">
        <f>5.85555337909366*(10.3/7.3)</f>
        <v>8.2619451787211968</v>
      </c>
      <c r="D1374" s="1">
        <f>6.60272036380418*(10.3/7.3)</f>
        <v>9.316167088655213</v>
      </c>
      <c r="E1374" s="1">
        <f>23.3525107361501*(10.3/7.3)</f>
        <v>32.94943295648573</v>
      </c>
      <c r="F1374" s="1">
        <f>52.1911133855691*(38.9/42.5)</f>
        <v>47.770219075262055</v>
      </c>
      <c r="G1374" s="1">
        <v>2.1371364006683495</v>
      </c>
      <c r="H1374" s="1">
        <v>8.093717724606595</v>
      </c>
      <c r="I1374" s="1">
        <v>40.995359033312276</v>
      </c>
      <c r="J1374" s="1">
        <v>6.5491021190160731E-2</v>
      </c>
      <c r="K1374" s="1">
        <v>3.9934342300802448</v>
      </c>
      <c r="L1374" s="1">
        <v>4.7673155224353652</v>
      </c>
      <c r="M1374" s="1">
        <v>0.18078187556971612</v>
      </c>
      <c r="N1374" s="1">
        <v>2.2647007841460201</v>
      </c>
      <c r="O1374" s="1">
        <v>0.22580444444444447</v>
      </c>
      <c r="P1374" s="1">
        <v>0.17070067116258603</v>
      </c>
      <c r="Q1374" s="1">
        <v>3.41551479558869</v>
      </c>
      <c r="R1374" s="2">
        <f t="shared" si="87"/>
        <v>152.9394922533001</v>
      </c>
      <c r="S1374" s="2">
        <f t="shared" si="86"/>
        <v>4.2296259224329917</v>
      </c>
      <c r="T1374" s="2">
        <f t="shared" si="88"/>
        <v>7.4386026265955447</v>
      </c>
      <c r="U1374" s="2">
        <f t="shared" si="89"/>
        <v>164.60772080232866</v>
      </c>
    </row>
    <row r="1375" spans="1:21" x14ac:dyDescent="0.25">
      <c r="A1375">
        <v>3193269</v>
      </c>
      <c r="B1375">
        <v>1</v>
      </c>
      <c r="C1375" s="1">
        <f>8.84207811013803*(10.3/7.3)</f>
        <v>12.475808840331748</v>
      </c>
      <c r="D1375" s="1">
        <f>9.64996499969662*(10.3/7.3)</f>
        <v>13.615704040667838</v>
      </c>
      <c r="E1375" s="1">
        <f>34.2519968994323*(10.3/7.3)</f>
        <v>48.328160008788089</v>
      </c>
      <c r="F1375" s="1">
        <f>73.2240686119954*(38.9/42.5)</f>
        <v>67.021559270744021</v>
      </c>
      <c r="G1375" s="1">
        <v>2.8347323423474746</v>
      </c>
      <c r="H1375" s="1">
        <v>8.0080610315260934</v>
      </c>
      <c r="I1375" s="1">
        <v>57.78399413225695</v>
      </c>
      <c r="J1375" s="1">
        <v>6.5998791239774521E-2</v>
      </c>
      <c r="K1375" s="1">
        <v>4.695372083326113</v>
      </c>
      <c r="L1375" s="1">
        <v>6.2929890806271143</v>
      </c>
      <c r="M1375" s="1">
        <v>0.23885685774278587</v>
      </c>
      <c r="N1375" s="1">
        <v>2.6501650411804505</v>
      </c>
      <c r="O1375" s="1">
        <v>0.27744000000000002</v>
      </c>
      <c r="P1375" s="1">
        <v>0.19445494235602623</v>
      </c>
      <c r="Q1375" s="1">
        <v>4.5303941544366078</v>
      </c>
      <c r="R1375" s="2">
        <f t="shared" si="87"/>
        <v>214.59841382109883</v>
      </c>
      <c r="S1375" s="2">
        <f t="shared" si="86"/>
        <v>4.955825816921914</v>
      </c>
      <c r="T1375" s="2">
        <f t="shared" si="88"/>
        <v>9.4594509795503505</v>
      </c>
      <c r="U1375" s="2">
        <f t="shared" si="89"/>
        <v>229.01369061757109</v>
      </c>
    </row>
    <row r="1376" spans="1:21" x14ac:dyDescent="0.25">
      <c r="A1376">
        <v>3193277</v>
      </c>
      <c r="B1376">
        <v>2</v>
      </c>
      <c r="C1376" s="1">
        <f>10.28389445062*(10.3/7.3)</f>
        <v>14.510152444025486</v>
      </c>
      <c r="D1376" s="1">
        <f>10.7652193557704*(10.3/7.3)</f>
        <v>15.189282104717183</v>
      </c>
      <c r="E1376" s="1">
        <f>38.350559751689*(10.3/7.3)</f>
        <v>54.111063759232437</v>
      </c>
      <c r="F1376" s="1">
        <f>79.1248360636848*(38.9/42.5)</f>
        <v>72.422497008878537</v>
      </c>
      <c r="G1376" s="1">
        <v>2.9034011046147867</v>
      </c>
      <c r="H1376" s="1">
        <v>9.259320567702046</v>
      </c>
      <c r="I1376" s="1">
        <v>63.073929758862946</v>
      </c>
      <c r="J1376" s="1">
        <v>6.6881377621275939E-2</v>
      </c>
      <c r="K1376" s="1">
        <v>4.6872275758545197</v>
      </c>
      <c r="L1376" s="1">
        <v>6.4580486588229036</v>
      </c>
      <c r="M1376" s="1">
        <v>0.2492350195502388</v>
      </c>
      <c r="N1376" s="1">
        <v>2.7551243391981268</v>
      </c>
      <c r="O1376" s="1">
        <v>0.27999999999999997</v>
      </c>
      <c r="P1376" s="1">
        <v>0.19333431956949731</v>
      </c>
      <c r="Q1376" s="1">
        <v>4.6401387516674735</v>
      </c>
      <c r="R1376" s="2">
        <f t="shared" si="87"/>
        <v>236.10978549970091</v>
      </c>
      <c r="S1376" s="2">
        <f t="shared" si="86"/>
        <v>4.9474432730452929</v>
      </c>
      <c r="T1376" s="2">
        <f t="shared" si="88"/>
        <v>9.7424080175712682</v>
      </c>
      <c r="U1376" s="2">
        <f t="shared" si="89"/>
        <v>250.79963679031746</v>
      </c>
    </row>
    <row r="1377" spans="1:21" x14ac:dyDescent="0.25">
      <c r="A1377">
        <v>3193309</v>
      </c>
      <c r="B1377">
        <v>5</v>
      </c>
      <c r="C1377" s="1">
        <f>9.97720975941251*(10.3/7.3)</f>
        <v>14.077432948212177</v>
      </c>
      <c r="D1377" s="1">
        <f>8.42238273693774*(10.3/7.3)</f>
        <v>11.883635916501191</v>
      </c>
      <c r="E1377" s="1">
        <f>30.4672154720544*(10.3/7.3)</f>
        <v>42.987988953720659</v>
      </c>
      <c r="F1377" s="1">
        <f>58.9034151653825*(38.9/42.5)</f>
        <v>53.913949410197205</v>
      </c>
      <c r="G1377" s="1">
        <v>1.8353872614759994</v>
      </c>
      <c r="H1377" s="1">
        <v>6.6126967058147104</v>
      </c>
      <c r="I1377" s="1">
        <v>50.887943662934575</v>
      </c>
      <c r="J1377" s="1">
        <v>4.1349171973341571E-2</v>
      </c>
      <c r="K1377" s="1">
        <v>2.9278569818497124</v>
      </c>
      <c r="L1377" s="1">
        <v>3.4882816973777864</v>
      </c>
      <c r="M1377" s="1">
        <v>0.15667320995547934</v>
      </c>
      <c r="N1377" s="1">
        <v>2.06126862021351</v>
      </c>
      <c r="O1377" s="1">
        <v>0.17011200000000001</v>
      </c>
      <c r="P1377" s="1">
        <v>0.13736960591802558</v>
      </c>
      <c r="Q1377" s="1">
        <v>2.9332673128611892</v>
      </c>
      <c r="R1377" s="2">
        <f t="shared" si="87"/>
        <v>185.1323021717177</v>
      </c>
      <c r="S1377" s="2">
        <f t="shared" si="86"/>
        <v>3.1065757597410797</v>
      </c>
      <c r="T1377" s="2">
        <f t="shared" si="88"/>
        <v>5.8763355275467752</v>
      </c>
      <c r="U1377" s="2">
        <f t="shared" si="89"/>
        <v>194.11521345900556</v>
      </c>
    </row>
    <row r="1378" spans="1:21" x14ac:dyDescent="0.25">
      <c r="A1378">
        <v>3193333</v>
      </c>
      <c r="B1378">
        <v>14</v>
      </c>
      <c r="C1378" s="1">
        <f>4.88362653920944*(10.3/7.3)</f>
        <v>6.890596349843463</v>
      </c>
      <c r="D1378" s="1">
        <f>4.91224169315891*(10.3/7.3)</f>
        <v>6.930971156100922</v>
      </c>
      <c r="E1378" s="1">
        <f>17.5913094589977*(10.3/7.3)</f>
        <v>24.820614716120112</v>
      </c>
      <c r="F1378" s="1">
        <f>33.5829071400454*(38.9/42.5)</f>
        <v>30.738237358771006</v>
      </c>
      <c r="G1378" s="1">
        <v>1.0904078301192659</v>
      </c>
      <c r="H1378" s="1">
        <v>3.1660345318612007</v>
      </c>
      <c r="I1378" s="1">
        <v>26.924809297738364</v>
      </c>
      <c r="J1378" s="1">
        <v>5.0208617715234334E-2</v>
      </c>
      <c r="K1378" s="1">
        <v>2.589657539674374</v>
      </c>
      <c r="L1378" s="1">
        <v>3.1252168658132859</v>
      </c>
      <c r="M1378" s="1">
        <v>0.14551569546699478</v>
      </c>
      <c r="N1378" s="1">
        <v>2.3062640444415474</v>
      </c>
      <c r="O1378" s="1">
        <v>0.14971809523809521</v>
      </c>
      <c r="P1378" s="1">
        <v>0.12237479017745999</v>
      </c>
      <c r="Q1378" s="1">
        <v>1.7426609157157233</v>
      </c>
      <c r="R1378" s="2">
        <f t="shared" si="87"/>
        <v>102.30433215627005</v>
      </c>
      <c r="S1378" s="2">
        <f t="shared" si="86"/>
        <v>2.7622409475670686</v>
      </c>
      <c r="T1378" s="2">
        <f t="shared" si="88"/>
        <v>5.7267147009599224</v>
      </c>
      <c r="U1378" s="2">
        <f t="shared" si="89"/>
        <v>110.79328780479703</v>
      </c>
    </row>
    <row r="1379" spans="1:21" x14ac:dyDescent="0.25">
      <c r="A1379">
        <v>3193597</v>
      </c>
      <c r="B1379">
        <v>4</v>
      </c>
      <c r="C1379" s="1">
        <f>13.9441961547717*(10.3/7.3)</f>
        <v>19.67468772522588</v>
      </c>
      <c r="D1379" s="1">
        <f>13.9165230964817*(10.3/7.3)</f>
        <v>19.63564217722756</v>
      </c>
      <c r="E1379" s="1">
        <f>50.1363508164753*(10.3/7.3)</f>
        <v>70.740330604067879</v>
      </c>
      <c r="F1379" s="1">
        <f>81.7103817242601*(38.9/42.5)</f>
        <v>74.789031742911007</v>
      </c>
      <c r="G1379" s="1">
        <v>1.9246030049529836</v>
      </c>
      <c r="H1379" s="1">
        <v>5.5702043647349599</v>
      </c>
      <c r="I1379" s="1">
        <v>64.395532086315896</v>
      </c>
      <c r="J1379" s="1">
        <v>3.7302004229706684E-2</v>
      </c>
      <c r="K1379" s="1">
        <v>2.6645954753762289</v>
      </c>
      <c r="L1379" s="1">
        <v>4.0765667638827141</v>
      </c>
      <c r="M1379" s="1">
        <v>0.13857424834820381</v>
      </c>
      <c r="N1379" s="1">
        <v>1.8091056133509311</v>
      </c>
      <c r="O1379" s="1">
        <v>0.12217333333333333</v>
      </c>
      <c r="P1379" s="1">
        <v>9.4970355092764816E-2</v>
      </c>
      <c r="Q1379" s="1">
        <v>3.0758495512947257</v>
      </c>
      <c r="R1379" s="2">
        <f t="shared" si="87"/>
        <v>259.80588125673091</v>
      </c>
      <c r="S1379" s="2">
        <f t="shared" si="86"/>
        <v>2.7968678346987006</v>
      </c>
      <c r="T1379" s="2">
        <f t="shared" si="88"/>
        <v>6.1464199589151827</v>
      </c>
      <c r="U1379" s="2">
        <f t="shared" si="89"/>
        <v>268.74916905034479</v>
      </c>
    </row>
    <row r="1380" spans="1:21" x14ac:dyDescent="0.25">
      <c r="A1380">
        <v>3204977</v>
      </c>
      <c r="B1380">
        <v>1</v>
      </c>
      <c r="C1380" s="1">
        <f>0.260960791791101*(10.3/7.3)</f>
        <v>0.36820495280114246</v>
      </c>
      <c r="D1380" s="1">
        <f>0.350608252711543*(10.3/7.3)</f>
        <v>0.49469383601765654</v>
      </c>
      <c r="E1380" s="1">
        <f>1.23026566269967*(10.3/7.3)</f>
        <v>1.7358542912063781</v>
      </c>
      <c r="F1380" s="1">
        <f>2.74187991802122*(38.9/42.5)</f>
        <v>2.5096265602594197</v>
      </c>
      <c r="G1380" s="1">
        <v>0.11555665150296103</v>
      </c>
      <c r="H1380" s="1">
        <v>0.73328847448915524</v>
      </c>
      <c r="I1380" s="1">
        <v>2.0402929638910487</v>
      </c>
      <c r="J1380" s="1">
        <v>1.0718332690733601E-2</v>
      </c>
      <c r="K1380" s="1">
        <v>1.3790634814981433</v>
      </c>
      <c r="L1380" s="1">
        <v>1.3561030124662148</v>
      </c>
      <c r="M1380" s="1">
        <v>6.1180647802633971E-2</v>
      </c>
      <c r="N1380" s="1">
        <v>0.46192406389298091</v>
      </c>
      <c r="O1380" s="1">
        <v>0.15973333333333334</v>
      </c>
      <c r="P1380" s="1">
        <v>8.7419228932320667E-2</v>
      </c>
      <c r="Q1380" s="1">
        <v>0.18467958002756349</v>
      </c>
      <c r="R1380" s="2">
        <f t="shared" si="87"/>
        <v>8.182197310195324</v>
      </c>
      <c r="S1380" s="2">
        <f t="shared" si="86"/>
        <v>1.4772010431211975</v>
      </c>
      <c r="T1380" s="2">
        <f t="shared" si="88"/>
        <v>2.0389410574951632</v>
      </c>
      <c r="U1380" s="2">
        <f t="shared" si="89"/>
        <v>11.698339410811686</v>
      </c>
    </row>
    <row r="1381" spans="1:21" x14ac:dyDescent="0.25">
      <c r="A1381">
        <v>3205041</v>
      </c>
      <c r="B1381">
        <v>14</v>
      </c>
      <c r="C1381" s="1">
        <f>0.694393315676477*(10.3/7.3)</f>
        <v>0.97976043170790639</v>
      </c>
      <c r="D1381" s="1">
        <f>0.826649468358744*(10.3/7.3)</f>
        <v>1.1663684279582283</v>
      </c>
      <c r="E1381" s="1">
        <f>2.91500562739594*(10.3/7.3)</f>
        <v>4.1129531455038579</v>
      </c>
      <c r="F1381" s="1">
        <f>6.56586553585877*(38.9/42.5)</f>
        <v>6.0096981022330835</v>
      </c>
      <c r="G1381" s="1">
        <v>0.27385500916270772</v>
      </c>
      <c r="H1381" s="1">
        <v>3.2535627157148892</v>
      </c>
      <c r="I1381" s="1">
        <v>5.0759125548762141</v>
      </c>
      <c r="J1381" s="1">
        <v>1.4809993456622745E-2</v>
      </c>
      <c r="K1381" s="1">
        <v>2.016810641652977</v>
      </c>
      <c r="L1381" s="1">
        <v>2.071013071809098</v>
      </c>
      <c r="M1381" s="1">
        <v>8.3365420771428722E-2</v>
      </c>
      <c r="N1381" s="1">
        <v>0.76258597498382541</v>
      </c>
      <c r="O1381" s="1">
        <v>0.21349714285714286</v>
      </c>
      <c r="P1381" s="1">
        <v>0.1394385305300907</v>
      </c>
      <c r="Q1381" s="1">
        <v>0.43766782286277522</v>
      </c>
      <c r="R1381" s="2">
        <f t="shared" si="87"/>
        <v>21.309778210019662</v>
      </c>
      <c r="S1381" s="2">
        <f t="shared" si="86"/>
        <v>2.1710591656396905</v>
      </c>
      <c r="T1381" s="2">
        <f t="shared" si="88"/>
        <v>3.1304616104214951</v>
      </c>
      <c r="U1381" s="2">
        <f t="shared" si="89"/>
        <v>26.611298986080847</v>
      </c>
    </row>
    <row r="1382" spans="1:21" x14ac:dyDescent="0.25">
      <c r="A1382">
        <v>3205153</v>
      </c>
      <c r="B1382">
        <v>4</v>
      </c>
      <c r="C1382" s="1">
        <f>1.15454837485417*(10.3/7.3)</f>
        <v>1.6290203097257503</v>
      </c>
      <c r="D1382" s="1">
        <f>1.27994337666035*(10.3/7.3)</f>
        <v>1.8059475040550186</v>
      </c>
      <c r="E1382" s="1">
        <f>4.54756369432244*(10.3/7.3)</f>
        <v>6.4164254865097465</v>
      </c>
      <c r="F1382" s="1">
        <f>9.31161763637036*(38.9/42.5)</f>
        <v>8.5228688483483968</v>
      </c>
      <c r="G1382" s="1">
        <v>0.34323651639551755</v>
      </c>
      <c r="H1382" s="1">
        <v>2.284934276497415</v>
      </c>
      <c r="I1382" s="1">
        <v>7.2625851801886343</v>
      </c>
      <c r="J1382" s="1">
        <v>2.0027921734070704E-2</v>
      </c>
      <c r="K1382" s="1">
        <v>2.5170756677154147</v>
      </c>
      <c r="L1382" s="1">
        <v>5.6651560677059827</v>
      </c>
      <c r="M1382" s="1">
        <v>0.1071167573171813</v>
      </c>
      <c r="N1382" s="1">
        <v>0.85220256002331485</v>
      </c>
      <c r="O1382" s="1">
        <v>0.26934666666666668</v>
      </c>
      <c r="P1382" s="1">
        <v>0.17266366627065399</v>
      </c>
      <c r="Q1382" s="1">
        <v>0.54855151022114734</v>
      </c>
      <c r="R1382" s="2">
        <f t="shared" si="87"/>
        <v>28.813569631941625</v>
      </c>
      <c r="S1382" s="2">
        <f t="shared" si="86"/>
        <v>2.7097672557201395</v>
      </c>
      <c r="T1382" s="2">
        <f t="shared" si="88"/>
        <v>6.893822051713145</v>
      </c>
      <c r="U1382" s="2">
        <f t="shared" si="89"/>
        <v>38.417158939374907</v>
      </c>
    </row>
    <row r="1383" spans="1:21" x14ac:dyDescent="0.25">
      <c r="A1383">
        <v>3205161</v>
      </c>
      <c r="B1383">
        <v>3</v>
      </c>
      <c r="C1383" s="1">
        <f>1.42973482234349*(10.3/7.3)</f>
        <v>2.0172970781010902</v>
      </c>
      <c r="D1383" s="1">
        <f>1.61767870384913*(10.3/7.3)</f>
        <v>2.2824781711843873</v>
      </c>
      <c r="E1383" s="1">
        <f>5.74073427697407*(10.3/7.3)</f>
        <v>8.0999401442236838</v>
      </c>
      <c r="F1383" s="1">
        <f>11.8009730860412*(38.9/42.5)</f>
        <v>10.801361248164786</v>
      </c>
      <c r="G1383" s="1">
        <v>0.43930125360905919</v>
      </c>
      <c r="H1383" s="1">
        <v>2.7572497609246374</v>
      </c>
      <c r="I1383" s="1">
        <v>9.1432921503651752</v>
      </c>
      <c r="J1383" s="1">
        <v>2.2670023273565345E-2</v>
      </c>
      <c r="K1383" s="1">
        <v>2.807306032856598</v>
      </c>
      <c r="L1383" s="1">
        <v>6.4785757243349389</v>
      </c>
      <c r="M1383" s="1">
        <v>0.12085212082253322</v>
      </c>
      <c r="N1383" s="1">
        <v>0.94525745941671901</v>
      </c>
      <c r="O1383" s="1">
        <v>0.29912888888888889</v>
      </c>
      <c r="P1383" s="1">
        <v>0.19112582973236744</v>
      </c>
      <c r="Q1383" s="1">
        <v>0.70207962905557475</v>
      </c>
      <c r="R1383" s="2">
        <f t="shared" si="87"/>
        <v>36.242999435628398</v>
      </c>
      <c r="S1383" s="2">
        <f t="shared" si="86"/>
        <v>3.0211018858625307</v>
      </c>
      <c r="T1383" s="2">
        <f t="shared" si="88"/>
        <v>7.8438141934630803</v>
      </c>
      <c r="U1383" s="2">
        <f t="shared" si="89"/>
        <v>47.107915514954009</v>
      </c>
    </row>
    <row r="1384" spans="1:21" x14ac:dyDescent="0.25">
      <c r="A1384">
        <v>3205169</v>
      </c>
      <c r="B1384">
        <v>38</v>
      </c>
      <c r="C1384" s="1">
        <f>1.13649422650814*(10.3/7.3)</f>
        <v>1.6035466483608005</v>
      </c>
      <c r="D1384" s="1">
        <f>1.3200451496168*(10.3/7.3)</f>
        <v>1.8625294576784981</v>
      </c>
      <c r="E1384" s="1">
        <f>4.67671610925177*(10.3/7.3)</f>
        <v>6.5986542363415408</v>
      </c>
      <c r="F1384" s="1">
        <f>9.70364103872639*(38.9/42.5)</f>
        <v>8.8816855625048614</v>
      </c>
      <c r="G1384" s="1">
        <v>0.36761223286976519</v>
      </c>
      <c r="H1384" s="1">
        <v>2.3051816093664437</v>
      </c>
      <c r="I1384" s="1">
        <v>7.4613191409752151</v>
      </c>
      <c r="J1384" s="1">
        <v>1.9553799545829934E-2</v>
      </c>
      <c r="K1384" s="1">
        <v>2.6286625895758875</v>
      </c>
      <c r="L1384" s="1">
        <v>5.2659169834594728</v>
      </c>
      <c r="M1384" s="1">
        <v>9.9714046365010592E-2</v>
      </c>
      <c r="N1384" s="1">
        <v>0.8718316231890898</v>
      </c>
      <c r="O1384" s="1">
        <v>0.25696421052631579</v>
      </c>
      <c r="P1384" s="1">
        <v>0.20050869249370154</v>
      </c>
      <c r="Q1384" s="1">
        <v>0.58750813472336971</v>
      </c>
      <c r="R1384" s="2">
        <f t="shared" si="87"/>
        <v>29.668037022820489</v>
      </c>
      <c r="S1384" s="2">
        <f t="shared" si="86"/>
        <v>2.8487250816154193</v>
      </c>
      <c r="T1384" s="2">
        <f t="shared" si="88"/>
        <v>6.4944268635398892</v>
      </c>
      <c r="U1384" s="2">
        <f t="shared" si="89"/>
        <v>39.011188967975798</v>
      </c>
    </row>
    <row r="1385" spans="1:21" x14ac:dyDescent="0.25">
      <c r="A1385">
        <v>3205225</v>
      </c>
      <c r="B1385">
        <v>1</v>
      </c>
      <c r="C1385" s="1">
        <f>1.31715100496516*(10.3/7.3)</f>
        <v>1.8584459385124819</v>
      </c>
      <c r="D1385" s="1">
        <f>1.53277990311006*(10.3/7.3)</f>
        <v>2.1626894523333657</v>
      </c>
      <c r="E1385" s="1">
        <f>5.43077202582807*(10.3/7.3)</f>
        <v>7.6625961460313938</v>
      </c>
      <c r="F1385" s="1">
        <f>11.224408046746*(38.9/42.5)</f>
        <v>10.273634659256919</v>
      </c>
      <c r="G1385" s="1">
        <v>0.42338583735439578</v>
      </c>
      <c r="H1385" s="1">
        <v>3.9603623977220073</v>
      </c>
      <c r="I1385" s="1">
        <v>8.6194179636567938</v>
      </c>
      <c r="J1385" s="1">
        <v>2.2531411950829541E-2</v>
      </c>
      <c r="K1385" s="1">
        <v>2.8159403835108785</v>
      </c>
      <c r="L1385" s="1">
        <v>11.028794008662414</v>
      </c>
      <c r="M1385" s="1">
        <v>0.10868306308488725</v>
      </c>
      <c r="N1385" s="1">
        <v>1.1069267061878514</v>
      </c>
      <c r="O1385" s="1">
        <v>0.25818666666666668</v>
      </c>
      <c r="P1385" s="1">
        <v>0.20275554081891023</v>
      </c>
      <c r="Q1385" s="1">
        <v>0.67664403230154646</v>
      </c>
      <c r="R1385" s="2">
        <f t="shared" si="87"/>
        <v>35.637176427168903</v>
      </c>
      <c r="S1385" s="2">
        <f t="shared" si="86"/>
        <v>3.0412273362806186</v>
      </c>
      <c r="T1385" s="2">
        <f t="shared" si="88"/>
        <v>12.50259044460182</v>
      </c>
      <c r="U1385" s="2">
        <f t="shared" si="89"/>
        <v>51.180994208051345</v>
      </c>
    </row>
    <row r="1386" spans="1:21" x14ac:dyDescent="0.25">
      <c r="A1386">
        <v>3205489</v>
      </c>
      <c r="B1386">
        <v>7</v>
      </c>
      <c r="C1386" s="1">
        <f>8.56725676347158*(10.3/7.3)</f>
        <v>12.088047214213328</v>
      </c>
      <c r="D1386" s="1">
        <f>9.44681368971287*(10.3/7.3)</f>
        <v>13.32906589096474</v>
      </c>
      <c r="E1386" s="1">
        <f>33.5277802695345*(10.3/7.3)</f>
        <v>47.306320106329487</v>
      </c>
      <c r="F1386" s="1">
        <f>70.9425066339404*(38.9/42.5)</f>
        <v>64.933259013183118</v>
      </c>
      <c r="G1386" s="1">
        <v>2.7196201984574051</v>
      </c>
      <c r="H1386" s="1">
        <v>6.7416856083359358</v>
      </c>
      <c r="I1386" s="1">
        <v>55.70444634524231</v>
      </c>
      <c r="J1386" s="1">
        <v>7.4370026080801038E-2</v>
      </c>
      <c r="K1386" s="1">
        <v>4.8215265786084629</v>
      </c>
      <c r="L1386" s="1">
        <v>6.4646019655370193</v>
      </c>
      <c r="M1386" s="1">
        <v>0.23554500511206569</v>
      </c>
      <c r="N1386" s="1">
        <v>2.726542667494793</v>
      </c>
      <c r="O1386" s="1">
        <v>0.28691809523809519</v>
      </c>
      <c r="P1386" s="1">
        <v>0.19782666681323943</v>
      </c>
      <c r="Q1386" s="1">
        <v>4.346424974703619</v>
      </c>
      <c r="R1386" s="2">
        <f t="shared" si="87"/>
        <v>207.16886935142992</v>
      </c>
      <c r="S1386" s="2">
        <f t="shared" si="86"/>
        <v>5.0937232715025029</v>
      </c>
      <c r="T1386" s="2">
        <f t="shared" si="88"/>
        <v>9.7136077333819717</v>
      </c>
      <c r="U1386" s="2">
        <f t="shared" si="89"/>
        <v>221.97620035631439</v>
      </c>
    </row>
    <row r="1387" spans="1:21" x14ac:dyDescent="0.25">
      <c r="A1387">
        <v>3205537</v>
      </c>
      <c r="B1387">
        <v>2</v>
      </c>
      <c r="C1387" s="1">
        <f>11.8671043825028*(10.3/7.3)</f>
        <v>16.743996594490291</v>
      </c>
      <c r="D1387" s="1">
        <f>9.95671236175308*(10.3/7.3)</f>
        <v>14.04851196247353</v>
      </c>
      <c r="E1387" s="1">
        <f>36.0509431635722*(10.3/7.3)</f>
        <v>50.866399258190853</v>
      </c>
      <c r="F1387" s="1">
        <f>68.7414544868931*(38.9/42.5)</f>
        <v>62.918648930356277</v>
      </c>
      <c r="G1387" s="1">
        <v>2.0863501285748165</v>
      </c>
      <c r="H1387" s="1">
        <v>7.9391997684613766</v>
      </c>
      <c r="I1387" s="1">
        <v>59.511864579677209</v>
      </c>
      <c r="J1387" s="1">
        <v>4.4188723927672105E-2</v>
      </c>
      <c r="K1387" s="1">
        <v>3.1640353101986642</v>
      </c>
      <c r="L1387" s="1">
        <v>3.8029015290720576</v>
      </c>
      <c r="M1387" s="1">
        <v>0.16916040340045779</v>
      </c>
      <c r="N1387" s="1">
        <v>2.0374853649753772</v>
      </c>
      <c r="O1387" s="1">
        <v>0.18330666666666667</v>
      </c>
      <c r="P1387" s="1">
        <v>0.14522312901992029</v>
      </c>
      <c r="Q1387" s="1">
        <v>3.3343495205533626</v>
      </c>
      <c r="R1387" s="2">
        <f t="shared" si="87"/>
        <v>217.44932074277773</v>
      </c>
      <c r="S1387" s="2">
        <f t="shared" si="86"/>
        <v>3.3534471631462566</v>
      </c>
      <c r="T1387" s="2">
        <f t="shared" si="88"/>
        <v>6.1928539641145592</v>
      </c>
      <c r="U1387" s="2">
        <f t="shared" si="89"/>
        <v>226.99562187003855</v>
      </c>
    </row>
    <row r="1388" spans="1:21" x14ac:dyDescent="0.25">
      <c r="A1388">
        <v>3205569</v>
      </c>
      <c r="B1388">
        <v>17</v>
      </c>
      <c r="C1388" s="1">
        <f>4.81113073639864*(10.3/7.3)</f>
        <v>6.7883077513569807</v>
      </c>
      <c r="D1388" s="1">
        <f>4.84748074124728*(10.3/7.3)</f>
        <v>6.8395961143625987</v>
      </c>
      <c r="E1388" s="1">
        <f>17.3572559255631*(10.3/7.3)</f>
        <v>24.49037479908225</v>
      </c>
      <c r="F1388" s="1">
        <f>33.1621166679366*(38.9/42.5)</f>
        <v>30.353090314887826</v>
      </c>
      <c r="G1388" s="1">
        <v>1.0786675996376132</v>
      </c>
      <c r="H1388" s="1">
        <v>3.3390698024439893</v>
      </c>
      <c r="I1388" s="1">
        <v>26.571807853423071</v>
      </c>
      <c r="J1388" s="1">
        <v>4.7269289855412636E-2</v>
      </c>
      <c r="K1388" s="1">
        <v>2.6510595818841041</v>
      </c>
      <c r="L1388" s="1">
        <v>3.2155048763218077</v>
      </c>
      <c r="M1388" s="1">
        <v>0.14839677801598986</v>
      </c>
      <c r="N1388" s="1">
        <v>2.414842354777087</v>
      </c>
      <c r="O1388" s="1">
        <v>0.15163294117647058</v>
      </c>
      <c r="P1388" s="1">
        <v>0.12431003549010067</v>
      </c>
      <c r="Q1388" s="1">
        <v>1.7238979902884244</v>
      </c>
      <c r="R1388" s="2">
        <f t="shared" si="87"/>
        <v>101.18481222548274</v>
      </c>
      <c r="S1388" s="2">
        <f t="shared" si="86"/>
        <v>2.8226389072296172</v>
      </c>
      <c r="T1388" s="2">
        <f t="shared" si="88"/>
        <v>5.9303769502913548</v>
      </c>
      <c r="U1388" s="2">
        <f t="shared" si="89"/>
        <v>109.93782808300372</v>
      </c>
    </row>
    <row r="1389" spans="1:21" x14ac:dyDescent="0.25">
      <c r="A1389">
        <v>3217205</v>
      </c>
      <c r="B1389">
        <v>3</v>
      </c>
      <c r="C1389" s="1">
        <f>0.328710228121483*(10.3/7.3)</f>
        <v>0.46379662323990051</v>
      </c>
      <c r="D1389" s="1">
        <f>0.44191062614387*(10.3/7.3)</f>
        <v>0.62351773277833711</v>
      </c>
      <c r="E1389" s="1">
        <f>1.55053696763163*(10.3/7.3)</f>
        <v>2.1877439406309338</v>
      </c>
      <c r="F1389" s="1">
        <f>3.45884035704804*(38.9/42.5)</f>
        <v>3.1658562326863264</v>
      </c>
      <c r="G1389" s="1">
        <v>0.1459211198180381</v>
      </c>
      <c r="H1389" s="1">
        <v>0.8726905436201674</v>
      </c>
      <c r="I1389" s="1">
        <v>2.5738083362375201</v>
      </c>
      <c r="J1389" s="1">
        <v>1.2217598018284093E-2</v>
      </c>
      <c r="K1389" s="1">
        <v>1.5192383858624383</v>
      </c>
      <c r="L1389" s="1">
        <v>1.4927952272923235</v>
      </c>
      <c r="M1389" s="1">
        <v>6.7446505893442296E-2</v>
      </c>
      <c r="N1389" s="1">
        <v>0.47493272233496331</v>
      </c>
      <c r="O1389" s="1">
        <v>0.1781688888888889</v>
      </c>
      <c r="P1389" s="1">
        <v>9.6632499779902833E-2</v>
      </c>
      <c r="Q1389" s="1">
        <v>0.2332072691155862</v>
      </c>
      <c r="R1389" s="2">
        <f t="shared" si="87"/>
        <v>10.266541798126809</v>
      </c>
      <c r="S1389" s="2">
        <f t="shared" si="86"/>
        <v>1.6280884836606253</v>
      </c>
      <c r="T1389" s="2">
        <f t="shared" si="88"/>
        <v>2.2133433444096182</v>
      </c>
      <c r="U1389" s="2">
        <f t="shared" si="89"/>
        <v>14.107973626197055</v>
      </c>
    </row>
    <row r="1390" spans="1:21" x14ac:dyDescent="0.25">
      <c r="A1390">
        <v>3217213</v>
      </c>
      <c r="B1390">
        <v>4</v>
      </c>
      <c r="C1390" s="1">
        <f>0.403469600250893*(10.3/7.3)</f>
        <v>0.56927902501153438</v>
      </c>
      <c r="D1390" s="1">
        <f>0.543452183489668*(10.3/7.3)</f>
        <v>0.76678869725254528</v>
      </c>
      <c r="E1390" s="1">
        <f>1.90465895313577*(10.3/7.3)</f>
        <v>2.687395509218963</v>
      </c>
      <c r="F1390" s="1">
        <f>4.3504530666184*(38.9/42.5)</f>
        <v>3.9819441009754324</v>
      </c>
      <c r="G1390" s="1">
        <v>0.18784661803046335</v>
      </c>
      <c r="H1390" s="1">
        <v>1.1621597799422148</v>
      </c>
      <c r="I1390" s="1">
        <v>3.2509280252026298</v>
      </c>
      <c r="J1390" s="1">
        <v>1.2421978999256776E-2</v>
      </c>
      <c r="K1390" s="1">
        <v>1.6131943525660093</v>
      </c>
      <c r="L1390" s="1">
        <v>1.5770447190283652</v>
      </c>
      <c r="M1390" s="1">
        <v>7.1386891416921214E-2</v>
      </c>
      <c r="N1390" s="1">
        <v>0.54843758779191543</v>
      </c>
      <c r="O1390" s="1">
        <v>0.18293333333333334</v>
      </c>
      <c r="P1390" s="1">
        <v>0.105256587128634</v>
      </c>
      <c r="Q1390" s="1">
        <v>0.30021149000302394</v>
      </c>
      <c r="R1390" s="2">
        <f t="shared" si="87"/>
        <v>12.906553245636806</v>
      </c>
      <c r="S1390" s="2">
        <f t="shared" si="86"/>
        <v>1.7308729186939</v>
      </c>
      <c r="T1390" s="2">
        <f t="shared" si="88"/>
        <v>2.3798025315705349</v>
      </c>
      <c r="U1390" s="2">
        <f t="shared" si="89"/>
        <v>17.017228695901238</v>
      </c>
    </row>
    <row r="1391" spans="1:21" x14ac:dyDescent="0.25">
      <c r="A1391">
        <v>3217269</v>
      </c>
      <c r="B1391">
        <v>27</v>
      </c>
      <c r="C1391" s="1">
        <f>0.633829780043879*(10.3/7.3)</f>
        <v>0.89430777184273313</v>
      </c>
      <c r="D1391" s="1">
        <f>0.773062638044903*(10.3/7.3)</f>
        <v>1.0907596125839047</v>
      </c>
      <c r="E1391" s="1">
        <f>2.72417968522423*(10.3/7.3)</f>
        <v>3.8437055832615865</v>
      </c>
      <c r="F1391" s="1">
        <f>6.0740710070098*(38.9/42.5)</f>
        <v>5.5595614628866201</v>
      </c>
      <c r="G1391" s="1">
        <v>0.25184904383409534</v>
      </c>
      <c r="H1391" s="1">
        <v>3.2841908263457902</v>
      </c>
      <c r="I1391" s="1">
        <v>4.6529325746514321</v>
      </c>
      <c r="J1391" s="1">
        <v>1.4088065096743832E-2</v>
      </c>
      <c r="K1391" s="1">
        <v>1.9102393845828491</v>
      </c>
      <c r="L1391" s="1">
        <v>1.9588761902306127</v>
      </c>
      <c r="M1391" s="1">
        <v>8.1650936541780322E-2</v>
      </c>
      <c r="N1391" s="1">
        <v>1.0540234463027243</v>
      </c>
      <c r="O1391" s="1">
        <v>0.20850567901234562</v>
      </c>
      <c r="P1391" s="1">
        <v>0.12978188409900127</v>
      </c>
      <c r="Q1391" s="1">
        <v>0.40249847188097476</v>
      </c>
      <c r="R1391" s="2">
        <f t="shared" si="87"/>
        <v>19.979805347287137</v>
      </c>
      <c r="S1391" s="2">
        <f t="shared" si="86"/>
        <v>2.0541093337785945</v>
      </c>
      <c r="T1391" s="2">
        <f t="shared" si="88"/>
        <v>3.3030562520874627</v>
      </c>
      <c r="U1391" s="2">
        <f t="shared" si="89"/>
        <v>25.336970933153193</v>
      </c>
    </row>
    <row r="1392" spans="1:21" x14ac:dyDescent="0.25">
      <c r="A1392">
        <v>3217357</v>
      </c>
      <c r="B1392">
        <v>6</v>
      </c>
      <c r="C1392" s="1">
        <f>0.641714482662946*(10.3/7.3)</f>
        <v>0.90543276320936195</v>
      </c>
      <c r="D1392" s="1">
        <f>0.685437637015834*(10.3/7.3)</f>
        <v>0.96712433715932788</v>
      </c>
      <c r="E1392" s="1">
        <f>2.44133800286793*(10.3/7.3)</f>
        <v>3.4446275930876329</v>
      </c>
      <c r="F1392" s="1">
        <f>4.93062063947716*(38.9/42.5)</f>
        <v>4.5129680676626212</v>
      </c>
      <c r="G1392" s="1">
        <v>0.17683994532850225</v>
      </c>
      <c r="H1392" s="1">
        <v>1.3200648144739497</v>
      </c>
      <c r="I1392" s="1">
        <v>3.8903225563175998</v>
      </c>
      <c r="J1392" s="1">
        <v>1.4538630473482542E-2</v>
      </c>
      <c r="K1392" s="1">
        <v>1.8384602034160249</v>
      </c>
      <c r="L1392" s="1">
        <v>3.0111428467716443</v>
      </c>
      <c r="M1392" s="1">
        <v>7.9564175169383369E-2</v>
      </c>
      <c r="N1392" s="1">
        <v>0.72943768844504231</v>
      </c>
      <c r="O1392" s="1">
        <v>0.1625688888888889</v>
      </c>
      <c r="P1392" s="1">
        <v>0.1266637275028365</v>
      </c>
      <c r="Q1392" s="1">
        <v>0.28262091719167065</v>
      </c>
      <c r="R1392" s="2">
        <f t="shared" si="87"/>
        <v>15.500000994430666</v>
      </c>
      <c r="S1392" s="2">
        <f t="shared" si="86"/>
        <v>1.979662561392344</v>
      </c>
      <c r="T1392" s="2">
        <f t="shared" si="88"/>
        <v>3.9827135992749589</v>
      </c>
      <c r="U1392" s="2">
        <f t="shared" si="89"/>
        <v>21.462377155097968</v>
      </c>
    </row>
    <row r="1393" spans="1:21" x14ac:dyDescent="0.25">
      <c r="A1393">
        <v>3217381</v>
      </c>
      <c r="B1393">
        <v>1</v>
      </c>
      <c r="C1393" s="1">
        <f>1.50514473775728*(10.3/7.3)</f>
        <v>2.1236973697123278</v>
      </c>
      <c r="D1393" s="1">
        <f>1.62869770938948*(10.3/7.3)</f>
        <v>2.2980255351659817</v>
      </c>
      <c r="E1393" s="1">
        <f>5.79145727985624*(10.3/7.3)</f>
        <v>8.1715082167834563</v>
      </c>
      <c r="F1393" s="1">
        <f>11.9790037139433*(38.9/42.5)</f>
        <v>10.964311634644615</v>
      </c>
      <c r="G1393" s="1">
        <v>0.44463023568084536</v>
      </c>
      <c r="H1393" s="1">
        <v>2.8085318072394996</v>
      </c>
      <c r="I1393" s="1">
        <v>9.4382099002174531</v>
      </c>
      <c r="J1393" s="1">
        <v>2.2930273104008071E-2</v>
      </c>
      <c r="K1393" s="1">
        <v>2.8350447787052881</v>
      </c>
      <c r="L1393" s="1">
        <v>6.1575933149987536</v>
      </c>
      <c r="M1393" s="1">
        <v>0.12487557316326953</v>
      </c>
      <c r="N1393" s="1">
        <v>0.96009493440901494</v>
      </c>
      <c r="O1393" s="1">
        <v>0.31610666666666665</v>
      </c>
      <c r="P1393" s="1">
        <v>0.19443760176363459</v>
      </c>
      <c r="Q1393" s="1">
        <v>0.71059626706984502</v>
      </c>
      <c r="R1393" s="2">
        <f t="shared" si="87"/>
        <v>36.959510966514024</v>
      </c>
      <c r="S1393" s="2">
        <f t="shared" si="86"/>
        <v>3.0524126535729308</v>
      </c>
      <c r="T1393" s="2">
        <f t="shared" si="88"/>
        <v>7.5586704892377039</v>
      </c>
      <c r="U1393" s="2">
        <f t="shared" si="89"/>
        <v>47.570594109324659</v>
      </c>
    </row>
    <row r="1394" spans="1:21" x14ac:dyDescent="0.25">
      <c r="A1394">
        <v>3217389</v>
      </c>
      <c r="B1394">
        <v>15</v>
      </c>
      <c r="C1394" s="1">
        <f>1.17814716440488*(10.3/7.3)</f>
        <v>1.6623172319685275</v>
      </c>
      <c r="D1394" s="1">
        <f>1.30896584047999*(10.3/7.3)</f>
        <v>1.8468970078005382</v>
      </c>
      <c r="E1394" s="1">
        <f>4.64988271383019*(10.3/7.3)</f>
        <v>6.5607934181439678</v>
      </c>
      <c r="F1394" s="1">
        <f>9.53537827948499*(38.9/42.5)</f>
        <v>8.7276756487521467</v>
      </c>
      <c r="G1394" s="1">
        <v>0.35234228039200588</v>
      </c>
      <c r="H1394" s="1">
        <v>2.3301531725765789</v>
      </c>
      <c r="I1394" s="1">
        <v>7.4329769541271355</v>
      </c>
      <c r="J1394" s="1">
        <v>2.0364549232143363E-2</v>
      </c>
      <c r="K1394" s="1">
        <v>2.5478582691867162</v>
      </c>
      <c r="L1394" s="1">
        <v>5.6349432980019065</v>
      </c>
      <c r="M1394" s="1">
        <v>0.10879690110961121</v>
      </c>
      <c r="N1394" s="1">
        <v>0.86295998486351644</v>
      </c>
      <c r="O1394" s="1">
        <v>0.27230933333333329</v>
      </c>
      <c r="P1394" s="1">
        <v>0.17482343897847957</v>
      </c>
      <c r="Q1394" s="1">
        <v>0.56310410108311504</v>
      </c>
      <c r="R1394" s="2">
        <f t="shared" si="87"/>
        <v>29.476259814844017</v>
      </c>
      <c r="S1394" s="2">
        <f t="shared" si="86"/>
        <v>2.7430462573973391</v>
      </c>
      <c r="T1394" s="2">
        <f t="shared" si="88"/>
        <v>6.8790095173083667</v>
      </c>
      <c r="U1394" s="2">
        <f t="shared" si="89"/>
        <v>39.098315589549728</v>
      </c>
    </row>
    <row r="1395" spans="1:21" x14ac:dyDescent="0.25">
      <c r="A1395">
        <v>3217397</v>
      </c>
      <c r="B1395">
        <v>22</v>
      </c>
      <c r="C1395" s="1">
        <f>1.12278460326483*(10.3/7.3)</f>
        <v>1.5842029333736576</v>
      </c>
      <c r="D1395" s="1">
        <f>1.2889444489081*(10.3/7.3)</f>
        <v>1.818647647089517</v>
      </c>
      <c r="E1395" s="1">
        <f>4.57053496171568*(10.3/7.3)</f>
        <v>6.448837000776912</v>
      </c>
      <c r="F1395" s="1">
        <f>9.41243678416169*(38.9/42.5)</f>
        <v>8.6151480212679949</v>
      </c>
      <c r="G1395" s="1">
        <v>0.35236634046969423</v>
      </c>
      <c r="H1395" s="1">
        <v>2.2438999872543048</v>
      </c>
      <c r="I1395" s="1">
        <v>7.2577933988740533</v>
      </c>
      <c r="J1395" s="1">
        <v>1.9307348586935804E-2</v>
      </c>
      <c r="K1395" s="1">
        <v>2.5647018401851902</v>
      </c>
      <c r="L1395" s="1">
        <v>4.9903819763120296</v>
      </c>
      <c r="M1395" s="1">
        <v>9.8710278134608712E-2</v>
      </c>
      <c r="N1395" s="1">
        <v>0.85221987955342449</v>
      </c>
      <c r="O1395" s="1">
        <v>0.24936242424242422</v>
      </c>
      <c r="P1395" s="1">
        <v>0.19471276328353795</v>
      </c>
      <c r="Q1395" s="1">
        <v>0.56314255326206897</v>
      </c>
      <c r="R1395" s="2">
        <f t="shared" si="87"/>
        <v>28.884037882368201</v>
      </c>
      <c r="S1395" s="2">
        <f t="shared" si="86"/>
        <v>2.7787219520556641</v>
      </c>
      <c r="T1395" s="2">
        <f t="shared" si="88"/>
        <v>6.1906745582424865</v>
      </c>
      <c r="U1395" s="2">
        <f t="shared" si="89"/>
        <v>37.853434392666351</v>
      </c>
    </row>
    <row r="1396" spans="1:21" x14ac:dyDescent="0.25">
      <c r="A1396">
        <v>3217717</v>
      </c>
      <c r="B1396">
        <v>2</v>
      </c>
      <c r="C1396" s="1">
        <f>7.50580909844826*(10.3/7.3)</f>
        <v>10.590388180002334</v>
      </c>
      <c r="D1396" s="1">
        <f>8.32535263106916*(10.3/7.3)</f>
        <v>11.746730424659225</v>
      </c>
      <c r="E1396" s="1">
        <f>29.5237284022172*(10.3/7.3)</f>
        <v>41.656767471621535</v>
      </c>
      <c r="F1396" s="1">
        <f>63.2305824136491*(38.9/42.5)</f>
        <v>57.874580138610561</v>
      </c>
      <c r="G1396" s="1">
        <v>2.4618824222241793</v>
      </c>
      <c r="H1396" s="1">
        <v>7.6855887752230299</v>
      </c>
      <c r="I1396" s="1">
        <v>49.63462101944539</v>
      </c>
      <c r="J1396" s="1">
        <v>6.9584298414624046E-2</v>
      </c>
      <c r="K1396" s="1">
        <v>4.3233657429340902</v>
      </c>
      <c r="L1396" s="1">
        <v>5.554009248272255</v>
      </c>
      <c r="M1396" s="1">
        <v>0.20917005627339963</v>
      </c>
      <c r="N1396" s="1">
        <v>2.3967841263440794</v>
      </c>
      <c r="O1396" s="1">
        <v>0.25314666666666663</v>
      </c>
      <c r="P1396" s="1">
        <v>0.18059169615636703</v>
      </c>
      <c r="Q1396" s="1">
        <v>3.9345152866596509</v>
      </c>
      <c r="R1396" s="2">
        <f t="shared" si="87"/>
        <v>185.5850737184459</v>
      </c>
      <c r="S1396" s="2">
        <f t="shared" si="86"/>
        <v>4.5735417375050815</v>
      </c>
      <c r="T1396" s="2">
        <f t="shared" si="88"/>
        <v>8.4131100975563999</v>
      </c>
      <c r="U1396" s="2">
        <f t="shared" si="89"/>
        <v>198.57172555350738</v>
      </c>
    </row>
    <row r="1397" spans="1:21" x14ac:dyDescent="0.25">
      <c r="A1397">
        <v>3217725</v>
      </c>
      <c r="B1397">
        <v>1</v>
      </c>
      <c r="C1397" s="1">
        <f>8.14506744830283*(10.3/7.3)</f>
        <v>11.492355440756047</v>
      </c>
      <c r="D1397" s="1">
        <f>8.99338975193356*(10.3/7.3)</f>
        <v>12.68930334861858</v>
      </c>
      <c r="E1397" s="1">
        <f>31.9144459245263*(10.3/7.3)</f>
        <v>45.029971646934442</v>
      </c>
      <c r="F1397" s="1">
        <f>67.6248357179667*(38.9/42.5)</f>
        <v>61.8966143395036</v>
      </c>
      <c r="G1397" s="1">
        <v>2.5976105226431629</v>
      </c>
      <c r="H1397" s="1">
        <v>5.8817595915277643</v>
      </c>
      <c r="I1397" s="1">
        <v>53.085486064063716</v>
      </c>
      <c r="J1397" s="1">
        <v>7.1820466794678114E-2</v>
      </c>
      <c r="K1397" s="1">
        <v>4.814909220132626</v>
      </c>
      <c r="L1397" s="1">
        <v>6.5032925153771801</v>
      </c>
      <c r="M1397" s="1">
        <v>0.23941598549318038</v>
      </c>
      <c r="N1397" s="1">
        <v>2.7696121858129965</v>
      </c>
      <c r="O1397" s="1">
        <v>0.28565333333333331</v>
      </c>
      <c r="P1397" s="1">
        <v>0.19933593209904824</v>
      </c>
      <c r="Q1397" s="1">
        <v>4.1514323421237806</v>
      </c>
      <c r="R1397" s="2">
        <f t="shared" si="87"/>
        <v>196.82453329617107</v>
      </c>
      <c r="S1397" s="2">
        <f t="shared" si="86"/>
        <v>5.0860656190263525</v>
      </c>
      <c r="T1397" s="2">
        <f t="shared" si="88"/>
        <v>9.7979740200166887</v>
      </c>
      <c r="U1397" s="2">
        <f t="shared" si="89"/>
        <v>211.70857293521411</v>
      </c>
    </row>
    <row r="1398" spans="1:21" x14ac:dyDescent="0.25">
      <c r="A1398">
        <v>3217757</v>
      </c>
      <c r="B1398">
        <v>1</v>
      </c>
      <c r="C1398" s="1">
        <f>3.95463934934957*(10.3/7.3)</f>
        <v>5.5798336025069339</v>
      </c>
      <c r="D1398" s="1">
        <f>4.15198579433896*(10.3/7.3)</f>
        <v>5.8582813262590818</v>
      </c>
      <c r="E1398" s="1">
        <f>14.7712176013493*(10.3/7.3)</f>
        <v>20.841580999164069</v>
      </c>
      <c r="F1398" s="1">
        <f>31.3701658735027*(38.9/42.5)</f>
        <v>28.712928293629567</v>
      </c>
      <c r="G1398" s="1">
        <v>1.1941926938049734</v>
      </c>
      <c r="H1398" s="1">
        <v>7.0440033486200573</v>
      </c>
      <c r="I1398" s="1">
        <v>25.070720345939357</v>
      </c>
      <c r="J1398" s="1">
        <v>3.7501434806295947E-2</v>
      </c>
      <c r="K1398" s="1">
        <v>2.9015048836873452</v>
      </c>
      <c r="L1398" s="1">
        <v>3.4006316652085622</v>
      </c>
      <c r="M1398" s="1">
        <v>0.13961913088115235</v>
      </c>
      <c r="N1398" s="1">
        <v>1.793741507158741</v>
      </c>
      <c r="O1398" s="1">
        <v>0.16394666666666666</v>
      </c>
      <c r="P1398" s="1">
        <v>0.1361658176041757</v>
      </c>
      <c r="Q1398" s="1">
        <v>1.9085271362179959</v>
      </c>
      <c r="R1398" s="2">
        <f t="shared" si="87"/>
        <v>96.210067746142045</v>
      </c>
      <c r="S1398" s="2">
        <f t="shared" si="86"/>
        <v>3.0751721360978168</v>
      </c>
      <c r="T1398" s="2">
        <f t="shared" si="88"/>
        <v>5.4979389699151229</v>
      </c>
      <c r="U1398" s="2">
        <f t="shared" si="89"/>
        <v>104.78317885215499</v>
      </c>
    </row>
    <row r="1399" spans="1:21" x14ac:dyDescent="0.25">
      <c r="A1399">
        <v>3217789</v>
      </c>
      <c r="B1399">
        <v>15</v>
      </c>
      <c r="C1399" s="1">
        <f>6.0187202559309*(10.3/7.3)</f>
        <v>8.4921669364504435</v>
      </c>
      <c r="D1399" s="1">
        <f>5.94242966921356*(10.3/7.3)</f>
        <v>8.3845240538218722</v>
      </c>
      <c r="E1399" s="1">
        <f>21.2932063110353*(10.3/7.3)</f>
        <v>30.043839041597696</v>
      </c>
      <c r="F1399" s="1">
        <f>41.1276169022449*(38.9/42.5)</f>
        <v>37.643865823466548</v>
      </c>
      <c r="G1399" s="1">
        <v>1.351987787098401</v>
      </c>
      <c r="H1399" s="1">
        <v>7.9308020534534851</v>
      </c>
      <c r="I1399" s="1">
        <v>33.26835152291072</v>
      </c>
      <c r="J1399" s="1">
        <v>4.5454895928826074E-2</v>
      </c>
      <c r="K1399" s="1">
        <v>2.883379929544899</v>
      </c>
      <c r="L1399" s="1">
        <v>3.4929668970238081</v>
      </c>
      <c r="M1399" s="1">
        <v>0.15675702573718117</v>
      </c>
      <c r="N1399" s="1">
        <v>2.2353885324399125</v>
      </c>
      <c r="O1399" s="1">
        <v>0.16670222222222225</v>
      </c>
      <c r="P1399" s="1">
        <v>0.1330458183534563</v>
      </c>
      <c r="Q1399" s="1">
        <v>2.1607110752714194</v>
      </c>
      <c r="R1399" s="2">
        <f t="shared" si="87"/>
        <v>129.27624829407057</v>
      </c>
      <c r="S1399" s="2">
        <f t="shared" si="86"/>
        <v>3.0618806438271813</v>
      </c>
      <c r="T1399" s="2">
        <f t="shared" si="88"/>
        <v>6.0518146774231241</v>
      </c>
      <c r="U1399" s="2">
        <f t="shared" si="89"/>
        <v>138.38994361532087</v>
      </c>
    </row>
    <row r="1400" spans="1:21" x14ac:dyDescent="0.25">
      <c r="A1400">
        <v>3217797</v>
      </c>
      <c r="B1400">
        <v>20</v>
      </c>
      <c r="C1400" s="1">
        <f>5.03420929158062*(10.3/7.3)</f>
        <v>7.1030624251068994</v>
      </c>
      <c r="D1400" s="1">
        <f>5.07376644662874*(10.3/7.3)</f>
        <v>7.1588759452432917</v>
      </c>
      <c r="E1400" s="1">
        <f>18.1663609495833*(10.3/7.3)</f>
        <v>25.631988737083319</v>
      </c>
      <c r="F1400" s="1">
        <f>34.7507380040294*(38.9/42.5)</f>
        <v>31.807146078982164</v>
      </c>
      <c r="G1400" s="1">
        <v>1.1326483156228948</v>
      </c>
      <c r="H1400" s="1">
        <v>3.3844638979107691</v>
      </c>
      <c r="I1400" s="1">
        <v>27.845510003369327</v>
      </c>
      <c r="J1400" s="1">
        <v>4.7183152819141101E-2</v>
      </c>
      <c r="K1400" s="1">
        <v>2.6158344059403786</v>
      </c>
      <c r="L1400" s="1">
        <v>3.1664606113248892</v>
      </c>
      <c r="M1400" s="1">
        <v>0.14485244296735442</v>
      </c>
      <c r="N1400" s="1">
        <v>2.4547415452258297</v>
      </c>
      <c r="O1400" s="1">
        <v>0.15033066666666667</v>
      </c>
      <c r="P1400" s="1">
        <v>0.12208481729102127</v>
      </c>
      <c r="Q1400" s="1">
        <v>1.8101685409498338</v>
      </c>
      <c r="R1400" s="2">
        <f t="shared" si="87"/>
        <v>105.87386394426849</v>
      </c>
      <c r="S1400" s="2">
        <f t="shared" si="86"/>
        <v>2.7851023760505411</v>
      </c>
      <c r="T1400" s="2">
        <f t="shared" si="88"/>
        <v>5.91638526618474</v>
      </c>
      <c r="U1400" s="2">
        <f t="shared" si="89"/>
        <v>114.57535158650379</v>
      </c>
    </row>
    <row r="1401" spans="1:21" x14ac:dyDescent="0.25">
      <c r="A1401">
        <v>3229441</v>
      </c>
      <c r="B1401">
        <v>41</v>
      </c>
      <c r="C1401" s="1">
        <f>0.47020776396947*(10.3/7.3)</f>
        <v>0.66344383135418339</v>
      </c>
      <c r="D1401" s="1">
        <f>0.63215952459253*(10.3/7.3)</f>
        <v>0.89195111004151495</v>
      </c>
      <c r="E1401" s="1">
        <f>2.21625444755595*(10.3/7.3)</f>
        <v>3.1270439465515407</v>
      </c>
      <c r="F1401" s="1">
        <f>5.03553592216178*(38.9/42.5)</f>
        <v>4.6089964087551376</v>
      </c>
      <c r="G1401" s="1">
        <v>0.21627519774465453</v>
      </c>
      <c r="H1401" s="1">
        <v>1.8392552516895346</v>
      </c>
      <c r="I1401" s="1">
        <v>3.7609119862659868</v>
      </c>
      <c r="J1401" s="1">
        <v>1.3960968303444964E-2</v>
      </c>
      <c r="K1401" s="1">
        <v>1.7480008753259741</v>
      </c>
      <c r="L1401" s="1">
        <v>1.6891619302182947</v>
      </c>
      <c r="M1401" s="1">
        <v>7.587520796141127E-2</v>
      </c>
      <c r="N1401" s="1">
        <v>0.56019283501385297</v>
      </c>
      <c r="O1401" s="1">
        <v>0.19775089430894308</v>
      </c>
      <c r="P1401" s="1">
        <v>0.1157934880207802</v>
      </c>
      <c r="Q1401" s="1">
        <v>0.34564529319921999</v>
      </c>
      <c r="R1401" s="2">
        <f t="shared" si="87"/>
        <v>15.453523025601772</v>
      </c>
      <c r="S1401" s="2">
        <f t="shared" si="86"/>
        <v>1.8777553316501994</v>
      </c>
      <c r="T1401" s="2">
        <f t="shared" si="88"/>
        <v>2.5229808675025018</v>
      </c>
      <c r="U1401" s="2">
        <f t="shared" si="89"/>
        <v>19.854259224754472</v>
      </c>
    </row>
    <row r="1402" spans="1:21" x14ac:dyDescent="0.25">
      <c r="A1402">
        <v>3229449</v>
      </c>
      <c r="B1402">
        <v>6</v>
      </c>
      <c r="C1402" s="1">
        <f>0.414933766088887*(10.3/7.3)</f>
        <v>0.58545449187884124</v>
      </c>
      <c r="D1402" s="1">
        <f>0.560575866610311*(10.3/7.3)</f>
        <v>0.79094951042276718</v>
      </c>
      <c r="E1402" s="1">
        <f>1.96214738497675*(10.3/7.3)</f>
        <v>2.7685093240082885</v>
      </c>
      <c r="F1402" s="1">
        <f>4.59738822149802*(38.9/42.5)</f>
        <v>4.2079623956770087</v>
      </c>
      <c r="G1402" s="1">
        <v>0.20332391327586918</v>
      </c>
      <c r="H1402" s="1">
        <v>1.8176574210749281</v>
      </c>
      <c r="I1402" s="1">
        <v>3.449767957814263</v>
      </c>
      <c r="J1402" s="1">
        <v>1.2786187321751352E-2</v>
      </c>
      <c r="K1402" s="1">
        <v>1.635848719022005</v>
      </c>
      <c r="L1402" s="1">
        <v>1.5874706097015727</v>
      </c>
      <c r="M1402" s="1">
        <v>7.0837163268251527E-2</v>
      </c>
      <c r="N1402" s="1">
        <v>0.53500680241070409</v>
      </c>
      <c r="O1402" s="1">
        <v>0.18631111111111109</v>
      </c>
      <c r="P1402" s="1">
        <v>0.10849326569181661</v>
      </c>
      <c r="Q1402" s="1">
        <v>0.32494689336326171</v>
      </c>
      <c r="R1402" s="2">
        <f t="shared" si="87"/>
        <v>14.148571907515226</v>
      </c>
      <c r="S1402" s="2">
        <f t="shared" si="86"/>
        <v>1.7571281720355731</v>
      </c>
      <c r="T1402" s="2">
        <f t="shared" si="88"/>
        <v>2.3796256864916394</v>
      </c>
      <c r="U1402" s="2">
        <f t="shared" si="89"/>
        <v>18.28532576604244</v>
      </c>
    </row>
    <row r="1403" spans="1:21" x14ac:dyDescent="0.25">
      <c r="A1403">
        <v>3229497</v>
      </c>
      <c r="B1403">
        <v>8</v>
      </c>
      <c r="C1403" s="1">
        <f>0.625118990714489*(10.3/7.3)</f>
        <v>0.88201720607660716</v>
      </c>
      <c r="D1403" s="1">
        <f>0.760061015014905*(10.3/7.3)</f>
        <v>1.072414856801853</v>
      </c>
      <c r="E1403" s="1">
        <f>2.67674306664786*(10.3/7.3)</f>
        <v>3.7767744639004062</v>
      </c>
      <c r="F1403" s="1">
        <f>6.07007764623655*(38.9/42.5)</f>
        <v>5.5559063632612222</v>
      </c>
      <c r="G1403" s="1">
        <v>0.25587161065151931</v>
      </c>
      <c r="H1403" s="1">
        <v>1.9313064975150704</v>
      </c>
      <c r="I1403" s="1">
        <v>4.6675662574164702</v>
      </c>
      <c r="J1403" s="1">
        <v>1.4190334165077532E-2</v>
      </c>
      <c r="K1403" s="1">
        <v>1.9189728231161074</v>
      </c>
      <c r="L1403" s="1">
        <v>1.9601480991829867</v>
      </c>
      <c r="M1403" s="1">
        <v>8.390212034124013E-2</v>
      </c>
      <c r="N1403" s="1">
        <v>1.4217672578175764</v>
      </c>
      <c r="O1403" s="1">
        <v>0.2145</v>
      </c>
      <c r="P1403" s="1">
        <v>0.1305598710955839</v>
      </c>
      <c r="Q1403" s="1">
        <v>0.40892723163484868</v>
      </c>
      <c r="R1403" s="2">
        <f t="shared" si="87"/>
        <v>18.550784487257996</v>
      </c>
      <c r="S1403" s="2">
        <f t="shared" si="86"/>
        <v>2.0637230283767689</v>
      </c>
      <c r="T1403" s="2">
        <f t="shared" si="88"/>
        <v>3.680317477341803</v>
      </c>
      <c r="U1403" s="2">
        <f t="shared" si="89"/>
        <v>24.294824992976565</v>
      </c>
    </row>
    <row r="1404" spans="1:21" x14ac:dyDescent="0.25">
      <c r="A1404">
        <v>3229505</v>
      </c>
      <c r="B1404">
        <v>9</v>
      </c>
      <c r="C1404" s="1">
        <f>0.688026968860441*(10.3/7.3)</f>
        <v>0.9707777779811696</v>
      </c>
      <c r="D1404" s="1">
        <f>0.856259495438569*(10.3/7.3)</f>
        <v>1.2081469593174325</v>
      </c>
      <c r="E1404" s="1">
        <f>3.01656660377534*(10.3/7.3)</f>
        <v>4.2562515094364333</v>
      </c>
      <c r="F1404" s="1">
        <f>6.62495560985225*(38.9/42.5)</f>
        <v>6.0637828993706524</v>
      </c>
      <c r="G1404" s="1">
        <v>0.2714085141975045</v>
      </c>
      <c r="H1404" s="1">
        <v>4.3478889529528759</v>
      </c>
      <c r="I1404" s="1">
        <v>5.0300502982039212</v>
      </c>
      <c r="J1404" s="1">
        <v>1.4695629012499619E-2</v>
      </c>
      <c r="K1404" s="1">
        <v>1.9661840847578778</v>
      </c>
      <c r="L1404" s="1">
        <v>2.0357722964500713</v>
      </c>
      <c r="M1404" s="1">
        <v>8.560396587362315E-2</v>
      </c>
      <c r="N1404" s="1">
        <v>0.74480510890239593</v>
      </c>
      <c r="O1404" s="1">
        <v>0.22074074074074074</v>
      </c>
      <c r="P1404" s="1">
        <v>0.13288998728487578</v>
      </c>
      <c r="Q1404" s="1">
        <v>0.43375789940240483</v>
      </c>
      <c r="R1404" s="2">
        <f t="shared" si="87"/>
        <v>22.582064810862395</v>
      </c>
      <c r="S1404" s="2">
        <f t="shared" si="86"/>
        <v>2.113769701055253</v>
      </c>
      <c r="T1404" s="2">
        <f t="shared" si="88"/>
        <v>3.0869221119668313</v>
      </c>
      <c r="U1404" s="2">
        <f t="shared" si="89"/>
        <v>27.782756623884481</v>
      </c>
    </row>
    <row r="1405" spans="1:21" x14ac:dyDescent="0.25">
      <c r="A1405">
        <v>3229545</v>
      </c>
      <c r="B1405">
        <v>2</v>
      </c>
      <c r="C1405" s="1">
        <f>0.98278503318764*(10.3/7.3)</f>
        <v>1.3866692934017384</v>
      </c>
      <c r="D1405" s="1">
        <f>1.56964533934383*(10.3/7.3)</f>
        <v>2.2147050678412885</v>
      </c>
      <c r="E1405" s="1">
        <f>5.33639055630498*(10.3/7.3)</f>
        <v>7.5294277712248423</v>
      </c>
      <c r="F1405" s="1">
        <f>18.7169805428683*(38.9/42.5)</f>
        <v>17.131542191001813</v>
      </c>
      <c r="G1405" s="1">
        <v>1.0881852920548103</v>
      </c>
      <c r="H1405" s="1">
        <v>8.5707079370548769</v>
      </c>
      <c r="I1405" s="1">
        <v>14.540253402005639</v>
      </c>
      <c r="J1405" s="1">
        <v>1.9136848945054845E-2</v>
      </c>
      <c r="K1405" s="1">
        <v>2.5401055885614419</v>
      </c>
      <c r="L1405" s="1">
        <v>3.0602378527716314</v>
      </c>
      <c r="M1405" s="1">
        <v>0.10616685353163709</v>
      </c>
      <c r="N1405" s="1">
        <v>0.79645445896106171</v>
      </c>
      <c r="O1405" s="1">
        <v>0.2965066666666667</v>
      </c>
      <c r="P1405" s="1">
        <v>0.18392464812504344</v>
      </c>
      <c r="Q1405" s="1">
        <v>1.7391089142428495</v>
      </c>
      <c r="R1405" s="2">
        <f t="shared" si="87"/>
        <v>54.200599868827858</v>
      </c>
      <c r="S1405" s="2">
        <f t="shared" si="86"/>
        <v>2.7431670856315402</v>
      </c>
      <c r="T1405" s="2">
        <f t="shared" si="88"/>
        <v>4.2593658319309968</v>
      </c>
      <c r="U1405" s="2">
        <f t="shared" si="89"/>
        <v>61.203132786390398</v>
      </c>
    </row>
    <row r="1406" spans="1:21" x14ac:dyDescent="0.25">
      <c r="A1406">
        <v>3229585</v>
      </c>
      <c r="B1406">
        <v>7</v>
      </c>
      <c r="C1406" s="1">
        <f>1.12693821782107*(10.3/7.3)</f>
        <v>1.590063512816027</v>
      </c>
      <c r="D1406" s="1">
        <f>1.20111901625045*(10.3/7.3)</f>
        <v>1.6947295708739198</v>
      </c>
      <c r="E1406" s="1">
        <f>4.27580709447914*(10.3/7.3)</f>
        <v>6.0329880922102941</v>
      </c>
      <c r="F1406" s="1">
        <f>8.77343263408606*(38.9/42.5)</f>
        <v>8.0302712815517125</v>
      </c>
      <c r="G1406" s="1">
        <v>0.32111843069200613</v>
      </c>
      <c r="H1406" s="1">
        <v>2.2427657504220702</v>
      </c>
      <c r="I1406" s="1">
        <v>6.9428525677736133</v>
      </c>
      <c r="J1406" s="1">
        <v>1.9601176670487601E-2</v>
      </c>
      <c r="K1406" s="1">
        <v>2.4178168967966309</v>
      </c>
      <c r="L1406" s="1">
        <v>3.8162767556513764</v>
      </c>
      <c r="M1406" s="1">
        <v>0.1053612989652347</v>
      </c>
      <c r="N1406" s="1">
        <v>1.0683940742572671</v>
      </c>
      <c r="O1406" s="1">
        <v>0.25943619047619049</v>
      </c>
      <c r="P1406" s="1">
        <v>0.16868582440450283</v>
      </c>
      <c r="Q1406" s="1">
        <v>0.51320297142558102</v>
      </c>
      <c r="R1406" s="2">
        <f t="shared" si="87"/>
        <v>27.367992177765224</v>
      </c>
      <c r="S1406" s="2">
        <f t="shared" si="86"/>
        <v>2.6061038978716216</v>
      </c>
      <c r="T1406" s="2">
        <f t="shared" si="88"/>
        <v>5.2494683193500684</v>
      </c>
      <c r="U1406" s="2">
        <f t="shared" si="89"/>
        <v>35.223564394986909</v>
      </c>
    </row>
    <row r="1407" spans="1:21" x14ac:dyDescent="0.25">
      <c r="A1407">
        <v>3229593</v>
      </c>
      <c r="B1407">
        <v>19</v>
      </c>
      <c r="C1407" s="1">
        <f>1.18240259791924*(10.3/7.3)</f>
        <v>1.6683214737764633</v>
      </c>
      <c r="D1407" s="1">
        <f>1.20326353108644*(10.3/7.3)</f>
        <v>1.6977553931767551</v>
      </c>
      <c r="E1407" s="1">
        <f>4.29718225807919*(10.3/7.3)</f>
        <v>6.0631475696185877</v>
      </c>
      <c r="F1407" s="1">
        <f>8.66094120353085*(38.9/42.5)</f>
        <v>7.9273085368788285</v>
      </c>
      <c r="G1407" s="1">
        <v>0.30574540515434268</v>
      </c>
      <c r="H1407" s="1">
        <v>2.1019392267754338</v>
      </c>
      <c r="I1407" s="1">
        <v>6.9571946356848615</v>
      </c>
      <c r="J1407" s="1">
        <v>1.8811685541343798E-2</v>
      </c>
      <c r="K1407" s="1">
        <v>2.3859946089782089</v>
      </c>
      <c r="L1407" s="1">
        <v>3.9917509310614121</v>
      </c>
      <c r="M1407" s="1">
        <v>0.10433021296469572</v>
      </c>
      <c r="N1407" s="1">
        <v>1.0233946225356547</v>
      </c>
      <c r="O1407" s="1">
        <v>0.25224140350877194</v>
      </c>
      <c r="P1407" s="1">
        <v>0.16573463135410882</v>
      </c>
      <c r="Q1407" s="1">
        <v>0.4886342091507766</v>
      </c>
      <c r="R1407" s="2">
        <f t="shared" si="87"/>
        <v>27.210046450216048</v>
      </c>
      <c r="S1407" s="2">
        <f t="shared" si="86"/>
        <v>2.5705409258736616</v>
      </c>
      <c r="T1407" s="2">
        <f t="shared" si="88"/>
        <v>5.3717171700705348</v>
      </c>
      <c r="U1407" s="2">
        <f t="shared" si="89"/>
        <v>35.152304546160245</v>
      </c>
    </row>
    <row r="1408" spans="1:21" x14ac:dyDescent="0.25">
      <c r="A1408">
        <v>3229601</v>
      </c>
      <c r="B1408">
        <v>2</v>
      </c>
      <c r="C1408" s="1">
        <f>1.14429236083003*(10.3/7.3)</f>
        <v>1.614549495417708</v>
      </c>
      <c r="D1408" s="1">
        <f>1.15116265562427*(10.3/7.3)</f>
        <v>1.6242431990315016</v>
      </c>
      <c r="E1408" s="1">
        <f>4.11506742660516*(10.3/7.3)</f>
        <v>5.8061910265798868</v>
      </c>
      <c r="F1408" s="1">
        <f>8.22608329971888*(38.9/42.5)</f>
        <v>7.5292856555073948</v>
      </c>
      <c r="G1408" s="1">
        <v>0.28615560776081439</v>
      </c>
      <c r="H1408" s="1">
        <v>1.990426411170632</v>
      </c>
      <c r="I1408" s="1">
        <v>6.6307357705222953</v>
      </c>
      <c r="J1408" s="1">
        <v>1.7795996557773842E-2</v>
      </c>
      <c r="K1408" s="1">
        <v>2.2671464800768568</v>
      </c>
      <c r="L1408" s="1">
        <v>3.9889413854140772</v>
      </c>
      <c r="M1408" s="1">
        <v>9.932921626400712E-2</v>
      </c>
      <c r="N1408" s="1">
        <v>0.92475211745543384</v>
      </c>
      <c r="O1408" s="1">
        <v>0.23322666666666669</v>
      </c>
      <c r="P1408" s="1">
        <v>0.15580539015278555</v>
      </c>
      <c r="Q1408" s="1">
        <v>0.45732631377299149</v>
      </c>
      <c r="R1408" s="2">
        <f t="shared" si="87"/>
        <v>25.938913479763226</v>
      </c>
      <c r="S1408" s="2">
        <f t="shared" si="86"/>
        <v>2.4407478667874161</v>
      </c>
      <c r="T1408" s="2">
        <f t="shared" si="88"/>
        <v>5.2462493858001844</v>
      </c>
      <c r="U1408" s="2">
        <f t="shared" si="89"/>
        <v>33.625910732350825</v>
      </c>
    </row>
    <row r="1409" spans="1:21" x14ac:dyDescent="0.25">
      <c r="A1409">
        <v>3229617</v>
      </c>
      <c r="B1409">
        <v>18</v>
      </c>
      <c r="C1409" s="1">
        <f>1.0832209504597*(10.3/7.3)</f>
        <v>1.5283802451691701</v>
      </c>
      <c r="D1409" s="1">
        <f>1.18902314773827*(10.3/7.3)</f>
        <v>1.6776627974937233</v>
      </c>
      <c r="E1409" s="1">
        <f>4.22557523967232*(10.3/7.3)</f>
        <v>5.962113009400678</v>
      </c>
      <c r="F1409" s="1">
        <f>8.70700904228676*(38.9/42.5)</f>
        <v>7.9694741587048261</v>
      </c>
      <c r="G1409" s="1">
        <v>0.32275510431648241</v>
      </c>
      <c r="H1409" s="1">
        <v>2.1358561735184201</v>
      </c>
      <c r="I1409" s="1">
        <v>6.821503756319272</v>
      </c>
      <c r="J1409" s="1">
        <v>1.9188238857225603E-2</v>
      </c>
      <c r="K1409" s="1">
        <v>2.4052580896807987</v>
      </c>
      <c r="L1409" s="1">
        <v>5.0612860938454309</v>
      </c>
      <c r="M1409" s="1">
        <v>0.10206240811928272</v>
      </c>
      <c r="N1409" s="1">
        <v>0.81527213632425743</v>
      </c>
      <c r="O1409" s="1">
        <v>0.25213333333333326</v>
      </c>
      <c r="P1409" s="1">
        <v>0.1656694716989168</v>
      </c>
      <c r="Q1409" s="1">
        <v>0.51581865986652486</v>
      </c>
      <c r="R1409" s="2">
        <f t="shared" si="87"/>
        <v>26.933563904789096</v>
      </c>
      <c r="S1409" s="2">
        <f t="shared" si="86"/>
        <v>2.5901158002369411</v>
      </c>
      <c r="T1409" s="2">
        <f t="shared" si="88"/>
        <v>6.2307539716223044</v>
      </c>
      <c r="U1409" s="2">
        <f t="shared" si="89"/>
        <v>35.75443367664834</v>
      </c>
    </row>
    <row r="1410" spans="1:21" x14ac:dyDescent="0.25">
      <c r="A1410">
        <v>3229689</v>
      </c>
      <c r="B1410">
        <v>3</v>
      </c>
      <c r="C1410" s="1">
        <f>1.16885368891374*(10.3/7.3)</f>
        <v>1.6492045199741849</v>
      </c>
      <c r="D1410" s="1">
        <f>1.35916691807467*(10.3/7.3)</f>
        <v>1.9177286652286465</v>
      </c>
      <c r="E1410" s="1">
        <f>4.8140961853212*(10.3/7.3)</f>
        <v>6.7924918779189545</v>
      </c>
      <c r="F1410" s="1">
        <f>10.0371645967057*(38.9/42.5)</f>
        <v>9.1869577132200497</v>
      </c>
      <c r="G1410" s="1">
        <v>0.38257799477783161</v>
      </c>
      <c r="H1410" s="1">
        <v>2.5206581367689513</v>
      </c>
      <c r="I1410" s="1">
        <v>7.7210022356943346</v>
      </c>
      <c r="J1410" s="1">
        <v>2.166862718686181E-2</v>
      </c>
      <c r="K1410" s="1">
        <v>2.6296582033807341</v>
      </c>
      <c r="L1410" s="1">
        <v>9.0612555714833558</v>
      </c>
      <c r="M1410" s="1">
        <v>0.10820278228887088</v>
      </c>
      <c r="N1410" s="1">
        <v>1.0279445106237044</v>
      </c>
      <c r="O1410" s="1">
        <v>0.24302222222222222</v>
      </c>
      <c r="P1410" s="1">
        <v>0.19246209123800662</v>
      </c>
      <c r="Q1410" s="1">
        <v>0.61142601905132976</v>
      </c>
      <c r="R1410" s="2">
        <f t="shared" si="87"/>
        <v>30.782047162634285</v>
      </c>
      <c r="S1410" s="2">
        <f t="shared" si="86"/>
        <v>2.8437889218056025</v>
      </c>
      <c r="T1410" s="2">
        <f t="shared" si="88"/>
        <v>10.440425086618154</v>
      </c>
      <c r="U1410" s="2">
        <f t="shared" si="89"/>
        <v>44.066261171058045</v>
      </c>
    </row>
    <row r="1411" spans="1:21" x14ac:dyDescent="0.25">
      <c r="A1411">
        <v>3229929</v>
      </c>
      <c r="B1411">
        <v>2</v>
      </c>
      <c r="C1411" s="1">
        <f>3.12340434863525*(10.3/7.3)</f>
        <v>4.4069951768415132</v>
      </c>
      <c r="D1411" s="1">
        <f>3.52505395024779*(10.3/7.3)</f>
        <v>4.9737062585687992</v>
      </c>
      <c r="E1411" s="1">
        <f>12.446278354407*(10.3/7.3)</f>
        <v>17.561187267176965</v>
      </c>
      <c r="F1411" s="1">
        <f>28.8606181024707*(38.9/42.5)</f>
        <v>26.415953980849665</v>
      </c>
      <c r="G1411" s="1">
        <v>1.2269176508229891</v>
      </c>
      <c r="H1411" s="1">
        <v>6.4427269540549688</v>
      </c>
      <c r="I1411" s="1">
        <v>22.780265341926324</v>
      </c>
      <c r="J1411" s="1">
        <v>4.056927112276483E-2</v>
      </c>
      <c r="K1411" s="1">
        <v>3.2814094982142943</v>
      </c>
      <c r="L1411" s="1">
        <v>3.7989963071062722</v>
      </c>
      <c r="M1411" s="1">
        <v>0.14106031608204661</v>
      </c>
      <c r="N1411" s="1">
        <v>2.2060836046593209</v>
      </c>
      <c r="O1411" s="1">
        <v>0.18887999999999999</v>
      </c>
      <c r="P1411" s="1">
        <v>0.15994126007050527</v>
      </c>
      <c r="Q1411" s="1">
        <v>1.9608272958358295</v>
      </c>
      <c r="R1411" s="2">
        <f t="shared" si="87"/>
        <v>85.768579926077052</v>
      </c>
      <c r="S1411" s="2">
        <f t="shared" si="86"/>
        <v>3.4819200294075645</v>
      </c>
      <c r="T1411" s="2">
        <f t="shared" si="88"/>
        <v>6.3350202278476404</v>
      </c>
      <c r="U1411" s="2">
        <f t="shared" si="89"/>
        <v>95.58552018333225</v>
      </c>
    </row>
    <row r="1412" spans="1:21" x14ac:dyDescent="0.25">
      <c r="A1412">
        <v>3229993</v>
      </c>
      <c r="B1412">
        <v>19</v>
      </c>
      <c r="C1412" s="1">
        <f>4.17061832224847*(10.3/7.3)</f>
        <v>5.8845710574190679</v>
      </c>
      <c r="D1412" s="1">
        <f>4.30553892790314*(10.3/7.3)</f>
        <v>6.0749384873153849</v>
      </c>
      <c r="E1412" s="1">
        <f>15.3405405234785*(10.3/7.3)</f>
        <v>21.6448722454559</v>
      </c>
      <c r="F1412" s="1">
        <f>32.1152715699358*(38.9/42.5)</f>
        <v>29.394919154600014</v>
      </c>
      <c r="G1412" s="1">
        <v>1.1962482389912643</v>
      </c>
      <c r="H1412" s="1">
        <v>8.1689435716772927</v>
      </c>
      <c r="I1412" s="1">
        <v>25.776710622673697</v>
      </c>
      <c r="J1412" s="1">
        <v>3.9745419614323853E-2</v>
      </c>
      <c r="K1412" s="1">
        <v>2.8940732967988416</v>
      </c>
      <c r="L1412" s="1">
        <v>3.4189116711437211</v>
      </c>
      <c r="M1412" s="1">
        <v>0.14057202403336916</v>
      </c>
      <c r="N1412" s="1">
        <v>1.8329275167184529</v>
      </c>
      <c r="O1412" s="1">
        <v>0.16430596491228069</v>
      </c>
      <c r="P1412" s="1">
        <v>0.13535530801565324</v>
      </c>
      <c r="Q1412" s="1">
        <v>1.9118122540956304</v>
      </c>
      <c r="R1412" s="2">
        <f t="shared" si="87"/>
        <v>100.05301563222825</v>
      </c>
      <c r="S1412" s="2">
        <f t="shared" si="86"/>
        <v>3.0691740244288184</v>
      </c>
      <c r="T1412" s="2">
        <f t="shared" si="88"/>
        <v>5.5567171768078234</v>
      </c>
      <c r="U1412" s="2">
        <f t="shared" si="89"/>
        <v>108.67890683346489</v>
      </c>
    </row>
    <row r="1413" spans="1:21" x14ac:dyDescent="0.25">
      <c r="A1413">
        <v>3230009</v>
      </c>
      <c r="B1413">
        <v>10</v>
      </c>
      <c r="C1413" s="1">
        <f>5.56652629131933*(10.3/7.3)</f>
        <v>7.8541398356971408</v>
      </c>
      <c r="D1413" s="1">
        <f>5.64880334839567*(10.3/7.3)</f>
        <v>7.9702293819829313</v>
      </c>
      <c r="E1413" s="1">
        <f>20.1087909105724*(10.3/7.3)</f>
        <v>28.372677586150164</v>
      </c>
      <c r="F1413" s="1">
        <f>43.9495260104356*(38.9/42.5)</f>
        <v>40.226742630728076</v>
      </c>
      <c r="G1413" s="1">
        <v>1.7167190566828012</v>
      </c>
      <c r="H1413" s="1">
        <v>6.9862270693657589</v>
      </c>
      <c r="I1413" s="1">
        <v>35.665090645512464</v>
      </c>
      <c r="J1413" s="1">
        <v>4.357515666437832E-2</v>
      </c>
      <c r="K1413" s="1">
        <v>3.0572020759275742</v>
      </c>
      <c r="L1413" s="1">
        <v>3.6919769298003273</v>
      </c>
      <c r="M1413" s="1">
        <v>0.15698934902285533</v>
      </c>
      <c r="N1413" s="1">
        <v>2.2299418401250848</v>
      </c>
      <c r="O1413" s="1">
        <v>0.17238399999999998</v>
      </c>
      <c r="P1413" s="1">
        <v>0.13979625084337488</v>
      </c>
      <c r="Q1413" s="1">
        <v>2.743614930771602</v>
      </c>
      <c r="R1413" s="2">
        <f t="shared" si="87"/>
        <v>131.53544113689091</v>
      </c>
      <c r="S1413" s="2">
        <f t="shared" si="86"/>
        <v>3.2405734834353277</v>
      </c>
      <c r="T1413" s="2">
        <f t="shared" si="88"/>
        <v>6.2512921189482675</v>
      </c>
      <c r="U1413" s="2">
        <f t="shared" si="89"/>
        <v>141.02730673927451</v>
      </c>
    </row>
    <row r="1414" spans="1:21" x14ac:dyDescent="0.25">
      <c r="A1414">
        <v>3230017</v>
      </c>
      <c r="B1414">
        <v>11</v>
      </c>
      <c r="C1414" s="1">
        <f>4.59628745004473*(10.3/7.3)</f>
        <v>6.4851727034877644</v>
      </c>
      <c r="D1414" s="1">
        <f>4.58905196814454*(10.3/7.3)</f>
        <v>6.4749637358751722</v>
      </c>
      <c r="E1414" s="1">
        <f>16.4254693934753*(10.3/7.3)</f>
        <v>23.175662294903557</v>
      </c>
      <c r="F1414" s="1">
        <f>32.1252993576392*(38.9/42.5)</f>
        <v>29.404097529697985</v>
      </c>
      <c r="G1414" s="1">
        <v>1.0801674337332579</v>
      </c>
      <c r="H1414" s="1">
        <v>5.6017339674464104</v>
      </c>
      <c r="I1414" s="1">
        <v>25.906747890415502</v>
      </c>
      <c r="J1414" s="1">
        <v>4.2803125028042247E-2</v>
      </c>
      <c r="K1414" s="1">
        <v>2.8008404695762863</v>
      </c>
      <c r="L1414" s="1">
        <v>3.3563043747132655</v>
      </c>
      <c r="M1414" s="1">
        <v>0.14655949891860129</v>
      </c>
      <c r="N1414" s="1">
        <v>2.2326912851752354</v>
      </c>
      <c r="O1414" s="1">
        <v>0.15770666666666666</v>
      </c>
      <c r="P1414" s="1">
        <v>0.12943584873217995</v>
      </c>
      <c r="Q1414" s="1">
        <v>1.7262949854184504</v>
      </c>
      <c r="R1414" s="2">
        <f t="shared" si="87"/>
        <v>99.854840540978088</v>
      </c>
      <c r="S1414" s="2">
        <f t="shared" si="86"/>
        <v>2.9730794433365086</v>
      </c>
      <c r="T1414" s="2">
        <f t="shared" si="88"/>
        <v>5.8932618254737692</v>
      </c>
      <c r="U1414" s="2">
        <f t="shared" si="89"/>
        <v>108.72118180978836</v>
      </c>
    </row>
    <row r="1415" spans="1:21" x14ac:dyDescent="0.25">
      <c r="A1415">
        <v>3230025</v>
      </c>
      <c r="B1415">
        <v>17</v>
      </c>
      <c r="C1415" s="1">
        <f>4.50186886291209*(10.3/7.3)</f>
        <v>6.3519519572595273</v>
      </c>
      <c r="D1415" s="1">
        <f>4.55025836283327*(10.3/7.3)</f>
        <v>6.4202275530387185</v>
      </c>
      <c r="E1415" s="1">
        <f>16.2824455405196*(10.3/7.3)</f>
        <v>22.973861516075658</v>
      </c>
      <c r="F1415" s="1">
        <f>31.4967532594093*(38.9/42.5)</f>
        <v>28.828792983318177</v>
      </c>
      <c r="G1415" s="1">
        <v>1.0454755940527054</v>
      </c>
      <c r="H1415" s="1">
        <v>4.909402990260987</v>
      </c>
      <c r="I1415" s="1">
        <v>25.243284322877912</v>
      </c>
      <c r="J1415" s="1">
        <v>4.8028074527291686E-2</v>
      </c>
      <c r="K1415" s="1">
        <v>2.7330269577132649</v>
      </c>
      <c r="L1415" s="1">
        <v>3.3050794786295636</v>
      </c>
      <c r="M1415" s="1">
        <v>0.14552411526735679</v>
      </c>
      <c r="N1415" s="1">
        <v>3.2001269163991304</v>
      </c>
      <c r="O1415" s="1">
        <v>0.15386352941176468</v>
      </c>
      <c r="P1415" s="1">
        <v>0.12614759360811004</v>
      </c>
      <c r="Q1415" s="1">
        <v>1.6708514060203075</v>
      </c>
      <c r="R1415" s="2">
        <f t="shared" si="87"/>
        <v>97.443848322903989</v>
      </c>
      <c r="S1415" s="2">
        <f t="shared" si="86"/>
        <v>2.907202625848667</v>
      </c>
      <c r="T1415" s="2">
        <f t="shared" si="88"/>
        <v>6.8045940397078155</v>
      </c>
      <c r="U1415" s="2">
        <f t="shared" si="89"/>
        <v>107.15564498846047</v>
      </c>
    </row>
    <row r="1416" spans="1:21" x14ac:dyDescent="0.25">
      <c r="A1416">
        <v>3230033</v>
      </c>
      <c r="B1416">
        <v>1</v>
      </c>
      <c r="C1416" s="1">
        <f>4.51662908869213*(10.3/7.3)</f>
        <v>6.3727780292505427</v>
      </c>
      <c r="D1416" s="1">
        <f>4.60062689134346*(10.3/7.3)</f>
        <v>6.4912954768270756</v>
      </c>
      <c r="E1416" s="1">
        <f>16.4620688953019*(10.3/7.3)</f>
        <v>23.227302687891683</v>
      </c>
      <c r="F1416" s="1">
        <f>31.5221819356985*(38.9/42.5)</f>
        <v>28.852067701145213</v>
      </c>
      <c r="G1416" s="1">
        <v>1.032499217653662</v>
      </c>
      <c r="H1416" s="1">
        <v>3.4262677232200569</v>
      </c>
      <c r="I1416" s="1">
        <v>25.153805454574265</v>
      </c>
      <c r="J1416" s="1">
        <v>6.0983324398742406E-2</v>
      </c>
      <c r="K1416" s="1">
        <v>2.6139143634230217</v>
      </c>
      <c r="L1416" s="1">
        <v>3.2255716533842858</v>
      </c>
      <c r="M1416" s="1">
        <v>0.14114236588786344</v>
      </c>
      <c r="N1416" s="1">
        <v>2.386683809999302</v>
      </c>
      <c r="O1416" s="1">
        <v>0.14704</v>
      </c>
      <c r="P1416" s="1">
        <v>0.11931621467067632</v>
      </c>
      <c r="Q1416" s="1">
        <v>1.6501129049259458</v>
      </c>
      <c r="R1416" s="2">
        <f t="shared" si="87"/>
        <v>96.206129195488444</v>
      </c>
      <c r="S1416" s="2">
        <f t="shared" si="86"/>
        <v>2.7942139024924404</v>
      </c>
      <c r="T1416" s="2">
        <f t="shared" si="88"/>
        <v>5.9004378292714508</v>
      </c>
      <c r="U1416" s="2">
        <f t="shared" si="89"/>
        <v>104.90078092725234</v>
      </c>
    </row>
    <row r="1417" spans="1:21" x14ac:dyDescent="0.25">
      <c r="A1417">
        <v>3241669</v>
      </c>
      <c r="B1417">
        <v>33</v>
      </c>
      <c r="C1417" s="1">
        <f>0.71078431667999*(10.3/7.3)</f>
        <v>1.002887460521082</v>
      </c>
      <c r="D1417" s="1">
        <f>0.948846242108377*(10.3/7.3)</f>
        <v>1.3387830539337371</v>
      </c>
      <c r="E1417" s="1">
        <f>3.32840641430954*(10.3/7.3)</f>
        <v>4.6962446667655149</v>
      </c>
      <c r="F1417" s="1">
        <f>7.51672351565951*(38.9/42.5)</f>
        <v>6.88001281786247</v>
      </c>
      <c r="G1417" s="1">
        <v>0.32059728383551311</v>
      </c>
      <c r="H1417" s="1">
        <v>1.715159492260417</v>
      </c>
      <c r="I1417" s="1">
        <v>5.6186472206294349</v>
      </c>
      <c r="J1417" s="1">
        <v>1.9387069384798693E-2</v>
      </c>
      <c r="K1417" s="1">
        <v>2.1048735342321709</v>
      </c>
      <c r="L1417" s="1">
        <v>2.2480912663362562</v>
      </c>
      <c r="M1417" s="1">
        <v>9.850509247768903E-2</v>
      </c>
      <c r="N1417" s="1">
        <v>0.66077973770074472</v>
      </c>
      <c r="O1417" s="1">
        <v>0.26692525252525257</v>
      </c>
      <c r="P1417" s="1">
        <v>0.1344863017800256</v>
      </c>
      <c r="Q1417" s="1">
        <v>0.51237008832159692</v>
      </c>
      <c r="R1417" s="2">
        <f t="shared" si="87"/>
        <v>22.084702084129763</v>
      </c>
      <c r="S1417" s="2">
        <f t="shared" ref="S1417:S1480" si="90">J1417+K1417+P1417</f>
        <v>2.2587469053969955</v>
      </c>
      <c r="T1417" s="2">
        <f t="shared" si="88"/>
        <v>3.2743013490399422</v>
      </c>
      <c r="U1417" s="2">
        <f t="shared" si="89"/>
        <v>27.617750338566701</v>
      </c>
    </row>
    <row r="1418" spans="1:21" x14ac:dyDescent="0.25">
      <c r="A1418">
        <v>3241677</v>
      </c>
      <c r="B1418">
        <v>11</v>
      </c>
      <c r="C1418" s="1">
        <f>0.45018922918419*(10.3/7.3)</f>
        <v>0.63519850145166556</v>
      </c>
      <c r="D1418" s="1">
        <f>0.606440781479544*(10.3/7.3)</f>
        <v>0.85566302044373954</v>
      </c>
      <c r="E1418" s="1">
        <f>2.12424916580299*(10.3/7.3)</f>
        <v>2.9972282750371009</v>
      </c>
      <c r="F1418" s="1">
        <f>4.91088338275515*(38.9/42.5)</f>
        <v>4.4949026726864805</v>
      </c>
      <c r="G1418" s="1">
        <v>0.21445332488765947</v>
      </c>
      <c r="H1418" s="1">
        <v>1.9111367129233872</v>
      </c>
      <c r="I1418" s="1">
        <v>3.678346394151903</v>
      </c>
      <c r="J1418" s="1">
        <v>1.3417781771916708E-2</v>
      </c>
      <c r="K1418" s="1">
        <v>1.7068510015974381</v>
      </c>
      <c r="L1418" s="1">
        <v>1.6553142544980153</v>
      </c>
      <c r="M1418" s="1">
        <v>7.37018424495781E-2</v>
      </c>
      <c r="N1418" s="1">
        <v>0.59636432258916672</v>
      </c>
      <c r="O1418" s="1">
        <v>0.19527757575757576</v>
      </c>
      <c r="P1418" s="1">
        <v>0.11424458396095187</v>
      </c>
      <c r="Q1418" s="1">
        <v>0.34273362424968434</v>
      </c>
      <c r="R1418" s="2">
        <f t="shared" ref="R1418:R1481" si="91">C1418+D1418+E1418+F1418+G1418+H1418+I1418+Q1418</f>
        <v>15.12966252583162</v>
      </c>
      <c r="S1418" s="2">
        <f t="shared" si="90"/>
        <v>1.8345133673303067</v>
      </c>
      <c r="T1418" s="2">
        <f t="shared" ref="T1418:T1481" si="92">L1418+M1418+N1418+O1418</f>
        <v>2.5206579952943358</v>
      </c>
      <c r="U1418" s="2">
        <f t="shared" ref="U1418:U1481" si="93">R1418+S1418+T1418</f>
        <v>19.484833888456262</v>
      </c>
    </row>
    <row r="1419" spans="1:21" x14ac:dyDescent="0.25">
      <c r="A1419">
        <v>3241685</v>
      </c>
      <c r="B1419">
        <v>4</v>
      </c>
      <c r="C1419" s="1">
        <f>0.452081115266314*(10.3/7.3)</f>
        <v>0.63786787496479957</v>
      </c>
      <c r="D1419" s="1">
        <f>0.693084463565801*(10.3/7.3)</f>
        <v>0.97791369516818472</v>
      </c>
      <c r="E1419" s="1">
        <f>2.38269230372277*(10.3/7.3)</f>
        <v>3.3618809216910388</v>
      </c>
      <c r="F1419" s="1">
        <f>7.16813608760124*(38.9/42.5)</f>
        <v>6.5609527954750169</v>
      </c>
      <c r="G1419" s="1">
        <v>0.38457189243220807</v>
      </c>
      <c r="H1419" s="1">
        <v>1.8851190649716627</v>
      </c>
      <c r="I1419" s="1">
        <v>5.4705864748360442</v>
      </c>
      <c r="J1419" s="1">
        <v>1.3552792800555472E-2</v>
      </c>
      <c r="K1419" s="1">
        <v>1.7041288961955872</v>
      </c>
      <c r="L1419" s="1">
        <v>1.6524926852620887</v>
      </c>
      <c r="M1419" s="1">
        <v>7.322637861924719E-2</v>
      </c>
      <c r="N1419" s="1">
        <v>0.54140643840924041</v>
      </c>
      <c r="O1419" s="1">
        <v>0.19158666666666666</v>
      </c>
      <c r="P1419" s="1">
        <v>0.11482221704220101</v>
      </c>
      <c r="Q1419" s="1">
        <v>0.61461261347613227</v>
      </c>
      <c r="R1419" s="2">
        <f t="shared" si="91"/>
        <v>19.893505333015089</v>
      </c>
      <c r="S1419" s="2">
        <f t="shared" si="90"/>
        <v>1.8325039060383437</v>
      </c>
      <c r="T1419" s="2">
        <f t="shared" si="92"/>
        <v>2.4587121689572431</v>
      </c>
      <c r="U1419" s="2">
        <f t="shared" si="93"/>
        <v>24.184721408010674</v>
      </c>
    </row>
    <row r="1420" spans="1:21" x14ac:dyDescent="0.25">
      <c r="A1420">
        <v>3241725</v>
      </c>
      <c r="B1420">
        <v>6</v>
      </c>
      <c r="C1420" s="1">
        <f>0.555617070434349*(10.3/7.3)</f>
        <v>0.78395285280463001</v>
      </c>
      <c r="D1420" s="1">
        <f>0.686625762834279*(10.3/7.3)</f>
        <v>0.96880073386206556</v>
      </c>
      <c r="E1420" s="1">
        <f>2.41375615033836*(10.3/7.3)</f>
        <v>3.4057107326691991</v>
      </c>
      <c r="F1420" s="1">
        <f>5.60363524125863*(38.9/42.5)</f>
        <v>5.1289743737637821</v>
      </c>
      <c r="G1420" s="1">
        <v>0.24230774185470783</v>
      </c>
      <c r="H1420" s="1">
        <v>3.7375990109459845</v>
      </c>
      <c r="I1420" s="1">
        <v>4.3049038043376671</v>
      </c>
      <c r="J1420" s="1">
        <v>1.3735250562115863E-2</v>
      </c>
      <c r="K1420" s="1">
        <v>1.8321322587913216</v>
      </c>
      <c r="L1420" s="1">
        <v>1.8458295106393319</v>
      </c>
      <c r="M1420" s="1">
        <v>8.1276757137550351E-2</v>
      </c>
      <c r="N1420" s="1">
        <v>0.64622727312625206</v>
      </c>
      <c r="O1420" s="1">
        <v>0.20734222222222221</v>
      </c>
      <c r="P1420" s="1">
        <v>0.12373126889608076</v>
      </c>
      <c r="Q1420" s="1">
        <v>0.38724981574953343</v>
      </c>
      <c r="R1420" s="2">
        <f t="shared" si="91"/>
        <v>18.959499065987572</v>
      </c>
      <c r="S1420" s="2">
        <f t="shared" si="90"/>
        <v>1.9695987782495181</v>
      </c>
      <c r="T1420" s="2">
        <f t="shared" si="92"/>
        <v>2.7806757631253562</v>
      </c>
      <c r="U1420" s="2">
        <f t="shared" si="93"/>
        <v>23.709773607362447</v>
      </c>
    </row>
    <row r="1421" spans="1:21" x14ac:dyDescent="0.25">
      <c r="A1421">
        <v>3241733</v>
      </c>
      <c r="B1421">
        <v>32</v>
      </c>
      <c r="C1421" s="1">
        <f>0.639320582949381*(10.3/7.3)</f>
        <v>0.90205506909296207</v>
      </c>
      <c r="D1421" s="1">
        <f>0.773674790431264*(10.3/7.3)</f>
        <v>1.0916233344441126</v>
      </c>
      <c r="E1421" s="1">
        <f>2.72609270744982*(10.3/7.3)</f>
        <v>3.8464047790045428</v>
      </c>
      <c r="F1421" s="1">
        <f>6.14091858849276*(38.9/42.5)</f>
        <v>5.6207466609968986</v>
      </c>
      <c r="G1421" s="1">
        <v>0.25692108929359297</v>
      </c>
      <c r="H1421" s="1">
        <v>2.8093820758840491</v>
      </c>
      <c r="I1421" s="1">
        <v>4.7235886357446901</v>
      </c>
      <c r="J1421" s="1">
        <v>1.4329033887891607E-2</v>
      </c>
      <c r="K1421" s="1">
        <v>1.9299053462556517</v>
      </c>
      <c r="L1421" s="1">
        <v>1.9787956478903364</v>
      </c>
      <c r="M1421" s="1">
        <v>8.4176712664975853E-2</v>
      </c>
      <c r="N1421" s="1">
        <v>0.81763950304586619</v>
      </c>
      <c r="O1421" s="1">
        <v>0.21679666666666664</v>
      </c>
      <c r="P1421" s="1">
        <v>0.13137307437122075</v>
      </c>
      <c r="Q1421" s="1">
        <v>0.41060448060619936</v>
      </c>
      <c r="R1421" s="2">
        <f t="shared" si="91"/>
        <v>19.661326125067045</v>
      </c>
      <c r="S1421" s="2">
        <f t="shared" si="90"/>
        <v>2.0756074545147642</v>
      </c>
      <c r="T1421" s="2">
        <f t="shared" si="92"/>
        <v>3.0974085302678449</v>
      </c>
      <c r="U1421" s="2">
        <f t="shared" si="93"/>
        <v>24.834342109849654</v>
      </c>
    </row>
    <row r="1422" spans="1:21" x14ac:dyDescent="0.25">
      <c r="A1422">
        <v>3241781</v>
      </c>
      <c r="B1422">
        <v>6</v>
      </c>
      <c r="C1422" s="1">
        <f>0.980129754475886*(10.3/7.3)</f>
        <v>1.3829228042604975</v>
      </c>
      <c r="D1422" s="1">
        <f>1.35372383409254*(10.3/7.3)</f>
        <v>1.910048697418246</v>
      </c>
      <c r="E1422" s="1">
        <f>4.7011822481248*(10.3/7.3)</f>
        <v>6.6331749528336239</v>
      </c>
      <c r="F1422" s="1">
        <f>12.6835950256518*(38.9/42.5)</f>
        <v>11.609219917596553</v>
      </c>
      <c r="G1422" s="1">
        <v>0.62896294439216105</v>
      </c>
      <c r="H1422" s="1">
        <v>8.8120022816149834</v>
      </c>
      <c r="I1422" s="1">
        <v>9.7100045459809721</v>
      </c>
      <c r="J1422" s="1">
        <v>1.9300919490333957E-2</v>
      </c>
      <c r="K1422" s="1">
        <v>2.533991799137739</v>
      </c>
      <c r="L1422" s="1">
        <v>3.0889024114841299</v>
      </c>
      <c r="M1422" s="1">
        <v>0.10855465763642032</v>
      </c>
      <c r="N1422" s="1">
        <v>0.79523705111821608</v>
      </c>
      <c r="O1422" s="1">
        <v>0.29920888888888891</v>
      </c>
      <c r="P1422" s="1">
        <v>0.18191640978249604</v>
      </c>
      <c r="Q1422" s="1">
        <v>1.0051919202614459</v>
      </c>
      <c r="R1422" s="2">
        <f t="shared" si="91"/>
        <v>41.691528064358479</v>
      </c>
      <c r="S1422" s="2">
        <f t="shared" si="90"/>
        <v>2.7352091284105691</v>
      </c>
      <c r="T1422" s="2">
        <f t="shared" si="92"/>
        <v>4.2919030091276555</v>
      </c>
      <c r="U1422" s="2">
        <f t="shared" si="93"/>
        <v>48.718640201896704</v>
      </c>
    </row>
    <row r="1423" spans="1:21" x14ac:dyDescent="0.25">
      <c r="A1423">
        <v>3241789</v>
      </c>
      <c r="B1423">
        <v>12</v>
      </c>
      <c r="C1423" s="1">
        <f>0.841026340963917*(10.3/7.3)</f>
        <v>1.1866536043737466</v>
      </c>
      <c r="D1423" s="1">
        <f>1.24248202887083*(10.3/7.3)</f>
        <v>1.7530910818314394</v>
      </c>
      <c r="E1423" s="1">
        <f>4.3553572483361*(10.3/7.3)</f>
        <v>6.1452300901180532</v>
      </c>
      <c r="F1423" s="1">
        <f>9.08921808012042*(38.9/42.5)</f>
        <v>8.319307842745518</v>
      </c>
      <c r="G1423" s="1">
        <v>0.36330067037049768</v>
      </c>
      <c r="H1423" s="1">
        <v>5.2089906498621525</v>
      </c>
      <c r="I1423" s="1">
        <v>6.4797514746201843</v>
      </c>
      <c r="J1423" s="1">
        <v>1.8406310698187087E-2</v>
      </c>
      <c r="K1423" s="1">
        <v>2.3652664272892951</v>
      </c>
      <c r="L1423" s="1">
        <v>2.9282603230805901</v>
      </c>
      <c r="M1423" s="1">
        <v>9.9310167296913165E-2</v>
      </c>
      <c r="N1423" s="1">
        <v>0.76244031460792694</v>
      </c>
      <c r="O1423" s="1">
        <v>0.2620533333333333</v>
      </c>
      <c r="P1423" s="1">
        <v>0.1737895696006688</v>
      </c>
      <c r="Q1423" s="1">
        <v>0.58061750972454029</v>
      </c>
      <c r="R1423" s="2">
        <f t="shared" si="91"/>
        <v>30.036942923646134</v>
      </c>
      <c r="S1423" s="2">
        <f t="shared" si="90"/>
        <v>2.5574623075881506</v>
      </c>
      <c r="T1423" s="2">
        <f t="shared" si="92"/>
        <v>4.0520641383187641</v>
      </c>
      <c r="U1423" s="2">
        <f t="shared" si="93"/>
        <v>36.646469369553046</v>
      </c>
    </row>
    <row r="1424" spans="1:21" x14ac:dyDescent="0.25">
      <c r="A1424">
        <v>3241821</v>
      </c>
      <c r="B1424">
        <v>20</v>
      </c>
      <c r="C1424" s="1">
        <f>1.09100091708514*(10.3/7.3)</f>
        <v>1.5393574583530056</v>
      </c>
      <c r="D1424" s="1">
        <f>1.15016273941416*(10.3/7.3)</f>
        <v>1.6228323583514921</v>
      </c>
      <c r="E1424" s="1">
        <f>4.09724917278343*(10.3/7.3)</f>
        <v>5.7810502026944226</v>
      </c>
      <c r="F1424" s="1">
        <f>8.38308878584522*(38.9/42.5)</f>
        <v>7.6729918533971553</v>
      </c>
      <c r="G1424" s="1">
        <v>0.30484102174339628</v>
      </c>
      <c r="H1424" s="1">
        <v>2.1002181371838158</v>
      </c>
      <c r="I1424" s="1">
        <v>6.6580595116127368</v>
      </c>
      <c r="J1424" s="1">
        <v>1.8583535175113571E-2</v>
      </c>
      <c r="K1424" s="1">
        <v>2.3730131692857355</v>
      </c>
      <c r="L1424" s="1">
        <v>3.6820396462785103</v>
      </c>
      <c r="M1424" s="1">
        <v>0.10140801474698871</v>
      </c>
      <c r="N1424" s="1">
        <v>0.890271102330224</v>
      </c>
      <c r="O1424" s="1">
        <v>0.25062399999999996</v>
      </c>
      <c r="P1424" s="1">
        <v>0.16833631364125659</v>
      </c>
      <c r="Q1424" s="1">
        <v>0.48718884753510866</v>
      </c>
      <c r="R1424" s="2">
        <f t="shared" si="91"/>
        <v>26.166539390871137</v>
      </c>
      <c r="S1424" s="2">
        <f t="shared" si="90"/>
        <v>2.5599330181021056</v>
      </c>
      <c r="T1424" s="2">
        <f t="shared" si="92"/>
        <v>4.9243427633557229</v>
      </c>
      <c r="U1424" s="2">
        <f t="shared" si="93"/>
        <v>33.650815172328969</v>
      </c>
    </row>
    <row r="1425" spans="1:21" x14ac:dyDescent="0.25">
      <c r="A1425">
        <v>3241829</v>
      </c>
      <c r="B1425">
        <v>14</v>
      </c>
      <c r="C1425" s="1">
        <f>0.985914468812206*(10.3/7.3)</f>
        <v>1.3910847984610579</v>
      </c>
      <c r="D1425" s="1">
        <f>1.00417176635459*(10.3/7.3)</f>
        <v>1.4168450949934597</v>
      </c>
      <c r="E1425" s="1">
        <f>3.58674279195473*(10.3/7.3)</f>
        <v>5.0607466790594122</v>
      </c>
      <c r="F1425" s="1">
        <f>7.19166652840692*(38.9/42.5)</f>
        <v>6.5824900695301025</v>
      </c>
      <c r="G1425" s="1">
        <v>0.25212011967720577</v>
      </c>
      <c r="H1425" s="1">
        <v>1.77225377526559</v>
      </c>
      <c r="I1425" s="1">
        <v>5.7714858343160076</v>
      </c>
      <c r="J1425" s="1">
        <v>1.6756411637255341E-2</v>
      </c>
      <c r="K1425" s="1">
        <v>2.1457819700844314</v>
      </c>
      <c r="L1425" s="1">
        <v>3.6475524621590054</v>
      </c>
      <c r="M1425" s="1">
        <v>9.3259755768772393E-2</v>
      </c>
      <c r="N1425" s="1">
        <v>0.97516078802510842</v>
      </c>
      <c r="O1425" s="1">
        <v>0.21427428571428567</v>
      </c>
      <c r="P1425" s="1">
        <v>0.14812285458353827</v>
      </c>
      <c r="Q1425" s="1">
        <v>0.40293169811425628</v>
      </c>
      <c r="R1425" s="2">
        <f t="shared" si="91"/>
        <v>22.649958069417092</v>
      </c>
      <c r="S1425" s="2">
        <f t="shared" si="90"/>
        <v>2.3106612363052252</v>
      </c>
      <c r="T1425" s="2">
        <f t="shared" si="92"/>
        <v>4.9302472916671718</v>
      </c>
      <c r="U1425" s="2">
        <f t="shared" si="93"/>
        <v>29.89086659738949</v>
      </c>
    </row>
    <row r="1426" spans="1:21" x14ac:dyDescent="0.25">
      <c r="A1426">
        <v>3241845</v>
      </c>
      <c r="B1426">
        <v>16</v>
      </c>
      <c r="C1426" s="1">
        <f>1.10028111618272*(10.3/7.3)</f>
        <v>1.5524514379016421</v>
      </c>
      <c r="D1426" s="1">
        <f>1.19855743848086*(10.3/7.3)</f>
        <v>1.6911152899113542</v>
      </c>
      <c r="E1426" s="1">
        <f>4.25869998872301*(10.3/7.3)</f>
        <v>6.008850669020144</v>
      </c>
      <c r="F1426" s="1">
        <f>8.897860761479*(38.9/42.5)</f>
        <v>8.1441596146243089</v>
      </c>
      <c r="G1426" s="1">
        <v>0.33497480593523143</v>
      </c>
      <c r="H1426" s="1">
        <v>2.1735805754927631</v>
      </c>
      <c r="I1426" s="1">
        <v>7.0038718940831464</v>
      </c>
      <c r="J1426" s="1">
        <v>1.9499642866297018E-2</v>
      </c>
      <c r="K1426" s="1">
        <v>2.4343413113134424</v>
      </c>
      <c r="L1426" s="1">
        <v>4.9349429312730226</v>
      </c>
      <c r="M1426" s="1">
        <v>0.10486976971019002</v>
      </c>
      <c r="N1426" s="1">
        <v>0.83665476474422706</v>
      </c>
      <c r="O1426" s="1">
        <v>0.26075666666666664</v>
      </c>
      <c r="P1426" s="1">
        <v>0.16840649415810979</v>
      </c>
      <c r="Q1426" s="1">
        <v>0.53534786336680895</v>
      </c>
      <c r="R1426" s="2">
        <f t="shared" si="91"/>
        <v>27.444352150335401</v>
      </c>
      <c r="S1426" s="2">
        <f t="shared" si="90"/>
        <v>2.6222474483378488</v>
      </c>
      <c r="T1426" s="2">
        <f t="shared" si="92"/>
        <v>6.1372241323941061</v>
      </c>
      <c r="U1426" s="2">
        <f t="shared" si="93"/>
        <v>36.203823731067359</v>
      </c>
    </row>
    <row r="1427" spans="1:21" x14ac:dyDescent="0.25">
      <c r="A1427">
        <v>3241853</v>
      </c>
      <c r="B1427">
        <v>2</v>
      </c>
      <c r="C1427" s="1">
        <f>0.884207811013804*(10.3/7.3)</f>
        <v>1.247580884033175</v>
      </c>
      <c r="D1427" s="1">
        <f>0.980011680486279*(10.3/7.3)</f>
        <v>1.3827562067135173</v>
      </c>
      <c r="E1427" s="1">
        <f>3.47872736537753*(10.3/7.3)</f>
        <v>4.9083413511491143</v>
      </c>
      <c r="F1427" s="1">
        <f>7.28663849554956*(38.9/42.5)</f>
        <v>6.6694173523971267</v>
      </c>
      <c r="G1427" s="1">
        <v>0.27628447318488825</v>
      </c>
      <c r="H1427" s="1">
        <v>1.7739333182671686</v>
      </c>
      <c r="I1427" s="1">
        <v>5.702917422202173</v>
      </c>
      <c r="J1427" s="1">
        <v>1.7223164050549362E-2</v>
      </c>
      <c r="K1427" s="1">
        <v>2.1741509256002143</v>
      </c>
      <c r="L1427" s="1">
        <v>4.0560179781306225</v>
      </c>
      <c r="M1427" s="1">
        <v>9.050777248358105E-2</v>
      </c>
      <c r="N1427" s="1">
        <v>0.73780968182149098</v>
      </c>
      <c r="O1427" s="1">
        <v>0.20288</v>
      </c>
      <c r="P1427" s="1">
        <v>0.15762783327075675</v>
      </c>
      <c r="Q1427" s="1">
        <v>0.44155052792105476</v>
      </c>
      <c r="R1427" s="2">
        <f t="shared" si="91"/>
        <v>22.402781535868222</v>
      </c>
      <c r="S1427" s="2">
        <f t="shared" si="90"/>
        <v>2.3490019229215204</v>
      </c>
      <c r="T1427" s="2">
        <f t="shared" si="92"/>
        <v>5.0872154324356949</v>
      </c>
      <c r="U1427" s="2">
        <f t="shared" si="93"/>
        <v>29.838998891225437</v>
      </c>
    </row>
    <row r="1428" spans="1:21" x14ac:dyDescent="0.25">
      <c r="A1428">
        <v>3241917</v>
      </c>
      <c r="B1428">
        <v>1</v>
      </c>
      <c r="C1428" s="1">
        <f>1.11163243267546*(10.3/7.3)</f>
        <v>1.5684676789804464</v>
      </c>
      <c r="D1428" s="1">
        <f>1.30317337508447*(10.3/7.3)</f>
        <v>1.838724077173981</v>
      </c>
      <c r="E1428" s="1">
        <f>4.61197076776554*(10.3/7.3)</f>
        <v>6.5073012202719207</v>
      </c>
      <c r="F1428" s="1">
        <f>9.71657082552555*(38.9/42.5)</f>
        <v>8.8935201203045668</v>
      </c>
      <c r="G1428" s="1">
        <v>0.37563958859040536</v>
      </c>
      <c r="H1428" s="1">
        <v>3.2643597778678934</v>
      </c>
      <c r="I1428" s="1">
        <v>7.4668228407607531</v>
      </c>
      <c r="J1428" s="1">
        <v>2.1852499349674606E-2</v>
      </c>
      <c r="K1428" s="1">
        <v>2.654484499824175</v>
      </c>
      <c r="L1428" s="1">
        <v>6.0958647436512789</v>
      </c>
      <c r="M1428" s="1">
        <v>0.10513115470994307</v>
      </c>
      <c r="N1428" s="1">
        <v>1.0181812658582337</v>
      </c>
      <c r="O1428" s="1">
        <v>0.24432000000000001</v>
      </c>
      <c r="P1428" s="1">
        <v>0.20106884762159047</v>
      </c>
      <c r="Q1428" s="1">
        <v>0.60033724203946115</v>
      </c>
      <c r="R1428" s="2">
        <f t="shared" si="91"/>
        <v>30.515172545989429</v>
      </c>
      <c r="S1428" s="2">
        <f t="shared" si="90"/>
        <v>2.87740584679544</v>
      </c>
      <c r="T1428" s="2">
        <f t="shared" si="92"/>
        <v>7.4634971642194552</v>
      </c>
      <c r="U1428" s="2">
        <f t="shared" si="93"/>
        <v>40.856075557004324</v>
      </c>
    </row>
    <row r="1429" spans="1:21" x14ac:dyDescent="0.25">
      <c r="A1429">
        <v>3242141</v>
      </c>
      <c r="B1429">
        <v>14</v>
      </c>
      <c r="C1429" s="1">
        <f>5.60800553805222*(10.3/7.3)</f>
        <v>7.9126653482106661</v>
      </c>
      <c r="D1429" s="1">
        <f>6.3691749031115*(10.3/7.3)</f>
        <v>8.9866440413764934</v>
      </c>
      <c r="E1429" s="1">
        <f>22.4601734567492*(10.3/7.3)</f>
        <v>31.690381726646137</v>
      </c>
      <c r="F1429" s="1">
        <f>53.153521796814*(38.9/42.5)</f>
        <v>48.65110583284855</v>
      </c>
      <c r="G1429" s="1">
        <v>2.30668795393031</v>
      </c>
      <c r="H1429" s="1">
        <v>8.5911023877883306</v>
      </c>
      <c r="I1429" s="1">
        <v>41.991205977859174</v>
      </c>
      <c r="J1429" s="1">
        <v>5.159553917187943E-2</v>
      </c>
      <c r="K1429" s="1">
        <v>3.9961362112866605</v>
      </c>
      <c r="L1429" s="1">
        <v>5.6372474891419362</v>
      </c>
      <c r="M1429" s="1">
        <v>0.19549595534742073</v>
      </c>
      <c r="N1429" s="1">
        <v>2.4453208114943665</v>
      </c>
      <c r="O1429" s="1">
        <v>0.25947428571428571</v>
      </c>
      <c r="P1429" s="1">
        <v>0.19804493225718472</v>
      </c>
      <c r="Q1429" s="1">
        <v>3.6864875976055211</v>
      </c>
      <c r="R1429" s="2">
        <f t="shared" si="91"/>
        <v>153.81628086626517</v>
      </c>
      <c r="S1429" s="2">
        <f t="shared" si="90"/>
        <v>4.2457766827157251</v>
      </c>
      <c r="T1429" s="2">
        <f t="shared" si="92"/>
        <v>8.5375385416980087</v>
      </c>
      <c r="U1429" s="2">
        <f t="shared" si="93"/>
        <v>166.59959609067892</v>
      </c>
    </row>
    <row r="1430" spans="1:21" x14ac:dyDescent="0.25">
      <c r="A1430">
        <v>3242149</v>
      </c>
      <c r="B1430">
        <v>5</v>
      </c>
      <c r="C1430" s="1">
        <f>3.93145876619597*(10.3/7.3)</f>
        <v>5.5471267523039014</v>
      </c>
      <c r="D1430" s="1">
        <f>4.3818214419173*(10.3/7.3)</f>
        <v>6.1825699796915305</v>
      </c>
      <c r="E1430" s="1">
        <f>15.4734316108561*(10.3/7.3)</f>
        <v>21.832376108468207</v>
      </c>
      <c r="F1430" s="1">
        <f>36.2668464417881*(38.9/42.5)</f>
        <v>33.194831213777782</v>
      </c>
      <c r="G1430" s="1">
        <v>1.5542745159441909</v>
      </c>
      <c r="H1430" s="1">
        <v>6.9795088973594446</v>
      </c>
      <c r="I1430" s="1">
        <v>28.778123463802547</v>
      </c>
      <c r="J1430" s="1">
        <v>3.8024197509185252E-2</v>
      </c>
      <c r="K1430" s="1">
        <v>3.1270699521637559</v>
      </c>
      <c r="L1430" s="1">
        <v>3.8646728391148288</v>
      </c>
      <c r="M1430" s="1">
        <v>0.14219810897661175</v>
      </c>
      <c r="N1430" s="1">
        <v>1.8623163975901875</v>
      </c>
      <c r="O1430" s="1">
        <v>0.19060266666666664</v>
      </c>
      <c r="P1430" s="1">
        <v>0.16076959047863176</v>
      </c>
      <c r="Q1430" s="1">
        <v>2.4840003679473392</v>
      </c>
      <c r="R1430" s="2">
        <f t="shared" si="91"/>
        <v>106.55281129929496</v>
      </c>
      <c r="S1430" s="2">
        <f t="shared" si="90"/>
        <v>3.3258637401515729</v>
      </c>
      <c r="T1430" s="2">
        <f t="shared" si="92"/>
        <v>6.0597900123482944</v>
      </c>
      <c r="U1430" s="2">
        <f t="shared" si="93"/>
        <v>115.93846505179482</v>
      </c>
    </row>
    <row r="1431" spans="1:21" x14ac:dyDescent="0.25">
      <c r="A1431">
        <v>3242157</v>
      </c>
      <c r="B1431">
        <v>19</v>
      </c>
      <c r="C1431" s="1">
        <f>3.25062713680601*(10.3/7.3)</f>
        <v>4.5865013026166981</v>
      </c>
      <c r="D1431" s="1">
        <f>3.77805495989342*(10.3/7.3)</f>
        <v>5.3306802858770226</v>
      </c>
      <c r="E1431" s="1">
        <f>13.2764875295862*(10.3/7.3)</f>
        <v>18.732578295169546</v>
      </c>
      <c r="F1431" s="1">
        <f>33.0143916294857*(38.9/42.5)</f>
        <v>30.217878456164577</v>
      </c>
      <c r="G1431" s="1">
        <v>1.5029197688998703</v>
      </c>
      <c r="H1431" s="1">
        <v>6.1442986817745027</v>
      </c>
      <c r="I1431" s="1">
        <v>26.081438741616811</v>
      </c>
      <c r="J1431" s="1">
        <v>3.96806549253979E-2</v>
      </c>
      <c r="K1431" s="1">
        <v>3.2435550673519518</v>
      </c>
      <c r="L1431" s="1">
        <v>3.8228494522050669</v>
      </c>
      <c r="M1431" s="1">
        <v>0.14160855836471539</v>
      </c>
      <c r="N1431" s="1">
        <v>1.9848339192648468</v>
      </c>
      <c r="O1431" s="1">
        <v>0.18980491228070173</v>
      </c>
      <c r="P1431" s="1">
        <v>0.16025592046933221</v>
      </c>
      <c r="Q1431" s="1">
        <v>2.4019265713011655</v>
      </c>
      <c r="R1431" s="2">
        <f t="shared" si="91"/>
        <v>94.99822210342019</v>
      </c>
      <c r="S1431" s="2">
        <f t="shared" si="90"/>
        <v>3.443491642746682</v>
      </c>
      <c r="T1431" s="2">
        <f t="shared" si="92"/>
        <v>6.1390968421153307</v>
      </c>
      <c r="U1431" s="2">
        <f t="shared" si="93"/>
        <v>104.5808105882822</v>
      </c>
    </row>
    <row r="1432" spans="1:21" x14ac:dyDescent="0.25">
      <c r="A1432">
        <v>3242165</v>
      </c>
      <c r="B1432">
        <v>2</v>
      </c>
      <c r="C1432" s="1">
        <f>3.05987680545655*(10.3/7.3)</f>
        <v>4.3173604241373269</v>
      </c>
      <c r="D1432" s="1">
        <f>3.43261070569793*(10.3/7.3)</f>
        <v>4.8432726395463908</v>
      </c>
      <c r="E1432" s="1">
        <f>12.1437765984415*(10.3/7.3)</f>
        <v>17.134369721088664</v>
      </c>
      <c r="F1432" s="1">
        <f>27.1303904416329*(38.9/42.5)</f>
        <v>24.832286780694606</v>
      </c>
      <c r="G1432" s="1">
        <v>1.1093760429107387</v>
      </c>
      <c r="H1432" s="1">
        <v>6.7954309843864458</v>
      </c>
      <c r="I1432" s="1">
        <v>21.344768590660824</v>
      </c>
      <c r="J1432" s="1">
        <v>3.7794215865544017E-2</v>
      </c>
      <c r="K1432" s="1">
        <v>3.0187961762127142</v>
      </c>
      <c r="L1432" s="1">
        <v>3.4323804102859476</v>
      </c>
      <c r="M1432" s="1">
        <v>0.13217834624515098</v>
      </c>
      <c r="N1432" s="1">
        <v>1.8686815513834811</v>
      </c>
      <c r="O1432" s="1">
        <v>0.17357333333333333</v>
      </c>
      <c r="P1432" s="1">
        <v>0.14537042296918418</v>
      </c>
      <c r="Q1432" s="1">
        <v>1.7729754110445615</v>
      </c>
      <c r="R1432" s="2">
        <f t="shared" si="91"/>
        <v>82.149840594469552</v>
      </c>
      <c r="S1432" s="2">
        <f t="shared" si="90"/>
        <v>3.2019608150474426</v>
      </c>
      <c r="T1432" s="2">
        <f t="shared" si="92"/>
        <v>5.6068136412479133</v>
      </c>
      <c r="U1432" s="2">
        <f t="shared" si="93"/>
        <v>90.958615050764905</v>
      </c>
    </row>
    <row r="1433" spans="1:21" x14ac:dyDescent="0.25">
      <c r="A1433">
        <v>3242221</v>
      </c>
      <c r="B1433">
        <v>23</v>
      </c>
      <c r="C1433" s="1">
        <f>5.749446132834*(10.3/7.3)</f>
        <v>8.1122322148205708</v>
      </c>
      <c r="D1433" s="1">
        <f>6.02658985247029*(10.3/7.3)</f>
        <v>8.5032706137594491</v>
      </c>
      <c r="E1433" s="1">
        <f>21.4540747050182*(10.3/7.3)</f>
        <v>30.270817734477777</v>
      </c>
      <c r="F1433" s="1">
        <f>44.9625067573416*(38.9/42.5)</f>
        <v>41.153917949660894</v>
      </c>
      <c r="G1433" s="1">
        <v>1.6834109749852058</v>
      </c>
      <c r="H1433" s="1">
        <v>10.442230006074631</v>
      </c>
      <c r="I1433" s="1">
        <v>35.895003092487485</v>
      </c>
      <c r="J1433" s="1">
        <v>4.6345747333298069E-2</v>
      </c>
      <c r="K1433" s="1">
        <v>3.369402796703056</v>
      </c>
      <c r="L1433" s="1">
        <v>4.0501435906883811</v>
      </c>
      <c r="M1433" s="1">
        <v>0.16395556252788576</v>
      </c>
      <c r="N1433" s="1">
        <v>2.0481523755639799</v>
      </c>
      <c r="O1433" s="1">
        <v>0.19021449275362318</v>
      </c>
      <c r="P1433" s="1">
        <v>0.14864699616292906</v>
      </c>
      <c r="Q1433" s="1">
        <v>2.6903828367343485</v>
      </c>
      <c r="R1433" s="2">
        <f t="shared" si="91"/>
        <v>138.75126542300038</v>
      </c>
      <c r="S1433" s="2">
        <f t="shared" si="90"/>
        <v>3.5643955401992828</v>
      </c>
      <c r="T1433" s="2">
        <f t="shared" si="92"/>
        <v>6.4524660215338701</v>
      </c>
      <c r="U1433" s="2">
        <f t="shared" si="93"/>
        <v>148.76812698473353</v>
      </c>
    </row>
    <row r="1434" spans="1:21" x14ac:dyDescent="0.25">
      <c r="A1434">
        <v>3242229</v>
      </c>
      <c r="B1434">
        <v>20</v>
      </c>
      <c r="C1434" s="1">
        <f>4.42520120444969*(10.3/7.3)</f>
        <v>6.2437770418947691</v>
      </c>
      <c r="D1434" s="1">
        <f>4.55811576773576*(10.3/7.3)</f>
        <v>6.4313140284490915</v>
      </c>
      <c r="E1434" s="1">
        <f>16.236208603425*(10.3/7.3)</f>
        <v>22.908623097983234</v>
      </c>
      <c r="F1434" s="1">
        <f>34.3054710795318*(38.9/42.5)</f>
        <v>31.399595882206754</v>
      </c>
      <c r="G1434" s="1">
        <v>1.2918310901538075</v>
      </c>
      <c r="H1434" s="1">
        <v>7.3985548762532716</v>
      </c>
      <c r="I1434" s="1">
        <v>27.587067982645255</v>
      </c>
      <c r="J1434" s="1">
        <v>4.2061181563802806E-2</v>
      </c>
      <c r="K1434" s="1">
        <v>2.9070767076427049</v>
      </c>
      <c r="L1434" s="1">
        <v>3.4653776726581462</v>
      </c>
      <c r="M1434" s="1">
        <v>0.14304197903509544</v>
      </c>
      <c r="N1434" s="1">
        <v>1.8876828030926109</v>
      </c>
      <c r="O1434" s="1">
        <v>0.1653466666666667</v>
      </c>
      <c r="P1434" s="1">
        <v>0.13624697498461297</v>
      </c>
      <c r="Q1434" s="1">
        <v>2.0645702354056308</v>
      </c>
      <c r="R1434" s="2">
        <f t="shared" si="91"/>
        <v>105.3253342349918</v>
      </c>
      <c r="S1434" s="2">
        <f t="shared" si="90"/>
        <v>3.0853848641911208</v>
      </c>
      <c r="T1434" s="2">
        <f t="shared" si="92"/>
        <v>5.6614491214525184</v>
      </c>
      <c r="U1434" s="2">
        <f t="shared" si="93"/>
        <v>114.07216822063545</v>
      </c>
    </row>
    <row r="1435" spans="1:21" x14ac:dyDescent="0.25">
      <c r="A1435">
        <v>3242237</v>
      </c>
      <c r="B1435">
        <v>6</v>
      </c>
      <c r="C1435" s="1">
        <f>5.03374461780606*(10.3/7.3)</f>
        <v>7.1024067895071799</v>
      </c>
      <c r="D1435" s="1">
        <f>5.33809646667671*(10.3/7.3)</f>
        <v>7.5318347406534452</v>
      </c>
      <c r="E1435" s="1">
        <f>18.8937879234706*(10.3/7.3)</f>
        <v>26.658358302979</v>
      </c>
      <c r="F1435" s="1">
        <f>44.5323008864605*(38.9/42.5)</f>
        <v>40.760153046666183</v>
      </c>
      <c r="G1435" s="1">
        <v>1.9010875303744641</v>
      </c>
      <c r="H1435" s="1">
        <v>6.2842900642394026</v>
      </c>
      <c r="I1435" s="1">
        <v>35.912649272286608</v>
      </c>
      <c r="J1435" s="1">
        <v>4.301477088817502E-2</v>
      </c>
      <c r="K1435" s="1">
        <v>3.0284372999215425</v>
      </c>
      <c r="L1435" s="1">
        <v>3.6514882969810158</v>
      </c>
      <c r="M1435" s="1">
        <v>0.15395587259572854</v>
      </c>
      <c r="N1435" s="1">
        <v>2.156147900829938</v>
      </c>
      <c r="O1435" s="1">
        <v>0.1708088888888889</v>
      </c>
      <c r="P1435" s="1">
        <v>0.13911175339019474</v>
      </c>
      <c r="Q1435" s="1">
        <v>3.0382677426075944</v>
      </c>
      <c r="R1435" s="2">
        <f t="shared" si="91"/>
        <v>129.18904748931388</v>
      </c>
      <c r="S1435" s="2">
        <f t="shared" si="90"/>
        <v>3.2105638241999124</v>
      </c>
      <c r="T1435" s="2">
        <f t="shared" si="92"/>
        <v>6.1324009592955715</v>
      </c>
      <c r="U1435" s="2">
        <f t="shared" si="93"/>
        <v>138.53201227280937</v>
      </c>
    </row>
    <row r="1436" spans="1:21" x14ac:dyDescent="0.25">
      <c r="A1436">
        <v>3242245</v>
      </c>
      <c r="B1436">
        <v>9</v>
      </c>
      <c r="C1436" s="1">
        <f>7.09003670683291*(10.3/7.3)</f>
        <v>10.003750421969718</v>
      </c>
      <c r="D1436" s="1">
        <f>7.06965374156863*(10.3/7.3)</f>
        <v>9.9749908956379318</v>
      </c>
      <c r="E1436" s="1">
        <f>25.2789865235469*(10.3/7.3)</f>
        <v>35.667611122264859</v>
      </c>
      <c r="F1436" s="1">
        <f>50.8066339926292*(38.9/42.5)</f>
        <v>46.503013230900564</v>
      </c>
      <c r="G1436" s="1">
        <v>1.7763273572620648</v>
      </c>
      <c r="H1436" s="1">
        <v>7.052960911295143</v>
      </c>
      <c r="I1436" s="1">
        <v>41.118768482334026</v>
      </c>
      <c r="J1436" s="1">
        <v>5.3515285786038078E-2</v>
      </c>
      <c r="K1436" s="1">
        <v>3.488927813012396</v>
      </c>
      <c r="L1436" s="1">
        <v>4.409692986336105</v>
      </c>
      <c r="M1436" s="1">
        <v>0.18257183475020616</v>
      </c>
      <c r="N1436" s="1">
        <v>2.7306829549092746</v>
      </c>
      <c r="O1436" s="1">
        <v>0.19729185185185186</v>
      </c>
      <c r="P1436" s="1">
        <v>0.15096160778344503</v>
      </c>
      <c r="Q1436" s="1">
        <v>2.8388793380900608</v>
      </c>
      <c r="R1436" s="2">
        <f t="shared" si="91"/>
        <v>154.93630175975437</v>
      </c>
      <c r="S1436" s="2">
        <f t="shared" si="90"/>
        <v>3.6934047065818789</v>
      </c>
      <c r="T1436" s="2">
        <f t="shared" si="92"/>
        <v>7.5202396278474373</v>
      </c>
      <c r="U1436" s="2">
        <f t="shared" si="93"/>
        <v>166.14994609418369</v>
      </c>
    </row>
    <row r="1437" spans="1:21" x14ac:dyDescent="0.25">
      <c r="A1437">
        <v>3242253</v>
      </c>
      <c r="B1437">
        <v>12</v>
      </c>
      <c r="C1437" s="1">
        <f>4.80970547650189*(10.3/7.3)</f>
        <v>6.7862967682149904</v>
      </c>
      <c r="D1437" s="1">
        <f>4.82617668566746*(10.3/7.3)</f>
        <v>6.8095369674486079</v>
      </c>
      <c r="E1437" s="1">
        <f>17.2733779577569*(10.3/7.3)</f>
        <v>24.372026433547422</v>
      </c>
      <c r="F1437" s="1">
        <f>33.5829593484376*(38.9/42.5)</f>
        <v>30.738285144805275</v>
      </c>
      <c r="G1437" s="1">
        <v>1.1208118953768706</v>
      </c>
      <c r="H1437" s="1">
        <v>5.8786804293582042</v>
      </c>
      <c r="I1437" s="1">
        <v>27.009806510108955</v>
      </c>
      <c r="J1437" s="1">
        <v>4.5521089907438667E-2</v>
      </c>
      <c r="K1437" s="1">
        <v>2.8268130912765614</v>
      </c>
      <c r="L1437" s="1">
        <v>3.392134788003808</v>
      </c>
      <c r="M1437" s="1">
        <v>0.14888745773237982</v>
      </c>
      <c r="N1437" s="1">
        <v>2.5149048528722484</v>
      </c>
      <c r="O1437" s="1">
        <v>0.15866666666666671</v>
      </c>
      <c r="P1437" s="1">
        <v>0.12969775257398952</v>
      </c>
      <c r="Q1437" s="1">
        <v>1.7912518875886076</v>
      </c>
      <c r="R1437" s="2">
        <f t="shared" si="91"/>
        <v>104.50669603644893</v>
      </c>
      <c r="S1437" s="2">
        <f t="shared" si="90"/>
        <v>3.0020319337579897</v>
      </c>
      <c r="T1437" s="2">
        <f t="shared" si="92"/>
        <v>6.2145937652751027</v>
      </c>
      <c r="U1437" s="2">
        <f t="shared" si="93"/>
        <v>113.72332173548202</v>
      </c>
    </row>
    <row r="1438" spans="1:21" x14ac:dyDescent="0.25">
      <c r="A1438">
        <v>3242261</v>
      </c>
      <c r="B1438">
        <v>8</v>
      </c>
      <c r="C1438" s="1">
        <f>7.59393116069456*(10.3/7.3)</f>
        <v>10.714724788377261</v>
      </c>
      <c r="D1438" s="1">
        <f>7.64825203557967*(10.3/7.3)</f>
        <v>10.791369310475419</v>
      </c>
      <c r="E1438" s="1">
        <f>27.3951366525375*(10.3/7.3)</f>
        <v>38.653411989196712</v>
      </c>
      <c r="F1438" s="1">
        <f>51.9057182272155*(38.9/42.5)</f>
        <v>47.508998565616054</v>
      </c>
      <c r="G1438" s="1">
        <v>1.6657941952904212</v>
      </c>
      <c r="H1438" s="1">
        <v>5.1330613099991265</v>
      </c>
      <c r="I1438" s="1">
        <v>41.554941083890753</v>
      </c>
      <c r="J1438" s="1">
        <v>6.6478273264340207E-2</v>
      </c>
      <c r="K1438" s="1">
        <v>2.7712322442689841</v>
      </c>
      <c r="L1438" s="1">
        <v>3.4848516460158585</v>
      </c>
      <c r="M1438" s="1">
        <v>0.15512292505635755</v>
      </c>
      <c r="N1438" s="1">
        <v>2.896072978537799</v>
      </c>
      <c r="O1438" s="1">
        <v>0.16280666666666666</v>
      </c>
      <c r="P1438" s="1">
        <v>0.12405354234233794</v>
      </c>
      <c r="Q1438" s="1">
        <v>2.6622281659892604</v>
      </c>
      <c r="R1438" s="2">
        <f t="shared" si="91"/>
        <v>158.684529408835</v>
      </c>
      <c r="S1438" s="2">
        <f t="shared" si="90"/>
        <v>2.9617640598756623</v>
      </c>
      <c r="T1438" s="2">
        <f t="shared" si="92"/>
        <v>6.6988542162766818</v>
      </c>
      <c r="U1438" s="2">
        <f t="shared" si="93"/>
        <v>168.34514768498735</v>
      </c>
    </row>
    <row r="1439" spans="1:21" x14ac:dyDescent="0.25">
      <c r="A1439">
        <v>3253897</v>
      </c>
      <c r="B1439">
        <v>36</v>
      </c>
      <c r="C1439" s="1">
        <f>0.700250101863544*(10.3/7.3)</f>
        <v>0.98802411632801468</v>
      </c>
      <c r="D1439" s="1">
        <f>0.929555380223365*(10.3/7.3)</f>
        <v>1.3115644405891316</v>
      </c>
      <c r="E1439" s="1">
        <f>3.26263516527191*(10.3/7.3)</f>
        <v>4.6034441373014676</v>
      </c>
      <c r="F1439" s="1">
        <f>7.3113098190858*(38.9/42.5)</f>
        <v>6.6919988697044133</v>
      </c>
      <c r="G1439" s="1">
        <v>0.30919719634972881</v>
      </c>
      <c r="H1439" s="1">
        <v>1.5463179183754747</v>
      </c>
      <c r="I1439" s="1">
        <v>5.4655648537616726</v>
      </c>
      <c r="J1439" s="1">
        <v>1.7486714150581045E-2</v>
      </c>
      <c r="K1439" s="1">
        <v>2.1140699999709653</v>
      </c>
      <c r="L1439" s="1">
        <v>2.2713226844120111</v>
      </c>
      <c r="M1439" s="1">
        <v>9.9194472314863363E-2</v>
      </c>
      <c r="N1439" s="1">
        <v>0.65621752013888246</v>
      </c>
      <c r="O1439" s="1">
        <v>0.27134074074074072</v>
      </c>
      <c r="P1439" s="1">
        <v>0.13445698254728933</v>
      </c>
      <c r="Q1439" s="1">
        <v>0.49415077042194155</v>
      </c>
      <c r="R1439" s="2">
        <f t="shared" si="91"/>
        <v>21.410262302831846</v>
      </c>
      <c r="S1439" s="2">
        <f t="shared" si="90"/>
        <v>2.266013696668836</v>
      </c>
      <c r="T1439" s="2">
        <f t="shared" si="92"/>
        <v>3.2980754176064977</v>
      </c>
      <c r="U1439" s="2">
        <f t="shared" si="93"/>
        <v>26.974351417107179</v>
      </c>
    </row>
    <row r="1440" spans="1:21" x14ac:dyDescent="0.25">
      <c r="A1440">
        <v>3253905</v>
      </c>
      <c r="B1440">
        <v>5</v>
      </c>
      <c r="C1440" s="1">
        <f>0.894324422905583*(10.3/7.3)</f>
        <v>1.2618550076613022</v>
      </c>
      <c r="D1440" s="1">
        <f>1.18648357286807*(10.3/7.3)</f>
        <v>1.674079561717968</v>
      </c>
      <c r="E1440" s="1">
        <f>4.16195354181062*(10.3/7.3)</f>
        <v>5.8723454083081403</v>
      </c>
      <c r="F1440" s="1">
        <f>9.45720459772206*(38.9/42.5)</f>
        <v>8.6561237376797244</v>
      </c>
      <c r="G1440" s="1">
        <v>0.4053602872592264</v>
      </c>
      <c r="H1440" s="1">
        <v>2.438763620011986</v>
      </c>
      <c r="I1440" s="1">
        <v>7.090271593192421</v>
      </c>
      <c r="J1440" s="1">
        <v>2.3578634638111037E-2</v>
      </c>
      <c r="K1440" s="1">
        <v>2.293150478508482</v>
      </c>
      <c r="L1440" s="1">
        <v>2.6280803771628731</v>
      </c>
      <c r="M1440" s="1">
        <v>0.11074796295566233</v>
      </c>
      <c r="N1440" s="1">
        <v>0.73702574841075741</v>
      </c>
      <c r="O1440" s="1">
        <v>0.31502933333333338</v>
      </c>
      <c r="P1440" s="1">
        <v>0.14404937655294517</v>
      </c>
      <c r="Q1440" s="1">
        <v>0.64783607552844469</v>
      </c>
      <c r="R1440" s="2">
        <f t="shared" si="91"/>
        <v>28.046635291359216</v>
      </c>
      <c r="S1440" s="2">
        <f t="shared" si="90"/>
        <v>2.4607784896995382</v>
      </c>
      <c r="T1440" s="2">
        <f t="shared" si="92"/>
        <v>3.7908834218626262</v>
      </c>
      <c r="U1440" s="2">
        <f t="shared" si="93"/>
        <v>34.298297202921383</v>
      </c>
    </row>
    <row r="1441" spans="1:21" x14ac:dyDescent="0.25">
      <c r="A1441">
        <v>3253921</v>
      </c>
      <c r="B1441">
        <v>22</v>
      </c>
      <c r="C1441" s="1">
        <f>0.465568724177151*(10.3/7.3)</f>
        <v>0.65689833685269305</v>
      </c>
      <c r="D1441" s="1">
        <f>0.722624531623533*(10.3/7.3)</f>
        <v>1.019593517222245</v>
      </c>
      <c r="E1441" s="1">
        <f>2.47916708474088*(10.3/7.3)</f>
        <v>3.4980028729905506</v>
      </c>
      <c r="F1441" s="1">
        <f>7.66163750797855*(38.9/42.5)</f>
        <v>7.0126517425968338</v>
      </c>
      <c r="G1441" s="1">
        <v>0.41765531209416201</v>
      </c>
      <c r="H1441" s="1">
        <v>3.4317644094070414</v>
      </c>
      <c r="I1441" s="1">
        <v>5.8607027209272609</v>
      </c>
      <c r="J1441" s="1">
        <v>1.3689346812378683E-2</v>
      </c>
      <c r="K1441" s="1">
        <v>1.740487159290389</v>
      </c>
      <c r="L1441" s="1">
        <v>1.6853970842774992</v>
      </c>
      <c r="M1441" s="1">
        <v>7.5322405807317069E-2</v>
      </c>
      <c r="N1441" s="1">
        <v>0.56736925504450464</v>
      </c>
      <c r="O1441" s="1">
        <v>0.19770181818181817</v>
      </c>
      <c r="P1441" s="1">
        <v>0.11833869982007932</v>
      </c>
      <c r="Q1441" s="1">
        <v>0.66748565859797648</v>
      </c>
      <c r="R1441" s="2">
        <f t="shared" si="91"/>
        <v>22.564754570688763</v>
      </c>
      <c r="S1441" s="2">
        <f t="shared" si="90"/>
        <v>1.8725152059228469</v>
      </c>
      <c r="T1441" s="2">
        <f t="shared" si="92"/>
        <v>2.5257905633111393</v>
      </c>
      <c r="U1441" s="2">
        <f t="shared" si="93"/>
        <v>26.963060339922752</v>
      </c>
    </row>
    <row r="1442" spans="1:21" x14ac:dyDescent="0.25">
      <c r="A1442">
        <v>3253953</v>
      </c>
      <c r="B1442">
        <v>18</v>
      </c>
      <c r="C1442" s="1">
        <f>0.426444399304337*(10.3/7.3)</f>
        <v>0.60169552230612</v>
      </c>
      <c r="D1442" s="1">
        <f>0.534951193296823*(10.3/7.3)</f>
        <v>0.75479414944620227</v>
      </c>
      <c r="E1442" s="1">
        <f>1.88021473316922*(10.3/7.3)</f>
        <v>2.652905719403142</v>
      </c>
      <c r="F1442" s="1">
        <f>4.31780832700593*(38.9/42.5)</f>
        <v>3.952064562836016</v>
      </c>
      <c r="G1442" s="1">
        <v>0.18525067654023639</v>
      </c>
      <c r="H1442" s="1">
        <v>2.1444591660042835</v>
      </c>
      <c r="I1442" s="1">
        <v>3.2964745532224113</v>
      </c>
      <c r="J1442" s="1">
        <v>1.2177051849048447E-2</v>
      </c>
      <c r="K1442" s="1">
        <v>1.6167530881035008</v>
      </c>
      <c r="L1442" s="1">
        <v>1.6352826033437557</v>
      </c>
      <c r="M1442" s="1">
        <v>7.2259467371516464E-2</v>
      </c>
      <c r="N1442" s="1">
        <v>0.54620438694184292</v>
      </c>
      <c r="O1442" s="1">
        <v>0.18693629629629627</v>
      </c>
      <c r="P1442" s="1">
        <v>0.10756199058300216</v>
      </c>
      <c r="Q1442" s="1">
        <v>0.29606272506430498</v>
      </c>
      <c r="R1442" s="2">
        <f t="shared" si="91"/>
        <v>13.883707074822716</v>
      </c>
      <c r="S1442" s="2">
        <f t="shared" si="90"/>
        <v>1.7364921305355514</v>
      </c>
      <c r="T1442" s="2">
        <f t="shared" si="92"/>
        <v>2.4406827539534115</v>
      </c>
      <c r="U1442" s="2">
        <f t="shared" si="93"/>
        <v>18.060881959311679</v>
      </c>
    </row>
    <row r="1443" spans="1:21" x14ac:dyDescent="0.25">
      <c r="A1443">
        <v>3253961</v>
      </c>
      <c r="B1443">
        <v>53</v>
      </c>
      <c r="C1443" s="1">
        <f>0.60474974652145*(10.3/7.3)</f>
        <v>0.85327703961245682</v>
      </c>
      <c r="D1443" s="1">
        <f>0.737979141055134*(10.3/7.3)</f>
        <v>1.041258240118887</v>
      </c>
      <c r="E1443" s="1">
        <f>2.5938401742437*(10.3/7.3)</f>
        <v>3.65980188968632</v>
      </c>
      <c r="F1443" s="1">
        <f>6.12046592665555*(38.9/42.5)</f>
        <v>5.6020264599270782</v>
      </c>
      <c r="G1443" s="1">
        <v>0.26813208209849476</v>
      </c>
      <c r="H1443" s="1">
        <v>3.7518455496015117</v>
      </c>
      <c r="I1443" s="1">
        <v>4.731753931603266</v>
      </c>
      <c r="J1443" s="1">
        <v>1.4147161568359042E-2</v>
      </c>
      <c r="K1443" s="1">
        <v>1.8941593990375023</v>
      </c>
      <c r="L1443" s="1">
        <v>1.9228818268761665</v>
      </c>
      <c r="M1443" s="1">
        <v>8.3719605511964251E-2</v>
      </c>
      <c r="N1443" s="1">
        <v>0.92452948041003302</v>
      </c>
      <c r="O1443" s="1">
        <v>0.21466867924528291</v>
      </c>
      <c r="P1443" s="1">
        <v>0.12916652070801427</v>
      </c>
      <c r="Q1443" s="1">
        <v>0.42852159239485516</v>
      </c>
      <c r="R1443" s="2">
        <f t="shared" si="91"/>
        <v>20.336616785042871</v>
      </c>
      <c r="S1443" s="2">
        <f t="shared" si="90"/>
        <v>2.0374730813138755</v>
      </c>
      <c r="T1443" s="2">
        <f t="shared" si="92"/>
        <v>3.1457995920434465</v>
      </c>
      <c r="U1443" s="2">
        <f t="shared" si="93"/>
        <v>25.519889458400193</v>
      </c>
    </row>
    <row r="1444" spans="1:21" x14ac:dyDescent="0.25">
      <c r="A1444">
        <v>3254017</v>
      </c>
      <c r="B1444">
        <v>27</v>
      </c>
      <c r="C1444" s="1">
        <f>0.744820430195161*(10.3/7.3)</f>
        <v>1.0509110179465972</v>
      </c>
      <c r="D1444" s="1">
        <f>1.01488460137862*(10.3/7.3)</f>
        <v>1.43196046495887</v>
      </c>
      <c r="E1444" s="1">
        <f>3.55807561444724*(10.3/7.3)</f>
        <v>5.0202984696995268</v>
      </c>
      <c r="F1444" s="1">
        <f>7.98069630372636*(38.9/42.5)</f>
        <v>7.3046843815283582</v>
      </c>
      <c r="G1444" s="1">
        <v>0.33924673414341211</v>
      </c>
      <c r="H1444" s="1">
        <v>4.0823469838736877</v>
      </c>
      <c r="I1444" s="1">
        <v>5.9223221155935617</v>
      </c>
      <c r="J1444" s="1">
        <v>1.6787685620502989E-2</v>
      </c>
      <c r="K1444" s="1">
        <v>2.2252472181986462</v>
      </c>
      <c r="L1444" s="1">
        <v>2.7035909223284031</v>
      </c>
      <c r="M1444" s="1">
        <v>9.5495525797098788E-2</v>
      </c>
      <c r="N1444" s="1">
        <v>0.72254528995934797</v>
      </c>
      <c r="O1444" s="1">
        <v>0.25082864197530869</v>
      </c>
      <c r="P1444" s="1">
        <v>0.16029383093586419</v>
      </c>
      <c r="Q1444" s="1">
        <v>0.54217514589129834</v>
      </c>
      <c r="R1444" s="2">
        <f t="shared" si="91"/>
        <v>25.693945313635314</v>
      </c>
      <c r="S1444" s="2">
        <f t="shared" si="90"/>
        <v>2.4023287347550135</v>
      </c>
      <c r="T1444" s="2">
        <f t="shared" si="92"/>
        <v>3.7724603800601586</v>
      </c>
      <c r="U1444" s="2">
        <f t="shared" si="93"/>
        <v>31.868734428450487</v>
      </c>
    </row>
    <row r="1445" spans="1:21" x14ac:dyDescent="0.25">
      <c r="A1445">
        <v>3254057</v>
      </c>
      <c r="B1445">
        <v>9</v>
      </c>
      <c r="C1445" s="1">
        <f>0.846901145113672*(10.3/7.3)</f>
        <v>1.1949427115987423</v>
      </c>
      <c r="D1445" s="1">
        <f>0.893923498435775*(10.3/7.3)</f>
        <v>1.2612893197107509</v>
      </c>
      <c r="E1445" s="1">
        <f>3.18494104037575*(10.3/7.3)</f>
        <v>4.4938209199822294</v>
      </c>
      <c r="F1445" s="1">
        <f>6.48082904216047*(38.9/42.5)</f>
        <v>5.931864699765705</v>
      </c>
      <c r="G1445" s="1">
        <v>0.23404603139442187</v>
      </c>
      <c r="H1445" s="1">
        <v>1.7080952326052929</v>
      </c>
      <c r="I1445" s="1">
        <v>5.1411941951880422</v>
      </c>
      <c r="J1445" s="1">
        <v>1.7175545875051688E-2</v>
      </c>
      <c r="K1445" s="1">
        <v>2.1799632861696896</v>
      </c>
      <c r="L1445" s="1">
        <v>3.4370870237259892</v>
      </c>
      <c r="M1445" s="1">
        <v>9.5789645070382026E-2</v>
      </c>
      <c r="N1445" s="1">
        <v>0.77706306620613264</v>
      </c>
      <c r="O1445" s="1">
        <v>0.22884740740740739</v>
      </c>
      <c r="P1445" s="1">
        <v>0.1500277650885819</v>
      </c>
      <c r="Q1445" s="1">
        <v>0.3740461688951951</v>
      </c>
      <c r="R1445" s="2">
        <f t="shared" si="91"/>
        <v>20.339299279140381</v>
      </c>
      <c r="S1445" s="2">
        <f t="shared" si="90"/>
        <v>2.3471665971333233</v>
      </c>
      <c r="T1445" s="2">
        <f t="shared" si="92"/>
        <v>4.5387871424099107</v>
      </c>
      <c r="U1445" s="2">
        <f t="shared" si="93"/>
        <v>27.225253018683617</v>
      </c>
    </row>
    <row r="1446" spans="1:21" x14ac:dyDescent="0.25">
      <c r="A1446">
        <v>3254081</v>
      </c>
      <c r="B1446">
        <v>20</v>
      </c>
      <c r="C1446" s="1">
        <f>1.22502611006088*(10.3/7.3)</f>
        <v>1.7284614977571333</v>
      </c>
      <c r="D1446" s="1">
        <f>1.35774322766418*(10.3/7.3)</f>
        <v>1.9157198965672619</v>
      </c>
      <c r="E1446" s="1">
        <f>4.81056473946737*(10.3/7.3)</f>
        <v>6.7875091529471092</v>
      </c>
      <c r="F1446" s="1">
        <f>10.5309953893761*(38.9/42.5)</f>
        <v>9.6389581328642695</v>
      </c>
      <c r="G1446" s="1">
        <v>0.42023673083479318</v>
      </c>
      <c r="H1446" s="1">
        <v>2.4428785003658531</v>
      </c>
      <c r="I1446" s="1">
        <v>8.2944214830591285</v>
      </c>
      <c r="J1446" s="1">
        <v>2.0261297940717717E-2</v>
      </c>
      <c r="K1446" s="1">
        <v>2.5151493594846759</v>
      </c>
      <c r="L1446" s="1">
        <v>4.7952658326334952</v>
      </c>
      <c r="M1446" s="1">
        <v>0.10658810195572339</v>
      </c>
      <c r="N1446" s="1">
        <v>0.86075651358221228</v>
      </c>
      <c r="O1446" s="1">
        <v>0.27247466666666664</v>
      </c>
      <c r="P1446" s="1">
        <v>0.17909764758283672</v>
      </c>
      <c r="Q1446" s="1">
        <v>0.67161121366291232</v>
      </c>
      <c r="R1446" s="2">
        <f t="shared" si="91"/>
        <v>31.899796608058466</v>
      </c>
      <c r="S1446" s="2">
        <f t="shared" si="90"/>
        <v>2.7145083050082301</v>
      </c>
      <c r="T1446" s="2">
        <f t="shared" si="92"/>
        <v>6.0350851148380977</v>
      </c>
      <c r="U1446" s="2">
        <f t="shared" si="93"/>
        <v>40.649390027904793</v>
      </c>
    </row>
    <row r="1447" spans="1:21" x14ac:dyDescent="0.25">
      <c r="A1447">
        <v>3254145</v>
      </c>
      <c r="B1447">
        <v>11</v>
      </c>
      <c r="C1447" s="1">
        <f>1.25085352331216*(10.3/7.3)</f>
        <v>1.7649029164541383</v>
      </c>
      <c r="D1447" s="1">
        <f>1.47255096510674*(10.3/7.3)</f>
        <v>2.0777088959725303</v>
      </c>
      <c r="E1447" s="1">
        <f>5.2087592699521*(10.3/7.3)</f>
        <v>7.3493452713022789</v>
      </c>
      <c r="F1447" s="1">
        <f>11.0546799814266*(38.9/42.5)</f>
        <v>10.118283559470449</v>
      </c>
      <c r="G1447" s="1">
        <v>0.43141344976149765</v>
      </c>
      <c r="H1447" s="1">
        <v>3.7180501483124599</v>
      </c>
      <c r="I1447" s="1">
        <v>8.493620479482713</v>
      </c>
      <c r="J1447" s="1">
        <v>2.3659332658657408E-2</v>
      </c>
      <c r="K1447" s="1">
        <v>2.9086218624835629</v>
      </c>
      <c r="L1447" s="1">
        <v>6.352606498231963</v>
      </c>
      <c r="M1447" s="1">
        <v>0.11079555374854126</v>
      </c>
      <c r="N1447" s="1">
        <v>1.1060385321605732</v>
      </c>
      <c r="O1447" s="1">
        <v>0.2691442424242424</v>
      </c>
      <c r="P1447" s="1">
        <v>0.22832742811756154</v>
      </c>
      <c r="Q1447" s="1">
        <v>0.68947354984714315</v>
      </c>
      <c r="R1447" s="2">
        <f t="shared" si="91"/>
        <v>34.642798270603208</v>
      </c>
      <c r="S1447" s="2">
        <f t="shared" si="90"/>
        <v>3.1606086232597819</v>
      </c>
      <c r="T1447" s="2">
        <f t="shared" si="92"/>
        <v>7.8385848265653202</v>
      </c>
      <c r="U1447" s="2">
        <f t="shared" si="93"/>
        <v>45.641991720428308</v>
      </c>
    </row>
    <row r="1448" spans="1:21" x14ac:dyDescent="0.25">
      <c r="A1448">
        <v>3254385</v>
      </c>
      <c r="B1448">
        <v>8</v>
      </c>
      <c r="C1448" s="1">
        <f>2.75408827081428*(10.3/7.3)</f>
        <v>3.8859053684091869</v>
      </c>
      <c r="D1448" s="1">
        <f>3.10186428067913*(10.3/7.3)</f>
        <v>4.3766030261637052</v>
      </c>
      <c r="E1448" s="1">
        <f>10.9506537065414*(10.3/7.3)</f>
        <v>15.450922353065319</v>
      </c>
      <c r="F1448" s="1">
        <f>25.5217937868783*(38.9/42.5)</f>
        <v>23.359947724931001</v>
      </c>
      <c r="G1448" s="1">
        <v>1.089928834846754</v>
      </c>
      <c r="H1448" s="1">
        <v>5.6575406008170406</v>
      </c>
      <c r="I1448" s="1">
        <v>20.171571957396687</v>
      </c>
      <c r="J1448" s="1">
        <v>3.5254658416848828E-2</v>
      </c>
      <c r="K1448" s="1">
        <v>2.9876679741410488</v>
      </c>
      <c r="L1448" s="1">
        <v>3.6530874803582432</v>
      </c>
      <c r="M1448" s="1">
        <v>0.13317624382901236</v>
      </c>
      <c r="N1448" s="1">
        <v>2.0883308583671738</v>
      </c>
      <c r="O1448" s="1">
        <v>0.17877333333333334</v>
      </c>
      <c r="P1448" s="1">
        <v>0.15562704978481517</v>
      </c>
      <c r="Q1448" s="1">
        <v>1.7418953981569143</v>
      </c>
      <c r="R1448" s="2">
        <f t="shared" si="91"/>
        <v>75.734315263786613</v>
      </c>
      <c r="S1448" s="2">
        <f t="shared" si="90"/>
        <v>3.1785496823427128</v>
      </c>
      <c r="T1448" s="2">
        <f t="shared" si="92"/>
        <v>6.0533679158877627</v>
      </c>
      <c r="U1448" s="2">
        <f t="shared" si="93"/>
        <v>84.966232862017094</v>
      </c>
    </row>
    <row r="1449" spans="1:21" x14ac:dyDescent="0.25">
      <c r="A1449">
        <v>3254393</v>
      </c>
      <c r="B1449">
        <v>24</v>
      </c>
      <c r="C1449" s="1">
        <f>2.99732839630282*(10.3/7.3)</f>
        <v>4.2291071893039742</v>
      </c>
      <c r="D1449" s="1">
        <f>3.45616885287844*(10.3/7.3)</f>
        <v>4.8765122170750619</v>
      </c>
      <c r="E1449" s="1">
        <f>12.1700332886522*(10.3/7.3)</f>
        <v>17.171416831933993</v>
      </c>
      <c r="F1449" s="1">
        <f>29.2429340497372*(38.9/42.5)</f>
        <v>26.765885518465378</v>
      </c>
      <c r="G1449" s="1">
        <v>1.2902842547537758</v>
      </c>
      <c r="H1449" s="1">
        <v>5.8602054563408403</v>
      </c>
      <c r="I1449" s="1">
        <v>23.046097685128604</v>
      </c>
      <c r="J1449" s="1">
        <v>3.8339821148659685E-2</v>
      </c>
      <c r="K1449" s="1">
        <v>3.1943800212681825</v>
      </c>
      <c r="L1449" s="1">
        <v>3.7464957411572057</v>
      </c>
      <c r="M1449" s="1">
        <v>0.13895652405318135</v>
      </c>
      <c r="N1449" s="1">
        <v>2.1940052665175327</v>
      </c>
      <c r="O1449" s="1">
        <v>0.18441333333333335</v>
      </c>
      <c r="P1449" s="1">
        <v>0.1572083270641135</v>
      </c>
      <c r="Q1449" s="1">
        <v>2.062098124035717</v>
      </c>
      <c r="R1449" s="2">
        <f t="shared" si="91"/>
        <v>85.301607277037348</v>
      </c>
      <c r="S1449" s="2">
        <f t="shared" si="90"/>
        <v>3.3899281694809558</v>
      </c>
      <c r="T1449" s="2">
        <f t="shared" si="92"/>
        <v>6.2638708650612536</v>
      </c>
      <c r="U1449" s="2">
        <f t="shared" si="93"/>
        <v>94.955406311579551</v>
      </c>
    </row>
    <row r="1450" spans="1:21" x14ac:dyDescent="0.25">
      <c r="A1450">
        <v>3254457</v>
      </c>
      <c r="B1450">
        <v>2</v>
      </c>
      <c r="C1450" s="1">
        <f>4.29557713593868*(10.3/7.3)</f>
        <v>6.0608828082422486</v>
      </c>
      <c r="D1450" s="1">
        <f>4.45936960198168*(10.3/7.3)</f>
        <v>6.2919872466316802</v>
      </c>
      <c r="E1450" s="1">
        <f>15.8868144798685*(10.3/7.3)</f>
        <v>22.415642348307625</v>
      </c>
      <c r="F1450" s="1">
        <f>33.1089552700484*(38.9/42.5)</f>
        <v>30.304432000114925</v>
      </c>
      <c r="G1450" s="1">
        <v>1.227990600233416</v>
      </c>
      <c r="H1450" s="1">
        <v>6.0127639456508843</v>
      </c>
      <c r="I1450" s="1">
        <v>26.505982358221466</v>
      </c>
      <c r="J1450" s="1">
        <v>4.4748826823624924E-2</v>
      </c>
      <c r="K1450" s="1">
        <v>3.0248784156060102</v>
      </c>
      <c r="L1450" s="1">
        <v>3.5367847268319044</v>
      </c>
      <c r="M1450" s="1">
        <v>0.14500672613316801</v>
      </c>
      <c r="N1450" s="1">
        <v>1.9535405268082306</v>
      </c>
      <c r="O1450" s="1">
        <v>0.16957333333333335</v>
      </c>
      <c r="P1450" s="1">
        <v>0.13973849373169447</v>
      </c>
      <c r="Q1450" s="1">
        <v>1.9625420551675616</v>
      </c>
      <c r="R1450" s="2">
        <f t="shared" si="91"/>
        <v>100.78222336256981</v>
      </c>
      <c r="S1450" s="2">
        <f t="shared" si="90"/>
        <v>3.2093657361613297</v>
      </c>
      <c r="T1450" s="2">
        <f t="shared" si="92"/>
        <v>5.8049053131066364</v>
      </c>
      <c r="U1450" s="2">
        <f t="shared" si="93"/>
        <v>109.79649441183777</v>
      </c>
    </row>
    <row r="1451" spans="1:21" x14ac:dyDescent="0.25">
      <c r="A1451">
        <v>3254465</v>
      </c>
      <c r="B1451">
        <v>2</v>
      </c>
      <c r="C1451" s="1">
        <f>5.30126394801519*(10.3/7.3)</f>
        <v>7.4798655704871893</v>
      </c>
      <c r="D1451" s="1">
        <f>5.4495803664661*(10.3/7.3)</f>
        <v>7.689133941726138</v>
      </c>
      <c r="E1451" s="1">
        <f>19.413731785755*(10.3/7.3)</f>
        <v>27.391977725106429</v>
      </c>
      <c r="F1451" s="1">
        <f>41.0202817070015*(38.9/42.5)</f>
        <v>37.545622550643714</v>
      </c>
      <c r="G1451" s="1">
        <v>1.5439742016040943</v>
      </c>
      <c r="H1451" s="1">
        <v>9.3836067498188527</v>
      </c>
      <c r="I1451" s="1">
        <v>33.010690531057797</v>
      </c>
      <c r="J1451" s="1">
        <v>4.544046903605152E-2</v>
      </c>
      <c r="K1451" s="1">
        <v>2.9853334848365645</v>
      </c>
      <c r="L1451" s="1">
        <v>3.6188304949421797</v>
      </c>
      <c r="M1451" s="1">
        <v>0.1505454773632508</v>
      </c>
      <c r="N1451" s="1">
        <v>2.0777282821586649</v>
      </c>
      <c r="O1451" s="1">
        <v>0.17221333333333333</v>
      </c>
      <c r="P1451" s="1">
        <v>0.13860921220166292</v>
      </c>
      <c r="Q1451" s="1">
        <v>2.4675386783627102</v>
      </c>
      <c r="R1451" s="2">
        <f t="shared" si="91"/>
        <v>126.51240994880693</v>
      </c>
      <c r="S1451" s="2">
        <f t="shared" si="90"/>
        <v>3.1693831660742791</v>
      </c>
      <c r="T1451" s="2">
        <f t="shared" si="92"/>
        <v>6.0193175877974294</v>
      </c>
      <c r="U1451" s="2">
        <f t="shared" si="93"/>
        <v>135.70111070267862</v>
      </c>
    </row>
    <row r="1452" spans="1:21" x14ac:dyDescent="0.25">
      <c r="A1452">
        <v>3254473</v>
      </c>
      <c r="B1452">
        <v>26</v>
      </c>
      <c r="C1452" s="1">
        <f>6.85582750764237*(10.3/7.3)</f>
        <v>9.6732908669474593</v>
      </c>
      <c r="D1452" s="1">
        <f>7.03660952765828*(10.3/7.3)</f>
        <v>9.9283668677918246</v>
      </c>
      <c r="E1452" s="1">
        <f>25.0433361980209*(10.3/7.3)</f>
        <v>35.335118197207514</v>
      </c>
      <c r="F1452" s="1">
        <f>54.2409500122013*(38.9/42.5)</f>
        <v>49.646422481756026</v>
      </c>
      <c r="G1452" s="1">
        <v>2.1021967660211196</v>
      </c>
      <c r="H1452" s="1">
        <v>7.3312052018899729</v>
      </c>
      <c r="I1452" s="1">
        <v>43.798221193535838</v>
      </c>
      <c r="J1452" s="1">
        <v>5.179385066176348E-2</v>
      </c>
      <c r="K1452" s="1">
        <v>3.483889041471433</v>
      </c>
      <c r="L1452" s="1">
        <v>4.4469507350215647</v>
      </c>
      <c r="M1452" s="1">
        <v>0.18257362595778631</v>
      </c>
      <c r="N1452" s="1">
        <v>2.5573124192945169</v>
      </c>
      <c r="O1452" s="1">
        <v>0.1988307692307692</v>
      </c>
      <c r="P1452" s="1">
        <v>0.15274926603861769</v>
      </c>
      <c r="Q1452" s="1">
        <v>3.3596751968374083</v>
      </c>
      <c r="R1452" s="2">
        <f t="shared" si="91"/>
        <v>161.17449677198718</v>
      </c>
      <c r="S1452" s="2">
        <f t="shared" si="90"/>
        <v>3.6884321581718145</v>
      </c>
      <c r="T1452" s="2">
        <f t="shared" si="92"/>
        <v>7.3856675495046371</v>
      </c>
      <c r="U1452" s="2">
        <f t="shared" si="93"/>
        <v>172.24859647966363</v>
      </c>
    </row>
    <row r="1453" spans="1:21" x14ac:dyDescent="0.25">
      <c r="A1453">
        <v>3254481</v>
      </c>
      <c r="B1453">
        <v>3</v>
      </c>
      <c r="C1453" s="1">
        <f>7.40557232707957*(10.3/7.3)</f>
        <v>10.448958214920493</v>
      </c>
      <c r="D1453" s="1">
        <f>7.40491521541921*(10.3/7.3)</f>
        <v>10.44803105737231</v>
      </c>
      <c r="E1453" s="1">
        <f>26.4902702404923*(10.3/7.3)</f>
        <v>37.376682668091931</v>
      </c>
      <c r="F1453" s="1">
        <f>52.4024615488746*(38.9/42.5)</f>
        <v>47.963664805911122</v>
      </c>
      <c r="G1453" s="1">
        <v>1.7925408150196247</v>
      </c>
      <c r="H1453" s="1">
        <v>6.6789826696103392</v>
      </c>
      <c r="I1453" s="1">
        <v>42.288897883649007</v>
      </c>
      <c r="J1453" s="1">
        <v>6.0997468411266464E-2</v>
      </c>
      <c r="K1453" s="1">
        <v>3.7434925382719686</v>
      </c>
      <c r="L1453" s="1">
        <v>4.6889049294936642</v>
      </c>
      <c r="M1453" s="1">
        <v>0.18710591879499439</v>
      </c>
      <c r="N1453" s="1">
        <v>3.1572486499122099</v>
      </c>
      <c r="O1453" s="1">
        <v>0.20567111111111111</v>
      </c>
      <c r="P1453" s="1">
        <v>0.15614620037653576</v>
      </c>
      <c r="Q1453" s="1">
        <v>2.864791256880681</v>
      </c>
      <c r="R1453" s="2">
        <f t="shared" si="91"/>
        <v>159.86254937145551</v>
      </c>
      <c r="S1453" s="2">
        <f t="shared" si="90"/>
        <v>3.9606362070597712</v>
      </c>
      <c r="T1453" s="2">
        <f t="shared" si="92"/>
        <v>8.2389306093119785</v>
      </c>
      <c r="U1453" s="2">
        <f t="shared" si="93"/>
        <v>172.06211618782726</v>
      </c>
    </row>
    <row r="1454" spans="1:21" x14ac:dyDescent="0.25">
      <c r="A1454">
        <v>3254761</v>
      </c>
      <c r="B1454">
        <v>1</v>
      </c>
      <c r="C1454" s="1">
        <f>14.8483185561237*(10.3/7.3)</f>
        <v>20.950367277818362</v>
      </c>
      <c r="D1454" s="1">
        <f>11.3738217149904*(10.3/7.3)</f>
        <v>16.047995022520642</v>
      </c>
      <c r="E1454" s="1">
        <f>41.7322542251705*(10.3/7.3)</f>
        <v>58.882495687569289</v>
      </c>
      <c r="F1454" s="1">
        <f>64.8552905464807*(38.9/42.5)</f>
        <v>59.361665935484652</v>
      </c>
      <c r="G1454" s="1">
        <v>1.0890436515831519</v>
      </c>
      <c r="H1454" s="1">
        <v>3.5673493353526475</v>
      </c>
      <c r="I1454" s="1">
        <v>58.487195871444882</v>
      </c>
      <c r="J1454" s="1">
        <v>2.8836812734056042E-2</v>
      </c>
      <c r="K1454" s="1">
        <v>2.1145388467106305</v>
      </c>
      <c r="L1454" s="1">
        <v>2.8826473101684584</v>
      </c>
      <c r="M1454" s="1">
        <v>0.10963307093861659</v>
      </c>
      <c r="N1454" s="1">
        <v>1.3682787431278054</v>
      </c>
      <c r="O1454" s="1">
        <v>9.6640000000000004E-2</v>
      </c>
      <c r="P1454" s="1">
        <v>8.1007484243879019E-2</v>
      </c>
      <c r="Q1454" s="1">
        <v>1.7404807217082352</v>
      </c>
      <c r="R1454" s="2">
        <f t="shared" si="91"/>
        <v>220.12659350348181</v>
      </c>
      <c r="S1454" s="2">
        <f t="shared" si="90"/>
        <v>2.2243831436885655</v>
      </c>
      <c r="T1454" s="2">
        <f t="shared" si="92"/>
        <v>4.4571991242348803</v>
      </c>
      <c r="U1454" s="2">
        <f t="shared" si="93"/>
        <v>226.80817577140525</v>
      </c>
    </row>
    <row r="1455" spans="1:21" x14ac:dyDescent="0.25">
      <c r="A1455">
        <v>3266125</v>
      </c>
      <c r="B1455">
        <v>6</v>
      </c>
      <c r="C1455" s="1">
        <f>0.367955247481195*(10.3/7.3)</f>
        <v>0.51916973274743905</v>
      </c>
      <c r="D1455" s="1">
        <f>0.493223134231603*(10.3/7.3)</f>
        <v>0.69591757295691981</v>
      </c>
      <c r="E1455" s="1">
        <f>1.73160364557874*(10.3/7.3)</f>
        <v>2.4432215821179541</v>
      </c>
      <c r="F1455" s="1">
        <f>3.82157319303243*(38.9/42.5)</f>
        <v>3.497863463740273</v>
      </c>
      <c r="G1455" s="1">
        <v>0.15942239989924134</v>
      </c>
      <c r="H1455" s="1">
        <v>0.87504190382237734</v>
      </c>
      <c r="I1455" s="1">
        <v>2.8399337353681879</v>
      </c>
      <c r="J1455" s="1">
        <v>1.2043626664238138E-2</v>
      </c>
      <c r="K1455" s="1">
        <v>1.5590414885545725</v>
      </c>
      <c r="L1455" s="1">
        <v>1.5179187412336219</v>
      </c>
      <c r="M1455" s="1">
        <v>7.2702225941265755E-2</v>
      </c>
      <c r="N1455" s="1">
        <v>0.4743451936986815</v>
      </c>
      <c r="O1455" s="1">
        <v>0.18868444444444443</v>
      </c>
      <c r="P1455" s="1">
        <v>0.10002129361628322</v>
      </c>
      <c r="Q1455" s="1">
        <v>0.25478465737321704</v>
      </c>
      <c r="R1455" s="2">
        <f t="shared" si="91"/>
        <v>11.285355048025609</v>
      </c>
      <c r="S1455" s="2">
        <f t="shared" si="90"/>
        <v>1.6711064088350938</v>
      </c>
      <c r="T1455" s="2">
        <f t="shared" si="92"/>
        <v>2.2536506053180139</v>
      </c>
      <c r="U1455" s="2">
        <f t="shared" si="93"/>
        <v>15.210112062178716</v>
      </c>
    </row>
    <row r="1456" spans="1:21" x14ac:dyDescent="0.25">
      <c r="A1456">
        <v>3266133</v>
      </c>
      <c r="B1456">
        <v>40</v>
      </c>
      <c r="C1456" s="1">
        <f>1.19969475115076*(10.3/7.3)</f>
        <v>1.6927199913496962</v>
      </c>
      <c r="D1456" s="1">
        <f>1.57043227169986*(10.3/7.3)</f>
        <v>2.2158153970559651</v>
      </c>
      <c r="E1456" s="1">
        <f>5.51348669198155*(10.3/7.3)</f>
        <v>7.7793031407410922</v>
      </c>
      <c r="F1456" s="1">
        <f>12.4496496787478*(38.9/42.5)</f>
        <v>11.395091117724423</v>
      </c>
      <c r="G1456" s="1">
        <v>0.52922424957241676</v>
      </c>
      <c r="H1456" s="1">
        <v>2.8286275392533851</v>
      </c>
      <c r="I1456" s="1">
        <v>9.358518908696432</v>
      </c>
      <c r="J1456" s="1">
        <v>2.7885274291499829E-2</v>
      </c>
      <c r="K1456" s="1">
        <v>2.9477937535577481</v>
      </c>
      <c r="L1456" s="1">
        <v>3.5480512153577584</v>
      </c>
      <c r="M1456" s="1">
        <v>0.14363173062424417</v>
      </c>
      <c r="N1456" s="1">
        <v>0.9443620292433893</v>
      </c>
      <c r="O1456" s="1">
        <v>0.44183600000000006</v>
      </c>
      <c r="P1456" s="1">
        <v>0.18180140825802921</v>
      </c>
      <c r="Q1456" s="1">
        <v>0.84579217968194487</v>
      </c>
      <c r="R1456" s="2">
        <f t="shared" si="91"/>
        <v>36.645092524075352</v>
      </c>
      <c r="S1456" s="2">
        <f t="shared" si="90"/>
        <v>3.157480436107277</v>
      </c>
      <c r="T1456" s="2">
        <f t="shared" si="92"/>
        <v>5.0778809752253924</v>
      </c>
      <c r="U1456" s="2">
        <f t="shared" si="93"/>
        <v>44.880453935408021</v>
      </c>
    </row>
    <row r="1457" spans="1:21" x14ac:dyDescent="0.25">
      <c r="A1457">
        <v>3266157</v>
      </c>
      <c r="B1457">
        <v>32</v>
      </c>
      <c r="C1457" s="1">
        <f>0.473256548105247*(10.3/7.3)</f>
        <v>0.66774554047726653</v>
      </c>
      <c r="D1457" s="1">
        <f>0.645022595884559*(10.3/7.3)</f>
        <v>0.91010037501519991</v>
      </c>
      <c r="E1457" s="1">
        <f>2.24992319571663*(10.3/7.3)</f>
        <v>3.1745491665590833</v>
      </c>
      <c r="F1457" s="1">
        <f>5.62629913820576*(38.9/42.5)</f>
        <v>5.1497185053224506</v>
      </c>
      <c r="G1457" s="1">
        <v>0.26325149081511084</v>
      </c>
      <c r="H1457" s="1">
        <v>3.585215474031938</v>
      </c>
      <c r="I1457" s="1">
        <v>4.2638242325325271</v>
      </c>
      <c r="J1457" s="1">
        <v>1.3489940344901674E-2</v>
      </c>
      <c r="K1457" s="1">
        <v>1.7659111650935482</v>
      </c>
      <c r="L1457" s="1">
        <v>1.7160163166819491</v>
      </c>
      <c r="M1457" s="1">
        <v>7.5720002009413034E-2</v>
      </c>
      <c r="N1457" s="1">
        <v>0.57056410364387877</v>
      </c>
      <c r="O1457" s="1">
        <v>0.20256000000000002</v>
      </c>
      <c r="P1457" s="1">
        <v>0.12125598441294784</v>
      </c>
      <c r="Q1457" s="1">
        <v>0.42072156066341948</v>
      </c>
      <c r="R1457" s="2">
        <f t="shared" si="91"/>
        <v>18.435126345416997</v>
      </c>
      <c r="S1457" s="2">
        <f t="shared" si="90"/>
        <v>1.9006570898513977</v>
      </c>
      <c r="T1457" s="2">
        <f t="shared" si="92"/>
        <v>2.5648604223352409</v>
      </c>
      <c r="U1457" s="2">
        <f t="shared" si="93"/>
        <v>22.900643857603633</v>
      </c>
    </row>
    <row r="1458" spans="1:21" x14ac:dyDescent="0.25">
      <c r="A1458">
        <v>3266181</v>
      </c>
      <c r="B1458">
        <v>12</v>
      </c>
      <c r="C1458" s="1">
        <f>0.413898207391304*(10.3/7.3)</f>
        <v>0.58399336111375744</v>
      </c>
      <c r="D1458" s="1">
        <f>0.524771637838808*(10.3/7.3)</f>
        <v>0.74043121503283882</v>
      </c>
      <c r="E1458" s="1">
        <f>1.84300578538523*(10.3/7.3)</f>
        <v>2.6004054232147751</v>
      </c>
      <c r="F1458" s="1">
        <f>4.26038795815828*(38.9/42.5)</f>
        <v>3.8995080369966377</v>
      </c>
      <c r="G1458" s="1">
        <v>0.18426117875062062</v>
      </c>
      <c r="H1458" s="1">
        <v>2.3778969816347826</v>
      </c>
      <c r="I1458" s="1">
        <v>3.2463277051280817</v>
      </c>
      <c r="J1458" s="1">
        <v>1.2207697209517249E-2</v>
      </c>
      <c r="K1458" s="1">
        <v>1.6284525264832894</v>
      </c>
      <c r="L1458" s="1">
        <v>1.6360955163702295</v>
      </c>
      <c r="M1458" s="1">
        <v>7.4786505593530339E-2</v>
      </c>
      <c r="N1458" s="1">
        <v>0.54603678517122034</v>
      </c>
      <c r="O1458" s="1">
        <v>0.18355999999999997</v>
      </c>
      <c r="P1458" s="1">
        <v>0.10899195983353537</v>
      </c>
      <c r="Q1458" s="1">
        <v>0.29448133590281866</v>
      </c>
      <c r="R1458" s="2">
        <f t="shared" si="91"/>
        <v>13.927305237774313</v>
      </c>
      <c r="S1458" s="2">
        <f t="shared" si="90"/>
        <v>1.7496521835263421</v>
      </c>
      <c r="T1458" s="2">
        <f t="shared" si="92"/>
        <v>2.4404788071349803</v>
      </c>
      <c r="U1458" s="2">
        <f t="shared" si="93"/>
        <v>18.117436228435636</v>
      </c>
    </row>
    <row r="1459" spans="1:21" x14ac:dyDescent="0.25">
      <c r="A1459">
        <v>3266189</v>
      </c>
      <c r="B1459">
        <v>15</v>
      </c>
      <c r="C1459" s="1">
        <f>0.501460005829432*(10.3/7.3)</f>
        <v>0.70753946027988346</v>
      </c>
      <c r="D1459" s="1">
        <f>0.621779665860318*(10.3/7.3)</f>
        <v>0.87730555593990101</v>
      </c>
      <c r="E1459" s="1">
        <f>2.18551005929357*(10.3/7.3)</f>
        <v>3.0836648781813354</v>
      </c>
      <c r="F1459" s="1">
        <f>5.07138139352592*(38.9/42.5)</f>
        <v>4.6418055578390174</v>
      </c>
      <c r="G1459" s="1">
        <v>0.21931801248729729</v>
      </c>
      <c r="H1459" s="1">
        <v>2.8791397950258575</v>
      </c>
      <c r="I1459" s="1">
        <v>3.8918955092383962</v>
      </c>
      <c r="J1459" s="1">
        <v>1.3104710483793214E-2</v>
      </c>
      <c r="K1459" s="1">
        <v>1.7316275388171896</v>
      </c>
      <c r="L1459" s="1">
        <v>1.7492479052235297</v>
      </c>
      <c r="M1459" s="1">
        <v>7.7429494438029961E-2</v>
      </c>
      <c r="N1459" s="1">
        <v>0.6267713837709451</v>
      </c>
      <c r="O1459" s="1">
        <v>0.19883377777777775</v>
      </c>
      <c r="P1459" s="1">
        <v>0.11607491291224707</v>
      </c>
      <c r="Q1459" s="1">
        <v>0.35050823913495044</v>
      </c>
      <c r="R1459" s="2">
        <f t="shared" si="91"/>
        <v>16.651177008126638</v>
      </c>
      <c r="S1459" s="2">
        <f t="shared" si="90"/>
        <v>1.8608071622132298</v>
      </c>
      <c r="T1459" s="2">
        <f t="shared" si="92"/>
        <v>2.6522825612102827</v>
      </c>
      <c r="U1459" s="2">
        <f t="shared" si="93"/>
        <v>21.16426673155015</v>
      </c>
    </row>
    <row r="1460" spans="1:21" x14ac:dyDescent="0.25">
      <c r="A1460">
        <v>3266253</v>
      </c>
      <c r="B1460">
        <v>24</v>
      </c>
      <c r="C1460" s="1">
        <f>0.729305489166903*(10.3/7.3)</f>
        <v>1.0290200737560413</v>
      </c>
      <c r="D1460" s="1">
        <f>0.992911154843899*(10.3/7.3)</f>
        <v>1.4009568349167349</v>
      </c>
      <c r="E1460" s="1">
        <f>3.48575175779106*(10.3/7.3)</f>
        <v>4.9182524801709535</v>
      </c>
      <c r="F1460" s="1">
        <f>7.58562287903535*(38.9/42.5)</f>
        <v>6.9430759998699987</v>
      </c>
      <c r="G1460" s="1">
        <v>0.31273792940413714</v>
      </c>
      <c r="H1460" s="1">
        <v>3.2945075747462274</v>
      </c>
      <c r="I1460" s="1">
        <v>5.5948149952482078</v>
      </c>
      <c r="J1460" s="1">
        <v>1.6527278634365549E-2</v>
      </c>
      <c r="K1460" s="1">
        <v>2.2001446370524316</v>
      </c>
      <c r="L1460" s="1">
        <v>2.6761530625182584</v>
      </c>
      <c r="M1460" s="1">
        <v>9.3369098257784319E-2</v>
      </c>
      <c r="N1460" s="1">
        <v>0.68798874069588145</v>
      </c>
      <c r="O1460" s="1">
        <v>0.23792666666666662</v>
      </c>
      <c r="P1460" s="1">
        <v>0.16093888229597866</v>
      </c>
      <c r="Q1460" s="1">
        <v>0.49980947621665806</v>
      </c>
      <c r="R1460" s="2">
        <f t="shared" si="91"/>
        <v>23.993175364328959</v>
      </c>
      <c r="S1460" s="2">
        <f t="shared" si="90"/>
        <v>2.3776107979827761</v>
      </c>
      <c r="T1460" s="2">
        <f t="shared" si="92"/>
        <v>3.6954375681385905</v>
      </c>
      <c r="U1460" s="2">
        <f t="shared" si="93"/>
        <v>30.066223730450325</v>
      </c>
    </row>
    <row r="1461" spans="1:21" x14ac:dyDescent="0.25">
      <c r="A1461">
        <v>3266373</v>
      </c>
      <c r="B1461">
        <v>1</v>
      </c>
      <c r="C1461" s="1">
        <f>1.36215797912937*(10.3/7.3)</f>
        <v>1.9219489294565126</v>
      </c>
      <c r="D1461" s="1">
        <f>1.61359623456662*(10.3/7.3)</f>
        <v>2.2767179747994821</v>
      </c>
      <c r="E1461" s="1">
        <f>5.7037214461778*(10.3/7.3)</f>
        <v>8.0477165610453891</v>
      </c>
      <c r="F1461" s="1">
        <f>12.21930711372*(38.9/42.5)</f>
        <v>11.184259922910766</v>
      </c>
      <c r="G1461" s="1">
        <v>0.48261264480995236</v>
      </c>
      <c r="H1461" s="1">
        <v>6.0866638377203364</v>
      </c>
      <c r="I1461" s="1">
        <v>9.3839202262982369</v>
      </c>
      <c r="J1461" s="1">
        <v>2.5153711872790495E-2</v>
      </c>
      <c r="K1461" s="1">
        <v>3.0650412295303577</v>
      </c>
      <c r="L1461" s="1">
        <v>6.1102228399164487</v>
      </c>
      <c r="M1461" s="1">
        <v>0.11806212379052612</v>
      </c>
      <c r="N1461" s="1">
        <v>1.1683820883040454</v>
      </c>
      <c r="O1461" s="1">
        <v>0.30586666666666668</v>
      </c>
      <c r="P1461" s="1">
        <v>0.24658069954543352</v>
      </c>
      <c r="Q1461" s="1">
        <v>0.77129874741316662</v>
      </c>
      <c r="R1461" s="2">
        <f t="shared" si="91"/>
        <v>40.155138844453845</v>
      </c>
      <c r="S1461" s="2">
        <f t="shared" si="90"/>
        <v>3.3367756409485816</v>
      </c>
      <c r="T1461" s="2">
        <f t="shared" si="92"/>
        <v>7.702533718677687</v>
      </c>
      <c r="U1461" s="2">
        <f t="shared" si="93"/>
        <v>51.194448204080111</v>
      </c>
    </row>
    <row r="1462" spans="1:21" x14ac:dyDescent="0.25">
      <c r="A1462">
        <v>3266381</v>
      </c>
      <c r="B1462">
        <v>14</v>
      </c>
      <c r="C1462" s="1">
        <f>0.9916612505955*(10.3/7.3)</f>
        <v>1.3991932713881721</v>
      </c>
      <c r="D1462" s="1">
        <f>1.15994964588827*(10.3/7.3)</f>
        <v>1.6366412811848265</v>
      </c>
      <c r="E1462" s="1">
        <f>4.10556138277609*(10.3/7.3)</f>
        <v>5.7927783893963998</v>
      </c>
      <c r="F1462" s="1">
        <f>8.64835448914858*(38.9/42.5)</f>
        <v>7.9157879912442315</v>
      </c>
      <c r="G1462" s="1">
        <v>0.33412411033125028</v>
      </c>
      <c r="H1462" s="1">
        <v>2.4819806607897448</v>
      </c>
      <c r="I1462" s="1">
        <v>6.6507384810888679</v>
      </c>
      <c r="J1462" s="1">
        <v>2.057287033089061E-2</v>
      </c>
      <c r="K1462" s="1">
        <v>2.5214459772460329</v>
      </c>
      <c r="L1462" s="1">
        <v>5.4164498700305659</v>
      </c>
      <c r="M1462" s="1">
        <v>0.10058738593020645</v>
      </c>
      <c r="N1462" s="1">
        <v>0.9708473086237136</v>
      </c>
      <c r="O1462" s="1">
        <v>0.21568761904761904</v>
      </c>
      <c r="P1462" s="1">
        <v>0.19460924342627103</v>
      </c>
      <c r="Q1462" s="1">
        <v>0.53398830418236398</v>
      </c>
      <c r="R1462" s="2">
        <f t="shared" si="91"/>
        <v>26.745232489605858</v>
      </c>
      <c r="S1462" s="2">
        <f t="shared" si="90"/>
        <v>2.7366280910031944</v>
      </c>
      <c r="T1462" s="2">
        <f t="shared" si="92"/>
        <v>6.7035721836321054</v>
      </c>
      <c r="U1462" s="2">
        <f t="shared" si="93"/>
        <v>36.185432764241156</v>
      </c>
    </row>
    <row r="1463" spans="1:21" x14ac:dyDescent="0.25">
      <c r="A1463">
        <v>3266605</v>
      </c>
      <c r="B1463">
        <v>3</v>
      </c>
      <c r="C1463" s="1">
        <f>3.96459664451865*(10.3/7.3)</f>
        <v>5.5938829367865868</v>
      </c>
      <c r="D1463" s="1">
        <f>4.53188099950132*(10.3/7.3)</f>
        <v>6.3942978486114548</v>
      </c>
      <c r="E1463" s="1">
        <f>15.9673951374528*(10.3/7.3)</f>
        <v>22.52933834462516</v>
      </c>
      <c r="F1463" s="1">
        <f>38.2294593307662*(38.9/42.5)</f>
        <v>34.99119924627778</v>
      </c>
      <c r="G1463" s="1">
        <v>1.678808177514389</v>
      </c>
      <c r="H1463" s="1">
        <v>6.0687487123701658</v>
      </c>
      <c r="I1463" s="1">
        <v>30.190736195763908</v>
      </c>
      <c r="J1463" s="1">
        <v>4.1000663504748701E-2</v>
      </c>
      <c r="K1463" s="1">
        <v>3.3552688008243563</v>
      </c>
      <c r="L1463" s="1">
        <v>4.3255840527415828</v>
      </c>
      <c r="M1463" s="1">
        <v>0.15192708332410493</v>
      </c>
      <c r="N1463" s="1">
        <v>2.1096759274197439</v>
      </c>
      <c r="O1463" s="1">
        <v>0.2075733333333333</v>
      </c>
      <c r="P1463" s="1">
        <v>0.17626714091533913</v>
      </c>
      <c r="Q1463" s="1">
        <v>2.6830267677170627</v>
      </c>
      <c r="R1463" s="2">
        <f t="shared" si="91"/>
        <v>110.1300382296665</v>
      </c>
      <c r="S1463" s="2">
        <f t="shared" si="90"/>
        <v>3.5725366052444443</v>
      </c>
      <c r="T1463" s="2">
        <f t="shared" si="92"/>
        <v>6.7947603968187646</v>
      </c>
      <c r="U1463" s="2">
        <f t="shared" si="93"/>
        <v>120.49733523172969</v>
      </c>
    </row>
    <row r="1464" spans="1:21" x14ac:dyDescent="0.25">
      <c r="A1464">
        <v>3266621</v>
      </c>
      <c r="B1464">
        <v>9</v>
      </c>
      <c r="C1464" s="1">
        <f>2.81136484535905*(10.3/7.3)</f>
        <v>3.966720261260035</v>
      </c>
      <c r="D1464" s="1">
        <f>3.22042519374635*(10.3/7.3)</f>
        <v>4.5438876021352588</v>
      </c>
      <c r="E1464" s="1">
        <f>11.3554860133633*(10.3/7.3)</f>
        <v>16.022124101046877</v>
      </c>
      <c r="F1464" s="1">
        <f>26.6798135054078*(38.9/42.5)</f>
        <v>24.41987636142035</v>
      </c>
      <c r="G1464" s="1">
        <v>1.1517038971520739</v>
      </c>
      <c r="H1464" s="1">
        <v>4.6500947237035604</v>
      </c>
      <c r="I1464" s="1">
        <v>21.001711537517462</v>
      </c>
      <c r="J1464" s="1">
        <v>3.5754177792490252E-2</v>
      </c>
      <c r="K1464" s="1">
        <v>3.0728976641001213</v>
      </c>
      <c r="L1464" s="1">
        <v>3.692803398385343</v>
      </c>
      <c r="M1464" s="1">
        <v>0.13592233456173303</v>
      </c>
      <c r="N1464" s="1">
        <v>2.3339760008721644</v>
      </c>
      <c r="O1464" s="1">
        <v>0.18018370370370368</v>
      </c>
      <c r="P1464" s="1">
        <v>0.15560578978082432</v>
      </c>
      <c r="Q1464" s="1">
        <v>1.8406226666813987</v>
      </c>
      <c r="R1464" s="2">
        <f t="shared" si="91"/>
        <v>77.596741150917012</v>
      </c>
      <c r="S1464" s="2">
        <f t="shared" si="90"/>
        <v>3.264257631673436</v>
      </c>
      <c r="T1464" s="2">
        <f t="shared" si="92"/>
        <v>6.342885437522944</v>
      </c>
      <c r="U1464" s="2">
        <f t="shared" si="93"/>
        <v>87.20388422011338</v>
      </c>
    </row>
    <row r="1465" spans="1:21" x14ac:dyDescent="0.25">
      <c r="A1465">
        <v>3266701</v>
      </c>
      <c r="B1465">
        <v>5</v>
      </c>
      <c r="C1465" s="1">
        <f>4.11674411470211*(10.3/7.3)</f>
        <v>5.8085567645796834</v>
      </c>
      <c r="D1465" s="1">
        <f>4.32534438133529*(10.3/7.3)</f>
        <v>6.1028831681854081</v>
      </c>
      <c r="E1465" s="1">
        <f>15.3690876148919*(10.3/7.3)</f>
        <v>21.685151018272069</v>
      </c>
      <c r="F1465" s="1">
        <f>33.5645630126163*(38.9/42.5)</f>
        <v>30.72144708684176</v>
      </c>
      <c r="G1465" s="1">
        <v>1.3203715444711592</v>
      </c>
      <c r="H1465" s="1">
        <v>4.8982192098034183</v>
      </c>
      <c r="I1465" s="1">
        <v>26.909285527790463</v>
      </c>
      <c r="J1465" s="1">
        <v>4.0902786938082199E-2</v>
      </c>
      <c r="K1465" s="1">
        <v>2.8431241759089465</v>
      </c>
      <c r="L1465" s="1">
        <v>3.4311465883651815</v>
      </c>
      <c r="M1465" s="1">
        <v>0.14341558430943191</v>
      </c>
      <c r="N1465" s="1">
        <v>2.1146117174831254</v>
      </c>
      <c r="O1465" s="1">
        <v>0.16044799999999998</v>
      </c>
      <c r="P1465" s="1">
        <v>0.13266304220172337</v>
      </c>
      <c r="Q1465" s="1">
        <v>2.1101828336297084</v>
      </c>
      <c r="R1465" s="2">
        <f t="shared" si="91"/>
        <v>99.55609715357366</v>
      </c>
      <c r="S1465" s="2">
        <f t="shared" si="90"/>
        <v>3.0166900050487522</v>
      </c>
      <c r="T1465" s="2">
        <f t="shared" si="92"/>
        <v>5.8496218901577386</v>
      </c>
      <c r="U1465" s="2">
        <f t="shared" si="93"/>
        <v>108.42240904878015</v>
      </c>
    </row>
    <row r="1466" spans="1:21" x14ac:dyDescent="0.25">
      <c r="A1466">
        <v>3266709</v>
      </c>
      <c r="B1466">
        <v>7</v>
      </c>
      <c r="C1466" s="1">
        <f>6.18888568880125*(10.3/7.3)</f>
        <v>8.7322633691305303</v>
      </c>
      <c r="D1466" s="1">
        <f>6.2572262108958*(10.3/7.3)</f>
        <v>8.8286890372913351</v>
      </c>
      <c r="E1466" s="1">
        <f>22.3572339622141*(10.3/7.3)</f>
        <v>31.545138330247237</v>
      </c>
      <c r="F1466" s="1">
        <f>44.9108183306791*(38.9/42.5)</f>
        <v>41.106607836786281</v>
      </c>
      <c r="G1466" s="1">
        <v>1.5752430129936736</v>
      </c>
      <c r="H1466" s="1">
        <v>5.0784581673442384</v>
      </c>
      <c r="I1466" s="1">
        <v>36.151761768709456</v>
      </c>
      <c r="J1466" s="1">
        <v>5.7472376375626869E-2</v>
      </c>
      <c r="K1466" s="1">
        <v>3.4550768498874596</v>
      </c>
      <c r="L1466" s="1">
        <v>4.1563697279759193</v>
      </c>
      <c r="M1466" s="1">
        <v>0.17019806954811198</v>
      </c>
      <c r="N1466" s="1">
        <v>3.276537862936812</v>
      </c>
      <c r="O1466" s="1">
        <v>0.18735238095238094</v>
      </c>
      <c r="P1466" s="1">
        <v>0.14738182977535522</v>
      </c>
      <c r="Q1466" s="1">
        <v>2.5175116646017641</v>
      </c>
      <c r="R1466" s="2">
        <f t="shared" si="91"/>
        <v>135.53567318710449</v>
      </c>
      <c r="S1466" s="2">
        <f t="shared" si="90"/>
        <v>3.6599310560384417</v>
      </c>
      <c r="T1466" s="2">
        <f t="shared" si="92"/>
        <v>7.7904580414132241</v>
      </c>
      <c r="U1466" s="2">
        <f t="shared" si="93"/>
        <v>146.98606228455614</v>
      </c>
    </row>
    <row r="1467" spans="1:21" x14ac:dyDescent="0.25">
      <c r="A1467">
        <v>3266997</v>
      </c>
      <c r="B1467">
        <v>5</v>
      </c>
      <c r="C1467" s="1">
        <f>17.6514962921215*(10.3/7.3)</f>
        <v>24.905535864226238</v>
      </c>
      <c r="D1467" s="1">
        <f>13.9391762924317*(10.3/7.3)</f>
        <v>19.667604905759738</v>
      </c>
      <c r="E1467" s="1">
        <f>51.0210637327994*(10.3/7.3)</f>
        <v>71.98862417093612</v>
      </c>
      <c r="F1467" s="1">
        <f>79.9941675139935*(38.9/42.5)</f>
        <v>73.218190971631714</v>
      </c>
      <c r="G1467" s="1">
        <v>1.428932565818138</v>
      </c>
      <c r="H1467" s="1">
        <v>4.0384275564353738</v>
      </c>
      <c r="I1467" s="1">
        <v>70.938906287835152</v>
      </c>
      <c r="J1467" s="1">
        <v>3.4578716058323938E-2</v>
      </c>
      <c r="K1467" s="1">
        <v>2.4617115789567028</v>
      </c>
      <c r="L1467" s="1">
        <v>3.6026896055839024</v>
      </c>
      <c r="M1467" s="1">
        <v>0.12812784841959773</v>
      </c>
      <c r="N1467" s="1">
        <v>1.5995623915613446</v>
      </c>
      <c r="O1467" s="1">
        <v>0.11366400000000002</v>
      </c>
      <c r="P1467" s="1">
        <v>9.0776440401305683E-2</v>
      </c>
      <c r="Q1467" s="1">
        <v>2.2836821828143781</v>
      </c>
      <c r="R1467" s="2">
        <f t="shared" si="91"/>
        <v>268.4699045054569</v>
      </c>
      <c r="S1467" s="2">
        <f t="shared" si="90"/>
        <v>2.5870667354163324</v>
      </c>
      <c r="T1467" s="2">
        <f t="shared" si="92"/>
        <v>5.4440438455648446</v>
      </c>
      <c r="U1467" s="2">
        <f t="shared" si="93"/>
        <v>276.50101508643809</v>
      </c>
    </row>
    <row r="1468" spans="1:21" x14ac:dyDescent="0.25">
      <c r="A1468">
        <v>3278361</v>
      </c>
      <c r="B1468">
        <v>15</v>
      </c>
      <c r="C1468" s="1">
        <f>0.948226580754172*(10.3/7.3)</f>
        <v>1.3379087372284899</v>
      </c>
      <c r="D1468" s="1">
        <f>1.25107479984794*(10.3/7.3)</f>
        <v>1.7652151285525781</v>
      </c>
      <c r="E1468" s="1">
        <f>4.39241979947048*(10.3/7.3)</f>
        <v>6.1975238266501327</v>
      </c>
      <c r="F1468" s="1">
        <f>9.8358427632857*(38.9/42.5)</f>
        <v>9.0026890233367958</v>
      </c>
      <c r="G1468" s="1">
        <v>0.4152385748312219</v>
      </c>
      <c r="H1468" s="1">
        <v>1.9485833965246413</v>
      </c>
      <c r="I1468" s="1">
        <v>7.3648019857054168</v>
      </c>
      <c r="J1468" s="1">
        <v>2.1895497147747748E-2</v>
      </c>
      <c r="K1468" s="1">
        <v>2.5904234986770196</v>
      </c>
      <c r="L1468" s="1">
        <v>2.9619904417915532</v>
      </c>
      <c r="M1468" s="1">
        <v>0.12618855746069443</v>
      </c>
      <c r="N1468" s="1">
        <v>0.81404956158116692</v>
      </c>
      <c r="O1468" s="1">
        <v>0.35976888888888886</v>
      </c>
      <c r="P1468" s="1">
        <v>0.16189212331042518</v>
      </c>
      <c r="Q1468" s="1">
        <v>0.66362329310925949</v>
      </c>
      <c r="R1468" s="2">
        <f t="shared" si="91"/>
        <v>28.695583965938535</v>
      </c>
      <c r="S1468" s="2">
        <f t="shared" si="90"/>
        <v>2.7742111191351926</v>
      </c>
      <c r="T1468" s="2">
        <f t="shared" si="92"/>
        <v>4.261997449722303</v>
      </c>
      <c r="U1468" s="2">
        <f t="shared" si="93"/>
        <v>35.731792534796028</v>
      </c>
    </row>
    <row r="1469" spans="1:21" x14ac:dyDescent="0.25">
      <c r="A1469">
        <v>3278369</v>
      </c>
      <c r="B1469">
        <v>51</v>
      </c>
      <c r="C1469" s="1">
        <f>0.646896180972499*(10.3/7.3)</f>
        <v>0.91274392657763626</v>
      </c>
      <c r="D1469" s="1">
        <f>0.85605549223872*(10.3/7.3)</f>
        <v>1.2078591191861388</v>
      </c>
      <c r="E1469" s="1">
        <f>3.00406728942527*(10.3/7.3)</f>
        <v>4.2386154905589448</v>
      </c>
      <c r="F1469" s="1">
        <f>6.78215224062376*(38.9/42.5)</f>
        <v>6.207664050829746</v>
      </c>
      <c r="G1469" s="1">
        <v>0.2887706589709329</v>
      </c>
      <c r="H1469" s="1">
        <v>1.5983650898355009</v>
      </c>
      <c r="I1469" s="1">
        <v>5.0820151242501952</v>
      </c>
      <c r="J1469" s="1">
        <v>1.859721326722508E-2</v>
      </c>
      <c r="K1469" s="1">
        <v>1.9814474184071884</v>
      </c>
      <c r="L1469" s="1">
        <v>2.0021062188372869</v>
      </c>
      <c r="M1469" s="1">
        <v>9.2128612741040936E-2</v>
      </c>
      <c r="N1469" s="1">
        <v>0.62561810101352011</v>
      </c>
      <c r="O1469" s="1">
        <v>0.23799843137254897</v>
      </c>
      <c r="P1469" s="1">
        <v>0.13044043936813962</v>
      </c>
      <c r="Q1469" s="1">
        <v>0.46150561935993878</v>
      </c>
      <c r="R1469" s="2">
        <f t="shared" si="91"/>
        <v>19.997539079569034</v>
      </c>
      <c r="S1469" s="2">
        <f t="shared" si="90"/>
        <v>2.1304850710425534</v>
      </c>
      <c r="T1469" s="2">
        <f t="shared" si="92"/>
        <v>2.9578513639643966</v>
      </c>
      <c r="U1469" s="2">
        <f t="shared" si="93"/>
        <v>25.085875514575985</v>
      </c>
    </row>
    <row r="1470" spans="1:21" x14ac:dyDescent="0.25">
      <c r="A1470">
        <v>3278393</v>
      </c>
      <c r="B1470">
        <v>40</v>
      </c>
      <c r="C1470" s="1">
        <f>0.46035064890423*(10.3/7.3)</f>
        <v>0.64953584708405132</v>
      </c>
      <c r="D1470" s="1">
        <f>0.60831083941808*(10.3/7.3)</f>
        <v>0.85830159534331785</v>
      </c>
      <c r="E1470" s="1">
        <f>2.13040319878312*(10.3/7.3)</f>
        <v>3.0059113626665934</v>
      </c>
      <c r="F1470" s="1">
        <f>5.03352917331237*(38.9/42.5)</f>
        <v>4.6071596433376767</v>
      </c>
      <c r="G1470" s="1">
        <v>0.22354632728888743</v>
      </c>
      <c r="H1470" s="1">
        <v>3.5127557900863393</v>
      </c>
      <c r="I1470" s="1">
        <v>3.8060230322934352</v>
      </c>
      <c r="J1470" s="1">
        <v>1.3211851378662976E-2</v>
      </c>
      <c r="K1470" s="1">
        <v>1.7454330338327775</v>
      </c>
      <c r="L1470" s="1">
        <v>1.7014409682333569</v>
      </c>
      <c r="M1470" s="1">
        <v>7.4231652311203974E-2</v>
      </c>
      <c r="N1470" s="1">
        <v>0.5674563941342512</v>
      </c>
      <c r="O1470" s="1">
        <v>0.20238933333333339</v>
      </c>
      <c r="P1470" s="1">
        <v>0.12020375017615872</v>
      </c>
      <c r="Q1470" s="1">
        <v>0.35726581986808531</v>
      </c>
      <c r="R1470" s="2">
        <f t="shared" si="91"/>
        <v>17.020499417968388</v>
      </c>
      <c r="S1470" s="2">
        <f t="shared" si="90"/>
        <v>1.8788486353875993</v>
      </c>
      <c r="T1470" s="2">
        <f t="shared" si="92"/>
        <v>2.5455183480121457</v>
      </c>
      <c r="U1470" s="2">
        <f t="shared" si="93"/>
        <v>21.444866401368131</v>
      </c>
    </row>
    <row r="1471" spans="1:21" x14ac:dyDescent="0.25">
      <c r="A1471">
        <v>3278409</v>
      </c>
      <c r="B1471">
        <v>10</v>
      </c>
      <c r="C1471" s="1">
        <f>0.402210998141522*(10.3/7.3)</f>
        <v>0.56750318915858622</v>
      </c>
      <c r="D1471" s="1">
        <f>0.512272029578805*(10.3/7.3)</f>
        <v>0.7227947814605058</v>
      </c>
      <c r="E1471" s="1">
        <f>1.79871963176805*(10.3/7.3)</f>
        <v>2.5379194804398577</v>
      </c>
      <c r="F1471" s="1">
        <f>4.15928393296109*(38.9/42.5)</f>
        <v>3.806968117463212</v>
      </c>
      <c r="G1471" s="1">
        <v>0.18007309955192158</v>
      </c>
      <c r="H1471" s="1">
        <v>1.9400065302632465</v>
      </c>
      <c r="I1471" s="1">
        <v>3.1653177477392545</v>
      </c>
      <c r="J1471" s="1">
        <v>1.2141503230904644E-2</v>
      </c>
      <c r="K1471" s="1">
        <v>1.6192562636546157</v>
      </c>
      <c r="L1471" s="1">
        <v>1.6204704862222115</v>
      </c>
      <c r="M1471" s="1">
        <v>7.5148187918735579E-2</v>
      </c>
      <c r="N1471" s="1">
        <v>0.54251771678440142</v>
      </c>
      <c r="O1471" s="1">
        <v>0.183312</v>
      </c>
      <c r="P1471" s="1">
        <v>0.10852599870744799</v>
      </c>
      <c r="Q1471" s="1">
        <v>0.2877880586446237</v>
      </c>
      <c r="R1471" s="2">
        <f t="shared" si="91"/>
        <v>13.20837100472121</v>
      </c>
      <c r="S1471" s="2">
        <f t="shared" si="90"/>
        <v>1.7399237655929685</v>
      </c>
      <c r="T1471" s="2">
        <f t="shared" si="92"/>
        <v>2.4214483909253484</v>
      </c>
      <c r="U1471" s="2">
        <f t="shared" si="93"/>
        <v>17.369743161239526</v>
      </c>
    </row>
    <row r="1472" spans="1:21" x14ac:dyDescent="0.25">
      <c r="A1472">
        <v>3278417</v>
      </c>
      <c r="B1472">
        <v>47</v>
      </c>
      <c r="C1472" s="1">
        <f>0.499864691781294*(10.3/7.3)</f>
        <v>0.70528853771881206</v>
      </c>
      <c r="D1472" s="1">
        <f>0.627413282659636*(10.3/7.3)</f>
        <v>0.88525435772523964</v>
      </c>
      <c r="E1472" s="1">
        <f>2.20220773559525*(10.3/7.3)</f>
        <v>3.1072246132371406</v>
      </c>
      <c r="F1472" s="1">
        <f>5.20601614826846*(38.9/42.5)</f>
        <v>4.7650359568857183</v>
      </c>
      <c r="G1472" s="1">
        <v>0.22949474740593784</v>
      </c>
      <c r="H1472" s="1">
        <v>2.2441195948111843</v>
      </c>
      <c r="I1472" s="1">
        <v>3.9936958995692988</v>
      </c>
      <c r="J1472" s="1">
        <v>1.3128291862971625E-2</v>
      </c>
      <c r="K1472" s="1">
        <v>1.7506342631437877</v>
      </c>
      <c r="L1472" s="1">
        <v>1.7549059192801695</v>
      </c>
      <c r="M1472" s="1">
        <v>7.8362428121156971E-2</v>
      </c>
      <c r="N1472" s="1">
        <v>0.74794190949289974</v>
      </c>
      <c r="O1472" s="1">
        <v>0.20209134751773047</v>
      </c>
      <c r="P1472" s="1">
        <v>0.11859331141167347</v>
      </c>
      <c r="Q1472" s="1">
        <v>0.36677242736108817</v>
      </c>
      <c r="R1472" s="2">
        <f t="shared" si="91"/>
        <v>16.29688613471442</v>
      </c>
      <c r="S1472" s="2">
        <f t="shared" si="90"/>
        <v>1.8823558664184328</v>
      </c>
      <c r="T1472" s="2">
        <f t="shared" si="92"/>
        <v>2.7833016044119567</v>
      </c>
      <c r="U1472" s="2">
        <f t="shared" si="93"/>
        <v>20.962543605544809</v>
      </c>
    </row>
    <row r="1473" spans="1:21" x14ac:dyDescent="0.25">
      <c r="A1473">
        <v>3278425</v>
      </c>
      <c r="B1473">
        <v>6</v>
      </c>
      <c r="C1473" s="1">
        <f>0.706171373390754*(10.3/7.3)</f>
        <v>0.99637878711298156</v>
      </c>
      <c r="D1473" s="1">
        <f>0.868954817932024*(10.3/7.3)</f>
        <v>1.226059537630116</v>
      </c>
      <c r="E1473" s="1">
        <f>3.04222167696242*(10.3/7.3)</f>
        <v>4.2924497633853278</v>
      </c>
      <c r="F1473" s="1">
        <f>7.72748252418964*(38.9/42.5)</f>
        <v>7.0729192986112261</v>
      </c>
      <c r="G1473" s="1">
        <v>0.36102959411842778</v>
      </c>
      <c r="H1473" s="1">
        <v>3.5427720227628825</v>
      </c>
      <c r="I1473" s="1">
        <v>6.0285687087470867</v>
      </c>
      <c r="J1473" s="1">
        <v>1.511570618446424E-2</v>
      </c>
      <c r="K1473" s="1">
        <v>2.0113618827722579</v>
      </c>
      <c r="L1473" s="1">
        <v>2.0400147377163744</v>
      </c>
      <c r="M1473" s="1">
        <v>8.9794415682829185E-2</v>
      </c>
      <c r="N1473" s="1">
        <v>0.74152221837710719</v>
      </c>
      <c r="O1473" s="1">
        <v>0.23231111111111111</v>
      </c>
      <c r="P1473" s="1">
        <v>0.13840607445924621</v>
      </c>
      <c r="Q1473" s="1">
        <v>0.57698793580570706</v>
      </c>
      <c r="R1473" s="2">
        <f t="shared" si="91"/>
        <v>24.097165648173757</v>
      </c>
      <c r="S1473" s="2">
        <f t="shared" si="90"/>
        <v>2.1648836634159685</v>
      </c>
      <c r="T1473" s="2">
        <f t="shared" si="92"/>
        <v>3.1036424828874218</v>
      </c>
      <c r="U1473" s="2">
        <f t="shared" si="93"/>
        <v>29.365691794477147</v>
      </c>
    </row>
    <row r="1474" spans="1:21" x14ac:dyDescent="0.25">
      <c r="A1474">
        <v>3278481</v>
      </c>
      <c r="B1474">
        <v>4</v>
      </c>
      <c r="C1474" s="1">
        <f>0.760239486158828*(10.3/7.3)</f>
        <v>1.0726666722514966</v>
      </c>
      <c r="D1474" s="1">
        <f>0.987645956873374*(10.3/7.3)</f>
        <v>1.3935278569583225</v>
      </c>
      <c r="E1474" s="1">
        <f>3.46748520865294*(10.3/7.3)</f>
        <v>4.8924791300171684</v>
      </c>
      <c r="F1474" s="1">
        <f>7.885060635726*(38.9/42.5)</f>
        <v>7.2171496171703868</v>
      </c>
      <c r="G1474" s="1">
        <v>0.33706705728556369</v>
      </c>
      <c r="H1474" s="1">
        <v>4.3942723321798018</v>
      </c>
      <c r="I1474" s="1">
        <v>5.9482963328569838</v>
      </c>
      <c r="J1474" s="1">
        <v>1.7006760658931225E-2</v>
      </c>
      <c r="K1474" s="1">
        <v>2.2630506149252145</v>
      </c>
      <c r="L1474" s="1">
        <v>2.7153597932618259</v>
      </c>
      <c r="M1474" s="1">
        <v>9.6703213551117009E-2</v>
      </c>
      <c r="N1474" s="1">
        <v>0.71107626585323869</v>
      </c>
      <c r="O1474" s="1">
        <v>0.26114666666666669</v>
      </c>
      <c r="P1474" s="1">
        <v>0.16458544559787414</v>
      </c>
      <c r="Q1474" s="1">
        <v>0.53869164406368675</v>
      </c>
      <c r="R1474" s="2">
        <f t="shared" si="91"/>
        <v>25.794150642783411</v>
      </c>
      <c r="S1474" s="2">
        <f t="shared" si="90"/>
        <v>2.4446428211820201</v>
      </c>
      <c r="T1474" s="2">
        <f t="shared" si="92"/>
        <v>3.7842859393328485</v>
      </c>
      <c r="U1474" s="2">
        <f t="shared" si="93"/>
        <v>32.023079403298276</v>
      </c>
    </row>
    <row r="1475" spans="1:21" x14ac:dyDescent="0.25">
      <c r="A1475">
        <v>3278609</v>
      </c>
      <c r="B1475">
        <v>43</v>
      </c>
      <c r="C1475" s="1">
        <f>1.33181370101413*(10.3/7.3)</f>
        <v>1.8791344000610313</v>
      </c>
      <c r="D1475" s="1">
        <f>1.5706302459533*(10.3/7.3)</f>
        <v>2.2160947305916374</v>
      </c>
      <c r="E1475" s="1">
        <f>5.55384916447891*(10.3/7.3)</f>
        <v>7.8362529307031243</v>
      </c>
      <c r="F1475" s="1">
        <f>11.8564685418631*(38.9/42.5)</f>
        <v>10.852155912434716</v>
      </c>
      <c r="G1475" s="1">
        <v>0.46599440510427304</v>
      </c>
      <c r="H1475" s="1">
        <v>4.1576188643864596</v>
      </c>
      <c r="I1475" s="1">
        <v>9.1132719508874462</v>
      </c>
      <c r="J1475" s="1">
        <v>2.4617884049495244E-2</v>
      </c>
      <c r="K1475" s="1">
        <v>2.9929901086218091</v>
      </c>
      <c r="L1475" s="1">
        <v>6.1181707732858266</v>
      </c>
      <c r="M1475" s="1">
        <v>0.11828781217844925</v>
      </c>
      <c r="N1475" s="1">
        <v>1.1602815609565595</v>
      </c>
      <c r="O1475" s="1">
        <v>0.29636589147286818</v>
      </c>
      <c r="P1475" s="1">
        <v>0.23471055815287514</v>
      </c>
      <c r="Q1475" s="1">
        <v>0.74473991683331364</v>
      </c>
      <c r="R1475" s="2">
        <f t="shared" si="91"/>
        <v>37.265263111002</v>
      </c>
      <c r="S1475" s="2">
        <f t="shared" si="90"/>
        <v>3.2523185508241794</v>
      </c>
      <c r="T1475" s="2">
        <f t="shared" si="92"/>
        <v>7.6931060378937044</v>
      </c>
      <c r="U1475" s="2">
        <f t="shared" si="93"/>
        <v>48.210687699719884</v>
      </c>
    </row>
    <row r="1476" spans="1:21" x14ac:dyDescent="0.25">
      <c r="A1476">
        <v>3278617</v>
      </c>
      <c r="B1476">
        <v>4</v>
      </c>
      <c r="C1476" s="1">
        <f>2.15525653934615*(10.3/7.3)</f>
        <v>3.0409784048308639</v>
      </c>
      <c r="D1476" s="1">
        <f>2.50492947955068*(10.3/7.3)</f>
        <v>3.5343525533386355</v>
      </c>
      <c r="E1476" s="1">
        <f>8.86227524679817*(10.3/7.3)</f>
        <v>12.504306170139889</v>
      </c>
      <c r="F1476" s="1">
        <f>18.9963357448953*(38.9/42.5)</f>
        <v>17.387234364151187</v>
      </c>
      <c r="G1476" s="1">
        <v>0.74779209159692372</v>
      </c>
      <c r="H1476" s="1">
        <v>4.0393848959462737</v>
      </c>
      <c r="I1476" s="1">
        <v>14.681522442809765</v>
      </c>
      <c r="J1476" s="1">
        <v>3.3648605794741673E-2</v>
      </c>
      <c r="K1476" s="1">
        <v>3.8027137851974002</v>
      </c>
      <c r="L1476" s="1">
        <v>9.5002907312800726</v>
      </c>
      <c r="M1476" s="1">
        <v>0.16682683840943086</v>
      </c>
      <c r="N1476" s="1">
        <v>1.5756602500261863</v>
      </c>
      <c r="O1476" s="1">
        <v>0.40783999999999998</v>
      </c>
      <c r="P1476" s="1">
        <v>0.27874627673459595</v>
      </c>
      <c r="Q1476" s="1">
        <v>1.1951015162507928</v>
      </c>
      <c r="R1476" s="2">
        <f t="shared" si="91"/>
        <v>57.130672439064334</v>
      </c>
      <c r="S1476" s="2">
        <f t="shared" si="90"/>
        <v>4.1151086677267381</v>
      </c>
      <c r="T1476" s="2">
        <f t="shared" si="92"/>
        <v>11.65061781971569</v>
      </c>
      <c r="U1476" s="2">
        <f t="shared" si="93"/>
        <v>72.896398926506762</v>
      </c>
    </row>
    <row r="1477" spans="1:21" x14ac:dyDescent="0.25">
      <c r="A1477">
        <v>3278849</v>
      </c>
      <c r="B1477">
        <v>1</v>
      </c>
      <c r="C1477" s="1">
        <f>2.66497047905106*(10.3/7.3)</f>
        <v>3.760163826606294</v>
      </c>
      <c r="D1477" s="1">
        <f>3.03232475918665*(10.3/7.3)</f>
        <v>4.2784856191263749</v>
      </c>
      <c r="E1477" s="1">
        <f>10.6985203665926*(10.3/7.3)</f>
        <v>15.095172572041575</v>
      </c>
      <c r="F1477" s="1">
        <f>24.9957534063238*(38.9/42.5)</f>
        <v>22.878466058964584</v>
      </c>
      <c r="G1477" s="1">
        <v>1.0719837559573664</v>
      </c>
      <c r="H1477" s="1">
        <v>5.5727236792373276</v>
      </c>
      <c r="I1477" s="1">
        <v>19.700746854720737</v>
      </c>
      <c r="J1477" s="1">
        <v>3.4955512551964926E-2</v>
      </c>
      <c r="K1477" s="1">
        <v>3.0023920683940224</v>
      </c>
      <c r="L1477" s="1">
        <v>3.7002236031735438</v>
      </c>
      <c r="M1477" s="1">
        <v>0.13463816308537854</v>
      </c>
      <c r="N1477" s="1">
        <v>2.3041792893477906</v>
      </c>
      <c r="O1477" s="1">
        <v>0.17978666666666668</v>
      </c>
      <c r="P1477" s="1">
        <v>0.15618087000862585</v>
      </c>
      <c r="Q1477" s="1">
        <v>1.7132160483336925</v>
      </c>
      <c r="R1477" s="2">
        <f t="shared" si="91"/>
        <v>74.070958414987956</v>
      </c>
      <c r="S1477" s="2">
        <f t="shared" si="90"/>
        <v>3.1935284509546134</v>
      </c>
      <c r="T1477" s="2">
        <f t="shared" si="92"/>
        <v>6.3188277222733795</v>
      </c>
      <c r="U1477" s="2">
        <f t="shared" si="93"/>
        <v>83.583314588215956</v>
      </c>
    </row>
    <row r="1478" spans="1:21" x14ac:dyDescent="0.25">
      <c r="A1478">
        <v>3279225</v>
      </c>
      <c r="B1478">
        <v>23</v>
      </c>
      <c r="C1478" s="1">
        <f>14.749438285836*(10.3/7.3)</f>
        <v>20.810851280015193</v>
      </c>
      <c r="D1478" s="1">
        <f>13.8514147461639*(10.3/7.3)</f>
        <v>19.543776970614783</v>
      </c>
      <c r="E1478" s="1">
        <f>50.0609785017809*(10.3/7.3)</f>
        <v>70.633983365526447</v>
      </c>
      <c r="F1478" s="1">
        <f>82.3716103231922*(38.9/42.5)</f>
        <v>75.394250389933561</v>
      </c>
      <c r="G1478" s="1">
        <v>1.9250111922286899</v>
      </c>
      <c r="H1478" s="1">
        <v>5.7232983605092747</v>
      </c>
      <c r="I1478" s="1">
        <v>66.951517349614036</v>
      </c>
      <c r="J1478" s="1">
        <v>4.4028958081856841E-2</v>
      </c>
      <c r="K1478" s="1">
        <v>2.9043744550932469</v>
      </c>
      <c r="L1478" s="1">
        <v>4.6026570401974647</v>
      </c>
      <c r="M1478" s="1">
        <v>0.15252967193592912</v>
      </c>
      <c r="N1478" s="1">
        <v>1.9250597102847495</v>
      </c>
      <c r="O1478" s="1">
        <v>0.13399420289855074</v>
      </c>
      <c r="P1478" s="1">
        <v>0.10253542610725619</v>
      </c>
      <c r="Q1478" s="1">
        <v>3.0765019053883198</v>
      </c>
      <c r="R1478" s="2">
        <f t="shared" si="91"/>
        <v>264.0591908138303</v>
      </c>
      <c r="S1478" s="2">
        <f t="shared" si="90"/>
        <v>3.05093883928236</v>
      </c>
      <c r="T1478" s="2">
        <f t="shared" si="92"/>
        <v>6.8142406253166943</v>
      </c>
      <c r="U1478" s="2">
        <f t="shared" si="93"/>
        <v>273.92437027842936</v>
      </c>
    </row>
    <row r="1479" spans="1:21" x14ac:dyDescent="0.25">
      <c r="A1479">
        <v>3290589</v>
      </c>
      <c r="B1479">
        <v>32</v>
      </c>
      <c r="C1479" s="1">
        <f>0.597089204813544*(10.3/7.3)</f>
        <v>0.84246833007938415</v>
      </c>
      <c r="D1479" s="1">
        <f>0.794113533290497*(10.3/7.3)</f>
        <v>1.1204615606701538</v>
      </c>
      <c r="E1479" s="1">
        <f>2.78792355581682*(10.3/7.3)</f>
        <v>3.9336455650566111</v>
      </c>
      <c r="F1479" s="1">
        <f>6.2019595680913*(38.9/42.5)</f>
        <v>5.6766171105588592</v>
      </c>
      <c r="G1479" s="1">
        <v>0.26046316353476434</v>
      </c>
      <c r="H1479" s="1">
        <v>1.3026430548804928</v>
      </c>
      <c r="I1479" s="1">
        <v>4.6269551051754885</v>
      </c>
      <c r="J1479" s="1">
        <v>1.6008281774810777E-2</v>
      </c>
      <c r="K1479" s="1">
        <v>1.9961451770428926</v>
      </c>
      <c r="L1479" s="1">
        <v>2.0881054133255184</v>
      </c>
      <c r="M1479" s="1">
        <v>9.6644454052090045E-2</v>
      </c>
      <c r="N1479" s="1">
        <v>0.61476215565222048</v>
      </c>
      <c r="O1479" s="1">
        <v>0.25344666666666665</v>
      </c>
      <c r="P1479" s="1">
        <v>0.12716410316310875</v>
      </c>
      <c r="Q1479" s="1">
        <v>0.41626532985008041</v>
      </c>
      <c r="R1479" s="2">
        <f t="shared" si="91"/>
        <v>18.179519219805837</v>
      </c>
      <c r="S1479" s="2">
        <f t="shared" si="90"/>
        <v>2.1393175619808122</v>
      </c>
      <c r="T1479" s="2">
        <f t="shared" si="92"/>
        <v>3.0529586896964953</v>
      </c>
      <c r="U1479" s="2">
        <f t="shared" si="93"/>
        <v>23.371795471483146</v>
      </c>
    </row>
    <row r="1480" spans="1:21" x14ac:dyDescent="0.25">
      <c r="A1480">
        <v>3290597</v>
      </c>
      <c r="B1480">
        <v>51</v>
      </c>
      <c r="C1480" s="1">
        <f>1.05882362488465*(10.3/7.3)</f>
        <v>1.4939566214125932</v>
      </c>
      <c r="D1480" s="1">
        <f>1.38372408000893*(10.3/7.3)</f>
        <v>1.9523778115194494</v>
      </c>
      <c r="E1480" s="1">
        <f>4.85913270384982*(10.3/7.3)</f>
        <v>6.8560365547470026</v>
      </c>
      <c r="F1480" s="1">
        <f>10.9318395427807*(38.9/42.5)</f>
        <v>10.005848428568658</v>
      </c>
      <c r="G1480" s="1">
        <v>0.46290403681607445</v>
      </c>
      <c r="H1480" s="1">
        <v>2.1756273126995889</v>
      </c>
      <c r="I1480" s="1">
        <v>8.2157558470037007</v>
      </c>
      <c r="J1480" s="1">
        <v>2.4393595999732703E-2</v>
      </c>
      <c r="K1480" s="1">
        <v>2.7697786706146839</v>
      </c>
      <c r="L1480" s="1">
        <v>3.2383583337301207</v>
      </c>
      <c r="M1480" s="1">
        <v>0.13560712138351858</v>
      </c>
      <c r="N1480" s="1">
        <v>0.88389197104725414</v>
      </c>
      <c r="O1480" s="1">
        <v>0.3984104575163398</v>
      </c>
      <c r="P1480" s="1">
        <v>0.17269532070646743</v>
      </c>
      <c r="Q1480" s="1">
        <v>0.73980097208048445</v>
      </c>
      <c r="R1480" s="2">
        <f t="shared" si="91"/>
        <v>31.902307584847552</v>
      </c>
      <c r="S1480" s="2">
        <f t="shared" si="90"/>
        <v>2.9668675873208841</v>
      </c>
      <c r="T1480" s="2">
        <f t="shared" si="92"/>
        <v>4.6562678836772333</v>
      </c>
      <c r="U1480" s="2">
        <f t="shared" si="93"/>
        <v>39.52544305584567</v>
      </c>
    </row>
    <row r="1481" spans="1:21" x14ac:dyDescent="0.25">
      <c r="A1481">
        <v>3290605</v>
      </c>
      <c r="B1481">
        <v>34</v>
      </c>
      <c r="C1481" s="1">
        <f>0.661820409261206*(10.3/7.3)</f>
        <v>0.93380139936855144</v>
      </c>
      <c r="D1481" s="1">
        <f>0.87173671945513*(10.3/7.3)</f>
        <v>1.2299846863544985</v>
      </c>
      <c r="E1481" s="1">
        <f>3.05893051532329*(10.3/7.3)</f>
        <v>4.3160252476479304</v>
      </c>
      <c r="F1481" s="1">
        <f>6.94533773664551*(38.9/42.5)</f>
        <v>6.3570267754237761</v>
      </c>
      <c r="G1481" s="1">
        <v>0.29712493761564795</v>
      </c>
      <c r="H1481" s="1">
        <v>1.6991244970439212</v>
      </c>
      <c r="I1481" s="1">
        <v>5.2170278348380821</v>
      </c>
      <c r="J1481" s="1">
        <v>2.2013741092448903E-2</v>
      </c>
      <c r="K1481" s="1">
        <v>2.0599507714545626</v>
      </c>
      <c r="L1481" s="1">
        <v>2.1413386523752695</v>
      </c>
      <c r="M1481" s="1">
        <v>9.6664641344480329E-2</v>
      </c>
      <c r="N1481" s="1">
        <v>0.67068671407780567</v>
      </c>
      <c r="O1481" s="1">
        <v>0.25319372549019603</v>
      </c>
      <c r="P1481" s="1">
        <v>0.13418979791058716</v>
      </c>
      <c r="Q1481" s="1">
        <v>0.47485720623505412</v>
      </c>
      <c r="R1481" s="2">
        <f t="shared" si="91"/>
        <v>20.524972584527461</v>
      </c>
      <c r="S1481" s="2">
        <f t="shared" ref="S1481:S1544" si="94">J1481+K1481+P1481</f>
        <v>2.2161543104575987</v>
      </c>
      <c r="T1481" s="2">
        <f t="shared" si="92"/>
        <v>3.1618837332877514</v>
      </c>
      <c r="U1481" s="2">
        <f t="shared" si="93"/>
        <v>25.90301062827281</v>
      </c>
    </row>
    <row r="1482" spans="1:21" x14ac:dyDescent="0.25">
      <c r="A1482">
        <v>3290621</v>
      </c>
      <c r="B1482">
        <v>2</v>
      </c>
      <c r="C1482" s="1">
        <f>0.515190452047908*(10.3/7.3)</f>
        <v>0.72691255562923951</v>
      </c>
      <c r="D1482" s="1">
        <f>0.687532987577045*(10.3/7.3)</f>
        <v>0.97008079069089848</v>
      </c>
      <c r="E1482" s="1">
        <f>2.40459415253768*(10.3/7.3)</f>
        <v>3.3927835302928857</v>
      </c>
      <c r="F1482" s="1">
        <f>5.79552268341504*(38.9/42.5)</f>
        <v>5.3046078208198866</v>
      </c>
      <c r="G1482" s="1">
        <v>0.26228248337881921</v>
      </c>
      <c r="H1482" s="1">
        <v>5.7121257483683401</v>
      </c>
      <c r="I1482" s="1">
        <v>4.3865323105855545</v>
      </c>
      <c r="J1482" s="1">
        <v>1.4176543752866573E-2</v>
      </c>
      <c r="K1482" s="1">
        <v>1.8542183873940419</v>
      </c>
      <c r="L1482" s="1">
        <v>1.8016676483697953</v>
      </c>
      <c r="M1482" s="1">
        <v>7.9605182931649532E-2</v>
      </c>
      <c r="N1482" s="1">
        <v>0.60466316887201976</v>
      </c>
      <c r="O1482" s="1">
        <v>0.21717333333333333</v>
      </c>
      <c r="P1482" s="1">
        <v>0.12870277784069226</v>
      </c>
      <c r="Q1482" s="1">
        <v>0.41917291864194883</v>
      </c>
      <c r="R1482" s="2">
        <f t="shared" ref="R1482:R1545" si="95">C1482+D1482+E1482+F1482+G1482+H1482+I1482+Q1482</f>
        <v>21.17449815840757</v>
      </c>
      <c r="S1482" s="2">
        <f t="shared" si="94"/>
        <v>1.9970977089876005</v>
      </c>
      <c r="T1482" s="2">
        <f t="shared" ref="T1482:T1545" si="96">L1482+M1482+N1482+O1482</f>
        <v>2.7031093335067977</v>
      </c>
      <c r="U1482" s="2">
        <f t="shared" ref="U1482:U1545" si="97">R1482+S1482+T1482</f>
        <v>25.874705200901968</v>
      </c>
    </row>
    <row r="1483" spans="1:21" x14ac:dyDescent="0.25">
      <c r="A1483">
        <v>3290629</v>
      </c>
      <c r="B1483">
        <v>4</v>
      </c>
      <c r="C1483" s="1">
        <f>0.432644475096281*(10.3/7.3)</f>
        <v>0.61044357445091713</v>
      </c>
      <c r="D1483" s="1">
        <f>0.566601968703508*(10.3/7.3)</f>
        <v>0.79945209282823737</v>
      </c>
      <c r="E1483" s="1">
        <f>1.98635102273784*(10.3/7.3)</f>
        <v>2.8026596622191415</v>
      </c>
      <c r="F1483" s="1">
        <f>4.62935876144927*(38.9/42.5)</f>
        <v>4.2372248428323891</v>
      </c>
      <c r="G1483" s="1">
        <v>0.20278743857065584</v>
      </c>
      <c r="H1483" s="1">
        <v>1.6150485503178462</v>
      </c>
      <c r="I1483" s="1">
        <v>3.5002577245404085</v>
      </c>
      <c r="J1483" s="1">
        <v>1.296086587642351E-2</v>
      </c>
      <c r="K1483" s="1">
        <v>1.7036627138321401</v>
      </c>
      <c r="L1483" s="1">
        <v>1.666363376182364</v>
      </c>
      <c r="M1483" s="1">
        <v>7.3685850675564643E-2</v>
      </c>
      <c r="N1483" s="1">
        <v>0.55787661217615037</v>
      </c>
      <c r="O1483" s="1">
        <v>0.19841333333333333</v>
      </c>
      <c r="P1483" s="1">
        <v>0.11555003526545099</v>
      </c>
      <c r="Q1483" s="1">
        <v>0.32408951369739553</v>
      </c>
      <c r="R1483" s="2">
        <f t="shared" si="95"/>
        <v>14.09196339945699</v>
      </c>
      <c r="S1483" s="2">
        <f t="shared" si="94"/>
        <v>1.8321736149740147</v>
      </c>
      <c r="T1483" s="2">
        <f t="shared" si="96"/>
        <v>2.4963391723674122</v>
      </c>
      <c r="U1483" s="2">
        <f t="shared" si="97"/>
        <v>18.420476186798417</v>
      </c>
    </row>
    <row r="1484" spans="1:21" x14ac:dyDescent="0.25">
      <c r="A1484">
        <v>3290645</v>
      </c>
      <c r="B1484">
        <v>48</v>
      </c>
      <c r="C1484" s="1">
        <f>0.493205574089189*(10.3/7.3)</f>
        <v>0.6958927963176228</v>
      </c>
      <c r="D1484" s="1">
        <f>0.625788602814899*(10.3/7.3)</f>
        <v>0.88296200123198099</v>
      </c>
      <c r="E1484" s="1">
        <f>2.19392703340138*(10.3/7.3)</f>
        <v>3.0955408827444066</v>
      </c>
      <c r="F1484" s="1">
        <f>5.26351562489677*(38.9/42.5)</f>
        <v>4.8176648896113967</v>
      </c>
      <c r="G1484" s="1">
        <v>0.23549674840976967</v>
      </c>
      <c r="H1484" s="1">
        <v>2.4974314566762899</v>
      </c>
      <c r="I1484" s="1">
        <v>4.0356151007562611</v>
      </c>
      <c r="J1484" s="1">
        <v>1.2927981047305069E-2</v>
      </c>
      <c r="K1484" s="1">
        <v>1.7350319388858306</v>
      </c>
      <c r="L1484" s="1">
        <v>1.7274966940874943</v>
      </c>
      <c r="M1484" s="1">
        <v>7.7208357849685591E-2</v>
      </c>
      <c r="N1484" s="1">
        <v>0.89183209299944899</v>
      </c>
      <c r="O1484" s="1">
        <v>0.20079333333333327</v>
      </c>
      <c r="P1484" s="1">
        <v>0.11857768541612496</v>
      </c>
      <c r="Q1484" s="1">
        <v>0.37636466640830818</v>
      </c>
      <c r="R1484" s="2">
        <f t="shared" si="95"/>
        <v>16.636968542156033</v>
      </c>
      <c r="S1484" s="2">
        <f t="shared" si="94"/>
        <v>1.8665376053492606</v>
      </c>
      <c r="T1484" s="2">
        <f t="shared" si="96"/>
        <v>2.8973304782699625</v>
      </c>
      <c r="U1484" s="2">
        <f t="shared" si="97"/>
        <v>21.400836625775256</v>
      </c>
    </row>
    <row r="1485" spans="1:21" x14ac:dyDescent="0.25">
      <c r="A1485">
        <v>3290653</v>
      </c>
      <c r="B1485">
        <v>3</v>
      </c>
      <c r="C1485" s="1">
        <f>0.596641126530936*(10.3/7.3)</f>
        <v>0.84183611003680003</v>
      </c>
      <c r="D1485" s="1">
        <f>0.74681720124734*(10.3/7.3)</f>
        <v>1.0537283798421371</v>
      </c>
      <c r="E1485" s="1">
        <f>2.61729163097145*(10.3/7.3)</f>
        <v>3.6928909313706808</v>
      </c>
      <c r="F1485" s="1">
        <f>6.40827579343305*(38.9/42.5)</f>
        <v>5.8654571379893081</v>
      </c>
      <c r="G1485" s="1">
        <v>0.29119846998982007</v>
      </c>
      <c r="H1485" s="1">
        <v>2.5857124356967573</v>
      </c>
      <c r="I1485" s="1">
        <v>4.9482559257641689</v>
      </c>
      <c r="J1485" s="1">
        <v>1.449195523215314E-2</v>
      </c>
      <c r="K1485" s="1">
        <v>1.8974651656837604</v>
      </c>
      <c r="L1485" s="1">
        <v>1.8995580157979439</v>
      </c>
      <c r="M1485" s="1">
        <v>8.7887737162859234E-2</v>
      </c>
      <c r="N1485" s="1">
        <v>0.90814565997694119</v>
      </c>
      <c r="O1485" s="1">
        <v>0.22593777777777779</v>
      </c>
      <c r="P1485" s="1">
        <v>0.12843129340298029</v>
      </c>
      <c r="Q1485" s="1">
        <v>0.46538568263213304</v>
      </c>
      <c r="R1485" s="2">
        <f t="shared" si="95"/>
        <v>19.744465073321805</v>
      </c>
      <c r="S1485" s="2">
        <f t="shared" si="94"/>
        <v>2.040388414318894</v>
      </c>
      <c r="T1485" s="2">
        <f t="shared" si="96"/>
        <v>3.1215291907155223</v>
      </c>
      <c r="U1485" s="2">
        <f t="shared" si="97"/>
        <v>24.906382678356223</v>
      </c>
    </row>
    <row r="1486" spans="1:21" x14ac:dyDescent="0.25">
      <c r="A1486">
        <v>3290837</v>
      </c>
      <c r="B1486">
        <v>55</v>
      </c>
      <c r="C1486" s="1">
        <f>1.50817175548868*(10.3/7.3)</f>
        <v>2.1279683673333425</v>
      </c>
      <c r="D1486" s="1">
        <f>1.78789695262387*(10.3/7.3)</f>
        <v>2.522649124935056</v>
      </c>
      <c r="E1486" s="1">
        <f>6.31899571063024*(10.3/7.3)</f>
        <v>8.9158432629440316</v>
      </c>
      <c r="F1486" s="1">
        <f>13.5687095210219*(38.9/42.5)</f>
        <v>12.419360008652943</v>
      </c>
      <c r="G1486" s="1">
        <v>0.53738183516946325</v>
      </c>
      <c r="H1486" s="1">
        <v>5.0688180267601135</v>
      </c>
      <c r="I1486" s="1">
        <v>10.421693889194149</v>
      </c>
      <c r="J1486" s="1">
        <v>2.534195582129254E-2</v>
      </c>
      <c r="K1486" s="1">
        <v>3.1485917103162997</v>
      </c>
      <c r="L1486" s="1">
        <v>6.0460551580220869</v>
      </c>
      <c r="M1486" s="1">
        <v>0.12363528448150832</v>
      </c>
      <c r="N1486" s="1">
        <v>1.2287510094735736</v>
      </c>
      <c r="O1486" s="1">
        <v>0.31939975757575756</v>
      </c>
      <c r="P1486" s="1">
        <v>0.25166029510190124</v>
      </c>
      <c r="Q1486" s="1">
        <v>0.85882941693749948</v>
      </c>
      <c r="R1486" s="2">
        <f t="shared" si="95"/>
        <v>42.872543931926593</v>
      </c>
      <c r="S1486" s="2">
        <f t="shared" si="94"/>
        <v>3.4255939612394934</v>
      </c>
      <c r="T1486" s="2">
        <f t="shared" si="96"/>
        <v>7.717841209552927</v>
      </c>
      <c r="U1486" s="2">
        <f t="shared" si="97"/>
        <v>54.015979102719015</v>
      </c>
    </row>
    <row r="1487" spans="1:21" x14ac:dyDescent="0.25">
      <c r="A1487">
        <v>3290845</v>
      </c>
      <c r="B1487">
        <v>45</v>
      </c>
      <c r="C1487" s="1">
        <f>1.88744291574646*(10.3/7.3)</f>
        <v>2.6631043879710359</v>
      </c>
      <c r="D1487" s="1">
        <f>2.20891139744*(10.3/7.3)</f>
        <v>3.1166832046071224</v>
      </c>
      <c r="E1487" s="1">
        <f>7.81195228649046*(10.3/7.3)</f>
        <v>11.022343637102985</v>
      </c>
      <c r="F1487" s="1">
        <f>16.7663466550973*(38.9/42.5)</f>
        <v>15.346138467842003</v>
      </c>
      <c r="G1487" s="1">
        <v>0.66191202862035514</v>
      </c>
      <c r="H1487" s="1">
        <v>3.7693423736758169</v>
      </c>
      <c r="I1487" s="1">
        <v>12.931117996245389</v>
      </c>
      <c r="J1487" s="1">
        <v>3.0647057750302218E-2</v>
      </c>
      <c r="K1487" s="1">
        <v>3.596196401360384</v>
      </c>
      <c r="L1487" s="1">
        <v>7.9990173246697758</v>
      </c>
      <c r="M1487" s="1">
        <v>0.15098291482466694</v>
      </c>
      <c r="N1487" s="1">
        <v>1.4869923163321577</v>
      </c>
      <c r="O1487" s="1">
        <v>0.37379199999999996</v>
      </c>
      <c r="P1487" s="1">
        <v>0.27333094354938758</v>
      </c>
      <c r="Q1487" s="1">
        <v>1.0578502740507969</v>
      </c>
      <c r="R1487" s="2">
        <f t="shared" si="95"/>
        <v>50.568492370115514</v>
      </c>
      <c r="S1487" s="2">
        <f t="shared" si="94"/>
        <v>3.900174402660074</v>
      </c>
      <c r="T1487" s="2">
        <f t="shared" si="96"/>
        <v>10.0107845558266</v>
      </c>
      <c r="U1487" s="2">
        <f t="shared" si="97"/>
        <v>64.479451328602195</v>
      </c>
    </row>
    <row r="1488" spans="1:21" x14ac:dyDescent="0.25">
      <c r="A1488">
        <v>3290853</v>
      </c>
      <c r="B1488">
        <v>16</v>
      </c>
      <c r="C1488" s="1">
        <f>1.48951178434183*(10.3/7.3)</f>
        <v>2.1016399148932732</v>
      </c>
      <c r="D1488" s="1">
        <f>1.73603415432757*(10.3/7.3)</f>
        <v>2.4494728478868422</v>
      </c>
      <c r="E1488" s="1">
        <f>6.14297065629608*(10.3/7.3)</f>
        <v>8.6674791451848741</v>
      </c>
      <c r="F1488" s="1">
        <f>13.0749708300759*(38.9/42.5)</f>
        <v>11.967443889175394</v>
      </c>
      <c r="G1488" s="1">
        <v>0.51087144990706701</v>
      </c>
      <c r="H1488" s="1">
        <v>3.0939281517827193</v>
      </c>
      <c r="I1488" s="1">
        <v>10.084204014317951</v>
      </c>
      <c r="J1488" s="1">
        <v>2.5997048619537649E-2</v>
      </c>
      <c r="K1488" s="1">
        <v>3.172600811259052</v>
      </c>
      <c r="L1488" s="1">
        <v>8.1207559133143956</v>
      </c>
      <c r="M1488" s="1">
        <v>0.12857333065100518</v>
      </c>
      <c r="N1488" s="1">
        <v>1.4378739334690884</v>
      </c>
      <c r="O1488" s="1">
        <v>0.31166333333333335</v>
      </c>
      <c r="P1488" s="1">
        <v>0.2441874674635702</v>
      </c>
      <c r="Q1488" s="1">
        <v>0.81646122131266485</v>
      </c>
      <c r="R1488" s="2">
        <f t="shared" si="95"/>
        <v>39.691500634460787</v>
      </c>
      <c r="S1488" s="2">
        <f t="shared" si="94"/>
        <v>3.4427853273421598</v>
      </c>
      <c r="T1488" s="2">
        <f t="shared" si="96"/>
        <v>9.9988665107678223</v>
      </c>
      <c r="U1488" s="2">
        <f t="shared" si="97"/>
        <v>53.133152472570771</v>
      </c>
    </row>
    <row r="1489" spans="1:21" x14ac:dyDescent="0.25">
      <c r="A1489">
        <v>3291453</v>
      </c>
      <c r="B1489">
        <v>1</v>
      </c>
      <c r="C1489" s="1">
        <f>8.27252082646698*(10.3/7.3)</f>
        <v>11.672186919535603</v>
      </c>
      <c r="D1489" s="1">
        <f>8.0768526410135*(10.3/7.3)</f>
        <v>11.396107151019052</v>
      </c>
      <c r="E1489" s="1">
        <f>29.1082169974304*(10.3/7.3)</f>
        <v>41.070497955278576</v>
      </c>
      <c r="F1489" s="1">
        <f>48.7383774627595*(38.9/42.5)</f>
        <v>44.60995019532573</v>
      </c>
      <c r="G1489" s="1">
        <v>1.2135057831926548</v>
      </c>
      <c r="H1489" s="1">
        <v>5.0655016927606331</v>
      </c>
      <c r="I1489" s="1">
        <v>38.956268167042147</v>
      </c>
      <c r="J1489" s="1">
        <v>3.1450626248502554E-2</v>
      </c>
      <c r="K1489" s="1">
        <v>2.1929708594513491</v>
      </c>
      <c r="L1489" s="1">
        <v>3.0427572000567586</v>
      </c>
      <c r="M1489" s="1">
        <v>0.11395803697129069</v>
      </c>
      <c r="N1489" s="1">
        <v>1.4391743827005559</v>
      </c>
      <c r="O1489" s="1">
        <v>0.10095999999999999</v>
      </c>
      <c r="P1489" s="1">
        <v>8.3803235981902216E-2</v>
      </c>
      <c r="Q1489" s="1">
        <v>1.9393928041891764</v>
      </c>
      <c r="R1489" s="2">
        <f t="shared" si="95"/>
        <v>155.92341066834356</v>
      </c>
      <c r="S1489" s="2">
        <f t="shared" si="94"/>
        <v>2.3082247216817535</v>
      </c>
      <c r="T1489" s="2">
        <f t="shared" si="96"/>
        <v>4.6968496197286047</v>
      </c>
      <c r="U1489" s="2">
        <f t="shared" si="97"/>
        <v>162.9284850097539</v>
      </c>
    </row>
    <row r="1490" spans="1:21" x14ac:dyDescent="0.25">
      <c r="A1490">
        <v>3302825</v>
      </c>
      <c r="B1490">
        <v>50</v>
      </c>
      <c r="C1490" s="1">
        <f>0.785272126213881*(10.3/7.3)</f>
        <v>1.107986698630544</v>
      </c>
      <c r="D1490" s="1">
        <f>1.03485146189417*(10.3/7.3)</f>
        <v>1.4601328845904027</v>
      </c>
      <c r="E1490" s="1">
        <f>3.63382619662894*(10.3/7.3)</f>
        <v>5.1271794281202903</v>
      </c>
      <c r="F1490" s="1">
        <f>8.11865659267088*(38.9/42.5)</f>
        <v>7.430958622468169</v>
      </c>
      <c r="G1490" s="1">
        <v>0.34190391322776753</v>
      </c>
      <c r="H1490" s="1">
        <v>1.6492709185180088</v>
      </c>
      <c r="I1490" s="1">
        <v>6.078408243231598</v>
      </c>
      <c r="J1490" s="1">
        <v>1.914550508071957E-2</v>
      </c>
      <c r="K1490" s="1">
        <v>2.3174605040191416</v>
      </c>
      <c r="L1490" s="1">
        <v>2.5146993282192116</v>
      </c>
      <c r="M1490" s="1">
        <v>0.11285320298517433</v>
      </c>
      <c r="N1490" s="1">
        <v>0.7231754255635261</v>
      </c>
      <c r="O1490" s="1">
        <v>0.30335679999999998</v>
      </c>
      <c r="P1490" s="1">
        <v>0.14793662581389516</v>
      </c>
      <c r="Q1490" s="1">
        <v>0.54642177913113554</v>
      </c>
      <c r="R1490" s="2">
        <f t="shared" si="95"/>
        <v>23.74226248791792</v>
      </c>
      <c r="S1490" s="2">
        <f t="shared" si="94"/>
        <v>2.484542634913756</v>
      </c>
      <c r="T1490" s="2">
        <f t="shared" si="96"/>
        <v>3.654084756767912</v>
      </c>
      <c r="U1490" s="2">
        <f t="shared" si="97"/>
        <v>29.880889879599586</v>
      </c>
    </row>
    <row r="1491" spans="1:21" x14ac:dyDescent="0.25">
      <c r="A1491">
        <v>3302833</v>
      </c>
      <c r="B1491">
        <v>69</v>
      </c>
      <c r="C1491" s="1">
        <f>0.653767139076295*(10.3/7.3)</f>
        <v>0.92243856609395014</v>
      </c>
      <c r="D1491" s="1">
        <f>0.858065038213231*(10.3/7.3)</f>
        <v>1.2106945059720926</v>
      </c>
      <c r="E1491" s="1">
        <f>3.01291489096647*(10.3/7.3)</f>
        <v>4.2510990927335079</v>
      </c>
      <c r="F1491" s="1">
        <f>6.76489328834821*(38.9/42.5)</f>
        <v>6.1918670333351846</v>
      </c>
      <c r="G1491" s="1">
        <v>0.28610273778986589</v>
      </c>
      <c r="H1491" s="1">
        <v>1.4988825934956287</v>
      </c>
      <c r="I1491" s="1">
        <v>5.0757750537349198</v>
      </c>
      <c r="J1491" s="1">
        <v>1.7310672441078659E-2</v>
      </c>
      <c r="K1491" s="1">
        <v>2.0441835543539177</v>
      </c>
      <c r="L1491" s="1">
        <v>2.0724025979205991</v>
      </c>
      <c r="M1491" s="1">
        <v>9.5319268939487167E-2</v>
      </c>
      <c r="N1491" s="1">
        <v>0.64026625135116044</v>
      </c>
      <c r="O1491" s="1">
        <v>0.25081198067632854</v>
      </c>
      <c r="P1491" s="1">
        <v>0.13471260634422424</v>
      </c>
      <c r="Q1491" s="1">
        <v>0.45724181838563083</v>
      </c>
      <c r="R1491" s="2">
        <f t="shared" si="95"/>
        <v>19.894101401540777</v>
      </c>
      <c r="S1491" s="2">
        <f t="shared" si="94"/>
        <v>2.1962068331392204</v>
      </c>
      <c r="T1491" s="2">
        <f t="shared" si="96"/>
        <v>3.0588000988875752</v>
      </c>
      <c r="U1491" s="2">
        <f t="shared" si="97"/>
        <v>25.149108333567575</v>
      </c>
    </row>
    <row r="1492" spans="1:21" x14ac:dyDescent="0.25">
      <c r="A1492">
        <v>3302841</v>
      </c>
      <c r="B1492">
        <v>17</v>
      </c>
      <c r="C1492" s="1">
        <f>0.813311869409994*(10.3/7.3)</f>
        <v>1.1475496239620464</v>
      </c>
      <c r="D1492" s="1">
        <f>1.06383931424581*(10.3/7.3)</f>
        <v>1.5010335529769592</v>
      </c>
      <c r="E1492" s="1">
        <f>3.73286203331752*(10.3/7.3)</f>
        <v>5.2669149237219788</v>
      </c>
      <c r="F1492" s="1">
        <f>8.54035223909227*(38.9/42.5)</f>
        <v>7.8169341670750443</v>
      </c>
      <c r="G1492" s="1">
        <v>0.36762402534780553</v>
      </c>
      <c r="H1492" s="1">
        <v>2.0877509882797463</v>
      </c>
      <c r="I1492" s="1">
        <v>6.4373234312779255</v>
      </c>
      <c r="J1492" s="1">
        <v>2.6345802528347846E-2</v>
      </c>
      <c r="K1492" s="1">
        <v>2.2586228491455991</v>
      </c>
      <c r="L1492" s="1">
        <v>2.4593227253023349</v>
      </c>
      <c r="M1492" s="1">
        <v>0.10641810437872447</v>
      </c>
      <c r="N1492" s="1">
        <v>0.77833829517352071</v>
      </c>
      <c r="O1492" s="1">
        <v>0.29930352941176475</v>
      </c>
      <c r="P1492" s="1">
        <v>0.14564921952544788</v>
      </c>
      <c r="Q1492" s="1">
        <v>0.58752698114946156</v>
      </c>
      <c r="R1492" s="2">
        <f t="shared" si="95"/>
        <v>25.21265769379097</v>
      </c>
      <c r="S1492" s="2">
        <f t="shared" si="94"/>
        <v>2.4306178711993947</v>
      </c>
      <c r="T1492" s="2">
        <f t="shared" si="96"/>
        <v>3.6433826542663446</v>
      </c>
      <c r="U1492" s="2">
        <f t="shared" si="97"/>
        <v>31.286658219256708</v>
      </c>
    </row>
    <row r="1493" spans="1:21" x14ac:dyDescent="0.25">
      <c r="A1493">
        <v>3302857</v>
      </c>
      <c r="B1493">
        <v>1</v>
      </c>
      <c r="C1493" s="1">
        <f>0.546854650685564*(10.3/7.3)</f>
        <v>0.77158943863853557</v>
      </c>
      <c r="D1493" s="1">
        <f>0.720209362467414*(10.3/7.3)</f>
        <v>1.016185812796488</v>
      </c>
      <c r="E1493" s="1">
        <f>2.52359958923*(10.3/7.3)</f>
        <v>3.5606953108313655</v>
      </c>
      <c r="F1493" s="1">
        <f>5.91430677868382*(38.9/42.5)</f>
        <v>5.4133302044894274</v>
      </c>
      <c r="G1493" s="1">
        <v>0.26061941179265768</v>
      </c>
      <c r="H1493" s="1">
        <v>5.3946921210700109</v>
      </c>
      <c r="I1493" s="1">
        <v>4.4694094603155374</v>
      </c>
      <c r="J1493" s="1">
        <v>1.4375974329455836E-2</v>
      </c>
      <c r="K1493" s="1">
        <v>1.8938232155214316</v>
      </c>
      <c r="L1493" s="1">
        <v>1.8203189307916743</v>
      </c>
      <c r="M1493" s="1">
        <v>8.168648786626162E-2</v>
      </c>
      <c r="N1493" s="1">
        <v>0.61802150400230027</v>
      </c>
      <c r="O1493" s="1">
        <v>0.22266666666666665</v>
      </c>
      <c r="P1493" s="1">
        <v>0.13074182817854801</v>
      </c>
      <c r="Q1493" s="1">
        <v>0.41651504167776388</v>
      </c>
      <c r="R1493" s="2">
        <f t="shared" si="95"/>
        <v>21.303036801611782</v>
      </c>
      <c r="S1493" s="2">
        <f t="shared" si="94"/>
        <v>2.0389410180294356</v>
      </c>
      <c r="T1493" s="2">
        <f t="shared" si="96"/>
        <v>2.7426935893269024</v>
      </c>
      <c r="U1493" s="2">
        <f t="shared" si="97"/>
        <v>26.08467140896812</v>
      </c>
    </row>
    <row r="1494" spans="1:21" x14ac:dyDescent="0.25">
      <c r="A1494">
        <v>3302873</v>
      </c>
      <c r="B1494">
        <v>21</v>
      </c>
      <c r="C1494" s="1">
        <f>0.566503713152537*(10.3/7.3)</f>
        <v>0.79931345828371714</v>
      </c>
      <c r="D1494" s="1">
        <f>0.720960426972105*(10.3/7.3)</f>
        <v>1.0172455339469424</v>
      </c>
      <c r="E1494" s="1">
        <f>2.52606199944715*(10.3/7.3)</f>
        <v>3.5641696704528347</v>
      </c>
      <c r="F1494" s="1">
        <f>6.12067464872734*(38.9/42.5)</f>
        <v>5.6022175020116141</v>
      </c>
      <c r="G1494" s="1">
        <v>0.27634067529686301</v>
      </c>
      <c r="H1494" s="1">
        <v>3.9045695787743337</v>
      </c>
      <c r="I1494" s="1">
        <v>4.696747848304379</v>
      </c>
      <c r="J1494" s="1">
        <v>1.4403454125216871E-2</v>
      </c>
      <c r="K1494" s="1">
        <v>1.902349988457098</v>
      </c>
      <c r="L1494" s="1">
        <v>1.8715264143556463</v>
      </c>
      <c r="M1494" s="1">
        <v>8.611717551472331E-2</v>
      </c>
      <c r="N1494" s="1">
        <v>1.3272834759450463</v>
      </c>
      <c r="O1494" s="1">
        <v>0.22616380952380952</v>
      </c>
      <c r="P1494" s="1">
        <v>0.13134861990718155</v>
      </c>
      <c r="Q1494" s="1">
        <v>0.44164034864795504</v>
      </c>
      <c r="R1494" s="2">
        <f t="shared" si="95"/>
        <v>20.302244615718639</v>
      </c>
      <c r="S1494" s="2">
        <f t="shared" si="94"/>
        <v>2.0481020624894963</v>
      </c>
      <c r="T1494" s="2">
        <f t="shared" si="96"/>
        <v>3.5110908753392254</v>
      </c>
      <c r="U1494" s="2">
        <f t="shared" si="97"/>
        <v>25.861437553547358</v>
      </c>
    </row>
    <row r="1495" spans="1:21" x14ac:dyDescent="0.25">
      <c r="A1495">
        <v>3302881</v>
      </c>
      <c r="B1495">
        <v>36</v>
      </c>
      <c r="C1495" s="1">
        <f>0.484424622707728*(10.3/7.3)</f>
        <v>0.68350323477939678</v>
      </c>
      <c r="D1495" s="1">
        <f>0.622594011045325*(10.3/7.3)</f>
        <v>0.87845456352970452</v>
      </c>
      <c r="E1495" s="1">
        <f>2.17635420492928*(10.3/7.3)</f>
        <v>3.0707463439413156</v>
      </c>
      <c r="F1495" s="1">
        <f>5.48253351628832*(38.9/42.5)</f>
        <v>5.0181306772615439</v>
      </c>
      <c r="G1495" s="1">
        <v>0.25600870974285161</v>
      </c>
      <c r="H1495" s="1">
        <v>1.9110120195793303</v>
      </c>
      <c r="I1495" s="1">
        <v>4.2231650922399986</v>
      </c>
      <c r="J1495" s="1">
        <v>1.2665491748212698E-2</v>
      </c>
      <c r="K1495" s="1">
        <v>1.6821075150013816</v>
      </c>
      <c r="L1495" s="1">
        <v>1.679739918190484</v>
      </c>
      <c r="M1495" s="1">
        <v>7.6340011110502579E-2</v>
      </c>
      <c r="N1495" s="1">
        <v>0.72581441218068321</v>
      </c>
      <c r="O1495" s="1">
        <v>0.1932088888888889</v>
      </c>
      <c r="P1495" s="1">
        <v>0.11400646886470978</v>
      </c>
      <c r="Q1495" s="1">
        <v>0.40914633977168113</v>
      </c>
      <c r="R1495" s="2">
        <f t="shared" si="95"/>
        <v>16.450166980845822</v>
      </c>
      <c r="S1495" s="2">
        <f t="shared" si="94"/>
        <v>1.8087794756143041</v>
      </c>
      <c r="T1495" s="2">
        <f t="shared" si="96"/>
        <v>2.6751032303705586</v>
      </c>
      <c r="U1495" s="2">
        <f t="shared" si="97"/>
        <v>20.934049686830686</v>
      </c>
    </row>
    <row r="1496" spans="1:21" x14ac:dyDescent="0.25">
      <c r="A1496">
        <v>3303065</v>
      </c>
      <c r="B1496">
        <v>11</v>
      </c>
      <c r="C1496" s="1">
        <f>1.40057503430897*(10.3/7.3)</f>
        <v>1.9761538155318279</v>
      </c>
      <c r="D1496" s="1">
        <f>1.66472474826139*(10.3/7.3)</f>
        <v>2.348858206450998</v>
      </c>
      <c r="E1496" s="1">
        <f>5.88317380375368*(10.3/7.3)</f>
        <v>8.3009164628305339</v>
      </c>
      <c r="F1496" s="1">
        <f>12.6206019647602*(38.9/42.5)</f>
        <v>11.551562739509912</v>
      </c>
      <c r="G1496" s="1">
        <v>0.49955549140914568</v>
      </c>
      <c r="H1496" s="1">
        <v>4.7757041821246409</v>
      </c>
      <c r="I1496" s="1">
        <v>9.6835583715865017</v>
      </c>
      <c r="J1496" s="1">
        <v>2.4268039524920185E-2</v>
      </c>
      <c r="K1496" s="1">
        <v>3.0836520151139464</v>
      </c>
      <c r="L1496" s="1">
        <v>5.6091427393922926</v>
      </c>
      <c r="M1496" s="1">
        <v>0.12088905423187456</v>
      </c>
      <c r="N1496" s="1">
        <v>1.3433922040001676</v>
      </c>
      <c r="O1496" s="1">
        <v>0.3154860606060606</v>
      </c>
      <c r="P1496" s="1">
        <v>0.24974664525706664</v>
      </c>
      <c r="Q1496" s="1">
        <v>0.79837635613333868</v>
      </c>
      <c r="R1496" s="2">
        <f t="shared" si="95"/>
        <v>39.934685625576897</v>
      </c>
      <c r="S1496" s="2">
        <f t="shared" si="94"/>
        <v>3.3576666998959332</v>
      </c>
      <c r="T1496" s="2">
        <f t="shared" si="96"/>
        <v>7.3889100582303948</v>
      </c>
      <c r="U1496" s="2">
        <f t="shared" si="97"/>
        <v>50.681262383703228</v>
      </c>
    </row>
    <row r="1497" spans="1:21" x14ac:dyDescent="0.25">
      <c r="A1497">
        <v>3303073</v>
      </c>
      <c r="B1497">
        <v>48</v>
      </c>
      <c r="C1497" s="1">
        <f>1.5592626370012*(10.3/7.3)</f>
        <v>2.2000555015222418</v>
      </c>
      <c r="D1497" s="1">
        <f>1.8345145135301*(10.3/7.3)</f>
        <v>2.588424587583567</v>
      </c>
      <c r="E1497" s="1">
        <f>6.48625277797372*(10.3/7.3)</f>
        <v>9.1518361113875759</v>
      </c>
      <c r="F1497" s="1">
        <f>13.9199349085058*(38.9/42.5)</f>
        <v>12.740834539785297</v>
      </c>
      <c r="G1497" s="1">
        <v>0.55008775085816441</v>
      </c>
      <c r="H1497" s="1">
        <v>3.4028730888272363</v>
      </c>
      <c r="I1497" s="1">
        <v>10.717005836788653</v>
      </c>
      <c r="J1497" s="1">
        <v>2.703893194209131E-2</v>
      </c>
      <c r="K1497" s="1">
        <v>3.2630593650994246</v>
      </c>
      <c r="L1497" s="1">
        <v>6.5429520990902255</v>
      </c>
      <c r="M1497" s="1">
        <v>0.13465085062958759</v>
      </c>
      <c r="N1497" s="1">
        <v>1.4233166288979404</v>
      </c>
      <c r="O1497" s="1">
        <v>0.33069222222222228</v>
      </c>
      <c r="P1497" s="1">
        <v>0.25409871460429545</v>
      </c>
      <c r="Q1497" s="1">
        <v>0.8791356748874789</v>
      </c>
      <c r="R1497" s="2">
        <f t="shared" si="95"/>
        <v>42.230253091640215</v>
      </c>
      <c r="S1497" s="2">
        <f t="shared" si="94"/>
        <v>3.544197011645811</v>
      </c>
      <c r="T1497" s="2">
        <f t="shared" si="96"/>
        <v>8.4316118008399759</v>
      </c>
      <c r="U1497" s="2">
        <f t="shared" si="97"/>
        <v>54.206061904126003</v>
      </c>
    </row>
    <row r="1498" spans="1:21" x14ac:dyDescent="0.25">
      <c r="A1498">
        <v>3303081</v>
      </c>
      <c r="B1498">
        <v>37</v>
      </c>
      <c r="C1498" s="1">
        <f>1.5504854158677*(10.3/7.3)</f>
        <v>2.1876712032105954</v>
      </c>
      <c r="D1498" s="1">
        <f>1.81143814926129*(10.3/7.3)</f>
        <v>2.5558647859440096</v>
      </c>
      <c r="E1498" s="1">
        <f>6.40800570877202*(10.3/7.3)</f>
        <v>9.041432712376956</v>
      </c>
      <c r="F1498" s="1">
        <f>13.6918202211955*(38.9/42.5)</f>
        <v>12.532042508341311</v>
      </c>
      <c r="G1498" s="1">
        <v>0.53761145161577339</v>
      </c>
      <c r="H1498" s="1">
        <v>3.1702781339470425</v>
      </c>
      <c r="I1498" s="1">
        <v>10.558190912862182</v>
      </c>
      <c r="J1498" s="1">
        <v>2.6900306284207681E-2</v>
      </c>
      <c r="K1498" s="1">
        <v>3.2706328137516389</v>
      </c>
      <c r="L1498" s="1">
        <v>7.1980305147118209</v>
      </c>
      <c r="M1498" s="1">
        <v>0.13433604093373069</v>
      </c>
      <c r="N1498" s="1">
        <v>1.4635593947305312</v>
      </c>
      <c r="O1498" s="1">
        <v>0.32343207207207209</v>
      </c>
      <c r="P1498" s="1">
        <v>0.25417735931886015</v>
      </c>
      <c r="Q1498" s="1">
        <v>0.85919638386082586</v>
      </c>
      <c r="R1498" s="2">
        <f t="shared" si="95"/>
        <v>41.442288092158698</v>
      </c>
      <c r="S1498" s="2">
        <f t="shared" si="94"/>
        <v>3.551710479354707</v>
      </c>
      <c r="T1498" s="2">
        <f t="shared" si="96"/>
        <v>9.1193580224481536</v>
      </c>
      <c r="U1498" s="2">
        <f t="shared" si="97"/>
        <v>54.113356593961555</v>
      </c>
    </row>
    <row r="1499" spans="1:21" x14ac:dyDescent="0.25">
      <c r="A1499">
        <v>3303657</v>
      </c>
      <c r="B1499">
        <v>1</v>
      </c>
      <c r="C1499" s="1">
        <f>8.89783896308485*(10.3/7.3)</f>
        <v>12.554485112297805</v>
      </c>
      <c r="D1499" s="1">
        <f>9.27937792217512*(10.3/7.3)</f>
        <v>13.09282090389093</v>
      </c>
      <c r="E1499" s="1">
        <f>33.3180587308675*(10.3/7.3)</f>
        <v>47.010411633963734</v>
      </c>
      <c r="F1499" s="1">
        <f>55.9010452447956*(38.9/42.5)</f>
        <v>51.165897882883463</v>
      </c>
      <c r="G1499" s="1">
        <v>1.4420440076135528</v>
      </c>
      <c r="H1499" s="1">
        <v>5.2872013689689901</v>
      </c>
      <c r="I1499" s="1">
        <v>43.337464934454609</v>
      </c>
      <c r="J1499" s="1">
        <v>3.4904594106878316E-2</v>
      </c>
      <c r="K1499" s="1">
        <v>2.2308082044497768</v>
      </c>
      <c r="L1499" s="1">
        <v>3.2724724238892202</v>
      </c>
      <c r="M1499" s="1">
        <v>0.11906212844905337</v>
      </c>
      <c r="N1499" s="1">
        <v>1.5590806094140182</v>
      </c>
      <c r="O1499" s="1">
        <v>0.10447999999999999</v>
      </c>
      <c r="P1499" s="1">
        <v>8.6726067344381028E-2</v>
      </c>
      <c r="Q1499" s="1">
        <v>2.3046365418481463</v>
      </c>
      <c r="R1499" s="2">
        <f t="shared" si="95"/>
        <v>176.1949623859212</v>
      </c>
      <c r="S1499" s="2">
        <f t="shared" si="94"/>
        <v>2.352438865901036</v>
      </c>
      <c r="T1499" s="2">
        <f t="shared" si="96"/>
        <v>5.0550951617522912</v>
      </c>
      <c r="U1499" s="2">
        <f t="shared" si="97"/>
        <v>183.60249641357453</v>
      </c>
    </row>
    <row r="1500" spans="1:21" x14ac:dyDescent="0.25">
      <c r="A1500">
        <v>331237</v>
      </c>
      <c r="B1500">
        <v>9</v>
      </c>
      <c r="C1500" s="1">
        <f>0.894873180506012*(10.3/7.3)</f>
        <v>1.2626292820838252</v>
      </c>
      <c r="D1500" s="1">
        <f>1.20974157974084*(10.3/7.3)</f>
        <v>1.7068956536069368</v>
      </c>
      <c r="E1500" s="1">
        <f>4.21689658596851*(10.3/7.3)</f>
        <v>5.9498677856816009</v>
      </c>
      <c r="F1500" s="1">
        <f>10.7630674140812*(38.9/42.5)</f>
        <v>9.8513722919472801</v>
      </c>
      <c r="G1500" s="1">
        <v>0.51118886410765141</v>
      </c>
      <c r="H1500" s="1">
        <v>3.2182283300912053</v>
      </c>
      <c r="I1500" s="1">
        <v>8.2032105859180326</v>
      </c>
      <c r="J1500" s="1">
        <v>1.8479623829770135E-2</v>
      </c>
      <c r="K1500" s="1">
        <v>2.2533749258752973</v>
      </c>
      <c r="L1500" s="1">
        <v>1.0921371853657722</v>
      </c>
      <c r="M1500" s="1">
        <v>5.845203527399237E-2</v>
      </c>
      <c r="N1500" s="1">
        <v>0.62141104791682711</v>
      </c>
      <c r="O1500" s="1">
        <v>6.2287407407407409E-2</v>
      </c>
      <c r="P1500" s="1">
        <v>5.4220253907772159E-2</v>
      </c>
      <c r="Q1500" s="1">
        <v>0.8169685042816357</v>
      </c>
      <c r="R1500" s="2">
        <f t="shared" si="95"/>
        <v>31.520361297718168</v>
      </c>
      <c r="S1500" s="2">
        <f t="shared" si="94"/>
        <v>2.3260748036128396</v>
      </c>
      <c r="T1500" s="2">
        <f t="shared" si="96"/>
        <v>1.834287675963999</v>
      </c>
      <c r="U1500" s="2">
        <f t="shared" si="97"/>
        <v>35.680723777295007</v>
      </c>
    </row>
    <row r="1501" spans="1:21" x14ac:dyDescent="0.25">
      <c r="A1501">
        <v>331261</v>
      </c>
      <c r="B1501">
        <v>14</v>
      </c>
      <c r="C1501" s="1">
        <f>0.991718149425038*(10.3/7.3)</f>
        <v>1.3992735532983409</v>
      </c>
      <c r="D1501" s="1">
        <f>1.43523711457834*(10.3/7.3)</f>
        <v>2.0250605863228697</v>
      </c>
      <c r="E1501" s="1">
        <f>4.98489082159272*(10.3/7.3)</f>
        <v>7.0334760907404137</v>
      </c>
      <c r="F1501" s="1">
        <f>12.9394478978848*(38.9/42.5)</f>
        <v>11.843400546534571</v>
      </c>
      <c r="G1501" s="1">
        <v>0.62755278230988598</v>
      </c>
      <c r="H1501" s="1">
        <v>4.3857426530789274</v>
      </c>
      <c r="I1501" s="1">
        <v>9.731919841269546</v>
      </c>
      <c r="J1501" s="1">
        <v>1.8599174411818749E-2</v>
      </c>
      <c r="K1501" s="1">
        <v>2.317080828071759</v>
      </c>
      <c r="L1501" s="1">
        <v>1.1494277335327385</v>
      </c>
      <c r="M1501" s="1">
        <v>6.0927859884399437E-2</v>
      </c>
      <c r="N1501" s="1">
        <v>0.64768513058193444</v>
      </c>
      <c r="O1501" s="1">
        <v>6.3769904761904764E-2</v>
      </c>
      <c r="P1501" s="1">
        <v>5.6205172107741508E-2</v>
      </c>
      <c r="Q1501" s="1">
        <v>1.0029382365683122</v>
      </c>
      <c r="R1501" s="2">
        <f t="shared" si="95"/>
        <v>38.049364290122867</v>
      </c>
      <c r="S1501" s="2">
        <f t="shared" si="94"/>
        <v>2.3918851745913194</v>
      </c>
      <c r="T1501" s="2">
        <f t="shared" si="96"/>
        <v>1.9218106287609771</v>
      </c>
      <c r="U1501" s="2">
        <f t="shared" si="97"/>
        <v>42.36306009347517</v>
      </c>
    </row>
    <row r="1502" spans="1:21" x14ac:dyDescent="0.25">
      <c r="A1502">
        <v>331269</v>
      </c>
      <c r="B1502">
        <v>40</v>
      </c>
      <c r="C1502" s="1">
        <f>1.31475129682941*(10.3/7.3)</f>
        <v>1.8550600489510851</v>
      </c>
      <c r="D1502" s="1">
        <f>2.01862079156779*(10.3/7.3)</f>
        <v>2.8481909798833183</v>
      </c>
      <c r="E1502" s="1">
        <f>6.97083896794289*(10.3/7.3)</f>
        <v>9.835567310933115</v>
      </c>
      <c r="F1502" s="1">
        <f>19.3451769885992*(38.9/42.5)</f>
        <v>17.706526702506128</v>
      </c>
      <c r="G1502" s="1">
        <v>0.98854852742905686</v>
      </c>
      <c r="H1502" s="1">
        <v>2.4416356385446849</v>
      </c>
      <c r="I1502" s="1">
        <v>14.54602187115969</v>
      </c>
      <c r="J1502" s="1">
        <v>2.1991464272723506E-2</v>
      </c>
      <c r="K1502" s="1">
        <v>2.7013185174230059</v>
      </c>
      <c r="L1502" s="1">
        <v>1.3985343781207946</v>
      </c>
      <c r="M1502" s="1">
        <v>7.2915597104474678E-2</v>
      </c>
      <c r="N1502" s="1">
        <v>0.74937370844387452</v>
      </c>
      <c r="O1502" s="1">
        <v>7.5030666666666704E-2</v>
      </c>
      <c r="P1502" s="1">
        <v>6.4487710468253731E-2</v>
      </c>
      <c r="Q1502" s="1">
        <v>1.5798720757998632</v>
      </c>
      <c r="R1502" s="2">
        <f t="shared" si="95"/>
        <v>51.80142315520694</v>
      </c>
      <c r="S1502" s="2">
        <f t="shared" si="94"/>
        <v>2.7877976921639833</v>
      </c>
      <c r="T1502" s="2">
        <f t="shared" si="96"/>
        <v>2.2958543503358104</v>
      </c>
      <c r="U1502" s="2">
        <f t="shared" si="97"/>
        <v>56.885075197706733</v>
      </c>
    </row>
    <row r="1503" spans="1:21" x14ac:dyDescent="0.25">
      <c r="A1503">
        <v>331285</v>
      </c>
      <c r="B1503">
        <v>33</v>
      </c>
      <c r="C1503" s="1">
        <f>0.785298679000998*(10.3/7.3)</f>
        <v>1.1080241635219565</v>
      </c>
      <c r="D1503" s="1">
        <f>1.29094904221828*(10.3/7.3)</f>
        <v>1.8214760458696329</v>
      </c>
      <c r="E1503" s="1">
        <f>4.41329569160074*(10.3/7.3)</f>
        <v>6.2269788525325573</v>
      </c>
      <c r="F1503" s="1">
        <f>13.9796012032105*(38.9/42.5)</f>
        <v>12.795446748350297</v>
      </c>
      <c r="G1503" s="1">
        <v>0.775537587942005</v>
      </c>
      <c r="H1503" s="1">
        <v>2.6061417860250473</v>
      </c>
      <c r="I1503" s="1">
        <v>10.631645969786753</v>
      </c>
      <c r="J1503" s="1">
        <v>1.4987509998223431E-2</v>
      </c>
      <c r="K1503" s="1">
        <v>1.9087544609987457</v>
      </c>
      <c r="L1503" s="1">
        <v>0.97889385631190695</v>
      </c>
      <c r="M1503" s="1">
        <v>5.21493602213806E-2</v>
      </c>
      <c r="N1503" s="1">
        <v>0.55546710830028501</v>
      </c>
      <c r="O1503" s="1">
        <v>5.6610909090909087E-2</v>
      </c>
      <c r="P1503" s="1">
        <v>5.0132211614497844E-2</v>
      </c>
      <c r="Q1503" s="1">
        <v>1.2394436336972685</v>
      </c>
      <c r="R1503" s="2">
        <f t="shared" si="95"/>
        <v>37.204694787725522</v>
      </c>
      <c r="S1503" s="2">
        <f t="shared" si="94"/>
        <v>1.973874182611467</v>
      </c>
      <c r="T1503" s="2">
        <f t="shared" si="96"/>
        <v>1.6431212339244816</v>
      </c>
      <c r="U1503" s="2">
        <f t="shared" si="97"/>
        <v>40.821690204261472</v>
      </c>
    </row>
    <row r="1504" spans="1:21" x14ac:dyDescent="0.25">
      <c r="A1504">
        <v>331293</v>
      </c>
      <c r="B1504">
        <v>43</v>
      </c>
      <c r="C1504" s="1">
        <f>1.22715558183704*(10.3/7.3)</f>
        <v>1.7314660949207537</v>
      </c>
      <c r="D1504" s="1">
        <f>1.8027202902322*(10.3/7.3)</f>
        <v>2.5435642451221456</v>
      </c>
      <c r="E1504" s="1">
        <f>6.27359655650485*(10.3/7.3)</f>
        <v>8.8517869221917724</v>
      </c>
      <c r="F1504" s="1">
        <f>15.4675290832407*(38.9/42.5)</f>
        <v>14.157338384425046</v>
      </c>
      <c r="G1504" s="1">
        <v>0.72246175220169784</v>
      </c>
      <c r="H1504" s="1">
        <v>2.3231907507508116</v>
      </c>
      <c r="I1504" s="1">
        <v>11.47453220459704</v>
      </c>
      <c r="J1504" s="1">
        <v>1.9971279897869697E-2</v>
      </c>
      <c r="K1504" s="1">
        <v>2.4351289175649389</v>
      </c>
      <c r="L1504" s="1">
        <v>1.3018138701867366</v>
      </c>
      <c r="M1504" s="1">
        <v>6.7457842604135565E-2</v>
      </c>
      <c r="N1504" s="1">
        <v>0.75164869226472175</v>
      </c>
      <c r="O1504" s="1">
        <v>7.1209550387596909E-2</v>
      </c>
      <c r="P1504" s="1">
        <v>6.1329500239907048E-2</v>
      </c>
      <c r="Q1504" s="1">
        <v>1.1546192386785137</v>
      </c>
      <c r="R1504" s="2">
        <f t="shared" si="95"/>
        <v>42.958959592887787</v>
      </c>
      <c r="S1504" s="2">
        <f t="shared" si="94"/>
        <v>2.5164296977027156</v>
      </c>
      <c r="T1504" s="2">
        <f t="shared" si="96"/>
        <v>2.1921299554431908</v>
      </c>
      <c r="U1504" s="2">
        <f t="shared" si="97"/>
        <v>47.667519246033692</v>
      </c>
    </row>
    <row r="1505" spans="1:21" x14ac:dyDescent="0.25">
      <c r="A1505">
        <v>331301</v>
      </c>
      <c r="B1505">
        <v>63</v>
      </c>
      <c r="C1505" s="1">
        <f>1.49179880118464*(10.3/7.3)</f>
        <v>2.1048668016714713</v>
      </c>
      <c r="D1505" s="1">
        <f>2.21036773074692*(10.3/7.3)</f>
        <v>3.1187380310538719</v>
      </c>
      <c r="E1505" s="1">
        <f>7.69455033175736*(10.3/7.3)</f>
        <v>10.856694303712439</v>
      </c>
      <c r="F1505" s="1">
        <f>18.7238176962159*(38.9/42.5)</f>
        <v>17.137800197242296</v>
      </c>
      <c r="G1505" s="1">
        <v>0.86626869828111741</v>
      </c>
      <c r="H1505" s="1">
        <v>1.7877428940579254</v>
      </c>
      <c r="I1505" s="1">
        <v>13.823122357635512</v>
      </c>
      <c r="J1505" s="1">
        <v>2.3979758833293421E-2</v>
      </c>
      <c r="K1505" s="1">
        <v>2.7745022043056169</v>
      </c>
      <c r="L1505" s="1">
        <v>1.5063753847292378</v>
      </c>
      <c r="M1505" s="1">
        <v>7.7129719328043703E-2</v>
      </c>
      <c r="N1505" s="1">
        <v>0.81340977105069556</v>
      </c>
      <c r="O1505" s="1">
        <v>7.9839999999999967E-2</v>
      </c>
      <c r="P1505" s="1">
        <v>6.8529842064951635E-2</v>
      </c>
      <c r="Q1505" s="1">
        <v>1.3844476913168555</v>
      </c>
      <c r="R1505" s="2">
        <f t="shared" si="95"/>
        <v>51.079680974971488</v>
      </c>
      <c r="S1505" s="2">
        <f t="shared" si="94"/>
        <v>2.867011805203862</v>
      </c>
      <c r="T1505" s="2">
        <f t="shared" si="96"/>
        <v>2.4767548751079769</v>
      </c>
      <c r="U1505" s="2">
        <f t="shared" si="97"/>
        <v>56.423447655283326</v>
      </c>
    </row>
    <row r="1506" spans="1:21" x14ac:dyDescent="0.25">
      <c r="A1506">
        <v>331317</v>
      </c>
      <c r="B1506">
        <v>15</v>
      </c>
      <c r="C1506" s="1">
        <f>1.09429346268771*(10.3/7.3)</f>
        <v>1.544003104888144</v>
      </c>
      <c r="D1506" s="1">
        <f>1.50998534581182*(10.3/7.3)</f>
        <v>2.1305272687481822</v>
      </c>
      <c r="E1506" s="1">
        <f>5.29590969479199*(10.3/7.3)</f>
        <v>7.4723109392270484</v>
      </c>
      <c r="F1506" s="1">
        <f>11.6342523143145*(38.9/42.5)</f>
        <v>10.648762706513736</v>
      </c>
      <c r="G1506" s="1">
        <v>0.48541661926920093</v>
      </c>
      <c r="H1506" s="1">
        <v>4.8687264346957004</v>
      </c>
      <c r="I1506" s="1">
        <v>8.5645369005365808</v>
      </c>
      <c r="J1506" s="1">
        <v>2.9536658473746591E-2</v>
      </c>
      <c r="K1506" s="1">
        <v>2.3506520034632947</v>
      </c>
      <c r="L1506" s="1">
        <v>1.2919328082296293</v>
      </c>
      <c r="M1506" s="1">
        <v>6.5482705122066456E-2</v>
      </c>
      <c r="N1506" s="1">
        <v>0.81657830657374741</v>
      </c>
      <c r="O1506" s="1">
        <v>6.9368888888888883E-2</v>
      </c>
      <c r="P1506" s="1">
        <v>6.0388006102348839E-2</v>
      </c>
      <c r="Q1506" s="1">
        <v>0.77577998513342705</v>
      </c>
      <c r="R1506" s="2">
        <f t="shared" si="95"/>
        <v>36.490063959012019</v>
      </c>
      <c r="S1506" s="2">
        <f t="shared" si="94"/>
        <v>2.4405766680393901</v>
      </c>
      <c r="T1506" s="2">
        <f t="shared" si="96"/>
        <v>2.2433627088143324</v>
      </c>
      <c r="U1506" s="2">
        <f t="shared" si="97"/>
        <v>41.174003335865741</v>
      </c>
    </row>
    <row r="1507" spans="1:21" x14ac:dyDescent="0.25">
      <c r="A1507">
        <v>3315053</v>
      </c>
      <c r="B1507">
        <v>52</v>
      </c>
      <c r="C1507" s="1">
        <f>0.459460236932381*(10.3/7.3)</f>
        <v>0.64827951238404391</v>
      </c>
      <c r="D1507" s="1">
        <f>0.610540576360461*(10.3/7.3)</f>
        <v>0.86144766253599347</v>
      </c>
      <c r="E1507" s="1">
        <f>2.14410484179238*(10.3/7.3)</f>
        <v>3.0252438178714445</v>
      </c>
      <c r="F1507" s="1">
        <f>4.74040403158953*(38.9/42.5)</f>
        <v>4.3388639253843033</v>
      </c>
      <c r="G1507" s="1">
        <v>0.19782050814608032</v>
      </c>
      <c r="H1507" s="1">
        <v>1.0281516277585794</v>
      </c>
      <c r="I1507" s="1">
        <v>3.5330803407252684</v>
      </c>
      <c r="J1507" s="1">
        <v>1.3015537924833825E-2</v>
      </c>
      <c r="K1507" s="1">
        <v>1.6979004437190235</v>
      </c>
      <c r="L1507" s="1">
        <v>1.6095682738156103</v>
      </c>
      <c r="M1507" s="1">
        <v>8.047659189941668E-2</v>
      </c>
      <c r="N1507" s="1">
        <v>0.51291402994425817</v>
      </c>
      <c r="O1507" s="1">
        <v>0.19752512820512819</v>
      </c>
      <c r="P1507" s="1">
        <v>0.11230950561941831</v>
      </c>
      <c r="Q1507" s="1">
        <v>0.31615149703711504</v>
      </c>
      <c r="R1507" s="2">
        <f t="shared" si="95"/>
        <v>13.949038891842827</v>
      </c>
      <c r="S1507" s="2">
        <f t="shared" si="94"/>
        <v>1.8232254872632756</v>
      </c>
      <c r="T1507" s="2">
        <f t="shared" si="96"/>
        <v>2.4004840238644132</v>
      </c>
      <c r="U1507" s="2">
        <f t="shared" si="97"/>
        <v>18.172748402970516</v>
      </c>
    </row>
    <row r="1508" spans="1:21" x14ac:dyDescent="0.25">
      <c r="A1508">
        <v>3315061</v>
      </c>
      <c r="B1508">
        <v>65</v>
      </c>
      <c r="C1508" s="1">
        <f>0.682512840069033*(10.3/7.3)</f>
        <v>0.96299756886452614</v>
      </c>
      <c r="D1508" s="1">
        <f>0.896781394020212*(10.3/7.3)</f>
        <v>1.2653216929326285</v>
      </c>
      <c r="E1508" s="1">
        <f>3.14922728599047*(10.3/7.3)</f>
        <v>4.4434302802331285</v>
      </c>
      <c r="F1508" s="1">
        <f>7.04471464084756*(38.9/42.5)</f>
        <v>6.4479858712698848</v>
      </c>
      <c r="G1508" s="1">
        <v>0.29689665670488652</v>
      </c>
      <c r="H1508" s="1">
        <v>1.4858115922148489</v>
      </c>
      <c r="I1508" s="1">
        <v>5.2802022943042743</v>
      </c>
      <c r="J1508" s="1">
        <v>1.7191503222514736E-2</v>
      </c>
      <c r="K1508" s="1">
        <v>2.1013597280667615</v>
      </c>
      <c r="L1508" s="1">
        <v>2.1586994177102374</v>
      </c>
      <c r="M1508" s="1">
        <v>0.10021109127026412</v>
      </c>
      <c r="N1508" s="1">
        <v>0.65241270896334858</v>
      </c>
      <c r="O1508" s="1">
        <v>0.26280451282051281</v>
      </c>
      <c r="P1508" s="1">
        <v>0.13696730728488044</v>
      </c>
      <c r="Q1508" s="1">
        <v>0.47449237372927122</v>
      </c>
      <c r="R1508" s="2">
        <f t="shared" si="95"/>
        <v>20.657138330253446</v>
      </c>
      <c r="S1508" s="2">
        <f t="shared" si="94"/>
        <v>2.2555185385741567</v>
      </c>
      <c r="T1508" s="2">
        <f t="shared" si="96"/>
        <v>3.1741277307643627</v>
      </c>
      <c r="U1508" s="2">
        <f t="shared" si="97"/>
        <v>26.086784599591965</v>
      </c>
    </row>
    <row r="1509" spans="1:21" x14ac:dyDescent="0.25">
      <c r="A1509">
        <v>3315069</v>
      </c>
      <c r="B1509">
        <v>67</v>
      </c>
      <c r="C1509" s="1">
        <f>0.691844757654951*(10.3/7.3)</f>
        <v>0.97616452107479457</v>
      </c>
      <c r="D1509" s="1">
        <f>0.90439183951288*(10.3/7.3)</f>
        <v>1.2760597187647489</v>
      </c>
      <c r="E1509" s="1">
        <f>3.17532748490315*(10.3/7.3)</f>
        <v>4.4802565882880101</v>
      </c>
      <c r="F1509" s="1">
        <f>7.17043570986964*(38.9/42.5)</f>
        <v>6.5630576262100924</v>
      </c>
      <c r="G1509" s="1">
        <v>0.30475766798695919</v>
      </c>
      <c r="H1509" s="1">
        <v>1.6675806445582619</v>
      </c>
      <c r="I1509" s="1">
        <v>5.3923144498529956</v>
      </c>
      <c r="J1509" s="1">
        <v>1.9035392043277772E-2</v>
      </c>
      <c r="K1509" s="1">
        <v>2.1191516892814044</v>
      </c>
      <c r="L1509" s="1">
        <v>2.1557763972121413</v>
      </c>
      <c r="M1509" s="1">
        <v>9.9476799130834528E-2</v>
      </c>
      <c r="N1509" s="1">
        <v>0.67486482145325122</v>
      </c>
      <c r="O1509" s="1">
        <v>0.25723781094527359</v>
      </c>
      <c r="P1509" s="1">
        <v>0.14040298351820463</v>
      </c>
      <c r="Q1509" s="1">
        <v>0.48705563376911382</v>
      </c>
      <c r="R1509" s="2">
        <f t="shared" si="95"/>
        <v>21.147246850504974</v>
      </c>
      <c r="S1509" s="2">
        <f t="shared" si="94"/>
        <v>2.278590064842887</v>
      </c>
      <c r="T1509" s="2">
        <f t="shared" si="96"/>
        <v>3.1873558287415005</v>
      </c>
      <c r="U1509" s="2">
        <f t="shared" si="97"/>
        <v>26.613192744089361</v>
      </c>
    </row>
    <row r="1510" spans="1:21" x14ac:dyDescent="0.25">
      <c r="A1510">
        <v>3315077</v>
      </c>
      <c r="B1510">
        <v>3</v>
      </c>
      <c r="C1510" s="1">
        <f>0.922045532656286*(10.3/7.3)</f>
        <v>1.3009683542958559</v>
      </c>
      <c r="D1510" s="1">
        <f>1.20715122235894*(10.3/7.3)</f>
        <v>1.7032407657941231</v>
      </c>
      <c r="E1510" s="1">
        <f>4.23371176509333*(10.3/7.3)</f>
        <v>5.9735933123919613</v>
      </c>
      <c r="F1510" s="1">
        <f>9.77999907306295*(38.9/42.5)</f>
        <v>8.9515756221682103</v>
      </c>
      <c r="G1510" s="1">
        <v>0.42488796652899324</v>
      </c>
      <c r="H1510" s="1">
        <v>2.3366921933293914</v>
      </c>
      <c r="I1510" s="1">
        <v>7.3831565316428795</v>
      </c>
      <c r="J1510" s="1">
        <v>3.2092764417094938E-2</v>
      </c>
      <c r="K1510" s="1">
        <v>2.3188588538366144</v>
      </c>
      <c r="L1510" s="1">
        <v>2.7489964623066858</v>
      </c>
      <c r="M1510" s="1">
        <v>0.11495594720657847</v>
      </c>
      <c r="N1510" s="1">
        <v>0.95716108912359366</v>
      </c>
      <c r="O1510" s="1">
        <v>0.35322666666666663</v>
      </c>
      <c r="P1510" s="1">
        <v>0.14285483077869091</v>
      </c>
      <c r="Q1510" s="1">
        <v>0.67904469536597156</v>
      </c>
      <c r="R1510" s="2">
        <f t="shared" si="95"/>
        <v>28.753159441517383</v>
      </c>
      <c r="S1510" s="2">
        <f t="shared" si="94"/>
        <v>2.4938064490324003</v>
      </c>
      <c r="T1510" s="2">
        <f t="shared" si="96"/>
        <v>4.1743401653035246</v>
      </c>
      <c r="U1510" s="2">
        <f t="shared" si="97"/>
        <v>35.421306055853307</v>
      </c>
    </row>
    <row r="1511" spans="1:21" x14ac:dyDescent="0.25">
      <c r="A1511">
        <v>3315109</v>
      </c>
      <c r="B1511">
        <v>62</v>
      </c>
      <c r="C1511" s="1">
        <f>0.510912027155905*(10.3/7.3)</f>
        <v>0.72087587393230479</v>
      </c>
      <c r="D1511" s="1">
        <f>0.662891249122354*(10.3/7.3)</f>
        <v>0.93531231040551321</v>
      </c>
      <c r="E1511" s="1">
        <f>2.31362401179645*(10.3/7.3)</f>
        <v>3.2644284002059489</v>
      </c>
      <c r="F1511" s="1">
        <f>5.96262998502376*(38.9/42.5)</f>
        <v>5.4575601509982192</v>
      </c>
      <c r="G1511" s="1">
        <v>0.28379338849431029</v>
      </c>
      <c r="H1511" s="1">
        <v>2.480695849092684</v>
      </c>
      <c r="I1511" s="1">
        <v>4.5988390862961426</v>
      </c>
      <c r="J1511" s="1">
        <v>1.329546302431126E-2</v>
      </c>
      <c r="K1511" s="1">
        <v>1.7778731905588747</v>
      </c>
      <c r="L1511" s="1">
        <v>1.7549876300514911</v>
      </c>
      <c r="M1511" s="1">
        <v>7.8984674225379359E-2</v>
      </c>
      <c r="N1511" s="1">
        <v>0.67737149541663899</v>
      </c>
      <c r="O1511" s="1">
        <v>0.20894021505376345</v>
      </c>
      <c r="P1511" s="1">
        <v>0.12328624176547258</v>
      </c>
      <c r="Q1511" s="1">
        <v>0.45355107750232287</v>
      </c>
      <c r="R1511" s="2">
        <f t="shared" si="95"/>
        <v>18.195056136927445</v>
      </c>
      <c r="S1511" s="2">
        <f t="shared" si="94"/>
        <v>1.9144548953486584</v>
      </c>
      <c r="T1511" s="2">
        <f t="shared" si="96"/>
        <v>2.7202840147472731</v>
      </c>
      <c r="U1511" s="2">
        <f t="shared" si="97"/>
        <v>22.829795047023374</v>
      </c>
    </row>
    <row r="1512" spans="1:21" x14ac:dyDescent="0.25">
      <c r="A1512">
        <v>3315301</v>
      </c>
      <c r="B1512">
        <v>15</v>
      </c>
      <c r="C1512" s="1">
        <f>1.34349136978575*(10.3/7.3)</f>
        <v>1.89561111079359</v>
      </c>
      <c r="D1512" s="1">
        <f>1.59099172367926*(10.3/7.3)</f>
        <v>2.2448239388899154</v>
      </c>
      <c r="E1512" s="1">
        <f>5.62376387188647*(10.3/7.3)</f>
        <v>7.934899709648028</v>
      </c>
      <c r="F1512" s="1">
        <f>12.0549971929114*(38.9/42.5)</f>
        <v>11.033868018923648</v>
      </c>
      <c r="G1512" s="1">
        <v>0.47640384422161625</v>
      </c>
      <c r="H1512" s="1">
        <v>3.4177132508653512</v>
      </c>
      <c r="I1512" s="1">
        <v>9.2595759549857579</v>
      </c>
      <c r="J1512" s="1">
        <v>2.4415960179535467E-2</v>
      </c>
      <c r="K1512" s="1">
        <v>3.0300286071355682</v>
      </c>
      <c r="L1512" s="1">
        <v>5.6105744799428487</v>
      </c>
      <c r="M1512" s="1">
        <v>0.12256553272427383</v>
      </c>
      <c r="N1512" s="1">
        <v>1.4353448729040914</v>
      </c>
      <c r="O1512" s="1">
        <v>0.31125688888888892</v>
      </c>
      <c r="P1512" s="1">
        <v>0.23960709232212951</v>
      </c>
      <c r="Q1512" s="1">
        <v>0.761376006746876</v>
      </c>
      <c r="R1512" s="2">
        <f t="shared" si="95"/>
        <v>37.024271835074785</v>
      </c>
      <c r="S1512" s="2">
        <f t="shared" si="94"/>
        <v>3.2940516596372329</v>
      </c>
      <c r="T1512" s="2">
        <f t="shared" si="96"/>
        <v>7.4797417744601029</v>
      </c>
      <c r="U1512" s="2">
        <f t="shared" si="97"/>
        <v>47.79806526917212</v>
      </c>
    </row>
    <row r="1513" spans="1:21" x14ac:dyDescent="0.25">
      <c r="A1513">
        <v>3315309</v>
      </c>
      <c r="B1513">
        <v>11</v>
      </c>
      <c r="C1513" s="1">
        <f>1.37403431664012*(10.3/7.3)</f>
        <v>1.9387059536155171</v>
      </c>
      <c r="D1513" s="1">
        <f>1.61184312885953*(10.3/7.3)</f>
        <v>2.2742444146922143</v>
      </c>
      <c r="E1513" s="1">
        <f>5.70053376904622*(10.3/7.3)</f>
        <v>8.0432188796131641</v>
      </c>
      <c r="F1513" s="1">
        <f>12.194576443102*(38.9/42.5)</f>
        <v>11.161624085568681</v>
      </c>
      <c r="G1513" s="1">
        <v>0.47987174677058952</v>
      </c>
      <c r="H1513" s="1">
        <v>2.9133352905379954</v>
      </c>
      <c r="I1513" s="1">
        <v>9.3927752436021077</v>
      </c>
      <c r="J1513" s="1">
        <v>2.4720133597962001E-2</v>
      </c>
      <c r="K1513" s="1">
        <v>3.0932637755508066</v>
      </c>
      <c r="L1513" s="1">
        <v>6.0085685182110176</v>
      </c>
      <c r="M1513" s="1">
        <v>0.12119695848949918</v>
      </c>
      <c r="N1513" s="1">
        <v>1.52236660742018</v>
      </c>
      <c r="O1513" s="1">
        <v>0.29992242424242427</v>
      </c>
      <c r="P1513" s="1">
        <v>0.24780106670909971</v>
      </c>
      <c r="Q1513" s="1">
        <v>0.7669183167566509</v>
      </c>
      <c r="R1513" s="2">
        <f t="shared" si="95"/>
        <v>36.970693931156923</v>
      </c>
      <c r="S1513" s="2">
        <f t="shared" si="94"/>
        <v>3.365784975857868</v>
      </c>
      <c r="T1513" s="2">
        <f t="shared" si="96"/>
        <v>7.95205450836312</v>
      </c>
      <c r="U1513" s="2">
        <f t="shared" si="97"/>
        <v>48.288533415377913</v>
      </c>
    </row>
    <row r="1514" spans="1:21" x14ac:dyDescent="0.25">
      <c r="A1514">
        <v>3315893</v>
      </c>
      <c r="B1514">
        <v>20</v>
      </c>
      <c r="C1514" s="1">
        <f>8.26933449201288*(10.3/7.3)</f>
        <v>11.667691132566116</v>
      </c>
      <c r="D1514" s="1">
        <f>8.51670017388118*(10.3/7.3)</f>
        <v>12.016713943969341</v>
      </c>
      <c r="E1514" s="1">
        <f>30.6058255484123*(10.3/7.3)</f>
        <v>43.183562075157056</v>
      </c>
      <c r="F1514" s="1">
        <f>51.0712486479482*(38.9/42.5)</f>
        <v>46.745213468357314</v>
      </c>
      <c r="G1514" s="1">
        <v>1.2938160465630966</v>
      </c>
      <c r="H1514" s="1">
        <v>4.2070872646538824</v>
      </c>
      <c r="I1514" s="1">
        <v>39.789428885751576</v>
      </c>
      <c r="J1514" s="1">
        <v>3.3430080801244932E-2</v>
      </c>
      <c r="K1514" s="1">
        <v>2.1886440879405535</v>
      </c>
      <c r="L1514" s="1">
        <v>3.4746830129888204</v>
      </c>
      <c r="M1514" s="1">
        <v>0.11706774615998523</v>
      </c>
      <c r="N1514" s="1">
        <v>1.5379269930616457</v>
      </c>
      <c r="O1514" s="1">
        <v>0.10222400000000001</v>
      </c>
      <c r="P1514" s="1">
        <v>8.5362849265949073E-2</v>
      </c>
      <c r="Q1514" s="1">
        <v>2.067742540169335</v>
      </c>
      <c r="R1514" s="2">
        <f t="shared" si="95"/>
        <v>160.97125535718774</v>
      </c>
      <c r="S1514" s="2">
        <f t="shared" si="94"/>
        <v>2.3074370180077475</v>
      </c>
      <c r="T1514" s="2">
        <f t="shared" si="96"/>
        <v>5.231901752210451</v>
      </c>
      <c r="U1514" s="2">
        <f t="shared" si="97"/>
        <v>168.51059412740597</v>
      </c>
    </row>
    <row r="1515" spans="1:21" x14ac:dyDescent="0.25">
      <c r="A1515">
        <v>3327289</v>
      </c>
      <c r="B1515">
        <v>63</v>
      </c>
      <c r="C1515" s="1">
        <f>0.533559290850286*(10.3/7.3)</f>
        <v>0.75283023229560841</v>
      </c>
      <c r="D1515" s="1">
        <f>0.705562278918294*(10.3/7.3)</f>
        <v>0.99551937984362016</v>
      </c>
      <c r="E1515" s="1">
        <f>2.47786786729183*(10.3/7.3)</f>
        <v>3.4961697305624422</v>
      </c>
      <c r="F1515" s="1">
        <f>5.50112394002486*(38.9/42.5)</f>
        <v>5.0351463827521696</v>
      </c>
      <c r="G1515" s="1">
        <v>0.23034180128699622</v>
      </c>
      <c r="H1515" s="1">
        <v>1.1779834743642288</v>
      </c>
      <c r="I1515" s="1">
        <v>4.1093634207035095</v>
      </c>
      <c r="J1515" s="1">
        <v>1.4153576570625125E-2</v>
      </c>
      <c r="K1515" s="1">
        <v>1.8028525431644999</v>
      </c>
      <c r="L1515" s="1">
        <v>1.6988382082991416</v>
      </c>
      <c r="M1515" s="1">
        <v>8.4726333818239033E-2</v>
      </c>
      <c r="N1515" s="1">
        <v>0.54709298928845895</v>
      </c>
      <c r="O1515" s="1">
        <v>0.20761312169312168</v>
      </c>
      <c r="P1515" s="1">
        <v>0.12040455153079804</v>
      </c>
      <c r="Q1515" s="1">
        <v>0.36812616644040513</v>
      </c>
      <c r="R1515" s="2">
        <f t="shared" si="95"/>
        <v>16.165480588248982</v>
      </c>
      <c r="S1515" s="2">
        <f t="shared" si="94"/>
        <v>1.9374106712659231</v>
      </c>
      <c r="T1515" s="2">
        <f t="shared" si="96"/>
        <v>2.5382706530989614</v>
      </c>
      <c r="U1515" s="2">
        <f t="shared" si="97"/>
        <v>20.641161912613867</v>
      </c>
    </row>
    <row r="1516" spans="1:21" x14ac:dyDescent="0.25">
      <c r="A1516">
        <v>3327297</v>
      </c>
      <c r="B1516">
        <v>65</v>
      </c>
      <c r="C1516" s="1">
        <f>0.541768770691514*(10.3/7.3)</f>
        <v>0.76441347097569756</v>
      </c>
      <c r="D1516" s="1">
        <f>0.711555889347627*(10.3/7.3)</f>
        <v>1.0039761178466517</v>
      </c>
      <c r="E1516" s="1">
        <f>2.49897646350098*(10.3/7.3)</f>
        <v>3.525953092337001</v>
      </c>
      <c r="F1516" s="1">
        <f>5.58196812638026*(38.9/42.5)</f>
        <v>5.1091425909692303</v>
      </c>
      <c r="G1516" s="1">
        <v>0.23489173562202487</v>
      </c>
      <c r="H1516" s="1">
        <v>1.2493474410664629</v>
      </c>
      <c r="I1516" s="1">
        <v>4.1831524206304662</v>
      </c>
      <c r="J1516" s="1">
        <v>1.4774574362403151E-2</v>
      </c>
      <c r="K1516" s="1">
        <v>1.840515177089552</v>
      </c>
      <c r="L1516" s="1">
        <v>1.7380964359900173</v>
      </c>
      <c r="M1516" s="1">
        <v>8.4542190593125871E-2</v>
      </c>
      <c r="N1516" s="1">
        <v>0.56636109332109785</v>
      </c>
      <c r="O1516" s="1">
        <v>0.21387158974358966</v>
      </c>
      <c r="P1516" s="1">
        <v>0.12425552436370151</v>
      </c>
      <c r="Q1516" s="1">
        <v>0.37539775099410405</v>
      </c>
      <c r="R1516" s="2">
        <f t="shared" si="95"/>
        <v>16.446274620441638</v>
      </c>
      <c r="S1516" s="2">
        <f t="shared" si="94"/>
        <v>1.9795452758156569</v>
      </c>
      <c r="T1516" s="2">
        <f t="shared" si="96"/>
        <v>2.6028713096478309</v>
      </c>
      <c r="U1516" s="2">
        <f t="shared" si="97"/>
        <v>21.028691205905126</v>
      </c>
    </row>
    <row r="1517" spans="1:21" x14ac:dyDescent="0.25">
      <c r="A1517">
        <v>3327305</v>
      </c>
      <c r="B1517">
        <v>58</v>
      </c>
      <c r="C1517" s="1">
        <f>0.979461356731204*(10.3/7.3)</f>
        <v>1.3819797225111512</v>
      </c>
      <c r="D1517" s="1">
        <f>1.26696211147193*(10.3/7.3)</f>
        <v>1.7876314723508084</v>
      </c>
      <c r="E1517" s="1">
        <f>4.44848000011023*(10.3/7.3)</f>
        <v>6.27662246590896</v>
      </c>
      <c r="F1517" s="1">
        <f>10.1402647636639*(38.9/42.5)</f>
        <v>9.2813246895652863</v>
      </c>
      <c r="G1517" s="1">
        <v>0.43417267875473786</v>
      </c>
      <c r="H1517" s="1">
        <v>2.3492231285285254</v>
      </c>
      <c r="I1517" s="1">
        <v>7.6625886981453384</v>
      </c>
      <c r="J1517" s="1">
        <v>2.9412864223441172E-2</v>
      </c>
      <c r="K1517" s="1">
        <v>2.6422953222770915</v>
      </c>
      <c r="L1517" s="1">
        <v>3.0175293021579339</v>
      </c>
      <c r="M1517" s="1">
        <v>0.12714591937047784</v>
      </c>
      <c r="N1517" s="1">
        <v>0.91387585296869112</v>
      </c>
      <c r="O1517" s="1">
        <v>0.38076413793103436</v>
      </c>
      <c r="P1517" s="1">
        <v>0.16883912529891698</v>
      </c>
      <c r="Q1517" s="1">
        <v>0.6938832765486681</v>
      </c>
      <c r="R1517" s="2">
        <f t="shared" si="95"/>
        <v>29.867426132313476</v>
      </c>
      <c r="S1517" s="2">
        <f t="shared" si="94"/>
        <v>2.8405473117994493</v>
      </c>
      <c r="T1517" s="2">
        <f t="shared" si="96"/>
        <v>4.4393152124281379</v>
      </c>
      <c r="U1517" s="2">
        <f t="shared" si="97"/>
        <v>37.147288656541065</v>
      </c>
    </row>
    <row r="1518" spans="1:21" x14ac:dyDescent="0.25">
      <c r="A1518">
        <v>3327337</v>
      </c>
      <c r="B1518">
        <v>30</v>
      </c>
      <c r="C1518" s="1">
        <f>0.515137346473672*(10.3/7.3)</f>
        <v>0.72683762584641465</v>
      </c>
      <c r="D1518" s="1">
        <f>0.651040645737276*(10.3/7.3)</f>
        <v>0.91859159604026652</v>
      </c>
      <c r="E1518" s="1">
        <f>2.28298610485742*(10.3/7.3)</f>
        <v>3.2211995726070466</v>
      </c>
      <c r="F1518" s="1">
        <f>5.47069732734606*(38.9/42.5)</f>
        <v>5.0072970831473311</v>
      </c>
      <c r="G1518" s="1">
        <v>0.24436422822469242</v>
      </c>
      <c r="H1518" s="1">
        <v>2.5952634368990664</v>
      </c>
      <c r="I1518" s="1">
        <v>4.1982223473558857</v>
      </c>
      <c r="J1518" s="1">
        <v>1.3909504796412295E-2</v>
      </c>
      <c r="K1518" s="1">
        <v>1.7939628193993917</v>
      </c>
      <c r="L1518" s="1">
        <v>1.7618486698505009</v>
      </c>
      <c r="M1518" s="1">
        <v>8.0417684961827662E-2</v>
      </c>
      <c r="N1518" s="1">
        <v>0.74059286076384512</v>
      </c>
      <c r="O1518" s="1">
        <v>0.21460088888888887</v>
      </c>
      <c r="P1518" s="1">
        <v>0.12349944446880227</v>
      </c>
      <c r="Q1518" s="1">
        <v>0.39053643780202041</v>
      </c>
      <c r="R1518" s="2">
        <f t="shared" si="95"/>
        <v>17.302312327922721</v>
      </c>
      <c r="S1518" s="2">
        <f t="shared" si="94"/>
        <v>1.9313717686646064</v>
      </c>
      <c r="T1518" s="2">
        <f t="shared" si="96"/>
        <v>2.7974601044650629</v>
      </c>
      <c r="U1518" s="2">
        <f t="shared" si="97"/>
        <v>22.031144201052392</v>
      </c>
    </row>
    <row r="1519" spans="1:21" x14ac:dyDescent="0.25">
      <c r="A1519">
        <v>3327345</v>
      </c>
      <c r="B1519">
        <v>20</v>
      </c>
      <c r="C1519" s="1">
        <f>0.506730734072262*(10.3/7.3)</f>
        <v>0.71497624122524639</v>
      </c>
      <c r="D1519" s="1">
        <f>0.857083239385444*(10.3/7.3)</f>
        <v>1.2093092281739826</v>
      </c>
      <c r="E1519" s="1">
        <f>2.88813253786978*(10.3/7.3)</f>
        <v>4.0750363205559967</v>
      </c>
      <c r="F1519" s="1">
        <f>11.1663995238365*(38.9/42.5)</f>
        <v>10.220539799464508</v>
      </c>
      <c r="G1519" s="1">
        <v>0.67828642878947887</v>
      </c>
      <c r="H1519" s="1">
        <v>2.8771747297140111</v>
      </c>
      <c r="I1519" s="1">
        <v>8.7277660784614977</v>
      </c>
      <c r="J1519" s="1">
        <v>1.2710092534371904E-2</v>
      </c>
      <c r="K1519" s="1">
        <v>1.6777058789481305</v>
      </c>
      <c r="L1519" s="1">
        <v>1.6662843748620531</v>
      </c>
      <c r="M1519" s="1">
        <v>7.6838602710493781E-2</v>
      </c>
      <c r="N1519" s="1">
        <v>0.57432432350688389</v>
      </c>
      <c r="O1519" s="1">
        <v>0.19614400000000001</v>
      </c>
      <c r="P1519" s="1">
        <v>0.11415995890839037</v>
      </c>
      <c r="Q1519" s="1">
        <v>1.0840194067411775</v>
      </c>
      <c r="R1519" s="2">
        <f t="shared" si="95"/>
        <v>29.587108233125896</v>
      </c>
      <c r="S1519" s="2">
        <f t="shared" si="94"/>
        <v>1.8045759303908928</v>
      </c>
      <c r="T1519" s="2">
        <f t="shared" si="96"/>
        <v>2.5135913010794306</v>
      </c>
      <c r="U1519" s="2">
        <f t="shared" si="97"/>
        <v>33.905275464596222</v>
      </c>
    </row>
    <row r="1520" spans="1:21" x14ac:dyDescent="0.25">
      <c r="A1520">
        <v>3328121</v>
      </c>
      <c r="B1520">
        <v>1</v>
      </c>
      <c r="C1520" s="1">
        <f>7.79457065835141*(10.3/7.3)</f>
        <v>10.997818874112266</v>
      </c>
      <c r="D1520" s="1">
        <f>8.02267838340713*(10.3/7.3)</f>
        <v>11.319669499875813</v>
      </c>
      <c r="E1520" s="1">
        <f>28.8264894896713*(10.3/7.3)</f>
        <v>40.672992019673202</v>
      </c>
      <c r="F1520" s="1">
        <f>48.3524310365625*(38.9/42.5)</f>
        <v>44.256695701700778</v>
      </c>
      <c r="G1520" s="1">
        <v>1.2392565690428969</v>
      </c>
      <c r="H1520" s="1">
        <v>3.6278128834094718</v>
      </c>
      <c r="I1520" s="1">
        <v>37.712094416436798</v>
      </c>
      <c r="J1520" s="1">
        <v>3.2163484479715246E-2</v>
      </c>
      <c r="K1520" s="1">
        <v>2.160887136088895</v>
      </c>
      <c r="L1520" s="1">
        <v>4.4820532935397432</v>
      </c>
      <c r="M1520" s="1">
        <v>0.11633433235913054</v>
      </c>
      <c r="N1520" s="1">
        <v>1.5017041233243698</v>
      </c>
      <c r="O1520" s="1">
        <v>0.10117333333333334</v>
      </c>
      <c r="P1520" s="1">
        <v>8.4918065092825235E-2</v>
      </c>
      <c r="Q1520" s="1">
        <v>1.9805470281507505</v>
      </c>
      <c r="R1520" s="2">
        <f t="shared" si="95"/>
        <v>151.80688699240196</v>
      </c>
      <c r="S1520" s="2">
        <f t="shared" si="94"/>
        <v>2.2779686856614356</v>
      </c>
      <c r="T1520" s="2">
        <f t="shared" si="96"/>
        <v>6.2012650825565769</v>
      </c>
      <c r="U1520" s="2">
        <f t="shared" si="97"/>
        <v>160.28612076061998</v>
      </c>
    </row>
    <row r="1521" spans="1:21" x14ac:dyDescent="0.25">
      <c r="A1521">
        <v>3328129</v>
      </c>
      <c r="B1521">
        <v>11</v>
      </c>
      <c r="C1521" s="1">
        <f>9.3258216136247*(10.3/7.3)</f>
        <v>13.15835104388143</v>
      </c>
      <c r="D1521" s="1">
        <f>9.44228212352232*(10.3/7.3)</f>
        <v>13.322672037298611</v>
      </c>
      <c r="E1521" s="1">
        <f>33.9711382987846*(10.3/7.3)</f>
        <v>47.931880065408357</v>
      </c>
      <c r="F1521" s="1">
        <f>56.3132935178488*(38.9/42.5)</f>
        <v>51.543226302219267</v>
      </c>
      <c r="G1521" s="1">
        <v>1.3933711207223753</v>
      </c>
      <c r="H1521" s="1">
        <v>5.5128708740901677</v>
      </c>
      <c r="I1521" s="1">
        <v>44.182616573917613</v>
      </c>
      <c r="J1521" s="1">
        <v>3.0385967851236862E-2</v>
      </c>
      <c r="K1521" s="1">
        <v>2.0496787798699221</v>
      </c>
      <c r="L1521" s="1">
        <v>4.7971874939490231</v>
      </c>
      <c r="M1521" s="1">
        <v>0.11176857591967698</v>
      </c>
      <c r="N1521" s="1">
        <v>1.4073691991733224</v>
      </c>
      <c r="O1521" s="1">
        <v>9.6809696969696948E-2</v>
      </c>
      <c r="P1521" s="1">
        <v>7.9993472335187318E-2</v>
      </c>
      <c r="Q1521" s="1">
        <v>2.226848823072292</v>
      </c>
      <c r="R1521" s="2">
        <f t="shared" si="95"/>
        <v>179.27183684061012</v>
      </c>
      <c r="S1521" s="2">
        <f t="shared" si="94"/>
        <v>2.1600582200563463</v>
      </c>
      <c r="T1521" s="2">
        <f t="shared" si="96"/>
        <v>6.413134966011719</v>
      </c>
      <c r="U1521" s="2">
        <f t="shared" si="97"/>
        <v>187.84503002667819</v>
      </c>
    </row>
    <row r="1522" spans="1:21" x14ac:dyDescent="0.25">
      <c r="A1522">
        <v>3339517</v>
      </c>
      <c r="B1522">
        <v>43</v>
      </c>
      <c r="C1522" s="1">
        <f>0.47189891143282*(10.3/7.3)</f>
        <v>0.66582997092575913</v>
      </c>
      <c r="D1522" s="1">
        <f>0.625448528850656*(10.3/7.3)</f>
        <v>0.88248217084407699</v>
      </c>
      <c r="E1522" s="1">
        <f>2.19661450619461*(10.3/7.3)</f>
        <v>3.0993327964115691</v>
      </c>
      <c r="F1522" s="1">
        <f>4.86088035597543*(38.9/42.5)</f>
        <v>4.4491351964104551</v>
      </c>
      <c r="G1522" s="1">
        <v>0.20294463813543936</v>
      </c>
      <c r="H1522" s="1">
        <v>1.0371607685282274</v>
      </c>
      <c r="I1522" s="1">
        <v>3.6263001193265523</v>
      </c>
      <c r="J1522" s="1">
        <v>1.3398261240467014E-2</v>
      </c>
      <c r="K1522" s="1">
        <v>1.709157259665341</v>
      </c>
      <c r="L1522" s="1">
        <v>1.611457265779682</v>
      </c>
      <c r="M1522" s="1">
        <v>8.2264209853710357E-2</v>
      </c>
      <c r="N1522" s="1">
        <v>0.51627511588826491</v>
      </c>
      <c r="O1522" s="1">
        <v>0.19976930232558135</v>
      </c>
      <c r="P1522" s="1">
        <v>0.11346088005789506</v>
      </c>
      <c r="Q1522" s="1">
        <v>0.32434074587855621</v>
      </c>
      <c r="R1522" s="2">
        <f t="shared" si="95"/>
        <v>14.287526406460637</v>
      </c>
      <c r="S1522" s="2">
        <f t="shared" si="94"/>
        <v>1.8360164009637032</v>
      </c>
      <c r="T1522" s="2">
        <f t="shared" si="96"/>
        <v>2.4097658938472386</v>
      </c>
      <c r="U1522" s="2">
        <f t="shared" si="97"/>
        <v>18.533308701271579</v>
      </c>
    </row>
    <row r="1523" spans="1:21" x14ac:dyDescent="0.25">
      <c r="A1523">
        <v>3339525</v>
      </c>
      <c r="B1523">
        <v>60</v>
      </c>
      <c r="C1523" s="1">
        <f>0.518775078308774*(10.3/7.3)</f>
        <v>0.73197031596991469</v>
      </c>
      <c r="D1523" s="1">
        <f>0.682466382029768*(10.3/7.3)</f>
        <v>0.96293201848035737</v>
      </c>
      <c r="E1523" s="1">
        <f>2.39720185110003*(10.3/7.3)</f>
        <v>3.3823532967575831</v>
      </c>
      <c r="F1523" s="1">
        <f>5.32648274566212*(38.9/42.5)</f>
        <v>4.8752983248530892</v>
      </c>
      <c r="G1523" s="1">
        <v>0.22302147620228693</v>
      </c>
      <c r="H1523" s="1">
        <v>1.1513379245353774</v>
      </c>
      <c r="I1523" s="1">
        <v>3.9856509127472131</v>
      </c>
      <c r="J1523" s="1">
        <v>1.4804537908934894E-2</v>
      </c>
      <c r="K1523" s="1">
        <v>1.7933929679290099</v>
      </c>
      <c r="L1523" s="1">
        <v>1.6906913215919521</v>
      </c>
      <c r="M1523" s="1">
        <v>8.3978583113902536E-2</v>
      </c>
      <c r="N1523" s="1">
        <v>0.54646402002793193</v>
      </c>
      <c r="O1523" s="1">
        <v>0.20882311111111118</v>
      </c>
      <c r="P1523" s="1">
        <v>0.12072679821331614</v>
      </c>
      <c r="Q1523" s="1">
        <v>0.35642701676164629</v>
      </c>
      <c r="R1523" s="2">
        <f t="shared" si="95"/>
        <v>15.668991286307469</v>
      </c>
      <c r="S1523" s="2">
        <f t="shared" si="94"/>
        <v>1.9289243040512611</v>
      </c>
      <c r="T1523" s="2">
        <f t="shared" si="96"/>
        <v>2.5299570358448977</v>
      </c>
      <c r="U1523" s="2">
        <f t="shared" si="97"/>
        <v>20.127872626203629</v>
      </c>
    </row>
    <row r="1524" spans="1:21" x14ac:dyDescent="0.25">
      <c r="A1524">
        <v>3339533</v>
      </c>
      <c r="B1524">
        <v>39</v>
      </c>
      <c r="C1524" s="1">
        <f>0.636552008090672*(10.3/7.3)</f>
        <v>0.8981487237443726</v>
      </c>
      <c r="D1524" s="1">
        <f>0.832254746811525*(10.3/7.3)</f>
        <v>1.1742772455011925</v>
      </c>
      <c r="E1524" s="1">
        <f>2.92275157530551*(10.3/7.3)</f>
        <v>4.1238823596776442</v>
      </c>
      <c r="F1524" s="1">
        <f>6.56356641962132*(38.9/42.5)</f>
        <v>6.0075937346651651</v>
      </c>
      <c r="G1524" s="1">
        <v>0.27745646407935437</v>
      </c>
      <c r="H1524" s="1">
        <v>1.4974719271663202</v>
      </c>
      <c r="I1524" s="1">
        <v>4.9304368458398455</v>
      </c>
      <c r="J1524" s="1">
        <v>1.7354485766830453E-2</v>
      </c>
      <c r="K1524" s="1">
        <v>2.0253356567338412</v>
      </c>
      <c r="L1524" s="1">
        <v>1.9877573192874785</v>
      </c>
      <c r="M1524" s="1">
        <v>9.4964019385943343E-2</v>
      </c>
      <c r="N1524" s="1">
        <v>0.63569010569551243</v>
      </c>
      <c r="O1524" s="1">
        <v>0.23899076923076926</v>
      </c>
      <c r="P1524" s="1">
        <v>0.13577732141785004</v>
      </c>
      <c r="Q1524" s="1">
        <v>0.44342357272956234</v>
      </c>
      <c r="R1524" s="2">
        <f t="shared" si="95"/>
        <v>19.352690873403454</v>
      </c>
      <c r="S1524" s="2">
        <f t="shared" si="94"/>
        <v>2.1784674639185218</v>
      </c>
      <c r="T1524" s="2">
        <f t="shared" si="96"/>
        <v>2.9574022135997033</v>
      </c>
      <c r="U1524" s="2">
        <f t="shared" si="97"/>
        <v>24.488560550921679</v>
      </c>
    </row>
    <row r="1525" spans="1:21" x14ac:dyDescent="0.25">
      <c r="A1525">
        <v>3339573</v>
      </c>
      <c r="B1525">
        <v>15</v>
      </c>
      <c r="C1525" s="1">
        <f>0.485831035332053*(10.3/7.3)</f>
        <v>0.68548762519454032</v>
      </c>
      <c r="D1525" s="1">
        <f>0.62181724757941*(10.3/7.3)</f>
        <v>0.87735858220108498</v>
      </c>
      <c r="E1525" s="1">
        <f>2.17271706518795*(10.3/7.3)</f>
        <v>3.0656144892377992</v>
      </c>
      <c r="F1525" s="1">
        <f>5.54061333370865*(38.9/42.5)</f>
        <v>5.0712907925003874</v>
      </c>
      <c r="G1525" s="1">
        <v>0.26108435653717599</v>
      </c>
      <c r="H1525" s="1">
        <v>2.341193368573621</v>
      </c>
      <c r="I1525" s="1">
        <v>4.2809161077956466</v>
      </c>
      <c r="J1525" s="1">
        <v>1.26769955450656E-2</v>
      </c>
      <c r="K1525" s="1">
        <v>1.658407742376391</v>
      </c>
      <c r="L1525" s="1">
        <v>1.6472979477325373</v>
      </c>
      <c r="M1525" s="1">
        <v>7.7509231726340139E-2</v>
      </c>
      <c r="N1525" s="1">
        <v>0.61485592404990541</v>
      </c>
      <c r="O1525" s="1">
        <v>0.19715911111111112</v>
      </c>
      <c r="P1525" s="1">
        <v>0.11200913549429975</v>
      </c>
      <c r="Q1525" s="1">
        <v>0.41725810405484787</v>
      </c>
      <c r="R1525" s="2">
        <f t="shared" si="95"/>
        <v>17.000203426095105</v>
      </c>
      <c r="S1525" s="2">
        <f t="shared" si="94"/>
        <v>1.7830938734157564</v>
      </c>
      <c r="T1525" s="2">
        <f t="shared" si="96"/>
        <v>2.5368222146198938</v>
      </c>
      <c r="U1525" s="2">
        <f t="shared" si="97"/>
        <v>21.320119514130752</v>
      </c>
    </row>
    <row r="1526" spans="1:21" x14ac:dyDescent="0.25">
      <c r="A1526">
        <v>3339653</v>
      </c>
      <c r="B1526">
        <v>2</v>
      </c>
      <c r="C1526" s="1">
        <f>0.509614366753226*(10.3/7.3)</f>
        <v>0.7190449284326339</v>
      </c>
      <c r="D1526" s="1">
        <f>0.608089781208636*(10.3/7.3)</f>
        <v>0.85798969129437752</v>
      </c>
      <c r="E1526" s="1">
        <f>2.14735193109192*(10.3/7.3)</f>
        <v>3.0298253274310603</v>
      </c>
      <c r="F1526" s="1">
        <f>4.67006512312921*(38.9/42.5)</f>
        <v>4.2744831362288558</v>
      </c>
      <c r="G1526" s="1">
        <v>0.18781979429520268</v>
      </c>
      <c r="H1526" s="1">
        <v>1.3155860331364071</v>
      </c>
      <c r="I1526" s="1">
        <v>3.5870042435171974</v>
      </c>
      <c r="J1526" s="1">
        <v>1.4401433551999146E-2</v>
      </c>
      <c r="K1526" s="1">
        <v>1.860949378546505</v>
      </c>
      <c r="L1526" s="1">
        <v>2.1843969280925335</v>
      </c>
      <c r="M1526" s="1">
        <v>8.4822076976099725E-2</v>
      </c>
      <c r="N1526" s="1">
        <v>0.58341586580069582</v>
      </c>
      <c r="O1526" s="1">
        <v>0.16418666666666665</v>
      </c>
      <c r="P1526" s="1">
        <v>0.13574125901973594</v>
      </c>
      <c r="Q1526" s="1">
        <v>0.30016862101973063</v>
      </c>
      <c r="R1526" s="2">
        <f t="shared" si="95"/>
        <v>14.271921775355466</v>
      </c>
      <c r="S1526" s="2">
        <f t="shared" si="94"/>
        <v>2.0110920711182398</v>
      </c>
      <c r="T1526" s="2">
        <f t="shared" si="96"/>
        <v>3.0168215375359955</v>
      </c>
      <c r="U1526" s="2">
        <f t="shared" si="97"/>
        <v>19.299835384009704</v>
      </c>
    </row>
    <row r="1527" spans="1:21" x14ac:dyDescent="0.25">
      <c r="A1527">
        <v>3340357</v>
      </c>
      <c r="B1527">
        <v>13</v>
      </c>
      <c r="C1527" s="1">
        <f>8.09788518811706*(10.3/7.3)</f>
        <v>11.425783210630925</v>
      </c>
      <c r="D1527" s="1">
        <f>8.25038054542414*(10.3/7.3)</f>
        <v>11.640947892858716</v>
      </c>
      <c r="E1527" s="1">
        <f>29.6653865188492*(10.3/7.3)</f>
        <v>41.856641252622843</v>
      </c>
      <c r="F1527" s="1">
        <f>49.5457861989549*(38.9/42.5)</f>
        <v>45.348966662102278</v>
      </c>
      <c r="G1527" s="1">
        <v>1.2514716854077554</v>
      </c>
      <c r="H1527" s="1">
        <v>3.8024078382043283</v>
      </c>
      <c r="I1527" s="1">
        <v>38.801514312634836</v>
      </c>
      <c r="J1527" s="1">
        <v>3.0460327771625592E-2</v>
      </c>
      <c r="K1527" s="1">
        <v>2.0551748174204731</v>
      </c>
      <c r="L1527" s="1">
        <v>4.6458142405268408</v>
      </c>
      <c r="M1527" s="1">
        <v>0.11138992649508254</v>
      </c>
      <c r="N1527" s="1">
        <v>1.4028397153131853</v>
      </c>
      <c r="O1527" s="1">
        <v>9.6799999999999983E-2</v>
      </c>
      <c r="P1527" s="1">
        <v>8.0854633227051304E-2</v>
      </c>
      <c r="Q1527" s="1">
        <v>2.0000689036197024</v>
      </c>
      <c r="R1527" s="2">
        <f t="shared" si="95"/>
        <v>156.12780175808138</v>
      </c>
      <c r="S1527" s="2">
        <f t="shared" si="94"/>
        <v>2.1664897784191499</v>
      </c>
      <c r="T1527" s="2">
        <f t="shared" si="96"/>
        <v>6.256843882335108</v>
      </c>
      <c r="U1527" s="2">
        <f t="shared" si="97"/>
        <v>164.55113541883566</v>
      </c>
    </row>
    <row r="1528" spans="1:21" x14ac:dyDescent="0.25">
      <c r="A1528">
        <v>3351753</v>
      </c>
      <c r="B1528">
        <v>42</v>
      </c>
      <c r="C1528" s="1">
        <f>0.61182363087921*(10.3/7.3)</f>
        <v>0.86325799973368023</v>
      </c>
      <c r="D1528" s="1">
        <f>0.806977664484278*(10.3/7.3)</f>
        <v>1.1386123211216532</v>
      </c>
      <c r="E1528" s="1">
        <f>2.83383275586972*(10.3/7.3)</f>
        <v>3.9984215596517956</v>
      </c>
      <c r="F1528" s="1">
        <f>6.31717646297237*(38.9/42.5)</f>
        <v>5.7820744566970594</v>
      </c>
      <c r="G1528" s="1">
        <v>0.26548344911992566</v>
      </c>
      <c r="H1528" s="1">
        <v>1.2965512124518512</v>
      </c>
      <c r="I1528" s="1">
        <v>4.7263594320321536</v>
      </c>
      <c r="J1528" s="1">
        <v>1.820132354524908E-2</v>
      </c>
      <c r="K1528" s="1">
        <v>1.9401164237643824</v>
      </c>
      <c r="L1528" s="1">
        <v>1.9446527355596903</v>
      </c>
      <c r="M1528" s="1">
        <v>9.7619421107744367E-2</v>
      </c>
      <c r="N1528" s="1">
        <v>0.59639192373972316</v>
      </c>
      <c r="O1528" s="1">
        <v>0.23774095238095239</v>
      </c>
      <c r="P1528" s="1">
        <v>0.12693260268228532</v>
      </c>
      <c r="Q1528" s="1">
        <v>0.42428861731495005</v>
      </c>
      <c r="R1528" s="2">
        <f t="shared" si="95"/>
        <v>18.495049048123068</v>
      </c>
      <c r="S1528" s="2">
        <f t="shared" si="94"/>
        <v>2.0852503499919171</v>
      </c>
      <c r="T1528" s="2">
        <f t="shared" si="96"/>
        <v>2.8764050327881101</v>
      </c>
      <c r="U1528" s="2">
        <f t="shared" si="97"/>
        <v>23.456704430903095</v>
      </c>
    </row>
    <row r="1529" spans="1:21" x14ac:dyDescent="0.25">
      <c r="A1529">
        <v>3351761</v>
      </c>
      <c r="B1529">
        <v>54</v>
      </c>
      <c r="C1529" s="1">
        <f>0.512026244916402*(10.3/7.3)</f>
        <v>0.72244798940259436</v>
      </c>
      <c r="D1529" s="1">
        <f>0.671064979771299*(10.3/7.3)</f>
        <v>0.94684510844443559</v>
      </c>
      <c r="E1529" s="1">
        <f>2.35749344659912*(10.3/7.3)</f>
        <v>3.326326369859034</v>
      </c>
      <c r="F1529" s="1">
        <f>5.24033352069447*(38.9/42.5)</f>
        <v>4.7964464460003455</v>
      </c>
      <c r="G1529" s="1">
        <v>0.2193625200183966</v>
      </c>
      <c r="H1529" s="1">
        <v>1.145578958198854</v>
      </c>
      <c r="I1529" s="1">
        <v>3.9258457670006206</v>
      </c>
      <c r="J1529" s="1">
        <v>1.5218486008805749E-2</v>
      </c>
      <c r="K1529" s="1">
        <v>1.7994987646026297</v>
      </c>
      <c r="L1529" s="1">
        <v>1.7077133861179032</v>
      </c>
      <c r="M1529" s="1">
        <v>8.2799089585151753E-2</v>
      </c>
      <c r="N1529" s="1">
        <v>0.55532851803577832</v>
      </c>
      <c r="O1529" s="1">
        <v>0.21376987654320997</v>
      </c>
      <c r="P1529" s="1">
        <v>0.12225509133331404</v>
      </c>
      <c r="Q1529" s="1">
        <v>0.35057936989241484</v>
      </c>
      <c r="R1529" s="2">
        <f t="shared" si="95"/>
        <v>15.433432528816695</v>
      </c>
      <c r="S1529" s="2">
        <f t="shared" si="94"/>
        <v>1.9369723419447495</v>
      </c>
      <c r="T1529" s="2">
        <f t="shared" si="96"/>
        <v>2.5596108702820435</v>
      </c>
      <c r="U1529" s="2">
        <f t="shared" si="97"/>
        <v>19.930015741043487</v>
      </c>
    </row>
    <row r="1530" spans="1:21" x14ac:dyDescent="0.25">
      <c r="A1530">
        <v>3351769</v>
      </c>
      <c r="B1530">
        <v>2</v>
      </c>
      <c r="C1530" s="1">
        <f>0.998318413651396*(10.3/7.3)</f>
        <v>1.408586254877997</v>
      </c>
      <c r="D1530" s="1">
        <f>1.29738823976292*(10.3/7.3)</f>
        <v>1.8305614889805635</v>
      </c>
      <c r="E1530" s="1">
        <f>4.5549785420219*(10.3/7.3)</f>
        <v>6.4268875318939189</v>
      </c>
      <c r="F1530" s="1">
        <f>10.3529254820097*(38.9/42.5)</f>
        <v>9.4759717941218184</v>
      </c>
      <c r="G1530" s="1">
        <v>0.44237704191894922</v>
      </c>
      <c r="H1530" s="1">
        <v>2.043667924320669</v>
      </c>
      <c r="I1530" s="1">
        <v>7.8084898781451653</v>
      </c>
      <c r="J1530" s="1">
        <v>2.5955677382904767E-2</v>
      </c>
      <c r="K1530" s="1">
        <v>2.3849246175098848</v>
      </c>
      <c r="L1530" s="1">
        <v>2.8053846968288267</v>
      </c>
      <c r="M1530" s="1">
        <v>0.12210990604861338</v>
      </c>
      <c r="N1530" s="1">
        <v>0.78908613647897663</v>
      </c>
      <c r="O1530" s="1">
        <v>0.3617333333333333</v>
      </c>
      <c r="P1530" s="1">
        <v>0.14927234796280101</v>
      </c>
      <c r="Q1530" s="1">
        <v>0.70699527247320715</v>
      </c>
      <c r="R1530" s="2">
        <f t="shared" si="95"/>
        <v>30.143537186732289</v>
      </c>
      <c r="S1530" s="2">
        <f t="shared" si="94"/>
        <v>2.5601526428555905</v>
      </c>
      <c r="T1530" s="2">
        <f t="shared" si="96"/>
        <v>4.07831407268975</v>
      </c>
      <c r="U1530" s="2">
        <f t="shared" si="97"/>
        <v>36.78200390227763</v>
      </c>
    </row>
    <row r="1531" spans="1:21" x14ac:dyDescent="0.25">
      <c r="A1531">
        <v>3351889</v>
      </c>
      <c r="B1531">
        <v>27</v>
      </c>
      <c r="C1531" s="1">
        <f>0.738359251996562*(10.3/7.3)</f>
        <v>1.0417945610362449</v>
      </c>
      <c r="D1531" s="1">
        <f>0.875073638944621*(10.3/7.3)</f>
        <v>1.2346929426204929</v>
      </c>
      <c r="E1531" s="1">
        <f>3.08879917998664*(10.3/7.3)</f>
        <v>4.3581687060085477</v>
      </c>
      <c r="F1531" s="1">
        <f>6.83642960518075*(38.9/42.5)</f>
        <v>6.2573438033301452</v>
      </c>
      <c r="G1531" s="1">
        <v>0.279789441258949</v>
      </c>
      <c r="H1531" s="1">
        <v>1.8753279513254242</v>
      </c>
      <c r="I1531" s="1">
        <v>5.277545973427368</v>
      </c>
      <c r="J1531" s="1">
        <v>1.6746196517099073E-2</v>
      </c>
      <c r="K1531" s="1">
        <v>2.2215418878336433</v>
      </c>
      <c r="L1531" s="1">
        <v>2.6070823555572109</v>
      </c>
      <c r="M1531" s="1">
        <v>9.660627006893048E-2</v>
      </c>
      <c r="N1531" s="1">
        <v>0.68785761687381619</v>
      </c>
      <c r="O1531" s="1">
        <v>0.22658567901234564</v>
      </c>
      <c r="P1531" s="1">
        <v>0.169812178885522</v>
      </c>
      <c r="Q1531" s="1">
        <v>0.44715207507138027</v>
      </c>
      <c r="R1531" s="2">
        <f t="shared" si="95"/>
        <v>20.771815454078553</v>
      </c>
      <c r="S1531" s="2">
        <f t="shared" si="94"/>
        <v>2.408100263236264</v>
      </c>
      <c r="T1531" s="2">
        <f t="shared" si="96"/>
        <v>3.6181319215123029</v>
      </c>
      <c r="U1531" s="2">
        <f t="shared" si="97"/>
        <v>26.798047638827121</v>
      </c>
    </row>
    <row r="1532" spans="1:21" x14ac:dyDescent="0.25">
      <c r="A1532">
        <v>3363981</v>
      </c>
      <c r="B1532">
        <v>30</v>
      </c>
      <c r="C1532" s="1">
        <f>0.46196406263146*(10.3/7.3)</f>
        <v>0.65181230754849773</v>
      </c>
      <c r="D1532" s="1">
        <f>0.610169223754858*(10.3/7.3)</f>
        <v>0.86092369927055368</v>
      </c>
      <c r="E1532" s="1">
        <f>2.14330113706513*(10.3/7.3)</f>
        <v>3.0241098235302508</v>
      </c>
      <c r="F1532" s="1">
        <f>4.74127321264237*(38.9/42.5)</f>
        <v>4.3396594816891314</v>
      </c>
      <c r="G1532" s="1">
        <v>0.1977660353298587</v>
      </c>
      <c r="H1532" s="1">
        <v>1.0042659423638238</v>
      </c>
      <c r="I1532" s="1">
        <v>3.5404426483811893</v>
      </c>
      <c r="J1532" s="1">
        <v>1.3983336541787897E-2</v>
      </c>
      <c r="K1532" s="1">
        <v>1.6975834539746537</v>
      </c>
      <c r="L1532" s="1">
        <v>1.6135853525884305</v>
      </c>
      <c r="M1532" s="1">
        <v>8.4496839655814185E-2</v>
      </c>
      <c r="N1532" s="1">
        <v>0.51455916154500214</v>
      </c>
      <c r="O1532" s="1">
        <v>0.20340444444444444</v>
      </c>
      <c r="P1532" s="1">
        <v>0.11225116499305669</v>
      </c>
      <c r="Q1532" s="1">
        <v>0.31606444002488854</v>
      </c>
      <c r="R1532" s="2">
        <f t="shared" si="95"/>
        <v>13.935044378138194</v>
      </c>
      <c r="S1532" s="2">
        <f t="shared" si="94"/>
        <v>1.8238179555094982</v>
      </c>
      <c r="T1532" s="2">
        <f t="shared" si="96"/>
        <v>2.4160457982336911</v>
      </c>
      <c r="U1532" s="2">
        <f t="shared" si="97"/>
        <v>18.174908131881381</v>
      </c>
    </row>
    <row r="1533" spans="1:21" x14ac:dyDescent="0.25">
      <c r="A1533">
        <v>3363989</v>
      </c>
      <c r="B1533">
        <v>30</v>
      </c>
      <c r="C1533" s="1">
        <f>0.653012693581456*(10.3/7.3)</f>
        <v>0.92137407450534137</v>
      </c>
      <c r="D1533" s="1">
        <f>0.856929914297639*(10.3/7.3)</f>
        <v>1.2090928927761206</v>
      </c>
      <c r="E1533" s="1">
        <f>3.00962377026635*(10.3/7.3)</f>
        <v>4.2464554566771753</v>
      </c>
      <c r="F1533" s="1">
        <f>6.72338505202773*(38.9/42.5)</f>
        <v>6.1538747887971423</v>
      </c>
      <c r="G1533" s="1">
        <v>0.28291530054132552</v>
      </c>
      <c r="H1533" s="1">
        <v>1.3488409845676608</v>
      </c>
      <c r="I1533" s="1">
        <v>5.0399162307391903</v>
      </c>
      <c r="J1533" s="1">
        <v>2.0462708679060353E-2</v>
      </c>
      <c r="K1533" s="1">
        <v>1.9698536133719127</v>
      </c>
      <c r="L1533" s="1">
        <v>2.0416381624956101</v>
      </c>
      <c r="M1533" s="1">
        <v>9.8797455263038722E-2</v>
      </c>
      <c r="N1533" s="1">
        <v>0.61362922025741062</v>
      </c>
      <c r="O1533" s="1">
        <v>0.25401244444444437</v>
      </c>
      <c r="P1533" s="1">
        <v>0.12868872302677231</v>
      </c>
      <c r="Q1533" s="1">
        <v>0.45214774059115997</v>
      </c>
      <c r="R1533" s="2">
        <f t="shared" si="95"/>
        <v>19.654617469195113</v>
      </c>
      <c r="S1533" s="2">
        <f t="shared" si="94"/>
        <v>2.1190050450777451</v>
      </c>
      <c r="T1533" s="2">
        <f t="shared" si="96"/>
        <v>3.0080772824605035</v>
      </c>
      <c r="U1533" s="2">
        <f t="shared" si="97"/>
        <v>24.781699796733363</v>
      </c>
    </row>
    <row r="1534" spans="1:21" x14ac:dyDescent="0.25">
      <c r="A1534">
        <v>3363997</v>
      </c>
      <c r="B1534">
        <v>42</v>
      </c>
      <c r="C1534" s="1">
        <f>0.637428104171116*(10.3/7.3)</f>
        <v>0.89938485930993062</v>
      </c>
      <c r="D1534" s="1">
        <f>0.831131518151889*(10.3/7.3)</f>
        <v>1.1726924160225283</v>
      </c>
      <c r="E1534" s="1">
        <f>2.91934411653494*(10.3/7.3)</f>
        <v>4.1190745753849214</v>
      </c>
      <c r="F1534" s="1">
        <f>6.54613296482816*(38.9/42.5)</f>
        <v>5.99163699604272</v>
      </c>
      <c r="G1534" s="1">
        <v>0.27618484216820577</v>
      </c>
      <c r="H1534" s="1">
        <v>1.4022904411369408</v>
      </c>
      <c r="I1534" s="1">
        <v>4.9198610412908579</v>
      </c>
      <c r="J1534" s="1">
        <v>1.8686463174824378E-2</v>
      </c>
      <c r="K1534" s="1">
        <v>2.0148802976759077</v>
      </c>
      <c r="L1534" s="1">
        <v>2.0536916119618955</v>
      </c>
      <c r="M1534" s="1">
        <v>9.699057408648061E-2</v>
      </c>
      <c r="N1534" s="1">
        <v>0.6662045903616618</v>
      </c>
      <c r="O1534" s="1">
        <v>0.25865142857142859</v>
      </c>
      <c r="P1534" s="1">
        <v>0.13359946893146968</v>
      </c>
      <c r="Q1534" s="1">
        <v>0.44139130026882256</v>
      </c>
      <c r="R1534" s="2">
        <f t="shared" si="95"/>
        <v>19.222516471624928</v>
      </c>
      <c r="S1534" s="2">
        <f t="shared" si="94"/>
        <v>2.1671662297822021</v>
      </c>
      <c r="T1534" s="2">
        <f t="shared" si="96"/>
        <v>3.0755382049814664</v>
      </c>
      <c r="U1534" s="2">
        <f t="shared" si="97"/>
        <v>24.465220906388598</v>
      </c>
    </row>
    <row r="1535" spans="1:21" x14ac:dyDescent="0.25">
      <c r="A1535">
        <v>3364005</v>
      </c>
      <c r="B1535">
        <v>34</v>
      </c>
      <c r="C1535" s="1">
        <f>0.572626473476109*(10.3/7.3)</f>
        <v>0.80795242147999002</v>
      </c>
      <c r="D1535" s="1">
        <f>0.744297044040881*(10.3/7.3)</f>
        <v>1.0501725415919285</v>
      </c>
      <c r="E1535" s="1">
        <f>2.61432370401927*(10.3/7.3)</f>
        <v>3.6887033084107461</v>
      </c>
      <c r="F1535" s="1">
        <f>5.88099674810344*(38.9/42.5)</f>
        <v>5.3828417294405622</v>
      </c>
      <c r="G1535" s="1">
        <v>0.24877909947524254</v>
      </c>
      <c r="H1535" s="1">
        <v>1.9266531754342262</v>
      </c>
      <c r="I1535" s="1">
        <v>4.4267534703079816</v>
      </c>
      <c r="J1535" s="1">
        <v>1.8576246848660001E-2</v>
      </c>
      <c r="K1535" s="1">
        <v>2.0020792663759841</v>
      </c>
      <c r="L1535" s="1">
        <v>1.9550176197544857</v>
      </c>
      <c r="M1535" s="1">
        <v>9.266788202510215E-2</v>
      </c>
      <c r="N1535" s="1">
        <v>0.63822709856253335</v>
      </c>
      <c r="O1535" s="1">
        <v>0.2504894117647059</v>
      </c>
      <c r="P1535" s="1">
        <v>0.13717786801075443</v>
      </c>
      <c r="Q1535" s="1">
        <v>0.39759216811111853</v>
      </c>
      <c r="R1535" s="2">
        <f t="shared" si="95"/>
        <v>17.929447914251796</v>
      </c>
      <c r="S1535" s="2">
        <f t="shared" si="94"/>
        <v>2.1578333812353985</v>
      </c>
      <c r="T1535" s="2">
        <f t="shared" si="96"/>
        <v>2.9364020121068273</v>
      </c>
      <c r="U1535" s="2">
        <f t="shared" si="97"/>
        <v>23.023683307594023</v>
      </c>
    </row>
    <row r="1536" spans="1:21" x14ac:dyDescent="0.25">
      <c r="A1536">
        <v>3364093</v>
      </c>
      <c r="B1536">
        <v>11</v>
      </c>
      <c r="C1536" s="1">
        <f>0.707800748963875*(10.3/7.3)</f>
        <v>0.99867776908601569</v>
      </c>
      <c r="D1536" s="1">
        <f>0.818383517175305*(10.3/7.3)</f>
        <v>1.1547055105350199</v>
      </c>
      <c r="E1536" s="1">
        <f>2.88838938011257*(10.3/7.3)</f>
        <v>4.0753987144054129</v>
      </c>
      <c r="F1536" s="1">
        <f>6.58228003123356*(38.9/42.5)</f>
        <v>6.0247221932937807</v>
      </c>
      <c r="G1536" s="1">
        <v>0.27629422727043762</v>
      </c>
      <c r="H1536" s="1">
        <v>3.9929760690981122</v>
      </c>
      <c r="I1536" s="1">
        <v>5.1440106193501203</v>
      </c>
      <c r="J1536" s="1">
        <v>1.6438171355463962E-2</v>
      </c>
      <c r="K1536" s="1">
        <v>2.1694519379131383</v>
      </c>
      <c r="L1536" s="1">
        <v>2.3682232817563693</v>
      </c>
      <c r="M1536" s="1">
        <v>9.7814663994324577E-2</v>
      </c>
      <c r="N1536" s="1">
        <v>0.67315325338769783</v>
      </c>
      <c r="O1536" s="1">
        <v>0.25998060606060608</v>
      </c>
      <c r="P1536" s="1">
        <v>0.1598378099044846</v>
      </c>
      <c r="Q1536" s="1">
        <v>0.44156611664225237</v>
      </c>
      <c r="R1536" s="2">
        <f t="shared" si="95"/>
        <v>22.10835121968115</v>
      </c>
      <c r="S1536" s="2">
        <f t="shared" si="94"/>
        <v>2.3457279191730871</v>
      </c>
      <c r="T1536" s="2">
        <f t="shared" si="96"/>
        <v>3.3991718051989976</v>
      </c>
      <c r="U1536" s="2">
        <f t="shared" si="97"/>
        <v>27.853250944053233</v>
      </c>
    </row>
    <row r="1537" spans="1:21" x14ac:dyDescent="0.25">
      <c r="A1537">
        <v>3364117</v>
      </c>
      <c r="B1537">
        <v>25</v>
      </c>
      <c r="C1537" s="1">
        <f>0.68087187782517*(10.3/7.3)</f>
        <v>0.9606822385752396</v>
      </c>
      <c r="D1537" s="1">
        <f>0.80784296479795*(10.3/7.3)</f>
        <v>1.1398332243039571</v>
      </c>
      <c r="E1537" s="1">
        <f>2.85122347540903*(10.3/7.3)</f>
        <v>4.0229591502346604</v>
      </c>
      <c r="F1537" s="1">
        <f>6.31651759166075*(38.9/42.5)</f>
        <v>5.7814713956612511</v>
      </c>
      <c r="G1537" s="1">
        <v>0.25882114858078248</v>
      </c>
      <c r="H1537" s="1">
        <v>1.7202148149046832</v>
      </c>
      <c r="I1537" s="1">
        <v>4.8752094799608701</v>
      </c>
      <c r="J1537" s="1">
        <v>1.6254525496851552E-2</v>
      </c>
      <c r="K1537" s="1">
        <v>2.1412631016722825</v>
      </c>
      <c r="L1537" s="1">
        <v>2.4850838861702282</v>
      </c>
      <c r="M1537" s="1">
        <v>9.4782468048860313E-2</v>
      </c>
      <c r="N1537" s="1">
        <v>0.66554692550581473</v>
      </c>
      <c r="O1537" s="1">
        <v>0.2099029333333334</v>
      </c>
      <c r="P1537" s="1">
        <v>0.16196575540133748</v>
      </c>
      <c r="Q1537" s="1">
        <v>0.41364110503778073</v>
      </c>
      <c r="R1537" s="2">
        <f t="shared" si="95"/>
        <v>19.172832557259223</v>
      </c>
      <c r="S1537" s="2">
        <f t="shared" si="94"/>
        <v>2.3194833825704713</v>
      </c>
      <c r="T1537" s="2">
        <f t="shared" si="96"/>
        <v>3.4553162130582367</v>
      </c>
      <c r="U1537" s="2">
        <f t="shared" si="97"/>
        <v>24.94763215288793</v>
      </c>
    </row>
    <row r="1538" spans="1:21" x14ac:dyDescent="0.25">
      <c r="A1538">
        <v>3364357</v>
      </c>
      <c r="B1538">
        <v>6</v>
      </c>
      <c r="C1538" s="1">
        <f>1.67933102124829*(10.3/7.3)</f>
        <v>2.3694670573777219</v>
      </c>
      <c r="D1538" s="1">
        <f>1.93445051209889*(10.3/7.3)</f>
        <v>2.7294301746052874</v>
      </c>
      <c r="E1538" s="1">
        <f>6.8273283489335*(10.3/7.3)</f>
        <v>9.6330797252075389</v>
      </c>
      <c r="F1538" s="1">
        <f>15.6262760231895*(38.9/42.5)</f>
        <v>14.302638524754654</v>
      </c>
      <c r="G1538" s="1">
        <v>0.65830811076733287</v>
      </c>
      <c r="H1538" s="1">
        <v>3.325047264991595</v>
      </c>
      <c r="I1538" s="1">
        <v>12.23379947381089</v>
      </c>
      <c r="J1538" s="1">
        <v>2.8388447537043299E-2</v>
      </c>
      <c r="K1538" s="1">
        <v>3.0180196570517883</v>
      </c>
      <c r="L1538" s="1">
        <v>6.6698435968424876</v>
      </c>
      <c r="M1538" s="1">
        <v>0.12408802513306472</v>
      </c>
      <c r="N1538" s="1">
        <v>1.4653805146340246</v>
      </c>
      <c r="O1538" s="1">
        <v>0.22240888888888888</v>
      </c>
      <c r="P1538" s="1">
        <v>0.18997730141557742</v>
      </c>
      <c r="Q1538" s="1">
        <v>1.052090587984323</v>
      </c>
      <c r="R1538" s="2">
        <f t="shared" si="95"/>
        <v>46.303860919499343</v>
      </c>
      <c r="S1538" s="2">
        <f t="shared" si="94"/>
        <v>3.236385406004409</v>
      </c>
      <c r="T1538" s="2">
        <f t="shared" si="96"/>
        <v>8.4817210254984658</v>
      </c>
      <c r="U1538" s="2">
        <f t="shared" si="97"/>
        <v>58.021967351002218</v>
      </c>
    </row>
    <row r="1539" spans="1:21" x14ac:dyDescent="0.25">
      <c r="A1539">
        <v>3376217</v>
      </c>
      <c r="B1539">
        <v>63</v>
      </c>
      <c r="C1539" s="1">
        <f>0.53334813297178*(10.3/7.3)</f>
        <v>0.75253229720675763</v>
      </c>
      <c r="D1539" s="1">
        <f>0.70145161270054*(10.3/7.3)</f>
        <v>0.98971939874185777</v>
      </c>
      <c r="E1539" s="1">
        <f>2.46404093297174*(10.3/7.3)</f>
        <v>3.4766604944669739</v>
      </c>
      <c r="F1539" s="1">
        <f>5.46869521435527*(38.9/42.5)</f>
        <v>5.0054645609040005</v>
      </c>
      <c r="G1539" s="1">
        <v>0.22870001837961296</v>
      </c>
      <c r="H1539" s="1">
        <v>1.1345872823329686</v>
      </c>
      <c r="I1539" s="1">
        <v>4.0914555704951949</v>
      </c>
      <c r="J1539" s="1">
        <v>1.5529452227013324E-2</v>
      </c>
      <c r="K1539" s="1">
        <v>1.8166361135048645</v>
      </c>
      <c r="L1539" s="1">
        <v>1.7510828746809772</v>
      </c>
      <c r="M1539" s="1">
        <v>9.1457596104556893E-2</v>
      </c>
      <c r="N1539" s="1">
        <v>0.55532558182992819</v>
      </c>
      <c r="O1539" s="1">
        <v>0.21972402116402118</v>
      </c>
      <c r="P1539" s="1">
        <v>0.12091121918544703</v>
      </c>
      <c r="Q1539" s="1">
        <v>0.36550231247883386</v>
      </c>
      <c r="R1539" s="2">
        <f t="shared" si="95"/>
        <v>16.044621935006202</v>
      </c>
      <c r="S1539" s="2">
        <f t="shared" si="94"/>
        <v>1.9530767849173249</v>
      </c>
      <c r="T1539" s="2">
        <f t="shared" si="96"/>
        <v>2.6175900737794833</v>
      </c>
      <c r="U1539" s="2">
        <f t="shared" si="97"/>
        <v>20.615288793703009</v>
      </c>
    </row>
    <row r="1540" spans="1:21" x14ac:dyDescent="0.25">
      <c r="A1540">
        <v>3376225</v>
      </c>
      <c r="B1540">
        <v>45</v>
      </c>
      <c r="C1540" s="1">
        <f>0.559399957505694*(10.3/7.3)</f>
        <v>0.7892903510011845</v>
      </c>
      <c r="D1540" s="1">
        <f>0.733046636963494*(10.3/7.3)</f>
        <v>1.0342986795512319</v>
      </c>
      <c r="E1540" s="1">
        <f>2.57491822098094*(10.3/7.3)</f>
        <v>3.6331037912470849</v>
      </c>
      <c r="F1540" s="1">
        <f>5.74071012333602*(38.9/42.5)</f>
        <v>5.2544382070063795</v>
      </c>
      <c r="G1540" s="1">
        <v>0.24102258689421893</v>
      </c>
      <c r="H1540" s="1">
        <v>1.2019854768274216</v>
      </c>
      <c r="I1540" s="1">
        <v>4.3033971154501049</v>
      </c>
      <c r="J1540" s="1">
        <v>1.8453787433559521E-2</v>
      </c>
      <c r="K1540" s="1">
        <v>1.9050803863018235</v>
      </c>
      <c r="L1540" s="1">
        <v>1.9137464242374485</v>
      </c>
      <c r="M1540" s="1">
        <v>9.4136269274816109E-2</v>
      </c>
      <c r="N1540" s="1">
        <v>0.60889166978458131</v>
      </c>
      <c r="O1540" s="1">
        <v>0.24263348148148142</v>
      </c>
      <c r="P1540" s="1">
        <v>0.12731606983176838</v>
      </c>
      <c r="Q1540" s="1">
        <v>0.38519591512774742</v>
      </c>
      <c r="R1540" s="2">
        <f t="shared" si="95"/>
        <v>16.842732123105375</v>
      </c>
      <c r="S1540" s="2">
        <f t="shared" si="94"/>
        <v>2.0508502435671514</v>
      </c>
      <c r="T1540" s="2">
        <f t="shared" si="96"/>
        <v>2.8594078447783273</v>
      </c>
      <c r="U1540" s="2">
        <f t="shared" si="97"/>
        <v>21.752990211450854</v>
      </c>
    </row>
    <row r="1541" spans="1:21" x14ac:dyDescent="0.25">
      <c r="A1541">
        <v>3376233</v>
      </c>
      <c r="B1541">
        <v>39</v>
      </c>
      <c r="C1541" s="1">
        <f>0.683397252132256*(10.3/7.3)</f>
        <v>0.96424543794003181</v>
      </c>
      <c r="D1541" s="1">
        <f>0.885731050770081*(10.3/7.3)</f>
        <v>1.2497301127303888</v>
      </c>
      <c r="E1541" s="1">
        <f>3.11137275103014*(10.3/7.3)</f>
        <v>4.3900190870699181</v>
      </c>
      <c r="F1541" s="1">
        <f>7.00534542530256*(38.9/42.5)</f>
        <v>6.4119514598651639</v>
      </c>
      <c r="G1541" s="1">
        <v>0.2964586732532456</v>
      </c>
      <c r="H1541" s="1">
        <v>1.5760400874760576</v>
      </c>
      <c r="I1541" s="1">
        <v>5.278406045762388</v>
      </c>
      <c r="J1541" s="1">
        <v>1.9041322460469263E-2</v>
      </c>
      <c r="K1541" s="1">
        <v>2.1797321071090354</v>
      </c>
      <c r="L1541" s="1">
        <v>2.2524300356987945</v>
      </c>
      <c r="M1541" s="1">
        <v>0.1048250964247167</v>
      </c>
      <c r="N1541" s="1">
        <v>0.69225443932865172</v>
      </c>
      <c r="O1541" s="1">
        <v>0.28359384615384625</v>
      </c>
      <c r="P1541" s="1">
        <v>0.14575558998038315</v>
      </c>
      <c r="Q1541" s="1">
        <v>0.47379240017642044</v>
      </c>
      <c r="R1541" s="2">
        <f t="shared" si="95"/>
        <v>20.640643304273617</v>
      </c>
      <c r="S1541" s="2">
        <f t="shared" si="94"/>
        <v>2.3445290195498876</v>
      </c>
      <c r="T1541" s="2">
        <f t="shared" si="96"/>
        <v>3.3331034176060093</v>
      </c>
      <c r="U1541" s="2">
        <f t="shared" si="97"/>
        <v>26.318275741429513</v>
      </c>
    </row>
    <row r="1542" spans="1:21" x14ac:dyDescent="0.25">
      <c r="A1542">
        <v>3376241</v>
      </c>
      <c r="B1542">
        <v>29</v>
      </c>
      <c r="C1542" s="1">
        <f>0.550672758350395*(10.3/7.3)</f>
        <v>0.77697663164507846</v>
      </c>
      <c r="D1542" s="1">
        <f>0.713170996787275*(10.3/7.3)</f>
        <v>1.0062549680697173</v>
      </c>
      <c r="E1542" s="1">
        <f>2.50510361031708*(10.3/7.3)</f>
        <v>3.5345982446939606</v>
      </c>
      <c r="F1542" s="1">
        <f>5.64981554387752*(38.9/42.5)</f>
        <v>5.1712429331020138</v>
      </c>
      <c r="G1542" s="1">
        <v>0.23946010945393151</v>
      </c>
      <c r="H1542" s="1">
        <v>2.0746294308256292</v>
      </c>
      <c r="I1542" s="1">
        <v>4.2593358330740037</v>
      </c>
      <c r="J1542" s="1">
        <v>1.6850786341510715E-2</v>
      </c>
      <c r="K1542" s="1">
        <v>1.9526350193249074</v>
      </c>
      <c r="L1542" s="1">
        <v>1.902761768750862</v>
      </c>
      <c r="M1542" s="1">
        <v>9.1113816958240362E-2</v>
      </c>
      <c r="N1542" s="1">
        <v>0.62308572819944807</v>
      </c>
      <c r="O1542" s="1">
        <v>0.24591632183908047</v>
      </c>
      <c r="P1542" s="1">
        <v>0.13424129907255891</v>
      </c>
      <c r="Q1542" s="1">
        <v>0.38269880506336118</v>
      </c>
      <c r="R1542" s="2">
        <f t="shared" si="95"/>
        <v>17.445196955927695</v>
      </c>
      <c r="S1542" s="2">
        <f t="shared" si="94"/>
        <v>2.1037271047389772</v>
      </c>
      <c r="T1542" s="2">
        <f t="shared" si="96"/>
        <v>2.8628776357476311</v>
      </c>
      <c r="U1542" s="2">
        <f t="shared" si="97"/>
        <v>22.411801696414301</v>
      </c>
    </row>
    <row r="1543" spans="1:21" x14ac:dyDescent="0.25">
      <c r="A1543">
        <v>3376321</v>
      </c>
      <c r="B1543">
        <v>16</v>
      </c>
      <c r="C1543" s="1">
        <f>0.913855657379723*(10.3/7.3)</f>
        <v>1.2894127768508414</v>
      </c>
      <c r="D1543" s="1">
        <f>1.04266038248907*(10.3/7.3)</f>
        <v>1.4711509506352691</v>
      </c>
      <c r="E1543" s="1">
        <f>3.68100606430144*(10.3/7.3)</f>
        <v>5.1937482825075083</v>
      </c>
      <c r="F1543" s="1">
        <f>8.45647564024002*(38.9/42.5)</f>
        <v>7.7401624095373363</v>
      </c>
      <c r="G1543" s="1">
        <v>0.35694344511371928</v>
      </c>
      <c r="H1543" s="1">
        <v>5.4047693790794824</v>
      </c>
      <c r="I1543" s="1">
        <v>6.6437864914872522</v>
      </c>
      <c r="J1543" s="1">
        <v>1.8613343681508032E-2</v>
      </c>
      <c r="K1543" s="1">
        <v>2.4250227108568727</v>
      </c>
      <c r="L1543" s="1">
        <v>2.616688435828844</v>
      </c>
      <c r="M1543" s="1">
        <v>0.11049785582513143</v>
      </c>
      <c r="N1543" s="1">
        <v>0.75060482317130672</v>
      </c>
      <c r="O1543" s="1">
        <v>0.31397999999999998</v>
      </c>
      <c r="P1543" s="1">
        <v>0.1805913373008366</v>
      </c>
      <c r="Q1543" s="1">
        <v>0.57045756068402675</v>
      </c>
      <c r="R1543" s="2">
        <f t="shared" si="95"/>
        <v>28.670431295895433</v>
      </c>
      <c r="S1543" s="2">
        <f t="shared" si="94"/>
        <v>2.6242273918392174</v>
      </c>
      <c r="T1543" s="2">
        <f t="shared" si="96"/>
        <v>3.791771114825282</v>
      </c>
      <c r="U1543" s="2">
        <f t="shared" si="97"/>
        <v>35.086429802559934</v>
      </c>
    </row>
    <row r="1544" spans="1:21" x14ac:dyDescent="0.25">
      <c r="A1544">
        <v>3376353</v>
      </c>
      <c r="B1544">
        <v>26</v>
      </c>
      <c r="C1544" s="1">
        <f>0.859283935259828*(10.3/7.3)</f>
        <v>1.2124143196131822</v>
      </c>
      <c r="D1544" s="1">
        <f>1.01509839741707*(10.3/7.3)</f>
        <v>1.4322621223829901</v>
      </c>
      <c r="E1544" s="1">
        <f>3.58128509137545*(10.3/7.3)</f>
        <v>5.0530460878311141</v>
      </c>
      <c r="F1544" s="1">
        <f>8.04398499414676*(38.9/42.5)</f>
        <v>7.3626121475837367</v>
      </c>
      <c r="G1544" s="1">
        <v>0.33407105239337209</v>
      </c>
      <c r="H1544" s="1">
        <v>2.6209785322093881</v>
      </c>
      <c r="I1544" s="1">
        <v>6.2306962397147307</v>
      </c>
      <c r="J1544" s="1">
        <v>1.8311382614131365E-2</v>
      </c>
      <c r="K1544" s="1">
        <v>2.4580605495772825</v>
      </c>
      <c r="L1544" s="1">
        <v>2.8268537775465288</v>
      </c>
      <c r="M1544" s="1">
        <v>0.104828280503071</v>
      </c>
      <c r="N1544" s="1">
        <v>0.75746695732195568</v>
      </c>
      <c r="O1544" s="1">
        <v>0.27338666666666661</v>
      </c>
      <c r="P1544" s="1">
        <v>0.19316213956405617</v>
      </c>
      <c r="Q1544" s="1">
        <v>0.53390350839123446</v>
      </c>
      <c r="R1544" s="2">
        <f t="shared" si="95"/>
        <v>24.779984010119751</v>
      </c>
      <c r="S1544" s="2">
        <f t="shared" si="94"/>
        <v>2.6695340717554701</v>
      </c>
      <c r="T1544" s="2">
        <f t="shared" si="96"/>
        <v>3.9625356820382218</v>
      </c>
      <c r="U1544" s="2">
        <f t="shared" si="97"/>
        <v>31.412053763913445</v>
      </c>
    </row>
    <row r="1545" spans="1:21" x14ac:dyDescent="0.25">
      <c r="A1545">
        <v>3376585</v>
      </c>
      <c r="B1545">
        <v>3</v>
      </c>
      <c r="C1545" s="1">
        <f>2.42692474254239*(10.3/7.3)</f>
        <v>3.4242910750940592</v>
      </c>
      <c r="D1545" s="1">
        <f>2.81408741411926*(10.3/7.3)</f>
        <v>3.9705616938942971</v>
      </c>
      <c r="E1545" s="1">
        <f>9.92137335303212*(10.3/7.3)</f>
        <v>13.998650073456277</v>
      </c>
      <c r="F1545" s="1">
        <f>23.0790132751526*(38.9/42.5)</f>
        <v>21.124085091845533</v>
      </c>
      <c r="G1545" s="1">
        <v>0.98897323657068348</v>
      </c>
      <c r="H1545" s="1">
        <v>4.8348444538771913</v>
      </c>
      <c r="I1545" s="1">
        <v>18.074802872092519</v>
      </c>
      <c r="J1545" s="1">
        <v>3.5258194419979842E-2</v>
      </c>
      <c r="K1545" s="1">
        <v>3.7025595424498223</v>
      </c>
      <c r="L1545" s="1">
        <v>9.4516171295174924</v>
      </c>
      <c r="M1545" s="1">
        <v>0.15524813989670164</v>
      </c>
      <c r="N1545" s="1">
        <v>1.7861097729083262</v>
      </c>
      <c r="O1545" s="1">
        <v>0.27299555555555555</v>
      </c>
      <c r="P1545" s="1">
        <v>0.22589173426525103</v>
      </c>
      <c r="Q1545" s="1">
        <v>1.5805508347020074</v>
      </c>
      <c r="R1545" s="2">
        <f t="shared" si="95"/>
        <v>67.996759331532573</v>
      </c>
      <c r="S1545" s="2">
        <f t="shared" ref="S1545:S1608" si="98">J1545+K1545+P1545</f>
        <v>3.9637094711350533</v>
      </c>
      <c r="T1545" s="2">
        <f t="shared" si="96"/>
        <v>11.665970597878076</v>
      </c>
      <c r="U1545" s="2">
        <f t="shared" si="97"/>
        <v>83.626439400545692</v>
      </c>
    </row>
    <row r="1546" spans="1:21" x14ac:dyDescent="0.25">
      <c r="A1546">
        <v>3376593</v>
      </c>
      <c r="B1546">
        <v>3</v>
      </c>
      <c r="C1546" s="1">
        <f>1.35445767086529*(10.3/7.3)</f>
        <v>1.9110841109469143</v>
      </c>
      <c r="D1546" s="1">
        <f>1.54968850160237*(10.3/7.3)</f>
        <v>2.1865467899321103</v>
      </c>
      <c r="E1546" s="1">
        <f>5.47527946378379*(10.3/7.3)</f>
        <v>7.7253943119141182</v>
      </c>
      <c r="F1546" s="1">
        <f>12.3239650769648*(38.9/42.5)</f>
        <v>11.280052741033682</v>
      </c>
      <c r="G1546" s="1">
        <v>0.50982979485444424</v>
      </c>
      <c r="H1546" s="1">
        <v>2.5550327835345907</v>
      </c>
      <c r="I1546" s="1">
        <v>9.6452991056215378</v>
      </c>
      <c r="J1546" s="1">
        <v>2.4910434857376641E-2</v>
      </c>
      <c r="K1546" s="1">
        <v>2.6290543576043715</v>
      </c>
      <c r="L1546" s="1">
        <v>5.4133223760234062</v>
      </c>
      <c r="M1546" s="1">
        <v>0.11125041460108225</v>
      </c>
      <c r="N1546" s="1">
        <v>1.262506230479991</v>
      </c>
      <c r="O1546" s="1">
        <v>0.19607111111111108</v>
      </c>
      <c r="P1546" s="1">
        <v>0.16887919365721582</v>
      </c>
      <c r="Q1546" s="1">
        <v>0.81479647579477488</v>
      </c>
      <c r="R1546" s="2">
        <f t="shared" ref="R1546:R1609" si="99">C1546+D1546+E1546+F1546+G1546+H1546+I1546+Q1546</f>
        <v>36.62803611363217</v>
      </c>
      <c r="S1546" s="2">
        <f t="shared" si="98"/>
        <v>2.822843986118964</v>
      </c>
      <c r="T1546" s="2">
        <f t="shared" ref="T1546:T1609" si="100">L1546+M1546+N1546+O1546</f>
        <v>6.9831501322155907</v>
      </c>
      <c r="U1546" s="2">
        <f t="shared" ref="U1546:U1609" si="101">R1546+S1546+T1546</f>
        <v>46.434030231966723</v>
      </c>
    </row>
    <row r="1547" spans="1:21" x14ac:dyDescent="0.25">
      <c r="A1547">
        <v>3388453</v>
      </c>
      <c r="B1547">
        <v>69</v>
      </c>
      <c r="C1547" s="1">
        <f>0.552886751237264*(10.3/7.3)</f>
        <v>0.78010048462244141</v>
      </c>
      <c r="D1547" s="1">
        <f>0.724467282352538*(10.3/7.3)</f>
        <v>1.0221935627713894</v>
      </c>
      <c r="E1547" s="1">
        <f>2.54510994198519*(10.3/7.3)</f>
        <v>3.5910455345818493</v>
      </c>
      <c r="F1547" s="1">
        <f>5.65797493111758*(38.9/42.5)</f>
        <v>5.1787111722464445</v>
      </c>
      <c r="G1547" s="1">
        <v>0.23686213484700575</v>
      </c>
      <c r="H1547" s="1">
        <v>1.171824454562167</v>
      </c>
      <c r="I1547" s="1">
        <v>4.2390729324239249</v>
      </c>
      <c r="J1547" s="1">
        <v>1.5888153755397864E-2</v>
      </c>
      <c r="K1547" s="1">
        <v>1.8391965910212278</v>
      </c>
      <c r="L1547" s="1">
        <v>1.7614906191458233</v>
      </c>
      <c r="M1547" s="1">
        <v>9.1317951875111408E-2</v>
      </c>
      <c r="N1547" s="1">
        <v>0.56382838929724621</v>
      </c>
      <c r="O1547" s="1">
        <v>0.22353159420289848</v>
      </c>
      <c r="P1547" s="1">
        <v>0.12413695284953968</v>
      </c>
      <c r="Q1547" s="1">
        <v>0.3785467908513796</v>
      </c>
      <c r="R1547" s="2">
        <f t="shared" si="99"/>
        <v>16.598357066906601</v>
      </c>
      <c r="S1547" s="2">
        <f t="shared" si="98"/>
        <v>1.9792216976261654</v>
      </c>
      <c r="T1547" s="2">
        <f t="shared" si="100"/>
        <v>2.6401685545210793</v>
      </c>
      <c r="U1547" s="2">
        <f t="shared" si="101"/>
        <v>21.217747319053846</v>
      </c>
    </row>
    <row r="1548" spans="1:21" x14ac:dyDescent="0.25">
      <c r="A1548">
        <v>3388461</v>
      </c>
      <c r="B1548">
        <v>38</v>
      </c>
      <c r="C1548" s="1">
        <f>0.522262227890618*(10.3/7.3)</f>
        <v>0.73689054072237836</v>
      </c>
      <c r="D1548" s="1">
        <f>0.681521924428985*(10.3/7.3)</f>
        <v>0.96159942761897821</v>
      </c>
      <c r="E1548" s="1">
        <f>2.39443991335091*(10.3/7.3)</f>
        <v>3.3784563160978611</v>
      </c>
      <c r="F1548" s="1">
        <f>5.33450057540952*(38.9/42.5)</f>
        <v>4.8826369972571824</v>
      </c>
      <c r="G1548" s="1">
        <v>0.22364783395021592</v>
      </c>
      <c r="H1548" s="1">
        <v>1.1634989944934739</v>
      </c>
      <c r="I1548" s="1">
        <v>4.003277956700825</v>
      </c>
      <c r="J1548" s="1">
        <v>1.5026301136877935E-2</v>
      </c>
      <c r="K1548" s="1">
        <v>1.8325090661088428</v>
      </c>
      <c r="L1548" s="1">
        <v>1.7580118157984301</v>
      </c>
      <c r="M1548" s="1">
        <v>8.9834630464856249E-2</v>
      </c>
      <c r="N1548" s="1">
        <v>0.56882057297268884</v>
      </c>
      <c r="O1548" s="1">
        <v>0.2260856140350877</v>
      </c>
      <c r="P1548" s="1">
        <v>0.12501518859467742</v>
      </c>
      <c r="Q1548" s="1">
        <v>0.35742804512591625</v>
      </c>
      <c r="R1548" s="2">
        <f t="shared" si="99"/>
        <v>15.70743611196683</v>
      </c>
      <c r="S1548" s="2">
        <f t="shared" si="98"/>
        <v>1.9725505558403982</v>
      </c>
      <c r="T1548" s="2">
        <f t="shared" si="100"/>
        <v>2.6427526332710629</v>
      </c>
      <c r="U1548" s="2">
        <f t="shared" si="101"/>
        <v>20.32273930107829</v>
      </c>
    </row>
    <row r="1549" spans="1:21" x14ac:dyDescent="0.25">
      <c r="A1549">
        <v>3388469</v>
      </c>
      <c r="B1549">
        <v>48</v>
      </c>
      <c r="C1549" s="1">
        <f>0.51788141106735*(10.3/7.3)</f>
        <v>0.73070938821831588</v>
      </c>
      <c r="D1549" s="1">
        <f>0.671726149041258*(10.3/7.3)</f>
        <v>0.94777799111300842</v>
      </c>
      <c r="E1549" s="1">
        <f>2.36003218964134*(10.3/7.3)</f>
        <v>3.3299084319596925</v>
      </c>
      <c r="F1549" s="1">
        <f>5.28887097802494*(38.9/42.5)</f>
        <v>4.8408724951804771</v>
      </c>
      <c r="G1549" s="1">
        <v>0.22281359225401684</v>
      </c>
      <c r="H1549" s="1">
        <v>1.331905592635078</v>
      </c>
      <c r="I1549" s="1">
        <v>3.9806362252292828</v>
      </c>
      <c r="J1549" s="1">
        <v>1.5634437843784182E-2</v>
      </c>
      <c r="K1549" s="1">
        <v>1.8985625535090913</v>
      </c>
      <c r="L1549" s="1">
        <v>1.8464726100159712</v>
      </c>
      <c r="M1549" s="1">
        <v>8.8160730050414429E-2</v>
      </c>
      <c r="N1549" s="1">
        <v>0.59624361583498586</v>
      </c>
      <c r="O1549" s="1">
        <v>0.24038666666666672</v>
      </c>
      <c r="P1549" s="1">
        <v>0.13105772249240674</v>
      </c>
      <c r="Q1549" s="1">
        <v>0.35609478214112311</v>
      </c>
      <c r="R1549" s="2">
        <f t="shared" si="99"/>
        <v>15.740718498730995</v>
      </c>
      <c r="S1549" s="2">
        <f t="shared" si="98"/>
        <v>2.0452547138452823</v>
      </c>
      <c r="T1549" s="2">
        <f t="shared" si="100"/>
        <v>2.7712636225680383</v>
      </c>
      <c r="U1549" s="2">
        <f t="shared" si="101"/>
        <v>20.557236835144316</v>
      </c>
    </row>
    <row r="1550" spans="1:21" x14ac:dyDescent="0.25">
      <c r="A1550">
        <v>3388477</v>
      </c>
      <c r="B1550">
        <v>1</v>
      </c>
      <c r="C1550" s="1">
        <f>0.674706320656479*(10.3/7.3)</f>
        <v>0.95198289078927856</v>
      </c>
      <c r="D1550" s="1">
        <f>0.869261273715466*(10.3/7.3)</f>
        <v>1.2264919341464791</v>
      </c>
      <c r="E1550" s="1">
        <f>3.05306951437655*(10.3/7.3)</f>
        <v>4.3077556161751334</v>
      </c>
      <c r="F1550" s="1">
        <f>6.93724977597331*(38.9/42.5)</f>
        <v>6.3496239125967486</v>
      </c>
      <c r="G1550" s="1">
        <v>0.29591944739569775</v>
      </c>
      <c r="H1550" s="1">
        <v>2.1031237465765464</v>
      </c>
      <c r="I1550" s="1">
        <v>5.2452038321912564</v>
      </c>
      <c r="J1550" s="1">
        <v>2.0401323664705921E-2</v>
      </c>
      <c r="K1550" s="1">
        <v>2.1956447756353441</v>
      </c>
      <c r="L1550" s="1">
        <v>2.2915519954926586</v>
      </c>
      <c r="M1550" s="1">
        <v>0.10754334260266721</v>
      </c>
      <c r="N1550" s="1">
        <v>0.7244160069620752</v>
      </c>
      <c r="O1550" s="1">
        <v>0.28735999999999995</v>
      </c>
      <c r="P1550" s="1">
        <v>0.14726217935777605</v>
      </c>
      <c r="Q1550" s="1">
        <v>0.47293062369175493</v>
      </c>
      <c r="R1550" s="2">
        <f t="shared" si="99"/>
        <v>20.953032003562893</v>
      </c>
      <c r="S1550" s="2">
        <f t="shared" si="98"/>
        <v>2.3633082786578261</v>
      </c>
      <c r="T1550" s="2">
        <f t="shared" si="100"/>
        <v>3.4108713450574011</v>
      </c>
      <c r="U1550" s="2">
        <f t="shared" si="101"/>
        <v>26.72721162727812</v>
      </c>
    </row>
    <row r="1551" spans="1:21" x14ac:dyDescent="0.25">
      <c r="A1551">
        <v>3388557</v>
      </c>
      <c r="B1551">
        <v>42</v>
      </c>
      <c r="C1551" s="1">
        <f>0.59856335865548*(10.3/7.3)</f>
        <v>0.8445483005686909</v>
      </c>
      <c r="D1551" s="1">
        <f>0.696464165267361*(10.3/7.3)</f>
        <v>0.98268231537723527</v>
      </c>
      <c r="E1551" s="1">
        <f>2.45832363916154*(10.3/7.3)</f>
        <v>3.4685936278580627</v>
      </c>
      <c r="F1551" s="1">
        <f>5.55215487775501*(38.9/42.5)</f>
        <v>5.0818546998745822</v>
      </c>
      <c r="G1551" s="1">
        <v>0.23122570722987157</v>
      </c>
      <c r="H1551" s="1">
        <v>2.0292878370976308</v>
      </c>
      <c r="I1551" s="1">
        <v>4.3246332006004238</v>
      </c>
      <c r="J1551" s="1">
        <v>1.524643727165092E-2</v>
      </c>
      <c r="K1551" s="1">
        <v>1.9872669415384701</v>
      </c>
      <c r="L1551" s="1">
        <v>2.1593391748974216</v>
      </c>
      <c r="M1551" s="1">
        <v>9.2152638886977639E-2</v>
      </c>
      <c r="N1551" s="1">
        <v>0.62170608378226999</v>
      </c>
      <c r="O1551" s="1">
        <v>0.21770285714285714</v>
      </c>
      <c r="P1551" s="1">
        <v>0.14516467830654936</v>
      </c>
      <c r="Q1551" s="1">
        <v>0.36953880150892748</v>
      </c>
      <c r="R1551" s="2">
        <f t="shared" si="99"/>
        <v>17.332364490115424</v>
      </c>
      <c r="S1551" s="2">
        <f t="shared" si="98"/>
        <v>2.1476780571166705</v>
      </c>
      <c r="T1551" s="2">
        <f t="shared" si="100"/>
        <v>3.0909007547095264</v>
      </c>
      <c r="U1551" s="2">
        <f t="shared" si="101"/>
        <v>22.570943301941622</v>
      </c>
    </row>
    <row r="1552" spans="1:21" x14ac:dyDescent="0.25">
      <c r="A1552">
        <v>3388565</v>
      </c>
      <c r="B1552">
        <v>10</v>
      </c>
      <c r="C1552" s="1">
        <f>0.645471702040077*(10.3/7.3)</f>
        <v>0.91073404534421776</v>
      </c>
      <c r="D1552" s="1">
        <f>0.76366933368352*(10.3/7.3)</f>
        <v>1.0775060461561998</v>
      </c>
      <c r="E1552" s="1">
        <f>2.69302970320001*(10.3/7.3)</f>
        <v>3.7997542387616532</v>
      </c>
      <c r="F1552" s="1">
        <f>6.10035923532681*(38.9/42.5)</f>
        <v>5.5836229236285417</v>
      </c>
      <c r="G1552" s="1">
        <v>0.25560873804596479</v>
      </c>
      <c r="H1552" s="1">
        <v>1.7051728277825464</v>
      </c>
      <c r="I1552" s="1">
        <v>4.7293009807280484</v>
      </c>
      <c r="J1552" s="1">
        <v>1.6234497575117478E-2</v>
      </c>
      <c r="K1552" s="1">
        <v>2.1501656010094075</v>
      </c>
      <c r="L1552" s="1">
        <v>2.3534030774154688</v>
      </c>
      <c r="M1552" s="1">
        <v>9.6996316574766053E-2</v>
      </c>
      <c r="N1552" s="1">
        <v>0.67017637978255995</v>
      </c>
      <c r="O1552" s="1">
        <v>0.23697600000000002</v>
      </c>
      <c r="P1552" s="1">
        <v>0.16148816741382785</v>
      </c>
      <c r="Q1552" s="1">
        <v>0.40850711559857428</v>
      </c>
      <c r="R1552" s="2">
        <f t="shared" si="99"/>
        <v>18.470206916045747</v>
      </c>
      <c r="S1552" s="2">
        <f t="shared" si="98"/>
        <v>2.3278882659983529</v>
      </c>
      <c r="T1552" s="2">
        <f t="shared" si="100"/>
        <v>3.3575517737727947</v>
      </c>
      <c r="U1552" s="2">
        <f t="shared" si="101"/>
        <v>24.155646955816895</v>
      </c>
    </row>
    <row r="1553" spans="1:21" x14ac:dyDescent="0.25">
      <c r="A1553">
        <v>3388581</v>
      </c>
      <c r="B1553">
        <v>49</v>
      </c>
      <c r="C1553" s="1">
        <f>0.784488548047106*(10.3/7.3)</f>
        <v>1.1068811020390674</v>
      </c>
      <c r="D1553" s="1">
        <f>0.928512826122912*(10.3/7.3)</f>
        <v>1.3100934395980819</v>
      </c>
      <c r="E1553" s="1">
        <f>3.2751444855662*(10.3/7.3)</f>
        <v>4.6210942741550545</v>
      </c>
      <c r="F1553" s="1">
        <f>7.37499504810473*(38.9/42.5)</f>
        <v>6.7502895852064455</v>
      </c>
      <c r="G1553" s="1">
        <v>0.30718760589785293</v>
      </c>
      <c r="H1553" s="1">
        <v>1.9711665088729395</v>
      </c>
      <c r="I1553" s="1">
        <v>5.7114039670328687</v>
      </c>
      <c r="J1553" s="1">
        <v>1.7522353213430777E-2</v>
      </c>
      <c r="K1553" s="1">
        <v>2.3387613102973863</v>
      </c>
      <c r="L1553" s="1">
        <v>2.6422864217221504</v>
      </c>
      <c r="M1553" s="1">
        <v>0.10213347835816147</v>
      </c>
      <c r="N1553" s="1">
        <v>0.72202823348286482</v>
      </c>
      <c r="O1553" s="1">
        <v>0.24865959183673469</v>
      </c>
      <c r="P1553" s="1">
        <v>0.18206254490626059</v>
      </c>
      <c r="Q1553" s="1">
        <v>0.49093909618378384</v>
      </c>
      <c r="R1553" s="2">
        <f t="shared" si="99"/>
        <v>22.269055578986094</v>
      </c>
      <c r="S1553" s="2">
        <f t="shared" si="98"/>
        <v>2.538346208417078</v>
      </c>
      <c r="T1553" s="2">
        <f t="shared" si="100"/>
        <v>3.7151077253999114</v>
      </c>
      <c r="U1553" s="2">
        <f t="shared" si="101"/>
        <v>28.522509512803083</v>
      </c>
    </row>
    <row r="1554" spans="1:21" x14ac:dyDescent="0.25">
      <c r="A1554">
        <v>3388821</v>
      </c>
      <c r="B1554">
        <v>12</v>
      </c>
      <c r="C1554" s="1">
        <f>1.8739297598359*(10.3/7.3)</f>
        <v>2.6440378803164046</v>
      </c>
      <c r="D1554" s="1">
        <f>2.16226343832294*(10.3/7.3)</f>
        <v>3.0508648513323724</v>
      </c>
      <c r="E1554" s="1">
        <f>7.62990786854064*(10.3/7.3)</f>
        <v>10.765486444653225</v>
      </c>
      <c r="F1554" s="1">
        <f>17.5048688389419*(38.9/42.5)</f>
        <v>16.022103478466807</v>
      </c>
      <c r="G1554" s="1">
        <v>0.73942308619559538</v>
      </c>
      <c r="H1554" s="1">
        <v>3.6001004238834273</v>
      </c>
      <c r="I1554" s="1">
        <v>13.70216280628812</v>
      </c>
      <c r="J1554" s="1">
        <v>3.0563089462617713E-2</v>
      </c>
      <c r="K1554" s="1">
        <v>3.2480924616761491</v>
      </c>
      <c r="L1554" s="1">
        <v>7.6362450798940431</v>
      </c>
      <c r="M1554" s="1">
        <v>0.13480781993809798</v>
      </c>
      <c r="N1554" s="1">
        <v>1.566540276160276</v>
      </c>
      <c r="O1554" s="1">
        <v>0.23804444444444439</v>
      </c>
      <c r="P1554" s="1">
        <v>0.20444512074542651</v>
      </c>
      <c r="Q1554" s="1">
        <v>1.1817263934632809</v>
      </c>
      <c r="R1554" s="2">
        <f t="shared" si="99"/>
        <v>51.705905364599225</v>
      </c>
      <c r="S1554" s="2">
        <f t="shared" si="98"/>
        <v>3.483100671884193</v>
      </c>
      <c r="T1554" s="2">
        <f t="shared" si="100"/>
        <v>9.5756376204368614</v>
      </c>
      <c r="U1554" s="2">
        <f t="shared" si="101"/>
        <v>64.764643656920285</v>
      </c>
    </row>
    <row r="1555" spans="1:21" x14ac:dyDescent="0.25">
      <c r="A1555">
        <v>3400681</v>
      </c>
      <c r="B1555">
        <v>20</v>
      </c>
      <c r="C1555" s="1">
        <f>0.448100188657718*(10.3/7.3)</f>
        <v>0.63225095111979446</v>
      </c>
      <c r="D1555" s="1">
        <f>0.588553605988247*(10.3/7.3)</f>
        <v>0.83042495091492419</v>
      </c>
      <c r="E1555" s="1">
        <f>2.06786575457067*(10.3/7.3)</f>
        <v>2.9176735989147802</v>
      </c>
      <c r="F1555" s="1">
        <f>4.57461736460107*(38.9/42.5)</f>
        <v>4.1871203643054509</v>
      </c>
      <c r="G1555" s="1">
        <v>0.19064165124462501</v>
      </c>
      <c r="H1555" s="1">
        <v>0.95599587649845907</v>
      </c>
      <c r="I1555" s="1">
        <v>3.4217039446703241</v>
      </c>
      <c r="J1555" s="1">
        <v>1.3230309315006877E-2</v>
      </c>
      <c r="K1555" s="1">
        <v>1.6875036741114127</v>
      </c>
      <c r="L1555" s="1">
        <v>1.6041915540361575</v>
      </c>
      <c r="M1555" s="1">
        <v>8.538124366023879E-2</v>
      </c>
      <c r="N1555" s="1">
        <v>0.51622981541299129</v>
      </c>
      <c r="O1555" s="1">
        <v>0.20811466666666661</v>
      </c>
      <c r="P1555" s="1">
        <v>0.1131164621900302</v>
      </c>
      <c r="Q1555" s="1">
        <v>0.30467843806218642</v>
      </c>
      <c r="R1555" s="2">
        <f t="shared" si="99"/>
        <v>13.440489775730544</v>
      </c>
      <c r="S1555" s="2">
        <f t="shared" si="98"/>
        <v>1.8138504456164497</v>
      </c>
      <c r="T1555" s="2">
        <f t="shared" si="100"/>
        <v>2.413917279776054</v>
      </c>
      <c r="U1555" s="2">
        <f t="shared" si="101"/>
        <v>17.668257501123048</v>
      </c>
    </row>
    <row r="1556" spans="1:21" x14ac:dyDescent="0.25">
      <c r="A1556">
        <v>3400689</v>
      </c>
      <c r="B1556">
        <v>65</v>
      </c>
      <c r="C1556" s="1">
        <f>0.513882216651848*(10.3/7.3)</f>
        <v>0.72506668924849726</v>
      </c>
      <c r="D1556" s="1">
        <f>0.671993492599948*(10.3/7.3)</f>
        <v>0.94815520188759805</v>
      </c>
      <c r="E1556" s="1">
        <f>2.36097896503393*(10.3/7.3)</f>
        <v>3.3312442931300699</v>
      </c>
      <c r="F1556" s="1">
        <f>5.24829377354125*(38.9/42.5)</f>
        <v>4.8037324186059944</v>
      </c>
      <c r="G1556" s="1">
        <v>0.21962118947455125</v>
      </c>
      <c r="H1556" s="1">
        <v>1.0941576677206128</v>
      </c>
      <c r="I1556" s="1">
        <v>3.9344431102326118</v>
      </c>
      <c r="J1556" s="1">
        <v>1.4415534044484668E-2</v>
      </c>
      <c r="K1556" s="1">
        <v>1.7909070372991782</v>
      </c>
      <c r="L1556" s="1">
        <v>1.6839272758267423</v>
      </c>
      <c r="M1556" s="1">
        <v>8.8546030950038407E-2</v>
      </c>
      <c r="N1556" s="1">
        <v>0.54732828564175096</v>
      </c>
      <c r="O1556" s="1">
        <v>0.21876676923076926</v>
      </c>
      <c r="P1556" s="1">
        <v>0.12306888495640411</v>
      </c>
      <c r="Q1556" s="1">
        <v>0.35099276856663481</v>
      </c>
      <c r="R1556" s="2">
        <f t="shared" si="99"/>
        <v>15.40741333886657</v>
      </c>
      <c r="S1556" s="2">
        <f t="shared" si="98"/>
        <v>1.928391456300067</v>
      </c>
      <c r="T1556" s="2">
        <f t="shared" si="100"/>
        <v>2.5385683616493009</v>
      </c>
      <c r="U1556" s="2">
        <f t="shared" si="101"/>
        <v>19.874373156815938</v>
      </c>
    </row>
    <row r="1557" spans="1:21" x14ac:dyDescent="0.25">
      <c r="A1557">
        <v>3400697</v>
      </c>
      <c r="B1557">
        <v>60</v>
      </c>
      <c r="C1557" s="1">
        <f>0.534049569098134*(10.3/7.3)</f>
        <v>0.75352199475490189</v>
      </c>
      <c r="D1557" s="1">
        <f>0.693897089352011*(10.3/7.3)</f>
        <v>0.97906027675694662</v>
      </c>
      <c r="E1557" s="1">
        <f>2.43796263625493*(10.3/7.3)</f>
        <v>3.4398650895103819</v>
      </c>
      <c r="F1557" s="1">
        <f>5.45241021308029*(38.9/42.5)</f>
        <v>4.9905589950311349</v>
      </c>
      <c r="G1557" s="1">
        <v>0.22930538324935296</v>
      </c>
      <c r="H1557" s="1">
        <v>1.701556211852481</v>
      </c>
      <c r="I1557" s="1">
        <v>4.1000346542647064</v>
      </c>
      <c r="J1557" s="1">
        <v>1.5104249534319743E-2</v>
      </c>
      <c r="K1557" s="1">
        <v>1.8851052027724795</v>
      </c>
      <c r="L1557" s="1">
        <v>1.8255913601110689</v>
      </c>
      <c r="M1557" s="1">
        <v>9.1385723281062564E-2</v>
      </c>
      <c r="N1557" s="1">
        <v>0.58712479144533403</v>
      </c>
      <c r="O1557" s="1">
        <v>0.23893333333333339</v>
      </c>
      <c r="P1557" s="1">
        <v>0.12962939952471306</v>
      </c>
      <c r="Q1557" s="1">
        <v>0.36646979058115825</v>
      </c>
      <c r="R1557" s="2">
        <f t="shared" si="99"/>
        <v>16.560372396001064</v>
      </c>
      <c r="S1557" s="2">
        <f t="shared" si="98"/>
        <v>2.0298388518315122</v>
      </c>
      <c r="T1557" s="2">
        <f t="shared" si="100"/>
        <v>2.7430352081707987</v>
      </c>
      <c r="U1557" s="2">
        <f t="shared" si="101"/>
        <v>21.333246456003376</v>
      </c>
    </row>
    <row r="1558" spans="1:21" x14ac:dyDescent="0.25">
      <c r="A1558">
        <v>3400705</v>
      </c>
      <c r="B1558">
        <v>49</v>
      </c>
      <c r="C1558" s="1">
        <f>0.532418604791461*(10.3/7.3)</f>
        <v>0.75122077114411656</v>
      </c>
      <c r="D1558" s="1">
        <f>0.68876867271448*(10.3/7.3)</f>
        <v>0.97182429163823925</v>
      </c>
      <c r="E1558" s="1">
        <f>2.41968245018446*(10.3/7.3)</f>
        <v>3.4140724982054702</v>
      </c>
      <c r="F1558" s="1">
        <f>5.44811106502075*(38.9/42.5)</f>
        <v>4.9866240101013481</v>
      </c>
      <c r="G1558" s="1">
        <v>0.23049143028640945</v>
      </c>
      <c r="H1558" s="1">
        <v>1.4892199307506111</v>
      </c>
      <c r="I1558" s="1">
        <v>4.107319851173223</v>
      </c>
      <c r="J1558" s="1">
        <v>1.6780398727882884E-2</v>
      </c>
      <c r="K1558" s="1">
        <v>1.9460757685786392</v>
      </c>
      <c r="L1558" s="1">
        <v>1.893503022277278</v>
      </c>
      <c r="M1558" s="1">
        <v>9.2164787354656205E-2</v>
      </c>
      <c r="N1558" s="1">
        <v>0.62890850815452015</v>
      </c>
      <c r="O1558" s="1">
        <v>0.25101605442176866</v>
      </c>
      <c r="P1558" s="1">
        <v>0.13219829270558786</v>
      </c>
      <c r="Q1558" s="1">
        <v>0.36836529954449049</v>
      </c>
      <c r="R1558" s="2">
        <f t="shared" si="99"/>
        <v>16.319138082843907</v>
      </c>
      <c r="S1558" s="2">
        <f t="shared" si="98"/>
        <v>2.0950544600121099</v>
      </c>
      <c r="T1558" s="2">
        <f t="shared" si="100"/>
        <v>2.8655923722082233</v>
      </c>
      <c r="U1558" s="2">
        <f t="shared" si="101"/>
        <v>21.279784915064241</v>
      </c>
    </row>
    <row r="1559" spans="1:21" x14ac:dyDescent="0.25">
      <c r="A1559">
        <v>3400785</v>
      </c>
      <c r="B1559">
        <v>18</v>
      </c>
      <c r="C1559" s="1">
        <f>0.748301795617237*(10.3/7.3)</f>
        <v>1.0558230814873348</v>
      </c>
      <c r="D1559" s="1">
        <f>0.863199498813459*(10.3/7.3)</f>
        <v>1.2179390188737853</v>
      </c>
      <c r="E1559" s="1">
        <f>3.04654015084997*(10.3/7.3)</f>
        <v>4.2985429525691377</v>
      </c>
      <c r="F1559" s="1">
        <f>6.96132108599666*(38.9/42.5)</f>
        <v>6.3716562410651765</v>
      </c>
      <c r="G1559" s="1">
        <v>0.2928615415759816</v>
      </c>
      <c r="H1559" s="1">
        <v>3.2031497662548123</v>
      </c>
      <c r="I1559" s="1">
        <v>5.4463095520454115</v>
      </c>
      <c r="J1559" s="1">
        <v>1.7415522620876592E-2</v>
      </c>
      <c r="K1559" s="1">
        <v>2.2277562784702156</v>
      </c>
      <c r="L1559" s="1">
        <v>2.4557614608033385</v>
      </c>
      <c r="M1559" s="1">
        <v>0.10585201611919254</v>
      </c>
      <c r="N1559" s="1">
        <v>0.69919260437771991</v>
      </c>
      <c r="O1559" s="1">
        <v>0.26858666666666664</v>
      </c>
      <c r="P1559" s="1">
        <v>0.16217028899148372</v>
      </c>
      <c r="Q1559" s="1">
        <v>0.4680435595963181</v>
      </c>
      <c r="R1559" s="2">
        <f t="shared" si="99"/>
        <v>22.354325713467958</v>
      </c>
      <c r="S1559" s="2">
        <f t="shared" si="98"/>
        <v>2.4073420900825759</v>
      </c>
      <c r="T1559" s="2">
        <f t="shared" si="100"/>
        <v>3.5293927479669178</v>
      </c>
      <c r="U1559" s="2">
        <f t="shared" si="101"/>
        <v>28.29106055151745</v>
      </c>
    </row>
    <row r="1560" spans="1:21" x14ac:dyDescent="0.25">
      <c r="A1560">
        <v>3400801</v>
      </c>
      <c r="B1560">
        <v>36</v>
      </c>
      <c r="C1560" s="1">
        <f>0.68813760547343*(10.3/7.3)</f>
        <v>0.97093388169538819</v>
      </c>
      <c r="D1560" s="1">
        <f>0.816479770672978*(10.3/7.3)</f>
        <v>1.1520194024563934</v>
      </c>
      <c r="E1560" s="1">
        <f>2.87875766639552*(10.3/7.3)</f>
        <v>4.061808762174496</v>
      </c>
      <c r="F1560" s="1">
        <f>6.52684630968893*(38.9/42.5)</f>
        <v>5.9739840340446912</v>
      </c>
      <c r="G1560" s="1">
        <v>0.27386437618137016</v>
      </c>
      <c r="H1560" s="1">
        <v>1.7717219199817573</v>
      </c>
      <c r="I1560" s="1">
        <v>5.0561874409331296</v>
      </c>
      <c r="J1560" s="1">
        <v>1.6534586374169651E-2</v>
      </c>
      <c r="K1560" s="1">
        <v>2.200922903787486</v>
      </c>
      <c r="L1560" s="1">
        <v>2.4094436366281533</v>
      </c>
      <c r="M1560" s="1">
        <v>9.8426279606723621E-2</v>
      </c>
      <c r="N1560" s="1">
        <v>0.68203803905992622</v>
      </c>
      <c r="O1560" s="1">
        <v>0.2468637037037037</v>
      </c>
      <c r="P1560" s="1">
        <v>0.16769921537973007</v>
      </c>
      <c r="Q1560" s="1">
        <v>0.43768279298392543</v>
      </c>
      <c r="R1560" s="2">
        <f t="shared" si="99"/>
        <v>19.698202610451151</v>
      </c>
      <c r="S1560" s="2">
        <f t="shared" si="98"/>
        <v>2.3851567055413856</v>
      </c>
      <c r="T1560" s="2">
        <f t="shared" si="100"/>
        <v>3.4367716589985067</v>
      </c>
      <c r="U1560" s="2">
        <f t="shared" si="101"/>
        <v>25.520130974991044</v>
      </c>
    </row>
    <row r="1561" spans="1:21" x14ac:dyDescent="0.25">
      <c r="A1561">
        <v>3400809</v>
      </c>
      <c r="B1561">
        <v>7</v>
      </c>
      <c r="C1561" s="1">
        <f>0.505432302782215*(10.3/7.3)</f>
        <v>0.71314420803517975</v>
      </c>
      <c r="D1561" s="1">
        <f>0.601264465413742*(10.3/7.3)</f>
        <v>0.84835945120021106</v>
      </c>
      <c r="E1561" s="1">
        <f>2.12185359851854*(10.3/7.3)</f>
        <v>2.9938482280467027</v>
      </c>
      <c r="F1561" s="1">
        <f>4.700793450814*(38.9/42.5)</f>
        <v>4.3026085938038703</v>
      </c>
      <c r="G1561" s="1">
        <v>0.19271704196136477</v>
      </c>
      <c r="H1561" s="1">
        <v>1.2746771643122461</v>
      </c>
      <c r="I1561" s="1">
        <v>3.6251729702441113</v>
      </c>
      <c r="J1561" s="1">
        <v>1.4582072797663586E-2</v>
      </c>
      <c r="K1561" s="1">
        <v>1.8730571578106936</v>
      </c>
      <c r="L1561" s="1">
        <v>2.1035288351075421</v>
      </c>
      <c r="M1561" s="1">
        <v>8.7882729296848247E-2</v>
      </c>
      <c r="N1561" s="1">
        <v>0.58926143819496679</v>
      </c>
      <c r="O1561" s="1">
        <v>0.17676190476190476</v>
      </c>
      <c r="P1561" s="1">
        <v>0.13743743821590593</v>
      </c>
      <c r="Q1561" s="1">
        <v>0.30799527254099424</v>
      </c>
      <c r="R1561" s="2">
        <f t="shared" si="99"/>
        <v>14.258522930144681</v>
      </c>
      <c r="S1561" s="2">
        <f t="shared" si="98"/>
        <v>2.025076668824263</v>
      </c>
      <c r="T1561" s="2">
        <f t="shared" si="100"/>
        <v>2.9574349073612622</v>
      </c>
      <c r="U1561" s="2">
        <f t="shared" si="101"/>
        <v>19.241034506330205</v>
      </c>
    </row>
    <row r="1562" spans="1:21" x14ac:dyDescent="0.25">
      <c r="A1562">
        <v>3400817</v>
      </c>
      <c r="B1562">
        <v>16</v>
      </c>
      <c r="C1562" s="1">
        <f>0.83820510733268*(10.3/7.3)</f>
        <v>1.1826729596611787</v>
      </c>
      <c r="D1562" s="1">
        <f>0.990948982575361*(10.3/7.3)</f>
        <v>1.3981882904830434</v>
      </c>
      <c r="E1562" s="1">
        <f>3.49445315941234*(10.3/7.3)</f>
        <v>4.9305298002667302</v>
      </c>
      <c r="F1562" s="1">
        <f>7.92533844447653*(38.9/42.5)</f>
        <v>7.2540156585914586</v>
      </c>
      <c r="G1562" s="1">
        <v>0.33243325701928322</v>
      </c>
      <c r="H1562" s="1">
        <v>2.5858453995177157</v>
      </c>
      <c r="I1562" s="1">
        <v>6.1467035410176534</v>
      </c>
      <c r="J1562" s="1">
        <v>1.8361933858892843E-2</v>
      </c>
      <c r="K1562" s="1">
        <v>2.4605248702184763</v>
      </c>
      <c r="L1562" s="1">
        <v>2.7692371557522297</v>
      </c>
      <c r="M1562" s="1">
        <v>0.10596989561488132</v>
      </c>
      <c r="N1562" s="1">
        <v>0.75967080409167176</v>
      </c>
      <c r="O1562" s="1">
        <v>0.27031666666666665</v>
      </c>
      <c r="P1562" s="1">
        <v>0.1950535047162518</v>
      </c>
      <c r="Q1562" s="1">
        <v>0.53128602719976814</v>
      </c>
      <c r="R1562" s="2">
        <f t="shared" si="99"/>
        <v>24.361674933756834</v>
      </c>
      <c r="S1562" s="2">
        <f t="shared" si="98"/>
        <v>2.6739403087936209</v>
      </c>
      <c r="T1562" s="2">
        <f t="shared" si="100"/>
        <v>3.9051945221254494</v>
      </c>
      <c r="U1562" s="2">
        <f t="shared" si="101"/>
        <v>30.940809764675905</v>
      </c>
    </row>
    <row r="1563" spans="1:21" x14ac:dyDescent="0.25">
      <c r="A1563">
        <v>3401033</v>
      </c>
      <c r="B1563">
        <v>10</v>
      </c>
      <c r="C1563" s="1">
        <f>1.99715460665158*(10.3/7.3)</f>
        <v>2.8179030751385357</v>
      </c>
      <c r="D1563" s="1">
        <f>2.33996567628187*(10.3/7.3)</f>
        <v>3.3015954062607258</v>
      </c>
      <c r="E1563" s="1">
        <f>8.24897367101946*(10.3/7.3)</f>
        <v>11.638962850890472</v>
      </c>
      <c r="F1563" s="1">
        <f>19.0208330877094*(38.9/42.5)</f>
        <v>17.40965663792694</v>
      </c>
      <c r="G1563" s="1">
        <v>0.80967981359033858</v>
      </c>
      <c r="H1563" s="1">
        <v>4.2690624014121274</v>
      </c>
      <c r="I1563" s="1">
        <v>14.830340688776491</v>
      </c>
      <c r="J1563" s="1">
        <v>3.4786633042427635E-2</v>
      </c>
      <c r="K1563" s="1">
        <v>3.9691093815067022</v>
      </c>
      <c r="L1563" s="1">
        <v>11.789612409011362</v>
      </c>
      <c r="M1563" s="1">
        <v>0.15381154055220986</v>
      </c>
      <c r="N1563" s="1">
        <v>2.3952591824597409</v>
      </c>
      <c r="O1563" s="1">
        <v>0.29170133333333337</v>
      </c>
      <c r="P1563" s="1">
        <v>0.25568247150069789</v>
      </c>
      <c r="Q1563" s="1">
        <v>1.2940088345051088</v>
      </c>
      <c r="R1563" s="2">
        <f t="shared" si="99"/>
        <v>56.371209708500729</v>
      </c>
      <c r="S1563" s="2">
        <f t="shared" si="98"/>
        <v>4.2595784860498282</v>
      </c>
      <c r="T1563" s="2">
        <f t="shared" si="100"/>
        <v>14.630384465356647</v>
      </c>
      <c r="U1563" s="2">
        <f t="shared" si="101"/>
        <v>75.261172659907203</v>
      </c>
    </row>
    <row r="1564" spans="1:21" x14ac:dyDescent="0.25">
      <c r="A1564">
        <v>3401057</v>
      </c>
      <c r="B1564">
        <v>15</v>
      </c>
      <c r="C1564" s="1">
        <f>1.33257817428044*(10.3/7.3)</f>
        <v>1.8802130404230906</v>
      </c>
      <c r="D1564" s="1">
        <f>1.52406810452972*(10.3/7.3)</f>
        <v>2.1503974625556332</v>
      </c>
      <c r="E1564" s="1">
        <f>5.38540786632832*(10.3/7.3)</f>
        <v>7.5985891812577684</v>
      </c>
      <c r="F1564" s="1">
        <f>12.0939206907337*(38.9/42.5)</f>
        <v>11.069494467518654</v>
      </c>
      <c r="G1564" s="1">
        <v>0.49909314775410729</v>
      </c>
      <c r="H1564" s="1">
        <v>2.4854101276424911</v>
      </c>
      <c r="I1564" s="1">
        <v>9.46323125719716</v>
      </c>
      <c r="J1564" s="1">
        <v>2.4957958739457487E-2</v>
      </c>
      <c r="K1564" s="1">
        <v>2.6123955190650121</v>
      </c>
      <c r="L1564" s="1">
        <v>5.6893905711691</v>
      </c>
      <c r="M1564" s="1">
        <v>0.11216307577048709</v>
      </c>
      <c r="N1564" s="1">
        <v>1.2730054498844869</v>
      </c>
      <c r="O1564" s="1">
        <v>0.19619555555555557</v>
      </c>
      <c r="P1564" s="1">
        <v>0.16935016037269257</v>
      </c>
      <c r="Q1564" s="1">
        <v>0.79763745074857406</v>
      </c>
      <c r="R1564" s="2">
        <f t="shared" si="99"/>
        <v>35.944066135097479</v>
      </c>
      <c r="S1564" s="2">
        <f t="shared" si="98"/>
        <v>2.806703638177162</v>
      </c>
      <c r="T1564" s="2">
        <f t="shared" si="100"/>
        <v>7.2707546523796305</v>
      </c>
      <c r="U1564" s="2">
        <f t="shared" si="101"/>
        <v>46.02152442565427</v>
      </c>
    </row>
    <row r="1565" spans="1:21" x14ac:dyDescent="0.25">
      <c r="A1565">
        <v>3401513</v>
      </c>
      <c r="B1565">
        <v>4</v>
      </c>
      <c r="C1565" s="1">
        <f>15.4328117825484*(10.3/7.3)</f>
        <v>21.775063200033983</v>
      </c>
      <c r="D1565" s="1">
        <f>15.513481065368*(10.3/7.3)</f>
        <v>21.888884242916486</v>
      </c>
      <c r="E1565" s="1">
        <f>55.7600435034488*(10.3/7.3)</f>
        <v>78.675129874729194</v>
      </c>
      <c r="F1565" s="1">
        <f>96.2459915396019*(38.9/42.5)</f>
        <v>88.093389903306218</v>
      </c>
      <c r="G1565" s="1">
        <v>2.5992199467588031</v>
      </c>
      <c r="H1565" s="1">
        <v>5.5030226446718213</v>
      </c>
      <c r="I1565" s="1">
        <v>76.196223971191941</v>
      </c>
      <c r="J1565" s="1">
        <v>4.626365056495188E-2</v>
      </c>
      <c r="K1565" s="1">
        <v>2.705378293394348</v>
      </c>
      <c r="L1565" s="1">
        <v>4.6551361143679442</v>
      </c>
      <c r="M1565" s="1">
        <v>0.14732745278314513</v>
      </c>
      <c r="N1565" s="1">
        <v>1.9731746700339354</v>
      </c>
      <c r="O1565" s="1">
        <v>0.13270666666666667</v>
      </c>
      <c r="P1565" s="1">
        <v>0.10032936061952313</v>
      </c>
      <c r="Q1565" s="1">
        <v>4.1540044811213788</v>
      </c>
      <c r="R1565" s="2">
        <f t="shared" si="99"/>
        <v>298.88493826472984</v>
      </c>
      <c r="S1565" s="2">
        <f t="shared" si="98"/>
        <v>2.8519713045788229</v>
      </c>
      <c r="T1565" s="2">
        <f t="shared" si="100"/>
        <v>6.9083449038516909</v>
      </c>
      <c r="U1565" s="2">
        <f t="shared" si="101"/>
        <v>308.64525447316032</v>
      </c>
    </row>
    <row r="1566" spans="1:21" x14ac:dyDescent="0.25">
      <c r="A1566">
        <v>3401521</v>
      </c>
      <c r="B1566">
        <v>2</v>
      </c>
      <c r="C1566" s="1">
        <f>11.1422132941942*(10.3/7.3)</f>
        <v>15.721205058931563</v>
      </c>
      <c r="D1566" s="1">
        <f>11.0491233491534*(10.3/7.3)</f>
        <v>15.589858972093101</v>
      </c>
      <c r="E1566" s="1">
        <f>39.7751846815939*(10.3/7.3)</f>
        <v>56.121150989098261</v>
      </c>
      <c r="F1566" s="1">
        <f>67.0895067304591*(38.9/42.5)</f>
        <v>61.406630866231978</v>
      </c>
      <c r="G1566" s="1">
        <v>1.7118907843358806</v>
      </c>
      <c r="H1566" s="1">
        <v>5.2972786269784606</v>
      </c>
      <c r="I1566" s="1">
        <v>53.282963345418494</v>
      </c>
      <c r="J1566" s="1">
        <v>4.1451857504266248E-2</v>
      </c>
      <c r="K1566" s="1">
        <v>2.5877751973017289</v>
      </c>
      <c r="L1566" s="1">
        <v>4.267503885206466</v>
      </c>
      <c r="M1566" s="1">
        <v>0.13935743245251231</v>
      </c>
      <c r="N1566" s="1">
        <v>2.0389941840361394</v>
      </c>
      <c r="O1566" s="1">
        <v>0.12597333333333333</v>
      </c>
      <c r="P1566" s="1">
        <v>9.8405842989337203E-2</v>
      </c>
      <c r="Q1566" s="1">
        <v>2.7358985137788072</v>
      </c>
      <c r="R1566" s="2">
        <f t="shared" si="99"/>
        <v>211.86687715686654</v>
      </c>
      <c r="S1566" s="2">
        <f t="shared" si="98"/>
        <v>2.7276328977953321</v>
      </c>
      <c r="T1566" s="2">
        <f t="shared" si="100"/>
        <v>6.5718288350284508</v>
      </c>
      <c r="U1566" s="2">
        <f t="shared" si="101"/>
        <v>221.16633888969031</v>
      </c>
    </row>
    <row r="1567" spans="1:21" x14ac:dyDescent="0.25">
      <c r="A1567">
        <v>3412917</v>
      </c>
      <c r="B1567">
        <v>37</v>
      </c>
      <c r="C1567" s="1">
        <f>0.468052078485338*(10.3/7.3)</f>
        <v>0.66040224772588829</v>
      </c>
      <c r="D1567" s="1">
        <f>0.612218053220128*(10.3/7.3)</f>
        <v>0.86381451344757854</v>
      </c>
      <c r="E1567" s="1">
        <f>2.15119767669506*(10.3/7.3)</f>
        <v>3.035251516432754</v>
      </c>
      <c r="F1567" s="1">
        <f>4.76893000135797*(38.9/42.5)</f>
        <v>4.3649735777135321</v>
      </c>
      <c r="G1567" s="1">
        <v>0.19902051618107655</v>
      </c>
      <c r="H1567" s="1">
        <v>0.99052183344442069</v>
      </c>
      <c r="I1567" s="1">
        <v>3.572906765101552</v>
      </c>
      <c r="J1567" s="1">
        <v>1.3529168476934203E-2</v>
      </c>
      <c r="K1567" s="1">
        <v>1.7296057072660429</v>
      </c>
      <c r="L1567" s="1">
        <v>1.645109557725658</v>
      </c>
      <c r="M1567" s="1">
        <v>8.7916588503681004E-2</v>
      </c>
      <c r="N1567" s="1">
        <v>0.53037314809448599</v>
      </c>
      <c r="O1567" s="1">
        <v>0.21413333333333331</v>
      </c>
      <c r="P1567" s="1">
        <v>0.11648845838197462</v>
      </c>
      <c r="Q1567" s="1">
        <v>0.31806931809761119</v>
      </c>
      <c r="R1567" s="2">
        <f t="shared" si="99"/>
        <v>14.004960288144414</v>
      </c>
      <c r="S1567" s="2">
        <f t="shared" si="98"/>
        <v>1.8596233341249517</v>
      </c>
      <c r="T1567" s="2">
        <f t="shared" si="100"/>
        <v>2.4775326276571583</v>
      </c>
      <c r="U1567" s="2">
        <f t="shared" si="101"/>
        <v>18.342116249926523</v>
      </c>
    </row>
    <row r="1568" spans="1:21" x14ac:dyDescent="0.25">
      <c r="A1568">
        <v>3412925</v>
      </c>
      <c r="B1568">
        <v>57</v>
      </c>
      <c r="C1568" s="1">
        <f>0.496509168795613*(10.3/7.3)</f>
        <v>0.70055403268422045</v>
      </c>
      <c r="D1568" s="1">
        <f>0.647475566907752*(10.3/7.3)</f>
        <v>0.91356141632189625</v>
      </c>
      <c r="E1568" s="1">
        <f>2.27502616917235*(10.3/7.3)</f>
        <v>3.209968430476053</v>
      </c>
      <c r="F1568" s="1">
        <f>5.06152516062026*(38.9/42.5)</f>
        <v>4.6327842058383073</v>
      </c>
      <c r="G1568" s="1">
        <v>0.21188680251802933</v>
      </c>
      <c r="H1568" s="1">
        <v>1.0809892346159296</v>
      </c>
      <c r="I1568" s="1">
        <v>3.7981792968552308</v>
      </c>
      <c r="J1568" s="1">
        <v>1.3927088037244838E-2</v>
      </c>
      <c r="K1568" s="1">
        <v>1.779356477395037</v>
      </c>
      <c r="L1568" s="1">
        <v>1.6791626025450217</v>
      </c>
      <c r="M1568" s="1">
        <v>8.7414536783823729E-2</v>
      </c>
      <c r="N1568" s="1">
        <v>0.54721160925354662</v>
      </c>
      <c r="O1568" s="1">
        <v>0.22021988304093568</v>
      </c>
      <c r="P1568" s="1">
        <v>0.12265240950058291</v>
      </c>
      <c r="Q1568" s="1">
        <v>0.33863187617036689</v>
      </c>
      <c r="R1568" s="2">
        <f t="shared" si="99"/>
        <v>14.886555295480033</v>
      </c>
      <c r="S1568" s="2">
        <f t="shared" si="98"/>
        <v>1.9159359749328648</v>
      </c>
      <c r="T1568" s="2">
        <f t="shared" si="100"/>
        <v>2.5340086316233279</v>
      </c>
      <c r="U1568" s="2">
        <f t="shared" si="101"/>
        <v>19.336499902036223</v>
      </c>
    </row>
    <row r="1569" spans="1:21" x14ac:dyDescent="0.25">
      <c r="A1569">
        <v>3412933</v>
      </c>
      <c r="B1569">
        <v>40</v>
      </c>
      <c r="C1569" s="1">
        <f>0.774368888003744*(10.3/7.3)</f>
        <v>1.0926026775943241</v>
      </c>
      <c r="D1569" s="1">
        <f>0.999898964286696*(10.3/7.3)</f>
        <v>1.4108163468702704</v>
      </c>
      <c r="E1569" s="1">
        <f>3.51214821592588*(10.3/7.3)</f>
        <v>4.9554967978132343</v>
      </c>
      <c r="F1569" s="1">
        <f>7.95044910631969*(38.9/42.5)</f>
        <v>7.2769992996667314</v>
      </c>
      <c r="G1569" s="1">
        <v>0.33802734700789561</v>
      </c>
      <c r="H1569" s="1">
        <v>1.9826837179333556</v>
      </c>
      <c r="I1569" s="1">
        <v>6.0031534663140658</v>
      </c>
      <c r="J1569" s="1">
        <v>2.0410658712971798E-2</v>
      </c>
      <c r="K1569" s="1">
        <v>2.3770711002957947</v>
      </c>
      <c r="L1569" s="1">
        <v>2.5944885153240556</v>
      </c>
      <c r="M1569" s="1">
        <v>0.1188486711337116</v>
      </c>
      <c r="N1569" s="1">
        <v>0.7918331932201178</v>
      </c>
      <c r="O1569" s="1">
        <v>0.34656933333333334</v>
      </c>
      <c r="P1569" s="1">
        <v>0.15711691541697953</v>
      </c>
      <c r="Q1569" s="1">
        <v>0.54022635366558724</v>
      </c>
      <c r="R1569" s="2">
        <f t="shared" si="99"/>
        <v>23.600006006865463</v>
      </c>
      <c r="S1569" s="2">
        <f t="shared" si="98"/>
        <v>2.5545986744257458</v>
      </c>
      <c r="T1569" s="2">
        <f t="shared" si="100"/>
        <v>3.8517397130112183</v>
      </c>
      <c r="U1569" s="2">
        <f t="shared" si="101"/>
        <v>30.006344394302431</v>
      </c>
    </row>
    <row r="1570" spans="1:21" x14ac:dyDescent="0.25">
      <c r="A1570">
        <v>3412941</v>
      </c>
      <c r="B1570">
        <v>12</v>
      </c>
      <c r="C1570" s="1">
        <f>0.618381220983415*(10.3/7.3)</f>
        <v>0.87251048988070867</v>
      </c>
      <c r="D1570" s="1">
        <f>0.797619013631555*(10.3/7.3)</f>
        <v>1.1254076493705503</v>
      </c>
      <c r="E1570" s="1">
        <f>2.80169729062817*(10.3/7.3)</f>
        <v>3.9530797388315246</v>
      </c>
      <c r="F1570" s="1">
        <f>6.34597413680889*(38.9/42.5)</f>
        <v>5.8084327981615527</v>
      </c>
      <c r="G1570" s="1">
        <v>0.2699183066830228</v>
      </c>
      <c r="H1570" s="1">
        <v>1.7213356299344031</v>
      </c>
      <c r="I1570" s="1">
        <v>4.7937055191213771</v>
      </c>
      <c r="J1570" s="1">
        <v>1.9259901854014182E-2</v>
      </c>
      <c r="K1570" s="1">
        <v>2.1099445012999425</v>
      </c>
      <c r="L1570" s="1">
        <v>2.0627068971089781</v>
      </c>
      <c r="M1570" s="1">
        <v>9.9663047412587247E-2</v>
      </c>
      <c r="N1570" s="1">
        <v>0.70801102861220644</v>
      </c>
      <c r="O1570" s="1">
        <v>0.27196000000000004</v>
      </c>
      <c r="P1570" s="1">
        <v>0.14068966017127174</v>
      </c>
      <c r="Q1570" s="1">
        <v>0.43137628921944343</v>
      </c>
      <c r="R1570" s="2">
        <f t="shared" si="99"/>
        <v>18.975766421202582</v>
      </c>
      <c r="S1570" s="2">
        <f t="shared" si="98"/>
        <v>2.2698940633252285</v>
      </c>
      <c r="T1570" s="2">
        <f t="shared" si="100"/>
        <v>3.1423409731337717</v>
      </c>
      <c r="U1570" s="2">
        <f t="shared" si="101"/>
        <v>24.388001457661581</v>
      </c>
    </row>
    <row r="1571" spans="1:21" x14ac:dyDescent="0.25">
      <c r="A1571">
        <v>3413021</v>
      </c>
      <c r="B1571">
        <v>7</v>
      </c>
      <c r="C1571" s="1">
        <f>0.454564749175629*(10.3/7.3)</f>
        <v>0.64137218034369592</v>
      </c>
      <c r="D1571" s="1">
        <f>0.535403372821113*(10.3/7.3)</f>
        <v>0.75543215617225612</v>
      </c>
      <c r="E1571" s="1">
        <f>1.88962012585029*(10.3/7.3)</f>
        <v>2.6661763419531459</v>
      </c>
      <c r="F1571" s="1">
        <f>4.22194769004535*(38.9/42.5)</f>
        <v>3.8643238857120998</v>
      </c>
      <c r="G1571" s="1">
        <v>0.17429296779946543</v>
      </c>
      <c r="H1571" s="1">
        <v>1.328854422848877</v>
      </c>
      <c r="I1571" s="1">
        <v>3.270528053470668</v>
      </c>
      <c r="J1571" s="1">
        <v>1.4185636332346329E-2</v>
      </c>
      <c r="K1571" s="1">
        <v>1.8198238993083613</v>
      </c>
      <c r="L1571" s="1">
        <v>1.9605346046640431</v>
      </c>
      <c r="M1571" s="1">
        <v>8.7661847284937353E-2</v>
      </c>
      <c r="N1571" s="1">
        <v>0.57815209607351314</v>
      </c>
      <c r="O1571" s="1">
        <v>0.17854476190476193</v>
      </c>
      <c r="P1571" s="1">
        <v>0.13011880959215369</v>
      </c>
      <c r="Q1571" s="1">
        <v>0.27855040515896329</v>
      </c>
      <c r="R1571" s="2">
        <f t="shared" si="99"/>
        <v>12.979530413459171</v>
      </c>
      <c r="S1571" s="2">
        <f t="shared" si="98"/>
        <v>1.9641283452328613</v>
      </c>
      <c r="T1571" s="2">
        <f t="shared" si="100"/>
        <v>2.8048933099272553</v>
      </c>
      <c r="U1571" s="2">
        <f t="shared" si="101"/>
        <v>17.74855206861929</v>
      </c>
    </row>
    <row r="1572" spans="1:21" x14ac:dyDescent="0.25">
      <c r="A1572">
        <v>3413029</v>
      </c>
      <c r="B1572">
        <v>55</v>
      </c>
      <c r="C1572" s="1">
        <f>0.772331263328691*(10.3/7.3)</f>
        <v>1.0897276729158243</v>
      </c>
      <c r="D1572" s="1">
        <f>0.912700225390749*(10.3/7.3)</f>
        <v>1.2877825097979065</v>
      </c>
      <c r="E1572" s="1">
        <f>3.21758993605082*(10.3/7.3)</f>
        <v>4.5398871700443042</v>
      </c>
      <c r="F1572" s="1">
        <f>7.34772005991289*(38.9/42.5)</f>
        <v>6.7253249489555662</v>
      </c>
      <c r="G1572" s="1">
        <v>0.31029696949541619</v>
      </c>
      <c r="H1572" s="1">
        <v>1.9783306478447182</v>
      </c>
      <c r="I1572" s="1">
        <v>5.7055275558201997</v>
      </c>
      <c r="J1572" s="1">
        <v>1.7265056044006986E-2</v>
      </c>
      <c r="K1572" s="1">
        <v>2.3113630851151434</v>
      </c>
      <c r="L1572" s="1">
        <v>2.5018294539967529</v>
      </c>
      <c r="M1572" s="1">
        <v>0.10386432020421696</v>
      </c>
      <c r="N1572" s="1">
        <v>0.71308101182854011</v>
      </c>
      <c r="O1572" s="1">
        <v>0.27491587878787871</v>
      </c>
      <c r="P1572" s="1">
        <v>0.17771581415109439</v>
      </c>
      <c r="Q1572" s="1">
        <v>0.49590839873696707</v>
      </c>
      <c r="R1572" s="2">
        <f t="shared" si="99"/>
        <v>22.132785873610903</v>
      </c>
      <c r="S1572" s="2">
        <f t="shared" si="98"/>
        <v>2.5063439553102445</v>
      </c>
      <c r="T1572" s="2">
        <f t="shared" si="100"/>
        <v>3.5936906648173892</v>
      </c>
      <c r="U1572" s="2">
        <f t="shared" si="101"/>
        <v>28.232820493738537</v>
      </c>
    </row>
    <row r="1573" spans="1:21" x14ac:dyDescent="0.25">
      <c r="A1573">
        <v>3413045</v>
      </c>
      <c r="B1573">
        <v>52</v>
      </c>
      <c r="C1573" s="1">
        <f>0.780851087158811*(10.3/7.3)</f>
        <v>1.1017487942103779</v>
      </c>
      <c r="D1573" s="1">
        <f>0.927623447620186*(10.3/7.3)</f>
        <v>1.3088385630805368</v>
      </c>
      <c r="E1573" s="1">
        <f>3.26961084472395*(10.3/7.3)</f>
        <v>4.6132865343365355</v>
      </c>
      <c r="F1573" s="1">
        <f>7.45505349850774*(38.9/42.5)</f>
        <v>6.8235666139282625</v>
      </c>
      <c r="G1573" s="1">
        <v>0.31464860470039702</v>
      </c>
      <c r="H1573" s="1">
        <v>1.9421847683406785</v>
      </c>
      <c r="I1573" s="1">
        <v>5.7782178514254037</v>
      </c>
      <c r="J1573" s="1">
        <v>1.7714396485519646E-2</v>
      </c>
      <c r="K1573" s="1">
        <v>2.3561494939168339</v>
      </c>
      <c r="L1573" s="1">
        <v>2.6198334406203498</v>
      </c>
      <c r="M1573" s="1">
        <v>0.10391603970006918</v>
      </c>
      <c r="N1573" s="1">
        <v>0.72998128298960019</v>
      </c>
      <c r="O1573" s="1">
        <v>0.25551692307692309</v>
      </c>
      <c r="P1573" s="1">
        <v>0.18426523262694325</v>
      </c>
      <c r="Q1573" s="1">
        <v>0.50286306687278126</v>
      </c>
      <c r="R1573" s="2">
        <f t="shared" si="99"/>
        <v>22.385354796894973</v>
      </c>
      <c r="S1573" s="2">
        <f t="shared" si="98"/>
        <v>2.5581291230292971</v>
      </c>
      <c r="T1573" s="2">
        <f t="shared" si="100"/>
        <v>3.7092476863869424</v>
      </c>
      <c r="U1573" s="2">
        <f t="shared" si="101"/>
        <v>28.65273160631121</v>
      </c>
    </row>
    <row r="1574" spans="1:21" x14ac:dyDescent="0.25">
      <c r="A1574">
        <v>3413293</v>
      </c>
      <c r="B1574">
        <v>8</v>
      </c>
      <c r="C1574" s="1">
        <f>1.86783921429081*(10.3/7.3)</f>
        <v>2.6354443708486834</v>
      </c>
      <c r="D1574" s="1">
        <f>2.15262346148227*(10.3/7.3)</f>
        <v>3.0372632401736164</v>
      </c>
      <c r="E1574" s="1">
        <f>7.59876170604458*(10.3/7.3)</f>
        <v>10.721540489350568</v>
      </c>
      <c r="F1574" s="1">
        <f>17.3104894476949*(38.9/42.5)</f>
        <v>15.844189165066611</v>
      </c>
      <c r="G1574" s="1">
        <v>0.72591733549184834</v>
      </c>
      <c r="H1574" s="1">
        <v>3.4355471983037775</v>
      </c>
      <c r="I1574" s="1">
        <v>13.541052339879819</v>
      </c>
      <c r="J1574" s="1">
        <v>3.0760044837015263E-2</v>
      </c>
      <c r="K1574" s="1">
        <v>3.1769887015841523</v>
      </c>
      <c r="L1574" s="1">
        <v>7.9407284229375446</v>
      </c>
      <c r="M1574" s="1">
        <v>0.13571278585697302</v>
      </c>
      <c r="N1574" s="1">
        <v>1.5761679500547205</v>
      </c>
      <c r="O1574" s="1">
        <v>0.23805333333333334</v>
      </c>
      <c r="P1574" s="1">
        <v>0.20452671308476017</v>
      </c>
      <c r="Q1574" s="1">
        <v>1.1601418603751015</v>
      </c>
      <c r="R1574" s="2">
        <f t="shared" si="99"/>
        <v>51.101095999490028</v>
      </c>
      <c r="S1574" s="2">
        <f t="shared" si="98"/>
        <v>3.4122754595059277</v>
      </c>
      <c r="T1574" s="2">
        <f t="shared" si="100"/>
        <v>9.890662492182571</v>
      </c>
      <c r="U1574" s="2">
        <f t="shared" si="101"/>
        <v>64.404033951178519</v>
      </c>
    </row>
    <row r="1575" spans="1:21" x14ac:dyDescent="0.25">
      <c r="A1575">
        <v>3413741</v>
      </c>
      <c r="B1575">
        <v>21</v>
      </c>
      <c r="C1575" s="1">
        <f>15.2164539832318*(10.3/7.3)</f>
        <v>21.469791236614668</v>
      </c>
      <c r="D1575" s="1">
        <f>15.3174208622925*(10.3/7.3)</f>
        <v>21.612251353645526</v>
      </c>
      <c r="E1575" s="1">
        <f>55.0366959031888*(10.3/7.3)</f>
        <v>77.654516137376021</v>
      </c>
      <c r="F1575" s="1">
        <f>95.7190789671296*(38.9/42.5)</f>
        <v>87.611109925208041</v>
      </c>
      <c r="G1575" s="1">
        <v>2.6276020133060438</v>
      </c>
      <c r="H1575" s="1">
        <v>5.3689391283791412</v>
      </c>
      <c r="I1575" s="1">
        <v>75.808628169910548</v>
      </c>
      <c r="J1575" s="1">
        <v>5.55403042648401E-2</v>
      </c>
      <c r="K1575" s="1">
        <v>3.0449609834262916</v>
      </c>
      <c r="L1575" s="1">
        <v>5.4368279967536433</v>
      </c>
      <c r="M1575" s="1">
        <v>0.16516781622589244</v>
      </c>
      <c r="N1575" s="1">
        <v>2.3600619626924422</v>
      </c>
      <c r="O1575" s="1">
        <v>0.14656507936507937</v>
      </c>
      <c r="P1575" s="1">
        <v>0.11027265563584929</v>
      </c>
      <c r="Q1575" s="1">
        <v>4.1993639482060114</v>
      </c>
      <c r="R1575" s="2">
        <f t="shared" si="99"/>
        <v>296.35220191264597</v>
      </c>
      <c r="S1575" s="2">
        <f t="shared" si="98"/>
        <v>3.2107739433269811</v>
      </c>
      <c r="T1575" s="2">
        <f t="shared" si="100"/>
        <v>8.1086228550370567</v>
      </c>
      <c r="U1575" s="2">
        <f t="shared" si="101"/>
        <v>307.67159871101001</v>
      </c>
    </row>
    <row r="1576" spans="1:21" x14ac:dyDescent="0.25">
      <c r="A1576">
        <v>3413749</v>
      </c>
      <c r="B1576">
        <v>28</v>
      </c>
      <c r="C1576" s="1">
        <f>14.4134692513828*(10.3/7.3)</f>
        <v>20.336812779348378</v>
      </c>
      <c r="D1576" s="1">
        <f>14.3495042437937*(10.3/7.3)</f>
        <v>20.246560782339049</v>
      </c>
      <c r="E1576" s="1">
        <f>51.6274494604538*(10.3/7.3)</f>
        <v>72.844209512695087</v>
      </c>
      <c r="F1576" s="1">
        <f>87.9431100298792*(38.9/42.5)</f>
        <v>80.493811297936475</v>
      </c>
      <c r="G1576" s="1">
        <v>2.2984492352431038</v>
      </c>
      <c r="H1576" s="1">
        <v>5.5075814042475359</v>
      </c>
      <c r="I1576" s="1">
        <v>69.807978084631955</v>
      </c>
      <c r="J1576" s="1">
        <v>5.1483397358295782E-2</v>
      </c>
      <c r="K1576" s="1">
        <v>3.0610059918360997</v>
      </c>
      <c r="L1576" s="1">
        <v>5.4604764933533021</v>
      </c>
      <c r="M1576" s="1">
        <v>0.16558117406608891</v>
      </c>
      <c r="N1576" s="1">
        <v>2.160148094977437</v>
      </c>
      <c r="O1576" s="1">
        <v>0.14669142857142861</v>
      </c>
      <c r="P1576" s="1">
        <v>0.11099332508009538</v>
      </c>
      <c r="Q1576" s="1">
        <v>3.6733206955940054</v>
      </c>
      <c r="R1576" s="2">
        <f t="shared" si="99"/>
        <v>275.20872379203558</v>
      </c>
      <c r="S1576" s="2">
        <f t="shared" si="98"/>
        <v>3.2234827142744908</v>
      </c>
      <c r="T1576" s="2">
        <f t="shared" si="100"/>
        <v>7.9328971909682569</v>
      </c>
      <c r="U1576" s="2">
        <f t="shared" si="101"/>
        <v>286.36510369727836</v>
      </c>
    </row>
    <row r="1577" spans="1:21" x14ac:dyDescent="0.25">
      <c r="A1577">
        <v>3425153</v>
      </c>
      <c r="B1577">
        <v>35</v>
      </c>
      <c r="C1577" s="1">
        <f>0.421602119247925*(10.3/7.3)</f>
        <v>0.5948632641443331</v>
      </c>
      <c r="D1577" s="1">
        <f>0.549414446548273*(10.3/7.3)</f>
        <v>0.77520120540372794</v>
      </c>
      <c r="E1577" s="1">
        <f>1.93110455092249*(10.3/7.3)</f>
        <v>2.724709160890634</v>
      </c>
      <c r="F1577" s="1">
        <f>4.26711634502947*(38.9/42.5)</f>
        <v>3.9056664899210949</v>
      </c>
      <c r="G1577" s="1">
        <v>0.17737693096200632</v>
      </c>
      <c r="H1577" s="1">
        <v>0.89291224135917235</v>
      </c>
      <c r="I1577" s="1">
        <v>3.1984557187704787</v>
      </c>
      <c r="J1577" s="1">
        <v>1.2512601708071657E-2</v>
      </c>
      <c r="K1577" s="1">
        <v>1.6042308846690425</v>
      </c>
      <c r="L1577" s="1">
        <v>1.5370494491556339</v>
      </c>
      <c r="M1577" s="1">
        <v>8.0786858948709794E-2</v>
      </c>
      <c r="N1577" s="1">
        <v>0.48919197039958473</v>
      </c>
      <c r="O1577" s="1">
        <v>0.19509790476190481</v>
      </c>
      <c r="P1577" s="1">
        <v>0.10820400889356038</v>
      </c>
      <c r="Q1577" s="1">
        <v>0.28347911340959953</v>
      </c>
      <c r="R1577" s="2">
        <f t="shared" si="99"/>
        <v>12.552664124861048</v>
      </c>
      <c r="S1577" s="2">
        <f t="shared" si="98"/>
        <v>1.7249474952706745</v>
      </c>
      <c r="T1577" s="2">
        <f t="shared" si="100"/>
        <v>2.3021261832658331</v>
      </c>
      <c r="U1577" s="2">
        <f t="shared" si="101"/>
        <v>16.579737803397556</v>
      </c>
    </row>
    <row r="1578" spans="1:21" x14ac:dyDescent="0.25">
      <c r="A1578">
        <v>3425161</v>
      </c>
      <c r="B1578">
        <v>60</v>
      </c>
      <c r="C1578" s="1">
        <f>0.523495500038593*(10.3/7.3)</f>
        <v>0.73863063704075516</v>
      </c>
      <c r="D1578" s="1">
        <f>0.679855105724151*(10.3/7.3)</f>
        <v>0.95924761492585675</v>
      </c>
      <c r="E1578" s="1">
        <f>2.38878261778018*(10.3/7.3)</f>
        <v>3.3704741045391535</v>
      </c>
      <c r="F1578" s="1">
        <f>5.33707924081624*(38.9/42.5)</f>
        <v>4.884997234535331</v>
      </c>
      <c r="G1578" s="1">
        <v>0.2242124500478607</v>
      </c>
      <c r="H1578" s="1">
        <v>1.2943062233064082</v>
      </c>
      <c r="I1578" s="1">
        <v>4.0131144920722033</v>
      </c>
      <c r="J1578" s="1">
        <v>1.4789545255659382E-2</v>
      </c>
      <c r="K1578" s="1">
        <v>1.8742105336643557</v>
      </c>
      <c r="L1578" s="1">
        <v>1.8136018935695226</v>
      </c>
      <c r="M1578" s="1">
        <v>9.332354234852866E-2</v>
      </c>
      <c r="N1578" s="1">
        <v>0.58599902179579644</v>
      </c>
      <c r="O1578" s="1">
        <v>0.23673511111111104</v>
      </c>
      <c r="P1578" s="1">
        <v>0.12791979406364876</v>
      </c>
      <c r="Q1578" s="1">
        <v>0.35833039961986907</v>
      </c>
      <c r="R1578" s="2">
        <f t="shared" si="99"/>
        <v>15.843313156087437</v>
      </c>
      <c r="S1578" s="2">
        <f t="shared" si="98"/>
        <v>2.0169198729836642</v>
      </c>
      <c r="T1578" s="2">
        <f t="shared" si="100"/>
        <v>2.7296595688249585</v>
      </c>
      <c r="U1578" s="2">
        <f t="shared" si="101"/>
        <v>20.589892597896061</v>
      </c>
    </row>
    <row r="1579" spans="1:21" x14ac:dyDescent="0.25">
      <c r="A1579">
        <v>3425169</v>
      </c>
      <c r="B1579">
        <v>20</v>
      </c>
      <c r="C1579" s="1">
        <f>0.587460500385049*(10.3/7.3)</f>
        <v>0.82888262383096001</v>
      </c>
      <c r="D1579" s="1">
        <f>0.759074114414385*(10.3/7.3)</f>
        <v>1.0710223806120782</v>
      </c>
      <c r="E1579" s="1">
        <f>2.66662149139011*(10.3/7.3)</f>
        <v>3.7624933371668692</v>
      </c>
      <c r="F1579" s="1">
        <f>6.01354364062672*(38.9/42.5)</f>
        <v>5.5041611204795116</v>
      </c>
      <c r="G1579" s="1">
        <v>0.25475574326467554</v>
      </c>
      <c r="H1579" s="1">
        <v>1.8522672038607879</v>
      </c>
      <c r="I1579" s="1">
        <v>4.5365151794027687</v>
      </c>
      <c r="J1579" s="1">
        <v>1.7626692727860823E-2</v>
      </c>
      <c r="K1579" s="1">
        <v>2.0470676058431478</v>
      </c>
      <c r="L1579" s="1">
        <v>1.9657047032806165</v>
      </c>
      <c r="M1579" s="1">
        <v>9.857542052544567E-2</v>
      </c>
      <c r="N1579" s="1">
        <v>0.66178356393214088</v>
      </c>
      <c r="O1579" s="1">
        <v>0.26268799999999998</v>
      </c>
      <c r="P1579" s="1">
        <v>0.14007986917095622</v>
      </c>
      <c r="Q1579" s="1">
        <v>0.40714388192984713</v>
      </c>
      <c r="R1579" s="2">
        <f t="shared" si="99"/>
        <v>18.217241470547499</v>
      </c>
      <c r="S1579" s="2">
        <f t="shared" si="98"/>
        <v>2.2047741677419648</v>
      </c>
      <c r="T1579" s="2">
        <f t="shared" si="100"/>
        <v>2.988751687738203</v>
      </c>
      <c r="U1579" s="2">
        <f t="shared" si="101"/>
        <v>23.410767326027667</v>
      </c>
    </row>
    <row r="1580" spans="1:21" x14ac:dyDescent="0.25">
      <c r="A1580">
        <v>3425177</v>
      </c>
      <c r="B1580">
        <v>8</v>
      </c>
      <c r="C1580" s="1">
        <f>0.66285713940528*(10.3/7.3)</f>
        <v>0.9352641829964915</v>
      </c>
      <c r="D1580" s="1">
        <f>0.84714625815442*(10.3/7.3)</f>
        <v>1.1952885560261002</v>
      </c>
      <c r="E1580" s="1">
        <f>2.97636148614281*(10.3/7.3)</f>
        <v>4.1995237407220536</v>
      </c>
      <c r="F1580" s="1">
        <f>6.76745044443375*(38.9/42.5)</f>
        <v>6.1942075832581898</v>
      </c>
      <c r="G1580" s="1">
        <v>0.28847586086086219</v>
      </c>
      <c r="H1580" s="1">
        <v>3.0461871419628515</v>
      </c>
      <c r="I1580" s="1">
        <v>5.1294977812334173</v>
      </c>
      <c r="J1580" s="1">
        <v>2.6690812433842852E-2</v>
      </c>
      <c r="K1580" s="1">
        <v>2.1925009820546437</v>
      </c>
      <c r="L1580" s="1">
        <v>2.2419972546458427</v>
      </c>
      <c r="M1580" s="1">
        <v>0.10551685405415599</v>
      </c>
      <c r="N1580" s="1">
        <v>0.73682595071865231</v>
      </c>
      <c r="O1580" s="1">
        <v>0.29792666666666667</v>
      </c>
      <c r="P1580" s="1">
        <v>0.15023699783935032</v>
      </c>
      <c r="Q1580" s="1">
        <v>0.46103448082786247</v>
      </c>
      <c r="R1580" s="2">
        <f t="shared" si="99"/>
        <v>21.449479327887829</v>
      </c>
      <c r="S1580" s="2">
        <f t="shared" si="98"/>
        <v>2.3694287923278368</v>
      </c>
      <c r="T1580" s="2">
        <f t="shared" si="100"/>
        <v>3.3822667260853176</v>
      </c>
      <c r="U1580" s="2">
        <f t="shared" si="101"/>
        <v>27.201174846300987</v>
      </c>
    </row>
    <row r="1581" spans="1:21" x14ac:dyDescent="0.25">
      <c r="A1581">
        <v>3425225</v>
      </c>
      <c r="B1581">
        <v>6</v>
      </c>
      <c r="C1581" s="1">
        <f>0.431522619840565*(10.3/7.3)</f>
        <v>0.60886068278874306</v>
      </c>
      <c r="D1581" s="1">
        <f>0.498556170240461*(10.3/7.3)</f>
        <v>0.70344226759955508</v>
      </c>
      <c r="E1581" s="1">
        <f>1.76093848742355*(10.3/7.3)</f>
        <v>2.4846118384195255</v>
      </c>
      <c r="F1581" s="1">
        <f>3.94817765572318*(38.9/42.5)</f>
        <v>3.6137437837089843</v>
      </c>
      <c r="G1581" s="1">
        <v>0.1629810154438234</v>
      </c>
      <c r="H1581" s="1">
        <v>1.2298733552891863</v>
      </c>
      <c r="I1581" s="1">
        <v>3.0787352798566743</v>
      </c>
      <c r="J1581" s="1">
        <v>1.3886591496123318E-2</v>
      </c>
      <c r="K1581" s="1">
        <v>1.7234841924957423</v>
      </c>
      <c r="L1581" s="1">
        <v>1.7945097555404901</v>
      </c>
      <c r="M1581" s="1">
        <v>8.6417998100629459E-2</v>
      </c>
      <c r="N1581" s="1">
        <v>0.56338929737224708</v>
      </c>
      <c r="O1581" s="1">
        <v>0.18471111111111113</v>
      </c>
      <c r="P1581" s="1">
        <v>0.12162483073645969</v>
      </c>
      <c r="Q1581" s="1">
        <v>0.260471942490129</v>
      </c>
      <c r="R1581" s="2">
        <f t="shared" si="99"/>
        <v>12.142720165596621</v>
      </c>
      <c r="S1581" s="2">
        <f t="shared" si="98"/>
        <v>1.8589956147283253</v>
      </c>
      <c r="T1581" s="2">
        <f t="shared" si="100"/>
        <v>2.6290281621244778</v>
      </c>
      <c r="U1581" s="2">
        <f t="shared" si="101"/>
        <v>16.630743942449424</v>
      </c>
    </row>
    <row r="1582" spans="1:21" x14ac:dyDescent="0.25">
      <c r="A1582">
        <v>3425233</v>
      </c>
      <c r="B1582">
        <v>27</v>
      </c>
      <c r="C1582" s="1">
        <f>0.565426850119437*(10.3/7.3)</f>
        <v>0.79779404879865845</v>
      </c>
      <c r="D1582" s="1">
        <f>0.653886785904702*(10.3/7.3)</f>
        <v>0.92260738285183919</v>
      </c>
      <c r="E1582" s="1">
        <f>2.3081281989748*(10.3/7.3)</f>
        <v>3.256674034169925</v>
      </c>
      <c r="F1582" s="1">
        <f>5.24310723440141*(38.9/42.5)</f>
        <v>4.798985209840354</v>
      </c>
      <c r="G1582" s="1">
        <v>0.21938238945192293</v>
      </c>
      <c r="H1582" s="1">
        <v>1.5809724889747103</v>
      </c>
      <c r="I1582" s="1">
        <v>4.0952734191192866</v>
      </c>
      <c r="J1582" s="1">
        <v>1.5097633279572384E-2</v>
      </c>
      <c r="K1582" s="1">
        <v>1.9147212492515808</v>
      </c>
      <c r="L1582" s="1">
        <v>1.9947739690152877</v>
      </c>
      <c r="M1582" s="1">
        <v>9.3094344191910081E-2</v>
      </c>
      <c r="N1582" s="1">
        <v>0.61151861665519336</v>
      </c>
      <c r="O1582" s="1">
        <v>0.21780345679012345</v>
      </c>
      <c r="P1582" s="1">
        <v>0.13980106418739296</v>
      </c>
      <c r="Q1582" s="1">
        <v>0.35061112469485434</v>
      </c>
      <c r="R1582" s="2">
        <f t="shared" si="99"/>
        <v>16.02230009790155</v>
      </c>
      <c r="S1582" s="2">
        <f t="shared" si="98"/>
        <v>2.0696199467185461</v>
      </c>
      <c r="T1582" s="2">
        <f t="shared" si="100"/>
        <v>2.9171903866525146</v>
      </c>
      <c r="U1582" s="2">
        <f t="shared" si="101"/>
        <v>21.00911043127261</v>
      </c>
    </row>
    <row r="1583" spans="1:21" x14ac:dyDescent="0.25">
      <c r="A1583">
        <v>3425257</v>
      </c>
      <c r="B1583">
        <v>14</v>
      </c>
      <c r="C1583" s="1">
        <f>0.865658792584556*(10.3/7.3)</f>
        <v>1.2214089813179356</v>
      </c>
      <c r="D1583" s="1">
        <f>1.01314403093732*(10.3/7.3)</f>
        <v>1.4295045915964966</v>
      </c>
      <c r="E1583" s="1">
        <f>3.57183297545546*(10.3/7.3)</f>
        <v>5.039709540711125</v>
      </c>
      <c r="F1583" s="1">
        <f>8.23324490421462*(38.9/42.5)</f>
        <v>7.535840629975266</v>
      </c>
      <c r="G1583" s="1">
        <v>0.35028732680689328</v>
      </c>
      <c r="H1583" s="1">
        <v>2.243389580679799</v>
      </c>
      <c r="I1583" s="1">
        <v>6.4211681492019492</v>
      </c>
      <c r="J1583" s="1">
        <v>1.9452058367019642E-2</v>
      </c>
      <c r="K1583" s="1">
        <v>2.5091201318815179</v>
      </c>
      <c r="L1583" s="1">
        <v>2.7452634432965093</v>
      </c>
      <c r="M1583" s="1">
        <v>0.11953925991441194</v>
      </c>
      <c r="N1583" s="1">
        <v>0.78278400321373998</v>
      </c>
      <c r="O1583" s="1">
        <v>0.33014476190476189</v>
      </c>
      <c r="P1583" s="1">
        <v>0.18475314497447032</v>
      </c>
      <c r="Q1583" s="1">
        <v>0.55981992868681629</v>
      </c>
      <c r="R1583" s="2">
        <f t="shared" si="99"/>
        <v>24.801128728976284</v>
      </c>
      <c r="S1583" s="2">
        <f t="shared" si="98"/>
        <v>2.7133253352230078</v>
      </c>
      <c r="T1583" s="2">
        <f t="shared" si="100"/>
        <v>3.9777314683294227</v>
      </c>
      <c r="U1583" s="2">
        <f t="shared" si="101"/>
        <v>31.492185532528715</v>
      </c>
    </row>
    <row r="1584" spans="1:21" x14ac:dyDescent="0.25">
      <c r="A1584">
        <v>3425265</v>
      </c>
      <c r="B1584">
        <v>5</v>
      </c>
      <c r="C1584" s="1">
        <f>0.54334968278605*(10.3/7.3)</f>
        <v>0.76664407297209769</v>
      </c>
      <c r="D1584" s="1">
        <f>0.647355012905088*(10.3/7.3)</f>
        <v>0.91339131957841191</v>
      </c>
      <c r="E1584" s="1">
        <f>2.28260274733217*(10.3/7.3)</f>
        <v>3.2206586708933314</v>
      </c>
      <c r="F1584" s="1">
        <f>5.14509265458423*(38.9/42.5)</f>
        <v>4.7092730414900403</v>
      </c>
      <c r="G1584" s="1">
        <v>0.21478301297922692</v>
      </c>
      <c r="H1584" s="1">
        <v>1.4193481997739243</v>
      </c>
      <c r="I1584" s="1">
        <v>3.9770205214262733</v>
      </c>
      <c r="J1584" s="1">
        <v>1.5577649633500079E-2</v>
      </c>
      <c r="K1584" s="1">
        <v>2.0426073327296037</v>
      </c>
      <c r="L1584" s="1">
        <v>2.2215867722591396</v>
      </c>
      <c r="M1584" s="1">
        <v>9.3388343607665264E-2</v>
      </c>
      <c r="N1584" s="1">
        <v>0.64169275457962749</v>
      </c>
      <c r="O1584" s="1">
        <v>0.20983466666666667</v>
      </c>
      <c r="P1584" s="1">
        <v>0.15200340115347527</v>
      </c>
      <c r="Q1584" s="1">
        <v>0.34326052302616211</v>
      </c>
      <c r="R1584" s="2">
        <f t="shared" si="99"/>
        <v>15.564379362139467</v>
      </c>
      <c r="S1584" s="2">
        <f t="shared" si="98"/>
        <v>2.2101883835165794</v>
      </c>
      <c r="T1584" s="2">
        <f t="shared" si="100"/>
        <v>3.1665025371130993</v>
      </c>
      <c r="U1584" s="2">
        <f t="shared" si="101"/>
        <v>20.941070282769147</v>
      </c>
    </row>
    <row r="1585" spans="1:21" x14ac:dyDescent="0.25">
      <c r="A1585">
        <v>3425273</v>
      </c>
      <c r="B1585">
        <v>31</v>
      </c>
      <c r="C1585" s="1">
        <f>0.660149397525432*(10.3/7.3)</f>
        <v>0.93144367048108923</v>
      </c>
      <c r="D1585" s="1">
        <f>0.788920824543501*(10.3/7.3)</f>
        <v>1.1131348620271315</v>
      </c>
      <c r="E1585" s="1">
        <f>2.77969340590235*(10.3/7.3)</f>
        <v>3.9220331617526303</v>
      </c>
      <c r="F1585" s="1">
        <f>6.35055647313634*(38.9/42.5)</f>
        <v>5.8126269836471396</v>
      </c>
      <c r="G1585" s="1">
        <v>0.26884304985450919</v>
      </c>
      <c r="H1585" s="1">
        <v>1.646862345496132</v>
      </c>
      <c r="I1585" s="1">
        <v>4.9147728116834193</v>
      </c>
      <c r="J1585" s="1">
        <v>1.6611732076888253E-2</v>
      </c>
      <c r="K1585" s="1">
        <v>2.186645941128071</v>
      </c>
      <c r="L1585" s="1">
        <v>2.403115447593001</v>
      </c>
      <c r="M1585" s="1">
        <v>9.8886365496384313E-2</v>
      </c>
      <c r="N1585" s="1">
        <v>0.68187981622214278</v>
      </c>
      <c r="O1585" s="1">
        <v>0.23436903225806452</v>
      </c>
      <c r="P1585" s="1">
        <v>0.16787702932894819</v>
      </c>
      <c r="Q1585" s="1">
        <v>0.42965784223323433</v>
      </c>
      <c r="R1585" s="2">
        <f t="shared" si="99"/>
        <v>19.039374727175282</v>
      </c>
      <c r="S1585" s="2">
        <f t="shared" si="98"/>
        <v>2.3711347025339071</v>
      </c>
      <c r="T1585" s="2">
        <f t="shared" si="100"/>
        <v>3.4182506615695929</v>
      </c>
      <c r="U1585" s="2">
        <f t="shared" si="101"/>
        <v>24.828760091278784</v>
      </c>
    </row>
    <row r="1586" spans="1:21" x14ac:dyDescent="0.25">
      <c r="A1586">
        <v>3425521</v>
      </c>
      <c r="B1586">
        <v>3</v>
      </c>
      <c r="C1586" s="1">
        <f>1.56395916122261*(10.3/7.3)</f>
        <v>2.2066821041908109</v>
      </c>
      <c r="D1586" s="1">
        <f>1.81789692678413*(10.3/7.3)</f>
        <v>2.5649778555995271</v>
      </c>
      <c r="E1586" s="1">
        <f>6.41519784422102*(10.3/7.3)</f>
        <v>9.0515805199282831</v>
      </c>
      <c r="F1586" s="1">
        <f>14.579473771122*(38.9/42.5)</f>
        <v>13.344506581097523</v>
      </c>
      <c r="G1586" s="1">
        <v>0.61090162931664416</v>
      </c>
      <c r="H1586" s="1">
        <v>2.9296828424200254</v>
      </c>
      <c r="I1586" s="1">
        <v>11.370434186699052</v>
      </c>
      <c r="J1586" s="1">
        <v>2.9713741510547838E-2</v>
      </c>
      <c r="K1586" s="1">
        <v>3.1308478468415557</v>
      </c>
      <c r="L1586" s="1">
        <v>6.7399696551201451</v>
      </c>
      <c r="M1586" s="1">
        <v>0.13086363041636978</v>
      </c>
      <c r="N1586" s="1">
        <v>1.5281025839918352</v>
      </c>
      <c r="O1586" s="1">
        <v>0.23648</v>
      </c>
      <c r="P1586" s="1">
        <v>0.21031678617581387</v>
      </c>
      <c r="Q1586" s="1">
        <v>0.97632680484395296</v>
      </c>
      <c r="R1586" s="2">
        <f t="shared" si="99"/>
        <v>43.055092524095812</v>
      </c>
      <c r="S1586" s="2">
        <f t="shared" si="98"/>
        <v>3.3708783745279174</v>
      </c>
      <c r="T1586" s="2">
        <f t="shared" si="100"/>
        <v>8.6354158695283498</v>
      </c>
      <c r="U1586" s="2">
        <f t="shared" si="101"/>
        <v>55.061386768152083</v>
      </c>
    </row>
    <row r="1587" spans="1:21" x14ac:dyDescent="0.25">
      <c r="A1587">
        <v>3425529</v>
      </c>
      <c r="B1587">
        <v>15</v>
      </c>
      <c r="C1587" s="1">
        <f>2.31157943530383*(10.3/7.3)</f>
        <v>3.2615435867985605</v>
      </c>
      <c r="D1587" s="1">
        <f>2.67541899197514*(10.3/7.3)</f>
        <v>3.774906248951222</v>
      </c>
      <c r="E1587" s="1">
        <f>9.43801504890106*(10.3/7.3)</f>
        <v>13.316651370367246</v>
      </c>
      <c r="F1587" s="1">
        <f>21.7163111745872*(38.9/42.5)</f>
        <v>19.876811875092795</v>
      </c>
      <c r="G1587" s="1">
        <v>0.92046899321297038</v>
      </c>
      <c r="H1587" s="1">
        <v>4.1070648804332137</v>
      </c>
      <c r="I1587" s="1">
        <v>16.989995227012592</v>
      </c>
      <c r="J1587" s="1">
        <v>3.6670332630382114E-2</v>
      </c>
      <c r="K1587" s="1">
        <v>3.7235510792038529</v>
      </c>
      <c r="L1587" s="1">
        <v>9.3525711084703129</v>
      </c>
      <c r="M1587" s="1">
        <v>0.16092486660393349</v>
      </c>
      <c r="N1587" s="1">
        <v>1.8474488297577054</v>
      </c>
      <c r="O1587" s="1">
        <v>0.27883377777777779</v>
      </c>
      <c r="P1587" s="1">
        <v>0.24242748980550172</v>
      </c>
      <c r="Q1587" s="1">
        <v>1.471069167235342</v>
      </c>
      <c r="R1587" s="2">
        <f t="shared" si="99"/>
        <v>63.718511349103942</v>
      </c>
      <c r="S1587" s="2">
        <f t="shared" si="98"/>
        <v>4.0026489016397369</v>
      </c>
      <c r="T1587" s="2">
        <f t="shared" si="100"/>
        <v>11.639778582609729</v>
      </c>
      <c r="U1587" s="2">
        <f t="shared" si="101"/>
        <v>79.360938833353401</v>
      </c>
    </row>
    <row r="1588" spans="1:21" x14ac:dyDescent="0.25">
      <c r="A1588">
        <v>3425969</v>
      </c>
      <c r="B1588">
        <v>14</v>
      </c>
      <c r="C1588" s="1">
        <f>15.8096242811609*(10.3/7.3)</f>
        <v>22.306730150131131</v>
      </c>
      <c r="D1588" s="1">
        <f>15.9642641736369*(10.3/7.3)</f>
        <v>22.524920683350633</v>
      </c>
      <c r="E1588" s="1">
        <f>57.3536252771778*(10.3/7.3)</f>
        <v>80.923608267798883</v>
      </c>
      <c r="F1588" s="1">
        <f>99.6144361129781*(38.9/42.5)</f>
        <v>91.176507406937588</v>
      </c>
      <c r="G1588" s="1">
        <v>2.730502971048876</v>
      </c>
      <c r="H1588" s="1">
        <v>6.9305142286562544</v>
      </c>
      <c r="I1588" s="1">
        <v>78.768761648376127</v>
      </c>
      <c r="J1588" s="1">
        <v>5.7810620332273695E-2</v>
      </c>
      <c r="K1588" s="1">
        <v>3.3059925157901278</v>
      </c>
      <c r="L1588" s="1">
        <v>6.1506868801907073</v>
      </c>
      <c r="M1588" s="1">
        <v>0.1786230320830848</v>
      </c>
      <c r="N1588" s="1">
        <v>2.4246732943873233</v>
      </c>
      <c r="O1588" s="1">
        <v>0.15712000000000001</v>
      </c>
      <c r="P1588" s="1">
        <v>0.11701599053619713</v>
      </c>
      <c r="Q1588" s="1">
        <v>4.3638175336397618</v>
      </c>
      <c r="R1588" s="2">
        <f t="shared" si="99"/>
        <v>309.72536288993922</v>
      </c>
      <c r="S1588" s="2">
        <f t="shared" si="98"/>
        <v>3.4808191266585986</v>
      </c>
      <c r="T1588" s="2">
        <f t="shared" si="100"/>
        <v>8.9111032066611155</v>
      </c>
      <c r="U1588" s="2">
        <f t="shared" si="101"/>
        <v>322.11728522325893</v>
      </c>
    </row>
    <row r="1589" spans="1:21" x14ac:dyDescent="0.25">
      <c r="A1589">
        <v>3425977</v>
      </c>
      <c r="B1589">
        <v>44</v>
      </c>
      <c r="C1589" s="1">
        <f>17.4287063387567*(10.3/7.3)</f>
        <v>24.591188395780044</v>
      </c>
      <c r="D1589" s="1">
        <f>17.3806738516479*(10.3/7.3)</f>
        <v>24.523416530407246</v>
      </c>
      <c r="E1589" s="1">
        <f>62.3924869489961*(10.3/7.3)</f>
        <v>88.033235010227429</v>
      </c>
      <c r="F1589" s="1">
        <f>113.04257680053*(38.9/42.5)</f>
        <v>103.46720558919105</v>
      </c>
      <c r="G1589" s="1">
        <v>3.3473583083927294</v>
      </c>
      <c r="H1589" s="1">
        <v>6.1837719603570553</v>
      </c>
      <c r="I1589" s="1">
        <v>90.376386491420732</v>
      </c>
      <c r="J1589" s="1">
        <v>5.9189992192623483E-2</v>
      </c>
      <c r="K1589" s="1">
        <v>3.3489687698923714</v>
      </c>
      <c r="L1589" s="1">
        <v>6.1986915707431338</v>
      </c>
      <c r="M1589" s="1">
        <v>0.18188562400259947</v>
      </c>
      <c r="N1589" s="1">
        <v>2.4124140955547855</v>
      </c>
      <c r="O1589" s="1">
        <v>0.15925575757575758</v>
      </c>
      <c r="P1589" s="1">
        <v>0.1183535334780612</v>
      </c>
      <c r="Q1589" s="1">
        <v>5.349659396974686</v>
      </c>
      <c r="R1589" s="2">
        <f t="shared" si="99"/>
        <v>345.87222168275099</v>
      </c>
      <c r="S1589" s="2">
        <f t="shared" si="98"/>
        <v>3.5265122955630561</v>
      </c>
      <c r="T1589" s="2">
        <f t="shared" si="100"/>
        <v>8.9522470478762752</v>
      </c>
      <c r="U1589" s="2">
        <f t="shared" si="101"/>
        <v>358.35098102619031</v>
      </c>
    </row>
    <row r="1590" spans="1:21" x14ac:dyDescent="0.25">
      <c r="A1590">
        <v>3425985</v>
      </c>
      <c r="B1590">
        <v>11</v>
      </c>
      <c r="C1590" s="1">
        <f>13.9916290881226*(10.3/7.3)</f>
        <v>19.741613644885316</v>
      </c>
      <c r="D1590" s="1">
        <f>13.8880314000357*(10.3/7.3)</f>
        <v>19.595441564433916</v>
      </c>
      <c r="E1590" s="1">
        <f>49.9887312264643*(10.3/7.3)</f>
        <v>70.53204542912087</v>
      </c>
      <c r="F1590" s="1">
        <f>84.487698479947*(38.9/42.5)</f>
        <v>77.331093432233828</v>
      </c>
      <c r="G1590" s="1">
        <v>2.1667725639290762</v>
      </c>
      <c r="H1590" s="1">
        <v>5.8765682767956129</v>
      </c>
      <c r="I1590" s="1">
        <v>67.088620764099957</v>
      </c>
      <c r="J1590" s="1">
        <v>4.8475131214054869E-2</v>
      </c>
      <c r="K1590" s="1">
        <v>2.9335371284021092</v>
      </c>
      <c r="L1590" s="1">
        <v>5.1377716782770255</v>
      </c>
      <c r="M1590" s="1">
        <v>0.15864372383342409</v>
      </c>
      <c r="N1590" s="1">
        <v>2.211503857932295</v>
      </c>
      <c r="O1590" s="1">
        <v>0.14095030303030301</v>
      </c>
      <c r="P1590" s="1">
        <v>0.10698633878862523</v>
      </c>
      <c r="Q1590" s="1">
        <v>3.4628785268272937</v>
      </c>
      <c r="R1590" s="2">
        <f t="shared" si="99"/>
        <v>265.79503420232589</v>
      </c>
      <c r="S1590" s="2">
        <f t="shared" si="98"/>
        <v>3.0889985984047894</v>
      </c>
      <c r="T1590" s="2">
        <f t="shared" si="100"/>
        <v>7.6488695630730472</v>
      </c>
      <c r="U1590" s="2">
        <f t="shared" si="101"/>
        <v>276.53290236380371</v>
      </c>
    </row>
    <row r="1591" spans="1:21" x14ac:dyDescent="0.25">
      <c r="A1591">
        <v>343465</v>
      </c>
      <c r="B1591">
        <v>12</v>
      </c>
      <c r="C1591" s="1">
        <f>0.871429282213491*(10.3/7.3)</f>
        <v>1.2295509050409537</v>
      </c>
      <c r="D1591" s="1">
        <f>1.1604627480897*(10.3/7.3)</f>
        <v>1.6373652473046447</v>
      </c>
      <c r="E1591" s="1">
        <f>4.05293546768143*(10.3/7.3)</f>
        <v>5.7185253859066698</v>
      </c>
      <c r="F1591" s="1">
        <f>10.0767722984173*(38.9/42.5)</f>
        <v>9.2232104096102017</v>
      </c>
      <c r="G1591" s="1">
        <v>0.46785959041658448</v>
      </c>
      <c r="H1591" s="1">
        <v>2.5184467384835396</v>
      </c>
      <c r="I1591" s="1">
        <v>7.6739627888445208</v>
      </c>
      <c r="J1591" s="1">
        <v>1.740420741085735E-2</v>
      </c>
      <c r="K1591" s="1">
        <v>2.2150012303599422</v>
      </c>
      <c r="L1591" s="1">
        <v>1.0624659239373411</v>
      </c>
      <c r="M1591" s="1">
        <v>5.7379313045928297E-2</v>
      </c>
      <c r="N1591" s="1">
        <v>0.60937469084205953</v>
      </c>
      <c r="O1591" s="1">
        <v>6.097777777777779E-2</v>
      </c>
      <c r="P1591" s="1">
        <v>5.3481026726146914E-2</v>
      </c>
      <c r="Q1591" s="1">
        <v>0.74772080660184814</v>
      </c>
      <c r="R1591" s="2">
        <f t="shared" si="99"/>
        <v>29.216641872208964</v>
      </c>
      <c r="S1591" s="2">
        <f t="shared" si="98"/>
        <v>2.2858864644969463</v>
      </c>
      <c r="T1591" s="2">
        <f t="shared" si="100"/>
        <v>1.7901977056031069</v>
      </c>
      <c r="U1591" s="2">
        <f t="shared" si="101"/>
        <v>33.29272604230902</v>
      </c>
    </row>
    <row r="1592" spans="1:21" x14ac:dyDescent="0.25">
      <c r="A1592">
        <v>343489</v>
      </c>
      <c r="B1592">
        <v>6</v>
      </c>
      <c r="C1592" s="1">
        <f>0.855265273055694*(10.3/7.3)</f>
        <v>1.2067441523936506</v>
      </c>
      <c r="D1592" s="1">
        <f>1.27389726340848*(10.3/7.3)</f>
        <v>1.7974166867270336</v>
      </c>
      <c r="E1592" s="1">
        <f>4.40561745244827*(10.3/7.3)</f>
        <v>6.2161451726324923</v>
      </c>
      <c r="F1592" s="1">
        <f>12.1499630789783*(38.9/42.5)</f>
        <v>11.120789735817748</v>
      </c>
      <c r="G1592" s="1">
        <v>0.61648096625086335</v>
      </c>
      <c r="H1592" s="1">
        <v>4.1996972754469377</v>
      </c>
      <c r="I1592" s="1">
        <v>9.1832657587162512</v>
      </c>
      <c r="J1592" s="1">
        <v>1.9520151684456907E-2</v>
      </c>
      <c r="K1592" s="1">
        <v>2.1524086616647584</v>
      </c>
      <c r="L1592" s="1">
        <v>1.0338953570197156</v>
      </c>
      <c r="M1592" s="1">
        <v>5.5256792539168209E-2</v>
      </c>
      <c r="N1592" s="1">
        <v>0.69995840951170363</v>
      </c>
      <c r="O1592" s="1">
        <v>5.8151111111111105E-2</v>
      </c>
      <c r="P1592" s="1">
        <v>5.1475623510766615E-2</v>
      </c>
      <c r="Q1592" s="1">
        <v>0.98524355336896063</v>
      </c>
      <c r="R1592" s="2">
        <f t="shared" si="99"/>
        <v>35.325783301353937</v>
      </c>
      <c r="S1592" s="2">
        <f t="shared" si="98"/>
        <v>2.2234044368599819</v>
      </c>
      <c r="T1592" s="2">
        <f t="shared" si="100"/>
        <v>1.8472616701816986</v>
      </c>
      <c r="U1592" s="2">
        <f t="shared" si="101"/>
        <v>39.396449408395618</v>
      </c>
    </row>
    <row r="1593" spans="1:21" x14ac:dyDescent="0.25">
      <c r="A1593">
        <v>343497</v>
      </c>
      <c r="B1593">
        <v>25</v>
      </c>
      <c r="C1593" s="1">
        <f>1.17698415232913*(10.3/7.3)</f>
        <v>1.6606762697246642</v>
      </c>
      <c r="D1593" s="1">
        <f>1.75166730852096*(10.3/7.3)</f>
        <v>2.4715305859953287</v>
      </c>
      <c r="E1593" s="1">
        <f>6.06836167467592*(10.3/7.3)</f>
        <v>8.5622089382413638</v>
      </c>
      <c r="F1593" s="1">
        <f>16.2105557600614*(38.9/42.5)</f>
        <v>14.837426330973862</v>
      </c>
      <c r="G1593" s="1">
        <v>0.80494810669035688</v>
      </c>
      <c r="H1593" s="1">
        <v>4.858971648942533</v>
      </c>
      <c r="I1593" s="1">
        <v>12.181652708221542</v>
      </c>
      <c r="J1593" s="1">
        <v>2.1065300188635453E-2</v>
      </c>
      <c r="K1593" s="1">
        <v>2.6065143003838158</v>
      </c>
      <c r="L1593" s="1">
        <v>1.308915809330758</v>
      </c>
      <c r="M1593" s="1">
        <v>6.8752992705564037E-2</v>
      </c>
      <c r="N1593" s="1">
        <v>0.74181859447006038</v>
      </c>
      <c r="O1593" s="1">
        <v>7.1042133333333327E-2</v>
      </c>
      <c r="P1593" s="1">
        <v>6.1607277258516696E-2</v>
      </c>
      <c r="Q1593" s="1">
        <v>1.28644674585217</v>
      </c>
      <c r="R1593" s="2">
        <f t="shared" si="99"/>
        <v>46.663861334641815</v>
      </c>
      <c r="S1593" s="2">
        <f t="shared" si="98"/>
        <v>2.6891868778309678</v>
      </c>
      <c r="T1593" s="2">
        <f t="shared" si="100"/>
        <v>2.1905295298397163</v>
      </c>
      <c r="U1593" s="2">
        <f t="shared" si="101"/>
        <v>51.5435777423125</v>
      </c>
    </row>
    <row r="1594" spans="1:21" x14ac:dyDescent="0.25">
      <c r="A1594">
        <v>343505</v>
      </c>
      <c r="B1594">
        <v>24</v>
      </c>
      <c r="C1594" s="1">
        <f>1.12004634709333*(10.3/7.3)</f>
        <v>1.5803393664467531</v>
      </c>
      <c r="D1594" s="1">
        <f>1.82041181586752*(10.3/7.3)</f>
        <v>2.5685262607445898</v>
      </c>
      <c r="E1594" s="1">
        <f>6.24114838246152*(10.3/7.3)</f>
        <v>8.8060038821032371</v>
      </c>
      <c r="F1594" s="1">
        <f>18.9774333047042*(38.9/42.5)</f>
        <v>17.369933071835096</v>
      </c>
      <c r="G1594" s="1">
        <v>1.029204368839143</v>
      </c>
      <c r="H1594" s="1">
        <v>4.8850487934327065</v>
      </c>
      <c r="I1594" s="1">
        <v>14.355915547262454</v>
      </c>
      <c r="J1594" s="1">
        <v>2.0922530526217578E-2</v>
      </c>
      <c r="K1594" s="1">
        <v>2.5246693869536827</v>
      </c>
      <c r="L1594" s="1">
        <v>1.2894135523255872</v>
      </c>
      <c r="M1594" s="1">
        <v>6.729100731325402E-2</v>
      </c>
      <c r="N1594" s="1">
        <v>0.71341331451585932</v>
      </c>
      <c r="O1594" s="1">
        <v>7.0082222222222226E-2</v>
      </c>
      <c r="P1594" s="1">
        <v>6.0596186186159917E-2</v>
      </c>
      <c r="Q1594" s="1">
        <v>1.6448471648114182</v>
      </c>
      <c r="R1594" s="2">
        <f t="shared" si="99"/>
        <v>52.239818455475394</v>
      </c>
      <c r="S1594" s="2">
        <f t="shared" si="98"/>
        <v>2.6061881036660601</v>
      </c>
      <c r="T1594" s="2">
        <f t="shared" si="100"/>
        <v>2.1402000963769225</v>
      </c>
      <c r="U1594" s="2">
        <f t="shared" si="101"/>
        <v>56.98620665551838</v>
      </c>
    </row>
    <row r="1595" spans="1:21" x14ac:dyDescent="0.25">
      <c r="A1595">
        <v>343513</v>
      </c>
      <c r="B1595">
        <v>2</v>
      </c>
      <c r="C1595" s="1">
        <f>0.802956282434157*(10.3/7.3)</f>
        <v>1.1329383163112074</v>
      </c>
      <c r="D1595" s="1">
        <f>1.45424431290005*(10.3/7.3)</f>
        <v>2.0518789620370534</v>
      </c>
      <c r="E1595" s="1">
        <f>4.91839732029155*(10.3/7.3)</f>
        <v>6.9396564930141009</v>
      </c>
      <c r="F1595" s="1">
        <f>17.502130528855*(38.9/42.5)</f>
        <v>16.019597119352003</v>
      </c>
      <c r="G1595" s="1">
        <v>1.0319627429484486</v>
      </c>
      <c r="H1595" s="1">
        <v>3.6698014584489336</v>
      </c>
      <c r="I1595" s="1">
        <v>13.380064564373965</v>
      </c>
      <c r="J1595" s="1">
        <v>1.6090228647372057E-2</v>
      </c>
      <c r="K1595" s="1">
        <v>1.9992230426442859</v>
      </c>
      <c r="L1595" s="1">
        <v>1.0170704169477047</v>
      </c>
      <c r="M1595" s="1">
        <v>5.3807299350594535E-2</v>
      </c>
      <c r="N1595" s="1">
        <v>0.58608930300692075</v>
      </c>
      <c r="O1595" s="1">
        <v>5.8560000000000001E-2</v>
      </c>
      <c r="P1595" s="1">
        <v>5.1378868935603825E-2</v>
      </c>
      <c r="Q1595" s="1">
        <v>1.6492555252600796</v>
      </c>
      <c r="R1595" s="2">
        <f t="shared" si="99"/>
        <v>45.875155181745789</v>
      </c>
      <c r="S1595" s="2">
        <f t="shared" si="98"/>
        <v>2.0666921402272616</v>
      </c>
      <c r="T1595" s="2">
        <f t="shared" si="100"/>
        <v>1.7155270193052199</v>
      </c>
      <c r="U1595" s="2">
        <f t="shared" si="101"/>
        <v>49.65737434127827</v>
      </c>
    </row>
    <row r="1596" spans="1:21" x14ac:dyDescent="0.25">
      <c r="A1596">
        <v>343521</v>
      </c>
      <c r="B1596">
        <v>54</v>
      </c>
      <c r="C1596" s="1">
        <f>1.25404388091582*(10.3/7.3)</f>
        <v>1.7694043799223267</v>
      </c>
      <c r="D1596" s="1">
        <f>2.00558580708316*(10.3/7.3)</f>
        <v>2.8297991524598012</v>
      </c>
      <c r="E1596" s="1">
        <f>6.90940771385408*(10.3/7.3)</f>
        <v>9.7488903359858927</v>
      </c>
      <c r="F1596" s="1">
        <f>19.490596881895*(38.9/42.5)</f>
        <v>17.839628675428603</v>
      </c>
      <c r="G1596" s="1">
        <v>1.0102196218404857</v>
      </c>
      <c r="H1596" s="1">
        <v>6.4972934400173621</v>
      </c>
      <c r="I1596" s="1">
        <v>14.581195081788612</v>
      </c>
      <c r="J1596" s="1">
        <v>2.180095228180914E-2</v>
      </c>
      <c r="K1596" s="1">
        <v>2.6113496703854513</v>
      </c>
      <c r="L1596" s="1">
        <v>1.369879407094982</v>
      </c>
      <c r="M1596" s="1">
        <v>7.1095003256697584E-2</v>
      </c>
      <c r="N1596" s="1">
        <v>0.84451838645435284</v>
      </c>
      <c r="O1596" s="1">
        <v>7.4225185185185186E-2</v>
      </c>
      <c r="P1596" s="1">
        <v>6.3638919626585647E-2</v>
      </c>
      <c r="Q1596" s="1">
        <v>1.6145062449505501</v>
      </c>
      <c r="R1596" s="2">
        <f t="shared" si="99"/>
        <v>55.890936932393636</v>
      </c>
      <c r="S1596" s="2">
        <f t="shared" si="98"/>
        <v>2.6967895422938462</v>
      </c>
      <c r="T1596" s="2">
        <f t="shared" si="100"/>
        <v>2.3597179819912175</v>
      </c>
      <c r="U1596" s="2">
        <f t="shared" si="101"/>
        <v>60.947444456678703</v>
      </c>
    </row>
    <row r="1597" spans="1:21" x14ac:dyDescent="0.25">
      <c r="A1597">
        <v>343529</v>
      </c>
      <c r="B1597">
        <v>62</v>
      </c>
      <c r="C1597" s="1">
        <f>1.48789613289988*(10.3/7.3)</f>
        <v>2.0993602971053162</v>
      </c>
      <c r="D1597" s="1">
        <f>2.25367353612233*(10.3/7.3)</f>
        <v>3.1798407427479392</v>
      </c>
      <c r="E1597" s="1">
        <f>7.8257821651676*(10.3/7.3)</f>
        <v>11.041857027565248</v>
      </c>
      <c r="F1597" s="1">
        <f>19.7034767703419*(38.9/42.5)</f>
        <v>18.034476385089445</v>
      </c>
      <c r="G1597" s="1">
        <v>0.93897437089931857</v>
      </c>
      <c r="H1597" s="1">
        <v>2.0732549705517012</v>
      </c>
      <c r="I1597" s="1">
        <v>14.574164912075155</v>
      </c>
      <c r="J1597" s="1">
        <v>2.397259557533768E-2</v>
      </c>
      <c r="K1597" s="1">
        <v>2.805716506912491</v>
      </c>
      <c r="L1597" s="1">
        <v>1.5001630359583606</v>
      </c>
      <c r="M1597" s="1">
        <v>7.7286242186516182E-2</v>
      </c>
      <c r="N1597" s="1">
        <v>0.82409115097463237</v>
      </c>
      <c r="O1597" s="1">
        <v>7.9689462365591379E-2</v>
      </c>
      <c r="P1597" s="1">
        <v>6.807098362776888E-2</v>
      </c>
      <c r="Q1597" s="1">
        <v>1.500643971756904</v>
      </c>
      <c r="R1597" s="2">
        <f t="shared" si="99"/>
        <v>53.442572677791027</v>
      </c>
      <c r="S1597" s="2">
        <f t="shared" si="98"/>
        <v>2.8977600861155977</v>
      </c>
      <c r="T1597" s="2">
        <f t="shared" si="100"/>
        <v>2.4812298914851003</v>
      </c>
      <c r="U1597" s="2">
        <f t="shared" si="101"/>
        <v>58.821562655391723</v>
      </c>
    </row>
    <row r="1598" spans="1:21" x14ac:dyDescent="0.25">
      <c r="A1598">
        <v>343537</v>
      </c>
      <c r="B1598">
        <v>26</v>
      </c>
      <c r="C1598" s="1">
        <f>1.30651967750771*(10.3/7.3)</f>
        <v>1.8434455723738981</v>
      </c>
      <c r="D1598" s="1">
        <f>1.98265400146699*(10.3/7.3)</f>
        <v>2.7974433171383577</v>
      </c>
      <c r="E1598" s="1">
        <f>6.87406249185868*(10.3/7.3)</f>
        <v>9.6990196802937554</v>
      </c>
      <c r="F1598" s="1">
        <f>17.8239709275883*(38.9/42.5)</f>
        <v>16.314175743133738</v>
      </c>
      <c r="G1598" s="1">
        <v>0.86839985878589387</v>
      </c>
      <c r="H1598" s="1">
        <v>3.8058702806998896</v>
      </c>
      <c r="I1598" s="1">
        <v>13.258376004091023</v>
      </c>
      <c r="J1598" s="1">
        <v>2.3009588374239148E-2</v>
      </c>
      <c r="K1598" s="1">
        <v>2.5512178654471609</v>
      </c>
      <c r="L1598" s="1">
        <v>1.3747931394874127</v>
      </c>
      <c r="M1598" s="1">
        <v>7.032839714207556E-2</v>
      </c>
      <c r="N1598" s="1">
        <v>0.77807072940349309</v>
      </c>
      <c r="O1598" s="1">
        <v>7.4030769230769219E-2</v>
      </c>
      <c r="P1598" s="1">
        <v>6.3772866394829097E-2</v>
      </c>
      <c r="Q1598" s="1">
        <v>1.3878536555938961</v>
      </c>
      <c r="R1598" s="2">
        <f t="shared" si="99"/>
        <v>49.974584112110456</v>
      </c>
      <c r="S1598" s="2">
        <f t="shared" si="98"/>
        <v>2.638000320216229</v>
      </c>
      <c r="T1598" s="2">
        <f t="shared" si="100"/>
        <v>2.2972230352637508</v>
      </c>
      <c r="U1598" s="2">
        <f t="shared" si="101"/>
        <v>54.909807467590433</v>
      </c>
    </row>
    <row r="1599" spans="1:21" x14ac:dyDescent="0.25">
      <c r="A1599">
        <v>3437389</v>
      </c>
      <c r="B1599">
        <v>25</v>
      </c>
      <c r="C1599" s="1">
        <f>0.388713685393939*(10.3/7.3)</f>
        <v>0.5484590355558312</v>
      </c>
      <c r="D1599" s="1">
        <f>0.50509056379207*(10.3/7.3)</f>
        <v>0.7126620283641536</v>
      </c>
      <c r="E1599" s="1">
        <f>1.77567621235332*(10.3/7.3)</f>
        <v>2.5054061626355031</v>
      </c>
      <c r="F1599" s="1">
        <f>3.91658205355912*(38.9/42.5)</f>
        <v>3.584824514904696</v>
      </c>
      <c r="G1599" s="1">
        <v>0.16242308175040146</v>
      </c>
      <c r="H1599" s="1">
        <v>0.84360085883282854</v>
      </c>
      <c r="I1599" s="1">
        <v>2.9372214710858855</v>
      </c>
      <c r="J1599" s="1">
        <v>1.2066992572927891E-2</v>
      </c>
      <c r="K1599" s="1">
        <v>1.5344008177712447</v>
      </c>
      <c r="L1599" s="1">
        <v>1.4962479541287095</v>
      </c>
      <c r="M1599" s="1">
        <v>7.8284989312740555E-2</v>
      </c>
      <c r="N1599" s="1">
        <v>0.47170677294452679</v>
      </c>
      <c r="O1599" s="1">
        <v>0.18004266666666666</v>
      </c>
      <c r="P1599" s="1">
        <v>0.10225912559957423</v>
      </c>
      <c r="Q1599" s="1">
        <v>0.25958026763762826</v>
      </c>
      <c r="R1599" s="2">
        <f t="shared" si="99"/>
        <v>11.55417742076693</v>
      </c>
      <c r="S1599" s="2">
        <f t="shared" si="98"/>
        <v>1.6487269359437469</v>
      </c>
      <c r="T1599" s="2">
        <f t="shared" si="100"/>
        <v>2.2262823830526437</v>
      </c>
      <c r="U1599" s="2">
        <f t="shared" si="101"/>
        <v>15.42918673976332</v>
      </c>
    </row>
    <row r="1600" spans="1:21" x14ac:dyDescent="0.25">
      <c r="A1600">
        <v>3437397</v>
      </c>
      <c r="B1600">
        <v>42</v>
      </c>
      <c r="C1600" s="1">
        <f>0.515604865189706*(10.3/7.3)</f>
        <v>0.72749727554164023</v>
      </c>
      <c r="D1600" s="1">
        <f>0.668437686008103*(10.3/7.3)</f>
        <v>0.94313810491554251</v>
      </c>
      <c r="E1600" s="1">
        <f>2.3486124700664*(10.3/7.3)</f>
        <v>3.313795676942997</v>
      </c>
      <c r="F1600" s="1">
        <f>5.25909191671372*(38.9/42.5)</f>
        <v>4.8136158955332631</v>
      </c>
      <c r="G1600" s="1">
        <v>0.22136479121975899</v>
      </c>
      <c r="H1600" s="1">
        <v>1.4098563824678609</v>
      </c>
      <c r="I1600" s="1">
        <v>3.9582097599985349</v>
      </c>
      <c r="J1600" s="1">
        <v>1.4733615788992814E-2</v>
      </c>
      <c r="K1600" s="1">
        <v>1.86593560142374</v>
      </c>
      <c r="L1600" s="1">
        <v>1.7925925977239541</v>
      </c>
      <c r="M1600" s="1">
        <v>9.2818577558465565E-2</v>
      </c>
      <c r="N1600" s="1">
        <v>0.60293700190657828</v>
      </c>
      <c r="O1600" s="1">
        <v>0.23799619047619047</v>
      </c>
      <c r="P1600" s="1">
        <v>0.12759481969400968</v>
      </c>
      <c r="Q1600" s="1">
        <v>0.3537793466982454</v>
      </c>
      <c r="R1600" s="2">
        <f t="shared" si="99"/>
        <v>15.741257233317844</v>
      </c>
      <c r="S1600" s="2">
        <f t="shared" si="98"/>
        <v>2.0082640369067426</v>
      </c>
      <c r="T1600" s="2">
        <f t="shared" si="100"/>
        <v>2.7263443676651882</v>
      </c>
      <c r="U1600" s="2">
        <f t="shared" si="101"/>
        <v>20.475865637889775</v>
      </c>
    </row>
    <row r="1601" spans="1:21" x14ac:dyDescent="0.25">
      <c r="A1601">
        <v>3437405</v>
      </c>
      <c r="B1601">
        <v>24</v>
      </c>
      <c r="C1601" s="1">
        <f>0.802109912344785*(10.3/7.3)</f>
        <v>1.131744122897437</v>
      </c>
      <c r="D1601" s="1">
        <f>1.02957116194781*(10.3/7.3)</f>
        <v>1.4526825983647222</v>
      </c>
      <c r="E1601" s="1">
        <f>3.61601315147472*(10.3/7.3)</f>
        <v>5.1020459534506326</v>
      </c>
      <c r="F1601" s="1">
        <f>8.25168537840137*(38.9/42.5)</f>
        <v>7.5527190875250163</v>
      </c>
      <c r="G1601" s="1">
        <v>0.35323282840266002</v>
      </c>
      <c r="H1601" s="1">
        <v>2.0154795942775108</v>
      </c>
      <c r="I1601" s="1">
        <v>6.2507184336187533</v>
      </c>
      <c r="J1601" s="1">
        <v>2.3900198762845572E-2</v>
      </c>
      <c r="K1601" s="1">
        <v>2.243351918179354</v>
      </c>
      <c r="L1601" s="1">
        <v>2.4328686582077275</v>
      </c>
      <c r="M1601" s="1">
        <v>0.11316288012836628</v>
      </c>
      <c r="N1601" s="1">
        <v>0.74150195098839899</v>
      </c>
      <c r="O1601" s="1">
        <v>0.32595111111111108</v>
      </c>
      <c r="P1601" s="1">
        <v>0.14836738724144982</v>
      </c>
      <c r="Q1601" s="1">
        <v>0.56452735132845278</v>
      </c>
      <c r="R1601" s="2">
        <f t="shared" si="99"/>
        <v>24.423149969865189</v>
      </c>
      <c r="S1601" s="2">
        <f t="shared" si="98"/>
        <v>2.4156195041836495</v>
      </c>
      <c r="T1601" s="2">
        <f t="shared" si="100"/>
        <v>3.613484600435604</v>
      </c>
      <c r="U1601" s="2">
        <f t="shared" si="101"/>
        <v>30.452254074484443</v>
      </c>
    </row>
    <row r="1602" spans="1:21" x14ac:dyDescent="0.25">
      <c r="A1602">
        <v>3437413</v>
      </c>
      <c r="B1602">
        <v>15</v>
      </c>
      <c r="C1602" s="1">
        <f>0.70728659044969*(10.3/7.3)</f>
        <v>0.99795231255230266</v>
      </c>
      <c r="D1602" s="1">
        <f>0.899341370523727*(10.3/7.3)</f>
        <v>1.2689337145745734</v>
      </c>
      <c r="E1602" s="1">
        <f>3.16019502738828*(10.3/7.3)</f>
        <v>4.4589053126163343</v>
      </c>
      <c r="F1602" s="1">
        <f>7.198649723122*(38.9/42.5)</f>
        <v>6.5888817465751996</v>
      </c>
      <c r="G1602" s="1">
        <v>0.30714249822876166</v>
      </c>
      <c r="H1602" s="1">
        <v>3.810748707141399</v>
      </c>
      <c r="I1602" s="1">
        <v>5.4662881682436684</v>
      </c>
      <c r="J1602" s="1">
        <v>2.1316724155263166E-2</v>
      </c>
      <c r="K1602" s="1">
        <v>2.3021926286378682</v>
      </c>
      <c r="L1602" s="1">
        <v>2.3967860392444615</v>
      </c>
      <c r="M1602" s="1">
        <v>0.11357635078197362</v>
      </c>
      <c r="N1602" s="1">
        <v>0.77497792281218214</v>
      </c>
      <c r="O1602" s="1">
        <v>0.319328</v>
      </c>
      <c r="P1602" s="1">
        <v>0.15586277391993286</v>
      </c>
      <c r="Q1602" s="1">
        <v>0.49086700630167429</v>
      </c>
      <c r="R1602" s="2">
        <f t="shared" si="99"/>
        <v>23.389719466233913</v>
      </c>
      <c r="S1602" s="2">
        <f t="shared" si="98"/>
        <v>2.4793721267130642</v>
      </c>
      <c r="T1602" s="2">
        <f t="shared" si="100"/>
        <v>3.6046683128386174</v>
      </c>
      <c r="U1602" s="2">
        <f t="shared" si="101"/>
        <v>29.473759905785592</v>
      </c>
    </row>
    <row r="1603" spans="1:21" x14ac:dyDescent="0.25">
      <c r="A1603">
        <v>3437421</v>
      </c>
      <c r="B1603">
        <v>10</v>
      </c>
      <c r="C1603" s="1">
        <f>0.585449126760896*(10.3/7.3)</f>
        <v>0.82604465830647023</v>
      </c>
      <c r="D1603" s="1">
        <f>0.735363536110107*(10.3/7.3)</f>
        <v>1.0375677290320693</v>
      </c>
      <c r="E1603" s="1">
        <f>2.58584649898582*(10.3/7.3)</f>
        <v>3.648523142404656</v>
      </c>
      <c r="F1603" s="1">
        <f>5.86796844695878*(38.9/42.5)</f>
        <v>5.3709170020399206</v>
      </c>
      <c r="G1603" s="1">
        <v>0.24892426321900615</v>
      </c>
      <c r="H1603" s="1">
        <v>3.8965733545220571</v>
      </c>
      <c r="I1603" s="1">
        <v>4.4689108782063514</v>
      </c>
      <c r="J1603" s="1">
        <v>1.5638751767604021E-2</v>
      </c>
      <c r="K1603" s="1">
        <v>1.9966470269542143</v>
      </c>
      <c r="L1603" s="1">
        <v>1.9470191404249362</v>
      </c>
      <c r="M1603" s="1">
        <v>9.4901402949667868E-2</v>
      </c>
      <c r="N1603" s="1">
        <v>0.64844078743483824</v>
      </c>
      <c r="O1603" s="1">
        <v>0.27696533333333329</v>
      </c>
      <c r="P1603" s="1">
        <v>0.14094170267798375</v>
      </c>
      <c r="Q1603" s="1">
        <v>0.39782416496188233</v>
      </c>
      <c r="R1603" s="2">
        <f t="shared" si="99"/>
        <v>19.895285192692413</v>
      </c>
      <c r="S1603" s="2">
        <f t="shared" si="98"/>
        <v>2.153227481399802</v>
      </c>
      <c r="T1603" s="2">
        <f t="shared" si="100"/>
        <v>2.9673266641427753</v>
      </c>
      <c r="U1603" s="2">
        <f t="shared" si="101"/>
        <v>25.01583933823499</v>
      </c>
    </row>
    <row r="1604" spans="1:21" x14ac:dyDescent="0.25">
      <c r="A1604">
        <v>3437461</v>
      </c>
      <c r="B1604">
        <v>46</v>
      </c>
      <c r="C1604" s="1">
        <f>0.624789101196279*(10.3/7.3)</f>
        <v>0.88155174552351634</v>
      </c>
      <c r="D1604" s="1">
        <f>0.715533133967888*(10.3/7.3)</f>
        <v>1.0095878465574306</v>
      </c>
      <c r="E1604" s="1">
        <f>2.52660562348687*(10.3/7.3)</f>
        <v>3.5649367016321576</v>
      </c>
      <c r="F1604" s="1">
        <f>5.75596034887336*(38.9/42.5)</f>
        <v>5.2683966487334963</v>
      </c>
      <c r="G1604" s="1">
        <v>0.24110106251776406</v>
      </c>
      <c r="H1604" s="1">
        <v>1.6847203754398465</v>
      </c>
      <c r="I1604" s="1">
        <v>4.5114301284291152</v>
      </c>
      <c r="J1604" s="1">
        <v>1.5480314229051891E-2</v>
      </c>
      <c r="K1604" s="1">
        <v>1.9664950222720041</v>
      </c>
      <c r="L1604" s="1">
        <v>2.0312017522205728</v>
      </c>
      <c r="M1604" s="1">
        <v>9.5230866449673893E-2</v>
      </c>
      <c r="N1604" s="1">
        <v>0.62836330949176566</v>
      </c>
      <c r="O1604" s="1">
        <v>0.23342144927536237</v>
      </c>
      <c r="P1604" s="1">
        <v>0.14502786326586095</v>
      </c>
      <c r="Q1604" s="1">
        <v>0.38532133279094771</v>
      </c>
      <c r="R1604" s="2">
        <f t="shared" si="99"/>
        <v>17.547045841624275</v>
      </c>
      <c r="S1604" s="2">
        <f t="shared" si="98"/>
        <v>2.127003199766917</v>
      </c>
      <c r="T1604" s="2">
        <f t="shared" si="100"/>
        <v>2.9882173774373748</v>
      </c>
      <c r="U1604" s="2">
        <f t="shared" si="101"/>
        <v>22.662266418828569</v>
      </c>
    </row>
    <row r="1605" spans="1:21" x14ac:dyDescent="0.25">
      <c r="A1605">
        <v>3437469</v>
      </c>
      <c r="B1605">
        <v>14</v>
      </c>
      <c r="C1605" s="1">
        <f>0.640914105794117*(10.3/7.3)</f>
        <v>0.90430346433964504</v>
      </c>
      <c r="D1605" s="1">
        <f>0.741322139197462*(10.3/7.3)</f>
        <v>1.0459750731142274</v>
      </c>
      <c r="E1605" s="1">
        <f>2.61573623359112*(10.3/7.3)</f>
        <v>3.6906963295874675</v>
      </c>
      <c r="F1605" s="1">
        <f>5.99274707188425*(38.9/42.5)</f>
        <v>5.4851261434422867</v>
      </c>
      <c r="G1605" s="1">
        <v>0.25290183996194532</v>
      </c>
      <c r="H1605" s="1">
        <v>1.726690172979912</v>
      </c>
      <c r="I1605" s="1">
        <v>4.6864361680050299</v>
      </c>
      <c r="J1605" s="1">
        <v>1.6584258799105338E-2</v>
      </c>
      <c r="K1605" s="1">
        <v>2.0922963278877607</v>
      </c>
      <c r="L1605" s="1">
        <v>2.2222851047951537</v>
      </c>
      <c r="M1605" s="1">
        <v>0.10553688350679805</v>
      </c>
      <c r="N1605" s="1">
        <v>0.66606486023488831</v>
      </c>
      <c r="O1605" s="1">
        <v>0.25842285714285712</v>
      </c>
      <c r="P1605" s="1">
        <v>0.14874546181153783</v>
      </c>
      <c r="Q1605" s="1">
        <v>0.4041810227702326</v>
      </c>
      <c r="R1605" s="2">
        <f t="shared" si="99"/>
        <v>18.196310214200746</v>
      </c>
      <c r="S1605" s="2">
        <f t="shared" si="98"/>
        <v>2.2576260484984036</v>
      </c>
      <c r="T1605" s="2">
        <f t="shared" si="100"/>
        <v>3.2523097056796972</v>
      </c>
      <c r="U1605" s="2">
        <f t="shared" si="101"/>
        <v>23.706245968378848</v>
      </c>
    </row>
    <row r="1606" spans="1:21" x14ac:dyDescent="0.25">
      <c r="A1606">
        <v>3437477</v>
      </c>
      <c r="B1606">
        <v>10</v>
      </c>
      <c r="C1606" s="1">
        <f>0.350895081758181*(10.3/7.3)</f>
        <v>0.49509854001496711</v>
      </c>
      <c r="D1606" s="1">
        <f>0.416954185096477*(10.3/7.3)</f>
        <v>0.58830522006763253</v>
      </c>
      <c r="E1606" s="1">
        <f>1.47162912281391*(10.3/7.3)</f>
        <v>2.0764082143812663</v>
      </c>
      <c r="F1606" s="1">
        <f>3.25393608197893*(38.9/42.5)</f>
        <v>2.9783085550348329</v>
      </c>
      <c r="G1606" s="1">
        <v>0.13309937436343838</v>
      </c>
      <c r="H1606" s="1">
        <v>0.97124612695279144</v>
      </c>
      <c r="I1606" s="1">
        <v>2.5094806964752499</v>
      </c>
      <c r="J1606" s="1">
        <v>1.2755070494198417E-2</v>
      </c>
      <c r="K1606" s="1">
        <v>1.6068785175652878</v>
      </c>
      <c r="L1606" s="1">
        <v>1.6843046267639425</v>
      </c>
      <c r="M1606" s="1">
        <v>8.1206679662238879E-2</v>
      </c>
      <c r="N1606" s="1">
        <v>0.51406754185946901</v>
      </c>
      <c r="O1606" s="1">
        <v>0.15145066666666668</v>
      </c>
      <c r="P1606" s="1">
        <v>0.11205303707601684</v>
      </c>
      <c r="Q1606" s="1">
        <v>0.21271589510138583</v>
      </c>
      <c r="R1606" s="2">
        <f t="shared" si="99"/>
        <v>9.9646626223915646</v>
      </c>
      <c r="S1606" s="2">
        <f t="shared" si="98"/>
        <v>1.731686625135503</v>
      </c>
      <c r="T1606" s="2">
        <f t="shared" si="100"/>
        <v>2.4310295149523173</v>
      </c>
      <c r="U1606" s="2">
        <f t="shared" si="101"/>
        <v>14.127378762479385</v>
      </c>
    </row>
    <row r="1607" spans="1:21" x14ac:dyDescent="0.25">
      <c r="A1607">
        <v>3437493</v>
      </c>
      <c r="B1607">
        <v>39</v>
      </c>
      <c r="C1607" s="1">
        <f>1.26708878863818*(10.3/7.3)</f>
        <v>1.7878102086264731</v>
      </c>
      <c r="D1607" s="1">
        <f>1.47697000121377*(10.3/7.3)</f>
        <v>2.0839439743153241</v>
      </c>
      <c r="E1607" s="1">
        <f>5.20552075994736*(10.3/7.3)</f>
        <v>7.3447758667750387</v>
      </c>
      <c r="F1607" s="1">
        <f>12.1281138920167*(38.9/42.5)</f>
        <v>11.100791303516482</v>
      </c>
      <c r="G1607" s="1">
        <v>0.52097746411354473</v>
      </c>
      <c r="H1607" s="1">
        <v>2.9025776022868599</v>
      </c>
      <c r="I1607" s="1">
        <v>9.4854899073636449</v>
      </c>
      <c r="J1607" s="1">
        <v>2.4747669913253601E-2</v>
      </c>
      <c r="K1607" s="1">
        <v>3.0408840594877526</v>
      </c>
      <c r="L1607" s="1">
        <v>3.630414897388043</v>
      </c>
      <c r="M1607" s="1">
        <v>0.15141413384524557</v>
      </c>
      <c r="N1607" s="1">
        <v>0.95418704062268411</v>
      </c>
      <c r="O1607" s="1">
        <v>0.4376642735042735</v>
      </c>
      <c r="P1607" s="1">
        <v>0.21976214011251152</v>
      </c>
      <c r="Q1607" s="1">
        <v>0.83261238556959283</v>
      </c>
      <c r="R1607" s="2">
        <f t="shared" si="99"/>
        <v>36.058978712566962</v>
      </c>
      <c r="S1607" s="2">
        <f t="shared" si="98"/>
        <v>3.2853938695135176</v>
      </c>
      <c r="T1607" s="2">
        <f t="shared" si="100"/>
        <v>5.1736803453602462</v>
      </c>
      <c r="U1607" s="2">
        <f t="shared" si="101"/>
        <v>44.518052927440728</v>
      </c>
    </row>
    <row r="1608" spans="1:21" x14ac:dyDescent="0.25">
      <c r="A1608">
        <v>3437501</v>
      </c>
      <c r="B1608">
        <v>9</v>
      </c>
      <c r="C1608" s="1">
        <f>0.595795862807694*(10.3/7.3)</f>
        <v>0.84064347766017167</v>
      </c>
      <c r="D1608" s="1">
        <f>0.711436653241081*(10.3/7.3)</f>
        <v>1.00380788060043</v>
      </c>
      <c r="E1608" s="1">
        <f>2.50651103934099*(10.3/7.3)</f>
        <v>3.5365840692071568</v>
      </c>
      <c r="F1608" s="1">
        <f>5.74011613443454*(38.9/42.5)</f>
        <v>5.2538945324589044</v>
      </c>
      <c r="G1608" s="1">
        <v>0.24353567284664068</v>
      </c>
      <c r="H1608" s="1">
        <v>1.5470083971650124</v>
      </c>
      <c r="I1608" s="1">
        <v>4.4451180336553371</v>
      </c>
      <c r="J1608" s="1">
        <v>1.7056736169849575E-2</v>
      </c>
      <c r="K1608" s="1">
        <v>2.1833522114481281</v>
      </c>
      <c r="L1608" s="1">
        <v>2.3845198161410783</v>
      </c>
      <c r="M1608" s="1">
        <v>0.10503105444746209</v>
      </c>
      <c r="N1608" s="1">
        <v>0.69045711751006345</v>
      </c>
      <c r="O1608" s="1">
        <v>0.25874962962962961</v>
      </c>
      <c r="P1608" s="1">
        <v>0.16019477621949876</v>
      </c>
      <c r="Q1608" s="1">
        <v>0.38921226254029367</v>
      </c>
      <c r="R1608" s="2">
        <f t="shared" si="99"/>
        <v>17.259804326133946</v>
      </c>
      <c r="S1608" s="2">
        <f t="shared" si="98"/>
        <v>2.3606037238374764</v>
      </c>
      <c r="T1608" s="2">
        <f t="shared" si="100"/>
        <v>3.4387576177282333</v>
      </c>
      <c r="U1608" s="2">
        <f t="shared" si="101"/>
        <v>23.059165667699656</v>
      </c>
    </row>
    <row r="1609" spans="1:21" x14ac:dyDescent="0.25">
      <c r="A1609">
        <v>3437509</v>
      </c>
      <c r="B1609">
        <v>48</v>
      </c>
      <c r="C1609" s="1">
        <f>0.818332005724402*(10.3/7.3)</f>
        <v>1.1546328299947044</v>
      </c>
      <c r="D1609" s="1">
        <f>0.982637718707167*(10.3/7.3)</f>
        <v>1.3864614387238108</v>
      </c>
      <c r="E1609" s="1">
        <f>3.4577549343354*(10.3/7.3)</f>
        <v>4.8787501128294002</v>
      </c>
      <c r="F1609" s="1">
        <f>8.08781807460492*(38.9/42.5)</f>
        <v>7.4027323082854464</v>
      </c>
      <c r="G1609" s="1">
        <v>0.35051021927370213</v>
      </c>
      <c r="H1609" s="1">
        <v>2.0346963654539048</v>
      </c>
      <c r="I1609" s="1">
        <v>6.2735365748996657</v>
      </c>
      <c r="J1609" s="1">
        <v>1.8408785900378793E-2</v>
      </c>
      <c r="K1609" s="1">
        <v>2.4638556812040453</v>
      </c>
      <c r="L1609" s="1">
        <v>2.6860962875257717</v>
      </c>
      <c r="M1609" s="1">
        <v>0.1076666302430615</v>
      </c>
      <c r="N1609" s="1">
        <v>0.76127983428582879</v>
      </c>
      <c r="O1609" s="1">
        <v>0.28291444444444441</v>
      </c>
      <c r="P1609" s="1">
        <v>0.19619782243741676</v>
      </c>
      <c r="Q1609" s="1">
        <v>0.56017614952418204</v>
      </c>
      <c r="R1609" s="2">
        <f t="shared" si="99"/>
        <v>24.041495998984814</v>
      </c>
      <c r="S1609" s="2">
        <f t="shared" ref="S1609:S1672" si="102">J1609+K1609+P1609</f>
        <v>2.6784622895418408</v>
      </c>
      <c r="T1609" s="2">
        <f t="shared" si="100"/>
        <v>3.8379571964991062</v>
      </c>
      <c r="U1609" s="2">
        <f t="shared" si="101"/>
        <v>30.557915485025759</v>
      </c>
    </row>
    <row r="1610" spans="1:21" x14ac:dyDescent="0.25">
      <c r="A1610">
        <v>3437749</v>
      </c>
      <c r="B1610">
        <v>16</v>
      </c>
      <c r="C1610" s="1">
        <f>2.53400715433981*(10.3/7.3)</f>
        <v>3.5753799574931602</v>
      </c>
      <c r="D1610" s="1">
        <f>2.97269977585318*(10.3/7.3)</f>
        <v>4.1943572179846198</v>
      </c>
      <c r="E1610" s="1">
        <f>10.4766067388704*(10.3/7.3)</f>
        <v>14.78206156306377</v>
      </c>
      <c r="F1610" s="1">
        <f>24.273398974225*(38.9/42.5)</f>
        <v>22.217299296408299</v>
      </c>
      <c r="G1610" s="1">
        <v>1.0383065563375968</v>
      </c>
      <c r="H1610" s="1">
        <v>4.5026868329316914</v>
      </c>
      <c r="I1610" s="1">
        <v>18.932131863520709</v>
      </c>
      <c r="J1610" s="1">
        <v>4.1071560367525559E-2</v>
      </c>
      <c r="K1610" s="1">
        <v>4.175480686601869</v>
      </c>
      <c r="L1610" s="1">
        <v>9.1102822543453446</v>
      </c>
      <c r="M1610" s="1">
        <v>0.18171679680148634</v>
      </c>
      <c r="N1610" s="1">
        <v>2.0539881739135404</v>
      </c>
      <c r="O1610" s="1">
        <v>0.31717666666666666</v>
      </c>
      <c r="P1610" s="1">
        <v>0.27159623444716841</v>
      </c>
      <c r="Q1610" s="1">
        <v>1.6593940398089464</v>
      </c>
      <c r="R1610" s="2">
        <f t="shared" ref="R1610:R1673" si="103">C1610+D1610+E1610+F1610+G1610+H1610+I1610+Q1610</f>
        <v>70.901617327548792</v>
      </c>
      <c r="S1610" s="2">
        <f t="shared" si="102"/>
        <v>4.4881484814165624</v>
      </c>
      <c r="T1610" s="2">
        <f t="shared" ref="T1610:T1673" si="104">L1610+M1610+N1610+O1610</f>
        <v>11.663163891727038</v>
      </c>
      <c r="U1610" s="2">
        <f t="shared" ref="U1610:U1673" si="105">R1610+S1610+T1610</f>
        <v>87.052929700692388</v>
      </c>
    </row>
    <row r="1611" spans="1:21" x14ac:dyDescent="0.25">
      <c r="A1611">
        <v>3437757</v>
      </c>
      <c r="B1611">
        <v>12</v>
      </c>
      <c r="C1611" s="1">
        <f>1.78039756721439*(10.3/7.3)</f>
        <v>2.5120678003161987</v>
      </c>
      <c r="D1611" s="1">
        <f>2.07502641518542*(10.3/7.3)</f>
        <v>2.9277769967684657</v>
      </c>
      <c r="E1611" s="1">
        <f>7.31821911903162*(10.3/7.3)</f>
        <v>10.325706428222702</v>
      </c>
      <c r="F1611" s="1">
        <f>16.8052392653613*(38.9/42.5)</f>
        <v>15.381736645236609</v>
      </c>
      <c r="G1611" s="1">
        <v>0.71181252136728013</v>
      </c>
      <c r="H1611" s="1">
        <v>3.551113753004056</v>
      </c>
      <c r="I1611" s="1">
        <v>13.11586148449854</v>
      </c>
      <c r="J1611" s="1">
        <v>3.2296438197441421E-2</v>
      </c>
      <c r="K1611" s="1">
        <v>3.3307529110245735</v>
      </c>
      <c r="L1611" s="1">
        <v>8.4080750208719497</v>
      </c>
      <c r="M1611" s="1">
        <v>0.14088978219979839</v>
      </c>
      <c r="N1611" s="1">
        <v>1.6502361292293417</v>
      </c>
      <c r="O1611" s="1">
        <v>0.25200444444444448</v>
      </c>
      <c r="P1611" s="1">
        <v>0.2237742218865382</v>
      </c>
      <c r="Q1611" s="1">
        <v>1.1375999199933711</v>
      </c>
      <c r="R1611" s="2">
        <f t="shared" si="103"/>
        <v>49.663675549407216</v>
      </c>
      <c r="S1611" s="2">
        <f t="shared" si="102"/>
        <v>3.5868235711085532</v>
      </c>
      <c r="T1611" s="2">
        <f t="shared" si="104"/>
        <v>10.451205376745534</v>
      </c>
      <c r="U1611" s="2">
        <f t="shared" si="105"/>
        <v>63.701704497261304</v>
      </c>
    </row>
    <row r="1612" spans="1:21" x14ac:dyDescent="0.25">
      <c r="A1612">
        <v>3437765</v>
      </c>
      <c r="B1612">
        <v>18</v>
      </c>
      <c r="C1612" s="1">
        <f>1.76500801434752*(10.3/7.3)</f>
        <v>2.4903537736684243</v>
      </c>
      <c r="D1612" s="1">
        <f>2.04721451883151*(10.3/7.3)</f>
        <v>2.888535553967746</v>
      </c>
      <c r="E1612" s="1">
        <f>7.22289440117852*(10.3/7.3)</f>
        <v>10.191207168786125</v>
      </c>
      <c r="F1612" s="1">
        <f>16.5313613454364*(38.9/42.5)</f>
        <v>15.131057796175941</v>
      </c>
      <c r="G1612" s="1">
        <v>0.69730982183634505</v>
      </c>
      <c r="H1612" s="1">
        <v>4.0165711035081664</v>
      </c>
      <c r="I1612" s="1">
        <v>12.914815806325862</v>
      </c>
      <c r="J1612" s="1">
        <v>3.1498715891084356E-2</v>
      </c>
      <c r="K1612" s="1">
        <v>3.2786200235135983</v>
      </c>
      <c r="L1612" s="1">
        <v>7.5233308154011338</v>
      </c>
      <c r="M1612" s="1">
        <v>0.13777380334506972</v>
      </c>
      <c r="N1612" s="1">
        <v>1.6171399582232975</v>
      </c>
      <c r="O1612" s="1">
        <v>0.24470222222222221</v>
      </c>
      <c r="P1612" s="1">
        <v>0.22079827894283238</v>
      </c>
      <c r="Q1612" s="1">
        <v>1.1144220896927903</v>
      </c>
      <c r="R1612" s="2">
        <f t="shared" si="103"/>
        <v>49.444273113961394</v>
      </c>
      <c r="S1612" s="2">
        <f t="shared" si="102"/>
        <v>3.5309170183475147</v>
      </c>
      <c r="T1612" s="2">
        <f t="shared" si="104"/>
        <v>9.5229467991917236</v>
      </c>
      <c r="U1612" s="2">
        <f t="shared" si="105"/>
        <v>62.498136931500632</v>
      </c>
    </row>
    <row r="1613" spans="1:21" x14ac:dyDescent="0.25">
      <c r="A1613">
        <v>3437773</v>
      </c>
      <c r="B1613">
        <v>16</v>
      </c>
      <c r="C1613" s="1">
        <f>2.28624475729532*(10.3/7.3)</f>
        <v>3.2257973972796972</v>
      </c>
      <c r="D1613" s="1">
        <f>2.6713494877032*(10.3/7.3)</f>
        <v>3.769164345663413</v>
      </c>
      <c r="E1613" s="1">
        <f>9.41620701227442*(10.3/7.3)</f>
        <v>13.285881126907746</v>
      </c>
      <c r="F1613" s="1">
        <f>21.8249358738572*(38.9/42.5)</f>
        <v>19.976235423365797</v>
      </c>
      <c r="G1613" s="1">
        <v>0.93325810312300272</v>
      </c>
      <c r="H1613" s="1">
        <v>4.1060837473964575</v>
      </c>
      <c r="I1613" s="1">
        <v>17.043998842203234</v>
      </c>
      <c r="J1613" s="1">
        <v>3.5579263504276024E-2</v>
      </c>
      <c r="K1613" s="1">
        <v>3.596630651810854</v>
      </c>
      <c r="L1613" s="1">
        <v>6.8236485115865744</v>
      </c>
      <c r="M1613" s="1">
        <v>0.15710276198005685</v>
      </c>
      <c r="N1613" s="1">
        <v>1.7849202768712018</v>
      </c>
      <c r="O1613" s="1">
        <v>0.26817333333333332</v>
      </c>
      <c r="P1613" s="1">
        <v>0.23593523471150632</v>
      </c>
      <c r="Q1613" s="1">
        <v>1.4915083839865355</v>
      </c>
      <c r="R1613" s="2">
        <f t="shared" si="103"/>
        <v>63.831927369925886</v>
      </c>
      <c r="S1613" s="2">
        <f t="shared" si="102"/>
        <v>3.8681451500266362</v>
      </c>
      <c r="T1613" s="2">
        <f t="shared" si="104"/>
        <v>9.0338448837711667</v>
      </c>
      <c r="U1613" s="2">
        <f t="shared" si="105"/>
        <v>76.733917403723694</v>
      </c>
    </row>
    <row r="1614" spans="1:21" x14ac:dyDescent="0.25">
      <c r="A1614">
        <v>3438205</v>
      </c>
      <c r="B1614">
        <v>51</v>
      </c>
      <c r="C1614" s="1">
        <f>17.1566929138296*(10.3/7.3)</f>
        <v>24.207388631841734</v>
      </c>
      <c r="D1614" s="1">
        <f>17.1781448873798*(10.3/7.3)</f>
        <v>24.23765648493308</v>
      </c>
      <c r="E1614" s="1">
        <f>61.7335067420209*(10.3/7.3)</f>
        <v>87.103441019563732</v>
      </c>
      <c r="F1614" s="1">
        <f>107.733175195517*(38.9/42.5)</f>
        <v>98.607541531896658</v>
      </c>
      <c r="G1614" s="1">
        <v>2.9715439112887512</v>
      </c>
      <c r="H1614" s="1">
        <v>5.9246373363915881</v>
      </c>
      <c r="I1614" s="1">
        <v>85.568362955557646</v>
      </c>
      <c r="J1614" s="1">
        <v>6.0685135334705723E-2</v>
      </c>
      <c r="K1614" s="1">
        <v>3.4576576984349763</v>
      </c>
      <c r="L1614" s="1">
        <v>6.5055506442515876</v>
      </c>
      <c r="M1614" s="1">
        <v>0.18758243565961299</v>
      </c>
      <c r="N1614" s="1">
        <v>2.4787171695807779</v>
      </c>
      <c r="O1614" s="1">
        <v>0.16403869281045746</v>
      </c>
      <c r="P1614" s="1">
        <v>0.12112862880513003</v>
      </c>
      <c r="Q1614" s="1">
        <v>4.749042780598467</v>
      </c>
      <c r="R1614" s="2">
        <f t="shared" si="103"/>
        <v>333.36961465207168</v>
      </c>
      <c r="S1614" s="2">
        <f t="shared" si="102"/>
        <v>3.6394714625748117</v>
      </c>
      <c r="T1614" s="2">
        <f t="shared" si="104"/>
        <v>9.3358889423024358</v>
      </c>
      <c r="U1614" s="2">
        <f t="shared" si="105"/>
        <v>346.34497505694895</v>
      </c>
    </row>
    <row r="1615" spans="1:21" x14ac:dyDescent="0.25">
      <c r="A1615">
        <v>3438213</v>
      </c>
      <c r="B1615">
        <v>4</v>
      </c>
      <c r="C1615" s="1">
        <f>10.3525997872866*(10.3/7.3)</f>
        <v>14.607092850555089</v>
      </c>
      <c r="D1615" s="1">
        <f>10.2914360113175*(10.3/7.3)</f>
        <v>14.520793276242516</v>
      </c>
      <c r="E1615" s="1">
        <f>37.0141975557232*(10.3/7.3)</f>
        <v>52.2255116197191</v>
      </c>
      <c r="F1615" s="1">
        <f>63.8520986928359*(38.9/42.5)</f>
        <v>58.443450332972162</v>
      </c>
      <c r="G1615" s="1">
        <v>1.7140366831567337</v>
      </c>
      <c r="H1615" s="1">
        <v>4.9109837366154148</v>
      </c>
      <c r="I1615" s="1">
        <v>50.803320902595622</v>
      </c>
      <c r="J1615" s="1">
        <v>4.0912970627099518E-2</v>
      </c>
      <c r="K1615" s="1">
        <v>2.5823596226573269</v>
      </c>
      <c r="L1615" s="1">
        <v>4.2269972866958634</v>
      </c>
      <c r="M1615" s="1">
        <v>0.13861504674976816</v>
      </c>
      <c r="N1615" s="1">
        <v>1.8132497382254997</v>
      </c>
      <c r="O1615" s="1">
        <v>0.12434666666666666</v>
      </c>
      <c r="P1615" s="1">
        <v>9.8823181140569247E-2</v>
      </c>
      <c r="Q1615" s="1">
        <v>2.7393280324422715</v>
      </c>
      <c r="R1615" s="2">
        <f t="shared" si="103"/>
        <v>199.96451743429893</v>
      </c>
      <c r="S1615" s="2">
        <f t="shared" si="102"/>
        <v>2.7220957744249956</v>
      </c>
      <c r="T1615" s="2">
        <f t="shared" si="104"/>
        <v>6.3032087383377986</v>
      </c>
      <c r="U1615" s="2">
        <f t="shared" si="105"/>
        <v>208.9898219470617</v>
      </c>
    </row>
    <row r="1616" spans="1:21" x14ac:dyDescent="0.25">
      <c r="A1616">
        <v>3449625</v>
      </c>
      <c r="B1616">
        <v>8</v>
      </c>
      <c r="C1616" s="1">
        <f>0.288900962035524*(10.3/7.3)</f>
        <v>0.40762738478984845</v>
      </c>
      <c r="D1616" s="1">
        <f>0.37602955031956*(10.3/7.3)</f>
        <v>0.53056224223170823</v>
      </c>
      <c r="E1616" s="1">
        <f>1.32233655400039*(10.3/7.3)</f>
        <v>1.8657625350964373</v>
      </c>
      <c r="F1616" s="1">
        <f>2.89237955157552*(38.9/42.5)</f>
        <v>2.6473779895597134</v>
      </c>
      <c r="G1616" s="1">
        <v>0.11895119520019867</v>
      </c>
      <c r="H1616" s="1">
        <v>0.65909466239442682</v>
      </c>
      <c r="I1616" s="1">
        <v>2.1644741507892169</v>
      </c>
      <c r="J1616" s="1">
        <v>1.0961256105834354E-2</v>
      </c>
      <c r="K1616" s="1">
        <v>1.3739871804123698</v>
      </c>
      <c r="L1616" s="1">
        <v>1.3625159247468277</v>
      </c>
      <c r="M1616" s="1">
        <v>7.1435052948666117E-2</v>
      </c>
      <c r="N1616" s="1">
        <v>0.4298835230008996</v>
      </c>
      <c r="O1616" s="1">
        <v>0.14502666666666666</v>
      </c>
      <c r="P1616" s="1">
        <v>9.0023640634426333E-2</v>
      </c>
      <c r="Q1616" s="1">
        <v>0.19010464986333139</v>
      </c>
      <c r="R1616" s="2">
        <f t="shared" si="103"/>
        <v>8.5839548099248812</v>
      </c>
      <c r="S1616" s="2">
        <f t="shared" si="102"/>
        <v>1.4749720771526305</v>
      </c>
      <c r="T1616" s="2">
        <f t="shared" si="104"/>
        <v>2.0088611673630603</v>
      </c>
      <c r="U1616" s="2">
        <f t="shared" si="105"/>
        <v>12.067788054440571</v>
      </c>
    </row>
    <row r="1617" spans="1:21" x14ac:dyDescent="0.25">
      <c r="A1617">
        <v>3449633</v>
      </c>
      <c r="B1617">
        <v>45</v>
      </c>
      <c r="C1617" s="1">
        <f>0.515410840180983*(10.3/7.3)</f>
        <v>0.72722351422796261</v>
      </c>
      <c r="D1617" s="1">
        <f>0.664668944117759*(10.3/7.3)</f>
        <v>0.93782056498807087</v>
      </c>
      <c r="E1617" s="1">
        <f>2.33575425294385*(10.3/7.3)</f>
        <v>3.2956532610029665</v>
      </c>
      <c r="F1617" s="1">
        <f>5.23814933140803*(38.9/42.5)</f>
        <v>4.7944472703946461</v>
      </c>
      <c r="G1617" s="1">
        <v>0.22061508910790215</v>
      </c>
      <c r="H1617" s="1">
        <v>2.7622809252938101</v>
      </c>
      <c r="I1617" s="1">
        <v>3.9497230498029734</v>
      </c>
      <c r="J1617" s="1">
        <v>1.5268932986808235E-2</v>
      </c>
      <c r="K1617" s="1">
        <v>1.8656032133680205</v>
      </c>
      <c r="L1617" s="1">
        <v>1.802682828529341</v>
      </c>
      <c r="M1617" s="1">
        <v>9.011023147225071E-2</v>
      </c>
      <c r="N1617" s="1">
        <v>0.58522387913469931</v>
      </c>
      <c r="O1617" s="1">
        <v>0.24469925925925928</v>
      </c>
      <c r="P1617" s="1">
        <v>0.12836697994540239</v>
      </c>
      <c r="Q1617" s="1">
        <v>0.35258119263819998</v>
      </c>
      <c r="R1617" s="2">
        <f t="shared" si="103"/>
        <v>17.040344867456533</v>
      </c>
      <c r="S1617" s="2">
        <f t="shared" si="102"/>
        <v>2.0092391263002312</v>
      </c>
      <c r="T1617" s="2">
        <f t="shared" si="104"/>
        <v>2.7227161983955499</v>
      </c>
      <c r="U1617" s="2">
        <f t="shared" si="105"/>
        <v>21.772300192152311</v>
      </c>
    </row>
    <row r="1618" spans="1:21" x14ac:dyDescent="0.25">
      <c r="A1618">
        <v>3449641</v>
      </c>
      <c r="B1618">
        <v>34</v>
      </c>
      <c r="C1618" s="1">
        <f>0.677810653856249*(10.3/7.3)</f>
        <v>0.95636297735881737</v>
      </c>
      <c r="D1618" s="1">
        <f>0.865736540563488*(10.3/7.3)</f>
        <v>1.2215186805210865</v>
      </c>
      <c r="E1618" s="1">
        <f>3.04197497261727*(10.3/7.3)</f>
        <v>4.2921016736928586</v>
      </c>
      <c r="F1618" s="1">
        <f>6.90559312245356*(38.9/42.5)</f>
        <v>6.3206487638457247</v>
      </c>
      <c r="G1618" s="1">
        <v>0.29387768778232692</v>
      </c>
      <c r="H1618" s="1">
        <v>2.7227269191882715</v>
      </c>
      <c r="I1618" s="1">
        <v>5.2336025524650465</v>
      </c>
      <c r="J1618" s="1">
        <v>2.0581035823835171E-2</v>
      </c>
      <c r="K1618" s="1">
        <v>2.1496346940852629</v>
      </c>
      <c r="L1618" s="1">
        <v>2.200514097536844</v>
      </c>
      <c r="M1618" s="1">
        <v>0.10533373203862251</v>
      </c>
      <c r="N1618" s="1">
        <v>0.68614014999487349</v>
      </c>
      <c r="O1618" s="1">
        <v>0.30031372549019603</v>
      </c>
      <c r="P1618" s="1">
        <v>0.14678953778494938</v>
      </c>
      <c r="Q1618" s="1">
        <v>0.4696675375516644</v>
      </c>
      <c r="R1618" s="2">
        <f t="shared" si="103"/>
        <v>21.510506792405799</v>
      </c>
      <c r="S1618" s="2">
        <f t="shared" si="102"/>
        <v>2.3170052676940474</v>
      </c>
      <c r="T1618" s="2">
        <f t="shared" si="104"/>
        <v>3.2923017050605359</v>
      </c>
      <c r="U1618" s="2">
        <f t="shared" si="105"/>
        <v>27.11981376516038</v>
      </c>
    </row>
    <row r="1619" spans="1:21" x14ac:dyDescent="0.25">
      <c r="A1619">
        <v>3449649</v>
      </c>
      <c r="B1619">
        <v>25</v>
      </c>
      <c r="C1619" s="1">
        <f>0.538101789940141*(10.3/7.3)</f>
        <v>0.75923951183334959</v>
      </c>
      <c r="D1619" s="1">
        <f>0.681547308135007*(10.3/7.3)</f>
        <v>0.96163524298501024</v>
      </c>
      <c r="E1619" s="1">
        <f>2.39624007904575*(10.3/7.3)</f>
        <v>3.3809962759138679</v>
      </c>
      <c r="F1619" s="1">
        <f>5.41096503968826*(38.9/42.5)</f>
        <v>4.9526244716205516</v>
      </c>
      <c r="G1619" s="1">
        <v>0.22875281430298317</v>
      </c>
      <c r="H1619" s="1">
        <v>2.0281355106420715</v>
      </c>
      <c r="I1619" s="1">
        <v>4.1070735994433933</v>
      </c>
      <c r="J1619" s="1">
        <v>1.5047758348298648E-2</v>
      </c>
      <c r="K1619" s="1">
        <v>1.9033545582078242</v>
      </c>
      <c r="L1619" s="1">
        <v>1.8532187986249622</v>
      </c>
      <c r="M1619" s="1">
        <v>9.0887748787724335E-2</v>
      </c>
      <c r="N1619" s="1">
        <v>0.6141487117692741</v>
      </c>
      <c r="O1619" s="1">
        <v>0.25898879999999996</v>
      </c>
      <c r="P1619" s="1">
        <v>0.13370948375932643</v>
      </c>
      <c r="Q1619" s="1">
        <v>0.36558668952531603</v>
      </c>
      <c r="R1619" s="2">
        <f t="shared" si="103"/>
        <v>16.784044116266543</v>
      </c>
      <c r="S1619" s="2">
        <f t="shared" si="102"/>
        <v>2.052111800315449</v>
      </c>
      <c r="T1619" s="2">
        <f t="shared" si="104"/>
        <v>2.8172440591819607</v>
      </c>
      <c r="U1619" s="2">
        <f t="shared" si="105"/>
        <v>21.65339997576395</v>
      </c>
    </row>
    <row r="1620" spans="1:21" x14ac:dyDescent="0.25">
      <c r="A1620">
        <v>3449657</v>
      </c>
      <c r="B1620">
        <v>14</v>
      </c>
      <c r="C1620" s="1">
        <f>0.522371084335549*(10.3/7.3)</f>
        <v>0.73704413269262359</v>
      </c>
      <c r="D1620" s="1">
        <f>0.65292644733228*(10.3/7.3)</f>
        <v>0.921252384592121</v>
      </c>
      <c r="E1620" s="1">
        <f>2.29663321735042*(10.3/7.3)</f>
        <v>3.2404550874944311</v>
      </c>
      <c r="F1620" s="1">
        <f>5.20335803443819*(38.9/42.5)</f>
        <v>4.7626030009328408</v>
      </c>
      <c r="G1620" s="1">
        <v>0.22019987471700997</v>
      </c>
      <c r="H1620" s="1">
        <v>2.7653675520989331</v>
      </c>
      <c r="I1620" s="1">
        <v>3.9674193355480516</v>
      </c>
      <c r="J1620" s="1">
        <v>1.4863336589570633E-2</v>
      </c>
      <c r="K1620" s="1">
        <v>1.8957397995577481</v>
      </c>
      <c r="L1620" s="1">
        <v>1.846976376909917</v>
      </c>
      <c r="M1620" s="1">
        <v>8.9793671289222624E-2</v>
      </c>
      <c r="N1620" s="1">
        <v>0.63067479896585599</v>
      </c>
      <c r="O1620" s="1">
        <v>0.26150095238095233</v>
      </c>
      <c r="P1620" s="1">
        <v>0.13289475547559007</v>
      </c>
      <c r="Q1620" s="1">
        <v>0.3519176079952217</v>
      </c>
      <c r="R1620" s="2">
        <f t="shared" si="103"/>
        <v>16.966258976071234</v>
      </c>
      <c r="S1620" s="2">
        <f t="shared" si="102"/>
        <v>2.0434978916229087</v>
      </c>
      <c r="T1620" s="2">
        <f t="shared" si="104"/>
        <v>2.8289457995459477</v>
      </c>
      <c r="U1620" s="2">
        <f t="shared" si="105"/>
        <v>21.838702667240092</v>
      </c>
    </row>
    <row r="1621" spans="1:21" x14ac:dyDescent="0.25">
      <c r="A1621">
        <v>3449697</v>
      </c>
      <c r="B1621">
        <v>6</v>
      </c>
      <c r="C1621" s="1">
        <f>0.44879520786052*(10.3/7.3)</f>
        <v>0.63323159465251411</v>
      </c>
      <c r="D1621" s="1">
        <f>0.524350406896303*(10.3/7.3)</f>
        <v>0.7398368754838246</v>
      </c>
      <c r="E1621" s="1">
        <f>1.85070301907842*(10.3/7.3)</f>
        <v>2.6112659036312</v>
      </c>
      <c r="F1621" s="1">
        <f>4.16667667679557*(38.9/42.5)</f>
        <v>3.813734652408185</v>
      </c>
      <c r="G1621" s="1">
        <v>0.1731025048821824</v>
      </c>
      <c r="H1621" s="1">
        <v>1.227018132186503</v>
      </c>
      <c r="I1621" s="1">
        <v>3.2397453261717994</v>
      </c>
      <c r="J1621" s="1">
        <v>1.4053490843907239E-2</v>
      </c>
      <c r="K1621" s="1">
        <v>1.7699808283452754</v>
      </c>
      <c r="L1621" s="1">
        <v>1.848170313893214</v>
      </c>
      <c r="M1621" s="1">
        <v>8.849287611061657E-2</v>
      </c>
      <c r="N1621" s="1">
        <v>0.57186681195768807</v>
      </c>
      <c r="O1621" s="1">
        <v>0.18664888888888889</v>
      </c>
      <c r="P1621" s="1">
        <v>0.12618621714942471</v>
      </c>
      <c r="Q1621" s="1">
        <v>0.27664783885280325</v>
      </c>
      <c r="R1621" s="2">
        <f t="shared" si="103"/>
        <v>12.714582828269013</v>
      </c>
      <c r="S1621" s="2">
        <f t="shared" si="102"/>
        <v>1.9102205363386073</v>
      </c>
      <c r="T1621" s="2">
        <f t="shared" si="104"/>
        <v>2.6951788908504075</v>
      </c>
      <c r="U1621" s="2">
        <f t="shared" si="105"/>
        <v>17.319982255458029</v>
      </c>
    </row>
    <row r="1622" spans="1:21" x14ac:dyDescent="0.25">
      <c r="A1622">
        <v>3449705</v>
      </c>
      <c r="B1622">
        <v>46</v>
      </c>
      <c r="C1622" s="1">
        <f>1.28712759540101*(10.3/7.3)</f>
        <v>1.8160841414562237</v>
      </c>
      <c r="D1622" s="1">
        <f>1.47644367048928*(10.3/7.3)</f>
        <v>2.0832013432930903</v>
      </c>
      <c r="E1622" s="1">
        <f>5.20688802850605*(10.3/7.3)</f>
        <v>7.3467050265222378</v>
      </c>
      <c r="F1622" s="1">
        <f>12.1737983499273*(38.9/42.5)</f>
        <v>11.142606019109905</v>
      </c>
      <c r="G1622" s="1">
        <v>0.52320045500742174</v>
      </c>
      <c r="H1622" s="1">
        <v>3.0518026574768244</v>
      </c>
      <c r="I1622" s="1">
        <v>9.5723314779166646</v>
      </c>
      <c r="J1622" s="1">
        <v>2.5003723844328817E-2</v>
      </c>
      <c r="K1622" s="1">
        <v>3.0168256962358386</v>
      </c>
      <c r="L1622" s="1">
        <v>3.5162173933648102</v>
      </c>
      <c r="M1622" s="1">
        <v>0.15574694727833366</v>
      </c>
      <c r="N1622" s="1">
        <v>0.95254772048672076</v>
      </c>
      <c r="O1622" s="1">
        <v>0.4490249275362318</v>
      </c>
      <c r="P1622" s="1">
        <v>0.21330942866301517</v>
      </c>
      <c r="Q1622" s="1">
        <v>0.83616511074245592</v>
      </c>
      <c r="R1622" s="2">
        <f t="shared" si="103"/>
        <v>36.372096231524822</v>
      </c>
      <c r="S1622" s="2">
        <f t="shared" si="102"/>
        <v>3.2551388487431825</v>
      </c>
      <c r="T1622" s="2">
        <f t="shared" si="104"/>
        <v>5.0735369886660964</v>
      </c>
      <c r="U1622" s="2">
        <f t="shared" si="105"/>
        <v>44.7007720689341</v>
      </c>
    </row>
    <row r="1623" spans="1:21" x14ac:dyDescent="0.25">
      <c r="A1623">
        <v>3449713</v>
      </c>
      <c r="B1623">
        <v>3</v>
      </c>
      <c r="C1623" s="1">
        <f>0.318274982784293*(10.3/7.3)</f>
        <v>0.44907292091482442</v>
      </c>
      <c r="D1623" s="1">
        <f>0.379613187092079*(10.3/7.3)</f>
        <v>0.53561860644498804</v>
      </c>
      <c r="E1623" s="1">
        <f>1.33993280335054*(10.3/7.3)</f>
        <v>1.8905901197959722</v>
      </c>
      <c r="F1623" s="1">
        <f>2.94575833745921*(38.9/42.5)</f>
        <v>2.6962352782861934</v>
      </c>
      <c r="G1623" s="1">
        <v>0.11984844914466804</v>
      </c>
      <c r="H1623" s="1">
        <v>0.88970991270282918</v>
      </c>
      <c r="I1623" s="1">
        <v>2.2669774662894167</v>
      </c>
      <c r="J1623" s="1">
        <v>1.261645917146262E-2</v>
      </c>
      <c r="K1623" s="1">
        <v>1.5905805752582041</v>
      </c>
      <c r="L1623" s="1">
        <v>1.6628987996391806</v>
      </c>
      <c r="M1623" s="1">
        <v>8.0586798129699155E-2</v>
      </c>
      <c r="N1623" s="1">
        <v>0.50999243390142812</v>
      </c>
      <c r="O1623" s="1">
        <v>0.15041777777777779</v>
      </c>
      <c r="P1623" s="1">
        <v>0.11081343252528346</v>
      </c>
      <c r="Q1623" s="1">
        <v>0.19153861735449249</v>
      </c>
      <c r="R1623" s="2">
        <f t="shared" si="103"/>
        <v>9.0395913709333851</v>
      </c>
      <c r="S1623" s="2">
        <f t="shared" si="102"/>
        <v>1.7140104669549501</v>
      </c>
      <c r="T1623" s="2">
        <f t="shared" si="104"/>
        <v>2.4038958094480858</v>
      </c>
      <c r="U1623" s="2">
        <f t="shared" si="105"/>
        <v>13.15749764733642</v>
      </c>
    </row>
    <row r="1624" spans="1:21" x14ac:dyDescent="0.25">
      <c r="A1624">
        <v>3449721</v>
      </c>
      <c r="B1624">
        <v>41</v>
      </c>
      <c r="C1624" s="1">
        <f>1.38186856634698*(10.3/7.3)</f>
        <v>1.9497597579964301</v>
      </c>
      <c r="D1624" s="1">
        <f>1.60901874331219*(10.3/7.3)</f>
        <v>2.2702593227555559</v>
      </c>
      <c r="E1624" s="1">
        <f>5.66988887417349*(10.3/7.3)</f>
        <v>7.9999801923269773</v>
      </c>
      <c r="F1624" s="1">
        <f>13.2775178528405*(38.9/42.5)</f>
        <v>12.152833987658676</v>
      </c>
      <c r="G1624" s="1">
        <v>0.57301255806307827</v>
      </c>
      <c r="H1624" s="1">
        <v>3.1005838529822665</v>
      </c>
      <c r="I1624" s="1">
        <v>10.395579399950467</v>
      </c>
      <c r="J1624" s="1">
        <v>2.6528923861227509E-2</v>
      </c>
      <c r="K1624" s="1">
        <v>3.2198567434315044</v>
      </c>
      <c r="L1624" s="1">
        <v>3.8738624648002764</v>
      </c>
      <c r="M1624" s="1">
        <v>0.16357717943026295</v>
      </c>
      <c r="N1624" s="1">
        <v>1.0109307508212091</v>
      </c>
      <c r="O1624" s="1">
        <v>0.48369040650406514</v>
      </c>
      <c r="P1624" s="1">
        <v>0.23146102393177717</v>
      </c>
      <c r="Q1624" s="1">
        <v>0.91577349462135926</v>
      </c>
      <c r="R1624" s="2">
        <f t="shared" si="103"/>
        <v>39.357782566354814</v>
      </c>
      <c r="S1624" s="2">
        <f t="shared" si="102"/>
        <v>3.4778466912245092</v>
      </c>
      <c r="T1624" s="2">
        <f t="shared" si="104"/>
        <v>5.5320608015558133</v>
      </c>
      <c r="U1624" s="2">
        <f t="shared" si="105"/>
        <v>48.367690059135136</v>
      </c>
    </row>
    <row r="1625" spans="1:21" x14ac:dyDescent="0.25">
      <c r="A1625">
        <v>3449737</v>
      </c>
      <c r="B1625">
        <v>59</v>
      </c>
      <c r="C1625" s="1">
        <f>0.689894739911326*(10.3/7.3)</f>
        <v>0.97341312617625519</v>
      </c>
      <c r="D1625" s="1">
        <f>0.832558791694517*(10.3/7.3)</f>
        <v>1.1747062403360995</v>
      </c>
      <c r="E1625" s="1">
        <f>2.92907180332198*(10.3/7.3)</f>
        <v>4.1327999416734817</v>
      </c>
      <c r="F1625" s="1">
        <f>6.84582384564119*(38.9/42.5)</f>
        <v>6.2659422963633498</v>
      </c>
      <c r="G1625" s="1">
        <v>0.29671597594106552</v>
      </c>
      <c r="H1625" s="1">
        <v>1.7259894822797379</v>
      </c>
      <c r="I1625" s="1">
        <v>5.3016973508282632</v>
      </c>
      <c r="J1625" s="1">
        <v>1.7235030637328022E-2</v>
      </c>
      <c r="K1625" s="1">
        <v>2.2848177581333755</v>
      </c>
      <c r="L1625" s="1">
        <v>2.4626231153538241</v>
      </c>
      <c r="M1625" s="1">
        <v>0.10284030978154036</v>
      </c>
      <c r="N1625" s="1">
        <v>0.71058383887966825</v>
      </c>
      <c r="O1625" s="1">
        <v>0.25149559322033899</v>
      </c>
      <c r="P1625" s="1">
        <v>0.17831248985328707</v>
      </c>
      <c r="Q1625" s="1">
        <v>0.47420361451768489</v>
      </c>
      <c r="R1625" s="2">
        <f t="shared" si="103"/>
        <v>20.345468028115938</v>
      </c>
      <c r="S1625" s="2">
        <f t="shared" si="102"/>
        <v>2.4803652786239905</v>
      </c>
      <c r="T1625" s="2">
        <f t="shared" si="104"/>
        <v>3.5275428572353715</v>
      </c>
      <c r="U1625" s="2">
        <f t="shared" si="105"/>
        <v>26.353376163975302</v>
      </c>
    </row>
    <row r="1626" spans="1:21" x14ac:dyDescent="0.25">
      <c r="A1626">
        <v>3449977</v>
      </c>
      <c r="B1626">
        <v>7</v>
      </c>
      <c r="C1626" s="1">
        <f>2.58138609846038*(10.3/7.3)</f>
        <v>3.6422297005673796</v>
      </c>
      <c r="D1626" s="1">
        <f>3.03378847675671*(10.3/7.3)</f>
        <v>4.2805508644649546</v>
      </c>
      <c r="E1626" s="1">
        <f>10.6902160237744*(10.3/7.3)</f>
        <v>15.083455485599501</v>
      </c>
      <c r="F1626" s="1">
        <f>24.8065988424802*(38.9/42.5)</f>
        <v>22.705333999352479</v>
      </c>
      <c r="G1626" s="1">
        <v>1.0630322923046633</v>
      </c>
      <c r="H1626" s="1">
        <v>4.6187432543407629</v>
      </c>
      <c r="I1626" s="1">
        <v>19.341889315416601</v>
      </c>
      <c r="J1626" s="1">
        <v>4.2061060329409747E-2</v>
      </c>
      <c r="K1626" s="1">
        <v>4.2200143558061667</v>
      </c>
      <c r="L1626" s="1">
        <v>9.0543718845288446</v>
      </c>
      <c r="M1626" s="1">
        <v>0.1836133037495134</v>
      </c>
      <c r="N1626" s="1">
        <v>2.0798731245363347</v>
      </c>
      <c r="O1626" s="1">
        <v>0.32355809523809526</v>
      </c>
      <c r="P1626" s="1">
        <v>0.27520907603951328</v>
      </c>
      <c r="Q1626" s="1">
        <v>1.6989100561946688</v>
      </c>
      <c r="R1626" s="2">
        <f t="shared" si="103"/>
        <v>72.434144968241</v>
      </c>
      <c r="S1626" s="2">
        <f t="shared" si="102"/>
        <v>4.5372844921750897</v>
      </c>
      <c r="T1626" s="2">
        <f t="shared" si="104"/>
        <v>11.641416408052788</v>
      </c>
      <c r="U1626" s="2">
        <f t="shared" si="105"/>
        <v>88.612845868468881</v>
      </c>
    </row>
    <row r="1627" spans="1:21" x14ac:dyDescent="0.25">
      <c r="A1627">
        <v>3449985</v>
      </c>
      <c r="B1627">
        <v>5</v>
      </c>
      <c r="C1627" s="1">
        <f>1.75336019173197*(10.3/7.3)</f>
        <v>2.4739191746355145</v>
      </c>
      <c r="D1627" s="1">
        <f>2.04853633011693*(10.3/7.3)</f>
        <v>2.8904005753704656</v>
      </c>
      <c r="E1627" s="1">
        <f>7.22426427964915*(10.3/7.3)</f>
        <v>10.193140011011808</v>
      </c>
      <c r="F1627" s="1">
        <f>16.5730045902259*(38.9/42.5)</f>
        <v>15.169173613171427</v>
      </c>
      <c r="G1627" s="1">
        <v>0.70160161947805211</v>
      </c>
      <c r="H1627" s="1">
        <v>3.2996301809010413</v>
      </c>
      <c r="I1627" s="1">
        <v>12.922969366477204</v>
      </c>
      <c r="J1627" s="1">
        <v>3.2694733590118985E-2</v>
      </c>
      <c r="K1627" s="1">
        <v>3.4670900403887783</v>
      </c>
      <c r="L1627" s="1">
        <v>7.2679910208133478</v>
      </c>
      <c r="M1627" s="1">
        <v>0.14162262709457438</v>
      </c>
      <c r="N1627" s="1">
        <v>1.6883951969746973</v>
      </c>
      <c r="O1627" s="1">
        <v>0.25941333333333327</v>
      </c>
      <c r="P1627" s="1">
        <v>0.23470912666672908</v>
      </c>
      <c r="Q1627" s="1">
        <v>1.1212811270197194</v>
      </c>
      <c r="R1627" s="2">
        <f t="shared" si="103"/>
        <v>48.772115668065233</v>
      </c>
      <c r="S1627" s="2">
        <f t="shared" si="102"/>
        <v>3.7344939006456266</v>
      </c>
      <c r="T1627" s="2">
        <f t="shared" si="104"/>
        <v>9.3574221782159519</v>
      </c>
      <c r="U1627" s="2">
        <f t="shared" si="105"/>
        <v>61.864031746926813</v>
      </c>
    </row>
    <row r="1628" spans="1:21" x14ac:dyDescent="0.25">
      <c r="A1628">
        <v>3450001</v>
      </c>
      <c r="B1628">
        <v>32</v>
      </c>
      <c r="C1628" s="1">
        <f>1.78738426932469*(10.3/7.3)</f>
        <v>2.521925749869089</v>
      </c>
      <c r="D1628" s="1">
        <f>2.08269667367629*(10.3/7.3)</f>
        <v>2.9385994162829845</v>
      </c>
      <c r="E1628" s="1">
        <f>7.34581425657392*(10.3/7.3)</f>
        <v>10.364642033248128</v>
      </c>
      <c r="F1628" s="1">
        <f>16.8450900950666*(38.9/42.5)</f>
        <v>15.418211875249183</v>
      </c>
      <c r="G1628" s="1">
        <v>0.71249205599388366</v>
      </c>
      <c r="H1628" s="1">
        <v>4.0831579854249123</v>
      </c>
      <c r="I1628" s="1">
        <v>13.145136476475653</v>
      </c>
      <c r="J1628" s="1">
        <v>3.115015438244453E-2</v>
      </c>
      <c r="K1628" s="1">
        <v>3.1879540449750228</v>
      </c>
      <c r="L1628" s="1">
        <v>6.4829509162404788</v>
      </c>
      <c r="M1628" s="1">
        <v>0.13779468903060815</v>
      </c>
      <c r="N1628" s="1">
        <v>1.5708066731385339</v>
      </c>
      <c r="O1628" s="1">
        <v>0.23988833333333334</v>
      </c>
      <c r="P1628" s="1">
        <v>0.21348059287786936</v>
      </c>
      <c r="Q1628" s="1">
        <v>1.1386859342368019</v>
      </c>
      <c r="R1628" s="2">
        <f t="shared" si="103"/>
        <v>50.322851526780639</v>
      </c>
      <c r="S1628" s="2">
        <f t="shared" si="102"/>
        <v>3.4325847922353363</v>
      </c>
      <c r="T1628" s="2">
        <f t="shared" si="104"/>
        <v>8.4314406117429535</v>
      </c>
      <c r="U1628" s="2">
        <f t="shared" si="105"/>
        <v>62.186876930758928</v>
      </c>
    </row>
    <row r="1629" spans="1:21" x14ac:dyDescent="0.25">
      <c r="A1629">
        <v>3450009</v>
      </c>
      <c r="B1629">
        <v>7</v>
      </c>
      <c r="C1629" s="1">
        <f>2.36215490825213*(10.3/7.3)</f>
        <v>3.3329035006845076</v>
      </c>
      <c r="D1629" s="1">
        <f>2.76269223187094*(10.3/7.3)</f>
        <v>3.8980452038727025</v>
      </c>
      <c r="E1629" s="1">
        <f>9.73896048940986*(10.3/7.3)</f>
        <v>13.741273019304327</v>
      </c>
      <c r="F1629" s="1">
        <f>22.5105826642083*(38.9/42.5)</f>
        <v>20.60380389735775</v>
      </c>
      <c r="G1629" s="1">
        <v>0.9601670995421786</v>
      </c>
      <c r="H1629" s="1">
        <v>4.2233308448262914</v>
      </c>
      <c r="I1629" s="1">
        <v>17.567091918930426</v>
      </c>
      <c r="J1629" s="1">
        <v>3.5754447202252619E-2</v>
      </c>
      <c r="K1629" s="1">
        <v>3.583982593486343</v>
      </c>
      <c r="L1629" s="1">
        <v>6.6566466837594254</v>
      </c>
      <c r="M1629" s="1">
        <v>0.15846550910959781</v>
      </c>
      <c r="N1629" s="1">
        <v>1.7877224701934022</v>
      </c>
      <c r="O1629" s="1">
        <v>0.26831238095238097</v>
      </c>
      <c r="P1629" s="1">
        <v>0.23386446949755263</v>
      </c>
      <c r="Q1629" s="1">
        <v>1.5345136294053101</v>
      </c>
      <c r="R1629" s="2">
        <f t="shared" si="103"/>
        <v>65.861129113923496</v>
      </c>
      <c r="S1629" s="2">
        <f t="shared" si="102"/>
        <v>3.8536015101861478</v>
      </c>
      <c r="T1629" s="2">
        <f t="shared" si="104"/>
        <v>8.8711470440148066</v>
      </c>
      <c r="U1629" s="2">
        <f t="shared" si="105"/>
        <v>78.585877668124454</v>
      </c>
    </row>
    <row r="1630" spans="1:21" x14ac:dyDescent="0.25">
      <c r="A1630">
        <v>3450433</v>
      </c>
      <c r="B1630">
        <v>17</v>
      </c>
      <c r="C1630" s="1">
        <f>15.3862467845518*(10.3/7.3)</f>
        <v>21.709361901490897</v>
      </c>
      <c r="D1630" s="1">
        <f>15.4979906089134*(10.3/7.3)</f>
        <v>21.867027845453201</v>
      </c>
      <c r="E1630" s="1">
        <f>55.6842943112809*(10.3/7.3)</f>
        <v>78.568250877560715</v>
      </c>
      <c r="F1630" s="1">
        <f>96.8092983485885*(38.9/42.5)</f>
        <v>88.608981312002143</v>
      </c>
      <c r="G1630" s="1">
        <v>2.6561809375182235</v>
      </c>
      <c r="H1630" s="1">
        <v>6.1283560228183438</v>
      </c>
      <c r="I1630" s="1">
        <v>76.646756430953104</v>
      </c>
      <c r="J1630" s="1">
        <v>5.6968754443971807E-2</v>
      </c>
      <c r="K1630" s="1">
        <v>3.2828043755242278</v>
      </c>
      <c r="L1630" s="1">
        <v>6.1150174626766152</v>
      </c>
      <c r="M1630" s="1">
        <v>0.17751032165208511</v>
      </c>
      <c r="N1630" s="1">
        <v>2.338646075853589</v>
      </c>
      <c r="O1630" s="1">
        <v>0.15667137254901961</v>
      </c>
      <c r="P1630" s="1">
        <v>0.11676646733935328</v>
      </c>
      <c r="Q1630" s="1">
        <v>4.2450380279971647</v>
      </c>
      <c r="R1630" s="2">
        <f t="shared" si="103"/>
        <v>300.42995335579377</v>
      </c>
      <c r="S1630" s="2">
        <f t="shared" si="102"/>
        <v>3.4565395973075526</v>
      </c>
      <c r="T1630" s="2">
        <f t="shared" si="104"/>
        <v>8.7878452327313106</v>
      </c>
      <c r="U1630" s="2">
        <f t="shared" si="105"/>
        <v>312.6743381858326</v>
      </c>
    </row>
    <row r="1631" spans="1:21" x14ac:dyDescent="0.25">
      <c r="A1631">
        <v>3450441</v>
      </c>
      <c r="B1631">
        <v>2</v>
      </c>
      <c r="C1631" s="1">
        <f>12.4764908468502*(10.3/7.3)</f>
        <v>17.603815852405045</v>
      </c>
      <c r="D1631" s="1">
        <f>12.1119472165807*(10.3/7.3)</f>
        <v>17.089459771339875</v>
      </c>
      <c r="E1631" s="1">
        <f>43.5503432280301*(10.3/7.3)</f>
        <v>61.447744554617856</v>
      </c>
      <c r="F1631" s="1">
        <f>78.6491860673654*(38.9/42.5)</f>
        <v>71.987137365188545</v>
      </c>
      <c r="G1631" s="1">
        <v>2.2912834659663259</v>
      </c>
      <c r="H1631" s="1">
        <v>5.5962372812594268</v>
      </c>
      <c r="I1631" s="1">
        <v>63.594724799879991</v>
      </c>
      <c r="J1631" s="1">
        <v>4.3628621031719279E-2</v>
      </c>
      <c r="K1631" s="1">
        <v>2.703732598152742</v>
      </c>
      <c r="L1631" s="1">
        <v>4.5537278751032204</v>
      </c>
      <c r="M1631" s="1">
        <v>0.14575822576026609</v>
      </c>
      <c r="N1631" s="1">
        <v>1.8956306421436535</v>
      </c>
      <c r="O1631" s="1">
        <v>0.13168000000000002</v>
      </c>
      <c r="P1631" s="1">
        <v>0.10210847825007482</v>
      </c>
      <c r="Q1631" s="1">
        <v>3.661868552914223</v>
      </c>
      <c r="R1631" s="2">
        <f t="shared" si="103"/>
        <v>243.27227164357129</v>
      </c>
      <c r="S1631" s="2">
        <f t="shared" si="102"/>
        <v>2.8494696974345364</v>
      </c>
      <c r="T1631" s="2">
        <f t="shared" si="104"/>
        <v>6.7267967430071405</v>
      </c>
      <c r="U1631" s="2">
        <f t="shared" si="105"/>
        <v>252.84853808401294</v>
      </c>
    </row>
    <row r="1632" spans="1:21" x14ac:dyDescent="0.25">
      <c r="A1632">
        <v>3461869</v>
      </c>
      <c r="B1632">
        <v>18</v>
      </c>
      <c r="C1632" s="1">
        <f>0.525417700552677*(10.3/7.3)</f>
        <v>0.74134278297158507</v>
      </c>
      <c r="D1632" s="1">
        <f>0.675268492820857*(10.3/7.3)</f>
        <v>0.95277609261024987</v>
      </c>
      <c r="E1632" s="1">
        <f>2.37303391779422*(10.3/7.3)</f>
        <v>3.3482533360658215</v>
      </c>
      <c r="F1632" s="1">
        <f>5.33816193322049*(38.9/42.5)</f>
        <v>4.8859882165241633</v>
      </c>
      <c r="G1632" s="1">
        <v>0.2253849453202548</v>
      </c>
      <c r="H1632" s="1">
        <v>1.2960100263735645</v>
      </c>
      <c r="I1632" s="1">
        <v>4.0315168760789435</v>
      </c>
      <c r="J1632" s="1">
        <v>1.6416012402509603E-2</v>
      </c>
      <c r="K1632" s="1">
        <v>1.8323125380273473</v>
      </c>
      <c r="L1632" s="1">
        <v>1.8163344363827107</v>
      </c>
      <c r="M1632" s="1">
        <v>8.9701065568512872E-2</v>
      </c>
      <c r="N1632" s="1">
        <v>0.57483013284334683</v>
      </c>
      <c r="O1632" s="1">
        <v>0.25199703703703702</v>
      </c>
      <c r="P1632" s="1">
        <v>0.12499340126260379</v>
      </c>
      <c r="Q1632" s="1">
        <v>0.36020425051182309</v>
      </c>
      <c r="R1632" s="2">
        <f t="shared" si="103"/>
        <v>15.841476526456402</v>
      </c>
      <c r="S1632" s="2">
        <f t="shared" si="102"/>
        <v>1.9737219516924607</v>
      </c>
      <c r="T1632" s="2">
        <f t="shared" si="104"/>
        <v>2.7328626718316071</v>
      </c>
      <c r="U1632" s="2">
        <f t="shared" si="105"/>
        <v>20.54806114998047</v>
      </c>
    </row>
    <row r="1633" spans="1:21" x14ac:dyDescent="0.25">
      <c r="A1633">
        <v>3461877</v>
      </c>
      <c r="B1633">
        <v>18</v>
      </c>
      <c r="C1633" s="1">
        <f>0.523220457418701*(10.3/7.3)</f>
        <v>0.73824256320720838</v>
      </c>
      <c r="D1633" s="1">
        <f>0.667743994570786*(10.3/7.3)</f>
        <v>0.94215933480535552</v>
      </c>
      <c r="E1633" s="1">
        <f>2.34702738387273*(10.3/7.3)</f>
        <v>3.3115591854642679</v>
      </c>
      <c r="F1633" s="1">
        <f>5.29434521629279*(38.9/42.5)</f>
        <v>4.8458830332656389</v>
      </c>
      <c r="G1633" s="1">
        <v>0.22388281614565736</v>
      </c>
      <c r="H1633" s="1">
        <v>2.0380134628820219</v>
      </c>
      <c r="I1633" s="1">
        <v>4.0087817646391013</v>
      </c>
      <c r="J1633" s="1">
        <v>1.5823378277751439E-2</v>
      </c>
      <c r="K1633" s="1">
        <v>1.8815201096717875</v>
      </c>
      <c r="L1633" s="1">
        <v>1.8479511488344491</v>
      </c>
      <c r="M1633" s="1">
        <v>9.1990286221617978E-2</v>
      </c>
      <c r="N1633" s="1">
        <v>0.6120353002146296</v>
      </c>
      <c r="O1633" s="1">
        <v>0.25645629629629629</v>
      </c>
      <c r="P1633" s="1">
        <v>0.12898068461306139</v>
      </c>
      <c r="Q1633" s="1">
        <v>0.35780358744739804</v>
      </c>
      <c r="R1633" s="2">
        <f t="shared" si="103"/>
        <v>16.466325747856651</v>
      </c>
      <c r="S1633" s="2">
        <f t="shared" si="102"/>
        <v>2.0263241725626004</v>
      </c>
      <c r="T1633" s="2">
        <f t="shared" si="104"/>
        <v>2.808433031566993</v>
      </c>
      <c r="U1633" s="2">
        <f t="shared" si="105"/>
        <v>21.301082951986242</v>
      </c>
    </row>
    <row r="1634" spans="1:21" x14ac:dyDescent="0.25">
      <c r="A1634">
        <v>3461885</v>
      </c>
      <c r="B1634">
        <v>5</v>
      </c>
      <c r="C1634" s="1">
        <f>0.412176259146732*(10.3/7.3)</f>
        <v>0.58156376290566281</v>
      </c>
      <c r="D1634" s="1">
        <f>0.521682243748412*(10.3/7.3)</f>
        <v>0.73607220693269049</v>
      </c>
      <c r="E1634" s="1">
        <f>1.83491037476079*(10.3/7.3)</f>
        <v>2.5889831315118039</v>
      </c>
      <c r="F1634" s="1">
        <f>4.10897794752316*(38.9/42.5)</f>
        <v>3.760923344909429</v>
      </c>
      <c r="G1634" s="1">
        <v>0.17225129834991054</v>
      </c>
      <c r="H1634" s="1">
        <v>1.3531742055117331</v>
      </c>
      <c r="I1634" s="1">
        <v>3.1147673486105241</v>
      </c>
      <c r="J1634" s="1">
        <v>1.3746282891884629E-2</v>
      </c>
      <c r="K1634" s="1">
        <v>1.7471630422717346</v>
      </c>
      <c r="L1634" s="1">
        <v>1.726458035629205</v>
      </c>
      <c r="M1634" s="1">
        <v>8.4565569223667481E-2</v>
      </c>
      <c r="N1634" s="1">
        <v>0.57036264629899158</v>
      </c>
      <c r="O1634" s="1">
        <v>0.23991466666666666</v>
      </c>
      <c r="P1634" s="1">
        <v>0.12019075238552419</v>
      </c>
      <c r="Q1634" s="1">
        <v>0.27528746311629565</v>
      </c>
      <c r="R1634" s="2">
        <f t="shared" si="103"/>
        <v>12.583022761848049</v>
      </c>
      <c r="S1634" s="2">
        <f t="shared" si="102"/>
        <v>1.8811000775491433</v>
      </c>
      <c r="T1634" s="2">
        <f t="shared" si="104"/>
        <v>2.6213009178185307</v>
      </c>
      <c r="U1634" s="2">
        <f t="shared" si="105"/>
        <v>17.085423757215725</v>
      </c>
    </row>
    <row r="1635" spans="1:21" x14ac:dyDescent="0.25">
      <c r="A1635">
        <v>3461933</v>
      </c>
      <c r="B1635">
        <v>28</v>
      </c>
      <c r="C1635" s="1">
        <f>0.809722975736912*(10.3/7.3)</f>
        <v>1.1424858424781086</v>
      </c>
      <c r="D1635" s="1">
        <f>0.93707115070459*(10.3/7.3)</f>
        <v>1.3221688838708605</v>
      </c>
      <c r="E1635" s="1">
        <f>3.30493431838891*(10.3/7.3)</f>
        <v>4.6631265040281891</v>
      </c>
      <c r="F1635" s="1">
        <f>7.6434359052759*(38.9/42.5)</f>
        <v>6.995991922711351</v>
      </c>
      <c r="G1635" s="1">
        <v>0.32559033055617753</v>
      </c>
      <c r="H1635" s="1">
        <v>2.0498582399550584</v>
      </c>
      <c r="I1635" s="1">
        <v>5.9845969356202104</v>
      </c>
      <c r="J1635" s="1">
        <v>1.8218801503582384E-2</v>
      </c>
      <c r="K1635" s="1">
        <v>2.3281043804656227</v>
      </c>
      <c r="L1635" s="1">
        <v>2.4559057799266522</v>
      </c>
      <c r="M1635" s="1">
        <v>0.11544930310605352</v>
      </c>
      <c r="N1635" s="1">
        <v>0.73174415345422028</v>
      </c>
      <c r="O1635" s="1">
        <v>0.30177714285714291</v>
      </c>
      <c r="P1635" s="1">
        <v>0.17044451439801941</v>
      </c>
      <c r="Q1635" s="1">
        <v>0.52034984335462209</v>
      </c>
      <c r="R1635" s="2">
        <f t="shared" si="103"/>
        <v>23.004168502574579</v>
      </c>
      <c r="S1635" s="2">
        <f t="shared" si="102"/>
        <v>2.5167676963672245</v>
      </c>
      <c r="T1635" s="2">
        <f t="shared" si="104"/>
        <v>3.604876379344069</v>
      </c>
      <c r="U1635" s="2">
        <f t="shared" si="105"/>
        <v>29.125812578285874</v>
      </c>
    </row>
    <row r="1636" spans="1:21" x14ac:dyDescent="0.25">
      <c r="A1636">
        <v>3461941</v>
      </c>
      <c r="B1636">
        <v>21</v>
      </c>
      <c r="C1636" s="1">
        <f>0.88954871447973*(10.3/7.3)</f>
        <v>1.2551166793344135</v>
      </c>
      <c r="D1636" s="1">
        <f>1.03315011988127*(10.3/7.3)</f>
        <v>1.4577323609283674</v>
      </c>
      <c r="E1636" s="1">
        <f>3.64234438725278*(10.3/7.3)</f>
        <v>5.1391982450278899</v>
      </c>
      <c r="F1636" s="1">
        <f>8.46518014805866*(38.9/42.5)</f>
        <v>7.748129594340746</v>
      </c>
      <c r="G1636" s="1">
        <v>0.36253938721738543</v>
      </c>
      <c r="H1636" s="1">
        <v>2.2419179810974632</v>
      </c>
      <c r="I1636" s="1">
        <v>6.6255185930264284</v>
      </c>
      <c r="J1636" s="1">
        <v>2.1184901958538914E-2</v>
      </c>
      <c r="K1636" s="1">
        <v>2.619948153417571</v>
      </c>
      <c r="L1636" s="1">
        <v>2.9142235816018061</v>
      </c>
      <c r="M1636" s="1">
        <v>0.13408166240076655</v>
      </c>
      <c r="N1636" s="1">
        <v>0.83205353399489845</v>
      </c>
      <c r="O1636" s="1">
        <v>0.37219809523809522</v>
      </c>
      <c r="P1636" s="1">
        <v>0.18544053076597203</v>
      </c>
      <c r="Q1636" s="1">
        <v>0.57940084715107332</v>
      </c>
      <c r="R1636" s="2">
        <f t="shared" si="103"/>
        <v>25.409553688123765</v>
      </c>
      <c r="S1636" s="2">
        <f t="shared" si="102"/>
        <v>2.8265735861420818</v>
      </c>
      <c r="T1636" s="2">
        <f t="shared" si="104"/>
        <v>4.2525568732355659</v>
      </c>
      <c r="U1636" s="2">
        <f t="shared" si="105"/>
        <v>32.488684147501417</v>
      </c>
    </row>
    <row r="1637" spans="1:21" x14ac:dyDescent="0.25">
      <c r="A1637">
        <v>3461949</v>
      </c>
      <c r="B1637">
        <v>4</v>
      </c>
      <c r="C1637" s="1">
        <f>0.561890166390866*(10.3/7.3)</f>
        <v>0.79280393340081146</v>
      </c>
      <c r="D1637" s="1">
        <f>0.666811546897523*(10.3/7.3)</f>
        <v>0.94084368945814933</v>
      </c>
      <c r="E1637" s="1">
        <f>2.35011634016438*(10.3/7.3)</f>
        <v>3.3159175758483745</v>
      </c>
      <c r="F1637" s="1">
        <f>5.37485305222881*(38.9/42.5)</f>
        <v>4.9195713819223732</v>
      </c>
      <c r="G1637" s="1">
        <v>0.22749209874573179</v>
      </c>
      <c r="H1637" s="1">
        <v>1.5106649527697451</v>
      </c>
      <c r="I1637" s="1">
        <v>4.1692181123450993</v>
      </c>
      <c r="J1637" s="1">
        <v>1.7535039526704915E-2</v>
      </c>
      <c r="K1637" s="1">
        <v>2.2371360127892519</v>
      </c>
      <c r="L1637" s="1">
        <v>2.3965670753640103</v>
      </c>
      <c r="M1637" s="1">
        <v>0.11148282783431715</v>
      </c>
      <c r="N1637" s="1">
        <v>0.71582145354805915</v>
      </c>
      <c r="O1637" s="1">
        <v>0.28086666666666665</v>
      </c>
      <c r="P1637" s="1">
        <v>0.16187344799688702</v>
      </c>
      <c r="Q1637" s="1">
        <v>0.3635718473105306</v>
      </c>
      <c r="R1637" s="2">
        <f t="shared" si="103"/>
        <v>16.240083591800815</v>
      </c>
      <c r="S1637" s="2">
        <f t="shared" si="102"/>
        <v>2.4165445003128441</v>
      </c>
      <c r="T1637" s="2">
        <f t="shared" si="104"/>
        <v>3.5047380234130534</v>
      </c>
      <c r="U1637" s="2">
        <f t="shared" si="105"/>
        <v>22.161366115526715</v>
      </c>
    </row>
    <row r="1638" spans="1:21" x14ac:dyDescent="0.25">
      <c r="A1638">
        <v>3461957</v>
      </c>
      <c r="B1638">
        <v>10</v>
      </c>
      <c r="C1638" s="1">
        <f>1.06371792832188*(10.3/7.3)</f>
        <v>1.5008622824267568</v>
      </c>
      <c r="D1638" s="1">
        <f>1.24483849425124*(10.3/7.3)</f>
        <v>1.7564159576421654</v>
      </c>
      <c r="E1638" s="1">
        <f>4.38596874531182*(10.3/7.3)</f>
        <v>6.188421654344074</v>
      </c>
      <c r="F1638" s="1">
        <f>10.2479818726815*(38.9/42.5)</f>
        <v>9.3799175258190957</v>
      </c>
      <c r="G1638" s="1">
        <v>0.44172254277858897</v>
      </c>
      <c r="H1638" s="1">
        <v>2.5229759061111299</v>
      </c>
      <c r="I1638" s="1">
        <v>8.0088595202828827</v>
      </c>
      <c r="J1638" s="1">
        <v>2.3840864630307129E-2</v>
      </c>
      <c r="K1638" s="1">
        <v>2.9262777767639809</v>
      </c>
      <c r="L1638" s="1">
        <v>3.3947240616807308</v>
      </c>
      <c r="M1638" s="1">
        <v>0.14876876115179727</v>
      </c>
      <c r="N1638" s="1">
        <v>0.9263724655664628</v>
      </c>
      <c r="O1638" s="1">
        <v>0.43581333333333327</v>
      </c>
      <c r="P1638" s="1">
        <v>0.20924873257156945</v>
      </c>
      <c r="Q1638" s="1">
        <v>0.70594926928085056</v>
      </c>
      <c r="R1638" s="2">
        <f t="shared" si="103"/>
        <v>30.505124658685546</v>
      </c>
      <c r="S1638" s="2">
        <f t="shared" si="102"/>
        <v>3.1593673739658574</v>
      </c>
      <c r="T1638" s="2">
        <f t="shared" si="104"/>
        <v>4.9056786217323234</v>
      </c>
      <c r="U1638" s="2">
        <f t="shared" si="105"/>
        <v>38.570170654383723</v>
      </c>
    </row>
    <row r="1639" spans="1:21" x14ac:dyDescent="0.25">
      <c r="A1639">
        <v>3461965</v>
      </c>
      <c r="B1639">
        <v>58</v>
      </c>
      <c r="C1639" s="1">
        <f>0.934598591669436*(10.3/7.3)</f>
        <v>1.3186802046842734</v>
      </c>
      <c r="D1639" s="1">
        <f>1.11302986718845*(10.3/7.3)</f>
        <v>1.5704394016494556</v>
      </c>
      <c r="E1639" s="1">
        <f>3.91728351921224*(10.3/7.3)</f>
        <v>5.5271260613542541</v>
      </c>
      <c r="F1639" s="1">
        <f>9.20445566468483*(38.9/42.5)</f>
        <v>8.4247841260291754</v>
      </c>
      <c r="G1639" s="1">
        <v>0.40004548785206073</v>
      </c>
      <c r="H1639" s="1">
        <v>2.2374408544820898</v>
      </c>
      <c r="I1639" s="1">
        <v>7.162089387714917</v>
      </c>
      <c r="J1639" s="1">
        <v>2.0500380524831326E-2</v>
      </c>
      <c r="K1639" s="1">
        <v>2.6517743012226975</v>
      </c>
      <c r="L1639" s="1">
        <v>2.9232705108312307</v>
      </c>
      <c r="M1639" s="1">
        <v>0.12434677455501562</v>
      </c>
      <c r="N1639" s="1">
        <v>0.82105993057780868</v>
      </c>
      <c r="O1639" s="1">
        <v>0.34681103448275857</v>
      </c>
      <c r="P1639" s="1">
        <v>0.20335568380665908</v>
      </c>
      <c r="Q1639" s="1">
        <v>0.63934210387315715</v>
      </c>
      <c r="R1639" s="2">
        <f t="shared" si="103"/>
        <v>27.279947627639388</v>
      </c>
      <c r="S1639" s="2">
        <f t="shared" si="102"/>
        <v>2.8756303655541879</v>
      </c>
      <c r="T1639" s="2">
        <f t="shared" si="104"/>
        <v>4.2154882504468132</v>
      </c>
      <c r="U1639" s="2">
        <f t="shared" si="105"/>
        <v>34.371066243640385</v>
      </c>
    </row>
    <row r="1640" spans="1:21" x14ac:dyDescent="0.25">
      <c r="A1640">
        <v>3461973</v>
      </c>
      <c r="B1640">
        <v>37</v>
      </c>
      <c r="C1640" s="1">
        <f>0.760468234831631*(10.3/7.3)</f>
        <v>1.0729894272281915</v>
      </c>
      <c r="D1640" s="1">
        <f>0.935658843510101*(10.3/7.3)</f>
        <v>1.3201761764594577</v>
      </c>
      <c r="E1640" s="1">
        <f>3.28113064591144*(10.3/7.3)</f>
        <v>4.6295405003955983</v>
      </c>
      <c r="F1640" s="1">
        <f>8.06091178783278*(38.9/42.5)</f>
        <v>7.3781051422751824</v>
      </c>
      <c r="G1640" s="1">
        <v>0.36640642393419243</v>
      </c>
      <c r="H1640" s="1">
        <v>1.9382561740972777</v>
      </c>
      <c r="I1640" s="1">
        <v>6.2570845551066219</v>
      </c>
      <c r="J1640" s="1">
        <v>1.8299446949508674E-2</v>
      </c>
      <c r="K1640" s="1">
        <v>2.4543191543362171</v>
      </c>
      <c r="L1640" s="1">
        <v>2.6206063518016678</v>
      </c>
      <c r="M1640" s="1">
        <v>0.10764431686877636</v>
      </c>
      <c r="N1640" s="1">
        <v>0.75932758130956357</v>
      </c>
      <c r="O1640" s="1">
        <v>0.28170810810810809</v>
      </c>
      <c r="P1640" s="1">
        <v>0.19719822566477924</v>
      </c>
      <c r="Q1640" s="1">
        <v>0.58558104281720325</v>
      </c>
      <c r="R1640" s="2">
        <f t="shared" si="103"/>
        <v>23.548139442313726</v>
      </c>
      <c r="S1640" s="2">
        <f t="shared" si="102"/>
        <v>2.6698168269505049</v>
      </c>
      <c r="T1640" s="2">
        <f t="shared" si="104"/>
        <v>3.7692863580881157</v>
      </c>
      <c r="U1640" s="2">
        <f t="shared" si="105"/>
        <v>29.987242627352348</v>
      </c>
    </row>
    <row r="1641" spans="1:21" x14ac:dyDescent="0.25">
      <c r="A1641">
        <v>3462213</v>
      </c>
      <c r="B1641">
        <v>13</v>
      </c>
      <c r="C1641" s="1">
        <f>2.75740481605136*(10.3/7.3)</f>
        <v>3.8905848774423331</v>
      </c>
      <c r="D1641" s="1">
        <f>3.25081696937406*(10.3/7.3)</f>
        <v>4.5867691485688837</v>
      </c>
      <c r="E1641" s="1">
        <f>11.4514943200288*(10.3/7.3)</f>
        <v>16.157587876205064</v>
      </c>
      <c r="F1641" s="1">
        <f>26.6623320302392*(38.9/42.5)</f>
        <v>24.4038756700307</v>
      </c>
      <c r="G1641" s="1">
        <v>1.1468508644341437</v>
      </c>
      <c r="H1641" s="1">
        <v>4.9897930620740976</v>
      </c>
      <c r="I1641" s="1">
        <v>20.779762934440569</v>
      </c>
      <c r="J1641" s="1">
        <v>4.4606516297613599E-2</v>
      </c>
      <c r="K1641" s="1">
        <v>4.3015940518727493</v>
      </c>
      <c r="L1641" s="1">
        <v>9.245395221274034</v>
      </c>
      <c r="M1641" s="1">
        <v>0.19665107044050797</v>
      </c>
      <c r="N1641" s="1">
        <v>2.1358443654367187</v>
      </c>
      <c r="O1641" s="1">
        <v>0.33634871794871796</v>
      </c>
      <c r="P1641" s="1">
        <v>0.27979734231094533</v>
      </c>
      <c r="Q1641" s="1">
        <v>1.8328666783194092</v>
      </c>
      <c r="R1641" s="2">
        <f t="shared" si="103"/>
        <v>77.7880911115152</v>
      </c>
      <c r="S1641" s="2">
        <f t="shared" si="102"/>
        <v>4.625997910481308</v>
      </c>
      <c r="T1641" s="2">
        <f t="shared" si="104"/>
        <v>11.91423937509998</v>
      </c>
      <c r="U1641" s="2">
        <f t="shared" si="105"/>
        <v>94.328328397096485</v>
      </c>
    </row>
    <row r="1642" spans="1:21" x14ac:dyDescent="0.25">
      <c r="A1642">
        <v>3462221</v>
      </c>
      <c r="B1642">
        <v>7</v>
      </c>
      <c r="C1642" s="1">
        <f>1.94764693507095*(10.3/7.3)</f>
        <v>2.7480497851001018</v>
      </c>
      <c r="D1642" s="1">
        <f>2.27461122814705*(10.3/7.3)</f>
        <v>3.209382965741733</v>
      </c>
      <c r="E1642" s="1">
        <f>8.01877013841581*(10.3/7.3)</f>
        <v>11.31415512680587</v>
      </c>
      <c r="F1642" s="1">
        <f>18.5436170462491*(38.9/42.5)</f>
        <v>16.972863602331518</v>
      </c>
      <c r="G1642" s="1">
        <v>0.79113158385380433</v>
      </c>
      <c r="H1642" s="1">
        <v>4.7343917867351646</v>
      </c>
      <c r="I1642" s="1">
        <v>14.478701413748974</v>
      </c>
      <c r="J1642" s="1">
        <v>3.440147137566528E-2</v>
      </c>
      <c r="K1642" s="1">
        <v>3.4695192097185621</v>
      </c>
      <c r="L1642" s="1">
        <v>8.3910345200745731</v>
      </c>
      <c r="M1642" s="1">
        <v>0.1517069034955115</v>
      </c>
      <c r="N1642" s="1">
        <v>1.7399135934039027</v>
      </c>
      <c r="O1642" s="1">
        <v>0.26339809523809526</v>
      </c>
      <c r="P1642" s="1">
        <v>0.23051666324108511</v>
      </c>
      <c r="Q1642" s="1">
        <v>1.2643655449718345</v>
      </c>
      <c r="R1642" s="2">
        <f t="shared" si="103"/>
        <v>55.513041809288993</v>
      </c>
      <c r="S1642" s="2">
        <f t="shared" si="102"/>
        <v>3.734437344335312</v>
      </c>
      <c r="T1642" s="2">
        <f t="shared" si="104"/>
        <v>10.546053112212084</v>
      </c>
      <c r="U1642" s="2">
        <f t="shared" si="105"/>
        <v>69.79353226583639</v>
      </c>
    </row>
    <row r="1643" spans="1:21" x14ac:dyDescent="0.25">
      <c r="A1643">
        <v>3462229</v>
      </c>
      <c r="B1643">
        <v>1</v>
      </c>
      <c r="C1643" s="1">
        <f>1.71862914618224*(10.3/7.3)</f>
        <v>2.4249150966680855</v>
      </c>
      <c r="D1643" s="1">
        <f>2.00009636719596*(10.3/7.3)</f>
        <v>2.8220537783723785</v>
      </c>
      <c r="E1643" s="1">
        <f>7.05536568100066*(10.3/7.3)</f>
        <v>9.9548310293570932</v>
      </c>
      <c r="F1643" s="1">
        <f>16.1554125062938*(38.9/42.5)</f>
        <v>14.78695403517241</v>
      </c>
      <c r="G1643" s="1">
        <v>0.68218123514932794</v>
      </c>
      <c r="H1643" s="1">
        <v>3.3150819765155628</v>
      </c>
      <c r="I1643" s="1">
        <v>12.608997522211212</v>
      </c>
      <c r="J1643" s="1">
        <v>3.1034792280295157E-2</v>
      </c>
      <c r="K1643" s="1">
        <v>3.2063286711008105</v>
      </c>
      <c r="L1643" s="1">
        <v>7.1786060081505303</v>
      </c>
      <c r="M1643" s="1">
        <v>0.13640661701753198</v>
      </c>
      <c r="N1643" s="1">
        <v>1.5781302747648849</v>
      </c>
      <c r="O1643" s="1">
        <v>0.24080000000000001</v>
      </c>
      <c r="P1643" s="1">
        <v>0.21646281122041658</v>
      </c>
      <c r="Q1643" s="1">
        <v>1.0902439831153654</v>
      </c>
      <c r="R1643" s="2">
        <f t="shared" si="103"/>
        <v>47.685258656561437</v>
      </c>
      <c r="S1643" s="2">
        <f t="shared" si="102"/>
        <v>3.4538262746015223</v>
      </c>
      <c r="T1643" s="2">
        <f t="shared" si="104"/>
        <v>9.1339428999329471</v>
      </c>
      <c r="U1643" s="2">
        <f t="shared" si="105"/>
        <v>60.273027831095909</v>
      </c>
    </row>
    <row r="1644" spans="1:21" x14ac:dyDescent="0.25">
      <c r="A1644">
        <v>3462237</v>
      </c>
      <c r="B1644">
        <v>20</v>
      </c>
      <c r="C1644" s="1">
        <f>2.02630956690663*(10.3/7.3)</f>
        <v>2.8590395259093584</v>
      </c>
      <c r="D1644" s="1">
        <f>2.37044357724328*(10.3/7.3)</f>
        <v>3.3445984720007922</v>
      </c>
      <c r="E1644" s="1">
        <f>8.35741827885179*(10.3/7.3)</f>
        <v>11.791973735914173</v>
      </c>
      <c r="F1644" s="1">
        <f>19.251616458566*(38.9/42.5)</f>
        <v>17.6208912997228</v>
      </c>
      <c r="G1644" s="1">
        <v>0.81847799875583827</v>
      </c>
      <c r="H1644" s="1">
        <v>4.0268051188644503</v>
      </c>
      <c r="I1644" s="1">
        <v>15.015109610138239</v>
      </c>
      <c r="J1644" s="1">
        <v>3.3464450751678386E-2</v>
      </c>
      <c r="K1644" s="1">
        <v>3.3680946258287974</v>
      </c>
      <c r="L1644" s="1">
        <v>6.5502734893598156</v>
      </c>
      <c r="M1644" s="1">
        <v>0.15026515954466063</v>
      </c>
      <c r="N1644" s="1">
        <v>1.6648360732182184</v>
      </c>
      <c r="O1644" s="1">
        <v>0.25412800000000002</v>
      </c>
      <c r="P1644" s="1">
        <v>0.2233317543172047</v>
      </c>
      <c r="Q1644" s="1">
        <v>1.3080698610253134</v>
      </c>
      <c r="R1644" s="2">
        <f t="shared" si="103"/>
        <v>56.784965622330965</v>
      </c>
      <c r="S1644" s="2">
        <f t="shared" si="102"/>
        <v>3.6248908308976806</v>
      </c>
      <c r="T1644" s="2">
        <f t="shared" si="104"/>
        <v>8.6195027221226947</v>
      </c>
      <c r="U1644" s="2">
        <f t="shared" si="105"/>
        <v>69.029359175351345</v>
      </c>
    </row>
    <row r="1645" spans="1:21" x14ac:dyDescent="0.25">
      <c r="A1645">
        <v>3462261</v>
      </c>
      <c r="B1645">
        <v>2</v>
      </c>
      <c r="C1645" s="1">
        <f>2.79461446215241*(10.3/7.3)</f>
        <v>3.9430861589273745</v>
      </c>
      <c r="D1645" s="1">
        <f>3.28713169741456*(10.3/7.3)</f>
        <v>4.638007737447948</v>
      </c>
      <c r="E1645" s="1">
        <f>11.6002976500963*(10.3/7.3)</f>
        <v>16.36754325972489</v>
      </c>
      <c r="F1645" s="1">
        <f>26.0125869819627*(38.9/42.5)</f>
        <v>23.809167849372905</v>
      </c>
      <c r="G1645" s="1">
        <v>1.0776167403621069</v>
      </c>
      <c r="H1645" s="1">
        <v>4.9462541396485626</v>
      </c>
      <c r="I1645" s="1">
        <v>20.170716777771933</v>
      </c>
      <c r="J1645" s="1">
        <v>3.6576416387222352E-2</v>
      </c>
      <c r="K1645" s="1">
        <v>3.4905970344915787</v>
      </c>
      <c r="L1645" s="1">
        <v>6.0026599653597259</v>
      </c>
      <c r="M1645" s="1">
        <v>0.16667899914564027</v>
      </c>
      <c r="N1645" s="1">
        <v>1.8111503762226304</v>
      </c>
      <c r="O1645" s="1">
        <v>0.26261333333333331</v>
      </c>
      <c r="P1645" s="1">
        <v>0.21868092830182342</v>
      </c>
      <c r="Q1645" s="1">
        <v>1.722218534825287</v>
      </c>
      <c r="R1645" s="2">
        <f t="shared" si="103"/>
        <v>76.67461119808101</v>
      </c>
      <c r="S1645" s="2">
        <f t="shared" si="102"/>
        <v>3.7458543791806242</v>
      </c>
      <c r="T1645" s="2">
        <f t="shared" si="104"/>
        <v>8.2431026740613298</v>
      </c>
      <c r="U1645" s="2">
        <f t="shared" si="105"/>
        <v>88.663568251322971</v>
      </c>
    </row>
    <row r="1646" spans="1:21" x14ac:dyDescent="0.25">
      <c r="A1646">
        <v>3462685</v>
      </c>
      <c r="B1646">
        <v>1</v>
      </c>
      <c r="C1646" s="1">
        <f>8.03752866047683*(10.3/7.3)</f>
        <v>11.340622630535798</v>
      </c>
      <c r="D1646" s="1">
        <f>8.31190031853875*(10.3/7.3)</f>
        <v>11.727749764513586</v>
      </c>
      <c r="E1646" s="1">
        <f>29.8116851885309*(10.3/7.3)</f>
        <v>42.063062663269562</v>
      </c>
      <c r="F1646" s="1">
        <f>52.3309793983081*(38.9/42.5)</f>
        <v>47.898237613980825</v>
      </c>
      <c r="G1646" s="1">
        <v>1.4795972369784891</v>
      </c>
      <c r="H1646" s="1">
        <v>5.5592873352246999</v>
      </c>
      <c r="I1646" s="1">
        <v>41.005571239127235</v>
      </c>
      <c r="J1646" s="1">
        <v>3.8910178453692448E-2</v>
      </c>
      <c r="K1646" s="1">
        <v>2.4400278358983831</v>
      </c>
      <c r="L1646" s="1">
        <v>3.8065968471993665</v>
      </c>
      <c r="M1646" s="1">
        <v>0.13029986653035555</v>
      </c>
      <c r="N1646" s="1">
        <v>1.6674557356432613</v>
      </c>
      <c r="O1646" s="1">
        <v>0.11674666666666667</v>
      </c>
      <c r="P1646" s="1">
        <v>9.486493965610561E-2</v>
      </c>
      <c r="Q1646" s="1">
        <v>2.3646531184587749</v>
      </c>
      <c r="R1646" s="2">
        <f t="shared" si="103"/>
        <v>163.43878160208897</v>
      </c>
      <c r="S1646" s="2">
        <f t="shared" si="102"/>
        <v>2.573802954008181</v>
      </c>
      <c r="T1646" s="2">
        <f t="shared" si="104"/>
        <v>5.7210991160396505</v>
      </c>
      <c r="U1646" s="2">
        <f t="shared" si="105"/>
        <v>171.73368367213681</v>
      </c>
    </row>
    <row r="1647" spans="1:21" x14ac:dyDescent="0.25">
      <c r="A1647">
        <v>3474169</v>
      </c>
      <c r="B1647">
        <v>8</v>
      </c>
      <c r="C1647" s="1">
        <f>0.676359231654545*(10.3/7.3)</f>
        <v>0.95431508027970069</v>
      </c>
      <c r="D1647" s="1">
        <f>0.789401183777627*(10.3/7.3)</f>
        <v>1.1138126291656931</v>
      </c>
      <c r="E1647" s="1">
        <f>2.78332115740717*(10.3/7.3)</f>
        <v>3.9271517700402532</v>
      </c>
      <c r="F1647" s="1">
        <f>6.41969532700766*(38.9/42.5)</f>
        <v>5.8759093698964255</v>
      </c>
      <c r="G1647" s="1">
        <v>0.27315950802702038</v>
      </c>
      <c r="H1647" s="1">
        <v>1.788797273831138</v>
      </c>
      <c r="I1647" s="1">
        <v>5.0114623117855075</v>
      </c>
      <c r="J1647" s="1">
        <v>1.8367768264059017E-2</v>
      </c>
      <c r="K1647" s="1">
        <v>2.3348823425654692</v>
      </c>
      <c r="L1647" s="1">
        <v>2.444919093006952</v>
      </c>
      <c r="M1647" s="1">
        <v>0.11763882644752441</v>
      </c>
      <c r="N1647" s="1">
        <v>0.74298814079300635</v>
      </c>
      <c r="O1647" s="1">
        <v>0.30696666666666661</v>
      </c>
      <c r="P1647" s="1">
        <v>0.16758625402877952</v>
      </c>
      <c r="Q1647" s="1">
        <v>0.43655629136738461</v>
      </c>
      <c r="R1647" s="2">
        <f t="shared" si="103"/>
        <v>19.381164234393122</v>
      </c>
      <c r="S1647" s="2">
        <f t="shared" si="102"/>
        <v>2.5208363648583076</v>
      </c>
      <c r="T1647" s="2">
        <f t="shared" si="104"/>
        <v>3.6125127269141499</v>
      </c>
      <c r="U1647" s="2">
        <f t="shared" si="105"/>
        <v>25.514513326165581</v>
      </c>
    </row>
    <row r="1648" spans="1:21" x14ac:dyDescent="0.25">
      <c r="A1648">
        <v>3474185</v>
      </c>
      <c r="B1648">
        <v>59</v>
      </c>
      <c r="C1648" s="1">
        <f>1.46659144100434*(10.3/7.3)</f>
        <v>2.0693002523759905</v>
      </c>
      <c r="D1648" s="1">
        <f>1.71931256953277*(10.3/7.3)</f>
        <v>2.4258793789297934</v>
      </c>
      <c r="E1648" s="1">
        <f>6.05458193371431*(10.3/7.3)</f>
        <v>8.5427662900352619</v>
      </c>
      <c r="F1648" s="1">
        <f>14.279079879523*(38.9/42.5)</f>
        <v>13.069557819139831</v>
      </c>
      <c r="G1648" s="1">
        <v>0.62107221982971739</v>
      </c>
      <c r="H1648" s="1">
        <v>3.2429413345731879</v>
      </c>
      <c r="I1648" s="1">
        <v>11.16868074735957</v>
      </c>
      <c r="J1648" s="1">
        <v>2.8397820941953315E-2</v>
      </c>
      <c r="K1648" s="1">
        <v>3.4094910986371088</v>
      </c>
      <c r="L1648" s="1">
        <v>4.1041608363919897</v>
      </c>
      <c r="M1648" s="1">
        <v>0.17646734037182177</v>
      </c>
      <c r="N1648" s="1">
        <v>1.0727889175778853</v>
      </c>
      <c r="O1648" s="1">
        <v>0.53087638418079086</v>
      </c>
      <c r="P1648" s="1">
        <v>0.245070706062327</v>
      </c>
      <c r="Q1648" s="1">
        <v>0.99258117324384199</v>
      </c>
      <c r="R1648" s="2">
        <f t="shared" si="103"/>
        <v>42.132779215487197</v>
      </c>
      <c r="S1648" s="2">
        <f t="shared" si="102"/>
        <v>3.6829596256413892</v>
      </c>
      <c r="T1648" s="2">
        <f t="shared" si="104"/>
        <v>5.8842934785224887</v>
      </c>
      <c r="U1648" s="2">
        <f t="shared" si="105"/>
        <v>51.700032319651072</v>
      </c>
    </row>
    <row r="1649" spans="1:21" x14ac:dyDescent="0.25">
      <c r="A1649">
        <v>3474193</v>
      </c>
      <c r="B1649">
        <v>5</v>
      </c>
      <c r="C1649" s="1">
        <f>0.925709817278505*(10.3/7.3)</f>
        <v>1.306138509310768</v>
      </c>
      <c r="D1649" s="1">
        <f>1.09914133561892*(10.3/7.3)</f>
        <v>1.5508432543664235</v>
      </c>
      <c r="E1649" s="1">
        <f>3.86837522813694*(10.3/7.3)</f>
        <v>5.4581184725767811</v>
      </c>
      <c r="F1649" s="1">
        <f>9.11886244400637*(38.9/42.5)</f>
        <v>8.3464411546317159</v>
      </c>
      <c r="G1649" s="1">
        <v>0.39731316668102573</v>
      </c>
      <c r="H1649" s="1">
        <v>2.2569698855211335</v>
      </c>
      <c r="I1649" s="1">
        <v>7.1052327369214723</v>
      </c>
      <c r="J1649" s="1">
        <v>2.2020530218460451E-2</v>
      </c>
      <c r="K1649" s="1">
        <v>2.7715531295431513</v>
      </c>
      <c r="L1649" s="1">
        <v>3.1058904217849181</v>
      </c>
      <c r="M1649" s="1">
        <v>0.13516407227108068</v>
      </c>
      <c r="N1649" s="1">
        <v>0.86962320597622811</v>
      </c>
      <c r="O1649" s="1">
        <v>0.39452800000000005</v>
      </c>
      <c r="P1649" s="1">
        <v>0.20438562813042024</v>
      </c>
      <c r="Q1649" s="1">
        <v>0.63497538054045266</v>
      </c>
      <c r="R1649" s="2">
        <f t="shared" si="103"/>
        <v>27.056032560549774</v>
      </c>
      <c r="S1649" s="2">
        <f t="shared" si="102"/>
        <v>2.9979592878920323</v>
      </c>
      <c r="T1649" s="2">
        <f t="shared" si="104"/>
        <v>4.505205700032227</v>
      </c>
      <c r="U1649" s="2">
        <f t="shared" si="105"/>
        <v>34.559197548474032</v>
      </c>
    </row>
    <row r="1650" spans="1:21" x14ac:dyDescent="0.25">
      <c r="A1650">
        <v>3474201</v>
      </c>
      <c r="B1650">
        <v>59</v>
      </c>
      <c r="C1650" s="1">
        <f>0.804630458164279*(10.3/7.3)</f>
        <v>1.135300509464668</v>
      </c>
      <c r="D1650" s="1">
        <f>0.978823280583867*(10.3/7.3)</f>
        <v>1.3810794232895665</v>
      </c>
      <c r="E1650" s="1">
        <f>3.4382059706112*(10.3/7.3)</f>
        <v>4.8511673283966301</v>
      </c>
      <c r="F1650" s="1">
        <f>8.24747453752748*(38.9/42.5)</f>
        <v>7.5488649296428028</v>
      </c>
      <c r="G1650" s="1">
        <v>0.36654315985997382</v>
      </c>
      <c r="H1650" s="1">
        <v>2.0085455488063051</v>
      </c>
      <c r="I1650" s="1">
        <v>6.398464169861704</v>
      </c>
      <c r="J1650" s="1">
        <v>1.8596307937609878E-2</v>
      </c>
      <c r="K1650" s="1">
        <v>2.4959493772092225</v>
      </c>
      <c r="L1650" s="1">
        <v>2.6371787306415011</v>
      </c>
      <c r="M1650" s="1">
        <v>0.11083253764033765</v>
      </c>
      <c r="N1650" s="1">
        <v>0.76879461417545425</v>
      </c>
      <c r="O1650" s="1">
        <v>0.29678463276836153</v>
      </c>
      <c r="P1650" s="1">
        <v>0.20024283123747927</v>
      </c>
      <c r="Q1650" s="1">
        <v>0.58579957055247023</v>
      </c>
      <c r="R1650" s="2">
        <f t="shared" si="103"/>
        <v>24.275764639874122</v>
      </c>
      <c r="S1650" s="2">
        <f t="shared" si="102"/>
        <v>2.7147885163843113</v>
      </c>
      <c r="T1650" s="2">
        <f t="shared" si="104"/>
        <v>3.8135905152256546</v>
      </c>
      <c r="U1650" s="2">
        <f t="shared" si="105"/>
        <v>30.804143671484088</v>
      </c>
    </row>
    <row r="1651" spans="1:21" x14ac:dyDescent="0.25">
      <c r="A1651">
        <v>3474441</v>
      </c>
      <c r="B1651">
        <v>2</v>
      </c>
      <c r="C1651" s="1">
        <f>2.14400479580509*(10.3/7.3)</f>
        <v>3.0251026570948558</v>
      </c>
      <c r="D1651" s="1">
        <f>2.52998892189665*(10.3/7.3)</f>
        <v>3.5697103966486994</v>
      </c>
      <c r="E1651" s="1">
        <f>8.91400432417311*(10.3/7.3)</f>
        <v>12.577293772463426</v>
      </c>
      <c r="F1651" s="1">
        <f>20.6462304925184*(38.9/42.5)</f>
        <v>18.897373321387423</v>
      </c>
      <c r="G1651" s="1">
        <v>0.88378842936851432</v>
      </c>
      <c r="H1651" s="1">
        <v>4.5801137653044588</v>
      </c>
      <c r="I1651" s="1">
        <v>16.07382879332194</v>
      </c>
      <c r="J1651" s="1">
        <v>3.8269454686352476E-2</v>
      </c>
      <c r="K1651" s="1">
        <v>3.7545967861231171</v>
      </c>
      <c r="L1651" s="1">
        <v>7.6468894712697235</v>
      </c>
      <c r="M1651" s="1">
        <v>0.16305928238993089</v>
      </c>
      <c r="N1651" s="1">
        <v>1.8709936681750652</v>
      </c>
      <c r="O1651" s="1">
        <v>0.29061333333333333</v>
      </c>
      <c r="P1651" s="1">
        <v>0.25143858967853749</v>
      </c>
      <c r="Q1651" s="1">
        <v>1.4124472615478556</v>
      </c>
      <c r="R1651" s="2">
        <f t="shared" si="103"/>
        <v>61.019658397137178</v>
      </c>
      <c r="S1651" s="2">
        <f t="shared" si="102"/>
        <v>4.0443048304880076</v>
      </c>
      <c r="T1651" s="2">
        <f t="shared" si="104"/>
        <v>9.9715557551680529</v>
      </c>
      <c r="U1651" s="2">
        <f t="shared" si="105"/>
        <v>75.035518982793235</v>
      </c>
    </row>
    <row r="1652" spans="1:21" x14ac:dyDescent="0.25">
      <c r="A1652">
        <v>3474465</v>
      </c>
      <c r="B1652">
        <v>6</v>
      </c>
      <c r="C1652" s="1">
        <f>1.9319807906716*(10.3/7.3)</f>
        <v>2.7259454991667811</v>
      </c>
      <c r="D1652" s="1">
        <f>2.26766801689552*(10.3/7.3)</f>
        <v>3.1995863800032653</v>
      </c>
      <c r="E1652" s="1">
        <f>7.9926982878587*(10.3/7.3)</f>
        <v>11.277368817115697</v>
      </c>
      <c r="F1652" s="1">
        <f>18.4664871100312*(38.9/42.5)</f>
        <v>16.902267025416819</v>
      </c>
      <c r="G1652" s="1">
        <v>0.78784886958618916</v>
      </c>
      <c r="H1652" s="1">
        <v>4.7122378147619637</v>
      </c>
      <c r="I1652" s="1">
        <v>14.394589101094601</v>
      </c>
      <c r="J1652" s="1">
        <v>3.391734203269884E-2</v>
      </c>
      <c r="K1652" s="1">
        <v>3.4298620845683838</v>
      </c>
      <c r="L1652" s="1">
        <v>7.496974304136228</v>
      </c>
      <c r="M1652" s="1">
        <v>0.1489319642262189</v>
      </c>
      <c r="N1652" s="1">
        <v>1.7081724846119997</v>
      </c>
      <c r="O1652" s="1">
        <v>0.25859555555555552</v>
      </c>
      <c r="P1652" s="1">
        <v>0.23153329941153755</v>
      </c>
      <c r="Q1652" s="1">
        <v>1.2591191979687968</v>
      </c>
      <c r="R1652" s="2">
        <f t="shared" si="103"/>
        <v>55.258962705114115</v>
      </c>
      <c r="S1652" s="2">
        <f t="shared" si="102"/>
        <v>3.6953127260126202</v>
      </c>
      <c r="T1652" s="2">
        <f t="shared" si="104"/>
        <v>9.6126743085300017</v>
      </c>
      <c r="U1652" s="2">
        <f t="shared" si="105"/>
        <v>68.566949739656735</v>
      </c>
    </row>
    <row r="1653" spans="1:21" x14ac:dyDescent="0.25">
      <c r="A1653">
        <v>3474481</v>
      </c>
      <c r="B1653">
        <v>4</v>
      </c>
      <c r="C1653" s="1">
        <f>2.03676472683416*(10.3/7.3)</f>
        <v>2.8737913269029947</v>
      </c>
      <c r="D1653" s="1">
        <f>2.39794348677035*(10.3/7.3)</f>
        <v>3.3833997142102161</v>
      </c>
      <c r="E1653" s="1">
        <f>8.45631276431966*(10.3/7.3)</f>
        <v>11.931509790752399</v>
      </c>
      <c r="F1653" s="1">
        <f>19.2496362686402*(38.9/42.5)</f>
        <v>17.619078843531884</v>
      </c>
      <c r="G1653" s="1">
        <v>0.80980856751958985</v>
      </c>
      <c r="H1653" s="1">
        <v>3.6642589665437244</v>
      </c>
      <c r="I1653" s="1">
        <v>14.957211516577102</v>
      </c>
      <c r="J1653" s="1">
        <v>3.2146511664686364E-2</v>
      </c>
      <c r="K1653" s="1">
        <v>3.1706191644112627</v>
      </c>
      <c r="L1653" s="1">
        <v>5.5284502452722917</v>
      </c>
      <c r="M1653" s="1">
        <v>0.14683652030229816</v>
      </c>
      <c r="N1653" s="1">
        <v>1.5889416128840506</v>
      </c>
      <c r="O1653" s="1">
        <v>0.24129333333333333</v>
      </c>
      <c r="P1653" s="1">
        <v>0.20846257555853986</v>
      </c>
      <c r="Q1653" s="1">
        <v>1.2942146056249166</v>
      </c>
      <c r="R1653" s="2">
        <f t="shared" si="103"/>
        <v>56.533273331662834</v>
      </c>
      <c r="S1653" s="2">
        <f t="shared" si="102"/>
        <v>3.4112282516344887</v>
      </c>
      <c r="T1653" s="2">
        <f t="shared" si="104"/>
        <v>7.5055217117919737</v>
      </c>
      <c r="U1653" s="2">
        <f t="shared" si="105"/>
        <v>67.450023295089295</v>
      </c>
    </row>
    <row r="1654" spans="1:21" x14ac:dyDescent="0.25">
      <c r="A1654">
        <v>3474913</v>
      </c>
      <c r="B1654">
        <v>14</v>
      </c>
      <c r="C1654" s="1">
        <f>8.21391503204329*(10.3/7.3)</f>
        <v>11.589496552061076</v>
      </c>
      <c r="D1654" s="1">
        <f>8.47388719793298*(10.3/7.3)</f>
        <v>11.956306594343793</v>
      </c>
      <c r="E1654" s="1">
        <f>30.390397566301*(10.3/7.3)</f>
        <v>42.879602045602795</v>
      </c>
      <c r="F1654" s="1">
        <f>53.6597798792832*(38.9/42.5)</f>
        <v>49.114480877743901</v>
      </c>
      <c r="G1654" s="1">
        <v>1.5331680682562243</v>
      </c>
      <c r="H1654" s="1">
        <v>6.5406203175755424</v>
      </c>
      <c r="I1654" s="1">
        <v>42.127008623055595</v>
      </c>
      <c r="J1654" s="1">
        <v>4.079597943779336E-2</v>
      </c>
      <c r="K1654" s="1">
        <v>2.4314502991487501</v>
      </c>
      <c r="L1654" s="1">
        <v>3.8182395174503578</v>
      </c>
      <c r="M1654" s="1">
        <v>0.12985009222965577</v>
      </c>
      <c r="N1654" s="1">
        <v>1.6478850781494516</v>
      </c>
      <c r="O1654" s="1">
        <v>0.11676571428571429</v>
      </c>
      <c r="P1654" s="1">
        <v>9.4166825263581666E-2</v>
      </c>
      <c r="Q1654" s="1">
        <v>2.4502686022359783</v>
      </c>
      <c r="R1654" s="2">
        <f t="shared" si="103"/>
        <v>168.19095168087492</v>
      </c>
      <c r="S1654" s="2">
        <f t="shared" si="102"/>
        <v>2.5664131038501248</v>
      </c>
      <c r="T1654" s="2">
        <f t="shared" si="104"/>
        <v>5.7127404021151795</v>
      </c>
      <c r="U1654" s="2">
        <f t="shared" si="105"/>
        <v>176.47010518684021</v>
      </c>
    </row>
    <row r="1655" spans="1:21" x14ac:dyDescent="0.25">
      <c r="A1655">
        <v>3486413</v>
      </c>
      <c r="B1655">
        <v>39</v>
      </c>
      <c r="C1655" s="1">
        <f>0.900877855018398*(10.3/7.3)</f>
        <v>1.2711016310533567</v>
      </c>
      <c r="D1655" s="1">
        <f>1.06342949901885*(10.3/7.3)</f>
        <v>1.5004553205334512</v>
      </c>
      <c r="E1655" s="1">
        <f>3.74583013664086*(10.3/7.3)</f>
        <v>5.2852123845754635</v>
      </c>
      <c r="F1655" s="1">
        <f>8.72311418139133*(38.9/42.5)</f>
        <v>7.9842150977911261</v>
      </c>
      <c r="G1655" s="1">
        <v>0.37536997566163149</v>
      </c>
      <c r="H1655" s="1">
        <v>2.0990067129624217</v>
      </c>
      <c r="I1655" s="1">
        <v>6.796140228003237</v>
      </c>
      <c r="J1655" s="1">
        <v>2.1020396212874447E-2</v>
      </c>
      <c r="K1655" s="1">
        <v>2.5648637890420947</v>
      </c>
      <c r="L1655" s="1">
        <v>2.9356145893371175</v>
      </c>
      <c r="M1655" s="1">
        <v>0.13338291417206236</v>
      </c>
      <c r="N1655" s="1">
        <v>0.81341745536518728</v>
      </c>
      <c r="O1655" s="1">
        <v>0.35885948717948712</v>
      </c>
      <c r="P1655" s="1">
        <v>0.18151132244771778</v>
      </c>
      <c r="Q1655" s="1">
        <v>0.59990635379712853</v>
      </c>
      <c r="R1655" s="2">
        <f t="shared" si="103"/>
        <v>25.911407704377812</v>
      </c>
      <c r="S1655" s="2">
        <f t="shared" si="102"/>
        <v>2.7673955077026871</v>
      </c>
      <c r="T1655" s="2">
        <f t="shared" si="104"/>
        <v>4.2412744460538541</v>
      </c>
      <c r="U1655" s="2">
        <f t="shared" si="105"/>
        <v>32.920077658134353</v>
      </c>
    </row>
    <row r="1656" spans="1:21" x14ac:dyDescent="0.25">
      <c r="A1656">
        <v>3486421</v>
      </c>
      <c r="B1656">
        <v>15</v>
      </c>
      <c r="C1656" s="1">
        <f>0.526013368077013*(10.3/7.3)</f>
        <v>0.74218324536893687</v>
      </c>
      <c r="D1656" s="1">
        <f>0.62971037382117*(10.3/7.3)</f>
        <v>0.88849545895315729</v>
      </c>
      <c r="E1656" s="1">
        <f>2.21835197875984*(10.3/7.3)</f>
        <v>3.1300034768803173</v>
      </c>
      <c r="F1656" s="1">
        <f>5.07807079807974*(38.9/42.5)</f>
        <v>4.6479283304776917</v>
      </c>
      <c r="G1656" s="1">
        <v>0.21545539460976099</v>
      </c>
      <c r="H1656" s="1">
        <v>1.3668792764046132</v>
      </c>
      <c r="I1656" s="1">
        <v>3.9291441804009213</v>
      </c>
      <c r="J1656" s="1">
        <v>1.6435908313460115E-2</v>
      </c>
      <c r="K1656" s="1">
        <v>2.0852507967553509</v>
      </c>
      <c r="L1656" s="1">
        <v>2.2436902991105216</v>
      </c>
      <c r="M1656" s="1">
        <v>0.10481790800351462</v>
      </c>
      <c r="N1656" s="1">
        <v>0.66878523225745956</v>
      </c>
      <c r="O1656" s="1">
        <v>0.25508977777777775</v>
      </c>
      <c r="P1656" s="1">
        <v>0.14905053509939098</v>
      </c>
      <c r="Q1656" s="1">
        <v>0.34433510554071428</v>
      </c>
      <c r="R1656" s="2">
        <f t="shared" si="103"/>
        <v>15.264424468636113</v>
      </c>
      <c r="S1656" s="2">
        <f t="shared" si="102"/>
        <v>2.2507372401682018</v>
      </c>
      <c r="T1656" s="2">
        <f t="shared" si="104"/>
        <v>3.2723832171492737</v>
      </c>
      <c r="U1656" s="2">
        <f t="shared" si="105"/>
        <v>20.787544925953586</v>
      </c>
    </row>
    <row r="1657" spans="1:21" x14ac:dyDescent="0.25">
      <c r="A1657">
        <v>3486429</v>
      </c>
      <c r="B1657">
        <v>52</v>
      </c>
      <c r="C1657" s="1">
        <f>1.13483905798566*(10.3/7.3)</f>
        <v>1.6012112735962101</v>
      </c>
      <c r="D1657" s="1">
        <f>1.35216137823085*(10.3/7.3)</f>
        <v>1.9078441364079082</v>
      </c>
      <c r="E1657" s="1">
        <f>4.75487335355631*(10.3/7.3)</f>
        <v>6.7089308961137002</v>
      </c>
      <c r="F1657" s="1">
        <f>11.3716700580683*(38.9/42.5)</f>
        <v>10.408422711973079</v>
      </c>
      <c r="G1657" s="1">
        <v>0.50234872386905227</v>
      </c>
      <c r="H1657" s="1">
        <v>2.6238337553120723</v>
      </c>
      <c r="I1657" s="1">
        <v>8.8708072997243548</v>
      </c>
      <c r="J1657" s="1">
        <v>2.3930363589555543E-2</v>
      </c>
      <c r="K1657" s="1">
        <v>2.9889141328547471</v>
      </c>
      <c r="L1657" s="1">
        <v>3.41980532453222</v>
      </c>
      <c r="M1657" s="1">
        <v>0.14528307171151267</v>
      </c>
      <c r="N1657" s="1">
        <v>0.93042900472590773</v>
      </c>
      <c r="O1657" s="1">
        <v>0.43356205128205133</v>
      </c>
      <c r="P1657" s="1">
        <v>0.22442617179665089</v>
      </c>
      <c r="Q1657" s="1">
        <v>0.80284042627474161</v>
      </c>
      <c r="R1657" s="2">
        <f t="shared" si="103"/>
        <v>33.426239223271118</v>
      </c>
      <c r="S1657" s="2">
        <f t="shared" si="102"/>
        <v>3.2372706682409533</v>
      </c>
      <c r="T1657" s="2">
        <f t="shared" si="104"/>
        <v>4.9290794522516919</v>
      </c>
      <c r="U1657" s="2">
        <f t="shared" si="105"/>
        <v>41.592589343763763</v>
      </c>
    </row>
    <row r="1658" spans="1:21" x14ac:dyDescent="0.25">
      <c r="A1658">
        <v>3486437</v>
      </c>
      <c r="B1658">
        <v>17</v>
      </c>
      <c r="C1658" s="1">
        <f>0.706546236267707*(10.3/7.3)</f>
        <v>0.99690770322703914</v>
      </c>
      <c r="D1658" s="1">
        <f>0.878420174466384*(10.3/7.3)</f>
        <v>1.2394147667128435</v>
      </c>
      <c r="E1658" s="1">
        <f>3.07637231757586*(10.3/7.3)</f>
        <v>4.3406349138399074</v>
      </c>
      <c r="F1658" s="1">
        <f>7.68895191304534*(38.9/42.5)</f>
        <v>7.0376524568814958</v>
      </c>
      <c r="G1658" s="1">
        <v>0.35508945164717293</v>
      </c>
      <c r="H1658" s="1">
        <v>2.4983103351832434</v>
      </c>
      <c r="I1658" s="1">
        <v>5.9673851006436438</v>
      </c>
      <c r="J1658" s="1">
        <v>1.8374070669639593E-2</v>
      </c>
      <c r="K1658" s="1">
        <v>2.4742387872924816</v>
      </c>
      <c r="L1658" s="1">
        <v>2.5994439589894611</v>
      </c>
      <c r="M1658" s="1">
        <v>0.1081986889882689</v>
      </c>
      <c r="N1658" s="1">
        <v>0.7675016566010201</v>
      </c>
      <c r="O1658" s="1">
        <v>0.2908705882352941</v>
      </c>
      <c r="P1658" s="1">
        <v>0.20074944963499086</v>
      </c>
      <c r="Q1658" s="1">
        <v>0.56749455742698951</v>
      </c>
      <c r="R1658" s="2">
        <f t="shared" si="103"/>
        <v>23.002889285562336</v>
      </c>
      <c r="S1658" s="2">
        <f t="shared" si="102"/>
        <v>2.6933623075971118</v>
      </c>
      <c r="T1658" s="2">
        <f t="shared" si="104"/>
        <v>3.7660148928140442</v>
      </c>
      <c r="U1658" s="2">
        <f t="shared" si="105"/>
        <v>29.462266485973494</v>
      </c>
    </row>
    <row r="1659" spans="1:21" x14ac:dyDescent="0.25">
      <c r="A1659">
        <v>3486701</v>
      </c>
      <c r="B1659">
        <v>42</v>
      </c>
      <c r="C1659" s="1">
        <f>1.66758141294878*(10.3/7.3)</f>
        <v>2.3528888429277317</v>
      </c>
      <c r="D1659" s="1">
        <f>1.96116579406773*(10.3/7.3)</f>
        <v>2.7671243395750227</v>
      </c>
      <c r="E1659" s="1">
        <f>6.91275222100441*(10.3/7.3)</f>
        <v>9.7536092981295184</v>
      </c>
      <c r="F1659" s="1">
        <f>15.9200817507373*(38.9/42.5)</f>
        <v>14.571557178910101</v>
      </c>
      <c r="G1659" s="1">
        <v>0.67732741638787364</v>
      </c>
      <c r="H1659" s="1">
        <v>5.0247127912937275</v>
      </c>
      <c r="I1659" s="1">
        <v>12.396269323193261</v>
      </c>
      <c r="J1659" s="1">
        <v>3.2019013494648044E-2</v>
      </c>
      <c r="K1659" s="1">
        <v>3.2399994894902617</v>
      </c>
      <c r="L1659" s="1">
        <v>6.9529911475774515</v>
      </c>
      <c r="M1659" s="1">
        <v>0.14173371991134762</v>
      </c>
      <c r="N1659" s="1">
        <v>1.6112161092435306</v>
      </c>
      <c r="O1659" s="1">
        <v>0.24607873015873014</v>
      </c>
      <c r="P1659" s="1">
        <v>0.22151752678692899</v>
      </c>
      <c r="Q1659" s="1">
        <v>1.0824867385194339</v>
      </c>
      <c r="R1659" s="2">
        <f t="shared" si="103"/>
        <v>48.625975928936676</v>
      </c>
      <c r="S1659" s="2">
        <f t="shared" si="102"/>
        <v>3.493536029771839</v>
      </c>
      <c r="T1659" s="2">
        <f t="shared" si="104"/>
        <v>8.9520197068910612</v>
      </c>
      <c r="U1659" s="2">
        <f t="shared" si="105"/>
        <v>61.071531665599579</v>
      </c>
    </row>
    <row r="1660" spans="1:21" x14ac:dyDescent="0.25">
      <c r="A1660">
        <v>3486709</v>
      </c>
      <c r="B1660">
        <v>2</v>
      </c>
      <c r="C1660" s="1">
        <f>2.570973612655*(10.3/7.3)</f>
        <v>3.6275381110063716</v>
      </c>
      <c r="D1660" s="1">
        <f>3.04340780552246*(10.3/7.3)</f>
        <v>4.2941233420385325</v>
      </c>
      <c r="E1660" s="1">
        <f>10.725477575288*(10.3/7.3)</f>
        <v>15.133208085680399</v>
      </c>
      <c r="F1660" s="1">
        <f>24.6319040927001*(38.9/42.5)</f>
        <v>22.545436922494943</v>
      </c>
      <c r="G1660" s="1">
        <v>1.0463402650481672</v>
      </c>
      <c r="H1660" s="1">
        <v>4.6338591413549688</v>
      </c>
      <c r="I1660" s="1">
        <v>19.133627323107675</v>
      </c>
      <c r="J1660" s="1">
        <v>3.6894656669013724E-2</v>
      </c>
      <c r="K1660" s="1">
        <v>3.5627500460402941</v>
      </c>
      <c r="L1660" s="1">
        <v>6.6445302185281356</v>
      </c>
      <c r="M1660" s="1">
        <v>0.16815755584397921</v>
      </c>
      <c r="N1660" s="1">
        <v>1.7927811696123004</v>
      </c>
      <c r="O1660" s="1">
        <v>0.27024000000000004</v>
      </c>
      <c r="P1660" s="1">
        <v>0.22963288139126969</v>
      </c>
      <c r="Q1660" s="1">
        <v>1.6722333003052916</v>
      </c>
      <c r="R1660" s="2">
        <f t="shared" si="103"/>
        <v>72.086366491036344</v>
      </c>
      <c r="S1660" s="2">
        <f t="shared" si="102"/>
        <v>3.8292775841005775</v>
      </c>
      <c r="T1660" s="2">
        <f t="shared" si="104"/>
        <v>8.8757089439844155</v>
      </c>
      <c r="U1660" s="2">
        <f t="shared" si="105"/>
        <v>84.791353019121345</v>
      </c>
    </row>
    <row r="1661" spans="1:21" x14ac:dyDescent="0.25">
      <c r="A1661">
        <v>3487141</v>
      </c>
      <c r="B1661">
        <v>5</v>
      </c>
      <c r="C1661" s="1">
        <f>6.62916883176295*(10.3/7.3)</f>
        <v>9.3534847900216942</v>
      </c>
      <c r="D1661" s="1">
        <f>6.85660482324665*(10.3/7.3)</f>
        <v>9.6743876273206126</v>
      </c>
      <c r="E1661" s="1">
        <f>24.5774470891222*(10.3/7.3)</f>
        <v>34.677767810679221</v>
      </c>
      <c r="F1661" s="1">
        <f>43.8669170108896*(38.9/42.5)</f>
        <v>40.151131099378929</v>
      </c>
      <c r="G1661" s="1">
        <v>1.2806724162853693</v>
      </c>
      <c r="H1661" s="1">
        <v>6.7524346835460376</v>
      </c>
      <c r="I1661" s="1">
        <v>34.453965989192561</v>
      </c>
      <c r="J1661" s="1">
        <v>4.1697114681433473E-2</v>
      </c>
      <c r="K1661" s="1">
        <v>2.2349149553840486</v>
      </c>
      <c r="L1661" s="1">
        <v>3.3617332416931425</v>
      </c>
      <c r="M1661" s="1">
        <v>0.11850162063209094</v>
      </c>
      <c r="N1661" s="1">
        <v>1.538871837741882</v>
      </c>
      <c r="O1661" s="1">
        <v>0.105376</v>
      </c>
      <c r="P1661" s="1">
        <v>8.7586741827470088E-2</v>
      </c>
      <c r="Q1661" s="1">
        <v>2.046736738355615</v>
      </c>
      <c r="R1661" s="2">
        <f t="shared" si="103"/>
        <v>138.39058115478002</v>
      </c>
      <c r="S1661" s="2">
        <f t="shared" si="102"/>
        <v>2.364198811892952</v>
      </c>
      <c r="T1661" s="2">
        <f t="shared" si="104"/>
        <v>5.1244827000671149</v>
      </c>
      <c r="U1661" s="2">
        <f t="shared" si="105"/>
        <v>145.87926266674009</v>
      </c>
    </row>
    <row r="1662" spans="1:21" x14ac:dyDescent="0.25">
      <c r="A1662">
        <v>3487149</v>
      </c>
      <c r="B1662">
        <v>33</v>
      </c>
      <c r="C1662" s="1">
        <f>8.40371573372497*(10.3/7.3)</f>
        <v>11.857297542105089</v>
      </c>
      <c r="D1662" s="1">
        <f>8.77705964384275*(10.3/7.3)</f>
        <v>12.384070456380863</v>
      </c>
      <c r="E1662" s="1">
        <f>31.4419055234521*(10.3/7.3)</f>
        <v>44.363236560487152</v>
      </c>
      <c r="F1662" s="1">
        <f>56.2664926918535*(38.9/42.5)</f>
        <v>51.500389781484735</v>
      </c>
      <c r="G1662" s="1">
        <v>1.6566664033174003</v>
      </c>
      <c r="H1662" s="1">
        <v>5.1768604832895315</v>
      </c>
      <c r="I1662" s="1">
        <v>44.025192926132227</v>
      </c>
      <c r="J1662" s="1">
        <v>4.0691809703996003E-2</v>
      </c>
      <c r="K1662" s="1">
        <v>2.5321642854629962</v>
      </c>
      <c r="L1662" s="1">
        <v>4.0854901205050691</v>
      </c>
      <c r="M1662" s="1">
        <v>0.13565965825079543</v>
      </c>
      <c r="N1662" s="1">
        <v>1.7087682259668193</v>
      </c>
      <c r="O1662" s="1">
        <v>0.12200404040404042</v>
      </c>
      <c r="P1662" s="1">
        <v>9.6982583490463001E-2</v>
      </c>
      <c r="Q1662" s="1">
        <v>2.6476403705985883</v>
      </c>
      <c r="R1662" s="2">
        <f t="shared" si="103"/>
        <v>173.6113545237956</v>
      </c>
      <c r="S1662" s="2">
        <f t="shared" si="102"/>
        <v>2.6698386786574555</v>
      </c>
      <c r="T1662" s="2">
        <f t="shared" si="104"/>
        <v>6.0519220451267248</v>
      </c>
      <c r="U1662" s="2">
        <f t="shared" si="105"/>
        <v>182.33311524757977</v>
      </c>
    </row>
    <row r="1663" spans="1:21" x14ac:dyDescent="0.25">
      <c r="A1663">
        <v>3498649</v>
      </c>
      <c r="B1663">
        <v>40</v>
      </c>
      <c r="C1663" s="1">
        <f>0.949697937070322*(10.3/7.3)</f>
        <v>1.3399847605238797</v>
      </c>
      <c r="D1663" s="1">
        <f>1.12285786496272*(10.3/7.3)</f>
        <v>1.5843063026186379</v>
      </c>
      <c r="E1663" s="1">
        <f>3.95339616606958*(10.3/7.3)</f>
        <v>5.578079521988581</v>
      </c>
      <c r="F1663" s="1">
        <f>9.28079778261506*(38.9/42.5)</f>
        <v>8.4946596174994351</v>
      </c>
      <c r="G1663" s="1">
        <v>0.40252233606864751</v>
      </c>
      <c r="H1663" s="1">
        <v>2.1942725452722089</v>
      </c>
      <c r="I1663" s="1">
        <v>7.235944000358117</v>
      </c>
      <c r="J1663" s="1">
        <v>2.2235448488763566E-2</v>
      </c>
      <c r="K1663" s="1">
        <v>2.7230904838722405</v>
      </c>
      <c r="L1663" s="1">
        <v>3.1093611749117143</v>
      </c>
      <c r="M1663" s="1">
        <v>0.14111254031330564</v>
      </c>
      <c r="N1663" s="1">
        <v>0.86264985095175872</v>
      </c>
      <c r="O1663" s="1">
        <v>0.39412800000000009</v>
      </c>
      <c r="P1663" s="1">
        <v>0.19462157941262756</v>
      </c>
      <c r="Q1663" s="1">
        <v>0.64330053709601276</v>
      </c>
      <c r="R1663" s="2">
        <f t="shared" si="103"/>
        <v>27.47306962142552</v>
      </c>
      <c r="S1663" s="2">
        <f t="shared" si="102"/>
        <v>2.9399475117736316</v>
      </c>
      <c r="T1663" s="2">
        <f t="shared" si="104"/>
        <v>4.5072515661767794</v>
      </c>
      <c r="U1663" s="2">
        <f t="shared" si="105"/>
        <v>34.920268699375931</v>
      </c>
    </row>
    <row r="1664" spans="1:21" x14ac:dyDescent="0.25">
      <c r="A1664">
        <v>3498657</v>
      </c>
      <c r="B1664">
        <v>1</v>
      </c>
      <c r="C1664" s="1">
        <f>0.319549516565934*(10.3/7.3)</f>
        <v>0.45087123570261983</v>
      </c>
      <c r="D1664" s="1">
        <f>0.385602921649897*(10.3/7.3)</f>
        <v>0.54406987575259436</v>
      </c>
      <c r="E1664" s="1">
        <f>1.36011275525231*(10.3/7.3)</f>
        <v>1.9190632026162731</v>
      </c>
      <c r="F1664" s="1">
        <f>3.00116771103913*(38.9/42.5)</f>
        <v>2.7469511519864076</v>
      </c>
      <c r="G1664" s="1">
        <v>0.12285270749386293</v>
      </c>
      <c r="H1664" s="1">
        <v>0.87403417802143013</v>
      </c>
      <c r="I1664" s="1">
        <v>2.3025609976280501</v>
      </c>
      <c r="J1664" s="1">
        <v>1.3467928725411105E-2</v>
      </c>
      <c r="K1664" s="1">
        <v>1.7074379696872024</v>
      </c>
      <c r="L1664" s="1">
        <v>1.7777610854422856</v>
      </c>
      <c r="M1664" s="1">
        <v>8.5294049457948232E-2</v>
      </c>
      <c r="N1664" s="1">
        <v>0.5514399707503066</v>
      </c>
      <c r="O1664" s="1">
        <v>0.17488000000000001</v>
      </c>
      <c r="P1664" s="1">
        <v>0.12329034110819691</v>
      </c>
      <c r="Q1664" s="1">
        <v>0.19633994348334277</v>
      </c>
      <c r="R1664" s="2">
        <f t="shared" si="103"/>
        <v>9.1567432926845811</v>
      </c>
      <c r="S1664" s="2">
        <f t="shared" si="102"/>
        <v>1.8441962395208105</v>
      </c>
      <c r="T1664" s="2">
        <f t="shared" si="104"/>
        <v>2.5893751056505403</v>
      </c>
      <c r="U1664" s="2">
        <f t="shared" si="105"/>
        <v>13.590314637855933</v>
      </c>
    </row>
    <row r="1665" spans="1:21" x14ac:dyDescent="0.25">
      <c r="A1665">
        <v>3498665</v>
      </c>
      <c r="B1665">
        <v>62</v>
      </c>
      <c r="C1665" s="1">
        <f>0.891332095105741*(10.3/7.3)</f>
        <v>1.2576329561081008</v>
      </c>
      <c r="D1665" s="1">
        <f>1.08446132507615*(10.3/7.3)</f>
        <v>1.5301303627786726</v>
      </c>
      <c r="E1665" s="1">
        <f>3.80669013545279*(10.3/7.3)</f>
        <v>5.3710833418032484</v>
      </c>
      <c r="F1665" s="1">
        <f>9.26120758886219*(38.9/42.5)</f>
        <v>8.4767288283938669</v>
      </c>
      <c r="G1665" s="1">
        <v>0.41674220382757593</v>
      </c>
      <c r="H1665" s="1">
        <v>2.2150138177655729</v>
      </c>
      <c r="I1665" s="1">
        <v>7.2002994503382238</v>
      </c>
      <c r="J1665" s="1">
        <v>2.037901262559539E-2</v>
      </c>
      <c r="K1665" s="1">
        <v>2.6756675519451507</v>
      </c>
      <c r="L1665" s="1">
        <v>2.8466320812806574</v>
      </c>
      <c r="M1665" s="1">
        <v>0.12313470136811505</v>
      </c>
      <c r="N1665" s="1">
        <v>0.83009173660713431</v>
      </c>
      <c r="O1665" s="1">
        <v>0.34584344086021496</v>
      </c>
      <c r="P1665" s="1">
        <v>0.2121018565488913</v>
      </c>
      <c r="Q1665" s="1">
        <v>0.66602635314909464</v>
      </c>
      <c r="R1665" s="2">
        <f t="shared" si="103"/>
        <v>27.13365731416436</v>
      </c>
      <c r="S1665" s="2">
        <f t="shared" si="102"/>
        <v>2.9081484211196376</v>
      </c>
      <c r="T1665" s="2">
        <f t="shared" si="104"/>
        <v>4.1457019601161216</v>
      </c>
      <c r="U1665" s="2">
        <f t="shared" si="105"/>
        <v>34.187507695400122</v>
      </c>
    </row>
    <row r="1666" spans="1:21" x14ac:dyDescent="0.25">
      <c r="A1666">
        <v>3498937</v>
      </c>
      <c r="B1666">
        <v>6</v>
      </c>
      <c r="C1666" s="1">
        <f>1.67249367856552*(10.3/7.3)</f>
        <v>2.3598198478390273</v>
      </c>
      <c r="D1666" s="1">
        <f>1.97782679773188*(10.3/7.3)</f>
        <v>2.790632331046345</v>
      </c>
      <c r="E1666" s="1">
        <f>6.96949817103633*(10.3/7.3)</f>
        <v>9.8336755015992026</v>
      </c>
      <c r="F1666" s="1">
        <f>16.058225272331*(38.9/42.5)</f>
        <v>14.697999131615919</v>
      </c>
      <c r="G1666" s="1">
        <v>0.68418407404879122</v>
      </c>
      <c r="H1666" s="1">
        <v>4.7251143111073981</v>
      </c>
      <c r="I1666" s="1">
        <v>12.483830508931566</v>
      </c>
      <c r="J1666" s="1">
        <v>3.168824565890678E-2</v>
      </c>
      <c r="K1666" s="1">
        <v>3.1618567226778058</v>
      </c>
      <c r="L1666" s="1">
        <v>6.3810766194863504</v>
      </c>
      <c r="M1666" s="1">
        <v>0.14230443531892228</v>
      </c>
      <c r="N1666" s="1">
        <v>1.5781000142512003</v>
      </c>
      <c r="O1666" s="1">
        <v>0.24241777777777776</v>
      </c>
      <c r="P1666" s="1">
        <v>0.21599685452286155</v>
      </c>
      <c r="Q1666" s="1">
        <v>1.0934448672012655</v>
      </c>
      <c r="R1666" s="2">
        <f t="shared" si="103"/>
        <v>48.668700573389515</v>
      </c>
      <c r="S1666" s="2">
        <f t="shared" si="102"/>
        <v>3.4095418228595742</v>
      </c>
      <c r="T1666" s="2">
        <f t="shared" si="104"/>
        <v>8.3438988468342501</v>
      </c>
      <c r="U1666" s="2">
        <f t="shared" si="105"/>
        <v>60.422141243083338</v>
      </c>
    </row>
    <row r="1667" spans="1:21" x14ac:dyDescent="0.25">
      <c r="A1667">
        <v>3498945</v>
      </c>
      <c r="B1667">
        <v>10</v>
      </c>
      <c r="C1667" s="1">
        <f>2.40062420690248*(10.3/7.3)</f>
        <v>3.3871821001500697</v>
      </c>
      <c r="D1667" s="1">
        <f>2.84692086486158*(10.3/7.3)</f>
        <v>4.0168883435718126</v>
      </c>
      <c r="E1667" s="1">
        <f>10.0305879167989*(10.3/7.3)</f>
        <v>14.152747334661406</v>
      </c>
      <c r="F1667" s="1">
        <f>23.1158403366675*(38.9/42.5)</f>
        <v>21.157792684620372</v>
      </c>
      <c r="G1667" s="1">
        <v>0.98556841044159604</v>
      </c>
      <c r="H1667" s="1">
        <v>4.2559955568598475</v>
      </c>
      <c r="I1667" s="1">
        <v>17.955709491597457</v>
      </c>
      <c r="J1667" s="1">
        <v>3.6533135708898719E-2</v>
      </c>
      <c r="K1667" s="1">
        <v>3.4879296599985543</v>
      </c>
      <c r="L1667" s="1">
        <v>6.5733125199334399</v>
      </c>
      <c r="M1667" s="1">
        <v>0.16835924047648682</v>
      </c>
      <c r="N1667" s="1">
        <v>1.7566470857376291</v>
      </c>
      <c r="O1667" s="1">
        <v>0.26823466666666662</v>
      </c>
      <c r="P1667" s="1">
        <v>0.22562467335373942</v>
      </c>
      <c r="Q1667" s="1">
        <v>1.5751093317559768</v>
      </c>
      <c r="R1667" s="2">
        <f t="shared" si="103"/>
        <v>67.48699325365854</v>
      </c>
      <c r="S1667" s="2">
        <f t="shared" si="102"/>
        <v>3.7500874690611923</v>
      </c>
      <c r="T1667" s="2">
        <f t="shared" si="104"/>
        <v>8.7665535128142213</v>
      </c>
      <c r="U1667" s="2">
        <f t="shared" si="105"/>
        <v>80.003634235533951</v>
      </c>
    </row>
    <row r="1668" spans="1:21" x14ac:dyDescent="0.25">
      <c r="A1668">
        <v>3498985</v>
      </c>
      <c r="B1668">
        <v>1</v>
      </c>
      <c r="C1668" s="1">
        <f>3.00351851479959*(10.3/7.3)</f>
        <v>4.2378411921144918</v>
      </c>
      <c r="D1668" s="1">
        <f>3.76927958051268*(10.3/7.3)</f>
        <v>5.3182985862028254</v>
      </c>
      <c r="E1668" s="1">
        <f>13.2512996568613*(10.3/7.3)</f>
        <v>18.697039241872851</v>
      </c>
      <c r="F1668" s="1">
        <f>30.2531292732674*(38.9/42.5)</f>
        <v>27.690511264237735</v>
      </c>
      <c r="G1668" s="1">
        <v>1.2907581407433808</v>
      </c>
      <c r="H1668" s="1">
        <v>9.5565996789814331</v>
      </c>
      <c r="I1668" s="1">
        <v>23.070689104747185</v>
      </c>
      <c r="J1668" s="1">
        <v>3.8672559043288222E-2</v>
      </c>
      <c r="K1668" s="1">
        <v>3.4447354878070526</v>
      </c>
      <c r="L1668" s="1">
        <v>5.9340682543146039</v>
      </c>
      <c r="M1668" s="1">
        <v>0.17829421824535935</v>
      </c>
      <c r="N1668" s="1">
        <v>1.9243455788078163</v>
      </c>
      <c r="O1668" s="1">
        <v>0.25493333333333335</v>
      </c>
      <c r="P1668" s="1">
        <v>0.20463285345291343</v>
      </c>
      <c r="Q1668" s="1">
        <v>2.0628554760738984</v>
      </c>
      <c r="R1668" s="2">
        <f t="shared" si="103"/>
        <v>91.924592684973788</v>
      </c>
      <c r="S1668" s="2">
        <f t="shared" si="102"/>
        <v>3.6880409003032542</v>
      </c>
      <c r="T1668" s="2">
        <f t="shared" si="104"/>
        <v>8.2916413847011139</v>
      </c>
      <c r="U1668" s="2">
        <f t="shared" si="105"/>
        <v>103.90427496997815</v>
      </c>
    </row>
    <row r="1669" spans="1:21" x14ac:dyDescent="0.25">
      <c r="A1669">
        <v>3499377</v>
      </c>
      <c r="B1669">
        <v>24</v>
      </c>
      <c r="C1669" s="1">
        <f>7.01275703265959*(10.3/7.3)</f>
        <v>9.8947119775881891</v>
      </c>
      <c r="D1669" s="1">
        <f>7.31886056906989*(10.3/7.3)</f>
        <v>10.32661148786573</v>
      </c>
      <c r="E1669" s="1">
        <f>26.2120589863574*(10.3/7.3)</f>
        <v>36.984138021846768</v>
      </c>
      <c r="F1669" s="1">
        <f>47.2698542206148*(38.9/42.5)</f>
        <v>43.265819510162693</v>
      </c>
      <c r="G1669" s="1">
        <v>1.4111520058383495</v>
      </c>
      <c r="H1669" s="1">
        <v>5.9035936505482844</v>
      </c>
      <c r="I1669" s="1">
        <v>37.039538851199829</v>
      </c>
      <c r="J1669" s="1">
        <v>3.9279690780883551E-2</v>
      </c>
      <c r="K1669" s="1">
        <v>2.2937336200032807</v>
      </c>
      <c r="L1669" s="1">
        <v>3.4817636568544992</v>
      </c>
      <c r="M1669" s="1">
        <v>0.12216495709826893</v>
      </c>
      <c r="N1669" s="1">
        <v>1.556596702470791</v>
      </c>
      <c r="O1669" s="1">
        <v>0.10931555555555557</v>
      </c>
      <c r="P1669" s="1">
        <v>8.9921590641685242E-2</v>
      </c>
      <c r="Q1669" s="1">
        <v>2.2552657627553545</v>
      </c>
      <c r="R1669" s="2">
        <f t="shared" si="103"/>
        <v>147.08083126780519</v>
      </c>
      <c r="S1669" s="2">
        <f t="shared" si="102"/>
        <v>2.4229349014258497</v>
      </c>
      <c r="T1669" s="2">
        <f t="shared" si="104"/>
        <v>5.269840871979115</v>
      </c>
      <c r="U1669" s="2">
        <f t="shared" si="105"/>
        <v>154.77360704121017</v>
      </c>
    </row>
    <row r="1670" spans="1:21" x14ac:dyDescent="0.25">
      <c r="A1670">
        <v>3510885</v>
      </c>
      <c r="B1670">
        <v>3</v>
      </c>
      <c r="C1670" s="1">
        <f>0.423105386324308*(10.3/7.3)</f>
        <v>0.59698431221100978</v>
      </c>
      <c r="D1670" s="1">
        <f>0.50838906561447*(10.3/7.3)</f>
        <v>0.71731607888069004</v>
      </c>
      <c r="E1670" s="1">
        <f>1.79168710369832*(10.3/7.3)</f>
        <v>2.5279968723414634</v>
      </c>
      <c r="F1670" s="1">
        <f>4.04870883911423*(38.9/42.5)</f>
        <v>3.7057593845069072</v>
      </c>
      <c r="G1670" s="1">
        <v>0.1697048317491644</v>
      </c>
      <c r="H1670" s="1">
        <v>1.124733963390375</v>
      </c>
      <c r="I1670" s="1">
        <v>3.1226623194158418</v>
      </c>
      <c r="J1670" s="1">
        <v>1.5281191130995755E-2</v>
      </c>
      <c r="K1670" s="1">
        <v>1.9315304421979089</v>
      </c>
      <c r="L1670" s="1">
        <v>2.0702301180599658</v>
      </c>
      <c r="M1670" s="1">
        <v>9.7049955684421277E-2</v>
      </c>
      <c r="N1670" s="1">
        <v>0.62470945994708449</v>
      </c>
      <c r="O1670" s="1">
        <v>0.20362666666666665</v>
      </c>
      <c r="P1670" s="1">
        <v>0.13718438004867589</v>
      </c>
      <c r="Q1670" s="1">
        <v>0.27121776763565109</v>
      </c>
      <c r="R1670" s="2">
        <f t="shared" si="103"/>
        <v>12.236375530131102</v>
      </c>
      <c r="S1670" s="2">
        <f t="shared" si="102"/>
        <v>2.0839960133775808</v>
      </c>
      <c r="T1670" s="2">
        <f t="shared" si="104"/>
        <v>2.9956162003581381</v>
      </c>
      <c r="U1670" s="2">
        <f t="shared" si="105"/>
        <v>17.31598774386682</v>
      </c>
    </row>
    <row r="1671" spans="1:21" x14ac:dyDescent="0.25">
      <c r="A1671">
        <v>3510893</v>
      </c>
      <c r="B1671">
        <v>64</v>
      </c>
      <c r="C1671" s="1">
        <f>0.382352044190131*(10.3/7.3)</f>
        <v>0.53948302125456804</v>
      </c>
      <c r="D1671" s="1">
        <f>0.462398842586575*(10.3/7.3)</f>
        <v>0.65242576419749643</v>
      </c>
      <c r="E1671" s="1">
        <f>1.62889300685377*(10.3/7.3)</f>
        <v>2.2983010918621667</v>
      </c>
      <c r="F1671" s="1">
        <f>3.69209091574789*(38.9/42.5)</f>
        <v>3.379349097002184</v>
      </c>
      <c r="G1671" s="1">
        <v>0.15541001616649963</v>
      </c>
      <c r="H1671" s="1">
        <v>1.0248938795663354</v>
      </c>
      <c r="I1671" s="1">
        <v>2.8434251343419703</v>
      </c>
      <c r="J1671" s="1">
        <v>1.4466540209648965E-2</v>
      </c>
      <c r="K1671" s="1">
        <v>1.8485185749993192</v>
      </c>
      <c r="L1671" s="1">
        <v>1.9281059548703687</v>
      </c>
      <c r="M1671" s="1">
        <v>9.0479257341732039E-2</v>
      </c>
      <c r="N1671" s="1">
        <v>0.59608121100767553</v>
      </c>
      <c r="O1671" s="1">
        <v>0.19647499999999996</v>
      </c>
      <c r="P1671" s="1">
        <v>0.13666664418050176</v>
      </c>
      <c r="Q1671" s="1">
        <v>0.2483721719555933</v>
      </c>
      <c r="R1671" s="2">
        <f t="shared" si="103"/>
        <v>11.141660176346814</v>
      </c>
      <c r="S1671" s="2">
        <f t="shared" si="102"/>
        <v>1.9996517593894698</v>
      </c>
      <c r="T1671" s="2">
        <f t="shared" si="104"/>
        <v>2.8111414232197762</v>
      </c>
      <c r="U1671" s="2">
        <f t="shared" si="105"/>
        <v>15.952453358956062</v>
      </c>
    </row>
    <row r="1672" spans="1:21" x14ac:dyDescent="0.25">
      <c r="A1672">
        <v>3510901</v>
      </c>
      <c r="B1672">
        <v>7</v>
      </c>
      <c r="C1672" s="1">
        <f>0.918290209906807*(10.3/7.3)</f>
        <v>1.2956697482246724</v>
      </c>
      <c r="D1672" s="1">
        <f>1.13316007369445*(10.3/7.3)</f>
        <v>1.5988422957606609</v>
      </c>
      <c r="E1672" s="1">
        <f>3.96790531801196*(10.3/7.3)</f>
        <v>5.5985513391127633</v>
      </c>
      <c r="F1672" s="1">
        <f>10.0171127599444*(38.9/42.5)</f>
        <v>9.1686043849843859</v>
      </c>
      <c r="G1672" s="1">
        <v>0.46588996185601544</v>
      </c>
      <c r="H1672" s="1">
        <v>3.5235372564829004</v>
      </c>
      <c r="I1672" s="1">
        <v>7.8017773918463549</v>
      </c>
      <c r="J1672" s="1">
        <v>2.1641551505744316E-2</v>
      </c>
      <c r="K1672" s="1">
        <v>2.8295391864506025</v>
      </c>
      <c r="L1672" s="1">
        <v>3.0006263055511999</v>
      </c>
      <c r="M1672" s="1">
        <v>0.12999347370212819</v>
      </c>
      <c r="N1672" s="1">
        <v>0.87974736843454338</v>
      </c>
      <c r="O1672" s="1">
        <v>0.39635047619047625</v>
      </c>
      <c r="P1672" s="1">
        <v>0.22537406606285099</v>
      </c>
      <c r="Q1672" s="1">
        <v>0.74457299840002544</v>
      </c>
      <c r="R1672" s="2">
        <f t="shared" si="103"/>
        <v>30.197445376667773</v>
      </c>
      <c r="S1672" s="2">
        <f t="shared" si="102"/>
        <v>3.0765548040191981</v>
      </c>
      <c r="T1672" s="2">
        <f t="shared" si="104"/>
        <v>4.4067176238783476</v>
      </c>
      <c r="U1672" s="2">
        <f t="shared" si="105"/>
        <v>37.680717804565319</v>
      </c>
    </row>
    <row r="1673" spans="1:21" x14ac:dyDescent="0.25">
      <c r="A1673">
        <v>3511165</v>
      </c>
      <c r="B1673">
        <v>3</v>
      </c>
      <c r="C1673" s="1">
        <f>1.67747232615006*(10.3/7.3)</f>
        <v>2.3668445149788537</v>
      </c>
      <c r="D1673" s="1">
        <f>1.986881490323*(10.3/7.3)</f>
        <v>2.8034081301817704</v>
      </c>
      <c r="E1673" s="1">
        <f>6.99958302760893*(10.3/7.3)</f>
        <v>9.8761239978591782</v>
      </c>
      <c r="F1673" s="1">
        <f>16.1931170771328*(38.9/42.5)</f>
        <v>14.821464807069816</v>
      </c>
      <c r="G1673" s="1">
        <v>0.69283919929290028</v>
      </c>
      <c r="H1673" s="1">
        <v>4.1171197445359962</v>
      </c>
      <c r="I1673" s="1">
        <v>12.590485959432556</v>
      </c>
      <c r="J1673" s="1">
        <v>3.2205916517287429E-2</v>
      </c>
      <c r="K1673" s="1">
        <v>3.2114501337041919</v>
      </c>
      <c r="L1673" s="1">
        <v>6.6309331377174736</v>
      </c>
      <c r="M1673" s="1">
        <v>0.14411437695132509</v>
      </c>
      <c r="N1673" s="1">
        <v>1.6061471511900127</v>
      </c>
      <c r="O1673" s="1">
        <v>0.24611555555555556</v>
      </c>
      <c r="P1673" s="1">
        <v>0.22065065862998753</v>
      </c>
      <c r="Q1673" s="1">
        <v>1.107277259143906</v>
      </c>
      <c r="R1673" s="2">
        <f t="shared" si="103"/>
        <v>48.375563612494979</v>
      </c>
      <c r="S1673" s="2">
        <f t="shared" ref="S1673:S1736" si="106">J1673+K1673+P1673</f>
        <v>3.4643067088514665</v>
      </c>
      <c r="T1673" s="2">
        <f t="shared" si="104"/>
        <v>8.6273102214143673</v>
      </c>
      <c r="U1673" s="2">
        <f t="shared" si="105"/>
        <v>60.467180542760815</v>
      </c>
    </row>
    <row r="1674" spans="1:21" x14ac:dyDescent="0.25">
      <c r="A1674">
        <v>3511173</v>
      </c>
      <c r="B1674">
        <v>6</v>
      </c>
      <c r="C1674" s="1">
        <f>2.4989491775987*(10.3/7.3)</f>
        <v>3.5259145930502149</v>
      </c>
      <c r="D1674" s="1">
        <f>2.97541136125756*(10.3/7.3)</f>
        <v>4.1981831535551901</v>
      </c>
      <c r="E1674" s="1">
        <f>10.4775699893782*(10.3/7.3)</f>
        <v>14.783420669944572</v>
      </c>
      <c r="F1674" s="1">
        <f>24.3360119772203*(38.9/42.5)</f>
        <v>22.274608609738152</v>
      </c>
      <c r="G1674" s="1">
        <v>1.046179322636603</v>
      </c>
      <c r="H1674" s="1">
        <v>4.5649978782902521</v>
      </c>
      <c r="I1674" s="1">
        <v>18.903702101785463</v>
      </c>
      <c r="J1674" s="1">
        <v>3.8152059382402771E-2</v>
      </c>
      <c r="K1674" s="1">
        <v>3.6903768014426057</v>
      </c>
      <c r="L1674" s="1">
        <v>7.1130418669802635</v>
      </c>
      <c r="M1674" s="1">
        <v>0.17436755339789592</v>
      </c>
      <c r="N1674" s="1">
        <v>1.8553360979488609</v>
      </c>
      <c r="O1674" s="1">
        <v>0.28059555555555554</v>
      </c>
      <c r="P1674" s="1">
        <v>0.24132131866790182</v>
      </c>
      <c r="Q1674" s="1">
        <v>1.6719760864055317</v>
      </c>
      <c r="R1674" s="2">
        <f t="shared" ref="R1674:R1737" si="107">C1674+D1674+E1674+F1674+G1674+H1674+I1674+Q1674</f>
        <v>70.968982415405989</v>
      </c>
      <c r="S1674" s="2">
        <f t="shared" si="106"/>
        <v>3.9698501794929104</v>
      </c>
      <c r="T1674" s="2">
        <f t="shared" ref="T1674:T1737" si="108">L1674+M1674+N1674+O1674</f>
        <v>9.4233410738825754</v>
      </c>
      <c r="U1674" s="2">
        <f t="shared" ref="U1674:U1737" si="109">R1674+S1674+T1674</f>
        <v>84.36217366878148</v>
      </c>
    </row>
    <row r="1675" spans="1:21" x14ac:dyDescent="0.25">
      <c r="A1675">
        <v>3511213</v>
      </c>
      <c r="B1675">
        <v>2</v>
      </c>
      <c r="C1675" s="1">
        <f>3.11723082563042*(10.3/7.3)</f>
        <v>4.3982845895881271</v>
      </c>
      <c r="D1675" s="1">
        <f>3.92877101758996*(10.3/7.3)</f>
        <v>5.5433344494762506</v>
      </c>
      <c r="E1675" s="1">
        <f>13.8086013283504*(10.3/7.3)</f>
        <v>19.483368997535447</v>
      </c>
      <c r="F1675" s="1">
        <f>31.5637876639321*(38.9/42.5)</f>
        <v>28.890149179457811</v>
      </c>
      <c r="G1675" s="1">
        <v>1.3492338836116389</v>
      </c>
      <c r="H1675" s="1">
        <v>10.099092068491274</v>
      </c>
      <c r="I1675" s="1">
        <v>24.045022758264217</v>
      </c>
      <c r="J1675" s="1">
        <v>4.056927112276483E-2</v>
      </c>
      <c r="K1675" s="1">
        <v>3.6102511040241811</v>
      </c>
      <c r="L1675" s="1">
        <v>6.2689243529466907</v>
      </c>
      <c r="M1675" s="1">
        <v>0.18619149001726243</v>
      </c>
      <c r="N1675" s="1">
        <v>2.0122016057568626</v>
      </c>
      <c r="O1675" s="1">
        <v>0.26567999999999997</v>
      </c>
      <c r="P1675" s="1">
        <v>0.21429379308482213</v>
      </c>
      <c r="Q1675" s="1">
        <v>2.1563098596533061</v>
      </c>
      <c r="R1675" s="2">
        <f t="shared" si="107"/>
        <v>95.964795786078071</v>
      </c>
      <c r="S1675" s="2">
        <f t="shared" si="106"/>
        <v>3.8651141682317682</v>
      </c>
      <c r="T1675" s="2">
        <f t="shared" si="108"/>
        <v>8.7329974487208162</v>
      </c>
      <c r="U1675" s="2">
        <f t="shared" si="109"/>
        <v>108.56290740303066</v>
      </c>
    </row>
    <row r="1676" spans="1:21" x14ac:dyDescent="0.25">
      <c r="A1676">
        <v>3511613</v>
      </c>
      <c r="B1676">
        <v>13</v>
      </c>
      <c r="C1676" s="1">
        <f>7.21091997228721*(10.3/7.3)</f>
        <v>10.174311741720306</v>
      </c>
      <c r="D1676" s="1">
        <f>7.63046041864744*(10.3/7.3)</f>
        <v>10.766266070146395</v>
      </c>
      <c r="E1676" s="1">
        <f>27.3065534310825*(10.3/7.3)</f>
        <v>38.528424704130082</v>
      </c>
      <c r="F1676" s="1">
        <f>49.3132373740437*(38.9/42.5)</f>
        <v>45.136116090595316</v>
      </c>
      <c r="G1676" s="1">
        <v>1.4831462234899002</v>
      </c>
      <c r="H1676" s="1">
        <v>5.6306033149840324</v>
      </c>
      <c r="I1676" s="1">
        <v>38.42342867987864</v>
      </c>
      <c r="J1676" s="1">
        <v>3.7396333913232535E-2</v>
      </c>
      <c r="K1676" s="1">
        <v>2.3340616886126715</v>
      </c>
      <c r="L1676" s="1">
        <v>3.6322346308143625</v>
      </c>
      <c r="M1676" s="1">
        <v>0.12487933581678279</v>
      </c>
      <c r="N1676" s="1">
        <v>1.5690757909035762</v>
      </c>
      <c r="O1676" s="1">
        <v>0.11201230769230769</v>
      </c>
      <c r="P1676" s="1">
        <v>9.0909920040022837E-2</v>
      </c>
      <c r="Q1676" s="1">
        <v>2.3703250147098891</v>
      </c>
      <c r="R1676" s="2">
        <f t="shared" si="107"/>
        <v>152.51262183965454</v>
      </c>
      <c r="S1676" s="2">
        <f t="shared" si="106"/>
        <v>2.4623679425659266</v>
      </c>
      <c r="T1676" s="2">
        <f t="shared" si="108"/>
        <v>5.4382020652270295</v>
      </c>
      <c r="U1676" s="2">
        <f t="shared" si="109"/>
        <v>160.41319184744748</v>
      </c>
    </row>
    <row r="1677" spans="1:21" x14ac:dyDescent="0.25">
      <c r="A1677">
        <v>3523121</v>
      </c>
      <c r="B1677">
        <v>1</v>
      </c>
      <c r="C1677" s="1">
        <f>0.325324747763998*(10.3/7.3)</f>
        <v>0.45901984958481851</v>
      </c>
      <c r="D1677" s="1">
        <f>0.392071368073515*(10.3/7.3)</f>
        <v>0.55319658782975412</v>
      </c>
      <c r="E1677" s="1">
        <f>1.38270176179493*(10.3/7.3)</f>
        <v>1.9509353625325678</v>
      </c>
      <c r="F1677" s="1">
        <f>3.06667675383934*(38.9/42.5)</f>
        <v>2.8069111935141282</v>
      </c>
      <c r="G1677" s="1">
        <v>0.12617885066618587</v>
      </c>
      <c r="H1677" s="1">
        <v>0.88276780162963819</v>
      </c>
      <c r="I1677" s="1">
        <v>2.3557863980453382</v>
      </c>
      <c r="J1677" s="1">
        <v>1.3569765615584347E-2</v>
      </c>
      <c r="K1677" s="1">
        <v>1.7181683871564601</v>
      </c>
      <c r="L1677" s="1">
        <v>1.7788771338352247</v>
      </c>
      <c r="M1677" s="1">
        <v>8.4786510143418287E-2</v>
      </c>
      <c r="N1677" s="1">
        <v>0.55717986480547554</v>
      </c>
      <c r="O1677" s="1">
        <v>0.17952000000000001</v>
      </c>
      <c r="P1677" s="1">
        <v>0.12494815257268589</v>
      </c>
      <c r="Q1677" s="1">
        <v>0.20165569741171277</v>
      </c>
      <c r="R1677" s="2">
        <f t="shared" si="107"/>
        <v>9.3364517412141446</v>
      </c>
      <c r="S1677" s="2">
        <f t="shared" si="106"/>
        <v>1.8566863053447304</v>
      </c>
      <c r="T1677" s="2">
        <f t="shared" si="108"/>
        <v>2.6003635087841186</v>
      </c>
      <c r="U1677" s="2">
        <f t="shared" si="109"/>
        <v>13.793501555342994</v>
      </c>
    </row>
    <row r="1678" spans="1:21" x14ac:dyDescent="0.25">
      <c r="A1678">
        <v>3523129</v>
      </c>
      <c r="B1678">
        <v>45</v>
      </c>
      <c r="C1678" s="1">
        <f>0.967015332918537*(10.3/7.3)</f>
        <v>1.3644188943919089</v>
      </c>
      <c r="D1678" s="1">
        <f>1.18007489395257*(10.3/7.3)</f>
        <v>1.6650371791385581</v>
      </c>
      <c r="E1678" s="1">
        <f>4.13762743973697*(10.3/7.3)</f>
        <v>5.8380222779850399</v>
      </c>
      <c r="F1678" s="1">
        <f>10.2757023293288*(38.9/42.5)</f>
        <v>9.4052898967267922</v>
      </c>
      <c r="G1678" s="1">
        <v>0.47076966765086425</v>
      </c>
      <c r="H1678" s="1">
        <v>2.4988837948329317</v>
      </c>
      <c r="I1678" s="1">
        <v>8.007417378902689</v>
      </c>
      <c r="J1678" s="1">
        <v>2.2950829068876376E-2</v>
      </c>
      <c r="K1678" s="1">
        <v>2.8823692178472471</v>
      </c>
      <c r="L1678" s="1">
        <v>3.1656016308038084</v>
      </c>
      <c r="M1678" s="1">
        <v>0.14171806074918269</v>
      </c>
      <c r="N1678" s="1">
        <v>0.91722113530661376</v>
      </c>
      <c r="O1678" s="1">
        <v>0.42339199999999999</v>
      </c>
      <c r="P1678" s="1">
        <v>0.22222208393303669</v>
      </c>
      <c r="Q1678" s="1">
        <v>0.75237161496713556</v>
      </c>
      <c r="R1678" s="2">
        <f t="shared" si="107"/>
        <v>30.002210704595921</v>
      </c>
      <c r="S1678" s="2">
        <f t="shared" si="106"/>
        <v>3.1275421308491604</v>
      </c>
      <c r="T1678" s="2">
        <f t="shared" si="108"/>
        <v>4.6479328268596047</v>
      </c>
      <c r="U1678" s="2">
        <f t="shared" si="109"/>
        <v>37.777685662304684</v>
      </c>
    </row>
    <row r="1679" spans="1:21" x14ac:dyDescent="0.25">
      <c r="A1679">
        <v>3523449</v>
      </c>
      <c r="B1679">
        <v>3</v>
      </c>
      <c r="C1679" s="1">
        <f>2.70878257779499*(10.3/7.3)</f>
        <v>3.8219808974367666</v>
      </c>
      <c r="D1679" s="1">
        <f>3.45104426157855*(10.3/7.3)</f>
        <v>4.8692816293505574</v>
      </c>
      <c r="E1679" s="1">
        <f>12.1178126086942*(10.3/7.3)</f>
        <v>17.097735598568462</v>
      </c>
      <c r="F1679" s="1">
        <f>27.9971762504182*(38.9/42.5)</f>
        <v>25.62565073273576</v>
      </c>
      <c r="G1679" s="1">
        <v>1.2112168244504111</v>
      </c>
      <c r="H1679" s="1">
        <v>11.135370100465186</v>
      </c>
      <c r="I1679" s="1">
        <v>21.301528465750721</v>
      </c>
      <c r="J1679" s="1">
        <v>3.9608892672381074E-2</v>
      </c>
      <c r="K1679" s="1">
        <v>3.4960609818742867</v>
      </c>
      <c r="L1679" s="1">
        <v>6.0547818394497499</v>
      </c>
      <c r="M1679" s="1">
        <v>0.18209805814774183</v>
      </c>
      <c r="N1679" s="1">
        <v>2.0038462490350586</v>
      </c>
      <c r="O1679" s="1">
        <v>0.25745777777777779</v>
      </c>
      <c r="P1679" s="1">
        <v>0.21101378903422</v>
      </c>
      <c r="Q1679" s="1">
        <v>1.9357346509481477</v>
      </c>
      <c r="R1679" s="2">
        <f t="shared" si="107"/>
        <v>86.998498899706021</v>
      </c>
      <c r="S1679" s="2">
        <f t="shared" si="106"/>
        <v>3.746683663580888</v>
      </c>
      <c r="T1679" s="2">
        <f t="shared" si="108"/>
        <v>8.498183924410327</v>
      </c>
      <c r="U1679" s="2">
        <f t="shared" si="109"/>
        <v>99.24336648769723</v>
      </c>
    </row>
    <row r="1680" spans="1:21" x14ac:dyDescent="0.25">
      <c r="A1680">
        <v>3535317</v>
      </c>
      <c r="B1680">
        <v>8</v>
      </c>
      <c r="C1680" s="1">
        <f>0.672142317150442*(10.3/7.3)</f>
        <v>0.9483651872122677</v>
      </c>
      <c r="D1680" s="1">
        <f>0.797190397237198*(10.3/7.3)</f>
        <v>1.1248028892524846</v>
      </c>
      <c r="E1680" s="1">
        <f>2.80729382428505*(10.3/7.3)</f>
        <v>3.9609762178268486</v>
      </c>
      <c r="F1680" s="1">
        <f>6.54266302828075*(38.9/42.5)</f>
        <v>5.9884609835322617</v>
      </c>
      <c r="G1680" s="1">
        <v>0.28198451692778037</v>
      </c>
      <c r="H1680" s="1">
        <v>1.6741264753983687</v>
      </c>
      <c r="I1680" s="1">
        <v>5.0907620950276353</v>
      </c>
      <c r="J1680" s="1">
        <v>2.0147792240212122E-2</v>
      </c>
      <c r="K1680" s="1">
        <v>2.5020084285515387</v>
      </c>
      <c r="L1680" s="1">
        <v>2.6023970135073529</v>
      </c>
      <c r="M1680" s="1">
        <v>0.12585415691630297</v>
      </c>
      <c r="N1680" s="1">
        <v>0.8090639246294008</v>
      </c>
      <c r="O1680" s="1">
        <v>0.38715333333333335</v>
      </c>
      <c r="P1680" s="1">
        <v>0.17634825117041567</v>
      </c>
      <c r="Q1680" s="1">
        <v>0.45066018687088238</v>
      </c>
      <c r="R1680" s="2">
        <f t="shared" si="107"/>
        <v>19.520138552048529</v>
      </c>
      <c r="S1680" s="2">
        <f t="shared" si="106"/>
        <v>2.6985044719621665</v>
      </c>
      <c r="T1680" s="2">
        <f t="shared" si="108"/>
        <v>3.92446842838639</v>
      </c>
      <c r="U1680" s="2">
        <f t="shared" si="109"/>
        <v>26.143111452397086</v>
      </c>
    </row>
    <row r="1681" spans="1:21" x14ac:dyDescent="0.25">
      <c r="A1681">
        <v>3535357</v>
      </c>
      <c r="B1681">
        <v>51</v>
      </c>
      <c r="C1681" s="1">
        <f>0.558831519604225*(10.3/7.3)</f>
        <v>0.78848830848267326</v>
      </c>
      <c r="D1681" s="1">
        <f>0.680229706580027*(10.3/7.3)</f>
        <v>0.95977616133894261</v>
      </c>
      <c r="E1681" s="1">
        <f>2.39009207897124*(10.3/7.3)</f>
        <v>3.3723217004662729</v>
      </c>
      <c r="F1681" s="1">
        <f>5.69303842719564*(38.9/42.5)</f>
        <v>5.210804583950833</v>
      </c>
      <c r="G1681" s="1">
        <v>0.25144885006706902</v>
      </c>
      <c r="H1681" s="1">
        <v>1.4416801938960888</v>
      </c>
      <c r="I1681" s="1">
        <v>4.4110715788360348</v>
      </c>
      <c r="J1681" s="1">
        <v>1.7009589461436041E-2</v>
      </c>
      <c r="K1681" s="1">
        <v>2.1642955434743669</v>
      </c>
      <c r="L1681" s="1">
        <v>2.2796249437524216</v>
      </c>
      <c r="M1681" s="1">
        <v>0.10629450652031286</v>
      </c>
      <c r="N1681" s="1">
        <v>0.6994123477185813</v>
      </c>
      <c r="O1681" s="1">
        <v>0.2681924183006536</v>
      </c>
      <c r="P1681" s="1">
        <v>0.16802520011921751</v>
      </c>
      <c r="Q1681" s="1">
        <v>0.40185889280125237</v>
      </c>
      <c r="R1681" s="2">
        <f t="shared" si="107"/>
        <v>16.83745026983917</v>
      </c>
      <c r="S1681" s="2">
        <f t="shared" si="106"/>
        <v>2.3493303330550201</v>
      </c>
      <c r="T1681" s="2">
        <f t="shared" si="108"/>
        <v>3.3535242162919694</v>
      </c>
      <c r="U1681" s="2">
        <f t="shared" si="109"/>
        <v>22.540304819186158</v>
      </c>
    </row>
    <row r="1682" spans="1:21" x14ac:dyDescent="0.25">
      <c r="A1682">
        <v>3535629</v>
      </c>
      <c r="B1682">
        <v>4</v>
      </c>
      <c r="C1682" s="1">
        <f>2.10855682500319*(10.3/7.3)</f>
        <v>2.9750870270592915</v>
      </c>
      <c r="D1682" s="1">
        <f>2.53723298389284*(10.3/7.3)</f>
        <v>3.5799314704241425</v>
      </c>
      <c r="E1682" s="1">
        <f>8.92230812891163*(10.3/7.3)</f>
        <v>12.589010099697234</v>
      </c>
      <c r="F1682" s="1">
        <f>21.1215154836835*(38.9/42.5)</f>
        <v>19.332398878006803</v>
      </c>
      <c r="G1682" s="1">
        <v>0.92592851746302507</v>
      </c>
      <c r="H1682" s="1">
        <v>4.2532746971972903</v>
      </c>
      <c r="I1682" s="1">
        <v>16.403970073996863</v>
      </c>
      <c r="J1682" s="1">
        <v>3.7263815395891728E-2</v>
      </c>
      <c r="K1682" s="1">
        <v>3.4838718184256749</v>
      </c>
      <c r="L1682" s="1">
        <v>9.6654826836367871</v>
      </c>
      <c r="M1682" s="1">
        <v>0.16514005963762779</v>
      </c>
      <c r="N1682" s="1">
        <v>1.7722655560599714</v>
      </c>
      <c r="O1682" s="1">
        <v>0.27012000000000003</v>
      </c>
      <c r="P1682" s="1">
        <v>0.23335862492644527</v>
      </c>
      <c r="Q1682" s="1">
        <v>1.4797944343016396</v>
      </c>
      <c r="R1682" s="2">
        <f t="shared" si="107"/>
        <v>61.539395198146295</v>
      </c>
      <c r="S1682" s="2">
        <f t="shared" si="106"/>
        <v>3.7544942587480117</v>
      </c>
      <c r="T1682" s="2">
        <f t="shared" si="108"/>
        <v>11.873008299334385</v>
      </c>
      <c r="U1682" s="2">
        <f t="shared" si="109"/>
        <v>77.166897756228693</v>
      </c>
    </row>
    <row r="1683" spans="1:21" x14ac:dyDescent="0.25">
      <c r="A1683">
        <v>3547545</v>
      </c>
      <c r="B1683">
        <v>29</v>
      </c>
      <c r="C1683" s="1">
        <f>0.698069568673186*(10.3/7.3)</f>
        <v>0.98494747360737167</v>
      </c>
      <c r="D1683" s="1">
        <f>0.829974460314557*(10.3/7.3)</f>
        <v>1.1710598549643745</v>
      </c>
      <c r="E1683" s="1">
        <f>2.92266505078689*(10.3/7.3)</f>
        <v>4.1237602771376718</v>
      </c>
      <c r="F1683" s="1">
        <f>6.79822518008852*(38.9/42.5)</f>
        <v>6.2223755177751405</v>
      </c>
      <c r="G1683" s="1">
        <v>0.29257850492116211</v>
      </c>
      <c r="H1683" s="1">
        <v>1.6405081056107396</v>
      </c>
      <c r="I1683" s="1">
        <v>5.2841587901212206</v>
      </c>
      <c r="J1683" s="1">
        <v>1.8826948753406968E-2</v>
      </c>
      <c r="K1683" s="1">
        <v>2.3281025409171474</v>
      </c>
      <c r="L1683" s="1">
        <v>2.4543012361234045</v>
      </c>
      <c r="M1683" s="1">
        <v>0.11684060917669982</v>
      </c>
      <c r="N1683" s="1">
        <v>0.74996513485773042</v>
      </c>
      <c r="O1683" s="1">
        <v>0.34096735632183905</v>
      </c>
      <c r="P1683" s="1">
        <v>0.16450576995988245</v>
      </c>
      <c r="Q1683" s="1">
        <v>0.46759121791053349</v>
      </c>
      <c r="R1683" s="2">
        <f t="shared" si="107"/>
        <v>20.186979742048216</v>
      </c>
      <c r="S1683" s="2">
        <f t="shared" si="106"/>
        <v>2.5114352596304372</v>
      </c>
      <c r="T1683" s="2">
        <f t="shared" si="108"/>
        <v>3.662074336479674</v>
      </c>
      <c r="U1683" s="2">
        <f t="shared" si="109"/>
        <v>26.360489338158327</v>
      </c>
    </row>
    <row r="1684" spans="1:21" x14ac:dyDescent="0.25">
      <c r="A1684">
        <v>3547553</v>
      </c>
      <c r="B1684">
        <v>17</v>
      </c>
      <c r="C1684" s="1">
        <f>0.754884804250847*(10.3/7.3)</f>
        <v>1.0651114361347565</v>
      </c>
      <c r="D1684" s="1">
        <f>0.897850480676135*(10.3/7.3)</f>
        <v>1.2668301302690679</v>
      </c>
      <c r="E1684" s="1">
        <f>3.1604519880357*(10.3/7.3)</f>
        <v>4.4592678735298241</v>
      </c>
      <c r="F1684" s="1">
        <f>7.41111216196338*(38.9/42.5)</f>
        <v>6.783347367067659</v>
      </c>
      <c r="G1684" s="1">
        <v>0.32142408602825373</v>
      </c>
      <c r="H1684" s="1">
        <v>1.8212766715822513</v>
      </c>
      <c r="I1684" s="1">
        <v>5.7670768992231389</v>
      </c>
      <c r="J1684" s="1">
        <v>2.0568555812784526E-2</v>
      </c>
      <c r="K1684" s="1">
        <v>2.5483226318417334</v>
      </c>
      <c r="L1684" s="1">
        <v>2.6808109670178872</v>
      </c>
      <c r="M1684" s="1">
        <v>0.12755593086929992</v>
      </c>
      <c r="N1684" s="1">
        <v>0.81502593233647813</v>
      </c>
      <c r="O1684" s="1">
        <v>0.39036235294117655</v>
      </c>
      <c r="P1684" s="1">
        <v>0.18236096035903213</v>
      </c>
      <c r="Q1684" s="1">
        <v>0.51369146168899049</v>
      </c>
      <c r="R1684" s="2">
        <f t="shared" si="107"/>
        <v>21.99802592552394</v>
      </c>
      <c r="S1684" s="2">
        <f t="shared" si="106"/>
        <v>2.7512521480135499</v>
      </c>
      <c r="T1684" s="2">
        <f t="shared" si="108"/>
        <v>4.0137551831648421</v>
      </c>
      <c r="U1684" s="2">
        <f t="shared" si="109"/>
        <v>28.763033256702332</v>
      </c>
    </row>
    <row r="1685" spans="1:21" x14ac:dyDescent="0.25">
      <c r="A1685">
        <v>3547561</v>
      </c>
      <c r="B1685">
        <v>5</v>
      </c>
      <c r="C1685" s="1">
        <f>0.39876975693109*(10.3/7.3)</f>
        <v>0.5626477392315381</v>
      </c>
      <c r="D1685" s="1">
        <f>0.479685557209819*(10.3/7.3)</f>
        <v>0.67681660811796396</v>
      </c>
      <c r="E1685" s="1">
        <f>1.69015156208695*(10.3/7.3)</f>
        <v>2.3847343958213076</v>
      </c>
      <c r="F1685" s="1">
        <f>3.83391163283993*(38.9/42.5)</f>
        <v>3.5091567651170221</v>
      </c>
      <c r="G1685" s="1">
        <v>0.16135013233997475</v>
      </c>
      <c r="H1685" s="1">
        <v>1.0156532439145258</v>
      </c>
      <c r="I1685" s="1">
        <v>2.9578217815991761</v>
      </c>
      <c r="J1685" s="1">
        <v>1.4333542291883652E-2</v>
      </c>
      <c r="K1685" s="1">
        <v>1.8309736946563551</v>
      </c>
      <c r="L1685" s="1">
        <v>1.8422483027231096</v>
      </c>
      <c r="M1685" s="1">
        <v>9.3830211734653071E-2</v>
      </c>
      <c r="N1685" s="1">
        <v>0.59167739455256618</v>
      </c>
      <c r="O1685" s="1">
        <v>0.19435733333333333</v>
      </c>
      <c r="P1685" s="1">
        <v>0.13361267473247002</v>
      </c>
      <c r="Q1685" s="1">
        <v>0.25786550830589594</v>
      </c>
      <c r="R1685" s="2">
        <f t="shared" si="107"/>
        <v>11.526046174447403</v>
      </c>
      <c r="S1685" s="2">
        <f t="shared" si="106"/>
        <v>1.9789199116807086</v>
      </c>
      <c r="T1685" s="2">
        <f t="shared" si="108"/>
        <v>2.7221132423436623</v>
      </c>
      <c r="U1685" s="2">
        <f t="shared" si="109"/>
        <v>16.227079328471774</v>
      </c>
    </row>
    <row r="1686" spans="1:21" x14ac:dyDescent="0.25">
      <c r="A1686">
        <v>3547569</v>
      </c>
      <c r="B1686">
        <v>3</v>
      </c>
      <c r="C1686" s="1">
        <f>0.348930175511483*(10.3/7.3)</f>
        <v>0.492326138050449</v>
      </c>
      <c r="D1686" s="1">
        <f>0.419451628542*(10.3/7.3)</f>
        <v>0.5918290101346021</v>
      </c>
      <c r="E1686" s="1">
        <f>1.47849461797099*(10.3/7.3)</f>
        <v>2.086095145904272</v>
      </c>
      <c r="F1686" s="1">
        <f>3.3269830166386*(38.9/42.5)</f>
        <v>3.0451679846409747</v>
      </c>
      <c r="G1686" s="1">
        <v>0.1388754186895691</v>
      </c>
      <c r="H1686" s="1">
        <v>0.97413494091550634</v>
      </c>
      <c r="I1686" s="1">
        <v>2.5639026497801534</v>
      </c>
      <c r="J1686" s="1">
        <v>1.514823741326958E-2</v>
      </c>
      <c r="K1686" s="1">
        <v>1.8941667224399719</v>
      </c>
      <c r="L1686" s="1">
        <v>1.9518180362290043</v>
      </c>
      <c r="M1686" s="1">
        <v>9.974931952994652E-2</v>
      </c>
      <c r="N1686" s="1">
        <v>0.62292052964466393</v>
      </c>
      <c r="O1686" s="1">
        <v>0.21400888888888889</v>
      </c>
      <c r="P1686" s="1">
        <v>0.13305043943070924</v>
      </c>
      <c r="Q1686" s="1">
        <v>0.22194701617054444</v>
      </c>
      <c r="R1686" s="2">
        <f t="shared" si="107"/>
        <v>10.114278304286071</v>
      </c>
      <c r="S1686" s="2">
        <f t="shared" si="106"/>
        <v>2.0423653992839506</v>
      </c>
      <c r="T1686" s="2">
        <f t="shared" si="108"/>
        <v>2.8884967742925034</v>
      </c>
      <c r="U1686" s="2">
        <f t="shared" si="109"/>
        <v>15.045140477862525</v>
      </c>
    </row>
    <row r="1687" spans="1:21" x14ac:dyDescent="0.25">
      <c r="A1687">
        <v>3547593</v>
      </c>
      <c r="B1687">
        <v>16</v>
      </c>
      <c r="C1687" s="1">
        <f>1.29855575623691*(10.3/7.3)</f>
        <v>1.83220880674523</v>
      </c>
      <c r="D1687" s="1">
        <f>1.59557664715787*(10.3/7.3)</f>
        <v>2.2512930774967215</v>
      </c>
      <c r="E1687" s="1">
        <f>5.58598435339514*(10.3/7.3)</f>
        <v>7.8815943616397153</v>
      </c>
      <c r="F1687" s="1">
        <f>14.2154056944651*(38.9/42.5)</f>
        <v>13.01127721211043</v>
      </c>
      <c r="G1687" s="1">
        <v>0.66500063271486953</v>
      </c>
      <c r="H1687" s="1">
        <v>3.8227868316052112</v>
      </c>
      <c r="I1687" s="1">
        <v>11.097447581581429</v>
      </c>
      <c r="J1687" s="1">
        <v>2.8671327787524521E-2</v>
      </c>
      <c r="K1687" s="1">
        <v>3.517790639426102</v>
      </c>
      <c r="L1687" s="1">
        <v>4.0024315229910865</v>
      </c>
      <c r="M1687" s="1">
        <v>0.17657022713921824</v>
      </c>
      <c r="N1687" s="1">
        <v>1.117649253790951</v>
      </c>
      <c r="O1687" s="1">
        <v>0.58499000000000012</v>
      </c>
      <c r="P1687" s="1">
        <v>0.27481076986715181</v>
      </c>
      <c r="Q1687" s="1">
        <v>1.0627863993160027</v>
      </c>
      <c r="R1687" s="2">
        <f t="shared" si="107"/>
        <v>41.624394903209605</v>
      </c>
      <c r="S1687" s="2">
        <f t="shared" si="106"/>
        <v>3.8212727370807782</v>
      </c>
      <c r="T1687" s="2">
        <f t="shared" si="108"/>
        <v>5.8816410039212563</v>
      </c>
      <c r="U1687" s="2">
        <f t="shared" si="109"/>
        <v>51.327308644211641</v>
      </c>
    </row>
    <row r="1688" spans="1:21" x14ac:dyDescent="0.25">
      <c r="A1688">
        <v>3547857</v>
      </c>
      <c r="B1688">
        <v>8</v>
      </c>
      <c r="C1688" s="1">
        <f>1.689404484861*(10.3/7.3)</f>
        <v>2.3836803005573044</v>
      </c>
      <c r="D1688" s="1">
        <f>2.03639382631378*(10.3/7.3)</f>
        <v>2.8732680015112284</v>
      </c>
      <c r="E1688" s="1">
        <f>7.15816639823542*(10.3/7.3)</f>
        <v>10.099878616688333</v>
      </c>
      <c r="F1688" s="1">
        <f>17.064031659742*(38.9/42.5)</f>
        <v>15.61860780150503</v>
      </c>
      <c r="G1688" s="1">
        <v>0.75303613184038443</v>
      </c>
      <c r="H1688" s="1">
        <v>5.2221190776578243</v>
      </c>
      <c r="I1688" s="1">
        <v>13.260365087447168</v>
      </c>
      <c r="J1688" s="1">
        <v>3.6926480697192871E-2</v>
      </c>
      <c r="K1688" s="1">
        <v>3.4517445519327019</v>
      </c>
      <c r="L1688" s="1">
        <v>7.4743239886632828</v>
      </c>
      <c r="M1688" s="1">
        <v>0.15515779891735915</v>
      </c>
      <c r="N1688" s="1">
        <v>1.7759457495877127</v>
      </c>
      <c r="O1688" s="1">
        <v>0.26715333333333335</v>
      </c>
      <c r="P1688" s="1">
        <v>0.24176321134634335</v>
      </c>
      <c r="Q1688" s="1">
        <v>1.203482402484634</v>
      </c>
      <c r="R1688" s="2">
        <f t="shared" si="107"/>
        <v>51.414437419691907</v>
      </c>
      <c r="S1688" s="2">
        <f t="shared" si="106"/>
        <v>3.7304342439762381</v>
      </c>
      <c r="T1688" s="2">
        <f t="shared" si="108"/>
        <v>9.6725808705016867</v>
      </c>
      <c r="U1688" s="2">
        <f t="shared" si="109"/>
        <v>64.817452534169831</v>
      </c>
    </row>
    <row r="1689" spans="1:21" x14ac:dyDescent="0.25">
      <c r="A1689">
        <v>355693</v>
      </c>
      <c r="B1689">
        <v>9</v>
      </c>
      <c r="C1689" s="1">
        <f>1.04640108565673*(10.3/7.3)</f>
        <v>1.4764289290772978</v>
      </c>
      <c r="D1689" s="1">
        <f>1.37988610738621*(10.3/7.3)</f>
        <v>1.9469625898736929</v>
      </c>
      <c r="E1689" s="1">
        <f>4.8093700945105*(10.3/7.3)</f>
        <v>6.7858235580079711</v>
      </c>
      <c r="F1689" s="1">
        <f>12.5648787964939*(38.9/42.5)</f>
        <v>11.50055965137908</v>
      </c>
      <c r="G1689" s="1">
        <v>0.60547727396393114</v>
      </c>
      <c r="H1689" s="1">
        <v>3.1885564037299852</v>
      </c>
      <c r="I1689" s="1">
        <v>9.6734095537571729</v>
      </c>
      <c r="J1689" s="1">
        <v>2.0071296705811162E-2</v>
      </c>
      <c r="K1689" s="1">
        <v>2.5121280482781407</v>
      </c>
      <c r="L1689" s="1">
        <v>1.1659724383958352</v>
      </c>
      <c r="M1689" s="1">
        <v>6.1970475864747278E-2</v>
      </c>
      <c r="N1689" s="1">
        <v>0.67614075524681594</v>
      </c>
      <c r="O1689" s="1">
        <v>6.5392592592592599E-2</v>
      </c>
      <c r="P1689" s="1">
        <v>5.6780844479832143E-2</v>
      </c>
      <c r="Q1689" s="1">
        <v>0.96765774377797298</v>
      </c>
      <c r="R1689" s="2">
        <f t="shared" si="107"/>
        <v>36.144875703567102</v>
      </c>
      <c r="S1689" s="2">
        <f t="shared" si="106"/>
        <v>2.5889801894637841</v>
      </c>
      <c r="T1689" s="2">
        <f t="shared" si="108"/>
        <v>1.969476262099991</v>
      </c>
      <c r="U1689" s="2">
        <f t="shared" si="109"/>
        <v>40.703332155130873</v>
      </c>
    </row>
    <row r="1690" spans="1:21" x14ac:dyDescent="0.25">
      <c r="A1690">
        <v>355701</v>
      </c>
      <c r="B1690">
        <v>7</v>
      </c>
      <c r="C1690" s="1">
        <f>0.945544749255302*(10.3/7.3)</f>
        <v>1.3341247831958365</v>
      </c>
      <c r="D1690" s="1">
        <f>1.30241731739024*(10.3/7.3)</f>
        <v>1.837657310838283</v>
      </c>
      <c r="E1690" s="1">
        <f>4.52320836355863*(10.3/7.3)</f>
        <v>6.3820611157060156</v>
      </c>
      <c r="F1690" s="1">
        <f>12.2188633103354*(38.9/42.5)</f>
        <v>11.183853712283458</v>
      </c>
      <c r="G1690" s="1">
        <v>0.6062624004372752</v>
      </c>
      <c r="H1690" s="1">
        <v>3.6507026551738417</v>
      </c>
      <c r="I1690" s="1">
        <v>9.3620538069464541</v>
      </c>
      <c r="J1690" s="1">
        <v>2.0338281780312963E-2</v>
      </c>
      <c r="K1690" s="1">
        <v>2.229284676747235</v>
      </c>
      <c r="L1690" s="1">
        <v>1.078504801102848</v>
      </c>
      <c r="M1690" s="1">
        <v>5.7359105581303228E-2</v>
      </c>
      <c r="N1690" s="1">
        <v>0.65251861809437262</v>
      </c>
      <c r="O1690" s="1">
        <v>6.1394285714285714E-2</v>
      </c>
      <c r="P1690" s="1">
        <v>5.3269137626137594E-2</v>
      </c>
      <c r="Q1690" s="1">
        <v>0.96891251211436769</v>
      </c>
      <c r="R1690" s="2">
        <f t="shared" si="107"/>
        <v>35.325628296695527</v>
      </c>
      <c r="S1690" s="2">
        <f t="shared" si="106"/>
        <v>2.3028920961536854</v>
      </c>
      <c r="T1690" s="2">
        <f t="shared" si="108"/>
        <v>1.8497768104928094</v>
      </c>
      <c r="U1690" s="2">
        <f t="shared" si="109"/>
        <v>39.478297203342024</v>
      </c>
    </row>
    <row r="1691" spans="1:21" x14ac:dyDescent="0.25">
      <c r="A1691">
        <v>355725</v>
      </c>
      <c r="B1691">
        <v>20</v>
      </c>
      <c r="C1691" s="1">
        <f>0.968466442734511*(10.3/7.3)</f>
        <v>1.3664663507075974</v>
      </c>
      <c r="D1691" s="1">
        <f>1.46304021140145*(10.3/7.3)</f>
        <v>2.0642896133472477</v>
      </c>
      <c r="E1691" s="1">
        <f>5.05483244963873*(10.3/7.3)</f>
        <v>7.1321608535998475</v>
      </c>
      <c r="F1691" s="1">
        <f>14.0533462570261*(38.9/42.5)</f>
        <v>12.862945162313302</v>
      </c>
      <c r="G1691" s="1">
        <v>0.71782997931075665</v>
      </c>
      <c r="H1691" s="1">
        <v>5.1108493538032516</v>
      </c>
      <c r="I1691" s="1">
        <v>10.606149014673841</v>
      </c>
      <c r="J1691" s="1">
        <v>2.0644883560370253E-2</v>
      </c>
      <c r="K1691" s="1">
        <v>2.4249502807944898</v>
      </c>
      <c r="L1691" s="1">
        <v>1.1809420667916652</v>
      </c>
      <c r="M1691" s="1">
        <v>6.2215777799871419E-2</v>
      </c>
      <c r="N1691" s="1">
        <v>0.77108948504300678</v>
      </c>
      <c r="O1691" s="1">
        <v>6.4978666666666657E-2</v>
      </c>
      <c r="P1691" s="1">
        <v>5.6872175761939966E-2</v>
      </c>
      <c r="Q1691" s="1">
        <v>1.1472168619121699</v>
      </c>
      <c r="R1691" s="2">
        <f t="shared" si="107"/>
        <v>41.007907189668011</v>
      </c>
      <c r="S1691" s="2">
        <f t="shared" si="106"/>
        <v>2.5024673401167998</v>
      </c>
      <c r="T1691" s="2">
        <f t="shared" si="108"/>
        <v>2.0792259963012105</v>
      </c>
      <c r="U1691" s="2">
        <f t="shared" si="109"/>
        <v>45.589600526086024</v>
      </c>
    </row>
    <row r="1692" spans="1:21" x14ac:dyDescent="0.25">
      <c r="A1692">
        <v>355733</v>
      </c>
      <c r="B1692">
        <v>25</v>
      </c>
      <c r="C1692" s="1">
        <f>1.05504313277058*(10.3/7.3)</f>
        <v>1.4886225024023234</v>
      </c>
      <c r="D1692" s="1">
        <f>1.62082871501939*(10.3/7.3)</f>
        <v>2.2869227074931064</v>
      </c>
      <c r="E1692" s="1">
        <f>5.59297170223452*(10.3/7.3)</f>
        <v>7.891453223700756</v>
      </c>
      <c r="F1692" s="1">
        <f>15.7295702371742*(38.9/42.5)</f>
        <v>14.397183111201768</v>
      </c>
      <c r="G1692" s="1">
        <v>0.8106991155302441</v>
      </c>
      <c r="H1692" s="1">
        <v>3.577144430137853</v>
      </c>
      <c r="I1692" s="1">
        <v>11.855624324588364</v>
      </c>
      <c r="J1692" s="1">
        <v>2.0040481617192071E-2</v>
      </c>
      <c r="K1692" s="1">
        <v>2.4012371416549962</v>
      </c>
      <c r="L1692" s="1">
        <v>1.2147550872727679</v>
      </c>
      <c r="M1692" s="1">
        <v>6.3460440081677727E-2</v>
      </c>
      <c r="N1692" s="1">
        <v>0.71355321908236735</v>
      </c>
      <c r="O1692" s="1">
        <v>6.6739199999999985E-2</v>
      </c>
      <c r="P1692" s="1">
        <v>5.7866053645967711E-2</v>
      </c>
      <c r="Q1692" s="1">
        <v>1.2956378558702548</v>
      </c>
      <c r="R1692" s="2">
        <f t="shared" si="107"/>
        <v>43.603287270924667</v>
      </c>
      <c r="S1692" s="2">
        <f t="shared" si="106"/>
        <v>2.4791436769181563</v>
      </c>
      <c r="T1692" s="2">
        <f t="shared" si="108"/>
        <v>2.058507946436813</v>
      </c>
      <c r="U1692" s="2">
        <f t="shared" si="109"/>
        <v>48.140938894279635</v>
      </c>
    </row>
    <row r="1693" spans="1:21" x14ac:dyDescent="0.25">
      <c r="A1693">
        <v>355749</v>
      </c>
      <c r="B1693">
        <v>27</v>
      </c>
      <c r="C1693" s="1">
        <f>1.13263863759511*(10.3/7.3)</f>
        <v>1.5981065708533733</v>
      </c>
      <c r="D1693" s="1">
        <f>2.02048056990808*(10.3/7.3)</f>
        <v>2.850815050692225</v>
      </c>
      <c r="E1693" s="1">
        <f>6.87049325899174*(10.3/7.3)</f>
        <v>9.693983639399308</v>
      </c>
      <c r="F1693" s="1">
        <f>22.6934575073867*(38.9/42.5)</f>
        <v>20.771188165584554</v>
      </c>
      <c r="G1693" s="1">
        <v>1.2926536847018013</v>
      </c>
      <c r="H1693" s="1">
        <v>5.7752641241684195</v>
      </c>
      <c r="I1693" s="1">
        <v>17.162036565081483</v>
      </c>
      <c r="J1693" s="1">
        <v>2.1894617075857364E-2</v>
      </c>
      <c r="K1693" s="1">
        <v>2.5873853458340825</v>
      </c>
      <c r="L1693" s="1">
        <v>1.3248540972490706</v>
      </c>
      <c r="M1693" s="1">
        <v>6.903405023192638E-2</v>
      </c>
      <c r="N1693" s="1">
        <v>0.83370394894595767</v>
      </c>
      <c r="O1693" s="1">
        <v>7.1897283950617272E-2</v>
      </c>
      <c r="P1693" s="1">
        <v>6.2008651932608704E-2</v>
      </c>
      <c r="Q1693" s="1">
        <v>2.0658848842266253</v>
      </c>
      <c r="R1693" s="2">
        <f t="shared" si="107"/>
        <v>61.209932684707788</v>
      </c>
      <c r="S1693" s="2">
        <f t="shared" si="106"/>
        <v>2.6712886148425485</v>
      </c>
      <c r="T1693" s="2">
        <f t="shared" si="108"/>
        <v>2.299489380377572</v>
      </c>
      <c r="U1693" s="2">
        <f t="shared" si="109"/>
        <v>66.180710679927898</v>
      </c>
    </row>
    <row r="1694" spans="1:21" x14ac:dyDescent="0.25">
      <c r="A1694">
        <v>355757</v>
      </c>
      <c r="B1694">
        <v>49</v>
      </c>
      <c r="C1694" s="1">
        <f>1.36774219282827*(10.3/7.3)</f>
        <v>1.9298280254974283</v>
      </c>
      <c r="D1694" s="1">
        <f>2.110090270782*(10.3/7.3)</f>
        <v>2.9772506560348813</v>
      </c>
      <c r="E1694" s="1">
        <f>7.31051676785001*(10.3/7.3)</f>
        <v>10.314838727240423</v>
      </c>
      <c r="F1694" s="1">
        <f>19.0014209499902*(38.9/42.5)</f>
        <v>17.39188882246161</v>
      </c>
      <c r="G1694" s="1">
        <v>0.9290493769471283</v>
      </c>
      <c r="H1694" s="1">
        <v>2.9486331146813733</v>
      </c>
      <c r="I1694" s="1">
        <v>14.089201503201114</v>
      </c>
      <c r="J1694" s="1">
        <v>2.2821854918211398E-2</v>
      </c>
      <c r="K1694" s="1">
        <v>2.6933076730625878</v>
      </c>
      <c r="L1694" s="1">
        <v>1.4132816056414568</v>
      </c>
      <c r="M1694" s="1">
        <v>7.3173357115750085E-2</v>
      </c>
      <c r="N1694" s="1">
        <v>0.79502088170392304</v>
      </c>
      <c r="O1694" s="1">
        <v>7.6199183673469367E-2</v>
      </c>
      <c r="P1694" s="1">
        <v>6.5136076519222749E-2</v>
      </c>
      <c r="Q1694" s="1">
        <v>1.4847821092762343</v>
      </c>
      <c r="R1694" s="2">
        <f t="shared" si="107"/>
        <v>52.065472335340182</v>
      </c>
      <c r="S1694" s="2">
        <f t="shared" si="106"/>
        <v>2.7812656045000219</v>
      </c>
      <c r="T1694" s="2">
        <f t="shared" si="108"/>
        <v>2.3576750281345991</v>
      </c>
      <c r="U1694" s="2">
        <f t="shared" si="109"/>
        <v>57.204412967974804</v>
      </c>
    </row>
    <row r="1695" spans="1:21" x14ac:dyDescent="0.25">
      <c r="A1695">
        <v>355765</v>
      </c>
      <c r="B1695">
        <v>34</v>
      </c>
      <c r="C1695" s="1">
        <f>1.13265989717957*(10.3/7.3)</f>
        <v>1.5981365672533607</v>
      </c>
      <c r="D1695" s="1">
        <f>1.76423781233912*(10.3/7.3)</f>
        <v>2.4892670502867005</v>
      </c>
      <c r="E1695" s="1">
        <f>6.09674777963539*(10.3/7.3)</f>
        <v>8.6022605657869207</v>
      </c>
      <c r="F1695" s="1">
        <f>16.5307976632719*(38.9/42.5)</f>
        <v>15.130541861206536</v>
      </c>
      <c r="G1695" s="1">
        <v>0.83311997132789117</v>
      </c>
      <c r="H1695" s="1">
        <v>4.1783078013386001</v>
      </c>
      <c r="I1695" s="1">
        <v>12.336999943294771</v>
      </c>
      <c r="J1695" s="1">
        <v>2.0336427607242583E-2</v>
      </c>
      <c r="K1695" s="1">
        <v>2.3672021004196395</v>
      </c>
      <c r="L1695" s="1">
        <v>1.2575972569507341</v>
      </c>
      <c r="M1695" s="1">
        <v>6.4295951927423323E-2</v>
      </c>
      <c r="N1695" s="1">
        <v>0.70308281918754456</v>
      </c>
      <c r="O1695" s="1">
        <v>6.8853333333333322E-2</v>
      </c>
      <c r="P1695" s="1">
        <v>5.942841234123207E-2</v>
      </c>
      <c r="Q1695" s="1">
        <v>1.3314702738116997</v>
      </c>
      <c r="R1695" s="2">
        <f t="shared" si="107"/>
        <v>46.500104034306482</v>
      </c>
      <c r="S1695" s="2">
        <f t="shared" si="106"/>
        <v>2.4469669403681138</v>
      </c>
      <c r="T1695" s="2">
        <f t="shared" si="108"/>
        <v>2.0938293613990351</v>
      </c>
      <c r="U1695" s="2">
        <f t="shared" si="109"/>
        <v>51.040900336073634</v>
      </c>
    </row>
    <row r="1696" spans="1:21" x14ac:dyDescent="0.25">
      <c r="A1696">
        <v>3559781</v>
      </c>
      <c r="B1696">
        <v>45</v>
      </c>
      <c r="C1696" s="1">
        <f>0.735400681449733*(10.3/7.3)</f>
        <v>1.03762013957976</v>
      </c>
      <c r="D1696" s="1">
        <f>0.879284824369833*(10.3/7.3)</f>
        <v>1.2406347521930516</v>
      </c>
      <c r="E1696" s="1">
        <f>3.09514936748481*(10.3/7.3)</f>
        <v>4.3671285596018583</v>
      </c>
      <c r="F1696" s="1">
        <f>7.21650539978355*(38.9/42.5)</f>
        <v>6.6052249423901177</v>
      </c>
      <c r="G1696" s="1">
        <v>0.31157974012388201</v>
      </c>
      <c r="H1696" s="1">
        <v>1.7775238079727653</v>
      </c>
      <c r="I1696" s="1">
        <v>5.6019688166842352</v>
      </c>
      <c r="J1696" s="1">
        <v>1.8515266741330767E-2</v>
      </c>
      <c r="K1696" s="1">
        <v>2.389629326698647</v>
      </c>
      <c r="L1696" s="1">
        <v>2.3513632579727703</v>
      </c>
      <c r="M1696" s="1">
        <v>0.11461523052596723</v>
      </c>
      <c r="N1696" s="1">
        <v>0.7551027914903895</v>
      </c>
      <c r="O1696" s="1">
        <v>0.34957037037037042</v>
      </c>
      <c r="P1696" s="1">
        <v>0.17744975134559185</v>
      </c>
      <c r="Q1696" s="1">
        <v>0.49795848878246018</v>
      </c>
      <c r="R1696" s="2">
        <f t="shared" si="107"/>
        <v>21.439639247328127</v>
      </c>
      <c r="S1696" s="2">
        <f t="shared" si="106"/>
        <v>2.5855943447855694</v>
      </c>
      <c r="T1696" s="2">
        <f t="shared" si="108"/>
        <v>3.5706516503594976</v>
      </c>
      <c r="U1696" s="2">
        <f t="shared" si="109"/>
        <v>27.595885242473194</v>
      </c>
    </row>
    <row r="1697" spans="1:21" x14ac:dyDescent="0.25">
      <c r="A1697">
        <v>3559789</v>
      </c>
      <c r="B1697">
        <v>31</v>
      </c>
      <c r="C1697" s="1">
        <f>0.632209869687149*(10.3/7.3)</f>
        <v>0.89202214490104648</v>
      </c>
      <c r="D1697" s="1">
        <f>0.761911615314575*(10.3/7.3)</f>
        <v>1.075025977772619</v>
      </c>
      <c r="E1697" s="1">
        <f>2.68152568641085*(10.3/7.3)</f>
        <v>3.783522543839962</v>
      </c>
      <c r="F1697" s="1">
        <f>6.22498350976156*(38.9/42.5)</f>
        <v>5.6976907889346986</v>
      </c>
      <c r="G1697" s="1">
        <v>0.26802622385173264</v>
      </c>
      <c r="H1697" s="1">
        <v>1.5255776692595671</v>
      </c>
      <c r="I1697" s="1">
        <v>4.8176596962719875</v>
      </c>
      <c r="J1697" s="1">
        <v>1.6532069348284991E-2</v>
      </c>
      <c r="K1697" s="1">
        <v>2.1688034790073467</v>
      </c>
      <c r="L1697" s="1">
        <v>2.1392092301702932</v>
      </c>
      <c r="M1697" s="1">
        <v>0.10224857514492552</v>
      </c>
      <c r="N1697" s="1">
        <v>0.68482137172760171</v>
      </c>
      <c r="O1697" s="1">
        <v>0.26441634408602155</v>
      </c>
      <c r="P1697" s="1">
        <v>0.16753529209474097</v>
      </c>
      <c r="Q1697" s="1">
        <v>0.42835241254843154</v>
      </c>
      <c r="R1697" s="2">
        <f t="shared" si="107"/>
        <v>18.487877457380044</v>
      </c>
      <c r="S1697" s="2">
        <f t="shared" si="106"/>
        <v>2.3528708404503726</v>
      </c>
      <c r="T1697" s="2">
        <f t="shared" si="108"/>
        <v>3.1906955211288421</v>
      </c>
      <c r="U1697" s="2">
        <f t="shared" si="109"/>
        <v>24.031443818959257</v>
      </c>
    </row>
    <row r="1698" spans="1:21" x14ac:dyDescent="0.25">
      <c r="A1698">
        <v>3559797</v>
      </c>
      <c r="B1698">
        <v>24</v>
      </c>
      <c r="C1698" s="1">
        <f>0.498497046696954*(10.3/7.3)</f>
        <v>0.70335884670940141</v>
      </c>
      <c r="D1698" s="1">
        <f>0.599507622827287*(10.3/7.3)</f>
        <v>0.84588061850973373</v>
      </c>
      <c r="E1698" s="1">
        <f>2.11094768594816*(10.3/7.3)</f>
        <v>2.9784604335980913</v>
      </c>
      <c r="F1698" s="1">
        <f>4.86024113826474*(38.9/42.5)</f>
        <v>4.448550124199957</v>
      </c>
      <c r="G1698" s="1">
        <v>0.2075441809568811</v>
      </c>
      <c r="H1698" s="1">
        <v>1.2592373654334499</v>
      </c>
      <c r="I1698" s="1">
        <v>3.7588810765321181</v>
      </c>
      <c r="J1698" s="1">
        <v>1.5809116398456339E-2</v>
      </c>
      <c r="K1698" s="1">
        <v>2.0387361848841743</v>
      </c>
      <c r="L1698" s="1">
        <v>2.0445772381823919</v>
      </c>
      <c r="M1698" s="1">
        <v>0.10276663514738844</v>
      </c>
      <c r="N1698" s="1">
        <v>0.65195970910090295</v>
      </c>
      <c r="O1698" s="1">
        <v>0.23592222222222226</v>
      </c>
      <c r="P1698" s="1">
        <v>0.15266113818896479</v>
      </c>
      <c r="Q1698" s="1">
        <v>0.33169161340140857</v>
      </c>
      <c r="R1698" s="2">
        <f t="shared" si="107"/>
        <v>14.533604259341041</v>
      </c>
      <c r="S1698" s="2">
        <f t="shared" si="106"/>
        <v>2.2072064394715953</v>
      </c>
      <c r="T1698" s="2">
        <f t="shared" si="108"/>
        <v>3.0352258046529057</v>
      </c>
      <c r="U1698" s="2">
        <f t="shared" si="109"/>
        <v>19.776036503465544</v>
      </c>
    </row>
    <row r="1699" spans="1:21" x14ac:dyDescent="0.25">
      <c r="A1699">
        <v>3559821</v>
      </c>
      <c r="B1699">
        <v>34</v>
      </c>
      <c r="C1699" s="1">
        <f>0.794940074099807*(10.3/7.3)</f>
        <v>1.1216277757846587</v>
      </c>
      <c r="D1699" s="1">
        <f>0.975667006370644*(10.3/7.3)</f>
        <v>1.3766260500846073</v>
      </c>
      <c r="E1699" s="1">
        <f>3.42111349297755*(10.3/7.3)</f>
        <v>4.8270505448861298</v>
      </c>
      <c r="F1699" s="1">
        <f>8.44058690309859*(38.9/42.5)</f>
        <v>7.7256195418949458</v>
      </c>
      <c r="G1699" s="1">
        <v>0.38490166658923641</v>
      </c>
      <c r="H1699" s="1">
        <v>1.9912661826714209</v>
      </c>
      <c r="I1699" s="1">
        <v>6.5605210234725524</v>
      </c>
      <c r="J1699" s="1">
        <v>2.079494321324318E-2</v>
      </c>
      <c r="K1699" s="1">
        <v>2.6260809406012942</v>
      </c>
      <c r="L1699" s="1">
        <v>2.7918461376475663</v>
      </c>
      <c r="M1699" s="1">
        <v>0.12975220788617653</v>
      </c>
      <c r="N1699" s="1">
        <v>0.84332972650498017</v>
      </c>
      <c r="O1699" s="1">
        <v>0.36925960784313727</v>
      </c>
      <c r="P1699" s="1">
        <v>0.20696632638384971</v>
      </c>
      <c r="Q1699" s="1">
        <v>0.61513964980015001</v>
      </c>
      <c r="R1699" s="2">
        <f t="shared" si="107"/>
        <v>24.602752435183699</v>
      </c>
      <c r="S1699" s="2">
        <f t="shared" si="106"/>
        <v>2.8538422101983869</v>
      </c>
      <c r="T1699" s="2">
        <f t="shared" si="108"/>
        <v>4.13418767988186</v>
      </c>
      <c r="U1699" s="2">
        <f t="shared" si="109"/>
        <v>31.590782325263945</v>
      </c>
    </row>
    <row r="1700" spans="1:21" x14ac:dyDescent="0.25">
      <c r="A1700">
        <v>3560093</v>
      </c>
      <c r="B1700">
        <v>15</v>
      </c>
      <c r="C1700" s="1">
        <f>1.70017495913555*(10.3/7.3)</f>
        <v>2.3988769971364619</v>
      </c>
      <c r="D1700" s="1">
        <f>2.04446594749775*(10.3/7.3)</f>
        <v>2.8846574327708034</v>
      </c>
      <c r="E1700" s="1">
        <f>7.1908499250761*(10.3/7.3)</f>
        <v>10.145993729901896</v>
      </c>
      <c r="F1700" s="1">
        <f>16.9637979113094*(38.9/42.5)</f>
        <v>15.526864441174943</v>
      </c>
      <c r="G1700" s="1">
        <v>0.74121491171100784</v>
      </c>
      <c r="H1700" s="1">
        <v>3.7305337333860105</v>
      </c>
      <c r="I1700" s="1">
        <v>13.170372397419245</v>
      </c>
      <c r="J1700" s="1">
        <v>3.4208142930193537E-2</v>
      </c>
      <c r="K1700" s="1">
        <v>3.1969143328265379</v>
      </c>
      <c r="L1700" s="1">
        <v>8.7762543433786657</v>
      </c>
      <c r="M1700" s="1">
        <v>0.15024962922493346</v>
      </c>
      <c r="N1700" s="1">
        <v>1.6394287388305318</v>
      </c>
      <c r="O1700" s="1">
        <v>0.25082311111111111</v>
      </c>
      <c r="P1700" s="1">
        <v>0.21978420895560161</v>
      </c>
      <c r="Q1700" s="1">
        <v>1.1845900415472741</v>
      </c>
      <c r="R1700" s="2">
        <f t="shared" si="107"/>
        <v>49.783103685047635</v>
      </c>
      <c r="S1700" s="2">
        <f t="shared" si="106"/>
        <v>3.4509066847123329</v>
      </c>
      <c r="T1700" s="2">
        <f t="shared" si="108"/>
        <v>10.816755822545243</v>
      </c>
      <c r="U1700" s="2">
        <f t="shared" si="109"/>
        <v>64.050766192305218</v>
      </c>
    </row>
    <row r="1701" spans="1:21" x14ac:dyDescent="0.25">
      <c r="A1701">
        <v>3560141</v>
      </c>
      <c r="B1701">
        <v>2</v>
      </c>
      <c r="C1701" s="1">
        <f>2.4956964611768*(10.3/7.3)</f>
        <v>3.5213251438521955</v>
      </c>
      <c r="D1701" s="1">
        <f>4.65883172973086*(10.3/7.3)</f>
        <v>6.5734201118120348</v>
      </c>
      <c r="E1701" s="1">
        <f>15.5824271657733*(10.3/7.3)</f>
        <v>21.986164357187025</v>
      </c>
      <c r="F1701" s="1">
        <f>63.7423955666399*(38.9/42.5)</f>
        <v>58.343039706877477</v>
      </c>
      <c r="G1701" s="1">
        <v>3.972595192105044</v>
      </c>
      <c r="H1701" s="1">
        <v>10.107489783499169</v>
      </c>
      <c r="I1701" s="1">
        <v>49.620761329384699</v>
      </c>
      <c r="J1701" s="1">
        <v>3.7883323144445605E-2</v>
      </c>
      <c r="K1701" s="1">
        <v>3.3663520266790021</v>
      </c>
      <c r="L1701" s="1">
        <v>6.1020540646578105</v>
      </c>
      <c r="M1701" s="1">
        <v>0.18005943749345277</v>
      </c>
      <c r="N1701" s="1">
        <v>1.9016019839718832</v>
      </c>
      <c r="O1701" s="1">
        <v>0.25357333333333332</v>
      </c>
      <c r="P1701" s="1">
        <v>0.20564949044855824</v>
      </c>
      <c r="Q1701" s="1">
        <v>6.3488964257386611</v>
      </c>
      <c r="R1701" s="2">
        <f t="shared" si="107"/>
        <v>160.47369205045632</v>
      </c>
      <c r="S1701" s="2">
        <f t="shared" si="106"/>
        <v>3.6098848402720063</v>
      </c>
      <c r="T1701" s="2">
        <f t="shared" si="108"/>
        <v>8.4372888194564801</v>
      </c>
      <c r="U1701" s="2">
        <f t="shared" si="109"/>
        <v>172.52086571018481</v>
      </c>
    </row>
    <row r="1702" spans="1:21" x14ac:dyDescent="0.25">
      <c r="A1702">
        <v>3560149</v>
      </c>
      <c r="B1702">
        <v>10</v>
      </c>
      <c r="C1702" s="1">
        <f>2.72495322514957*(10.3/7.3)</f>
        <v>3.8447970163069232</v>
      </c>
      <c r="D1702" s="1">
        <f>3.5815530802189*(10.3/7.3)</f>
        <v>5.0534242090759891</v>
      </c>
      <c r="E1702" s="1">
        <f>12.5472649173614*(10.3/7.3)</f>
        <v>17.703675157372995</v>
      </c>
      <c r="F1702" s="1">
        <f>29.5842748212717*(38.9/42.5)</f>
        <v>27.078312718763947</v>
      </c>
      <c r="G1702" s="1">
        <v>1.3103931149541905</v>
      </c>
      <c r="H1702" s="1">
        <v>11.514275001621286</v>
      </c>
      <c r="I1702" s="1">
        <v>22.394122027942515</v>
      </c>
      <c r="J1702" s="1">
        <v>4.2073062534323018E-2</v>
      </c>
      <c r="K1702" s="1">
        <v>3.5214601600901645</v>
      </c>
      <c r="L1702" s="1">
        <v>6.3025827176691385</v>
      </c>
      <c r="M1702" s="1">
        <v>0.18630816098204078</v>
      </c>
      <c r="N1702" s="1">
        <v>2.0936010575570432</v>
      </c>
      <c r="O1702" s="1">
        <v>0.25894933333333336</v>
      </c>
      <c r="P1702" s="1">
        <v>0.21166497891783037</v>
      </c>
      <c r="Q1702" s="1">
        <v>2.0942355718445986</v>
      </c>
      <c r="R1702" s="2">
        <f t="shared" si="107"/>
        <v>90.993234817882424</v>
      </c>
      <c r="S1702" s="2">
        <f t="shared" si="106"/>
        <v>3.7751982015423176</v>
      </c>
      <c r="T1702" s="2">
        <f t="shared" si="108"/>
        <v>8.841441269541555</v>
      </c>
      <c r="U1702" s="2">
        <f t="shared" si="109"/>
        <v>103.6098742889663</v>
      </c>
    </row>
    <row r="1703" spans="1:21" x14ac:dyDescent="0.25">
      <c r="A1703">
        <v>3571993</v>
      </c>
      <c r="B1703">
        <v>9</v>
      </c>
      <c r="C1703" s="1">
        <f>0.480963909453409*(10.3/7.3)</f>
        <v>0.67862031059864603</v>
      </c>
      <c r="D1703" s="1">
        <f>0.589648310002272*(10.3/7.3)</f>
        <v>0.83196953329087653</v>
      </c>
      <c r="E1703" s="1">
        <f>2.07564680291129*(10.3/7.3)</f>
        <v>2.9286523383542913</v>
      </c>
      <c r="F1703" s="1">
        <f>4.71472268209734*(38.9/42.5)</f>
        <v>4.315357937260857</v>
      </c>
      <c r="G1703" s="1">
        <v>0.19935400045729026</v>
      </c>
      <c r="H1703" s="1">
        <v>1.1496658461693618</v>
      </c>
      <c r="I1703" s="1">
        <v>3.6173241301528116</v>
      </c>
      <c r="J1703" s="1">
        <v>1.4694686078331347E-2</v>
      </c>
      <c r="K1703" s="1">
        <v>1.8719533658978564</v>
      </c>
      <c r="L1703" s="1">
        <v>1.8429033252775686</v>
      </c>
      <c r="M1703" s="1">
        <v>9.4891697972437183E-2</v>
      </c>
      <c r="N1703" s="1">
        <v>0.66439251532353771</v>
      </c>
      <c r="O1703" s="1">
        <v>0.26257185185185183</v>
      </c>
      <c r="P1703" s="1">
        <v>0.13323657128792699</v>
      </c>
      <c r="Q1703" s="1">
        <v>0.31860228383585232</v>
      </c>
      <c r="R1703" s="2">
        <f t="shared" si="107"/>
        <v>14.039546380119987</v>
      </c>
      <c r="S1703" s="2">
        <f t="shared" si="106"/>
        <v>2.0198846232641148</v>
      </c>
      <c r="T1703" s="2">
        <f t="shared" si="108"/>
        <v>2.8647593904253954</v>
      </c>
      <c r="U1703" s="2">
        <f t="shared" si="109"/>
        <v>18.924190393809496</v>
      </c>
    </row>
    <row r="1704" spans="1:21" x14ac:dyDescent="0.25">
      <c r="A1704">
        <v>3572001</v>
      </c>
      <c r="B1704">
        <v>17</v>
      </c>
      <c r="C1704" s="1">
        <f>0.400044290712732*(10.3/7.3)</f>
        <v>0.56444605401933379</v>
      </c>
      <c r="D1704" s="1">
        <f>0.487584762932454*(10.3/7.3)</f>
        <v>0.68796206276770899</v>
      </c>
      <c r="E1704" s="1">
        <f>1.71754447917786*(10.3/7.3)</f>
        <v>2.4233846761002678</v>
      </c>
      <c r="F1704" s="1">
        <f>3.86509826589461*(38.9/42.5)</f>
        <v>3.5377017069011845</v>
      </c>
      <c r="G1704" s="1">
        <v>0.1617490170619687</v>
      </c>
      <c r="H1704" s="1">
        <v>0.96350442168198613</v>
      </c>
      <c r="I1704" s="1">
        <v>2.9660488898522002</v>
      </c>
      <c r="J1704" s="1">
        <v>1.3699058530068997E-2</v>
      </c>
      <c r="K1704" s="1">
        <v>1.7107965856652645</v>
      </c>
      <c r="L1704" s="1">
        <v>1.7224825015124499</v>
      </c>
      <c r="M1704" s="1">
        <v>8.7775671931866778E-2</v>
      </c>
      <c r="N1704" s="1">
        <v>0.58870190908534303</v>
      </c>
      <c r="O1704" s="1">
        <v>0.20639058823529413</v>
      </c>
      <c r="P1704" s="1">
        <v>0.11832539964310775</v>
      </c>
      <c r="Q1704" s="1">
        <v>0.25850299530451648</v>
      </c>
      <c r="R1704" s="2">
        <f t="shared" si="107"/>
        <v>11.563299823689166</v>
      </c>
      <c r="S1704" s="2">
        <f t="shared" si="106"/>
        <v>1.8428210438384411</v>
      </c>
      <c r="T1704" s="2">
        <f t="shared" si="108"/>
        <v>2.6053506707649539</v>
      </c>
      <c r="U1704" s="2">
        <f t="shared" si="109"/>
        <v>16.011471538292561</v>
      </c>
    </row>
    <row r="1705" spans="1:21" x14ac:dyDescent="0.25">
      <c r="A1705">
        <v>3572017</v>
      </c>
      <c r="B1705">
        <v>67</v>
      </c>
      <c r="C1705" s="1">
        <f>1.15699608606962*(10.3/7.3)</f>
        <v>1.632473929659868</v>
      </c>
      <c r="D1705" s="1">
        <f>1.38586633884196*(10.3/7.3)</f>
        <v>1.9554004506948137</v>
      </c>
      <c r="E1705" s="1">
        <f>4.87339135851696*(10.3/7.3)</f>
        <v>6.8761549305102339</v>
      </c>
      <c r="F1705" s="1">
        <f>11.5936966386493*(38.9/42.5)</f>
        <v>10.611642335140219</v>
      </c>
      <c r="G1705" s="1">
        <v>0.51015541631730998</v>
      </c>
      <c r="H1705" s="1">
        <v>2.5741979568103139</v>
      </c>
      <c r="I1705" s="1">
        <v>9.0229900826707752</v>
      </c>
      <c r="J1705" s="1">
        <v>2.5475688707144197E-2</v>
      </c>
      <c r="K1705" s="1">
        <v>3.0857222332717775</v>
      </c>
      <c r="L1705" s="1">
        <v>3.3659153350516147</v>
      </c>
      <c r="M1705" s="1">
        <v>0.15734317474159132</v>
      </c>
      <c r="N1705" s="1">
        <v>0.97908354223036775</v>
      </c>
      <c r="O1705" s="1">
        <v>0.51423044776119409</v>
      </c>
      <c r="P1705" s="1">
        <v>0.22335407880176356</v>
      </c>
      <c r="Q1705" s="1">
        <v>0.81531687539296227</v>
      </c>
      <c r="R1705" s="2">
        <f t="shared" si="107"/>
        <v>33.998331977196493</v>
      </c>
      <c r="S1705" s="2">
        <f t="shared" si="106"/>
        <v>3.3345520007806853</v>
      </c>
      <c r="T1705" s="2">
        <f t="shared" si="108"/>
        <v>5.0165724997847674</v>
      </c>
      <c r="U1705" s="2">
        <f t="shared" si="109"/>
        <v>42.34945647776194</v>
      </c>
    </row>
    <row r="1706" spans="1:21" x14ac:dyDescent="0.25">
      <c r="A1706">
        <v>3572025</v>
      </c>
      <c r="B1706">
        <v>45</v>
      </c>
      <c r="C1706" s="1">
        <f>0.616414102004458*(10.3/7.3)</f>
        <v>0.86973496584190635</v>
      </c>
      <c r="D1706" s="1">
        <f>0.744629994007712*(10.3/7.3)</f>
        <v>1.0506423203122517</v>
      </c>
      <c r="E1706" s="1">
        <f>2.62031372761001*(10.3/7.3)</f>
        <v>3.6971549855319297</v>
      </c>
      <c r="F1706" s="1">
        <f>6.08803090389017*(38.9/42.5)</f>
        <v>5.5723388743841831</v>
      </c>
      <c r="G1706" s="1">
        <v>0.26244581012240631</v>
      </c>
      <c r="H1706" s="1">
        <v>1.4920910733311779</v>
      </c>
      <c r="I1706" s="1">
        <v>4.7090107812774624</v>
      </c>
      <c r="J1706" s="1">
        <v>1.6513040328424662E-2</v>
      </c>
      <c r="K1706" s="1">
        <v>2.1670524572289307</v>
      </c>
      <c r="L1706" s="1">
        <v>2.1377334029625077</v>
      </c>
      <c r="M1706" s="1">
        <v>0.10541792233455531</v>
      </c>
      <c r="N1706" s="1">
        <v>0.6841748815194576</v>
      </c>
      <c r="O1706" s="1">
        <v>0.25571674074074069</v>
      </c>
      <c r="P1706" s="1">
        <v>0.16853441007720762</v>
      </c>
      <c r="Q1706" s="1">
        <v>0.41943394311800153</v>
      </c>
      <c r="R1706" s="2">
        <f t="shared" si="107"/>
        <v>18.072852753919317</v>
      </c>
      <c r="S1706" s="2">
        <f t="shared" si="106"/>
        <v>2.352099907634563</v>
      </c>
      <c r="T1706" s="2">
        <f t="shared" si="108"/>
        <v>3.1830429475572615</v>
      </c>
      <c r="U1706" s="2">
        <f t="shared" si="109"/>
        <v>23.607995609111143</v>
      </c>
    </row>
    <row r="1707" spans="1:21" x14ac:dyDescent="0.25">
      <c r="A1707">
        <v>3572049</v>
      </c>
      <c r="B1707">
        <v>16</v>
      </c>
      <c r="C1707" s="1">
        <f>0.400176224873722*(10.3/7.3)</f>
        <v>0.56463220769853917</v>
      </c>
      <c r="D1707" s="1">
        <f>0.489789893430779*(10.3/7.3)</f>
        <v>0.6910734112790442</v>
      </c>
      <c r="E1707" s="1">
        <f>1.72255857081215*(10.3/7.3)</f>
        <v>2.4304593533376901</v>
      </c>
      <c r="F1707" s="1">
        <f>3.99917277096386*(38.9/42.5)</f>
        <v>3.6604193127175129</v>
      </c>
      <c r="G1707" s="1">
        <v>0.17265767793910966</v>
      </c>
      <c r="H1707" s="1">
        <v>1.0730810179959973</v>
      </c>
      <c r="I1707" s="1">
        <v>3.0810079099012837</v>
      </c>
      <c r="J1707" s="1">
        <v>1.5251665504851776E-2</v>
      </c>
      <c r="K1707" s="1">
        <v>1.9286350284462257</v>
      </c>
      <c r="L1707" s="1">
        <v>1.9580677589774214</v>
      </c>
      <c r="M1707" s="1">
        <v>9.6161876563052751E-2</v>
      </c>
      <c r="N1707" s="1">
        <v>0.64253973843289558</v>
      </c>
      <c r="O1707" s="1">
        <v>0.21448999999999999</v>
      </c>
      <c r="P1707" s="1">
        <v>0.14864380853002704</v>
      </c>
      <c r="Q1707" s="1">
        <v>0.27593692821318921</v>
      </c>
      <c r="R1707" s="2">
        <f t="shared" si="107"/>
        <v>11.949267819082367</v>
      </c>
      <c r="S1707" s="2">
        <f t="shared" si="106"/>
        <v>2.0925305024811047</v>
      </c>
      <c r="T1707" s="2">
        <f t="shared" si="108"/>
        <v>2.9112593739733694</v>
      </c>
      <c r="U1707" s="2">
        <f t="shared" si="109"/>
        <v>16.953057695536842</v>
      </c>
    </row>
    <row r="1708" spans="1:21" x14ac:dyDescent="0.25">
      <c r="A1708">
        <v>3572321</v>
      </c>
      <c r="B1708">
        <v>6</v>
      </c>
      <c r="C1708" s="1">
        <f>1.58905154504868*(10.3/7.3)</f>
        <v>2.2420864265755358</v>
      </c>
      <c r="D1708" s="1">
        <f>1.91596370755497*(10.3/7.3)</f>
        <v>2.7033460531255109</v>
      </c>
      <c r="E1708" s="1">
        <f>6.7355214681789*(10.3/7.3)</f>
        <v>9.5035439893483105</v>
      </c>
      <c r="F1708" s="1">
        <f>16.0173994676753*(38.9/42.5)</f>
        <v>14.660631512766336</v>
      </c>
      <c r="G1708" s="1">
        <v>0.7053211774341982</v>
      </c>
      <c r="H1708" s="1">
        <v>4.4748624038722076</v>
      </c>
      <c r="I1708" s="1">
        <v>12.441353684540097</v>
      </c>
      <c r="J1708" s="1">
        <v>3.6501453120844816E-2</v>
      </c>
      <c r="K1708" s="1">
        <v>3.422112310225609</v>
      </c>
      <c r="L1708" s="1">
        <v>7.7018179231960318</v>
      </c>
      <c r="M1708" s="1">
        <v>0.15274542166134916</v>
      </c>
      <c r="N1708" s="1">
        <v>1.7712414218732233</v>
      </c>
      <c r="O1708" s="1">
        <v>0.26471111111111106</v>
      </c>
      <c r="P1708" s="1">
        <v>0.24197404871805159</v>
      </c>
      <c r="Q1708" s="1">
        <v>1.1272256260363911</v>
      </c>
      <c r="R1708" s="2">
        <f t="shared" si="107"/>
        <v>47.858370873698583</v>
      </c>
      <c r="S1708" s="2">
        <f t="shared" si="106"/>
        <v>3.7005878120645055</v>
      </c>
      <c r="T1708" s="2">
        <f t="shared" si="108"/>
        <v>9.8905158778417146</v>
      </c>
      <c r="U1708" s="2">
        <f t="shared" si="109"/>
        <v>61.449474563604802</v>
      </c>
    </row>
    <row r="1709" spans="1:21" x14ac:dyDescent="0.25">
      <c r="A1709">
        <v>3572329</v>
      </c>
      <c r="B1709">
        <v>6</v>
      </c>
      <c r="C1709" s="1">
        <f>1.64972466361224*(10.3/7.3)</f>
        <v>2.3276937034528875</v>
      </c>
      <c r="D1709" s="1">
        <f>1.98401907608057*(10.3/7.3)</f>
        <v>2.7993693813191562</v>
      </c>
      <c r="E1709" s="1">
        <f>6.97850986344874*(10.3/7.3)</f>
        <v>9.8463906292495942</v>
      </c>
      <c r="F1709" s="1">
        <f>16.4475467868909*(38.9/42.5)</f>
        <v>15.054342823766033</v>
      </c>
      <c r="G1709" s="1">
        <v>0.71805351043792909</v>
      </c>
      <c r="H1709" s="1">
        <v>3.3404430758393975</v>
      </c>
      <c r="I1709" s="1">
        <v>12.767307778281781</v>
      </c>
      <c r="J1709" s="1">
        <v>3.3061629274993128E-2</v>
      </c>
      <c r="K1709" s="1">
        <v>3.1300558933784974</v>
      </c>
      <c r="L1709" s="1">
        <v>8.5314470897025778</v>
      </c>
      <c r="M1709" s="1">
        <v>0.14777850837600429</v>
      </c>
      <c r="N1709" s="1">
        <v>1.6410087290179607</v>
      </c>
      <c r="O1709" s="1">
        <v>0.24368000000000001</v>
      </c>
      <c r="P1709" s="1">
        <v>0.21545387602019331</v>
      </c>
      <c r="Q1709" s="1">
        <v>1.1475741034396139</v>
      </c>
      <c r="R1709" s="2">
        <f t="shared" si="107"/>
        <v>48.001175005786401</v>
      </c>
      <c r="S1709" s="2">
        <f t="shared" si="106"/>
        <v>3.3785713986736838</v>
      </c>
      <c r="T1709" s="2">
        <f t="shared" si="108"/>
        <v>10.563914327096542</v>
      </c>
      <c r="U1709" s="2">
        <f t="shared" si="109"/>
        <v>61.943660731556626</v>
      </c>
    </row>
    <row r="1710" spans="1:21" x14ac:dyDescent="0.25">
      <c r="A1710">
        <v>3572377</v>
      </c>
      <c r="B1710">
        <v>3</v>
      </c>
      <c r="C1710" s="1">
        <f>2.32549309575342*(10.3/7.3)</f>
        <v>3.2811751898986623</v>
      </c>
      <c r="D1710" s="1">
        <f>3.98607272838799*(10.3/7.3)</f>
        <v>5.6241848085474393</v>
      </c>
      <c r="E1710" s="1">
        <f>13.4556322130735*(10.3/7.3)</f>
        <v>18.985344081459914</v>
      </c>
      <c r="F1710" s="1">
        <f>50.4707360579899*(38.9/42.5)</f>
        <v>46.195567827195497</v>
      </c>
      <c r="G1710" s="1">
        <v>3.0317973840625214</v>
      </c>
      <c r="H1710" s="1">
        <v>9.52412851428425</v>
      </c>
      <c r="I1710" s="1">
        <v>39.203033768103168</v>
      </c>
      <c r="J1710" s="1">
        <v>3.790029595947448E-2</v>
      </c>
      <c r="K1710" s="1">
        <v>3.3566007163628968</v>
      </c>
      <c r="L1710" s="1">
        <v>6.0141764296370503</v>
      </c>
      <c r="M1710" s="1">
        <v>0.17922962553677069</v>
      </c>
      <c r="N1710" s="1">
        <v>1.9378225309729731</v>
      </c>
      <c r="O1710" s="1">
        <v>0.25377777777777782</v>
      </c>
      <c r="P1710" s="1">
        <v>0.20626563023138464</v>
      </c>
      <c r="Q1710" s="1">
        <v>4.8453382850314313</v>
      </c>
      <c r="R1710" s="2">
        <f t="shared" si="107"/>
        <v>130.69056985858288</v>
      </c>
      <c r="S1710" s="2">
        <f t="shared" si="106"/>
        <v>3.6007666425537557</v>
      </c>
      <c r="T1710" s="2">
        <f t="shared" si="108"/>
        <v>8.3850063639245711</v>
      </c>
      <c r="U1710" s="2">
        <f t="shared" si="109"/>
        <v>142.6763428650612</v>
      </c>
    </row>
    <row r="1711" spans="1:21" x14ac:dyDescent="0.25">
      <c r="A1711">
        <v>3584229</v>
      </c>
      <c r="B1711">
        <v>50</v>
      </c>
      <c r="C1711" s="1">
        <f>0.528072005662236*(10.3/7.3)</f>
        <v>0.74508789840014078</v>
      </c>
      <c r="D1711" s="1">
        <f>0.645465574182795*(10.3/7.3)</f>
        <v>0.91072539918942252</v>
      </c>
      <c r="E1711" s="1">
        <f>2.27193778361738*(10.3/7.3)</f>
        <v>3.2056108453779508</v>
      </c>
      <c r="F1711" s="1">
        <f>5.18631296821286*(38.9/42.5)</f>
        <v>4.7470017520818892</v>
      </c>
      <c r="G1711" s="1">
        <v>0.22025312366346461</v>
      </c>
      <c r="H1711" s="1">
        <v>1.2564056559327883</v>
      </c>
      <c r="I1711" s="1">
        <v>3.9860438690407882</v>
      </c>
      <c r="J1711" s="1">
        <v>1.5267047118471693E-2</v>
      </c>
      <c r="K1711" s="1">
        <v>1.9331155433914819</v>
      </c>
      <c r="L1711" s="1">
        <v>1.8945575549029414</v>
      </c>
      <c r="M1711" s="1">
        <v>9.7965912460626081E-2</v>
      </c>
      <c r="N1711" s="1">
        <v>0.70158521269703611</v>
      </c>
      <c r="O1711" s="1">
        <v>0.28065493333333336</v>
      </c>
      <c r="P1711" s="1">
        <v>0.1375457867988322</v>
      </c>
      <c r="Q1711" s="1">
        <v>0.35200270905119951</v>
      </c>
      <c r="R1711" s="2">
        <f t="shared" si="107"/>
        <v>15.423131252737644</v>
      </c>
      <c r="S1711" s="2">
        <f t="shared" si="106"/>
        <v>2.085928377308786</v>
      </c>
      <c r="T1711" s="2">
        <f t="shared" si="108"/>
        <v>2.9747636133939368</v>
      </c>
      <c r="U1711" s="2">
        <f t="shared" si="109"/>
        <v>20.483823243440366</v>
      </c>
    </row>
    <row r="1712" spans="1:21" x14ac:dyDescent="0.25">
      <c r="A1712">
        <v>3584237</v>
      </c>
      <c r="B1712">
        <v>14</v>
      </c>
      <c r="C1712" s="1">
        <f>0.732873994092734*(10.3/7.3)</f>
        <v>1.0340550875555019</v>
      </c>
      <c r="D1712" s="1">
        <f>0.890942362815389*(10.3/7.3)</f>
        <v>1.2570830598628098</v>
      </c>
      <c r="E1712" s="1">
        <f>3.1333401796267*(10.3/7.3)</f>
        <v>4.4210142260486363</v>
      </c>
      <c r="F1712" s="1">
        <f>7.32652414865958*(38.9/42.5)</f>
        <v>6.7059244560672395</v>
      </c>
      <c r="G1712" s="1">
        <v>0.31807585272101024</v>
      </c>
      <c r="H1712" s="1">
        <v>1.7706222192069139</v>
      </c>
      <c r="I1712" s="1">
        <v>5.6621712813425393</v>
      </c>
      <c r="J1712" s="1">
        <v>2.1046896807768434E-2</v>
      </c>
      <c r="K1712" s="1">
        <v>2.6115184764062467</v>
      </c>
      <c r="L1712" s="1">
        <v>2.6582280302589689</v>
      </c>
      <c r="M1712" s="1">
        <v>0.13154211988588849</v>
      </c>
      <c r="N1712" s="1">
        <v>0.87402787938475002</v>
      </c>
      <c r="O1712" s="1">
        <v>0.4277219047619048</v>
      </c>
      <c r="P1712" s="1">
        <v>0.18638166045956045</v>
      </c>
      <c r="Q1712" s="1">
        <v>0.50834040389202595</v>
      </c>
      <c r="R1712" s="2">
        <f t="shared" si="107"/>
        <v>21.677286586696674</v>
      </c>
      <c r="S1712" s="2">
        <f t="shared" si="106"/>
        <v>2.8189470336735756</v>
      </c>
      <c r="T1712" s="2">
        <f t="shared" si="108"/>
        <v>4.0915199342915116</v>
      </c>
      <c r="U1712" s="2">
        <f t="shared" si="109"/>
        <v>28.587753554661759</v>
      </c>
    </row>
    <row r="1713" spans="1:21" x14ac:dyDescent="0.25">
      <c r="A1713">
        <v>3584245</v>
      </c>
      <c r="B1713">
        <v>1</v>
      </c>
      <c r="C1713" s="1">
        <f>0.385586298127236*(10.3/7.3)</f>
        <v>0.54404642064527764</v>
      </c>
      <c r="D1713" s="1">
        <f>0.467069011533177*(10.3/7.3)</f>
        <v>0.65901518065640041</v>
      </c>
      <c r="E1713" s="1">
        <f>1.64504970030037*(10.3/7.3)</f>
        <v>2.3210975223416237</v>
      </c>
      <c r="F1713" s="1">
        <f>3.7373616512314*(38.9/42.5)</f>
        <v>3.4207851348917977</v>
      </c>
      <c r="G1713" s="1">
        <v>0.15772356333273232</v>
      </c>
      <c r="H1713" s="1">
        <v>1.0094053439486541</v>
      </c>
      <c r="I1713" s="1">
        <v>2.8779662763837233</v>
      </c>
      <c r="J1713" s="1">
        <v>1.4936077225408661E-2</v>
      </c>
      <c r="K1713" s="1">
        <v>1.8852957124863272</v>
      </c>
      <c r="L1713" s="1">
        <v>1.8764603125047747</v>
      </c>
      <c r="M1713" s="1">
        <v>9.3176702710670023E-2</v>
      </c>
      <c r="N1713" s="1">
        <v>0.62074047320530834</v>
      </c>
      <c r="O1713" s="1">
        <v>0.21733333333333332</v>
      </c>
      <c r="P1713" s="1">
        <v>0.13408633284035679</v>
      </c>
      <c r="Q1713" s="1">
        <v>0.25206962176464093</v>
      </c>
      <c r="R1713" s="2">
        <f t="shared" si="107"/>
        <v>11.24210906396485</v>
      </c>
      <c r="S1713" s="2">
        <f t="shared" si="106"/>
        <v>2.0343181225520928</v>
      </c>
      <c r="T1713" s="2">
        <f t="shared" si="108"/>
        <v>2.8077108217540863</v>
      </c>
      <c r="U1713" s="2">
        <f t="shared" si="109"/>
        <v>16.084138008271029</v>
      </c>
    </row>
    <row r="1714" spans="1:21" x14ac:dyDescent="0.25">
      <c r="A1714">
        <v>3584253</v>
      </c>
      <c r="B1714">
        <v>54</v>
      </c>
      <c r="C1714" s="1">
        <f>0.855653976355998*(10.3/7.3)</f>
        <v>1.2072925967762711</v>
      </c>
      <c r="D1714" s="1">
        <f>1.03444897762852*(10.3/7.3)</f>
        <v>1.459564995832016</v>
      </c>
      <c r="E1714" s="1">
        <f>3.63683838743245*(10.3/7.3)</f>
        <v>5.1314295055553734</v>
      </c>
      <c r="F1714" s="1">
        <f>8.6123256558085*(38.9/42.5)</f>
        <v>7.8828110120223647</v>
      </c>
      <c r="G1714" s="1">
        <v>0.37795835148293871</v>
      </c>
      <c r="H1714" s="1">
        <v>1.9689842455171467</v>
      </c>
      <c r="I1714" s="1">
        <v>6.6800100498568575</v>
      </c>
      <c r="J1714" s="1">
        <v>2.0698976550490061E-2</v>
      </c>
      <c r="K1714" s="1">
        <v>2.5699475391639544</v>
      </c>
      <c r="L1714" s="1">
        <v>2.6726195715833709</v>
      </c>
      <c r="M1714" s="1">
        <v>0.12577441737885031</v>
      </c>
      <c r="N1714" s="1">
        <v>0.82380801602042131</v>
      </c>
      <c r="O1714" s="1">
        <v>0.38210469135802466</v>
      </c>
      <c r="P1714" s="1">
        <v>0.19464661854322304</v>
      </c>
      <c r="Q1714" s="1">
        <v>0.60404302748414918</v>
      </c>
      <c r="R1714" s="2">
        <f t="shared" si="107"/>
        <v>25.312093784527114</v>
      </c>
      <c r="S1714" s="2">
        <f t="shared" si="106"/>
        <v>2.7852931342576674</v>
      </c>
      <c r="T1714" s="2">
        <f t="shared" si="108"/>
        <v>4.0043066963406675</v>
      </c>
      <c r="U1714" s="2">
        <f t="shared" si="109"/>
        <v>32.101693615125448</v>
      </c>
    </row>
    <row r="1715" spans="1:21" x14ac:dyDescent="0.25">
      <c r="A1715">
        <v>3584285</v>
      </c>
      <c r="B1715">
        <v>21</v>
      </c>
      <c r="C1715" s="1">
        <f>0.976592543906301*(10.3/7.3)</f>
        <v>1.3779319455116303</v>
      </c>
      <c r="D1715" s="1">
        <f>1.21307349461989*(10.3/7.3)</f>
        <v>1.7115968485732733</v>
      </c>
      <c r="E1715" s="1">
        <f>4.24695476559293*(10.3/7.3)</f>
        <v>5.9922786418639937</v>
      </c>
      <c r="F1715" s="1">
        <f>10.6962528206131*(38.9/42.5)</f>
        <v>9.7902172875728937</v>
      </c>
      <c r="G1715" s="1">
        <v>0.49699527619257772</v>
      </c>
      <c r="H1715" s="1">
        <v>2.4625139576190693</v>
      </c>
      <c r="I1715" s="1">
        <v>8.3131351060409351</v>
      </c>
      <c r="J1715" s="1">
        <v>2.3023219472023328E-2</v>
      </c>
      <c r="K1715" s="1">
        <v>2.9323412321589206</v>
      </c>
      <c r="L1715" s="1">
        <v>3.0528852733050358</v>
      </c>
      <c r="M1715" s="1">
        <v>0.14306399676142814</v>
      </c>
      <c r="N1715" s="1">
        <v>0.93686587619582207</v>
      </c>
      <c r="O1715" s="1">
        <v>0.42540952380952379</v>
      </c>
      <c r="P1715" s="1">
        <v>0.23750714201743955</v>
      </c>
      <c r="Q1715" s="1">
        <v>0.7942846879790062</v>
      </c>
      <c r="R1715" s="2">
        <f t="shared" si="107"/>
        <v>30.938953751353377</v>
      </c>
      <c r="S1715" s="2">
        <f t="shared" si="106"/>
        <v>3.1928715936483836</v>
      </c>
      <c r="T1715" s="2">
        <f t="shared" si="108"/>
        <v>4.5582246700718096</v>
      </c>
      <c r="U1715" s="2">
        <f t="shared" si="109"/>
        <v>38.690050015073567</v>
      </c>
    </row>
    <row r="1716" spans="1:21" x14ac:dyDescent="0.25">
      <c r="A1716">
        <v>3584557</v>
      </c>
      <c r="B1716">
        <v>9</v>
      </c>
      <c r="C1716" s="1">
        <f>1.68681005628639*(10.3/7.3)</f>
        <v>2.3800196684588832</v>
      </c>
      <c r="D1716" s="1">
        <f>2.12679150661149*(10.3/7.3)</f>
        <v>3.0008154134381368</v>
      </c>
      <c r="E1716" s="1">
        <f>7.43013096134017*(10.3/7.3)</f>
        <v>10.483609438603253</v>
      </c>
      <c r="F1716" s="1">
        <f>19.2604680160712*(38.9/42.5)</f>
        <v>17.628993078239318</v>
      </c>
      <c r="G1716" s="1">
        <v>0.91731213761429231</v>
      </c>
      <c r="H1716" s="1">
        <v>4.737804191563769</v>
      </c>
      <c r="I1716" s="1">
        <v>14.977041768050592</v>
      </c>
      <c r="J1716" s="1">
        <v>3.7367538154401504E-2</v>
      </c>
      <c r="K1716" s="1">
        <v>3.4348258481266889</v>
      </c>
      <c r="L1716" s="1">
        <v>7.2906109349680639</v>
      </c>
      <c r="M1716" s="1">
        <v>0.15814686138290771</v>
      </c>
      <c r="N1716" s="1">
        <v>1.7384639844965015</v>
      </c>
      <c r="O1716" s="1">
        <v>0.26318814814814817</v>
      </c>
      <c r="P1716" s="1">
        <v>0.23817673977891085</v>
      </c>
      <c r="Q1716" s="1">
        <v>1.4660239642237565</v>
      </c>
      <c r="R1716" s="2">
        <f t="shared" si="107"/>
        <v>55.591619660191995</v>
      </c>
      <c r="S1716" s="2">
        <f t="shared" si="106"/>
        <v>3.7103701260600013</v>
      </c>
      <c r="T1716" s="2">
        <f t="shared" si="108"/>
        <v>9.4504099289956205</v>
      </c>
      <c r="U1716" s="2">
        <f t="shared" si="109"/>
        <v>68.75239971524762</v>
      </c>
    </row>
    <row r="1717" spans="1:21" x14ac:dyDescent="0.25">
      <c r="A1717">
        <v>3584581</v>
      </c>
      <c r="B1717">
        <v>3</v>
      </c>
      <c r="C1717" s="1">
        <f>1.74119901523214*(10.3/7.3)</f>
        <v>2.456760254368632</v>
      </c>
      <c r="D1717" s="1">
        <f>2.13790822512319*(10.3/7.3)</f>
        <v>3.0165006464066932</v>
      </c>
      <c r="E1717" s="1">
        <f>7.50580126696494*(10.3/7.3)</f>
        <v>10.590377130101224</v>
      </c>
      <c r="F1717" s="1">
        <f>18.0343612600571*(38.9/42.5)</f>
        <v>16.506744776852251</v>
      </c>
      <c r="G1717" s="1">
        <v>0.80385369829172149</v>
      </c>
      <c r="H1717" s="1">
        <v>6.4326496960454991</v>
      </c>
      <c r="I1717" s="1">
        <v>13.958079132524562</v>
      </c>
      <c r="J1717" s="1">
        <v>3.3119619726341781E-2</v>
      </c>
      <c r="K1717" s="1">
        <v>3.0810872479110554</v>
      </c>
      <c r="L1717" s="1">
        <v>7.9327509893089969</v>
      </c>
      <c r="M1717" s="1">
        <v>0.15701311999202452</v>
      </c>
      <c r="N1717" s="1">
        <v>1.6321971254296974</v>
      </c>
      <c r="O1717" s="1">
        <v>0.24076444444444445</v>
      </c>
      <c r="P1717" s="1">
        <v>0.20598066765168496</v>
      </c>
      <c r="Q1717" s="1">
        <v>1.2846976913338028</v>
      </c>
      <c r="R1717" s="2">
        <f t="shared" si="107"/>
        <v>55.049663025924389</v>
      </c>
      <c r="S1717" s="2">
        <f t="shared" si="106"/>
        <v>3.3201875352890822</v>
      </c>
      <c r="T1717" s="2">
        <f t="shared" si="108"/>
        <v>9.9627256791751648</v>
      </c>
      <c r="U1717" s="2">
        <f t="shared" si="109"/>
        <v>68.332576240388633</v>
      </c>
    </row>
    <row r="1718" spans="1:21" x14ac:dyDescent="0.25">
      <c r="A1718">
        <v>3584605</v>
      </c>
      <c r="B1718">
        <v>1</v>
      </c>
      <c r="C1718" s="1">
        <f>2.46383311663576*(10.3/7.3)</f>
        <v>3.476367274157306</v>
      </c>
      <c r="D1718" s="1">
        <f>3.82403178112085*(10.3/7.3)</f>
        <v>5.3955516911705166</v>
      </c>
      <c r="E1718" s="1">
        <f>13.0591574197419*(10.3/7.3)</f>
        <v>18.425934441553675</v>
      </c>
      <c r="F1718" s="1">
        <f>43.4664156213963*(38.9/42.5)</f>
        <v>39.784554533466256</v>
      </c>
      <c r="G1718" s="1">
        <v>2.4613459475189656</v>
      </c>
      <c r="H1718" s="1">
        <v>10.12764429951811</v>
      </c>
      <c r="I1718" s="1">
        <v>33.651673794428689</v>
      </c>
      <c r="J1718" s="1">
        <v>3.9470281349645274E-2</v>
      </c>
      <c r="K1718" s="1">
        <v>3.4674208455240185</v>
      </c>
      <c r="L1718" s="1">
        <v>6.4318784714266544</v>
      </c>
      <c r="M1718" s="1">
        <v>0.18714765381022488</v>
      </c>
      <c r="N1718" s="1">
        <v>1.9930631952434321</v>
      </c>
      <c r="O1718" s="1">
        <v>0.26149333333333336</v>
      </c>
      <c r="P1718" s="1">
        <v>0.21141427276889641</v>
      </c>
      <c r="Q1718" s="1">
        <v>3.9336579069937851</v>
      </c>
      <c r="R1718" s="2">
        <f t="shared" si="107"/>
        <v>117.2567298888073</v>
      </c>
      <c r="S1718" s="2">
        <f t="shared" si="106"/>
        <v>3.7183053996425603</v>
      </c>
      <c r="T1718" s="2">
        <f t="shared" si="108"/>
        <v>8.8735826538136457</v>
      </c>
      <c r="U1718" s="2">
        <f t="shared" si="109"/>
        <v>129.8486179422635</v>
      </c>
    </row>
    <row r="1719" spans="1:21" x14ac:dyDescent="0.25">
      <c r="A1719">
        <v>3584669</v>
      </c>
      <c r="B1719">
        <v>1</v>
      </c>
      <c r="C1719" s="1">
        <f>2.59805745551488*(10.3/7.3)</f>
        <v>3.6657523002470267</v>
      </c>
      <c r="D1719" s="1">
        <f>3.74478331100981*(10.3/7.3)</f>
        <v>5.2837353566302792</v>
      </c>
      <c r="E1719" s="1">
        <f>13.0071234821872*(10.3/7.3)</f>
        <v>18.352516694044937</v>
      </c>
      <c r="F1719" s="1">
        <f>33.8340825298509*(38.9/42.5)</f>
        <v>30.968136715557677</v>
      </c>
      <c r="G1719" s="1">
        <v>1.642685547363355</v>
      </c>
      <c r="H1719" s="1">
        <v>7.2589848528221008</v>
      </c>
      <c r="I1719" s="1">
        <v>25.481077684199015</v>
      </c>
      <c r="J1719" s="1">
        <v>3.8867746416120265E-2</v>
      </c>
      <c r="K1719" s="1">
        <v>3.2786975584515359</v>
      </c>
      <c r="L1719" s="1">
        <v>5.8367166646343458</v>
      </c>
      <c r="M1719" s="1">
        <v>0.1684346955426288</v>
      </c>
      <c r="N1719" s="1">
        <v>2.2156768779761311</v>
      </c>
      <c r="O1719" s="1">
        <v>0.21205333333333334</v>
      </c>
      <c r="P1719" s="1">
        <v>0.17557783022511028</v>
      </c>
      <c r="Q1719" s="1">
        <v>2.6252965368820771</v>
      </c>
      <c r="R1719" s="2">
        <f t="shared" si="107"/>
        <v>95.278185687746458</v>
      </c>
      <c r="S1719" s="2">
        <f t="shared" si="106"/>
        <v>3.4931431350927662</v>
      </c>
      <c r="T1719" s="2">
        <f t="shared" si="108"/>
        <v>8.4328815714864387</v>
      </c>
      <c r="U1719" s="2">
        <f t="shared" si="109"/>
        <v>107.20421039432566</v>
      </c>
    </row>
    <row r="1720" spans="1:21" x14ac:dyDescent="0.25">
      <c r="A1720">
        <v>3596457</v>
      </c>
      <c r="B1720">
        <v>20</v>
      </c>
      <c r="C1720" s="1">
        <f>0.569435804669991*(10.3/7.3)</f>
        <v>0.80345051891793251</v>
      </c>
      <c r="D1720" s="1">
        <f>0.702483476704999*(10.3/7.3)</f>
        <v>0.99117531644677881</v>
      </c>
      <c r="E1720" s="1">
        <f>2.47122094615203*(10.3/7.3)</f>
        <v>3.4867911979953257</v>
      </c>
      <c r="F1720" s="1">
        <f>5.65966832119369*(38.9/42.5)</f>
        <v>5.1802611222219879</v>
      </c>
      <c r="G1720" s="1">
        <v>0.24150481804590512</v>
      </c>
      <c r="H1720" s="1">
        <v>1.339586702628963</v>
      </c>
      <c r="I1720" s="1">
        <v>4.3402627336665152</v>
      </c>
      <c r="J1720" s="1">
        <v>1.5443988715147697E-2</v>
      </c>
      <c r="K1720" s="1">
        <v>2.0000521508677749</v>
      </c>
      <c r="L1720" s="1">
        <v>1.9209896275495244</v>
      </c>
      <c r="M1720" s="1">
        <v>9.84100591176756E-2</v>
      </c>
      <c r="N1720" s="1">
        <v>0.65147035210490889</v>
      </c>
      <c r="O1720" s="1">
        <v>0.287024</v>
      </c>
      <c r="P1720" s="1">
        <v>0.14834437759812952</v>
      </c>
      <c r="Q1720" s="1">
        <v>0.38596660418295381</v>
      </c>
      <c r="R1720" s="2">
        <f t="shared" si="107"/>
        <v>16.768999014106363</v>
      </c>
      <c r="S1720" s="2">
        <f t="shared" si="106"/>
        <v>2.1638405171810522</v>
      </c>
      <c r="T1720" s="2">
        <f t="shared" si="108"/>
        <v>2.9578940387721091</v>
      </c>
      <c r="U1720" s="2">
        <f t="shared" si="109"/>
        <v>21.890733570059524</v>
      </c>
    </row>
    <row r="1721" spans="1:21" x14ac:dyDescent="0.25">
      <c r="A1721">
        <v>3596465</v>
      </c>
      <c r="B1721">
        <v>66</v>
      </c>
      <c r="C1721" s="1">
        <f>0.786952193471499*(10.3/7.3)</f>
        <v>1.1103572044871839</v>
      </c>
      <c r="D1721" s="1">
        <f>0.959895873315533*(10.3/7.3)</f>
        <v>1.3543736294726016</v>
      </c>
      <c r="E1721" s="1">
        <f>3.37594807030716*(10.3/7.3)</f>
        <v>4.763323989611477</v>
      </c>
      <c r="F1721" s="1">
        <f>7.86180773810895*(38.9/42.5)</f>
        <v>7.1958663767632514</v>
      </c>
      <c r="G1721" s="1">
        <v>0.34020787283244935</v>
      </c>
      <c r="H1721" s="1">
        <v>1.9380297590456312</v>
      </c>
      <c r="I1721" s="1">
        <v>6.0659237164212341</v>
      </c>
      <c r="J1721" s="1">
        <v>2.0254868844115873E-2</v>
      </c>
      <c r="K1721" s="1">
        <v>2.5562946166077536</v>
      </c>
      <c r="L1721" s="1">
        <v>2.5261921872624642</v>
      </c>
      <c r="M1721" s="1">
        <v>0.12826487175261994</v>
      </c>
      <c r="N1721" s="1">
        <v>0.91544984356392289</v>
      </c>
      <c r="O1721" s="1">
        <v>0.42111191919191915</v>
      </c>
      <c r="P1721" s="1">
        <v>0.1856190460059581</v>
      </c>
      <c r="Q1721" s="1">
        <v>0.54371121228930319</v>
      </c>
      <c r="R1721" s="2">
        <f t="shared" si="107"/>
        <v>23.311793760923134</v>
      </c>
      <c r="S1721" s="2">
        <f t="shared" si="106"/>
        <v>2.7621685314578275</v>
      </c>
      <c r="T1721" s="2">
        <f t="shared" si="108"/>
        <v>3.9910188217709264</v>
      </c>
      <c r="U1721" s="2">
        <f t="shared" si="109"/>
        <v>30.064981114151887</v>
      </c>
    </row>
    <row r="1722" spans="1:21" x14ac:dyDescent="0.25">
      <c r="A1722">
        <v>3596473</v>
      </c>
      <c r="B1722">
        <v>2</v>
      </c>
      <c r="C1722" s="1">
        <f>0.309691794348551*(10.3/7.3)</f>
        <v>0.4369623947657636</v>
      </c>
      <c r="D1722" s="1">
        <f>0.378392704986732*(10.3/7.3)</f>
        <v>0.53389655635114253</v>
      </c>
      <c r="E1722" s="1">
        <f>1.33333192896707*(10.3/7.3)</f>
        <v>1.8812765573097019</v>
      </c>
      <c r="F1722" s="1">
        <f>2.97135254884866*(38.9/42.5)</f>
        <v>2.7196615094167766</v>
      </c>
      <c r="G1722" s="1">
        <v>0.12317459231699096</v>
      </c>
      <c r="H1722" s="1">
        <v>0.80214973755387209</v>
      </c>
      <c r="I1722" s="1">
        <v>2.2747030501039665</v>
      </c>
      <c r="J1722" s="1">
        <v>1.2513207880036972E-2</v>
      </c>
      <c r="K1722" s="1">
        <v>1.5026295333377773</v>
      </c>
      <c r="L1722" s="1">
        <v>1.5126656222252239</v>
      </c>
      <c r="M1722" s="1">
        <v>7.7562586464578115E-2</v>
      </c>
      <c r="N1722" s="1">
        <v>0.54807374903166717</v>
      </c>
      <c r="O1722" s="1">
        <v>0.17181333333333332</v>
      </c>
      <c r="P1722" s="1">
        <v>0.10583422178525037</v>
      </c>
      <c r="Q1722" s="1">
        <v>0.19685437128286246</v>
      </c>
      <c r="R1722" s="2">
        <f t="shared" si="107"/>
        <v>8.9686787691010768</v>
      </c>
      <c r="S1722" s="2">
        <f t="shared" si="106"/>
        <v>1.6209769630030646</v>
      </c>
      <c r="T1722" s="2">
        <f t="shared" si="108"/>
        <v>2.3101152910548026</v>
      </c>
      <c r="U1722" s="2">
        <f t="shared" si="109"/>
        <v>12.899771023158944</v>
      </c>
    </row>
    <row r="1723" spans="1:21" x14ac:dyDescent="0.25">
      <c r="A1723">
        <v>3596481</v>
      </c>
      <c r="B1723">
        <v>26</v>
      </c>
      <c r="C1723" s="1">
        <f>1.12414185919095*(10.3/7.3)</f>
        <v>1.5861179657077766</v>
      </c>
      <c r="D1723" s="1">
        <f>1.35654505353922*(10.3/7.3)</f>
        <v>1.914029322116984</v>
      </c>
      <c r="E1723" s="1">
        <f>4.76704190620678*(10.3/7.3)</f>
        <v>6.726100223826001</v>
      </c>
      <c r="F1723" s="1">
        <f>11.4212365470288*(38.9/42.5)</f>
        <v>10.453790627751108</v>
      </c>
      <c r="G1723" s="1">
        <v>0.50639498116491144</v>
      </c>
      <c r="H1723" s="1">
        <v>2.4741864738714301</v>
      </c>
      <c r="I1723" s="1">
        <v>8.8793950797116583</v>
      </c>
      <c r="J1723" s="1">
        <v>2.7009623916140004E-2</v>
      </c>
      <c r="K1723" s="1">
        <v>3.1639020153825417</v>
      </c>
      <c r="L1723" s="1">
        <v>3.5390271317570621</v>
      </c>
      <c r="M1723" s="1">
        <v>0.16438162906940029</v>
      </c>
      <c r="N1723" s="1">
        <v>1.0344087627732503</v>
      </c>
      <c r="O1723" s="1">
        <v>0.55782564102564092</v>
      </c>
      <c r="P1723" s="1">
        <v>0.22832675923278675</v>
      </c>
      <c r="Q1723" s="1">
        <v>0.80930704752383176</v>
      </c>
      <c r="R1723" s="2">
        <f t="shared" si="107"/>
        <v>33.349321721673704</v>
      </c>
      <c r="S1723" s="2">
        <f t="shared" si="106"/>
        <v>3.4192383985314687</v>
      </c>
      <c r="T1723" s="2">
        <f t="shared" si="108"/>
        <v>5.2956431646253534</v>
      </c>
      <c r="U1723" s="2">
        <f t="shared" si="109"/>
        <v>42.064203284830526</v>
      </c>
    </row>
    <row r="1724" spans="1:21" x14ac:dyDescent="0.25">
      <c r="A1724">
        <v>3596513</v>
      </c>
      <c r="B1724">
        <v>56</v>
      </c>
      <c r="C1724" s="1">
        <f>0.837070686918775*(10.3/7.3)</f>
        <v>1.1810723390771751</v>
      </c>
      <c r="D1724" s="1">
        <f>1.03231148236374*(10.3/7.3)</f>
        <v>1.4565490778556849</v>
      </c>
      <c r="E1724" s="1">
        <f>3.61948963633774*(10.3/7.3)</f>
        <v>5.1069511307231172</v>
      </c>
      <c r="F1724" s="1">
        <f>8.90198598788344*(38.9/42.5)</f>
        <v>8.1479354100862498</v>
      </c>
      <c r="G1724" s="1">
        <v>0.40515719326368133</v>
      </c>
      <c r="H1724" s="1">
        <v>2.0926385995524073</v>
      </c>
      <c r="I1724" s="1">
        <v>6.906710052509065</v>
      </c>
      <c r="J1724" s="1">
        <v>2.2225295108344503E-2</v>
      </c>
      <c r="K1724" s="1">
        <v>2.7379167975223657</v>
      </c>
      <c r="L1724" s="1">
        <v>2.8771604914276159</v>
      </c>
      <c r="M1724" s="1">
        <v>0.1378167111922278</v>
      </c>
      <c r="N1724" s="1">
        <v>0.89367195550371714</v>
      </c>
      <c r="O1724" s="1">
        <v>0.40384380952380955</v>
      </c>
      <c r="P1724" s="1">
        <v>0.21583226048439808</v>
      </c>
      <c r="Q1724" s="1">
        <v>0.64751149608350966</v>
      </c>
      <c r="R1724" s="2">
        <f t="shared" si="107"/>
        <v>25.944525299150893</v>
      </c>
      <c r="S1724" s="2">
        <f t="shared" si="106"/>
        <v>2.9759743531151086</v>
      </c>
      <c r="T1724" s="2">
        <f t="shared" si="108"/>
        <v>4.3124929676473709</v>
      </c>
      <c r="U1724" s="2">
        <f t="shared" si="109"/>
        <v>33.232992619913375</v>
      </c>
    </row>
    <row r="1725" spans="1:21" x14ac:dyDescent="0.25">
      <c r="A1725">
        <v>3596793</v>
      </c>
      <c r="B1725">
        <v>19</v>
      </c>
      <c r="C1725" s="1">
        <f>1.56547546511854*(10.3/7.3)</f>
        <v>2.2088215466740984</v>
      </c>
      <c r="D1725" s="1">
        <f>1.91547634716634*(10.3/7.3)</f>
        <v>2.7026584076456528</v>
      </c>
      <c r="E1725" s="1">
        <f>6.72137034317485*(10.3/7.3)</f>
        <v>9.4835773335206746</v>
      </c>
      <c r="F1725" s="1">
        <f>16.3830307904779*(38.9/42.5)</f>
        <v>14.995291711755058</v>
      </c>
      <c r="G1725" s="1">
        <v>0.7390588481062661</v>
      </c>
      <c r="H1725" s="1">
        <v>4.1019743918550962</v>
      </c>
      <c r="I1725" s="1">
        <v>12.72088993822168</v>
      </c>
      <c r="J1725" s="1">
        <v>3.6161922378096172E-2</v>
      </c>
      <c r="K1725" s="1">
        <v>3.3576770181959477</v>
      </c>
      <c r="L1725" s="1">
        <v>7.2022181344882696</v>
      </c>
      <c r="M1725" s="1">
        <v>0.15509221933559533</v>
      </c>
      <c r="N1725" s="1">
        <v>1.6919722935912211</v>
      </c>
      <c r="O1725" s="1">
        <v>0.2547845614035088</v>
      </c>
      <c r="P1725" s="1">
        <v>0.23410651131773447</v>
      </c>
      <c r="Q1725" s="1">
        <v>1.1811442777954038</v>
      </c>
      <c r="R1725" s="2">
        <f t="shared" si="107"/>
        <v>48.133416455573929</v>
      </c>
      <c r="S1725" s="2">
        <f t="shared" si="106"/>
        <v>3.6279454518917782</v>
      </c>
      <c r="T1725" s="2">
        <f t="shared" si="108"/>
        <v>9.3040672088185961</v>
      </c>
      <c r="U1725" s="2">
        <f t="shared" si="109"/>
        <v>61.065429116284299</v>
      </c>
    </row>
    <row r="1726" spans="1:21" x14ac:dyDescent="0.25">
      <c r="A1726">
        <v>3596809</v>
      </c>
      <c r="B1726">
        <v>5</v>
      </c>
      <c r="C1726" s="1">
        <f>1.77000878925466*(10.3/7.3)</f>
        <v>2.4974096615510941</v>
      </c>
      <c r="D1726" s="1">
        <f>2.17226897276757*(10.3/7.3)</f>
        <v>3.0649822492473935</v>
      </c>
      <c r="E1726" s="1">
        <f>7.62536310606512*(10.3/7.3)</f>
        <v>10.759073971571329</v>
      </c>
      <c r="F1726" s="1">
        <f>18.384495837013*(38.9/42.5)</f>
        <v>16.827220895524881</v>
      </c>
      <c r="G1726" s="1">
        <v>0.82187924838689097</v>
      </c>
      <c r="H1726" s="1">
        <v>6.8935162956786273</v>
      </c>
      <c r="I1726" s="1">
        <v>14.238641538924156</v>
      </c>
      <c r="J1726" s="1">
        <v>3.3176761536938992E-2</v>
      </c>
      <c r="K1726" s="1">
        <v>3.0685793644198451</v>
      </c>
      <c r="L1726" s="1">
        <v>8.1596169667883593</v>
      </c>
      <c r="M1726" s="1">
        <v>0.15665065678813134</v>
      </c>
      <c r="N1726" s="1">
        <v>1.6135457177972703</v>
      </c>
      <c r="O1726" s="1">
        <v>0.23928533333333335</v>
      </c>
      <c r="P1726" s="1">
        <v>0.20505683498033117</v>
      </c>
      <c r="Q1726" s="1">
        <v>1.3135056481069047</v>
      </c>
      <c r="R1726" s="2">
        <f t="shared" si="107"/>
        <v>56.416229508991279</v>
      </c>
      <c r="S1726" s="2">
        <f t="shared" si="106"/>
        <v>3.3068129609371151</v>
      </c>
      <c r="T1726" s="2">
        <f t="shared" si="108"/>
        <v>10.169098674707094</v>
      </c>
      <c r="U1726" s="2">
        <f t="shared" si="109"/>
        <v>69.892141144635488</v>
      </c>
    </row>
    <row r="1727" spans="1:21" x14ac:dyDescent="0.25">
      <c r="A1727">
        <v>3596817</v>
      </c>
      <c r="B1727">
        <v>3</v>
      </c>
      <c r="C1727" s="1">
        <f>1.58679455814369*(10.3/7.3)</f>
        <v>2.2389019108054815</v>
      </c>
      <c r="D1727" s="1">
        <f>1.95628650203483*(10.3/7.3)</f>
        <v>2.7602398590354453</v>
      </c>
      <c r="E1727" s="1">
        <f>6.86662860417692*(10.3/7.3)</f>
        <v>9.6885307702770191</v>
      </c>
      <c r="F1727" s="1">
        <f>16.5113089507704*(38.9/42.5)</f>
        <v>15.112703957293361</v>
      </c>
      <c r="G1727" s="1">
        <v>0.73693742006143992</v>
      </c>
      <c r="H1727" s="1">
        <v>4.4060011408074908</v>
      </c>
      <c r="I1727" s="1">
        <v>12.766172157394314</v>
      </c>
      <c r="J1727" s="1">
        <v>3.0604814299563698E-2</v>
      </c>
      <c r="K1727" s="1">
        <v>2.8306801079760007</v>
      </c>
      <c r="L1727" s="1">
        <v>9.5086017758655412</v>
      </c>
      <c r="M1727" s="1">
        <v>0.14737891511285592</v>
      </c>
      <c r="N1727" s="1">
        <v>1.4973983574229723</v>
      </c>
      <c r="O1727" s="1">
        <v>0.21951999999999997</v>
      </c>
      <c r="P1727" s="1">
        <v>0.18911373375303822</v>
      </c>
      <c r="Q1727" s="1">
        <v>1.1777538676781014</v>
      </c>
      <c r="R1727" s="2">
        <f t="shared" si="107"/>
        <v>48.887241083352656</v>
      </c>
      <c r="S1727" s="2">
        <f t="shared" si="106"/>
        <v>3.0503986560286025</v>
      </c>
      <c r="T1727" s="2">
        <f t="shared" si="108"/>
        <v>11.372899048401369</v>
      </c>
      <c r="U1727" s="2">
        <f t="shared" si="109"/>
        <v>63.310538787782633</v>
      </c>
    </row>
    <row r="1728" spans="1:21" x14ac:dyDescent="0.25">
      <c r="A1728">
        <v>3596905</v>
      </c>
      <c r="B1728">
        <v>1</v>
      </c>
      <c r="C1728" s="1">
        <f>2.42758856222033*(10.3/7.3)</f>
        <v>3.4252276973793698</v>
      </c>
      <c r="D1728" s="1">
        <f>3.58070838440007*(10.3/7.3)</f>
        <v>5.0522323779891405</v>
      </c>
      <c r="E1728" s="1">
        <f>12.3875596975635*(10.3/7.3)</f>
        <v>17.478337655466369</v>
      </c>
      <c r="F1728" s="1">
        <f>34.1891512441759*(38.9/42.5)</f>
        <v>31.293129021139801</v>
      </c>
      <c r="G1728" s="1">
        <v>1.7338862472496288</v>
      </c>
      <c r="H1728" s="1">
        <v>10.167953331555992</v>
      </c>
      <c r="I1728" s="1">
        <v>25.898493035613154</v>
      </c>
      <c r="J1728" s="1">
        <v>3.6169068826529378E-2</v>
      </c>
      <c r="K1728" s="1">
        <v>3.082208466486271</v>
      </c>
      <c r="L1728" s="1">
        <v>5.3420211088928173</v>
      </c>
      <c r="M1728" s="1">
        <v>0.16045683336816385</v>
      </c>
      <c r="N1728" s="1">
        <v>2.0251802204457725</v>
      </c>
      <c r="O1728" s="1">
        <v>0.20058666666666666</v>
      </c>
      <c r="P1728" s="1">
        <v>0.16750827407217966</v>
      </c>
      <c r="Q1728" s="1">
        <v>2.7710510800793182</v>
      </c>
      <c r="R1728" s="2">
        <f t="shared" si="107"/>
        <v>97.820310446472774</v>
      </c>
      <c r="S1728" s="2">
        <f t="shared" si="106"/>
        <v>3.2858858093849803</v>
      </c>
      <c r="T1728" s="2">
        <f t="shared" si="108"/>
        <v>7.7282448293734198</v>
      </c>
      <c r="U1728" s="2">
        <f t="shared" si="109"/>
        <v>108.83444108523118</v>
      </c>
    </row>
    <row r="1729" spans="1:21" x14ac:dyDescent="0.25">
      <c r="A1729">
        <v>3597009</v>
      </c>
      <c r="B1729">
        <v>11</v>
      </c>
      <c r="C1729" s="1">
        <f>5.43378649462905*(10.3/7.3)</f>
        <v>7.6668494376272953</v>
      </c>
      <c r="D1729" s="1">
        <f>5.95899166642528*(10.3/7.3)</f>
        <v>8.4078923512575905</v>
      </c>
      <c r="E1729" s="1">
        <f>21.2059163706589*(10.3/7.3)</f>
        <v>29.92067652298449</v>
      </c>
      <c r="F1729" s="1">
        <f>42.2948889078027*(38.9/42.5)</f>
        <v>38.712263023847669</v>
      </c>
      <c r="G1729" s="1">
        <v>1.5017390111754771</v>
      </c>
      <c r="H1729" s="1">
        <v>8.0498969208381386</v>
      </c>
      <c r="I1729" s="1">
        <v>32.987166382120982</v>
      </c>
      <c r="J1729" s="1">
        <v>3.8132514928733152E-2</v>
      </c>
      <c r="K1729" s="1">
        <v>3.4966451994803478</v>
      </c>
      <c r="L1729" s="1">
        <v>9.7117044390530349</v>
      </c>
      <c r="M1729" s="1">
        <v>0.1529780715244895</v>
      </c>
      <c r="N1729" s="1">
        <v>2.022926957895729</v>
      </c>
      <c r="O1729" s="1">
        <v>0.1565090909090909</v>
      </c>
      <c r="P1729" s="1">
        <v>0.12591542911155557</v>
      </c>
      <c r="Q1729" s="1">
        <v>2.4000395155772494</v>
      </c>
      <c r="R1729" s="2">
        <f t="shared" si="107"/>
        <v>129.64652316542887</v>
      </c>
      <c r="S1729" s="2">
        <f t="shared" si="106"/>
        <v>3.6606931435206365</v>
      </c>
      <c r="T1729" s="2">
        <f t="shared" si="108"/>
        <v>12.044118559382344</v>
      </c>
      <c r="U1729" s="2">
        <f t="shared" si="109"/>
        <v>145.35133486833186</v>
      </c>
    </row>
    <row r="1730" spans="1:21" x14ac:dyDescent="0.25">
      <c r="A1730">
        <v>3608693</v>
      </c>
      <c r="B1730">
        <v>37</v>
      </c>
      <c r="C1730" s="1">
        <f>0.699282001598097*(10.3/7.3)</f>
        <v>0.9866581666384111</v>
      </c>
      <c r="D1730" s="1">
        <f>0.863248642152088*(10.3/7.3)</f>
        <v>1.218008358105001</v>
      </c>
      <c r="E1730" s="1">
        <f>3.03476062779322*(10.3/7.3)</f>
        <v>4.2819225296260468</v>
      </c>
      <c r="F1730" s="1">
        <f>7.04737957178227*(38.9/42.5)</f>
        <v>6.4504250668783598</v>
      </c>
      <c r="G1730" s="1">
        <v>0.30476693023681134</v>
      </c>
      <c r="H1730" s="1">
        <v>1.8441382157331478</v>
      </c>
      <c r="I1730" s="1">
        <v>5.4159792857085591</v>
      </c>
      <c r="J1730" s="1">
        <v>1.7676269403110709E-2</v>
      </c>
      <c r="K1730" s="1">
        <v>2.2732989266214667</v>
      </c>
      <c r="L1730" s="1">
        <v>2.1602171029604906</v>
      </c>
      <c r="M1730" s="1">
        <v>0.11233130054570908</v>
      </c>
      <c r="N1730" s="1">
        <v>0.75112926768740218</v>
      </c>
      <c r="O1730" s="1">
        <v>0.35939747747747752</v>
      </c>
      <c r="P1730" s="1">
        <v>0.17051681330383248</v>
      </c>
      <c r="Q1730" s="1">
        <v>0.48707043645152559</v>
      </c>
      <c r="R1730" s="2">
        <f t="shared" si="107"/>
        <v>20.988968989377859</v>
      </c>
      <c r="S1730" s="2">
        <f t="shared" si="106"/>
        <v>2.4614920093284098</v>
      </c>
      <c r="T1730" s="2">
        <f t="shared" si="108"/>
        <v>3.3830751486710793</v>
      </c>
      <c r="U1730" s="2">
        <f t="shared" si="109"/>
        <v>26.833536147377348</v>
      </c>
    </row>
    <row r="1731" spans="1:21" x14ac:dyDescent="0.25">
      <c r="A1731">
        <v>3608701</v>
      </c>
      <c r="B1731">
        <v>17</v>
      </c>
      <c r="C1731" s="1">
        <f>0.642355654375401*(10.3/7.3)</f>
        <v>0.90633743014611445</v>
      </c>
      <c r="D1731" s="1">
        <f>0.787610589742282*(10.3/7.3)</f>
        <v>1.1112861745678768</v>
      </c>
      <c r="E1731" s="1">
        <f>2.76943103449916*(10.3/7.3)</f>
        <v>3.9075533774440205</v>
      </c>
      <c r="F1731" s="1">
        <f>6.44564856733833*(38.9/42.5)</f>
        <v>5.8996642181049657</v>
      </c>
      <c r="G1731" s="1">
        <v>0.27901733844791643</v>
      </c>
      <c r="H1731" s="1">
        <v>1.7741901895497629</v>
      </c>
      <c r="I1731" s="1">
        <v>4.9652169672392077</v>
      </c>
      <c r="J1731" s="1">
        <v>1.7651727630028421E-2</v>
      </c>
      <c r="K1731" s="1">
        <v>2.1997793467939895</v>
      </c>
      <c r="L1731" s="1">
        <v>2.116402642333155</v>
      </c>
      <c r="M1731" s="1">
        <v>0.11021360144558956</v>
      </c>
      <c r="N1731" s="1">
        <v>1.1098450720759403</v>
      </c>
      <c r="O1731" s="1">
        <v>0.34989490196078432</v>
      </c>
      <c r="P1731" s="1">
        <v>0.16444715085677525</v>
      </c>
      <c r="Q1731" s="1">
        <v>0.4459181208071728</v>
      </c>
      <c r="R1731" s="2">
        <f t="shared" si="107"/>
        <v>19.289183816307037</v>
      </c>
      <c r="S1731" s="2">
        <f t="shared" si="106"/>
        <v>2.3818782252807931</v>
      </c>
      <c r="T1731" s="2">
        <f t="shared" si="108"/>
        <v>3.6863562178154692</v>
      </c>
      <c r="U1731" s="2">
        <f t="shared" si="109"/>
        <v>25.3574182594033</v>
      </c>
    </row>
    <row r="1732" spans="1:21" x14ac:dyDescent="0.25">
      <c r="A1732">
        <v>3608717</v>
      </c>
      <c r="B1732">
        <v>4</v>
      </c>
      <c r="C1732" s="1">
        <f>0.385675913783757*(10.3/7.3)</f>
        <v>0.54417286465379455</v>
      </c>
      <c r="D1732" s="1">
        <f>0.470645925556467*(10.3/7.3)</f>
        <v>0.66406205934679574</v>
      </c>
      <c r="E1732" s="1">
        <f>1.6566985282193*(10.3/7.3)</f>
        <v>2.3375335398162664</v>
      </c>
      <c r="F1732" s="1">
        <f>3.7831846608421*(38.9/42.5)</f>
        <v>3.462726666041362</v>
      </c>
      <c r="G1732" s="1">
        <v>0.1606741742114059</v>
      </c>
      <c r="H1732" s="1">
        <v>0.98144095297237266</v>
      </c>
      <c r="I1732" s="1">
        <v>2.909231670047677</v>
      </c>
      <c r="J1732" s="1">
        <v>1.4541459275987352E-2</v>
      </c>
      <c r="K1732" s="1">
        <v>1.7858750420170306</v>
      </c>
      <c r="L1732" s="1">
        <v>1.7909408253496244</v>
      </c>
      <c r="M1732" s="1">
        <v>8.7995272655047752E-2</v>
      </c>
      <c r="N1732" s="1">
        <v>0.60871474567332839</v>
      </c>
      <c r="O1732" s="1">
        <v>0.2034933333333333</v>
      </c>
      <c r="P1732" s="1">
        <v>0.13299315925271032</v>
      </c>
      <c r="Q1732" s="1">
        <v>0.25678520992690468</v>
      </c>
      <c r="R1732" s="2">
        <f t="shared" si="107"/>
        <v>11.31662713701658</v>
      </c>
      <c r="S1732" s="2">
        <f t="shared" si="106"/>
        <v>1.9334096605457283</v>
      </c>
      <c r="T1732" s="2">
        <f t="shared" si="108"/>
        <v>2.691144177011334</v>
      </c>
      <c r="U1732" s="2">
        <f t="shared" si="109"/>
        <v>15.941180974573641</v>
      </c>
    </row>
    <row r="1733" spans="1:21" x14ac:dyDescent="0.25">
      <c r="A1733">
        <v>3608741</v>
      </c>
      <c r="B1733">
        <v>34</v>
      </c>
      <c r="C1733" s="1">
        <f>0.383532752429425*(10.3/7.3)</f>
        <v>0.54114895205795632</v>
      </c>
      <c r="D1733" s="1">
        <f>0.46965212977968*(10.3/7.3)</f>
        <v>0.66265985434667118</v>
      </c>
      <c r="E1733" s="1">
        <f>1.65227941200644*(10.3/7.3)</f>
        <v>2.3312983484474405</v>
      </c>
      <c r="F1733" s="1">
        <f>3.80646261782023*(38.9/42.5)</f>
        <v>3.4840328431342771</v>
      </c>
      <c r="G1733" s="1">
        <v>0.16314511358894748</v>
      </c>
      <c r="H1733" s="1">
        <v>1.0316741082166414</v>
      </c>
      <c r="I1733" s="1">
        <v>2.9283851559745626</v>
      </c>
      <c r="J1733" s="1">
        <v>1.5105306175255366E-2</v>
      </c>
      <c r="K1733" s="1">
        <v>1.8704571581822758</v>
      </c>
      <c r="L1733" s="1">
        <v>1.8648022237170212</v>
      </c>
      <c r="M1733" s="1">
        <v>9.5898821214913804E-2</v>
      </c>
      <c r="N1733" s="1">
        <v>0.63597302326246297</v>
      </c>
      <c r="O1733" s="1">
        <v>0.21367058823529408</v>
      </c>
      <c r="P1733" s="1">
        <v>0.14328091675375063</v>
      </c>
      <c r="Q1733" s="1">
        <v>0.26073419979968809</v>
      </c>
      <c r="R1733" s="2">
        <f t="shared" si="107"/>
        <v>11.403078575566182</v>
      </c>
      <c r="S1733" s="2">
        <f t="shared" si="106"/>
        <v>2.0288433811112818</v>
      </c>
      <c r="T1733" s="2">
        <f t="shared" si="108"/>
        <v>2.8103446564296921</v>
      </c>
      <c r="U1733" s="2">
        <f t="shared" si="109"/>
        <v>16.242266613107155</v>
      </c>
    </row>
    <row r="1734" spans="1:21" x14ac:dyDescent="0.25">
      <c r="A1734">
        <v>3609021</v>
      </c>
      <c r="B1734">
        <v>31</v>
      </c>
      <c r="C1734" s="1">
        <f>1.73012821608717*(10.3/7.3)</f>
        <v>2.4411398117394261</v>
      </c>
      <c r="D1734" s="1">
        <f>2.1238308619177*(10.3/7.3)</f>
        <v>2.9966380654455214</v>
      </c>
      <c r="E1734" s="1">
        <f>7.44904488321254*(10.3/7.3)</f>
        <v>10.510296205080703</v>
      </c>
      <c r="F1734" s="1">
        <f>18.2750443210074*(38.9/42.5)</f>
        <v>16.727040566757392</v>
      </c>
      <c r="G1734" s="1">
        <v>0.82942104440405173</v>
      </c>
      <c r="H1734" s="1">
        <v>4.9952859595333523</v>
      </c>
      <c r="I1734" s="1">
        <v>14.191454458009989</v>
      </c>
      <c r="J1734" s="1">
        <v>4.0622790241121996E-2</v>
      </c>
      <c r="K1734" s="1">
        <v>3.7002220925136093</v>
      </c>
      <c r="L1734" s="1">
        <v>7.3437738219393491</v>
      </c>
      <c r="M1734" s="1">
        <v>0.16836440042592121</v>
      </c>
      <c r="N1734" s="1">
        <v>1.8587547565367017</v>
      </c>
      <c r="O1734" s="1">
        <v>0.27979526881720429</v>
      </c>
      <c r="P1734" s="1">
        <v>0.25500874303327692</v>
      </c>
      <c r="Q1734" s="1">
        <v>1.3255587467644674</v>
      </c>
      <c r="R1734" s="2">
        <f t="shared" si="107"/>
        <v>54.016834857734899</v>
      </c>
      <c r="S1734" s="2">
        <f t="shared" si="106"/>
        <v>3.995853625788008</v>
      </c>
      <c r="T1734" s="2">
        <f t="shared" si="108"/>
        <v>9.6506882477191773</v>
      </c>
      <c r="U1734" s="2">
        <f t="shared" si="109"/>
        <v>67.663376731242082</v>
      </c>
    </row>
    <row r="1735" spans="1:21" x14ac:dyDescent="0.25">
      <c r="A1735">
        <v>3609029</v>
      </c>
      <c r="B1735">
        <v>4</v>
      </c>
      <c r="C1735" s="1">
        <f>1.90224166909997*(10.3/7.3)</f>
        <v>2.6839848207848847</v>
      </c>
      <c r="D1735" s="1">
        <f>2.33600078206557*(10.3/7.3)</f>
        <v>3.2960011034623817</v>
      </c>
      <c r="E1735" s="1">
        <f>8.19600383006561*(10.3/7.3)</f>
        <v>11.564224582147368</v>
      </c>
      <c r="F1735" s="1">
        <f>19.9575870094234*(38.9/42.5)</f>
        <v>18.267061992154581</v>
      </c>
      <c r="G1735" s="1">
        <v>0.90004361293647972</v>
      </c>
      <c r="H1735" s="1">
        <v>4.0104127791690454</v>
      </c>
      <c r="I1735" s="1">
        <v>15.478394803923941</v>
      </c>
      <c r="J1735" s="1">
        <v>3.6937088706585908E-2</v>
      </c>
      <c r="K1735" s="1">
        <v>3.3668425512878315</v>
      </c>
      <c r="L1735" s="1">
        <v>9.8877283204228235</v>
      </c>
      <c r="M1735" s="1">
        <v>0.16619306193767938</v>
      </c>
      <c r="N1735" s="1">
        <v>1.7198711477316395</v>
      </c>
      <c r="O1735" s="1">
        <v>0.26035999999999998</v>
      </c>
      <c r="P1735" s="1">
        <v>0.22754183960205854</v>
      </c>
      <c r="Q1735" s="1">
        <v>1.4384258654235993</v>
      </c>
      <c r="R1735" s="2">
        <f t="shared" si="107"/>
        <v>57.638549560002275</v>
      </c>
      <c r="S1735" s="2">
        <f t="shared" si="106"/>
        <v>3.6313214795964761</v>
      </c>
      <c r="T1735" s="2">
        <f t="shared" si="108"/>
        <v>12.034152530092143</v>
      </c>
      <c r="U1735" s="2">
        <f t="shared" si="109"/>
        <v>73.304023569690898</v>
      </c>
    </row>
    <row r="1736" spans="1:21" x14ac:dyDescent="0.25">
      <c r="A1736">
        <v>3609037</v>
      </c>
      <c r="B1736">
        <v>1</v>
      </c>
      <c r="C1736" s="1">
        <f>1.54855854469445*(10.3/7.3)</f>
        <v>2.1849524671716147</v>
      </c>
      <c r="D1736" s="1">
        <f>1.91013799276057*(10.3/7.3)</f>
        <v>2.6951262089635395</v>
      </c>
      <c r="E1736" s="1">
        <f>6.69940611205233*(10.3/7.3)</f>
        <v>9.4525867060464428</v>
      </c>
      <c r="F1736" s="1">
        <f>16.3677029563919*(38.9/42.5)</f>
        <v>14.981262235379859</v>
      </c>
      <c r="G1736" s="1">
        <v>0.74076427295862868</v>
      </c>
      <c r="H1736" s="1">
        <v>3.3691632611663893</v>
      </c>
      <c r="I1736" s="1">
        <v>12.685189552652165</v>
      </c>
      <c r="J1736" s="1">
        <v>3.3334608716707514E-2</v>
      </c>
      <c r="K1736" s="1">
        <v>3.0751240195935838</v>
      </c>
      <c r="L1736" s="1">
        <v>9.5074648844635643</v>
      </c>
      <c r="M1736" s="1">
        <v>0.15412022197100653</v>
      </c>
      <c r="N1736" s="1">
        <v>1.6080484748934849</v>
      </c>
      <c r="O1736" s="1">
        <v>0.23701333333333333</v>
      </c>
      <c r="P1736" s="1">
        <v>0.21095217659629648</v>
      </c>
      <c r="Q1736" s="1">
        <v>1.1838698426279466</v>
      </c>
      <c r="R1736" s="2">
        <f t="shared" si="107"/>
        <v>47.292914546966593</v>
      </c>
      <c r="S1736" s="2">
        <f t="shared" si="106"/>
        <v>3.319410804906588</v>
      </c>
      <c r="T1736" s="2">
        <f t="shared" si="108"/>
        <v>11.506646914661388</v>
      </c>
      <c r="U1736" s="2">
        <f t="shared" si="109"/>
        <v>62.11897226653457</v>
      </c>
    </row>
    <row r="1737" spans="1:21" x14ac:dyDescent="0.25">
      <c r="A1737">
        <v>3609045</v>
      </c>
      <c r="B1737">
        <v>33</v>
      </c>
      <c r="C1737" s="1">
        <f>1.64530724539178*(10.3/7.3)</f>
        <v>2.3214609078815509</v>
      </c>
      <c r="D1737" s="1">
        <f>2.03551249085434*(10.3/7.3)</f>
        <v>2.872024473397226</v>
      </c>
      <c r="E1737" s="1">
        <f>7.1397573712194*(10.3/7.3)</f>
        <v>10.073904236104084</v>
      </c>
      <c r="F1737" s="1">
        <f>17.3624044930792*(38.9/42.5)</f>
        <v>15.891706700724253</v>
      </c>
      <c r="G1737" s="1">
        <v>0.78299296066354573</v>
      </c>
      <c r="H1737" s="1">
        <v>4.3124556851438198</v>
      </c>
      <c r="I1737" s="1">
        <v>13.435173827298632</v>
      </c>
      <c r="J1737" s="1">
        <v>3.3006467626149297E-2</v>
      </c>
      <c r="K1737" s="1">
        <v>3.0585408763480695</v>
      </c>
      <c r="L1737" s="1">
        <v>9.449349516040062</v>
      </c>
      <c r="M1737" s="1">
        <v>0.15526676977138235</v>
      </c>
      <c r="N1737" s="1">
        <v>1.6176956883082103</v>
      </c>
      <c r="O1737" s="1">
        <v>0.23706989898989902</v>
      </c>
      <c r="P1737" s="1">
        <v>0.20714556613464344</v>
      </c>
      <c r="Q1737" s="1">
        <v>1.2513586129326084</v>
      </c>
      <c r="R1737" s="2">
        <f t="shared" si="107"/>
        <v>50.941077404145716</v>
      </c>
      <c r="S1737" s="2">
        <f t="shared" ref="S1737:S1800" si="110">J1737+K1737+P1737</f>
        <v>3.298692910108862</v>
      </c>
      <c r="T1737" s="2">
        <f t="shared" si="108"/>
        <v>11.459381873109553</v>
      </c>
      <c r="U1737" s="2">
        <f t="shared" si="109"/>
        <v>65.699152187364135</v>
      </c>
    </row>
    <row r="1738" spans="1:21" x14ac:dyDescent="0.25">
      <c r="A1738">
        <v>3609053</v>
      </c>
      <c r="B1738">
        <v>26</v>
      </c>
      <c r="C1738" s="1">
        <f>1.63609082868843*(10.3/7.3)</f>
        <v>2.3084569226699783</v>
      </c>
      <c r="D1738" s="1">
        <f>2.03458546157313*(10.3/7.3)</f>
        <v>2.8707164731785233</v>
      </c>
      <c r="E1738" s="1">
        <f>7.13507453180565*(10.3/7.3)</f>
        <v>10.067296942136743</v>
      </c>
      <c r="F1738" s="1">
        <f>17.3386642362563*(38.9/42.5)</f>
        <v>15.869977383302857</v>
      </c>
      <c r="G1738" s="1">
        <v>0.78205631834605194</v>
      </c>
      <c r="H1738" s="1">
        <v>4.3205597737528327</v>
      </c>
      <c r="I1738" s="1">
        <v>13.396133551964208</v>
      </c>
      <c r="J1738" s="1">
        <v>3.3522288882892173E-2</v>
      </c>
      <c r="K1738" s="1">
        <v>3.1129262894917513</v>
      </c>
      <c r="L1738" s="1">
        <v>9.5627109237100232</v>
      </c>
      <c r="M1738" s="1">
        <v>0.15805025837652309</v>
      </c>
      <c r="N1738" s="1">
        <v>1.6896160203893602</v>
      </c>
      <c r="O1738" s="1">
        <v>0.23697230769230768</v>
      </c>
      <c r="P1738" s="1">
        <v>0.20935146231810942</v>
      </c>
      <c r="Q1738" s="1">
        <v>1.249861695986842</v>
      </c>
      <c r="R1738" s="2">
        <f t="shared" ref="R1738:R1801" si="111">C1738+D1738+E1738+F1738+G1738+H1738+I1738+Q1738</f>
        <v>50.865059061338037</v>
      </c>
      <c r="S1738" s="2">
        <f t="shared" si="110"/>
        <v>3.3558000406927531</v>
      </c>
      <c r="T1738" s="2">
        <f t="shared" ref="T1738:T1801" si="112">L1738+M1738+N1738+O1738</f>
        <v>11.647349510168214</v>
      </c>
      <c r="U1738" s="2">
        <f t="shared" ref="U1738:U1801" si="113">R1738+S1738+T1738</f>
        <v>65.868208612199012</v>
      </c>
    </row>
    <row r="1739" spans="1:21" x14ac:dyDescent="0.25">
      <c r="A1739">
        <v>3609061</v>
      </c>
      <c r="B1739">
        <v>7</v>
      </c>
      <c r="C1739" s="1">
        <f>2.63777283853211*(10.3/7.3)</f>
        <v>3.7217890735452999</v>
      </c>
      <c r="D1739" s="1">
        <f>3.33253003364185*(10.3/7.3)</f>
        <v>4.7020629241796001</v>
      </c>
      <c r="E1739" s="1">
        <f>11.6736029446022*(10.3/7.3)</f>
        <v>16.470974017726352</v>
      </c>
      <c r="F1739" s="1">
        <f>28.617620877782*(38.9/42.5)</f>
        <v>26.193540050487485</v>
      </c>
      <c r="G1739" s="1">
        <v>1.3035722222736206</v>
      </c>
      <c r="H1739" s="1">
        <v>7.3698346909262797</v>
      </c>
      <c r="I1739" s="1">
        <v>22.046240245449528</v>
      </c>
      <c r="J1739" s="1">
        <v>3.6381229014390302E-2</v>
      </c>
      <c r="K1739" s="1">
        <v>3.0923595938569517</v>
      </c>
      <c r="L1739" s="1">
        <v>8.923869654397194</v>
      </c>
      <c r="M1739" s="1">
        <v>0.1733096068387745</v>
      </c>
      <c r="N1739" s="1">
        <v>1.6426777747678547</v>
      </c>
      <c r="O1739" s="1">
        <v>0.24192</v>
      </c>
      <c r="P1739" s="1">
        <v>0.19503173779200575</v>
      </c>
      <c r="Q1739" s="1">
        <v>2.0833346018071581</v>
      </c>
      <c r="R1739" s="2">
        <f t="shared" si="111"/>
        <v>83.891347826395318</v>
      </c>
      <c r="S1739" s="2">
        <f t="shared" si="110"/>
        <v>3.3237725606633477</v>
      </c>
      <c r="T1739" s="2">
        <f t="shared" si="112"/>
        <v>10.981777036003823</v>
      </c>
      <c r="U1739" s="2">
        <f t="shared" si="113"/>
        <v>98.196897423062481</v>
      </c>
    </row>
    <row r="1740" spans="1:21" x14ac:dyDescent="0.25">
      <c r="A1740">
        <v>3609125</v>
      </c>
      <c r="B1740">
        <v>7</v>
      </c>
      <c r="C1740" s="1">
        <f>2.55208320124853*(10.3/7.3)</f>
        <v>3.6008845168301153</v>
      </c>
      <c r="D1740" s="1">
        <f>3.76214130244555*(10.3/7.3)</f>
        <v>5.3082267692039977</v>
      </c>
      <c r="E1740" s="1">
        <f>13.110056784518*(10.3/7.3)</f>
        <v>18.497751353497947</v>
      </c>
      <c r="F1740" s="1">
        <f>31.340119525536*(38.9/42.5)</f>
        <v>28.685427048078822</v>
      </c>
      <c r="G1740" s="1">
        <v>1.4277891083035974</v>
      </c>
      <c r="H1740" s="1">
        <v>8.5167226262898552</v>
      </c>
      <c r="I1740" s="1">
        <v>23.078979114828392</v>
      </c>
      <c r="J1740" s="1">
        <v>3.6845556739823059E-2</v>
      </c>
      <c r="K1740" s="1">
        <v>3.0439206209302379</v>
      </c>
      <c r="L1740" s="1">
        <v>5.651057065382143</v>
      </c>
      <c r="M1740" s="1">
        <v>0.16239747379700561</v>
      </c>
      <c r="N1740" s="1">
        <v>1.8381131657052057</v>
      </c>
      <c r="O1740" s="1">
        <v>0.20508190476190477</v>
      </c>
      <c r="P1740" s="1">
        <v>0.16787135953867374</v>
      </c>
      <c r="Q1740" s="1">
        <v>2.2818547392979887</v>
      </c>
      <c r="R1740" s="2">
        <f t="shared" si="111"/>
        <v>91.397635276330703</v>
      </c>
      <c r="S1740" s="2">
        <f t="shared" si="110"/>
        <v>3.2486375372087348</v>
      </c>
      <c r="T1740" s="2">
        <f t="shared" si="112"/>
        <v>7.8566496096462588</v>
      </c>
      <c r="U1740" s="2">
        <f t="shared" si="113"/>
        <v>102.50292242318569</v>
      </c>
    </row>
    <row r="1741" spans="1:21" x14ac:dyDescent="0.25">
      <c r="A1741">
        <v>3609133</v>
      </c>
      <c r="B1741">
        <v>15</v>
      </c>
      <c r="C1741" s="1">
        <f>2.70530416268259*(10.3/7.3)</f>
        <v>3.8170729966617416</v>
      </c>
      <c r="D1741" s="1">
        <f>3.9317932627763*(10.3/7.3)</f>
        <v>5.5475987132323139</v>
      </c>
      <c r="E1741" s="1">
        <f>13.6380363132613*(10.3/7.3)</f>
        <v>19.24270877076593</v>
      </c>
      <c r="F1741" s="1">
        <f>36.2011933137763*(38.9/42.5)</f>
        <v>33.134739291903443</v>
      </c>
      <c r="G1741" s="1">
        <v>1.7850301691466373</v>
      </c>
      <c r="H1741" s="1">
        <v>9.6264686678470976</v>
      </c>
      <c r="I1741" s="1">
        <v>27.315545975768522</v>
      </c>
      <c r="J1741" s="1">
        <v>3.82601196380866E-2</v>
      </c>
      <c r="K1741" s="1">
        <v>3.2472517658011024</v>
      </c>
      <c r="L1741" s="1">
        <v>5.8225372568190341</v>
      </c>
      <c r="M1741" s="1">
        <v>0.17014895794671372</v>
      </c>
      <c r="N1741" s="1">
        <v>2.3834378865336117</v>
      </c>
      <c r="O1741" s="1">
        <v>0.21119644444444446</v>
      </c>
      <c r="P1741" s="1">
        <v>0.17331928064318919</v>
      </c>
      <c r="Q1741" s="1">
        <v>2.8527879415585553</v>
      </c>
      <c r="R1741" s="2">
        <f t="shared" si="111"/>
        <v>103.32195252688423</v>
      </c>
      <c r="S1741" s="2">
        <f t="shared" si="110"/>
        <v>3.4588311660823785</v>
      </c>
      <c r="T1741" s="2">
        <f t="shared" si="112"/>
        <v>8.5873205457438058</v>
      </c>
      <c r="U1741" s="2">
        <f t="shared" si="113"/>
        <v>115.36810423871042</v>
      </c>
    </row>
    <row r="1742" spans="1:21" x14ac:dyDescent="0.25">
      <c r="A1742">
        <v>3609221</v>
      </c>
      <c r="B1742">
        <v>11</v>
      </c>
      <c r="C1742" s="1">
        <f>4.06601622185893*(10.3/7.3)</f>
        <v>5.7369817924858877</v>
      </c>
      <c r="D1742" s="1">
        <f>5.90562628242895*(10.3/7.3)</f>
        <v>8.3325959875367328</v>
      </c>
      <c r="E1742" s="1">
        <f>20.6819753201517*(10.3/7.3)</f>
        <v>29.181417232542845</v>
      </c>
      <c r="F1742" s="1">
        <f>44.8329785411384*(38.9/42.5)</f>
        <v>41.035361535300801</v>
      </c>
      <c r="G1742" s="1">
        <v>1.8606893593909724</v>
      </c>
      <c r="H1742" s="1">
        <v>9.2448154235975029</v>
      </c>
      <c r="I1742" s="1">
        <v>32.421873011732735</v>
      </c>
      <c r="J1742" s="1">
        <v>3.7705880078234652E-2</v>
      </c>
      <c r="K1742" s="1">
        <v>3.1724635542239086</v>
      </c>
      <c r="L1742" s="1">
        <v>5.3940941419495756</v>
      </c>
      <c r="M1742" s="1">
        <v>0.15882373797487823</v>
      </c>
      <c r="N1742" s="1">
        <v>2.1734879569682377</v>
      </c>
      <c r="O1742" s="1">
        <v>0.16527515151515151</v>
      </c>
      <c r="P1742" s="1">
        <v>0.13528781240099641</v>
      </c>
      <c r="Q1742" s="1">
        <v>2.9737044556476757</v>
      </c>
      <c r="R1742" s="2">
        <f t="shared" si="111"/>
        <v>130.78743879823514</v>
      </c>
      <c r="S1742" s="2">
        <f t="shared" si="110"/>
        <v>3.3454572467031394</v>
      </c>
      <c r="T1742" s="2">
        <f t="shared" si="112"/>
        <v>7.8916809884078436</v>
      </c>
      <c r="U1742" s="2">
        <f t="shared" si="113"/>
        <v>142.02457703334613</v>
      </c>
    </row>
    <row r="1743" spans="1:21" x14ac:dyDescent="0.25">
      <c r="A1743">
        <v>3609237</v>
      </c>
      <c r="B1743">
        <v>12</v>
      </c>
      <c r="C1743" s="1">
        <f>5.67134341846579*(10.3/7.3)</f>
        <v>8.0020324945476204</v>
      </c>
      <c r="D1743" s="1">
        <f>6.50727246121341*(10.3/7.3)</f>
        <v>9.1814940206161779</v>
      </c>
      <c r="E1743" s="1">
        <f>23.0970099457923*(10.3/7.3)</f>
        <v>32.588931841323451</v>
      </c>
      <c r="F1743" s="1">
        <f>46.4561492993603*(38.9/42.5)</f>
        <v>42.521040182238053</v>
      </c>
      <c r="G1743" s="1">
        <v>1.6873023603469344</v>
      </c>
      <c r="H1743" s="1">
        <v>7.7886007459865079</v>
      </c>
      <c r="I1743" s="1">
        <v>35.688366098737241</v>
      </c>
      <c r="J1743" s="1">
        <v>4.4088301438751275E-2</v>
      </c>
      <c r="K1743" s="1">
        <v>3.2691925922038476</v>
      </c>
      <c r="L1743" s="1">
        <v>9.2856251775597425</v>
      </c>
      <c r="M1743" s="1">
        <v>0.15583642796067909</v>
      </c>
      <c r="N1743" s="1">
        <v>1.9742785619196734</v>
      </c>
      <c r="O1743" s="1">
        <v>0.15839999999999999</v>
      </c>
      <c r="P1743" s="1">
        <v>0.12537800999237567</v>
      </c>
      <c r="Q1743" s="1">
        <v>2.6966019457599426</v>
      </c>
      <c r="R1743" s="2">
        <f t="shared" si="111"/>
        <v>140.15436968955592</v>
      </c>
      <c r="S1743" s="2">
        <f t="shared" si="110"/>
        <v>3.4386589036349746</v>
      </c>
      <c r="T1743" s="2">
        <f t="shared" si="112"/>
        <v>11.574140167440095</v>
      </c>
      <c r="U1743" s="2">
        <f t="shared" si="113"/>
        <v>155.167168760631</v>
      </c>
    </row>
    <row r="1744" spans="1:21" x14ac:dyDescent="0.25">
      <c r="A1744">
        <v>3609245</v>
      </c>
      <c r="B1744">
        <v>17</v>
      </c>
      <c r="C1744" s="1">
        <f>5.88815863974534*(10.3/7.3)</f>
        <v>8.307949861558491</v>
      </c>
      <c r="D1744" s="1">
        <f>6.30149882951584*(10.3/7.3)</f>
        <v>8.8911558827415309</v>
      </c>
      <c r="E1744" s="1">
        <f>22.4547500047661*(10.3/7.3)</f>
        <v>31.682729458779594</v>
      </c>
      <c r="F1744" s="1">
        <f>44.7025145344281*(38.9/42.5)</f>
        <v>40.91594859739422</v>
      </c>
      <c r="G1744" s="1">
        <v>1.5729438356856162</v>
      </c>
      <c r="H1744" s="1">
        <v>8.9252891036822337</v>
      </c>
      <c r="I1744" s="1">
        <v>35.174658595821811</v>
      </c>
      <c r="J1744" s="1">
        <v>3.736115948208673E-2</v>
      </c>
      <c r="K1744" s="1">
        <v>3.1564462331759935</v>
      </c>
      <c r="L1744" s="1">
        <v>12.54111678568098</v>
      </c>
      <c r="M1744" s="1">
        <v>0.1544445278198186</v>
      </c>
      <c r="N1744" s="1">
        <v>2.0978265826348546</v>
      </c>
      <c r="O1744" s="1">
        <v>0.15762823529411762</v>
      </c>
      <c r="P1744" s="1">
        <v>0.12497397657947265</v>
      </c>
      <c r="Q1744" s="1">
        <v>2.5138371803194803</v>
      </c>
      <c r="R1744" s="2">
        <f t="shared" si="111"/>
        <v>137.98451251598297</v>
      </c>
      <c r="S1744" s="2">
        <f t="shared" si="110"/>
        <v>3.318781369237553</v>
      </c>
      <c r="T1744" s="2">
        <f t="shared" si="112"/>
        <v>14.951016131429769</v>
      </c>
      <c r="U1744" s="2">
        <f t="shared" si="113"/>
        <v>156.25431001665029</v>
      </c>
    </row>
    <row r="1745" spans="1:21" x14ac:dyDescent="0.25">
      <c r="A1745">
        <v>3620921</v>
      </c>
      <c r="B1745">
        <v>43</v>
      </c>
      <c r="C1745" s="1">
        <f>0.616119448401677*(10.3/7.3)</f>
        <v>0.86931922171743403</v>
      </c>
      <c r="D1745" s="1">
        <f>0.768698204657228*(10.3/7.3)</f>
        <v>1.0846015764341712</v>
      </c>
      <c r="E1745" s="1">
        <f>2.70104807096812*(10.3/7.3)</f>
        <v>3.811067826160492</v>
      </c>
      <c r="F1745" s="1">
        <f>6.27331694489903*(38.9/42.5)</f>
        <v>5.7419300978017009</v>
      </c>
      <c r="G1745" s="1">
        <v>0.27180553320415329</v>
      </c>
      <c r="H1745" s="1">
        <v>1.6655207704722577</v>
      </c>
      <c r="I1745" s="1">
        <v>4.8063541577234847</v>
      </c>
      <c r="J1745" s="1">
        <v>1.6686250756525526E-2</v>
      </c>
      <c r="K1745" s="1">
        <v>2.1325991885016391</v>
      </c>
      <c r="L1745" s="1">
        <v>2.0447706705804158</v>
      </c>
      <c r="M1745" s="1">
        <v>0.10707322364495421</v>
      </c>
      <c r="N1745" s="1">
        <v>0.68401290862552944</v>
      </c>
      <c r="O1745" s="1">
        <v>0.32946480620155033</v>
      </c>
      <c r="P1745" s="1">
        <v>0.16155353135600112</v>
      </c>
      <c r="Q1745" s="1">
        <v>0.43439240466417245</v>
      </c>
      <c r="R1745" s="2">
        <f t="shared" si="111"/>
        <v>18.684991588177866</v>
      </c>
      <c r="S1745" s="2">
        <f t="shared" si="110"/>
        <v>2.3108389706141659</v>
      </c>
      <c r="T1745" s="2">
        <f t="shared" si="112"/>
        <v>3.1653216090524499</v>
      </c>
      <c r="U1745" s="2">
        <f t="shared" si="113"/>
        <v>24.161152167844484</v>
      </c>
    </row>
    <row r="1746" spans="1:21" x14ac:dyDescent="0.25">
      <c r="A1746">
        <v>3620929</v>
      </c>
      <c r="B1746">
        <v>5</v>
      </c>
      <c r="C1746" s="1">
        <f>0.717801494148233*(10.3/7.3)</f>
        <v>1.012788409551616</v>
      </c>
      <c r="D1746" s="1">
        <f>0.878756474716916*(10.3/7.3)</f>
        <v>1.2398892725457851</v>
      </c>
      <c r="E1746" s="1">
        <f>3.08992736510324*(10.3/7.3)</f>
        <v>4.359760528844304</v>
      </c>
      <c r="F1746" s="1">
        <f>7.20248372189653*(38.9/42.5)</f>
        <v>6.5923909831005902</v>
      </c>
      <c r="G1746" s="1">
        <v>0.31214244248135026</v>
      </c>
      <c r="H1746" s="1">
        <v>2.2090693191161161</v>
      </c>
      <c r="I1746" s="1">
        <v>5.5521078369405732</v>
      </c>
      <c r="J1746" s="1">
        <v>1.9060471277424919E-2</v>
      </c>
      <c r="K1746" s="1">
        <v>2.3821018574135375</v>
      </c>
      <c r="L1746" s="1">
        <v>2.3031230656465191</v>
      </c>
      <c r="M1746" s="1">
        <v>0.12142327542699989</v>
      </c>
      <c r="N1746" s="1">
        <v>1.3499638959751321</v>
      </c>
      <c r="O1746" s="1">
        <v>0.40237866666666661</v>
      </c>
      <c r="P1746" s="1">
        <v>0.17584122931798871</v>
      </c>
      <c r="Q1746" s="1">
        <v>0.49885778478754661</v>
      </c>
      <c r="R1746" s="2">
        <f t="shared" si="111"/>
        <v>21.777006577367882</v>
      </c>
      <c r="S1746" s="2">
        <f t="shared" si="110"/>
        <v>2.577003558008951</v>
      </c>
      <c r="T1746" s="2">
        <f t="shared" si="112"/>
        <v>4.1768889037153176</v>
      </c>
      <c r="U1746" s="2">
        <f t="shared" si="113"/>
        <v>28.530899039092148</v>
      </c>
    </row>
    <row r="1747" spans="1:21" x14ac:dyDescent="0.25">
      <c r="A1747">
        <v>3620937</v>
      </c>
      <c r="B1747">
        <v>7</v>
      </c>
      <c r="C1747" s="1">
        <f>0.473773794027512*(10.3/7.3)</f>
        <v>0.66847535321690044</v>
      </c>
      <c r="D1747" s="1">
        <f>0.580562399992561*(10.3/7.3)</f>
        <v>0.81914968766073648</v>
      </c>
      <c r="E1747" s="1">
        <f>2.04250701648604*(10.3/7.3)</f>
        <v>2.8818934616172855</v>
      </c>
      <c r="F1747" s="1">
        <f>4.70033570320292*(38.9/42.5)</f>
        <v>4.3021896201080807</v>
      </c>
      <c r="G1747" s="1">
        <v>0.20126998154733799</v>
      </c>
      <c r="H1747" s="1">
        <v>1.2458370116279986</v>
      </c>
      <c r="I1747" s="1">
        <v>3.6146574649526522</v>
      </c>
      <c r="J1747" s="1">
        <v>1.5561646693615715E-2</v>
      </c>
      <c r="K1747" s="1">
        <v>1.8968727941501753</v>
      </c>
      <c r="L1747" s="1">
        <v>1.8768392522442394</v>
      </c>
      <c r="M1747" s="1">
        <v>9.5013034285775747E-2</v>
      </c>
      <c r="N1747" s="1">
        <v>0.72572803870746927</v>
      </c>
      <c r="O1747" s="1">
        <v>0.25023238095238093</v>
      </c>
      <c r="P1747" s="1">
        <v>0.14047332010741584</v>
      </c>
      <c r="Q1747" s="1">
        <v>0.32166435407108851</v>
      </c>
      <c r="R1747" s="2">
        <f t="shared" si="111"/>
        <v>14.05513693480208</v>
      </c>
      <c r="S1747" s="2">
        <f t="shared" si="110"/>
        <v>2.0529077609512068</v>
      </c>
      <c r="T1747" s="2">
        <f t="shared" si="112"/>
        <v>2.9478127061898651</v>
      </c>
      <c r="U1747" s="2">
        <f t="shared" si="113"/>
        <v>19.05585740194315</v>
      </c>
    </row>
    <row r="1748" spans="1:21" x14ac:dyDescent="0.25">
      <c r="A1748">
        <v>3620961</v>
      </c>
      <c r="B1748">
        <v>6</v>
      </c>
      <c r="C1748" s="1">
        <f>0.375336922299869*(10.3/7.3)</f>
        <v>0.52958497256008852</v>
      </c>
      <c r="D1748" s="1">
        <f>0.459682883740352*(10.3/7.3)</f>
        <v>0.64859365788022283</v>
      </c>
      <c r="E1748" s="1">
        <f>1.61702282275001*(10.3/7.3)</f>
        <v>2.2815527499075534</v>
      </c>
      <c r="F1748" s="1">
        <f>3.73402588569998*(38.9/42.5)</f>
        <v>3.4177319283230432</v>
      </c>
      <c r="G1748" s="1">
        <v>0.1604059368587992</v>
      </c>
      <c r="H1748" s="1">
        <v>0.96904032714405164</v>
      </c>
      <c r="I1748" s="1">
        <v>2.873652364919387</v>
      </c>
      <c r="J1748" s="1">
        <v>1.344105510161539E-2</v>
      </c>
      <c r="K1748" s="1">
        <v>1.634263183487408</v>
      </c>
      <c r="L1748" s="1">
        <v>1.6342322654024244</v>
      </c>
      <c r="M1748" s="1">
        <v>8.3529816204895094E-2</v>
      </c>
      <c r="N1748" s="1">
        <v>0.55185781443488846</v>
      </c>
      <c r="O1748" s="1">
        <v>0.1903377777777778</v>
      </c>
      <c r="P1748" s="1">
        <v>0.11962621097366936</v>
      </c>
      <c r="Q1748" s="1">
        <v>0.25635652009397164</v>
      </c>
      <c r="R1748" s="2">
        <f t="shared" si="111"/>
        <v>11.136918457687118</v>
      </c>
      <c r="S1748" s="2">
        <f t="shared" si="110"/>
        <v>1.7673304495626927</v>
      </c>
      <c r="T1748" s="2">
        <f t="shared" si="112"/>
        <v>2.4599576738199858</v>
      </c>
      <c r="U1748" s="2">
        <f t="shared" si="113"/>
        <v>15.364206581069796</v>
      </c>
    </row>
    <row r="1749" spans="1:21" x14ac:dyDescent="0.25">
      <c r="A1749">
        <v>3620969</v>
      </c>
      <c r="B1749">
        <v>2</v>
      </c>
      <c r="C1749" s="1">
        <f>0.38618373583738*(10.3/7.3)</f>
        <v>0.54488938070205706</v>
      </c>
      <c r="D1749" s="1">
        <f>0.475504915699453*(10.3/7.3)</f>
        <v>0.67091789475402286</v>
      </c>
      <c r="E1749" s="1">
        <f>1.67175367571664*(10.3/7.3)</f>
        <v>2.3587757342303344</v>
      </c>
      <c r="F1749" s="1">
        <f>3.88659142445839*(38.9/42.5)</f>
        <v>3.5573742685042693</v>
      </c>
      <c r="G1749" s="1">
        <v>0.16818482008439312</v>
      </c>
      <c r="H1749" s="1">
        <v>1.057440273793798</v>
      </c>
      <c r="I1749" s="1">
        <v>2.9897026685287029</v>
      </c>
      <c r="J1749" s="1">
        <v>1.4838483538992638E-2</v>
      </c>
      <c r="K1749" s="1">
        <v>1.8336382276023648</v>
      </c>
      <c r="L1749" s="1">
        <v>1.8221948016049334</v>
      </c>
      <c r="M1749" s="1">
        <v>9.5337354126948839E-2</v>
      </c>
      <c r="N1749" s="1">
        <v>0.63054065658602076</v>
      </c>
      <c r="O1749" s="1">
        <v>0.21141333333333334</v>
      </c>
      <c r="P1749" s="1">
        <v>0.13934858456213187</v>
      </c>
      <c r="Q1749" s="1">
        <v>0.26878852524903041</v>
      </c>
      <c r="R1749" s="2">
        <f t="shared" si="111"/>
        <v>11.616073565846611</v>
      </c>
      <c r="S1749" s="2">
        <f t="shared" si="110"/>
        <v>1.9878252957034892</v>
      </c>
      <c r="T1749" s="2">
        <f t="shared" si="112"/>
        <v>2.7594861456512363</v>
      </c>
      <c r="U1749" s="2">
        <f t="shared" si="113"/>
        <v>16.363385007201337</v>
      </c>
    </row>
    <row r="1750" spans="1:21" x14ac:dyDescent="0.25">
      <c r="A1750">
        <v>3620977</v>
      </c>
      <c r="B1750">
        <v>17</v>
      </c>
      <c r="C1750" s="1">
        <f>1.21530544708288*(10.3/7.3)</f>
        <v>1.7147460417744791</v>
      </c>
      <c r="D1750" s="1">
        <f>1.50301887950801*(10.3/7.3)</f>
        <v>2.1206978710866387</v>
      </c>
      <c r="E1750" s="1">
        <f>5.26497174107124*(10.3/7.3)</f>
        <v>7.428658757949826</v>
      </c>
      <c r="F1750" s="1">
        <f>13.1644495824615*(38.9/42.5)</f>
        <v>12.049343264888318</v>
      </c>
      <c r="G1750" s="1">
        <v>0.60769961166435105</v>
      </c>
      <c r="H1750" s="1">
        <v>3.0437666241076355</v>
      </c>
      <c r="I1750" s="1">
        <v>10.231978315095787</v>
      </c>
      <c r="J1750" s="1">
        <v>2.9161293021372738E-2</v>
      </c>
      <c r="K1750" s="1">
        <v>3.4642316088363772</v>
      </c>
      <c r="L1750" s="1">
        <v>3.6980724139206633</v>
      </c>
      <c r="M1750" s="1">
        <v>0.17855001770036108</v>
      </c>
      <c r="N1750" s="1">
        <v>1.1434184777651539</v>
      </c>
      <c r="O1750" s="1">
        <v>0.59745568627450973</v>
      </c>
      <c r="P1750" s="1">
        <v>0.27256608454342357</v>
      </c>
      <c r="Q1750" s="1">
        <v>0.97120942503435193</v>
      </c>
      <c r="R1750" s="2">
        <f t="shared" si="111"/>
        <v>38.168099911601395</v>
      </c>
      <c r="S1750" s="2">
        <f t="shared" si="110"/>
        <v>3.7659589864011735</v>
      </c>
      <c r="T1750" s="2">
        <f t="shared" si="112"/>
        <v>5.6174965956606879</v>
      </c>
      <c r="U1750" s="2">
        <f t="shared" si="113"/>
        <v>47.551555493663258</v>
      </c>
    </row>
    <row r="1751" spans="1:21" x14ac:dyDescent="0.25">
      <c r="A1751">
        <v>3621257</v>
      </c>
      <c r="B1751">
        <v>27</v>
      </c>
      <c r="C1751" s="1">
        <f>1.76409341834681*(10.3/7.3)</f>
        <v>2.489063316297552</v>
      </c>
      <c r="D1751" s="1">
        <f>2.1720203924299*(10.3/7.3)</f>
        <v>3.0646315126065784</v>
      </c>
      <c r="E1751" s="1">
        <f>7.61513569284913*(10.3/7.3)</f>
        <v>10.744643511828228</v>
      </c>
      <c r="F1751" s="1">
        <f>18.778351486942*(38.9/42.5)</f>
        <v>17.187714655106941</v>
      </c>
      <c r="G1751" s="1">
        <v>0.85634874166852692</v>
      </c>
      <c r="H1751" s="1">
        <v>4.825389248831268</v>
      </c>
      <c r="I1751" s="1">
        <v>14.581826238201849</v>
      </c>
      <c r="J1751" s="1">
        <v>4.0273032638233112E-2</v>
      </c>
      <c r="K1751" s="1">
        <v>3.6773047841763509</v>
      </c>
      <c r="L1751" s="1">
        <v>7.400714695528527</v>
      </c>
      <c r="M1751" s="1">
        <v>0.17031600745381062</v>
      </c>
      <c r="N1751" s="1">
        <v>1.8390149357857632</v>
      </c>
      <c r="O1751" s="1">
        <v>0.27718913580246918</v>
      </c>
      <c r="P1751" s="1">
        <v>0.2505781279789408</v>
      </c>
      <c r="Q1751" s="1">
        <v>1.3685938793789256</v>
      </c>
      <c r="R1751" s="2">
        <f t="shared" si="111"/>
        <v>55.118211103919876</v>
      </c>
      <c r="S1751" s="2">
        <f t="shared" si="110"/>
        <v>3.9681559447935246</v>
      </c>
      <c r="T1751" s="2">
        <f t="shared" si="112"/>
        <v>9.6872347745705696</v>
      </c>
      <c r="U1751" s="2">
        <f t="shared" si="113"/>
        <v>68.773601823283968</v>
      </c>
    </row>
    <row r="1752" spans="1:21" x14ac:dyDescent="0.25">
      <c r="A1752">
        <v>3621273</v>
      </c>
      <c r="B1752">
        <v>40</v>
      </c>
      <c r="C1752" s="1">
        <f>1.71371024236871*(10.3/7.3)</f>
        <v>2.4179747255339366</v>
      </c>
      <c r="D1752" s="1">
        <f>2.13169882654571*(10.3/7.3)</f>
        <v>3.0077394401946376</v>
      </c>
      <c r="E1752" s="1">
        <f>7.46919580666904*(10.3/7.3)</f>
        <v>10.538728329957687</v>
      </c>
      <c r="F1752" s="1">
        <f>18.4738992246737*(38.9/42.5)</f>
        <v>16.90905129034838</v>
      </c>
      <c r="G1752" s="1">
        <v>0.84587307957755908</v>
      </c>
      <c r="H1752" s="1">
        <v>4.5670049321771398</v>
      </c>
      <c r="I1752" s="1">
        <v>14.312174572895051</v>
      </c>
      <c r="J1752" s="1">
        <v>3.6174372831225904E-2</v>
      </c>
      <c r="K1752" s="1">
        <v>3.324570108464703</v>
      </c>
      <c r="L1752" s="1">
        <v>9.7385157925283803</v>
      </c>
      <c r="M1752" s="1">
        <v>0.16518165250796071</v>
      </c>
      <c r="N1752" s="1">
        <v>1.7595893720554987</v>
      </c>
      <c r="O1752" s="1">
        <v>0.25607733333333327</v>
      </c>
      <c r="P1752" s="1">
        <v>0.22714862029709626</v>
      </c>
      <c r="Q1752" s="1">
        <v>1.3518519536627669</v>
      </c>
      <c r="R1752" s="2">
        <f t="shared" si="111"/>
        <v>53.950398324347162</v>
      </c>
      <c r="S1752" s="2">
        <f t="shared" si="110"/>
        <v>3.5878931015930249</v>
      </c>
      <c r="T1752" s="2">
        <f t="shared" si="112"/>
        <v>11.919364150425174</v>
      </c>
      <c r="U1752" s="2">
        <f t="shared" si="113"/>
        <v>69.457655576365369</v>
      </c>
    </row>
    <row r="1753" spans="1:21" x14ac:dyDescent="0.25">
      <c r="A1753">
        <v>3621281</v>
      </c>
      <c r="B1753">
        <v>54</v>
      </c>
      <c r="C1753" s="1">
        <f>1.67036945559612*(10.3/7.3)</f>
        <v>2.3568226565260337</v>
      </c>
      <c r="D1753" s="1">
        <f>2.08163855804132*(10.3/7.3)</f>
        <v>2.9371064586062463</v>
      </c>
      <c r="E1753" s="1">
        <f>7.29576679573768*(10.3/7.3)</f>
        <v>10.294027122753169</v>
      </c>
      <c r="F1753" s="1">
        <f>17.9131376626783*(38.9/42.5)</f>
        <v>16.395789531251467</v>
      </c>
      <c r="G1753" s="1">
        <v>0.81538393056710368</v>
      </c>
      <c r="H1753" s="1">
        <v>4.3967947569469858</v>
      </c>
      <c r="I1753" s="1">
        <v>13.854697637920371</v>
      </c>
      <c r="J1753" s="1">
        <v>3.4951269348207706E-2</v>
      </c>
      <c r="K1753" s="1">
        <v>3.2475467415497601</v>
      </c>
      <c r="L1753" s="1">
        <v>8.8520216957809694</v>
      </c>
      <c r="M1753" s="1">
        <v>0.16267357703742408</v>
      </c>
      <c r="N1753" s="1">
        <v>1.7515110862136196</v>
      </c>
      <c r="O1753" s="1">
        <v>0.24842765432098776</v>
      </c>
      <c r="P1753" s="1">
        <v>0.22057942087323587</v>
      </c>
      <c r="Q1753" s="1">
        <v>1.3031250031894364</v>
      </c>
      <c r="R1753" s="2">
        <f t="shared" si="111"/>
        <v>52.353747097760817</v>
      </c>
      <c r="S1753" s="2">
        <f t="shared" si="110"/>
        <v>3.5030774317712035</v>
      </c>
      <c r="T1753" s="2">
        <f t="shared" si="112"/>
        <v>11.014634013353001</v>
      </c>
      <c r="U1753" s="2">
        <f t="shared" si="113"/>
        <v>66.871458542885023</v>
      </c>
    </row>
    <row r="1754" spans="1:21" x14ac:dyDescent="0.25">
      <c r="A1754">
        <v>3621289</v>
      </c>
      <c r="B1754">
        <v>29</v>
      </c>
      <c r="C1754" s="1">
        <f>1.68482927940832*(10.3/7.3)</f>
        <v>2.3772248736857051</v>
      </c>
      <c r="D1754" s="1">
        <f>2.10748714845684*(10.3/7.3)</f>
        <v>2.9735777574116993</v>
      </c>
      <c r="E1754" s="1">
        <f>7.38652740379258*(10.3/7.3)</f>
        <v>10.422086610830622</v>
      </c>
      <c r="F1754" s="1">
        <f>18.0643120233998*(38.9/42.5)</f>
        <v>16.534158534358841</v>
      </c>
      <c r="G1754" s="1">
        <v>0.81996273875033532</v>
      </c>
      <c r="H1754" s="1">
        <v>4.9319490664971886</v>
      </c>
      <c r="I1754" s="1">
        <v>13.948596276056184</v>
      </c>
      <c r="J1754" s="1">
        <v>3.4143158508514022E-2</v>
      </c>
      <c r="K1754" s="1">
        <v>3.1255685424460697</v>
      </c>
      <c r="L1754" s="1">
        <v>9.2815791551753435</v>
      </c>
      <c r="M1754" s="1">
        <v>0.1620947382583284</v>
      </c>
      <c r="N1754" s="1">
        <v>1.7315140787723802</v>
      </c>
      <c r="O1754" s="1">
        <v>0.23560459770114944</v>
      </c>
      <c r="P1754" s="1">
        <v>0.20867729236941848</v>
      </c>
      <c r="Q1754" s="1">
        <v>1.3104427331626378</v>
      </c>
      <c r="R1754" s="2">
        <f t="shared" si="111"/>
        <v>53.317998590753213</v>
      </c>
      <c r="S1754" s="2">
        <f t="shared" si="110"/>
        <v>3.3683889933240025</v>
      </c>
      <c r="T1754" s="2">
        <f t="shared" si="112"/>
        <v>11.410792569907201</v>
      </c>
      <c r="U1754" s="2">
        <f t="shared" si="113"/>
        <v>68.097180153984425</v>
      </c>
    </row>
    <row r="1755" spans="1:21" x14ac:dyDescent="0.25">
      <c r="A1755">
        <v>3621297</v>
      </c>
      <c r="B1755">
        <v>1</v>
      </c>
      <c r="C1755" s="1">
        <f>2.75179809292539*(10.3/7.3)</f>
        <v>3.8826740215248674</v>
      </c>
      <c r="D1755" s="1">
        <f>3.51580406884708*(10.3/7.3)</f>
        <v>4.9606550560445068</v>
      </c>
      <c r="E1755" s="1">
        <f>12.3033413623132*(10.3/7.3)</f>
        <v>17.359509045455592</v>
      </c>
      <c r="F1755" s="1">
        <f>30.473209519982*(38.9/42.5)</f>
        <v>27.891949419465842</v>
      </c>
      <c r="G1755" s="1">
        <v>1.4023448794277629</v>
      </c>
      <c r="H1755" s="1">
        <v>8.0685245795829186</v>
      </c>
      <c r="I1755" s="1">
        <v>23.444683173195873</v>
      </c>
      <c r="J1755" s="1">
        <v>3.6915872687799813E-2</v>
      </c>
      <c r="K1755" s="1">
        <v>3.1877363676526476</v>
      </c>
      <c r="L1755" s="1">
        <v>9.3868912352207357</v>
      </c>
      <c r="M1755" s="1">
        <v>0.16886090495831668</v>
      </c>
      <c r="N1755" s="1">
        <v>1.6638454708680546</v>
      </c>
      <c r="O1755" s="1">
        <v>0.23951999999999998</v>
      </c>
      <c r="P1755" s="1">
        <v>0.19881607246078664</v>
      </c>
      <c r="Q1755" s="1">
        <v>2.2411904465740524</v>
      </c>
      <c r="R1755" s="2">
        <f t="shared" si="111"/>
        <v>89.251530621271414</v>
      </c>
      <c r="S1755" s="2">
        <f t="shared" si="110"/>
        <v>3.423468312801234</v>
      </c>
      <c r="T1755" s="2">
        <f t="shared" si="112"/>
        <v>11.459117611047107</v>
      </c>
      <c r="U1755" s="2">
        <f t="shared" si="113"/>
        <v>104.13411654511975</v>
      </c>
    </row>
    <row r="1756" spans="1:21" x14ac:dyDescent="0.25">
      <c r="A1756">
        <v>3621353</v>
      </c>
      <c r="B1756">
        <v>12</v>
      </c>
      <c r="C1756" s="1">
        <f>2.49294160951335*(10.3/7.3)</f>
        <v>3.5174381613681587</v>
      </c>
      <c r="D1756" s="1">
        <f>3.73888312185266*(10.3/7.3)</f>
        <v>5.2754104322030617</v>
      </c>
      <c r="E1756" s="1">
        <f>13.023215419145*(10.3/7.3)</f>
        <v>18.37522175578</v>
      </c>
      <c r="F1756" s="1">
        <f>30.990778178947*(38.9/42.5)</f>
        <v>28.365676968495059</v>
      </c>
      <c r="G1756" s="1">
        <v>1.4095872879481435</v>
      </c>
      <c r="H1756" s="1">
        <v>6.3271184107796534</v>
      </c>
      <c r="I1756" s="1">
        <v>22.700448597461644</v>
      </c>
      <c r="J1756" s="1">
        <v>3.5217176783660063E-2</v>
      </c>
      <c r="K1756" s="1">
        <v>2.8778805462992048</v>
      </c>
      <c r="L1756" s="1">
        <v>5.3632956805016514</v>
      </c>
      <c r="M1756" s="1">
        <v>0.15758201954094711</v>
      </c>
      <c r="N1756" s="1">
        <v>1.730411456268788</v>
      </c>
      <c r="O1756" s="1">
        <v>0.19638666666666663</v>
      </c>
      <c r="P1756" s="1">
        <v>0.15988157115598825</v>
      </c>
      <c r="Q1756" s="1">
        <v>2.2527650720632457</v>
      </c>
      <c r="R1756" s="2">
        <f t="shared" si="111"/>
        <v>88.223666686098952</v>
      </c>
      <c r="S1756" s="2">
        <f t="shared" si="110"/>
        <v>3.072979294238853</v>
      </c>
      <c r="T1756" s="2">
        <f t="shared" si="112"/>
        <v>7.4476758229780531</v>
      </c>
      <c r="U1756" s="2">
        <f t="shared" si="113"/>
        <v>98.744321803315856</v>
      </c>
    </row>
    <row r="1757" spans="1:21" x14ac:dyDescent="0.25">
      <c r="A1757">
        <v>3621369</v>
      </c>
      <c r="B1757">
        <v>3</v>
      </c>
      <c r="C1757" s="1">
        <f>2.205208970111*(10.3/7.3)</f>
        <v>3.1114592318004557</v>
      </c>
      <c r="D1757" s="1">
        <f>3.17026774190662*(10.3/7.3)</f>
        <v>4.4731174988545472</v>
      </c>
      <c r="E1757" s="1">
        <f>11.0067742403692*(10.3/7.3)</f>
        <v>15.530106119972915</v>
      </c>
      <c r="F1757" s="1">
        <f>28.9351141777324*(38.9/42.5)</f>
        <v>26.484139800324481</v>
      </c>
      <c r="G1757" s="1">
        <v>1.4152202723528839</v>
      </c>
      <c r="H1757" s="1">
        <v>7.4314179343174898</v>
      </c>
      <c r="I1757" s="1">
        <v>21.847810582973704</v>
      </c>
      <c r="J1757" s="1">
        <v>3.5255365617475026E-2</v>
      </c>
      <c r="K1757" s="1">
        <v>3.0701426582051439</v>
      </c>
      <c r="L1757" s="1">
        <v>5.6046922178647236</v>
      </c>
      <c r="M1757" s="1">
        <v>0.16008584457205671</v>
      </c>
      <c r="N1757" s="1">
        <v>1.8940809507480696</v>
      </c>
      <c r="O1757" s="1">
        <v>0.19752888888888886</v>
      </c>
      <c r="P1757" s="1">
        <v>0.16715398763189057</v>
      </c>
      <c r="Q1757" s="1">
        <v>2.26176755855484</v>
      </c>
      <c r="R1757" s="2">
        <f t="shared" si="111"/>
        <v>82.555038999151307</v>
      </c>
      <c r="S1757" s="2">
        <f t="shared" si="110"/>
        <v>3.2725520114545095</v>
      </c>
      <c r="T1757" s="2">
        <f t="shared" si="112"/>
        <v>7.8563879020737382</v>
      </c>
      <c r="U1757" s="2">
        <f t="shared" si="113"/>
        <v>93.683978912679549</v>
      </c>
    </row>
    <row r="1758" spans="1:21" x14ac:dyDescent="0.25">
      <c r="A1758">
        <v>3621449</v>
      </c>
      <c r="B1758">
        <v>26</v>
      </c>
      <c r="C1758" s="1">
        <f>4.24289538503645*(10.3/7.3)</f>
        <v>5.9865510227226686</v>
      </c>
      <c r="D1758" s="1">
        <f>6.41397239119843*(10.3/7.3)</f>
        <v>9.0498514560745011</v>
      </c>
      <c r="E1758" s="1">
        <f>22.3346389375703*(10.3/7.3)</f>
        <v>31.513257679037558</v>
      </c>
      <c r="F1758" s="1">
        <f>53.1353202782161*(38.9/42.5)</f>
        <v>48.634446089943722</v>
      </c>
      <c r="G1758" s="1">
        <v>2.4187581093820265</v>
      </c>
      <c r="H1758" s="1">
        <v>8.2071514750208916</v>
      </c>
      <c r="I1758" s="1">
        <v>38.842100129602684</v>
      </c>
      <c r="J1758" s="1">
        <v>3.566771798259958E-2</v>
      </c>
      <c r="K1758" s="1">
        <v>3.0757273765777322</v>
      </c>
      <c r="L1758" s="1">
        <v>5.0429029647513453</v>
      </c>
      <c r="M1758" s="1">
        <v>0.15241877853213917</v>
      </c>
      <c r="N1758" s="1">
        <v>1.9822828897484117</v>
      </c>
      <c r="O1758" s="1">
        <v>0.15827282051282049</v>
      </c>
      <c r="P1758" s="1">
        <v>0.1282524440870384</v>
      </c>
      <c r="Q1758" s="1">
        <v>3.8655951519804126</v>
      </c>
      <c r="R1758" s="2">
        <f t="shared" si="111"/>
        <v>148.51771111376448</v>
      </c>
      <c r="S1758" s="2">
        <f t="shared" si="110"/>
        <v>3.2396475386473704</v>
      </c>
      <c r="T1758" s="2">
        <f t="shared" si="112"/>
        <v>7.3358774535447164</v>
      </c>
      <c r="U1758" s="2">
        <f t="shared" si="113"/>
        <v>159.09323610595658</v>
      </c>
    </row>
    <row r="1759" spans="1:21" x14ac:dyDescent="0.25">
      <c r="A1759">
        <v>3621457</v>
      </c>
      <c r="B1759">
        <v>12</v>
      </c>
      <c r="C1759" s="1">
        <f>3.92134879250097*(10.3/7.3)</f>
        <v>5.532861994898628</v>
      </c>
      <c r="D1759" s="1">
        <f>5.50891521915158*(10.3/7.3)</f>
        <v>7.7728529804467472</v>
      </c>
      <c r="E1759" s="1">
        <f>19.2737906486044*(10.3/7.3)</f>
        <v>27.19452653159254</v>
      </c>
      <c r="F1759" s="1">
        <f>44.0288244841225*(38.9/42.5)</f>
        <v>40.299324057232099</v>
      </c>
      <c r="G1759" s="1">
        <v>1.9136052734961095</v>
      </c>
      <c r="H1759" s="1">
        <v>9.1229976607405927</v>
      </c>
      <c r="I1759" s="1">
        <v>32.519059330401916</v>
      </c>
      <c r="J1759" s="1">
        <v>3.7729153407933334E-2</v>
      </c>
      <c r="K1759" s="1">
        <v>3.0805353438424219</v>
      </c>
      <c r="L1759" s="1">
        <v>5.5837982943401068</v>
      </c>
      <c r="M1759" s="1">
        <v>0.15821982283929723</v>
      </c>
      <c r="N1759" s="1">
        <v>2.1096737933558329</v>
      </c>
      <c r="O1759" s="1">
        <v>0.16458666666666669</v>
      </c>
      <c r="P1759" s="1">
        <v>0.13432990115783891</v>
      </c>
      <c r="Q1759" s="1">
        <v>3.0582732681444704</v>
      </c>
      <c r="R1759" s="2">
        <f t="shared" si="111"/>
        <v>127.4135010969531</v>
      </c>
      <c r="S1759" s="2">
        <f t="shared" si="110"/>
        <v>3.2525943984081938</v>
      </c>
      <c r="T1759" s="2">
        <f t="shared" si="112"/>
        <v>8.0162785772019038</v>
      </c>
      <c r="U1759" s="2">
        <f t="shared" si="113"/>
        <v>138.68237407256322</v>
      </c>
    </row>
    <row r="1760" spans="1:21" x14ac:dyDescent="0.25">
      <c r="A1760">
        <v>3621465</v>
      </c>
      <c r="B1760">
        <v>4</v>
      </c>
      <c r="C1760" s="1">
        <f>4.74564687758084*(10.3/7.3)</f>
        <v>6.6959127176825577</v>
      </c>
      <c r="D1760" s="1">
        <f>5.66561487671457*(10.3/7.3)</f>
        <v>7.9939497575561758</v>
      </c>
      <c r="E1760" s="1">
        <f>20.0490470073275*(10.3/7.3)</f>
        <v>28.288381393900409</v>
      </c>
      <c r="F1760" s="1">
        <f>41.4497362262523*(38.9/42.5)</f>
        <v>37.93869974591091</v>
      </c>
      <c r="G1760" s="1">
        <v>1.5729438356856162</v>
      </c>
      <c r="H1760" s="1">
        <v>6.4225724380360276</v>
      </c>
      <c r="I1760" s="1">
        <v>31.554199174050538</v>
      </c>
      <c r="J1760" s="1">
        <v>3.7664798150948857E-2</v>
      </c>
      <c r="K1760" s="1">
        <v>2.7964162468482137</v>
      </c>
      <c r="L1760" s="1">
        <v>8.439512103312536</v>
      </c>
      <c r="M1760" s="1">
        <v>0.14715894190479364</v>
      </c>
      <c r="N1760" s="1">
        <v>1.7899614044369885</v>
      </c>
      <c r="O1760" s="1">
        <v>0.14954666666666666</v>
      </c>
      <c r="P1760" s="1">
        <v>0.11978121201333913</v>
      </c>
      <c r="Q1760" s="1">
        <v>2.5138371803194803</v>
      </c>
      <c r="R1760" s="2">
        <f t="shared" si="111"/>
        <v>122.98049624314173</v>
      </c>
      <c r="S1760" s="2">
        <f t="shared" si="110"/>
        <v>2.9538622570125015</v>
      </c>
      <c r="T1760" s="2">
        <f t="shared" si="112"/>
        <v>10.526179116320984</v>
      </c>
      <c r="U1760" s="2">
        <f t="shared" si="113"/>
        <v>136.46053761647522</v>
      </c>
    </row>
    <row r="1761" spans="1:21" x14ac:dyDescent="0.25">
      <c r="A1761">
        <v>3621473</v>
      </c>
      <c r="B1761">
        <v>9</v>
      </c>
      <c r="C1761" s="1">
        <f>4.91005288448356*(10.3/7.3)</f>
        <v>6.9278828370110475</v>
      </c>
      <c r="D1761" s="1">
        <f>5.43561924709393*(10.3/7.3)</f>
        <v>7.6694353760366427</v>
      </c>
      <c r="E1761" s="1">
        <f>19.3347809216289*(10.3/7.3)</f>
        <v>27.280581300380472</v>
      </c>
      <c r="F1761" s="1">
        <f>38.531162726976*(38.9/42.5)</f>
        <v>35.267346590102704</v>
      </c>
      <c r="G1761" s="1">
        <v>1.3699179639126433</v>
      </c>
      <c r="H1761" s="1">
        <v>7.5112895348369983</v>
      </c>
      <c r="I1761" s="1">
        <v>29.943407081781757</v>
      </c>
      <c r="J1761" s="1">
        <v>3.5230849329099985E-2</v>
      </c>
      <c r="K1761" s="1">
        <v>3.0926857795719216</v>
      </c>
      <c r="L1761" s="1">
        <v>9.3151999160893961</v>
      </c>
      <c r="M1761" s="1">
        <v>0.14270348008151845</v>
      </c>
      <c r="N1761" s="1">
        <v>1.7729561498969995</v>
      </c>
      <c r="O1761" s="1">
        <v>0.14509037037037037</v>
      </c>
      <c r="P1761" s="1">
        <v>0.11655704646090549</v>
      </c>
      <c r="Q1761" s="1">
        <v>2.1893666089928114</v>
      </c>
      <c r="R1761" s="2">
        <f t="shared" si="111"/>
        <v>118.15922729305508</v>
      </c>
      <c r="S1761" s="2">
        <f t="shared" si="110"/>
        <v>3.244473675361927</v>
      </c>
      <c r="T1761" s="2">
        <f t="shared" si="112"/>
        <v>11.375949916438286</v>
      </c>
      <c r="U1761" s="2">
        <f t="shared" si="113"/>
        <v>132.7796508848553</v>
      </c>
    </row>
    <row r="1762" spans="1:21" x14ac:dyDescent="0.25">
      <c r="A1762">
        <v>3621481</v>
      </c>
      <c r="B1762">
        <v>25</v>
      </c>
      <c r="C1762" s="1">
        <f>5.64172378443618*(10.3/7.3)</f>
        <v>7.9602404081770786</v>
      </c>
      <c r="D1762" s="1">
        <f>5.89700545849092*(10.3/7.3)</f>
        <v>8.3204323592406091</v>
      </c>
      <c r="E1762" s="1">
        <f>21.0498498426742*(10.3/7.3)</f>
        <v>29.700473065690996</v>
      </c>
      <c r="F1762" s="1">
        <f>41.3888120445008*(38.9/42.5)</f>
        <v>37.882936200731358</v>
      </c>
      <c r="G1762" s="1">
        <v>1.4216579688154445</v>
      </c>
      <c r="H1762" s="1">
        <v>8.1628477145515657</v>
      </c>
      <c r="I1762" s="1">
        <v>32.805239524558402</v>
      </c>
      <c r="J1762" s="1">
        <v>3.4761004091734035E-2</v>
      </c>
      <c r="K1762" s="1">
        <v>2.720753325762268</v>
      </c>
      <c r="L1762" s="1">
        <v>10.609646090844892</v>
      </c>
      <c r="M1762" s="1">
        <v>0.14732960177892468</v>
      </c>
      <c r="N1762" s="1">
        <v>1.9808946357009496</v>
      </c>
      <c r="O1762" s="1">
        <v>0.14964480000000002</v>
      </c>
      <c r="P1762" s="1">
        <v>0.11908215803203082</v>
      </c>
      <c r="Q1762" s="1">
        <v>2.2720561145452329</v>
      </c>
      <c r="R1762" s="2">
        <f t="shared" si="111"/>
        <v>128.52588335631069</v>
      </c>
      <c r="S1762" s="2">
        <f t="shared" si="110"/>
        <v>2.8745964878860328</v>
      </c>
      <c r="T1762" s="2">
        <f t="shared" si="112"/>
        <v>12.887515128324766</v>
      </c>
      <c r="U1762" s="2">
        <f t="shared" si="113"/>
        <v>144.28799497252149</v>
      </c>
    </row>
    <row r="1763" spans="1:21" x14ac:dyDescent="0.25">
      <c r="A1763">
        <v>3633157</v>
      </c>
      <c r="B1763">
        <v>5</v>
      </c>
      <c r="C1763" s="1">
        <f>0.71804046923229*(10.3/7.3)</f>
        <v>1.0131255935743277</v>
      </c>
      <c r="D1763" s="1">
        <f>0.909214208701498*(10.3/7.3)</f>
        <v>1.282863883510333</v>
      </c>
      <c r="E1763" s="1">
        <f>3.18559003169388*(10.3/7.3)</f>
        <v>4.4947366200612313</v>
      </c>
      <c r="F1763" s="1">
        <f>7.75841204261141*(38.9/42.5)</f>
        <v>7.101228904884322</v>
      </c>
      <c r="G1763" s="1">
        <v>0.35156260382042909</v>
      </c>
      <c r="H1763" s="1">
        <v>3.1211955324133456</v>
      </c>
      <c r="I1763" s="1">
        <v>5.9667768095019165</v>
      </c>
      <c r="J1763" s="1">
        <v>1.920474020517034E-2</v>
      </c>
      <c r="K1763" s="1">
        <v>2.3733359506281451</v>
      </c>
      <c r="L1763" s="1">
        <v>2.4289558271400744</v>
      </c>
      <c r="M1763" s="1">
        <v>0.12519734513542352</v>
      </c>
      <c r="N1763" s="1">
        <v>0.75905450024877141</v>
      </c>
      <c r="O1763" s="1">
        <v>0.40497066666666665</v>
      </c>
      <c r="P1763" s="1">
        <v>0.17499672976055422</v>
      </c>
      <c r="Q1763" s="1">
        <v>0.56185804263538963</v>
      </c>
      <c r="R1763" s="2">
        <f t="shared" si="111"/>
        <v>23.893347990401296</v>
      </c>
      <c r="S1763" s="2">
        <f t="shared" si="110"/>
        <v>2.5675374205938697</v>
      </c>
      <c r="T1763" s="2">
        <f t="shared" si="112"/>
        <v>3.7181783391909362</v>
      </c>
      <c r="U1763" s="2">
        <f t="shared" si="113"/>
        <v>30.179063750186099</v>
      </c>
    </row>
    <row r="1764" spans="1:21" x14ac:dyDescent="0.25">
      <c r="A1764">
        <v>3633165</v>
      </c>
      <c r="B1764">
        <v>49</v>
      </c>
      <c r="C1764" s="1">
        <f>0.557218366065621*(10.3/7.3)</f>
        <v>0.78621221513368467</v>
      </c>
      <c r="D1764" s="1">
        <f>0.689162989282626*(10.3/7.3)</f>
        <v>0.97238065611110247</v>
      </c>
      <c r="E1764" s="1">
        <f>2.42218820706256*(10.3/7.3)</f>
        <v>3.4176080181841542</v>
      </c>
      <c r="F1764" s="1">
        <f>5.643414546894*(38.9/42.5)</f>
        <v>5.16538413821592</v>
      </c>
      <c r="G1764" s="1">
        <v>0.24488428023484823</v>
      </c>
      <c r="H1764" s="1">
        <v>1.9731476840870463</v>
      </c>
      <c r="I1764" s="1">
        <v>4.3370317384413939</v>
      </c>
      <c r="J1764" s="1">
        <v>1.6950300070161711E-2</v>
      </c>
      <c r="K1764" s="1">
        <v>2.1075825614733987</v>
      </c>
      <c r="L1764" s="1">
        <v>2.0082860049639573</v>
      </c>
      <c r="M1764" s="1">
        <v>0.10213172151728926</v>
      </c>
      <c r="N1764" s="1">
        <v>0.78394911767097386</v>
      </c>
      <c r="O1764" s="1">
        <v>0.31535238095238083</v>
      </c>
      <c r="P1764" s="1">
        <v>0.16370696637526411</v>
      </c>
      <c r="Q1764" s="1">
        <v>0.39136757115158449</v>
      </c>
      <c r="R1764" s="2">
        <f t="shared" si="111"/>
        <v>17.288016301559733</v>
      </c>
      <c r="S1764" s="2">
        <f t="shared" si="110"/>
        <v>2.2882398279188245</v>
      </c>
      <c r="T1764" s="2">
        <f t="shared" si="112"/>
        <v>3.2097192251046014</v>
      </c>
      <c r="U1764" s="2">
        <f t="shared" si="113"/>
        <v>22.785975354583158</v>
      </c>
    </row>
    <row r="1765" spans="1:21" x14ac:dyDescent="0.25">
      <c r="A1765">
        <v>3633189</v>
      </c>
      <c r="B1765">
        <v>24</v>
      </c>
      <c r="C1765" s="1">
        <f>0.454178785448599*(10.3/7.3)</f>
        <v>0.64082760138637984</v>
      </c>
      <c r="D1765" s="1">
        <f>0.562454850769482*(10.3/7.3)</f>
        <v>0.79360067985283111</v>
      </c>
      <c r="E1765" s="1">
        <f>1.97460829790437*(10.3/7.3)</f>
        <v>2.7860911600568552</v>
      </c>
      <c r="F1765" s="1">
        <f>4.70852079796234*(38.9/42.5)</f>
        <v>4.3096813891937646</v>
      </c>
      <c r="G1765" s="1">
        <v>0.20874230779852429</v>
      </c>
      <c r="H1765" s="1">
        <v>1.2178226342528609</v>
      </c>
      <c r="I1765" s="1">
        <v>3.6310230585801762</v>
      </c>
      <c r="J1765" s="1">
        <v>1.5419095253105352E-2</v>
      </c>
      <c r="K1765" s="1">
        <v>1.8752558139398714</v>
      </c>
      <c r="L1765" s="1">
        <v>1.8628386946652509</v>
      </c>
      <c r="M1765" s="1">
        <v>9.3693854456566153E-2</v>
      </c>
      <c r="N1765" s="1">
        <v>0.64111803226258612</v>
      </c>
      <c r="O1765" s="1">
        <v>0.22932</v>
      </c>
      <c r="P1765" s="1">
        <v>0.14128438318647968</v>
      </c>
      <c r="Q1765" s="1">
        <v>0.33360642798850954</v>
      </c>
      <c r="R1765" s="2">
        <f t="shared" si="111"/>
        <v>13.9213952591099</v>
      </c>
      <c r="S1765" s="2">
        <f t="shared" si="110"/>
        <v>2.0319592923794563</v>
      </c>
      <c r="T1765" s="2">
        <f t="shared" si="112"/>
        <v>2.826970581384403</v>
      </c>
      <c r="U1765" s="2">
        <f t="shared" si="113"/>
        <v>18.780325132873759</v>
      </c>
    </row>
    <row r="1766" spans="1:21" x14ac:dyDescent="0.25">
      <c r="A1766">
        <v>3633205</v>
      </c>
      <c r="B1766">
        <v>32</v>
      </c>
      <c r="C1766" s="1">
        <f>0.9277398608311*(10.3/7.3)</f>
        <v>1.3090028173370321</v>
      </c>
      <c r="D1766" s="1">
        <f>1.1526406581098*(10.3/7.3)</f>
        <v>1.6263285997987542</v>
      </c>
      <c r="E1766" s="1">
        <f>4.03728408048689*(10.3/7.3)</f>
        <v>5.6964419217828732</v>
      </c>
      <c r="F1766" s="1">
        <f>10.0690799607858*(38.9/42.5)</f>
        <v>9.2161696582250929</v>
      </c>
      <c r="G1766" s="1">
        <v>0.46414785604988945</v>
      </c>
      <c r="H1766" s="1">
        <v>2.4313379405162574</v>
      </c>
      <c r="I1766" s="1">
        <v>7.8134298983943227</v>
      </c>
      <c r="J1766" s="1">
        <v>2.4286772305143818E-2</v>
      </c>
      <c r="K1766" s="1">
        <v>2.9407731469250233</v>
      </c>
      <c r="L1766" s="1">
        <v>3.0795814908726169</v>
      </c>
      <c r="M1766" s="1">
        <v>0.15112374156943417</v>
      </c>
      <c r="N1766" s="1">
        <v>0.98059352146835022</v>
      </c>
      <c r="O1766" s="1">
        <v>0.47607500000000003</v>
      </c>
      <c r="P1766" s="1">
        <v>0.23018181482588548</v>
      </c>
      <c r="Q1766" s="1">
        <v>0.74178881103863703</v>
      </c>
      <c r="R1766" s="2">
        <f t="shared" si="111"/>
        <v>29.298647503142863</v>
      </c>
      <c r="S1766" s="2">
        <f t="shared" si="110"/>
        <v>3.1952417340560526</v>
      </c>
      <c r="T1766" s="2">
        <f t="shared" si="112"/>
        <v>4.6873737539104008</v>
      </c>
      <c r="U1766" s="2">
        <f t="shared" si="113"/>
        <v>37.181262991109314</v>
      </c>
    </row>
    <row r="1767" spans="1:21" x14ac:dyDescent="0.25">
      <c r="A1767">
        <v>3633493</v>
      </c>
      <c r="B1767">
        <v>2</v>
      </c>
      <c r="C1767" s="1">
        <f>1.85643811132222*(10.3/7.3)</f>
        <v>2.6193578830984809</v>
      </c>
      <c r="D1767" s="1">
        <f>2.32161510375873*(10.3/7.3)</f>
        <v>3.2757035025636942</v>
      </c>
      <c r="E1767" s="1">
        <f>8.12500259281731*(10.3/7.3)</f>
        <v>11.464044754249084</v>
      </c>
      <c r="F1767" s="1">
        <f>20.4866850274029*(38.9/42.5)</f>
        <v>18.751342295669954</v>
      </c>
      <c r="G1767" s="1">
        <v>0.95369108345781717</v>
      </c>
      <c r="H1767" s="1">
        <v>4.9227405376264635</v>
      </c>
      <c r="I1767" s="1">
        <v>15.89654819836983</v>
      </c>
      <c r="J1767" s="1">
        <v>4.1125130814960442E-2</v>
      </c>
      <c r="K1767" s="1">
        <v>3.5524871550475492</v>
      </c>
      <c r="L1767" s="1">
        <v>8.4400922863645711</v>
      </c>
      <c r="M1767" s="1">
        <v>0.1714972018512132</v>
      </c>
      <c r="N1767" s="1">
        <v>1.8488258482732327</v>
      </c>
      <c r="O1767" s="1">
        <v>0.27221333333333331</v>
      </c>
      <c r="P1767" s="1">
        <v>0.24046931332573923</v>
      </c>
      <c r="Q1767" s="1">
        <v>1.5241638320102118</v>
      </c>
      <c r="R1767" s="2">
        <f t="shared" si="111"/>
        <v>59.407592087045536</v>
      </c>
      <c r="S1767" s="2">
        <f t="shared" si="110"/>
        <v>3.8340815991882486</v>
      </c>
      <c r="T1767" s="2">
        <f t="shared" si="112"/>
        <v>10.732628669822351</v>
      </c>
      <c r="U1767" s="2">
        <f t="shared" si="113"/>
        <v>73.974302356056128</v>
      </c>
    </row>
    <row r="1768" spans="1:21" x14ac:dyDescent="0.25">
      <c r="A1768">
        <v>3633501</v>
      </c>
      <c r="B1768">
        <v>7</v>
      </c>
      <c r="C1768" s="1">
        <f>2.10929650978718*(10.3/7.3)</f>
        <v>2.9761306918914947</v>
      </c>
      <c r="D1768" s="1">
        <f>2.65567550699785*(10.3/7.3)</f>
        <v>3.7470490030243706</v>
      </c>
      <c r="E1768" s="1">
        <f>9.28860989786774*(10.3/7.3)</f>
        <v>13.105846842196947</v>
      </c>
      <c r="F1768" s="1">
        <f>23.5580783139114*(38.9/42.5)</f>
        <v>21.562570503791807</v>
      </c>
      <c r="G1768" s="1">
        <v>1.1028540432802161</v>
      </c>
      <c r="H1768" s="1">
        <v>4.6158640377666282</v>
      </c>
      <c r="I1768" s="1">
        <v>18.264032052342422</v>
      </c>
      <c r="J1768" s="1">
        <v>4.2851508572182999E-2</v>
      </c>
      <c r="K1768" s="1">
        <v>3.7494826439834403</v>
      </c>
      <c r="L1768" s="1">
        <v>9.4317052686261871</v>
      </c>
      <c r="M1768" s="1">
        <v>0.18641864270576677</v>
      </c>
      <c r="N1768" s="1">
        <v>1.9887296927125802</v>
      </c>
      <c r="O1768" s="1">
        <v>0.28886095238095238</v>
      </c>
      <c r="P1768" s="1">
        <v>0.25215238272602669</v>
      </c>
      <c r="Q1768" s="1">
        <v>1.7625521239638176</v>
      </c>
      <c r="R1768" s="2">
        <f t="shared" si="111"/>
        <v>67.136899298257703</v>
      </c>
      <c r="S1768" s="2">
        <f t="shared" si="110"/>
        <v>4.0444865352816501</v>
      </c>
      <c r="T1768" s="2">
        <f t="shared" si="112"/>
        <v>11.895714556425487</v>
      </c>
      <c r="U1768" s="2">
        <f t="shared" si="113"/>
        <v>83.077100389964841</v>
      </c>
    </row>
    <row r="1769" spans="1:21" x14ac:dyDescent="0.25">
      <c r="A1769">
        <v>3633509</v>
      </c>
      <c r="B1769">
        <v>22</v>
      </c>
      <c r="C1769" s="1">
        <f>1.69380832495169*(10.3/7.3)</f>
        <v>2.3898939379455326</v>
      </c>
      <c r="D1769" s="1">
        <f>2.11465374187599*(10.3/7.3)</f>
        <v>2.9836895262085839</v>
      </c>
      <c r="E1769" s="1">
        <f>7.40867920316422*(10.3/7.3)</f>
        <v>10.453341889396087</v>
      </c>
      <c r="F1769" s="1">
        <f>18.3022299794078*(38.9/42.5)</f>
        <v>16.751923439975645</v>
      </c>
      <c r="G1769" s="1">
        <v>0.8376223424635163</v>
      </c>
      <c r="H1769" s="1">
        <v>4.5953823380460808</v>
      </c>
      <c r="I1769" s="1">
        <v>14.162475450154613</v>
      </c>
      <c r="J1769" s="1">
        <v>3.4944711669673827E-2</v>
      </c>
      <c r="K1769" s="1">
        <v>3.2052846859840871</v>
      </c>
      <c r="L1769" s="1">
        <v>8.0373648237117816</v>
      </c>
      <c r="M1769" s="1">
        <v>0.1622667456166085</v>
      </c>
      <c r="N1769" s="1">
        <v>1.7171140168795589</v>
      </c>
      <c r="O1769" s="1">
        <v>0.24743515151515147</v>
      </c>
      <c r="P1769" s="1">
        <v>0.21769842295035441</v>
      </c>
      <c r="Q1769" s="1">
        <v>1.3386658441197761</v>
      </c>
      <c r="R1769" s="2">
        <f t="shared" si="111"/>
        <v>53.512994768309838</v>
      </c>
      <c r="S1769" s="2">
        <f t="shared" si="110"/>
        <v>3.4579278206041151</v>
      </c>
      <c r="T1769" s="2">
        <f t="shared" si="112"/>
        <v>10.164180737723102</v>
      </c>
      <c r="U1769" s="2">
        <f t="shared" si="113"/>
        <v>67.135103326637051</v>
      </c>
    </row>
    <row r="1770" spans="1:21" x14ac:dyDescent="0.25">
      <c r="A1770">
        <v>3633517</v>
      </c>
      <c r="B1770">
        <v>44</v>
      </c>
      <c r="C1770" s="1">
        <f>1.8552251317289*(10.3/7.3)</f>
        <v>2.6176464187407786</v>
      </c>
      <c r="D1770" s="1">
        <f>2.33226057791641*(10.3/7.3)</f>
        <v>3.2907238291149379</v>
      </c>
      <c r="E1770" s="1">
        <f>8.16726624386129*(10.3/7.3)</f>
        <v>11.523677029009768</v>
      </c>
      <c r="F1770" s="1">
        <f>20.2400317062206*(38.9/42.5)</f>
        <v>18.525581961693703</v>
      </c>
      <c r="G1770" s="1">
        <v>0.92968384039951879</v>
      </c>
      <c r="H1770" s="1">
        <v>5.5183675602771514</v>
      </c>
      <c r="I1770" s="1">
        <v>15.640628384169206</v>
      </c>
      <c r="J1770" s="1">
        <v>3.6650286707177564E-2</v>
      </c>
      <c r="K1770" s="1">
        <v>3.3308466388674605</v>
      </c>
      <c r="L1770" s="1">
        <v>8.1283008242010979</v>
      </c>
      <c r="M1770" s="1">
        <v>0.17107652218480174</v>
      </c>
      <c r="N1770" s="1">
        <v>1.8340552268223755</v>
      </c>
      <c r="O1770" s="1">
        <v>0.25364242424242428</v>
      </c>
      <c r="P1770" s="1">
        <v>0.22256105808960128</v>
      </c>
      <c r="Q1770" s="1">
        <v>1.4857960919627031</v>
      </c>
      <c r="R1770" s="2">
        <f t="shared" si="111"/>
        <v>59.532105115367763</v>
      </c>
      <c r="S1770" s="2">
        <f t="shared" si="110"/>
        <v>3.5900579836642392</v>
      </c>
      <c r="T1770" s="2">
        <f t="shared" si="112"/>
        <v>10.387074997450698</v>
      </c>
      <c r="U1770" s="2">
        <f t="shared" si="113"/>
        <v>73.509238096482704</v>
      </c>
    </row>
    <row r="1771" spans="1:21" x14ac:dyDescent="0.25">
      <c r="A1771">
        <v>3633525</v>
      </c>
      <c r="B1771">
        <v>30</v>
      </c>
      <c r="C1771" s="1">
        <f>1.68665959049273*(10.3/7.3)</f>
        <v>2.3798073674075471</v>
      </c>
      <c r="D1771" s="1">
        <f>2.12627916749593*(10.3/7.3)</f>
        <v>3.0000925240011078</v>
      </c>
      <c r="E1771" s="1">
        <f>7.44712526047158*(10.3/7.3)</f>
        <v>10.507587696281815</v>
      </c>
      <c r="F1771" s="1">
        <f>18.3478912803298*(38.9/42.5)</f>
        <v>16.793716960113596</v>
      </c>
      <c r="G1771" s="1">
        <v>0.83902140346747578</v>
      </c>
      <c r="H1771" s="1">
        <v>4.5059899341681282</v>
      </c>
      <c r="I1771" s="1">
        <v>14.154512254526894</v>
      </c>
      <c r="J1771" s="1">
        <v>3.4247463285010424E-2</v>
      </c>
      <c r="K1771" s="1">
        <v>3.0635968480140927</v>
      </c>
      <c r="L1771" s="1">
        <v>9.2832580257949395</v>
      </c>
      <c r="M1771" s="1">
        <v>0.16212168076982233</v>
      </c>
      <c r="N1771" s="1">
        <v>1.7162149275140166</v>
      </c>
      <c r="O1771" s="1">
        <v>0.23016177777777777</v>
      </c>
      <c r="P1771" s="1">
        <v>0.20266985872993529</v>
      </c>
      <c r="Q1771" s="1">
        <v>1.3409017863635468</v>
      </c>
      <c r="R1771" s="2">
        <f t="shared" si="111"/>
        <v>53.521629926330107</v>
      </c>
      <c r="S1771" s="2">
        <f t="shared" si="110"/>
        <v>3.3005141700290386</v>
      </c>
      <c r="T1771" s="2">
        <f t="shared" si="112"/>
        <v>11.391756411856555</v>
      </c>
      <c r="U1771" s="2">
        <f t="shared" si="113"/>
        <v>68.213900508215701</v>
      </c>
    </row>
    <row r="1772" spans="1:21" x14ac:dyDescent="0.25">
      <c r="A1772">
        <v>3633589</v>
      </c>
      <c r="B1772">
        <v>21</v>
      </c>
      <c r="C1772" s="1">
        <f>2.35396147679872*(10.3/7.3)</f>
        <v>3.3213429056201078</v>
      </c>
      <c r="D1772" s="1">
        <f>3.45430006415097*(10.3/7.3)</f>
        <v>4.8738754329801335</v>
      </c>
      <c r="E1772" s="1">
        <f>12.0386892987933*(10.3/7.3)</f>
        <v>16.98609585994118</v>
      </c>
      <c r="F1772" s="1">
        <f>28.8166660388563*(38.9/42.5)</f>
        <v>26.375724915564934</v>
      </c>
      <c r="G1772" s="1">
        <v>1.3134944496786143</v>
      </c>
      <c r="H1772" s="1">
        <v>8.3266943323969791</v>
      </c>
      <c r="I1772" s="1">
        <v>21.251065261042434</v>
      </c>
      <c r="J1772" s="1">
        <v>3.5073514027879962E-2</v>
      </c>
      <c r="K1772" s="1">
        <v>2.9449553499857797</v>
      </c>
      <c r="L1772" s="1">
        <v>5.7120572141670678</v>
      </c>
      <c r="M1772" s="1">
        <v>0.15863530267934478</v>
      </c>
      <c r="N1772" s="1">
        <v>1.7698559820391933</v>
      </c>
      <c r="O1772" s="1">
        <v>0.19774984126984124</v>
      </c>
      <c r="P1772" s="1">
        <v>0.16386339773854566</v>
      </c>
      <c r="Q1772" s="1">
        <v>2.0991920428653676</v>
      </c>
      <c r="R1772" s="2">
        <f t="shared" si="111"/>
        <v>84.547485200089753</v>
      </c>
      <c r="S1772" s="2">
        <f t="shared" si="110"/>
        <v>3.1438922617522054</v>
      </c>
      <c r="T1772" s="2">
        <f t="shared" si="112"/>
        <v>7.8382983401554469</v>
      </c>
      <c r="U1772" s="2">
        <f t="shared" si="113"/>
        <v>95.529675801997399</v>
      </c>
    </row>
    <row r="1773" spans="1:21" x14ac:dyDescent="0.25">
      <c r="A1773">
        <v>3633597</v>
      </c>
      <c r="B1773">
        <v>14</v>
      </c>
      <c r="C1773" s="1">
        <f>2.4155829091879*(10.3/7.3)</f>
        <v>3.4082882143336164</v>
      </c>
      <c r="D1773" s="1">
        <f>3.43865497736315*(10.3/7.3)</f>
        <v>4.8518008584712939</v>
      </c>
      <c r="E1773" s="1">
        <f>11.9637642206952*(10.3/7.3)</f>
        <v>16.880379653857588</v>
      </c>
      <c r="F1773" s="1">
        <f>30.4023763658047*(38.9/42.5)</f>
        <v>27.827116250113001</v>
      </c>
      <c r="G1773" s="1">
        <v>1.4484050648325115</v>
      </c>
      <c r="H1773" s="1">
        <v>8.9618015217081464</v>
      </c>
      <c r="I1773" s="1">
        <v>22.862896390777596</v>
      </c>
      <c r="J1773" s="1">
        <v>3.5379226755721457E-2</v>
      </c>
      <c r="K1773" s="1">
        <v>3.0611875675664826</v>
      </c>
      <c r="L1773" s="1">
        <v>5.7244692561246264</v>
      </c>
      <c r="M1773" s="1">
        <v>0.16215999439625545</v>
      </c>
      <c r="N1773" s="1">
        <v>1.8573327290483319</v>
      </c>
      <c r="O1773" s="1">
        <v>0.19917333333333334</v>
      </c>
      <c r="P1773" s="1">
        <v>0.16563673778474261</v>
      </c>
      <c r="Q1773" s="1">
        <v>2.3148026150291301</v>
      </c>
      <c r="R1773" s="2">
        <f t="shared" si="111"/>
        <v>88.555490569122895</v>
      </c>
      <c r="S1773" s="2">
        <f t="shared" si="110"/>
        <v>3.2622035321069469</v>
      </c>
      <c r="T1773" s="2">
        <f t="shared" si="112"/>
        <v>7.9431353129025473</v>
      </c>
      <c r="U1773" s="2">
        <f t="shared" si="113"/>
        <v>99.760829414132388</v>
      </c>
    </row>
    <row r="1774" spans="1:21" x14ac:dyDescent="0.25">
      <c r="A1774">
        <v>3633677</v>
      </c>
      <c r="B1774">
        <v>1</v>
      </c>
      <c r="C1774" s="1">
        <f>4.93881840386088*(10.3/7.3)</f>
        <v>6.9684698027078236</v>
      </c>
      <c r="D1774" s="1">
        <f>6.9492429176279*(10.3/7.3)</f>
        <v>9.8050961714475839</v>
      </c>
      <c r="E1774" s="1">
        <f>24.4201737147425*(10.3/7.3)</f>
        <v>34.455861542718928</v>
      </c>
      <c r="F1774" s="1">
        <f>50.2670468820649*(38.9/42.5)</f>
        <v>46.00913232264292</v>
      </c>
      <c r="G1774" s="1">
        <v>1.9613515222601001</v>
      </c>
      <c r="H1774" s="1">
        <v>8.0315746335481926</v>
      </c>
      <c r="I1774" s="1">
        <v>36.24461333807092</v>
      </c>
      <c r="J1774" s="1">
        <v>4.1566424005711144E-2</v>
      </c>
      <c r="K1774" s="1">
        <v>3.5841841009314011</v>
      </c>
      <c r="L1774" s="1">
        <v>6.334127285472146</v>
      </c>
      <c r="M1774" s="1">
        <v>0.17291023477153336</v>
      </c>
      <c r="N1774" s="1">
        <v>2.3087291863924535</v>
      </c>
      <c r="O1774" s="1">
        <v>0.17994666666666664</v>
      </c>
      <c r="P1774" s="1">
        <v>0.1417284509000844</v>
      </c>
      <c r="Q1774" s="1">
        <v>3.1345800584065557</v>
      </c>
      <c r="R1774" s="2">
        <f t="shared" si="111"/>
        <v>146.61067939180302</v>
      </c>
      <c r="S1774" s="2">
        <f t="shared" si="110"/>
        <v>3.7674789758371965</v>
      </c>
      <c r="T1774" s="2">
        <f t="shared" si="112"/>
        <v>8.9957133733027987</v>
      </c>
      <c r="U1774" s="2">
        <f t="shared" si="113"/>
        <v>159.37387174094303</v>
      </c>
    </row>
    <row r="1775" spans="1:21" x14ac:dyDescent="0.25">
      <c r="A1775">
        <v>3633685</v>
      </c>
      <c r="B1775">
        <v>33</v>
      </c>
      <c r="C1775" s="1">
        <f>4.42045972153191*(10.3/7.3)</f>
        <v>6.2370870043532403</v>
      </c>
      <c r="D1775" s="1">
        <f>6.19364958567207*(10.3/7.3)</f>
        <v>8.7389850318386699</v>
      </c>
      <c r="E1775" s="1">
        <f>21.7305171245763*(10.3/7.3)</f>
        <v>30.660866627826863</v>
      </c>
      <c r="F1775" s="1">
        <f>46.6586344647078*(38.9/42.5)</f>
        <v>42.706373662991368</v>
      </c>
      <c r="G1775" s="1">
        <v>1.9060133435768776</v>
      </c>
      <c r="H1775" s="1">
        <v>9.5857117576754582</v>
      </c>
      <c r="I1775" s="1">
        <v>34.020956549692322</v>
      </c>
      <c r="J1775" s="1">
        <v>3.9438393030500118E-2</v>
      </c>
      <c r="K1775" s="1">
        <v>3.3014280203843667</v>
      </c>
      <c r="L1775" s="1">
        <v>6.0790808835104544</v>
      </c>
      <c r="M1775" s="1">
        <v>0.16711647270876123</v>
      </c>
      <c r="N1775" s="1">
        <v>2.1769019116809645</v>
      </c>
      <c r="O1775" s="1">
        <v>0.17402828282828284</v>
      </c>
      <c r="P1775" s="1">
        <v>0.14058314806020877</v>
      </c>
      <c r="Q1775" s="1">
        <v>3.0461400468123658</v>
      </c>
      <c r="R1775" s="2">
        <f t="shared" si="111"/>
        <v>136.90213402476715</v>
      </c>
      <c r="S1775" s="2">
        <f t="shared" si="110"/>
        <v>3.4814495614750758</v>
      </c>
      <c r="T1775" s="2">
        <f t="shared" si="112"/>
        <v>8.5971275507284641</v>
      </c>
      <c r="U1775" s="2">
        <f t="shared" si="113"/>
        <v>148.98071113697068</v>
      </c>
    </row>
    <row r="1776" spans="1:21" x14ac:dyDescent="0.25">
      <c r="A1776">
        <v>3633701</v>
      </c>
      <c r="B1776">
        <v>15</v>
      </c>
      <c r="C1776" s="1">
        <f>4.68922220495609*(10.3/7.3)</f>
        <v>6.6162998234311914</v>
      </c>
      <c r="D1776" s="1">
        <f>5.39932917292051*(10.3/7.3)</f>
        <v>7.6182315727508501</v>
      </c>
      <c r="E1776" s="1">
        <f>19.1518614698996*(10.3/7.3)</f>
        <v>27.02248947122823</v>
      </c>
      <c r="F1776" s="1">
        <f>38.9909781536429*(38.9/42.5)</f>
        <v>35.688212945334293</v>
      </c>
      <c r="G1776" s="1">
        <v>1.4397550488713091</v>
      </c>
      <c r="H1776" s="1">
        <v>5.9296825518394689</v>
      </c>
      <c r="I1776" s="1">
        <v>29.976915044204762</v>
      </c>
      <c r="J1776" s="1">
        <v>3.7604403217471126E-2</v>
      </c>
      <c r="K1776" s="1">
        <v>2.913506685610888</v>
      </c>
      <c r="L1776" s="1">
        <v>12.744141707098043</v>
      </c>
      <c r="M1776" s="1">
        <v>0.15342350612197794</v>
      </c>
      <c r="N1776" s="1">
        <v>1.8842783407473567</v>
      </c>
      <c r="O1776" s="1">
        <v>0.15615288888888887</v>
      </c>
      <c r="P1776" s="1">
        <v>0.12664909293626622</v>
      </c>
      <c r="Q1776" s="1">
        <v>2.3009783886071173</v>
      </c>
      <c r="R1776" s="2">
        <f t="shared" si="111"/>
        <v>116.59256484626721</v>
      </c>
      <c r="S1776" s="2">
        <f t="shared" si="110"/>
        <v>3.0777601817646252</v>
      </c>
      <c r="T1776" s="2">
        <f t="shared" si="112"/>
        <v>14.937996442856265</v>
      </c>
      <c r="U1776" s="2">
        <f t="shared" si="113"/>
        <v>134.60832147088811</v>
      </c>
    </row>
    <row r="1777" spans="1:21" x14ac:dyDescent="0.25">
      <c r="A1777">
        <v>3633709</v>
      </c>
      <c r="B1777">
        <v>13</v>
      </c>
      <c r="C1777" s="1">
        <f>5.17840624454446*(10.3/7.3)</f>
        <v>7.306518399836702</v>
      </c>
      <c r="D1777" s="1">
        <f>5.58949772273098*(10.3/7.3)</f>
        <v>7.8865515813875522</v>
      </c>
      <c r="E1777" s="1">
        <f>19.9096121221036*(10.3/7.3)</f>
        <v>28.091644501050315</v>
      </c>
      <c r="F1777" s="1">
        <f>39.5917676039309*(38.9/42.5)</f>
        <v>36.238111995127348</v>
      </c>
      <c r="G1777" s="1">
        <v>1.3941739569945131</v>
      </c>
      <c r="H1777" s="1">
        <v>6.0362775476729817</v>
      </c>
      <c r="I1777" s="1">
        <v>31.048469143544885</v>
      </c>
      <c r="J1777" s="1">
        <v>3.633292177161581E-2</v>
      </c>
      <c r="K1777" s="1">
        <v>2.825006003529142</v>
      </c>
      <c r="L1777" s="1">
        <v>10.143911768866214</v>
      </c>
      <c r="M1777" s="1">
        <v>0.15078209884391144</v>
      </c>
      <c r="N1777" s="1">
        <v>1.8271972280716351</v>
      </c>
      <c r="O1777" s="1">
        <v>0.15259076923076925</v>
      </c>
      <c r="P1777" s="1">
        <v>0.12264205773406721</v>
      </c>
      <c r="Q1777" s="1">
        <v>2.2281318947400917</v>
      </c>
      <c r="R1777" s="2">
        <f t="shared" si="111"/>
        <v>120.22987902035437</v>
      </c>
      <c r="S1777" s="2">
        <f t="shared" si="110"/>
        <v>2.983980983034825</v>
      </c>
      <c r="T1777" s="2">
        <f t="shared" si="112"/>
        <v>12.274481865012531</v>
      </c>
      <c r="U1777" s="2">
        <f t="shared" si="113"/>
        <v>135.48834186840173</v>
      </c>
    </row>
    <row r="1778" spans="1:21" x14ac:dyDescent="0.25">
      <c r="A1778">
        <v>3633717</v>
      </c>
      <c r="B1778">
        <v>3</v>
      </c>
      <c r="C1778" s="1">
        <f>5.89471874009202*(10.3/7.3)</f>
        <v>8.3172058935544992</v>
      </c>
      <c r="D1778" s="1">
        <f>6.11251113607228*(10.3/7.3)</f>
        <v>8.6245020139101971</v>
      </c>
      <c r="E1778" s="1">
        <f>21.8340017574717*(10.3/7.3)</f>
        <v>30.806879192049067</v>
      </c>
      <c r="F1778" s="1">
        <f>42.6509243689906*(38.9/42.5)</f>
        <v>39.038140187146688</v>
      </c>
      <c r="G1778" s="1">
        <v>1.447766404469162</v>
      </c>
      <c r="H1778" s="1">
        <v>10.522896752556241</v>
      </c>
      <c r="I1778" s="1">
        <v>33.881083605331845</v>
      </c>
      <c r="J1778" s="1">
        <v>3.589750378606741E-2</v>
      </c>
      <c r="K1778" s="1">
        <v>2.7324647270322764</v>
      </c>
      <c r="L1778" s="1">
        <v>9.3102910014797171</v>
      </c>
      <c r="M1778" s="1">
        <v>0.15027176252816821</v>
      </c>
      <c r="N1778" s="1">
        <v>2.0981010009921879</v>
      </c>
      <c r="O1778" s="1">
        <v>0.15311999999999998</v>
      </c>
      <c r="P1778" s="1">
        <v>0.12170954759792346</v>
      </c>
      <c r="Q1778" s="1">
        <v>2.3137819249507179</v>
      </c>
      <c r="R1778" s="2">
        <f t="shared" si="111"/>
        <v>134.95225597396842</v>
      </c>
      <c r="S1778" s="2">
        <f t="shared" si="110"/>
        <v>2.8900717784162673</v>
      </c>
      <c r="T1778" s="2">
        <f t="shared" si="112"/>
        <v>11.711783765000073</v>
      </c>
      <c r="U1778" s="2">
        <f t="shared" si="113"/>
        <v>149.55411151738474</v>
      </c>
    </row>
    <row r="1779" spans="1:21" x14ac:dyDescent="0.25">
      <c r="A1779">
        <v>3645385</v>
      </c>
      <c r="B1779">
        <v>39</v>
      </c>
      <c r="C1779" s="1">
        <f>0.614241539345687*(10.3/7.3)</f>
        <v>0.86666956921377802</v>
      </c>
      <c r="D1779" s="1">
        <f>0.768956303180724*(10.3/7.3)</f>
        <v>1.0849657428440349</v>
      </c>
      <c r="E1779" s="1">
        <f>2.70182129372199*(10.3/7.3)</f>
        <v>3.8121588116899363</v>
      </c>
      <c r="F1779" s="1">
        <f>6.26092363437258*(38.9/42.5)</f>
        <v>5.7305865735786705</v>
      </c>
      <c r="G1779" s="1">
        <v>0.27084269386739052</v>
      </c>
      <c r="H1779" s="1">
        <v>1.4493336408287716</v>
      </c>
      <c r="I1779" s="1">
        <v>4.7902935144552288</v>
      </c>
      <c r="J1779" s="1">
        <v>1.6521947429644943E-2</v>
      </c>
      <c r="K1779" s="1">
        <v>2.0924462589743387</v>
      </c>
      <c r="L1779" s="1">
        <v>2.0234604706495634</v>
      </c>
      <c r="M1779" s="1">
        <v>0.10907158405821428</v>
      </c>
      <c r="N1779" s="1">
        <v>0.66437030205135805</v>
      </c>
      <c r="O1779" s="1">
        <v>0.32249982905982921</v>
      </c>
      <c r="P1779" s="1">
        <v>0.15671391156597436</v>
      </c>
      <c r="Q1779" s="1">
        <v>0.43285362033601271</v>
      </c>
      <c r="R1779" s="2">
        <f t="shared" si="111"/>
        <v>18.437704166813823</v>
      </c>
      <c r="S1779" s="2">
        <f t="shared" si="110"/>
        <v>2.2656821179699582</v>
      </c>
      <c r="T1779" s="2">
        <f t="shared" si="112"/>
        <v>3.1194021858189651</v>
      </c>
      <c r="U1779" s="2">
        <f t="shared" si="113"/>
        <v>23.822788470602749</v>
      </c>
    </row>
    <row r="1780" spans="1:21" x14ac:dyDescent="0.25">
      <c r="A1780">
        <v>3645393</v>
      </c>
      <c r="B1780">
        <v>18</v>
      </c>
      <c r="C1780" s="1">
        <f>0.56336163334363*(10.3/7.3)</f>
        <v>0.79488011279991588</v>
      </c>
      <c r="D1780" s="1">
        <f>0.703188272068826*(10.3/7.3)</f>
        <v>0.99216975374094585</v>
      </c>
      <c r="E1780" s="1">
        <f>2.46951492237786*(10.3/7.3)</f>
        <v>3.4843840685605363</v>
      </c>
      <c r="F1780" s="1">
        <f>5.8013463571297*(38.9/42.5)</f>
        <v>5.3099381951140057</v>
      </c>
      <c r="G1780" s="1">
        <v>0.25405057706882284</v>
      </c>
      <c r="H1780" s="1">
        <v>3.7828720256329769</v>
      </c>
      <c r="I1780" s="1">
        <v>4.4527450069891863</v>
      </c>
      <c r="J1780" s="1">
        <v>1.6942169668404686E-2</v>
      </c>
      <c r="K1780" s="1">
        <v>2.1408467850518194</v>
      </c>
      <c r="L1780" s="1">
        <v>2.014727138297598</v>
      </c>
      <c r="M1780" s="1">
        <v>0.1053275309671661</v>
      </c>
      <c r="N1780" s="1">
        <v>0.70179588496339895</v>
      </c>
      <c r="O1780" s="1">
        <v>0.33903703703703703</v>
      </c>
      <c r="P1780" s="1">
        <v>0.16575322647776916</v>
      </c>
      <c r="Q1780" s="1">
        <v>0.40601690399126977</v>
      </c>
      <c r="R1780" s="2">
        <f t="shared" si="111"/>
        <v>19.477056643897658</v>
      </c>
      <c r="S1780" s="2">
        <f t="shared" si="110"/>
        <v>2.3235421811979933</v>
      </c>
      <c r="T1780" s="2">
        <f t="shared" si="112"/>
        <v>3.1608875912652001</v>
      </c>
      <c r="U1780" s="2">
        <f t="shared" si="113"/>
        <v>24.961486416360852</v>
      </c>
    </row>
    <row r="1781" spans="1:21" x14ac:dyDescent="0.25">
      <c r="A1781">
        <v>3645401</v>
      </c>
      <c r="B1781">
        <v>30</v>
      </c>
      <c r="C1781" s="1">
        <f>0.559347737024363*(10.3/7.3)</f>
        <v>0.78921667004807339</v>
      </c>
      <c r="D1781" s="1">
        <f>0.695954081204684*(10.3/7.3)</f>
        <v>0.98196260772715649</v>
      </c>
      <c r="E1781" s="1">
        <f>2.44426771723046*(10.3/7.3)</f>
        <v>3.4487612996539379</v>
      </c>
      <c r="F1781" s="1">
        <f>5.75191515883501*(38.9/42.5)</f>
        <v>5.2646941100866291</v>
      </c>
      <c r="G1781" s="1">
        <v>0.25215384094439069</v>
      </c>
      <c r="H1781" s="1">
        <v>2.9068970423652774</v>
      </c>
      <c r="I1781" s="1">
        <v>4.4201098036007602</v>
      </c>
      <c r="J1781" s="1">
        <v>1.7750169957195892E-2</v>
      </c>
      <c r="K1781" s="1">
        <v>2.1645044935817332</v>
      </c>
      <c r="L1781" s="1">
        <v>2.0413579678899607</v>
      </c>
      <c r="M1781" s="1">
        <v>0.1040953994057517</v>
      </c>
      <c r="N1781" s="1">
        <v>0.73182057359747932</v>
      </c>
      <c r="O1781" s="1">
        <v>0.3329813333333333</v>
      </c>
      <c r="P1781" s="1">
        <v>0.16948628864404408</v>
      </c>
      <c r="Q1781" s="1">
        <v>0.4029855905503964</v>
      </c>
      <c r="R1781" s="2">
        <f t="shared" si="111"/>
        <v>18.466780964976621</v>
      </c>
      <c r="S1781" s="2">
        <f t="shared" si="110"/>
        <v>2.3517409521829733</v>
      </c>
      <c r="T1781" s="2">
        <f t="shared" si="112"/>
        <v>3.2102552742265247</v>
      </c>
      <c r="U1781" s="2">
        <f t="shared" si="113"/>
        <v>24.028777191386119</v>
      </c>
    </row>
    <row r="1782" spans="1:21" x14ac:dyDescent="0.25">
      <c r="A1782">
        <v>3645425</v>
      </c>
      <c r="B1782">
        <v>4</v>
      </c>
      <c r="C1782" s="1">
        <f>0.354300476706004*(10.3/7.3)</f>
        <v>0.49990341233860852</v>
      </c>
      <c r="D1782" s="1">
        <f>0.436693111696542*(10.3/7.3)</f>
        <v>0.61615603431155919</v>
      </c>
      <c r="E1782" s="1">
        <f>1.53513261373572*(10.3/7.3)</f>
        <v>2.1660090303394459</v>
      </c>
      <c r="F1782" s="1">
        <f>3.57389200515519*(38.9/42.5)</f>
        <v>3.2711623294243983</v>
      </c>
      <c r="G1782" s="1">
        <v>0.15488024739510142</v>
      </c>
      <c r="H1782" s="1">
        <v>0.94751418434048773</v>
      </c>
      <c r="I1782" s="1">
        <v>2.7489710819471962</v>
      </c>
      <c r="J1782" s="1">
        <v>1.348490154043998E-2</v>
      </c>
      <c r="K1782" s="1">
        <v>1.6220694238194642</v>
      </c>
      <c r="L1782" s="1">
        <v>1.6129594184297753</v>
      </c>
      <c r="M1782" s="1">
        <v>8.3304443286411609E-2</v>
      </c>
      <c r="N1782" s="1">
        <v>0.5593982624178897</v>
      </c>
      <c r="O1782" s="1">
        <v>0.1912666666666667</v>
      </c>
      <c r="P1782" s="1">
        <v>0.11883677790568475</v>
      </c>
      <c r="Q1782" s="1">
        <v>0.24752550953555047</v>
      </c>
      <c r="R1782" s="2">
        <f t="shared" si="111"/>
        <v>10.652121829632348</v>
      </c>
      <c r="S1782" s="2">
        <f t="shared" si="110"/>
        <v>1.7543911032655888</v>
      </c>
      <c r="T1782" s="2">
        <f t="shared" si="112"/>
        <v>2.4469287908007429</v>
      </c>
      <c r="U1782" s="2">
        <f t="shared" si="113"/>
        <v>14.85344172369868</v>
      </c>
    </row>
    <row r="1783" spans="1:21" x14ac:dyDescent="0.25">
      <c r="A1783">
        <v>3645433</v>
      </c>
      <c r="B1783">
        <v>13</v>
      </c>
      <c r="C1783" s="1">
        <f>0.825383174938041*(10.3/7.3)</f>
        <v>1.1645817399810716</v>
      </c>
      <c r="D1783" s="1">
        <f>1.03324619226565*(10.3/7.3)</f>
        <v>1.4578679151145413</v>
      </c>
      <c r="E1783" s="1">
        <f>3.61641149103311*(10.3/7.3)</f>
        <v>5.1026079941974087</v>
      </c>
      <c r="F1783" s="1">
        <f>9.0928669000753*(38.9/42.5)</f>
        <v>8.3226475861865659</v>
      </c>
      <c r="G1783" s="1">
        <v>0.42238716905699858</v>
      </c>
      <c r="H1783" s="1">
        <v>2.3518253064256647</v>
      </c>
      <c r="I1783" s="1">
        <v>7.0505887132245135</v>
      </c>
      <c r="J1783" s="1">
        <v>2.2782740173372475E-2</v>
      </c>
      <c r="K1783" s="1">
        <v>2.8058610451331529</v>
      </c>
      <c r="L1783" s="1">
        <v>2.8531066608362434</v>
      </c>
      <c r="M1783" s="1">
        <v>0.14479316069992892</v>
      </c>
      <c r="N1783" s="1">
        <v>0.93454155956602081</v>
      </c>
      <c r="O1783" s="1">
        <v>0.45585230769230772</v>
      </c>
      <c r="P1783" s="1">
        <v>0.2202178777124337</v>
      </c>
      <c r="Q1783" s="1">
        <v>0.67504798707739566</v>
      </c>
      <c r="R1783" s="2">
        <f t="shared" si="111"/>
        <v>26.547554411264159</v>
      </c>
      <c r="S1783" s="2">
        <f t="shared" si="110"/>
        <v>3.0488616630189593</v>
      </c>
      <c r="T1783" s="2">
        <f t="shared" si="112"/>
        <v>4.3882936887945005</v>
      </c>
      <c r="U1783" s="2">
        <f t="shared" si="113"/>
        <v>33.984709763077618</v>
      </c>
    </row>
    <row r="1784" spans="1:21" x14ac:dyDescent="0.25">
      <c r="A1784">
        <v>3645729</v>
      </c>
      <c r="B1784">
        <v>19</v>
      </c>
      <c r="C1784" s="1">
        <f>1.79979682385519*(10.3/7.3)</f>
        <v>2.5394393542066447</v>
      </c>
      <c r="D1784" s="1">
        <f>2.26137212099049*(10.3/7.3)</f>
        <v>3.1907031296167161</v>
      </c>
      <c r="E1784" s="1">
        <f>7.90953017083758*(10.3/7.3)</f>
        <v>11.16002202186672</v>
      </c>
      <c r="F1784" s="1">
        <f>20.0947112005416*(38.9/42.5)</f>
        <v>18.392570957672234</v>
      </c>
      <c r="G1784" s="1">
        <v>0.94172769753155894</v>
      </c>
      <c r="H1784" s="1">
        <v>4.1263719638780261</v>
      </c>
      <c r="I1784" s="1">
        <v>15.591444355815485</v>
      </c>
      <c r="J1784" s="1">
        <v>4.3064051605495687E-2</v>
      </c>
      <c r="K1784" s="1">
        <v>3.6217326969815353</v>
      </c>
      <c r="L1784" s="1">
        <v>10.00266204644276</v>
      </c>
      <c r="M1784" s="1">
        <v>0.17415858542726015</v>
      </c>
      <c r="N1784" s="1">
        <v>1.9102489338089763</v>
      </c>
      <c r="O1784" s="1">
        <v>0.27540771929824565</v>
      </c>
      <c r="P1784" s="1">
        <v>0.24624200680872721</v>
      </c>
      <c r="Q1784" s="1">
        <v>1.5050442654613971</v>
      </c>
      <c r="R1784" s="2">
        <f t="shared" si="111"/>
        <v>57.447323746048788</v>
      </c>
      <c r="S1784" s="2">
        <f t="shared" si="110"/>
        <v>3.911038755395758</v>
      </c>
      <c r="T1784" s="2">
        <f t="shared" si="112"/>
        <v>12.362477284977242</v>
      </c>
      <c r="U1784" s="2">
        <f t="shared" si="113"/>
        <v>73.720839786421791</v>
      </c>
    </row>
    <row r="1785" spans="1:21" x14ac:dyDescent="0.25">
      <c r="A1785">
        <v>3645745</v>
      </c>
      <c r="B1785">
        <v>18</v>
      </c>
      <c r="C1785" s="1">
        <f>1.59190596966382*(10.3/7.3)</f>
        <v>2.24611390240237</v>
      </c>
      <c r="D1785" s="1">
        <f>1.99675278262144*(10.3/7.3)</f>
        <v>2.8173361179453229</v>
      </c>
      <c r="E1785" s="1">
        <f>6.99154026031441*(10.3/7.3)</f>
        <v>9.8647759837312918</v>
      </c>
      <c r="F1785" s="1">
        <f>17.4041292054458*(38.9/42.5)</f>
        <v>15.929897084513932</v>
      </c>
      <c r="G1785" s="1">
        <v>0.80212505757492281</v>
      </c>
      <c r="H1785" s="1">
        <v>3.6419956909783568</v>
      </c>
      <c r="I1785" s="1">
        <v>13.466839697002069</v>
      </c>
      <c r="J1785" s="1">
        <v>3.4243125787836372E-2</v>
      </c>
      <c r="K1785" s="1">
        <v>3.1141457627277589</v>
      </c>
      <c r="L1785" s="1">
        <v>7.2220955781109257</v>
      </c>
      <c r="M1785" s="1">
        <v>0.15951905196176319</v>
      </c>
      <c r="N1785" s="1">
        <v>1.6972806432187499</v>
      </c>
      <c r="O1785" s="1">
        <v>0.23658370370370368</v>
      </c>
      <c r="P1785" s="1">
        <v>0.21156575168124744</v>
      </c>
      <c r="Q1785" s="1">
        <v>1.2819350235215676</v>
      </c>
      <c r="R1785" s="2">
        <f t="shared" si="111"/>
        <v>50.051018557669835</v>
      </c>
      <c r="S1785" s="2">
        <f t="shared" si="110"/>
        <v>3.3599546401968423</v>
      </c>
      <c r="T1785" s="2">
        <f t="shared" si="112"/>
        <v>9.3154789769951414</v>
      </c>
      <c r="U1785" s="2">
        <f t="shared" si="113"/>
        <v>62.726452174861819</v>
      </c>
    </row>
    <row r="1786" spans="1:21" x14ac:dyDescent="0.25">
      <c r="A1786">
        <v>3645761</v>
      </c>
      <c r="B1786">
        <v>14</v>
      </c>
      <c r="C1786" s="1">
        <f>1.65564214188415*(10.3/7.3)</f>
        <v>2.33604302211051</v>
      </c>
      <c r="D1786" s="1">
        <f>2.10036419447603*(10.3/7.3)</f>
        <v>2.9635275620689234</v>
      </c>
      <c r="E1786" s="1">
        <f>7.35032456768722*(10.3/7.3)</f>
        <v>10.371005896873747</v>
      </c>
      <c r="F1786" s="1">
        <f>18.3115578479656*(38.9/42.5)</f>
        <v>16.760461183196718</v>
      </c>
      <c r="G1786" s="1">
        <v>0.84585966770992893</v>
      </c>
      <c r="H1786" s="1">
        <v>4.5340463001183062</v>
      </c>
      <c r="I1786" s="1">
        <v>14.128024087758183</v>
      </c>
      <c r="J1786" s="1">
        <v>3.4442084897341504E-2</v>
      </c>
      <c r="K1786" s="1">
        <v>2.9765635303798841</v>
      </c>
      <c r="L1786" s="1">
        <v>10.204579427814741</v>
      </c>
      <c r="M1786" s="1">
        <v>0.16087992808428744</v>
      </c>
      <c r="N1786" s="1">
        <v>1.6956932126288395</v>
      </c>
      <c r="O1786" s="1">
        <v>0.22188190476190475</v>
      </c>
      <c r="P1786" s="1">
        <v>0.19468969679384074</v>
      </c>
      <c r="Q1786" s="1">
        <v>1.3518305191711204</v>
      </c>
      <c r="R1786" s="2">
        <f t="shared" si="111"/>
        <v>53.290798239007444</v>
      </c>
      <c r="S1786" s="2">
        <f t="shared" si="110"/>
        <v>3.2056953120710663</v>
      </c>
      <c r="T1786" s="2">
        <f t="shared" si="112"/>
        <v>12.283034473289772</v>
      </c>
      <c r="U1786" s="2">
        <f t="shared" si="113"/>
        <v>68.779528024368275</v>
      </c>
    </row>
    <row r="1787" spans="1:21" x14ac:dyDescent="0.25">
      <c r="A1787">
        <v>3645817</v>
      </c>
      <c r="B1787">
        <v>12</v>
      </c>
      <c r="C1787" s="1">
        <f>3.11411087314411*(10.3/7.3)</f>
        <v>4.3938824648471684</v>
      </c>
      <c r="D1787" s="1">
        <f>4.73898925902152*(10.3/7.3)</f>
        <v>6.6865190914961117</v>
      </c>
      <c r="E1787" s="1">
        <f>16.4898433873787*(10.3/7.3)</f>
        <v>23.26649135479461</v>
      </c>
      <c r="F1787" s="1">
        <f>39.6413220169025*(38.9/42.5)</f>
        <v>36.283468857823735</v>
      </c>
      <c r="G1787" s="1">
        <v>1.8218680989046223</v>
      </c>
      <c r="H1787" s="1">
        <v>8.4234680005831652</v>
      </c>
      <c r="I1787" s="1">
        <v>28.997795327299503</v>
      </c>
      <c r="J1787" s="1">
        <v>4.0743242476810777E-2</v>
      </c>
      <c r="K1787" s="1">
        <v>3.3382327384009138</v>
      </c>
      <c r="L1787" s="1">
        <v>7.3910677294684497</v>
      </c>
      <c r="M1787" s="1">
        <v>0.18337825190679813</v>
      </c>
      <c r="N1787" s="1">
        <v>1.9921592602757248</v>
      </c>
      <c r="O1787" s="1">
        <v>0.22493777777777779</v>
      </c>
      <c r="P1787" s="1">
        <v>0.17948360178417797</v>
      </c>
      <c r="Q1787" s="1">
        <v>2.9116613452813627</v>
      </c>
      <c r="R1787" s="2">
        <f t="shared" si="111"/>
        <v>112.78515454103027</v>
      </c>
      <c r="S1787" s="2">
        <f t="shared" si="110"/>
        <v>3.5584595826619023</v>
      </c>
      <c r="T1787" s="2">
        <f t="shared" si="112"/>
        <v>9.7915430194287492</v>
      </c>
      <c r="U1787" s="2">
        <f t="shared" si="113"/>
        <v>126.13515714312091</v>
      </c>
    </row>
    <row r="1788" spans="1:21" x14ac:dyDescent="0.25">
      <c r="A1788">
        <v>3645833</v>
      </c>
      <c r="B1788">
        <v>9</v>
      </c>
      <c r="C1788" s="1">
        <f>2.67413119060661*(10.3/7.3)</f>
        <v>3.7730892141435746</v>
      </c>
      <c r="D1788" s="1">
        <f>3.86608401714737*(10.3/7.3)</f>
        <v>5.4548856680298572</v>
      </c>
      <c r="E1788" s="1">
        <f>13.4179467074169*(10.3/7.3)</f>
        <v>18.932171381697881</v>
      </c>
      <c r="F1788" s="1">
        <f>35.3577751184961*(38.9/42.5)</f>
        <v>32.362763579047026</v>
      </c>
      <c r="G1788" s="1">
        <v>1.7334093808449949</v>
      </c>
      <c r="H1788" s="1">
        <v>9.0299696400420544</v>
      </c>
      <c r="I1788" s="1">
        <v>26.674744925246461</v>
      </c>
      <c r="J1788" s="1">
        <v>3.8805512761014398E-2</v>
      </c>
      <c r="K1788" s="1">
        <v>3.3837626576959887</v>
      </c>
      <c r="L1788" s="1">
        <v>7.2240068305753278</v>
      </c>
      <c r="M1788" s="1">
        <v>0.17772655989659503</v>
      </c>
      <c r="N1788" s="1">
        <v>2.0331888697283067</v>
      </c>
      <c r="O1788" s="1">
        <v>0.21497481481481484</v>
      </c>
      <c r="P1788" s="1">
        <v>0.17693013649606143</v>
      </c>
      <c r="Q1788" s="1">
        <v>2.7702889648207702</v>
      </c>
      <c r="R1788" s="2">
        <f t="shared" si="111"/>
        <v>100.73132275387262</v>
      </c>
      <c r="S1788" s="2">
        <f t="shared" si="110"/>
        <v>3.5994983069530648</v>
      </c>
      <c r="T1788" s="2">
        <f t="shared" si="112"/>
        <v>9.6498970750150441</v>
      </c>
      <c r="U1788" s="2">
        <f t="shared" si="113"/>
        <v>113.98071813584073</v>
      </c>
    </row>
    <row r="1789" spans="1:21" x14ac:dyDescent="0.25">
      <c r="A1789">
        <v>3645913</v>
      </c>
      <c r="B1789">
        <v>33</v>
      </c>
      <c r="C1789" s="1">
        <f>4.77661708291883*(10.3/7.3)</f>
        <v>6.7396104046663012</v>
      </c>
      <c r="D1789" s="1">
        <f>6.51264417096555*(10.3/7.3)</f>
        <v>9.1890732823212584</v>
      </c>
      <c r="E1789" s="1">
        <f>22.9099730704238*(10.3/7.3)</f>
        <v>32.325030496625381</v>
      </c>
      <c r="F1789" s="1">
        <f>47.4338606167297*(38.9/42.5)</f>
        <v>43.415933599783187</v>
      </c>
      <c r="G1789" s="1">
        <v>1.8523983866740379</v>
      </c>
      <c r="H1789" s="1">
        <v>9.5079438271781314</v>
      </c>
      <c r="I1789" s="1">
        <v>34.586612193449589</v>
      </c>
      <c r="J1789" s="1">
        <v>3.9393389354287198E-2</v>
      </c>
      <c r="K1789" s="1">
        <v>3.3392182602519838</v>
      </c>
      <c r="L1789" s="1">
        <v>6.7744608412814902</v>
      </c>
      <c r="M1789" s="1">
        <v>0.16753151814960063</v>
      </c>
      <c r="N1789" s="1">
        <v>2.1365804291047095</v>
      </c>
      <c r="O1789" s="1">
        <v>0.17342545454545458</v>
      </c>
      <c r="P1789" s="1">
        <v>0.13844047146528249</v>
      </c>
      <c r="Q1789" s="1">
        <v>2.9604540426297445</v>
      </c>
      <c r="R1789" s="2">
        <f t="shared" si="111"/>
        <v>140.57705623332762</v>
      </c>
      <c r="S1789" s="2">
        <f t="shared" si="110"/>
        <v>3.5170521210715533</v>
      </c>
      <c r="T1789" s="2">
        <f t="shared" si="112"/>
        <v>9.2519982430812568</v>
      </c>
      <c r="U1789" s="2">
        <f t="shared" si="113"/>
        <v>153.34610659748043</v>
      </c>
    </row>
    <row r="1790" spans="1:21" x14ac:dyDescent="0.25">
      <c r="A1790">
        <v>3645921</v>
      </c>
      <c r="B1790">
        <v>35</v>
      </c>
      <c r="C1790" s="1">
        <f>4.38098227907457*(10.3/7.3)</f>
        <v>6.181385955406582</v>
      </c>
      <c r="D1790" s="1">
        <f>5.83059243213724*(10.3/7.3)</f>
        <v>8.2267263083580282</v>
      </c>
      <c r="E1790" s="1">
        <f>20.4950439202574*(10.3/7.3)</f>
        <v>28.917664709404249</v>
      </c>
      <c r="F1790" s="1">
        <f>44.276506839065*(38.9/42.5)</f>
        <v>40.526026259755987</v>
      </c>
      <c r="G1790" s="1">
        <v>1.8043636956659459</v>
      </c>
      <c r="H1790" s="1">
        <v>10.435720472950502</v>
      </c>
      <c r="I1790" s="1">
        <v>32.828536772173912</v>
      </c>
      <c r="J1790" s="1">
        <v>3.8081177673925048E-2</v>
      </c>
      <c r="K1790" s="1">
        <v>3.0492557933739617</v>
      </c>
      <c r="L1790" s="1">
        <v>6.0661592691269712</v>
      </c>
      <c r="M1790" s="1">
        <v>0.16096696392803217</v>
      </c>
      <c r="N1790" s="1">
        <v>2.0217007699815861</v>
      </c>
      <c r="O1790" s="1">
        <v>0.16566552380952385</v>
      </c>
      <c r="P1790" s="1">
        <v>0.13350671706190667</v>
      </c>
      <c r="Q1790" s="1">
        <v>2.8836862716122451</v>
      </c>
      <c r="R1790" s="2">
        <f t="shared" si="111"/>
        <v>131.80411044532747</v>
      </c>
      <c r="S1790" s="2">
        <f t="shared" si="110"/>
        <v>3.2208436881097935</v>
      </c>
      <c r="T1790" s="2">
        <f t="shared" si="112"/>
        <v>8.4144925268461126</v>
      </c>
      <c r="U1790" s="2">
        <f t="shared" si="113"/>
        <v>143.43944666028338</v>
      </c>
    </row>
    <row r="1791" spans="1:21" x14ac:dyDescent="0.25">
      <c r="A1791">
        <v>3645929</v>
      </c>
      <c r="B1791">
        <v>22</v>
      </c>
      <c r="C1791" s="1">
        <f>4.41138953084153*(10.3/7.3)</f>
        <v>6.2242893380366846</v>
      </c>
      <c r="D1791" s="1">
        <f>5.44040229503576*(10.3/7.3)</f>
        <v>7.6761840601189517</v>
      </c>
      <c r="E1791" s="1">
        <f>19.1725658838618*(10.3/7.3)</f>
        <v>27.051702548462575</v>
      </c>
      <c r="F1791" s="1">
        <f>42.1910478444753*(38.9/42.5)</f>
        <v>38.617217909413903</v>
      </c>
      <c r="G1791" s="1">
        <v>1.7292042861859487</v>
      </c>
      <c r="H1791" s="1">
        <v>6.4711264993543871</v>
      </c>
      <c r="I1791" s="1">
        <v>32.135719285798977</v>
      </c>
      <c r="J1791" s="1">
        <v>3.5713117295526467E-2</v>
      </c>
      <c r="K1791" s="1">
        <v>2.721496011743521</v>
      </c>
      <c r="L1791" s="1">
        <v>11.491800506125161</v>
      </c>
      <c r="M1791" s="1">
        <v>0.1474158451831111</v>
      </c>
      <c r="N1791" s="1">
        <v>1.7664416781636019</v>
      </c>
      <c r="O1791" s="1">
        <v>0.1501260606060606</v>
      </c>
      <c r="P1791" s="1">
        <v>0.1212176834608968</v>
      </c>
      <c r="Q1791" s="1">
        <v>2.7635684939044864</v>
      </c>
      <c r="R1791" s="2">
        <f t="shared" si="111"/>
        <v>122.66901242127592</v>
      </c>
      <c r="S1791" s="2">
        <f t="shared" si="110"/>
        <v>2.8784268124999444</v>
      </c>
      <c r="T1791" s="2">
        <f t="shared" si="112"/>
        <v>13.555784090077935</v>
      </c>
      <c r="U1791" s="2">
        <f t="shared" si="113"/>
        <v>139.1032233238538</v>
      </c>
    </row>
    <row r="1792" spans="1:21" x14ac:dyDescent="0.25">
      <c r="A1792">
        <v>3645937</v>
      </c>
      <c r="B1792">
        <v>8</v>
      </c>
      <c r="C1792" s="1">
        <f>5.18127854122785*(10.3/7.3)</f>
        <v>7.3105710924173719</v>
      </c>
      <c r="D1792" s="1">
        <f>5.67407414096557*(10.3/7.3)</f>
        <v>8.0058854317733346</v>
      </c>
      <c r="E1792" s="1">
        <f>20.193792284174*(10.3/7.3)</f>
        <v>28.492611031094835</v>
      </c>
      <c r="F1792" s="1">
        <f>40.2590594085753*(38.9/42.5)</f>
        <v>36.848880258672473</v>
      </c>
      <c r="G1792" s="1">
        <v>1.4280956652780052</v>
      </c>
      <c r="H1792" s="1">
        <v>6.157624529537026</v>
      </c>
      <c r="I1792" s="1">
        <v>31.413748985581851</v>
      </c>
      <c r="J1792" s="1">
        <v>3.7578873274865185E-2</v>
      </c>
      <c r="K1792" s="1">
        <v>2.9462058424012607</v>
      </c>
      <c r="L1792" s="1">
        <v>9.7934699964485095</v>
      </c>
      <c r="M1792" s="1">
        <v>0.15335517511486818</v>
      </c>
      <c r="N1792" s="1">
        <v>1.8659918741996093</v>
      </c>
      <c r="O1792" s="1">
        <v>0.15523333333333333</v>
      </c>
      <c r="P1792" s="1">
        <v>0.12547885296936553</v>
      </c>
      <c r="Q1792" s="1">
        <v>2.2823446705356263</v>
      </c>
      <c r="R1792" s="2">
        <f t="shared" si="111"/>
        <v>121.93976166489051</v>
      </c>
      <c r="S1792" s="2">
        <f t="shared" si="110"/>
        <v>3.1092635686454915</v>
      </c>
      <c r="T1792" s="2">
        <f t="shared" si="112"/>
        <v>11.96805037909632</v>
      </c>
      <c r="U1792" s="2">
        <f t="shared" si="113"/>
        <v>137.01707561263231</v>
      </c>
    </row>
    <row r="1793" spans="1:21" x14ac:dyDescent="0.25">
      <c r="A1793">
        <v>3645945</v>
      </c>
      <c r="B1793">
        <v>27</v>
      </c>
      <c r="C1793" s="1">
        <f>5.35909001773781*(10.3/7.3)</f>
        <v>7.561455778451986</v>
      </c>
      <c r="D1793" s="1">
        <f>5.68167435674059*(10.3/7.3)</f>
        <v>8.0166090238942544</v>
      </c>
      <c r="E1793" s="1">
        <f>20.2644272446867*(10.3/7.3)</f>
        <v>28.592274057571689</v>
      </c>
      <c r="F1793" s="1">
        <f>39.9197818900047*(38.9/42.5)</f>
        <v>36.538341541674853</v>
      </c>
      <c r="G1793" s="1">
        <v>1.3804487636816465</v>
      </c>
      <c r="H1793" s="1">
        <v>8.1337157301627059</v>
      </c>
      <c r="I1793" s="1">
        <v>31.476916131883485</v>
      </c>
      <c r="J1793" s="1">
        <v>3.5276110169176984E-2</v>
      </c>
      <c r="K1793" s="1">
        <v>2.7035935417912205</v>
      </c>
      <c r="L1793" s="1">
        <v>12.156900156406273</v>
      </c>
      <c r="M1793" s="1">
        <v>0.14843004404953838</v>
      </c>
      <c r="N1793" s="1">
        <v>1.831550461157063</v>
      </c>
      <c r="O1793" s="1">
        <v>0.15009975308641973</v>
      </c>
      <c r="P1793" s="1">
        <v>0.12030439823889126</v>
      </c>
      <c r="Q1793" s="1">
        <v>2.2061966542857392</v>
      </c>
      <c r="R1793" s="2">
        <f t="shared" si="111"/>
        <v>123.90595768160635</v>
      </c>
      <c r="S1793" s="2">
        <f t="shared" si="110"/>
        <v>2.8591740501992886</v>
      </c>
      <c r="T1793" s="2">
        <f t="shared" si="112"/>
        <v>14.286980414699293</v>
      </c>
      <c r="U1793" s="2">
        <f t="shared" si="113"/>
        <v>141.05211214650492</v>
      </c>
    </row>
    <row r="1794" spans="1:21" x14ac:dyDescent="0.25">
      <c r="A1794">
        <v>3657613</v>
      </c>
      <c r="B1794">
        <v>4</v>
      </c>
      <c r="C1794" s="1">
        <f>0.461421058134906*(10.3/7.3)</f>
        <v>0.65104615051911408</v>
      </c>
      <c r="D1794" s="1">
        <f>0.577487304496489*(10.3/7.3)</f>
        <v>0.8148108542895669</v>
      </c>
      <c r="E1794" s="1">
        <f>2.03089715498312*(10.3/7.3)</f>
        <v>2.8655124241542698</v>
      </c>
      <c r="F1794" s="1">
        <f>4.61473590736284*(38.9/42.5)</f>
        <v>4.223840630503874</v>
      </c>
      <c r="G1794" s="1">
        <v>0.19589373860866396</v>
      </c>
      <c r="H1794" s="1">
        <v>1.0364459862740671</v>
      </c>
      <c r="I1794" s="1">
        <v>3.5190628277702243</v>
      </c>
      <c r="J1794" s="1">
        <v>1.4136233317172999E-2</v>
      </c>
      <c r="K1794" s="1">
        <v>1.7880802562644156</v>
      </c>
      <c r="L1794" s="1">
        <v>1.7580762476781309</v>
      </c>
      <c r="M1794" s="1">
        <v>9.5251391357371248E-2</v>
      </c>
      <c r="N1794" s="1">
        <v>0.57181486806338022</v>
      </c>
      <c r="O1794" s="1">
        <v>0.21892</v>
      </c>
      <c r="P1794" s="1">
        <v>0.1313006868206511</v>
      </c>
      <c r="Q1794" s="1">
        <v>0.3130721849910158</v>
      </c>
      <c r="R1794" s="2">
        <f t="shared" si="111"/>
        <v>13.619684797110796</v>
      </c>
      <c r="S1794" s="2">
        <f t="shared" si="110"/>
        <v>1.9335171764022396</v>
      </c>
      <c r="T1794" s="2">
        <f t="shared" si="112"/>
        <v>2.6440625070988819</v>
      </c>
      <c r="U1794" s="2">
        <f t="shared" si="113"/>
        <v>18.197264480611921</v>
      </c>
    </row>
    <row r="1795" spans="1:21" x14ac:dyDescent="0.25">
      <c r="A1795">
        <v>3657629</v>
      </c>
      <c r="B1795">
        <v>63</v>
      </c>
      <c r="C1795" s="1">
        <f>0.505116198173673*(10.3/7.3)</f>
        <v>0.71269819742312712</v>
      </c>
      <c r="D1795" s="1">
        <f>0.635899686584832*(10.3/7.3)</f>
        <v>0.8972283249073657</v>
      </c>
      <c r="E1795" s="1">
        <f>2.23151344682155*(10.3/7.3)</f>
        <v>3.1485737674331467</v>
      </c>
      <c r="F1795" s="1">
        <f>5.28457483218889*(38.9/42.5)</f>
        <v>4.836940258168184</v>
      </c>
      <c r="G1795" s="1">
        <v>0.23343802672851344</v>
      </c>
      <c r="H1795" s="1">
        <v>2.5253288658781026</v>
      </c>
      <c r="I1795" s="1">
        <v>4.0517416191602607</v>
      </c>
      <c r="J1795" s="1">
        <v>1.6288514232471282E-2</v>
      </c>
      <c r="K1795" s="1">
        <v>2.0498121243464222</v>
      </c>
      <c r="L1795" s="1">
        <v>1.9319163261537882</v>
      </c>
      <c r="M1795" s="1">
        <v>9.8924282816273426E-2</v>
      </c>
      <c r="N1795" s="1">
        <v>0.67303145838564515</v>
      </c>
      <c r="O1795" s="1">
        <v>0.28890835978835983</v>
      </c>
      <c r="P1795" s="1">
        <v>0.1625206283991513</v>
      </c>
      <c r="Q1795" s="1">
        <v>0.37307447194054688</v>
      </c>
      <c r="R1795" s="2">
        <f t="shared" si="111"/>
        <v>16.779023531639247</v>
      </c>
      <c r="S1795" s="2">
        <f t="shared" si="110"/>
        <v>2.2286212669780445</v>
      </c>
      <c r="T1795" s="2">
        <f t="shared" si="112"/>
        <v>2.9927804271440661</v>
      </c>
      <c r="U1795" s="2">
        <f t="shared" si="113"/>
        <v>22.000425225761358</v>
      </c>
    </row>
    <row r="1796" spans="1:21" x14ac:dyDescent="0.25">
      <c r="A1796">
        <v>3657957</v>
      </c>
      <c r="B1796">
        <v>11</v>
      </c>
      <c r="C1796" s="1">
        <f>2.13864596058683*(10.3/7.3)</f>
        <v>3.0175415608279881</v>
      </c>
      <c r="D1796" s="1">
        <f>2.70079593218875*(10.3/7.3)</f>
        <v>3.8107120687046749</v>
      </c>
      <c r="E1796" s="1">
        <f>9.44014858834291*(10.3/7.3)</f>
        <v>13.319661706839996</v>
      </c>
      <c r="F1796" s="1">
        <f>24.1972831025695*(38.9/42.5)</f>
        <v>22.147630886822466</v>
      </c>
      <c r="G1796" s="1">
        <v>1.1427301384466868</v>
      </c>
      <c r="H1796" s="1">
        <v>5.1736031877713193</v>
      </c>
      <c r="I1796" s="1">
        <v>18.77573534195329</v>
      </c>
      <c r="J1796" s="1">
        <v>4.9518187846738379E-2</v>
      </c>
      <c r="K1796" s="1">
        <v>4.0161139102784853</v>
      </c>
      <c r="L1796" s="1">
        <v>12.076889407247005</v>
      </c>
      <c r="M1796" s="1">
        <v>0.19467403057724075</v>
      </c>
      <c r="N1796" s="1">
        <v>2.0656604352354804</v>
      </c>
      <c r="O1796" s="1">
        <v>0.30093575757575758</v>
      </c>
      <c r="P1796" s="1">
        <v>0.26288783211972166</v>
      </c>
      <c r="Q1796" s="1">
        <v>1.8262810431796381</v>
      </c>
      <c r="R1796" s="2">
        <f t="shared" si="111"/>
        <v>69.213895934546059</v>
      </c>
      <c r="S1796" s="2">
        <f t="shared" si="110"/>
        <v>4.3285199302449451</v>
      </c>
      <c r="T1796" s="2">
        <f t="shared" si="112"/>
        <v>14.638159630635485</v>
      </c>
      <c r="U1796" s="2">
        <f t="shared" si="113"/>
        <v>88.180575495426496</v>
      </c>
    </row>
    <row r="1797" spans="1:21" x14ac:dyDescent="0.25">
      <c r="A1797">
        <v>3657965</v>
      </c>
      <c r="B1797">
        <v>10</v>
      </c>
      <c r="C1797" s="1">
        <f>1.73173294662474*(10.3/7.3)</f>
        <v>2.4434040205801089</v>
      </c>
      <c r="D1797" s="1">
        <f>2.18737265676339*(10.3/7.3)</f>
        <v>3.0862929266661503</v>
      </c>
      <c r="E1797" s="1">
        <f>7.64583123932482*(10.3/7.3)</f>
        <v>10.787953666444615</v>
      </c>
      <c r="F1797" s="1">
        <f>19.5811019340567*(38.9/42.5)</f>
        <v>17.922467417289532</v>
      </c>
      <c r="G1797" s="1">
        <v>0.92413132720056024</v>
      </c>
      <c r="H1797" s="1">
        <v>3.7976146808690543</v>
      </c>
      <c r="I1797" s="1">
        <v>15.19099759322155</v>
      </c>
      <c r="J1797" s="1">
        <v>4.055144966698452E-2</v>
      </c>
      <c r="K1797" s="1">
        <v>3.4347328539009938</v>
      </c>
      <c r="L1797" s="1">
        <v>9.7297333643453658</v>
      </c>
      <c r="M1797" s="1">
        <v>0.17018729389096271</v>
      </c>
      <c r="N1797" s="1">
        <v>1.8772378549429771</v>
      </c>
      <c r="O1797" s="1">
        <v>0.26272000000000001</v>
      </c>
      <c r="P1797" s="1">
        <v>0.23579508906332242</v>
      </c>
      <c r="Q1797" s="1">
        <v>1.4769222124209884</v>
      </c>
      <c r="R1797" s="2">
        <f t="shared" si="111"/>
        <v>55.629783844692554</v>
      </c>
      <c r="S1797" s="2">
        <f t="shared" si="110"/>
        <v>3.7110793926313006</v>
      </c>
      <c r="T1797" s="2">
        <f t="shared" si="112"/>
        <v>12.039878513179307</v>
      </c>
      <c r="U1797" s="2">
        <f t="shared" si="113"/>
        <v>71.380741750503162</v>
      </c>
    </row>
    <row r="1798" spans="1:21" x14ac:dyDescent="0.25">
      <c r="A1798">
        <v>3657973</v>
      </c>
      <c r="B1798">
        <v>9</v>
      </c>
      <c r="C1798" s="1">
        <f>1.58860899859672*(10.3/7.3)</f>
        <v>2.2414620117186623</v>
      </c>
      <c r="D1798" s="1">
        <f>2.02646118037717*(10.3/7.3)</f>
        <v>2.8592534462855985</v>
      </c>
      <c r="E1798" s="1">
        <f>7.07688215032019*(10.3/7.3)</f>
        <v>9.9851898833284825</v>
      </c>
      <c r="F1798" s="1">
        <f>18.2970461847504*(38.9/42.5)</f>
        <v>16.747178743218623</v>
      </c>
      <c r="G1798" s="1">
        <v>0.87104417470466766</v>
      </c>
      <c r="H1798" s="1">
        <v>3.6152722956643526</v>
      </c>
      <c r="I1798" s="1">
        <v>14.180042788285554</v>
      </c>
      <c r="J1798" s="1">
        <v>3.5591993115547685E-2</v>
      </c>
      <c r="K1798" s="1">
        <v>2.9934691337683037</v>
      </c>
      <c r="L1798" s="1">
        <v>10.195375367899072</v>
      </c>
      <c r="M1798" s="1">
        <v>0.15781784920346478</v>
      </c>
      <c r="N1798" s="1">
        <v>1.7508781443813941</v>
      </c>
      <c r="O1798" s="1">
        <v>0.22816592592592588</v>
      </c>
      <c r="P1798" s="1">
        <v>0.2023351517939668</v>
      </c>
      <c r="Q1798" s="1">
        <v>1.392079731263169</v>
      </c>
      <c r="R1798" s="2">
        <f t="shared" si="111"/>
        <v>51.891523074469106</v>
      </c>
      <c r="S1798" s="2">
        <f t="shared" si="110"/>
        <v>3.2313962786778183</v>
      </c>
      <c r="T1798" s="2">
        <f t="shared" si="112"/>
        <v>12.332237287409857</v>
      </c>
      <c r="U1798" s="2">
        <f t="shared" si="113"/>
        <v>67.45515664055678</v>
      </c>
    </row>
    <row r="1799" spans="1:21" x14ac:dyDescent="0.25">
      <c r="A1799">
        <v>3657981</v>
      </c>
      <c r="B1799">
        <v>10</v>
      </c>
      <c r="C1799" s="1">
        <f>1.67983552420352*(10.3/7.3)</f>
        <v>2.3701788903145578</v>
      </c>
      <c r="D1799" s="1">
        <f>2.14271929776049*(10.3/7.3)</f>
        <v>3.0232888721826101</v>
      </c>
      <c r="E1799" s="1">
        <f>7.48568981641329*(10.3/7.3)</f>
        <v>10.562000699870813</v>
      </c>
      <c r="F1799" s="1">
        <f>19.211581806534*(38.9/42.5)</f>
        <v>17.584247818215804</v>
      </c>
      <c r="G1799" s="1">
        <v>0.9093890023012966</v>
      </c>
      <c r="H1799" s="1">
        <v>3.8280144091976238</v>
      </c>
      <c r="I1799" s="1">
        <v>14.871747533975213</v>
      </c>
      <c r="J1799" s="1">
        <v>3.8126883040109937E-2</v>
      </c>
      <c r="K1799" s="1">
        <v>3.2639449618465788</v>
      </c>
      <c r="L1799" s="1">
        <v>10.69589517384655</v>
      </c>
      <c r="M1799" s="1">
        <v>0.16911426128123694</v>
      </c>
      <c r="N1799" s="1">
        <v>1.8942752311166717</v>
      </c>
      <c r="O1799" s="1">
        <v>0.24799466666666667</v>
      </c>
      <c r="P1799" s="1">
        <v>0.21949423905360854</v>
      </c>
      <c r="Q1799" s="1">
        <v>1.4533614192029871</v>
      </c>
      <c r="R1799" s="2">
        <f t="shared" si="111"/>
        <v>54.602228645260901</v>
      </c>
      <c r="S1799" s="2">
        <f t="shared" si="110"/>
        <v>3.5215660839402974</v>
      </c>
      <c r="T1799" s="2">
        <f t="shared" si="112"/>
        <v>13.007279332911125</v>
      </c>
      <c r="U1799" s="2">
        <f t="shared" si="113"/>
        <v>71.131074062112333</v>
      </c>
    </row>
    <row r="1800" spans="1:21" x14ac:dyDescent="0.25">
      <c r="A1800">
        <v>3657989</v>
      </c>
      <c r="B1800">
        <v>27</v>
      </c>
      <c r="C1800" s="1">
        <f>1.66162916316993*(10.3/7.3)</f>
        <v>2.3444904631027836</v>
      </c>
      <c r="D1800" s="1">
        <f>2.11760171591142*(10.3/7.3)</f>
        <v>2.9878489964229669</v>
      </c>
      <c r="E1800" s="1">
        <f>7.404812470086*(10.3/7.3)</f>
        <v>10.447886087929568</v>
      </c>
      <c r="F1800" s="1">
        <f>18.6682176748959*(38.9/42.5)</f>
        <v>17.086909824787057</v>
      </c>
      <c r="G1800" s="1">
        <v>0.87124286903993198</v>
      </c>
      <c r="H1800" s="1">
        <v>4.713170894207285</v>
      </c>
      <c r="I1800" s="1">
        <v>14.413519731894185</v>
      </c>
      <c r="J1800" s="1">
        <v>3.6349797875447946E-2</v>
      </c>
      <c r="K1800" s="1">
        <v>3.1988878951209982</v>
      </c>
      <c r="L1800" s="1">
        <v>10.621430637389798</v>
      </c>
      <c r="M1800" s="1">
        <v>0.16808197921531409</v>
      </c>
      <c r="N1800" s="1">
        <v>1.8511109653216724</v>
      </c>
      <c r="O1800" s="1">
        <v>0.2372404938271605</v>
      </c>
      <c r="P1800" s="1">
        <v>0.21197844147803444</v>
      </c>
      <c r="Q1800" s="1">
        <v>1.3923972792875641</v>
      </c>
      <c r="R1800" s="2">
        <f t="shared" si="111"/>
        <v>54.257466146671341</v>
      </c>
      <c r="S1800" s="2">
        <f t="shared" si="110"/>
        <v>3.4472161344744805</v>
      </c>
      <c r="T1800" s="2">
        <f t="shared" si="112"/>
        <v>12.877864075753944</v>
      </c>
      <c r="U1800" s="2">
        <f t="shared" si="113"/>
        <v>70.582546356899769</v>
      </c>
    </row>
    <row r="1801" spans="1:21" x14ac:dyDescent="0.25">
      <c r="A1801">
        <v>3658045</v>
      </c>
      <c r="B1801">
        <v>7</v>
      </c>
      <c r="C1801" s="1">
        <f>2.66121515630158*(10.3/7.3)</f>
        <v>3.7548652205351107</v>
      </c>
      <c r="D1801" s="1">
        <f>4.03619800901846*(10.3/7.3)</f>
        <v>5.6949095195739963</v>
      </c>
      <c r="E1801" s="1">
        <f>14.038969664873*(10.3/7.3)</f>
        <v>19.808409253176951</v>
      </c>
      <c r="F1801" s="1">
        <f>34.1156951242745*(38.9/42.5)</f>
        <v>31.225895066688935</v>
      </c>
      <c r="G1801" s="1">
        <v>1.5812208739946227</v>
      </c>
      <c r="H1801" s="1">
        <v>6.6812220602791115</v>
      </c>
      <c r="I1801" s="1">
        <v>25.035836503381667</v>
      </c>
      <c r="J1801" s="1">
        <v>3.8850773601091397E-2</v>
      </c>
      <c r="K1801" s="1">
        <v>3.147197946771108</v>
      </c>
      <c r="L1801" s="1">
        <v>7.7146802302915578</v>
      </c>
      <c r="M1801" s="1">
        <v>0.17143095956545576</v>
      </c>
      <c r="N1801" s="1">
        <v>1.9038786089954389</v>
      </c>
      <c r="O1801" s="1">
        <v>0.21449904761904762</v>
      </c>
      <c r="P1801" s="1">
        <v>0.17642860438026189</v>
      </c>
      <c r="Q1801" s="1">
        <v>2.5270653237357008</v>
      </c>
      <c r="R1801" s="2">
        <f t="shared" si="111"/>
        <v>96.309423821366082</v>
      </c>
      <c r="S1801" s="2">
        <f t="shared" ref="S1801:S1864" si="114">J1801+K1801+P1801</f>
        <v>3.3624773247524611</v>
      </c>
      <c r="T1801" s="2">
        <f t="shared" si="112"/>
        <v>10.004488846471501</v>
      </c>
      <c r="U1801" s="2">
        <f t="shared" si="113"/>
        <v>109.67638999259005</v>
      </c>
    </row>
    <row r="1802" spans="1:21" x14ac:dyDescent="0.25">
      <c r="A1802">
        <v>3658053</v>
      </c>
      <c r="B1802">
        <v>3</v>
      </c>
      <c r="C1802" s="1">
        <f>2.09793571015617*(10.3/7.3)</f>
        <v>2.9601010704943289</v>
      </c>
      <c r="D1802" s="1">
        <f>2.97428050063548*(10.3/7.3)</f>
        <v>4.1965875556911598</v>
      </c>
      <c r="E1802" s="1">
        <f>10.375442434928*(10.3/7.3)</f>
        <v>14.63932288763807</v>
      </c>
      <c r="F1802" s="1">
        <f>25.0581650533295*(38.9/42.5)</f>
        <v>22.935591072341566</v>
      </c>
      <c r="G1802" s="1">
        <v>1.1455523205322939</v>
      </c>
      <c r="H1802" s="1">
        <v>5.3991709024075538</v>
      </c>
      <c r="I1802" s="1">
        <v>18.676363183956791</v>
      </c>
      <c r="J1802" s="1">
        <v>3.1204520430583887E-2</v>
      </c>
      <c r="K1802" s="1">
        <v>2.6615470047950662</v>
      </c>
      <c r="L1802" s="1">
        <v>8.1176151455487151</v>
      </c>
      <c r="M1802" s="1">
        <v>0.14745137432121994</v>
      </c>
      <c r="N1802" s="1">
        <v>1.5573846038967789</v>
      </c>
      <c r="O1802" s="1">
        <v>0.17966222222222225</v>
      </c>
      <c r="P1802" s="1">
        <v>0.14799577729712771</v>
      </c>
      <c r="Q1802" s="1">
        <v>1.8307913798461339</v>
      </c>
      <c r="R1802" s="2">
        <f t="shared" ref="R1802:R1865" si="115">C1802+D1802+E1802+F1802+G1802+H1802+I1802+Q1802</f>
        <v>71.783480372907903</v>
      </c>
      <c r="S1802" s="2">
        <f t="shared" si="114"/>
        <v>2.8407473025227779</v>
      </c>
      <c r="T1802" s="2">
        <f t="shared" ref="T1802:T1865" si="116">L1802+M1802+N1802+O1802</f>
        <v>10.002113345988935</v>
      </c>
      <c r="U1802" s="2">
        <f t="shared" ref="U1802:U1865" si="117">R1802+S1802+T1802</f>
        <v>84.626341021419606</v>
      </c>
    </row>
    <row r="1803" spans="1:21" x14ac:dyDescent="0.25">
      <c r="A1803">
        <v>3658061</v>
      </c>
      <c r="B1803">
        <v>35</v>
      </c>
      <c r="C1803" s="1">
        <f>2.07883287645276*(10.3/7.3)</f>
        <v>2.9331477571867741</v>
      </c>
      <c r="D1803" s="1">
        <f>2.93708177372504*(10.3/7.3)</f>
        <v>4.144101680735333</v>
      </c>
      <c r="E1803" s="1">
        <f>10.2254009084136*(10.3/7.3)</f>
        <v>14.427620459816406</v>
      </c>
      <c r="F1803" s="1">
        <f>25.7994925784104*(38.9/42.5)</f>
        <v>23.614123795298024</v>
      </c>
      <c r="G1803" s="1">
        <v>1.2212310189477273</v>
      </c>
      <c r="H1803" s="1">
        <v>5.1983295507140399</v>
      </c>
      <c r="I1803" s="1">
        <v>19.410455318412197</v>
      </c>
      <c r="J1803" s="1">
        <v>3.5521677167570931E-2</v>
      </c>
      <c r="K1803" s="1">
        <v>3.1552792393129088</v>
      </c>
      <c r="L1803" s="1">
        <v>8.5155367005645779</v>
      </c>
      <c r="M1803" s="1">
        <v>0.16315294907364181</v>
      </c>
      <c r="N1803" s="1">
        <v>1.8757248632160732</v>
      </c>
      <c r="O1803" s="1">
        <v>0.20081828571428578</v>
      </c>
      <c r="P1803" s="1">
        <v>0.17043622080213897</v>
      </c>
      <c r="Q1803" s="1">
        <v>1.9517390713776486</v>
      </c>
      <c r="R1803" s="2">
        <f t="shared" si="115"/>
        <v>72.900748652488161</v>
      </c>
      <c r="S1803" s="2">
        <f t="shared" si="114"/>
        <v>3.3612371372826186</v>
      </c>
      <c r="T1803" s="2">
        <f t="shared" si="116"/>
        <v>10.755232798568578</v>
      </c>
      <c r="U1803" s="2">
        <f t="shared" si="117"/>
        <v>87.017218588339347</v>
      </c>
    </row>
    <row r="1804" spans="1:21" x14ac:dyDescent="0.25">
      <c r="A1804">
        <v>3658133</v>
      </c>
      <c r="B1804">
        <v>5</v>
      </c>
      <c r="C1804" s="1">
        <f>3.59243278027933*(10.3/7.3)</f>
        <v>5.0687750187502809</v>
      </c>
      <c r="D1804" s="1">
        <f>4.47576699049958*(10.3/7.3)</f>
        <v>6.3151232879651591</v>
      </c>
      <c r="E1804" s="1">
        <f>15.8052727530933*(10.3/7.3)</f>
        <v>22.300590322857687</v>
      </c>
      <c r="F1804" s="1">
        <f>32.7799696071384*(38.9/42.5)</f>
        <v>30.003313358063156</v>
      </c>
      <c r="G1804" s="1">
        <v>1.2600717876051757</v>
      </c>
      <c r="H1804" s="1">
        <v>5.9657367416066869</v>
      </c>
      <c r="I1804" s="1">
        <v>24.614669049467558</v>
      </c>
      <c r="J1804" s="1">
        <v>3.7221383358319537E-2</v>
      </c>
      <c r="K1804" s="1">
        <v>2.8010355699341618</v>
      </c>
      <c r="L1804" s="1">
        <v>12.904209896932574</v>
      </c>
      <c r="M1804" s="1">
        <v>0.1494092760997523</v>
      </c>
      <c r="N1804" s="1">
        <v>2.0422589783987801</v>
      </c>
      <c r="O1804" s="1">
        <v>0.15694933333333333</v>
      </c>
      <c r="P1804" s="1">
        <v>0.12896849209327441</v>
      </c>
      <c r="Q1804" s="1">
        <v>2.0138133591863565</v>
      </c>
      <c r="R1804" s="2">
        <f t="shared" si="115"/>
        <v>97.542092925502047</v>
      </c>
      <c r="S1804" s="2">
        <f t="shared" si="114"/>
        <v>2.9672254453857558</v>
      </c>
      <c r="T1804" s="2">
        <f t="shared" si="116"/>
        <v>15.252827484764442</v>
      </c>
      <c r="U1804" s="2">
        <f t="shared" si="117"/>
        <v>115.76214585565224</v>
      </c>
    </row>
    <row r="1805" spans="1:21" x14ac:dyDescent="0.25">
      <c r="A1805">
        <v>3658141</v>
      </c>
      <c r="B1805">
        <v>5</v>
      </c>
      <c r="C1805" s="1">
        <f>3.69399719100388*(10.3/7.3)</f>
        <v>5.2120782284027403</v>
      </c>
      <c r="D1805" s="1">
        <f>4.8219339338339*(10.3/7.3)</f>
        <v>6.8035506189711175</v>
      </c>
      <c r="E1805" s="1">
        <f>17.0011329837898*(10.3/7.3)</f>
        <v>23.987899963429498</v>
      </c>
      <c r="F1805" s="1">
        <f>34.8286463837704*(38.9/42.5)</f>
        <v>31.878455160674573</v>
      </c>
      <c r="G1805" s="1">
        <v>1.3319593981037681</v>
      </c>
      <c r="H1805" s="1">
        <v>7.6076579799497894</v>
      </c>
      <c r="I1805" s="1">
        <v>25.691332322634764</v>
      </c>
      <c r="J1805" s="1">
        <v>3.5776996799362401E-2</v>
      </c>
      <c r="K1805" s="1">
        <v>3.021761688271698</v>
      </c>
      <c r="L1805" s="1">
        <v>10.849283361749027</v>
      </c>
      <c r="M1805" s="1">
        <v>0.15506529527869667</v>
      </c>
      <c r="N1805" s="1">
        <v>1.9616992568475182</v>
      </c>
      <c r="O1805" s="1">
        <v>0.16074666666666668</v>
      </c>
      <c r="P1805" s="1">
        <v>0.1310271785436472</v>
      </c>
      <c r="Q1805" s="1">
        <v>2.1287022344124171</v>
      </c>
      <c r="R1805" s="2">
        <f t="shared" si="115"/>
        <v>104.64163590657867</v>
      </c>
      <c r="S1805" s="2">
        <f t="shared" si="114"/>
        <v>3.1885658636147074</v>
      </c>
      <c r="T1805" s="2">
        <f t="shared" si="116"/>
        <v>13.126794580541908</v>
      </c>
      <c r="U1805" s="2">
        <f t="shared" si="117"/>
        <v>120.9569963507353</v>
      </c>
    </row>
    <row r="1806" spans="1:21" x14ac:dyDescent="0.25">
      <c r="A1806">
        <v>3658149</v>
      </c>
      <c r="B1806">
        <v>28</v>
      </c>
      <c r="C1806" s="1">
        <f>4.27497975964608*(10.3/7.3)</f>
        <v>6.0318207567609079</v>
      </c>
      <c r="D1806" s="1">
        <f>5.65810267714591*(10.3/7.3)</f>
        <v>7.9833503526853189</v>
      </c>
      <c r="E1806" s="1">
        <f>19.9247709453738*(10.3/7.3)</f>
        <v>28.11303297771925</v>
      </c>
      <c r="F1806" s="1">
        <f>41.4570515148373*(38.9/42.5)</f>
        <v>37.94539538652166</v>
      </c>
      <c r="G1806" s="1">
        <v>1.6190423407121657</v>
      </c>
      <c r="H1806" s="1">
        <v>10.222178577035525</v>
      </c>
      <c r="I1806" s="1">
        <v>30.546755438636922</v>
      </c>
      <c r="J1806" s="1">
        <v>3.7178345148782044E-2</v>
      </c>
      <c r="K1806" s="1">
        <v>3.0762727909047811</v>
      </c>
      <c r="L1806" s="1">
        <v>6.6869928492226096</v>
      </c>
      <c r="M1806" s="1">
        <v>0.1615887562573935</v>
      </c>
      <c r="N1806" s="1">
        <v>2.005873473749439</v>
      </c>
      <c r="O1806" s="1">
        <v>0.16687809523809524</v>
      </c>
      <c r="P1806" s="1">
        <v>0.1344467351938709</v>
      </c>
      <c r="Q1806" s="1">
        <v>2.5875105901792628</v>
      </c>
      <c r="R1806" s="2">
        <f t="shared" si="115"/>
        <v>125.04908642025102</v>
      </c>
      <c r="S1806" s="2">
        <f t="shared" si="114"/>
        <v>3.2478978712474338</v>
      </c>
      <c r="T1806" s="2">
        <f t="shared" si="116"/>
        <v>9.0213331744675376</v>
      </c>
      <c r="U1806" s="2">
        <f t="shared" si="117"/>
        <v>137.318317465966</v>
      </c>
    </row>
    <row r="1807" spans="1:21" x14ac:dyDescent="0.25">
      <c r="A1807">
        <v>3658157</v>
      </c>
      <c r="B1807">
        <v>18</v>
      </c>
      <c r="C1807" s="1">
        <f>4.59190624017033*(10.3/7.3)</f>
        <v>6.4789909964047174</v>
      </c>
      <c r="D1807" s="1">
        <f>5.77906423273974*(10.3/7.3)</f>
        <v>8.1540221366053895</v>
      </c>
      <c r="E1807" s="1">
        <f>20.3846655593145*(10.3/7.3)</f>
        <v>28.761925378210808</v>
      </c>
      <c r="F1807" s="1">
        <f>42.9680974169245*(38.9/42.5)</f>
        <v>39.328446812196759</v>
      </c>
      <c r="G1807" s="1">
        <v>1.6865572565896931</v>
      </c>
      <c r="H1807" s="1">
        <v>8.2282677806219375</v>
      </c>
      <c r="I1807" s="1">
        <v>32.259957591222779</v>
      </c>
      <c r="J1807" s="1">
        <v>3.8483972209634065E-2</v>
      </c>
      <c r="K1807" s="1">
        <v>3.0029964820255044</v>
      </c>
      <c r="L1807" s="1">
        <v>10.078547951271958</v>
      </c>
      <c r="M1807" s="1">
        <v>0.16378289718488881</v>
      </c>
      <c r="N1807" s="1">
        <v>1.9753273391919679</v>
      </c>
      <c r="O1807" s="1">
        <v>0.16736592592592592</v>
      </c>
      <c r="P1807" s="1">
        <v>0.13346505403453532</v>
      </c>
      <c r="Q1807" s="1">
        <v>2.6954111406684627</v>
      </c>
      <c r="R1807" s="2">
        <f t="shared" si="115"/>
        <v>127.59357909252056</v>
      </c>
      <c r="S1807" s="2">
        <f t="shared" si="114"/>
        <v>3.1749455082696736</v>
      </c>
      <c r="T1807" s="2">
        <f t="shared" si="116"/>
        <v>12.385024113574742</v>
      </c>
      <c r="U1807" s="2">
        <f t="shared" si="117"/>
        <v>143.15354871436497</v>
      </c>
    </row>
    <row r="1808" spans="1:21" x14ac:dyDescent="0.25">
      <c r="A1808">
        <v>3658165</v>
      </c>
      <c r="B1808">
        <v>63</v>
      </c>
      <c r="C1808" s="1">
        <f>4.12929346766122*(10.3/7.3)</f>
        <v>5.8262633858781658</v>
      </c>
      <c r="D1808" s="1">
        <f>4.75777888774979*(10.3/7.3)</f>
        <v>6.7130304854551879</v>
      </c>
      <c r="E1808" s="1">
        <f>16.871565905495*(10.3/7.3)</f>
        <v>23.805086140629864</v>
      </c>
      <c r="F1808" s="1">
        <f>34.5564352166686*(38.9/42.5)</f>
        <v>31.629301880668464</v>
      </c>
      <c r="G1808" s="1">
        <v>1.2859894766970397</v>
      </c>
      <c r="H1808" s="1">
        <v>6.8284353373380995</v>
      </c>
      <c r="I1808" s="1">
        <v>26.588040954376964</v>
      </c>
      <c r="J1808" s="1">
        <v>3.7982465936995211E-2</v>
      </c>
      <c r="K1808" s="1">
        <v>2.9530756165335683</v>
      </c>
      <c r="L1808" s="1">
        <v>10.636262294706995</v>
      </c>
      <c r="M1808" s="1">
        <v>0.15748986103164275</v>
      </c>
      <c r="N1808" s="1">
        <v>1.9831592540546534</v>
      </c>
      <c r="O1808" s="1">
        <v>0.16141544973544975</v>
      </c>
      <c r="P1808" s="1">
        <v>0.1322522964114512</v>
      </c>
      <c r="Q1808" s="1">
        <v>2.0552343234884218</v>
      </c>
      <c r="R1808" s="2">
        <f t="shared" si="115"/>
        <v>104.73138198453221</v>
      </c>
      <c r="S1808" s="2">
        <f t="shared" si="114"/>
        <v>3.1233103788820147</v>
      </c>
      <c r="T1808" s="2">
        <f t="shared" si="116"/>
        <v>12.938326859528742</v>
      </c>
      <c r="U1808" s="2">
        <f t="shared" si="117"/>
        <v>120.79301922294296</v>
      </c>
    </row>
    <row r="1809" spans="1:21" x14ac:dyDescent="0.25">
      <c r="A1809">
        <v>3658173</v>
      </c>
      <c r="B1809">
        <v>2</v>
      </c>
      <c r="C1809" s="1">
        <f>5.8110774606718*(10.3/7.3)</f>
        <v>8.1991914856054144</v>
      </c>
      <c r="D1809" s="1">
        <f>6.26848318872615*(10.3/7.3)</f>
        <v>8.8445721703944287</v>
      </c>
      <c r="E1809" s="1">
        <f>22.32539089745*(10.3/7.3)</f>
        <v>31.500209074484289</v>
      </c>
      <c r="F1809" s="1">
        <f>44.5707391169052*(38.9/42.5)</f>
        <v>40.795335332885017</v>
      </c>
      <c r="G1809" s="1">
        <v>1.5777721080325366</v>
      </c>
      <c r="H1809" s="1">
        <v>6.4158542660297142</v>
      </c>
      <c r="I1809" s="1">
        <v>34.981096017391522</v>
      </c>
      <c r="J1809" s="1">
        <v>4.0552298307735962E-2</v>
      </c>
      <c r="K1809" s="1">
        <v>3.0780204554844808</v>
      </c>
      <c r="L1809" s="1">
        <v>11.548132317148092</v>
      </c>
      <c r="M1809" s="1">
        <v>0.16560089927233096</v>
      </c>
      <c r="N1809" s="1">
        <v>2.0400303206974866</v>
      </c>
      <c r="O1809" s="1">
        <v>0.16727999999999998</v>
      </c>
      <c r="P1809" s="1">
        <v>0.13339028019096077</v>
      </c>
      <c r="Q1809" s="1">
        <v>2.521553597312276</v>
      </c>
      <c r="R1809" s="2">
        <f t="shared" si="115"/>
        <v>134.83558405213518</v>
      </c>
      <c r="S1809" s="2">
        <f t="shared" si="114"/>
        <v>3.2519630339831771</v>
      </c>
      <c r="T1809" s="2">
        <f t="shared" si="116"/>
        <v>13.921043537117908</v>
      </c>
      <c r="U1809" s="2">
        <f t="shared" si="117"/>
        <v>152.00859062323624</v>
      </c>
    </row>
    <row r="1810" spans="1:21" x14ac:dyDescent="0.25">
      <c r="A1810">
        <v>3658181</v>
      </c>
      <c r="B1810">
        <v>34</v>
      </c>
      <c r="C1810" s="1">
        <f>5.16947621783627*(10.3/7.3)</f>
        <v>7.293918499138841</v>
      </c>
      <c r="D1810" s="1">
        <f>5.53271303783736*(10.3/7.3)</f>
        <v>7.8064307246198386</v>
      </c>
      <c r="E1810" s="1">
        <f>19.7204561506514*(10.3/7.3)</f>
        <v>27.824753198864258</v>
      </c>
      <c r="F1810" s="1">
        <f>38.99365651998*(38.9/42.5)</f>
        <v>35.690664438287563</v>
      </c>
      <c r="G1810" s="1">
        <v>1.3591428869902855</v>
      </c>
      <c r="H1810" s="1">
        <v>8.1698899395605356</v>
      </c>
      <c r="I1810" s="1">
        <v>30.652344907199328</v>
      </c>
      <c r="J1810" s="1">
        <v>3.743304434573843E-2</v>
      </c>
      <c r="K1810" s="1">
        <v>2.7336799092620847</v>
      </c>
      <c r="L1810" s="1">
        <v>12.556750924892709</v>
      </c>
      <c r="M1810" s="1">
        <v>0.15276003076998176</v>
      </c>
      <c r="N1810" s="1">
        <v>1.9386595586251056</v>
      </c>
      <c r="O1810" s="1">
        <v>0.1540643137254902</v>
      </c>
      <c r="P1810" s="1">
        <v>0.12425601084970025</v>
      </c>
      <c r="Q1810" s="1">
        <v>2.1721461664228334</v>
      </c>
      <c r="R1810" s="2">
        <f t="shared" si="115"/>
        <v>120.96929076108347</v>
      </c>
      <c r="S1810" s="2">
        <f t="shared" si="114"/>
        <v>2.8953689644575231</v>
      </c>
      <c r="T1810" s="2">
        <f t="shared" si="116"/>
        <v>14.802234828013285</v>
      </c>
      <c r="U1810" s="2">
        <f t="shared" si="117"/>
        <v>138.66689455355427</v>
      </c>
    </row>
    <row r="1811" spans="1:21" x14ac:dyDescent="0.25">
      <c r="A1811">
        <v>3669849</v>
      </c>
      <c r="B1811">
        <v>48</v>
      </c>
      <c r="C1811" s="1">
        <f>0.57510930550241*(10.3/7.3)</f>
        <v>0.81145559543490731</v>
      </c>
      <c r="D1811" s="1">
        <f>0.725607244952283*(10.3/7.3)</f>
        <v>1.0238020031518515</v>
      </c>
      <c r="E1811" s="1">
        <f>2.54837257786585*(10.3/7.3)</f>
        <v>3.5956489797285327</v>
      </c>
      <c r="F1811" s="1">
        <f>5.91772636604699*(38.9/42.5)</f>
        <v>5.416460132687714</v>
      </c>
      <c r="G1811" s="1">
        <v>0.25682832387581639</v>
      </c>
      <c r="H1811" s="1">
        <v>1.3290853600115942</v>
      </c>
      <c r="I1811" s="1">
        <v>4.5191380727377011</v>
      </c>
      <c r="J1811" s="1">
        <v>1.6045851808077816E-2</v>
      </c>
      <c r="K1811" s="1">
        <v>2.0742090620867515</v>
      </c>
      <c r="L1811" s="1">
        <v>1.9496959135099541</v>
      </c>
      <c r="M1811" s="1">
        <v>0.10673938730482853</v>
      </c>
      <c r="N1811" s="1">
        <v>0.64996694909853803</v>
      </c>
      <c r="O1811" s="1">
        <v>0.30991444444444444</v>
      </c>
      <c r="P1811" s="1">
        <v>0.15959010741856886</v>
      </c>
      <c r="Q1811" s="1">
        <v>0.41045622537230986</v>
      </c>
      <c r="R1811" s="2">
        <f t="shared" si="115"/>
        <v>17.362874693000428</v>
      </c>
      <c r="S1811" s="2">
        <f t="shared" si="114"/>
        <v>2.2498450213133983</v>
      </c>
      <c r="T1811" s="2">
        <f t="shared" si="116"/>
        <v>3.0163166943577648</v>
      </c>
      <c r="U1811" s="2">
        <f t="shared" si="117"/>
        <v>22.629036408671592</v>
      </c>
    </row>
    <row r="1812" spans="1:21" x14ac:dyDescent="0.25">
      <c r="A1812">
        <v>3669857</v>
      </c>
      <c r="B1812">
        <v>1</v>
      </c>
      <c r="C1812" s="1">
        <f>0.568362408250765*(10.3/7.3)</f>
        <v>0.80193600068258586</v>
      </c>
      <c r="D1812" s="1">
        <f>0.730050731235298*(10.3/7.3)</f>
        <v>1.0300715796881605</v>
      </c>
      <c r="E1812" s="1">
        <f>2.55397065630782*(10.3/7.3)</f>
        <v>3.6035476383521243</v>
      </c>
      <c r="F1812" s="1">
        <f>6.33572380448166*(38.9/42.5)</f>
        <v>5.7990507292785063</v>
      </c>
      <c r="G1812" s="1">
        <v>0.2921641244592042</v>
      </c>
      <c r="H1812" s="1">
        <v>3.5774265933621181</v>
      </c>
      <c r="I1812" s="1">
        <v>4.8687840084057559</v>
      </c>
      <c r="J1812" s="1">
        <v>1.756686355488405E-2</v>
      </c>
      <c r="K1812" s="1">
        <v>2.1641931431628678</v>
      </c>
      <c r="L1812" s="1">
        <v>2.0003185252220881</v>
      </c>
      <c r="M1812" s="1">
        <v>0.10744478880702091</v>
      </c>
      <c r="N1812" s="1">
        <v>0.69767420782798351</v>
      </c>
      <c r="O1812" s="1">
        <v>0.36533333333333334</v>
      </c>
      <c r="P1812" s="1">
        <v>0.167802867747054</v>
      </c>
      <c r="Q1812" s="1">
        <v>0.46692896603069206</v>
      </c>
      <c r="R1812" s="2">
        <f t="shared" si="115"/>
        <v>20.439909640259145</v>
      </c>
      <c r="S1812" s="2">
        <f t="shared" si="114"/>
        <v>2.3495628744648061</v>
      </c>
      <c r="T1812" s="2">
        <f t="shared" si="116"/>
        <v>3.1707708551904257</v>
      </c>
      <c r="U1812" s="2">
        <f t="shared" si="117"/>
        <v>25.960243369914377</v>
      </c>
    </row>
    <row r="1813" spans="1:21" x14ac:dyDescent="0.25">
      <c r="A1813">
        <v>3669865</v>
      </c>
      <c r="B1813">
        <v>25</v>
      </c>
      <c r="C1813" s="1">
        <f>0.568107501494436*(10.3/7.3)</f>
        <v>0.80157633772502646</v>
      </c>
      <c r="D1813" s="1">
        <f>0.715720581273415*(10.3/7.3)</f>
        <v>1.0098523270022155</v>
      </c>
      <c r="E1813" s="1">
        <f>2.50993837744618*(10.3/7.3)</f>
        <v>3.5414199024240638</v>
      </c>
      <c r="F1813" s="1">
        <f>6.02540464326922*(38.9/42.5)</f>
        <v>5.5150174264275922</v>
      </c>
      <c r="G1813" s="1">
        <v>0.26943905594636564</v>
      </c>
      <c r="H1813" s="1">
        <v>6.1710978234956881</v>
      </c>
      <c r="I1813" s="1">
        <v>4.6293630252865325</v>
      </c>
      <c r="J1813" s="1">
        <v>1.7867282380895112E-2</v>
      </c>
      <c r="K1813" s="1">
        <v>2.1861117860782504</v>
      </c>
      <c r="L1813" s="1">
        <v>2.0577447794906121</v>
      </c>
      <c r="M1813" s="1">
        <v>0.10779211013078921</v>
      </c>
      <c r="N1813" s="1">
        <v>0.71426726583322453</v>
      </c>
      <c r="O1813" s="1">
        <v>0.34979199999999999</v>
      </c>
      <c r="P1813" s="1">
        <v>0.17161987732692108</v>
      </c>
      <c r="Q1813" s="1">
        <v>0.43061036338460296</v>
      </c>
      <c r="R1813" s="2">
        <f t="shared" si="115"/>
        <v>22.368376261692088</v>
      </c>
      <c r="S1813" s="2">
        <f t="shared" si="114"/>
        <v>2.3755989457860665</v>
      </c>
      <c r="T1813" s="2">
        <f t="shared" si="116"/>
        <v>3.229596155454626</v>
      </c>
      <c r="U1813" s="2">
        <f t="shared" si="117"/>
        <v>27.97357136293278</v>
      </c>
    </row>
    <row r="1814" spans="1:21" x14ac:dyDescent="0.25">
      <c r="A1814">
        <v>3670201</v>
      </c>
      <c r="B1814">
        <v>5</v>
      </c>
      <c r="C1814" s="1">
        <f>1.57612033772244*(10.3/7.3)</f>
        <v>2.2238410244576934</v>
      </c>
      <c r="D1814" s="1">
        <f>2.00696573911111*(10.3/7.3)</f>
        <v>2.8317461798417085</v>
      </c>
      <c r="E1814" s="1">
        <f>7.00893975945908*(10.3/7.3)</f>
        <v>9.8893259619765157</v>
      </c>
      <c r="F1814" s="1">
        <f>18.1423408383168*(38.9/42.5)</f>
        <v>16.605577849659355</v>
      </c>
      <c r="G1814" s="1">
        <v>0.86423929111053899</v>
      </c>
      <c r="H1814" s="1">
        <v>3.5350349280022781</v>
      </c>
      <c r="I1814" s="1">
        <v>14.06901669703112</v>
      </c>
      <c r="J1814" s="1">
        <v>3.6367650762367205E-2</v>
      </c>
      <c r="K1814" s="1">
        <v>3.0650809294174324</v>
      </c>
      <c r="L1814" s="1">
        <v>10.027175419615668</v>
      </c>
      <c r="M1814" s="1">
        <v>0.15900048996272359</v>
      </c>
      <c r="N1814" s="1">
        <v>1.7488656585193891</v>
      </c>
      <c r="O1814" s="1">
        <v>0.23029333333333332</v>
      </c>
      <c r="P1814" s="1">
        <v>0.20880221693856243</v>
      </c>
      <c r="Q1814" s="1">
        <v>1.3812043465236941</v>
      </c>
      <c r="R1814" s="2">
        <f t="shared" si="115"/>
        <v>51.399986278602903</v>
      </c>
      <c r="S1814" s="2">
        <f t="shared" si="114"/>
        <v>3.3102507971183623</v>
      </c>
      <c r="T1814" s="2">
        <f t="shared" si="116"/>
        <v>12.165334901431114</v>
      </c>
      <c r="U1814" s="2">
        <f t="shared" si="117"/>
        <v>66.875571977152376</v>
      </c>
    </row>
    <row r="1815" spans="1:21" x14ac:dyDescent="0.25">
      <c r="A1815">
        <v>3670209</v>
      </c>
      <c r="B1815">
        <v>15</v>
      </c>
      <c r="C1815" s="1">
        <f>1.77107090073936*(10.3/7.3)</f>
        <v>2.4989082572075909</v>
      </c>
      <c r="D1815" s="1">
        <f>2.2626463237523*(10.3/7.3)</f>
        <v>3.1925009773491362</v>
      </c>
      <c r="E1815" s="1">
        <f>7.90307049520611*(10.3/7.3)</f>
        <v>11.150907685016845</v>
      </c>
      <c r="F1815" s="1">
        <f>20.3358966956607*(38.9/42.5)</f>
        <v>18.61332662261654</v>
      </c>
      <c r="G1815" s="1">
        <v>0.96476034487538653</v>
      </c>
      <c r="H1815" s="1">
        <v>4.0423240961990361</v>
      </c>
      <c r="I1815" s="1">
        <v>15.742258734280101</v>
      </c>
      <c r="J1815" s="1">
        <v>3.8331405461207856E-2</v>
      </c>
      <c r="K1815" s="1">
        <v>3.237903260106477</v>
      </c>
      <c r="L1815" s="1">
        <v>10.205952785610474</v>
      </c>
      <c r="M1815" s="1">
        <v>0.17001118832051595</v>
      </c>
      <c r="N1815" s="1">
        <v>1.8656890600746958</v>
      </c>
      <c r="O1815" s="1">
        <v>0.24818133333333331</v>
      </c>
      <c r="P1815" s="1">
        <v>0.21693300698617157</v>
      </c>
      <c r="Q1815" s="1">
        <v>1.5418544324492494</v>
      </c>
      <c r="R1815" s="2">
        <f t="shared" si="115"/>
        <v>57.746841149993891</v>
      </c>
      <c r="S1815" s="2">
        <f t="shared" si="114"/>
        <v>3.4931676725538567</v>
      </c>
      <c r="T1815" s="2">
        <f t="shared" si="116"/>
        <v>12.489834367339018</v>
      </c>
      <c r="U1815" s="2">
        <f t="shared" si="117"/>
        <v>73.729843189886765</v>
      </c>
    </row>
    <row r="1816" spans="1:21" x14ac:dyDescent="0.25">
      <c r="A1816">
        <v>3670217</v>
      </c>
      <c r="B1816">
        <v>6</v>
      </c>
      <c r="C1816" s="1">
        <f>1.78228945329652*(10.3/7.3)</f>
        <v>2.5147371738293325</v>
      </c>
      <c r="D1816" s="1">
        <f>2.2764070327853*(10.3/7.3)</f>
        <v>3.2119167722861017</v>
      </c>
      <c r="E1816" s="1">
        <f>7.95601618317909*(10.3/7.3)</f>
        <v>11.225611874896526</v>
      </c>
      <c r="F1816" s="1">
        <f>20.2274502510061*(38.9/42.5)</f>
        <v>18.514066229744365</v>
      </c>
      <c r="G1816" s="1">
        <v>0.95063317763810096</v>
      </c>
      <c r="H1816" s="1">
        <v>4.2223711059682474</v>
      </c>
      <c r="I1816" s="1">
        <v>15.629473496808544</v>
      </c>
      <c r="J1816" s="1">
        <v>3.5693830005720927E-2</v>
      </c>
      <c r="K1816" s="1">
        <v>3.1209709667230032</v>
      </c>
      <c r="L1816" s="1">
        <v>10.495887076740363</v>
      </c>
      <c r="M1816" s="1">
        <v>0.16614134698755056</v>
      </c>
      <c r="N1816" s="1">
        <v>1.8099659993338248</v>
      </c>
      <c r="O1816" s="1">
        <v>0.23468444444444445</v>
      </c>
      <c r="P1816" s="1">
        <v>0.2045962708873855</v>
      </c>
      <c r="Q1816" s="1">
        <v>1.519276767914775</v>
      </c>
      <c r="R1816" s="2">
        <f t="shared" si="115"/>
        <v>57.788086599085993</v>
      </c>
      <c r="S1816" s="2">
        <f t="shared" si="114"/>
        <v>3.3612610676161094</v>
      </c>
      <c r="T1816" s="2">
        <f t="shared" si="116"/>
        <v>12.706678867506183</v>
      </c>
      <c r="U1816" s="2">
        <f t="shared" si="117"/>
        <v>73.856026534208283</v>
      </c>
    </row>
    <row r="1817" spans="1:21" x14ac:dyDescent="0.25">
      <c r="A1817">
        <v>3670225</v>
      </c>
      <c r="B1817">
        <v>9</v>
      </c>
      <c r="C1817" s="1">
        <f>1.65056550187096*(10.3/7.3)</f>
        <v>2.3288800916809471</v>
      </c>
      <c r="D1817" s="1">
        <f>2.10442980067458*(10.3/7.3)</f>
        <v>2.9692639653353727</v>
      </c>
      <c r="E1817" s="1">
        <f>7.36041509292385*(10.3/7.3)</f>
        <v>10.385243213303518</v>
      </c>
      <c r="F1817" s="1">
        <f>18.464207476191*(38.9/42.5)</f>
        <v>16.900180489972488</v>
      </c>
      <c r="G1817" s="1">
        <v>0.85833568502116853</v>
      </c>
      <c r="H1817" s="1">
        <v>4.7400435822325413</v>
      </c>
      <c r="I1817" s="1">
        <v>14.242935109835299</v>
      </c>
      <c r="J1817" s="1">
        <v>3.3904140954343048E-2</v>
      </c>
      <c r="K1817" s="1">
        <v>2.8554955583866697</v>
      </c>
      <c r="L1817" s="1">
        <v>11.053242016120116</v>
      </c>
      <c r="M1817" s="1">
        <v>0.15721376073221141</v>
      </c>
      <c r="N1817" s="1">
        <v>1.6380022130119425</v>
      </c>
      <c r="O1817" s="1">
        <v>0.21207111111111113</v>
      </c>
      <c r="P1817" s="1">
        <v>0.18456325950055297</v>
      </c>
      <c r="Q1817" s="1">
        <v>1.3717693596228739</v>
      </c>
      <c r="R1817" s="2">
        <f t="shared" si="115"/>
        <v>53.796651497004206</v>
      </c>
      <c r="S1817" s="2">
        <f t="shared" si="114"/>
        <v>3.0739629588415656</v>
      </c>
      <c r="T1817" s="2">
        <f t="shared" si="116"/>
        <v>13.060529100975382</v>
      </c>
      <c r="U1817" s="2">
        <f t="shared" si="117"/>
        <v>69.931143556821155</v>
      </c>
    </row>
    <row r="1818" spans="1:21" x14ac:dyDescent="0.25">
      <c r="A1818">
        <v>3670297</v>
      </c>
      <c r="B1818">
        <v>21</v>
      </c>
      <c r="C1818" s="1">
        <f>2.66872580180054*(10.3/7.3)</f>
        <v>3.7654624326774782</v>
      </c>
      <c r="D1818" s="1">
        <f>3.82846016611026*(10.3/7.3)</f>
        <v>5.4017999604021476</v>
      </c>
      <c r="E1818" s="1">
        <f>13.2951818433985*(10.3/7.3)</f>
        <v>18.758955203699262</v>
      </c>
      <c r="F1818" s="1">
        <f>34.8423340958399*(38.9/42.5)</f>
        <v>31.890983443015777</v>
      </c>
      <c r="G1818" s="1">
        <v>1.6999095159194484</v>
      </c>
      <c r="H1818" s="1">
        <v>8.1984092383716511</v>
      </c>
      <c r="I1818" s="1">
        <v>26.30586742505286</v>
      </c>
      <c r="J1818" s="1">
        <v>3.7705108586642437E-2</v>
      </c>
      <c r="K1818" s="1">
        <v>3.3266414752855695</v>
      </c>
      <c r="L1818" s="1">
        <v>8.8163242793461336</v>
      </c>
      <c r="M1818" s="1">
        <v>0.17623961936420635</v>
      </c>
      <c r="N1818" s="1">
        <v>1.9677794535156989</v>
      </c>
      <c r="O1818" s="1">
        <v>0.20932063492063491</v>
      </c>
      <c r="P1818" s="1">
        <v>0.1679181196142551</v>
      </c>
      <c r="Q1818" s="1">
        <v>2.7167503679077978</v>
      </c>
      <c r="R1818" s="2">
        <f t="shared" si="115"/>
        <v>98.738137587046424</v>
      </c>
      <c r="S1818" s="2">
        <f t="shared" si="114"/>
        <v>3.5322647034864669</v>
      </c>
      <c r="T1818" s="2">
        <f t="shared" si="116"/>
        <v>11.169663987146675</v>
      </c>
      <c r="U1818" s="2">
        <f t="shared" si="117"/>
        <v>113.44006627767956</v>
      </c>
    </row>
    <row r="1819" spans="1:21" x14ac:dyDescent="0.25">
      <c r="A1819">
        <v>3670361</v>
      </c>
      <c r="B1819">
        <v>21</v>
      </c>
      <c r="C1819" s="1">
        <f>3.73244942000537*(10.3/7.3)</f>
        <v>5.2663327432952522</v>
      </c>
      <c r="D1819" s="1">
        <f>4.57335407076094*(10.3/7.3)</f>
        <v>6.4528146477859796</v>
      </c>
      <c r="E1819" s="1">
        <f>16.1554514421544*(10.3/7.3)</f>
        <v>22.794678062217887</v>
      </c>
      <c r="F1819" s="1">
        <f>33.8455108253039*(38.9/42.5)</f>
        <v>30.978596967160549</v>
      </c>
      <c r="G1819" s="1">
        <v>1.312012757635644</v>
      </c>
      <c r="H1819" s="1">
        <v>6.804068634108849</v>
      </c>
      <c r="I1819" s="1">
        <v>25.603742314621108</v>
      </c>
      <c r="J1819" s="1">
        <v>3.8750957284135877E-2</v>
      </c>
      <c r="K1819" s="1">
        <v>2.8692526047011619</v>
      </c>
      <c r="L1819" s="1">
        <v>11.018929981951171</v>
      </c>
      <c r="M1819" s="1">
        <v>0.15328722313749793</v>
      </c>
      <c r="N1819" s="1">
        <v>2.0915884326328635</v>
      </c>
      <c r="O1819" s="1">
        <v>0.16254984126984126</v>
      </c>
      <c r="P1819" s="1">
        <v>0.13363110034279804</v>
      </c>
      <c r="Q1819" s="1">
        <v>2.0968240418834521</v>
      </c>
      <c r="R1819" s="2">
        <f t="shared" si="115"/>
        <v>101.3090701687087</v>
      </c>
      <c r="S1819" s="2">
        <f t="shared" si="114"/>
        <v>3.0416346623280957</v>
      </c>
      <c r="T1819" s="2">
        <f t="shared" si="116"/>
        <v>13.426355478991374</v>
      </c>
      <c r="U1819" s="2">
        <f t="shared" si="117"/>
        <v>117.77706031002816</v>
      </c>
    </row>
    <row r="1820" spans="1:21" x14ac:dyDescent="0.25">
      <c r="A1820">
        <v>3670369</v>
      </c>
      <c r="B1820">
        <v>29</v>
      </c>
      <c r="C1820" s="1">
        <f>3.53771023287014*(10.3/7.3)</f>
        <v>4.9915637532277319</v>
      </c>
      <c r="D1820" s="1">
        <f>4.47560173538743*(10.3/7.3)</f>
        <v>6.3148901197932199</v>
      </c>
      <c r="E1820" s="1">
        <f>15.7935373263807*(10.3/7.3)</f>
        <v>22.284032118044042</v>
      </c>
      <c r="F1820" s="1">
        <f>32.7699656248383*(38.9/42.5)</f>
        <v>29.994156771910827</v>
      </c>
      <c r="G1820" s="1">
        <v>1.2643043880380316</v>
      </c>
      <c r="H1820" s="1">
        <v>5.8069330550436478</v>
      </c>
      <c r="I1820" s="1">
        <v>24.485703281630364</v>
      </c>
      <c r="J1820" s="1">
        <v>3.8102213931369706E-2</v>
      </c>
      <c r="K1820" s="1">
        <v>3.0302103131761133</v>
      </c>
      <c r="L1820" s="1">
        <v>12.26528968601842</v>
      </c>
      <c r="M1820" s="1">
        <v>0.15855625480592056</v>
      </c>
      <c r="N1820" s="1">
        <v>2.7368715676819413</v>
      </c>
      <c r="O1820" s="1">
        <v>0.16752919540229883</v>
      </c>
      <c r="P1820" s="1">
        <v>0.13761050199799404</v>
      </c>
      <c r="Q1820" s="1">
        <v>2.0205777891018788</v>
      </c>
      <c r="R1820" s="2">
        <f t="shared" si="115"/>
        <v>97.162161276789732</v>
      </c>
      <c r="S1820" s="2">
        <f t="shared" si="114"/>
        <v>3.205923029105477</v>
      </c>
      <c r="T1820" s="2">
        <f t="shared" si="116"/>
        <v>15.328246703908581</v>
      </c>
      <c r="U1820" s="2">
        <f t="shared" si="117"/>
        <v>115.69633100980379</v>
      </c>
    </row>
    <row r="1821" spans="1:21" x14ac:dyDescent="0.25">
      <c r="A1821">
        <v>3670377</v>
      </c>
      <c r="B1821">
        <v>32</v>
      </c>
      <c r="C1821" s="1">
        <f>3.73260411369818*(10.3/7.3)</f>
        <v>5.2665510097385235</v>
      </c>
      <c r="D1821" s="1">
        <f>4.83362804439762*(10.3/7.3)</f>
        <v>6.8200505283966475</v>
      </c>
      <c r="E1821" s="1">
        <f>17.0460775549905*(10.3/7.3)</f>
        <v>24.051314906356517</v>
      </c>
      <c r="F1821" s="1">
        <f>35.0314636879017*(38.9/42.5)</f>
        <v>32.064092646103013</v>
      </c>
      <c r="G1821" s="1">
        <v>1.3426285388036991</v>
      </c>
      <c r="H1821" s="1">
        <v>7.7879359268817172</v>
      </c>
      <c r="I1821" s="1">
        <v>25.925698219486794</v>
      </c>
      <c r="J1821" s="1">
        <v>3.3794996324365702E-2</v>
      </c>
      <c r="K1821" s="1">
        <v>2.8209369449612147</v>
      </c>
      <c r="L1821" s="1">
        <v>9.0436845508149535</v>
      </c>
      <c r="M1821" s="1">
        <v>0.1493264878383371</v>
      </c>
      <c r="N1821" s="1">
        <v>1.7998359019226116</v>
      </c>
      <c r="O1821" s="1">
        <v>0.15448499999999998</v>
      </c>
      <c r="P1821" s="1">
        <v>0.12495284567376005</v>
      </c>
      <c r="Q1821" s="1">
        <v>2.1457533725173294</v>
      </c>
      <c r="R1821" s="2">
        <f t="shared" si="115"/>
        <v>105.40402514828423</v>
      </c>
      <c r="S1821" s="2">
        <f t="shared" si="114"/>
        <v>2.9796847869593401</v>
      </c>
      <c r="T1821" s="2">
        <f t="shared" si="116"/>
        <v>11.147331940575901</v>
      </c>
      <c r="U1821" s="2">
        <f t="shared" si="117"/>
        <v>119.53104187581947</v>
      </c>
    </row>
    <row r="1822" spans="1:21" x14ac:dyDescent="0.25">
      <c r="A1822">
        <v>3670385</v>
      </c>
      <c r="B1822">
        <v>30</v>
      </c>
      <c r="C1822" s="1">
        <f>3.71466853577488*(10.3/7.3)</f>
        <v>5.241244646367301</v>
      </c>
      <c r="D1822" s="1">
        <f>4.71596191881893*(10.3/7.3)</f>
        <v>6.654028460799319</v>
      </c>
      <c r="E1822" s="1">
        <f>16.6373205814511*(10.3/7.3)</f>
        <v>23.474575614924209</v>
      </c>
      <c r="F1822" s="1">
        <f>34.6120643261135*(38.9/42.5)</f>
        <v>31.680218877313294</v>
      </c>
      <c r="G1822" s="1">
        <v>1.3404714634264872</v>
      </c>
      <c r="H1822" s="1">
        <v>9.6663298217512263</v>
      </c>
      <c r="I1822" s="1">
        <v>25.846213598861244</v>
      </c>
      <c r="J1822" s="1">
        <v>3.563499091362083E-2</v>
      </c>
      <c r="K1822" s="1">
        <v>2.8850009401244852</v>
      </c>
      <c r="L1822" s="1">
        <v>9.835769555159743</v>
      </c>
      <c r="M1822" s="1">
        <v>0.15553529805588356</v>
      </c>
      <c r="N1822" s="1">
        <v>1.8919906398309672</v>
      </c>
      <c r="O1822" s="1">
        <v>0.16065955555555556</v>
      </c>
      <c r="P1822" s="1">
        <v>0.13055987229898944</v>
      </c>
      <c r="Q1822" s="1">
        <v>2.1423059917774929</v>
      </c>
      <c r="R1822" s="2">
        <f t="shared" si="115"/>
        <v>106.04538847522056</v>
      </c>
      <c r="S1822" s="2">
        <f t="shared" si="114"/>
        <v>3.0511958033370954</v>
      </c>
      <c r="T1822" s="2">
        <f t="shared" si="116"/>
        <v>12.04395504860215</v>
      </c>
      <c r="U1822" s="2">
        <f t="shared" si="117"/>
        <v>121.14053932715981</v>
      </c>
    </row>
    <row r="1823" spans="1:21" x14ac:dyDescent="0.25">
      <c r="A1823">
        <v>3670393</v>
      </c>
      <c r="B1823">
        <v>61</v>
      </c>
      <c r="C1823" s="1">
        <f>4.2533255575524*(10.3/7.3)</f>
        <v>6.0012675675054403</v>
      </c>
      <c r="D1823" s="1">
        <f>5.12015627891603*(10.3/7.3)</f>
        <v>7.2243300921691915</v>
      </c>
      <c r="E1823" s="1">
        <f>18.1056433224703*(10.3/7.3)</f>
        <v>25.54631866047184</v>
      </c>
      <c r="F1823" s="1">
        <f>37.7412672930064*(38.9/42.5)</f>
        <v>34.544359945834053</v>
      </c>
      <c r="G1823" s="1">
        <v>1.4490269734486254</v>
      </c>
      <c r="H1823" s="1">
        <v>7.7006220617617487</v>
      </c>
      <c r="I1823" s="1">
        <v>28.692974955121127</v>
      </c>
      <c r="J1823" s="1">
        <v>3.7437021582047023E-2</v>
      </c>
      <c r="K1823" s="1">
        <v>2.934446955995182</v>
      </c>
      <c r="L1823" s="1">
        <v>12.765813972914181</v>
      </c>
      <c r="M1823" s="1">
        <v>0.15963403597512782</v>
      </c>
      <c r="N1823" s="1">
        <v>1.9580642638719401</v>
      </c>
      <c r="O1823" s="1">
        <v>0.16368262295081962</v>
      </c>
      <c r="P1823" s="1">
        <v>0.13233894084637773</v>
      </c>
      <c r="Q1823" s="1">
        <v>2.3157965329087644</v>
      </c>
      <c r="R1823" s="2">
        <f t="shared" si="115"/>
        <v>113.47469678922079</v>
      </c>
      <c r="S1823" s="2">
        <f t="shared" si="114"/>
        <v>3.1042229184236065</v>
      </c>
      <c r="T1823" s="2">
        <f t="shared" si="116"/>
        <v>15.047194895712067</v>
      </c>
      <c r="U1823" s="2">
        <f t="shared" si="117"/>
        <v>131.62611460335646</v>
      </c>
    </row>
    <row r="1824" spans="1:21" x14ac:dyDescent="0.25">
      <c r="A1824">
        <v>3670401</v>
      </c>
      <c r="B1824">
        <v>9</v>
      </c>
      <c r="C1824" s="1">
        <f>4.95784790129512*(10.3/7.3)</f>
        <v>6.9953196415533831</v>
      </c>
      <c r="D1824" s="1">
        <f>5.46876898019741*(10.3/7.3)</f>
        <v>7.7162082871278521</v>
      </c>
      <c r="E1824" s="1">
        <f>19.4457661846062*(10.3/7.3)</f>
        <v>27.437176945403255</v>
      </c>
      <c r="F1824" s="1">
        <f>39.2816982517318*(38.9/42.5)</f>
        <v>35.954307340996877</v>
      </c>
      <c r="G1824" s="1">
        <v>1.4209426692084934</v>
      </c>
      <c r="H1824" s="1">
        <v>7.2910827857411551</v>
      </c>
      <c r="I1824" s="1">
        <v>30.630622187591467</v>
      </c>
      <c r="J1824" s="1">
        <v>3.9805965913549658E-2</v>
      </c>
      <c r="K1824" s="1">
        <v>3.0282605493372254</v>
      </c>
      <c r="L1824" s="1">
        <v>8.2198092142094019</v>
      </c>
      <c r="M1824" s="1">
        <v>0.16310309985715865</v>
      </c>
      <c r="N1824" s="1">
        <v>2.1128779593611431</v>
      </c>
      <c r="O1824" s="1">
        <v>0.16717629629629627</v>
      </c>
      <c r="P1824" s="1">
        <v>0.13537638549891551</v>
      </c>
      <c r="Q1824" s="1">
        <v>2.2709129416574116</v>
      </c>
      <c r="R1824" s="2">
        <f t="shared" si="115"/>
        <v>119.7165727992799</v>
      </c>
      <c r="S1824" s="2">
        <f t="shared" si="114"/>
        <v>3.2034429007496903</v>
      </c>
      <c r="T1824" s="2">
        <f t="shared" si="116"/>
        <v>10.662966569723999</v>
      </c>
      <c r="U1824" s="2">
        <f t="shared" si="117"/>
        <v>133.58298226975359</v>
      </c>
    </row>
    <row r="1825" spans="1:21" x14ac:dyDescent="0.25">
      <c r="A1825">
        <v>3670409</v>
      </c>
      <c r="B1825">
        <v>28</v>
      </c>
      <c r="C1825" s="1">
        <f>5.55958463411575*(10.3/7.3)</f>
        <v>7.8443454426564703</v>
      </c>
      <c r="D1825" s="1">
        <f>6.06691427609099*(10.3/7.3)</f>
        <v>8.5601667183201613</v>
      </c>
      <c r="E1825" s="1">
        <f>21.5960340547339*(10.3/7.3)</f>
        <v>30.471116542980749</v>
      </c>
      <c r="F1825" s="1">
        <f>43.0427611344155*(38.9/42.5)</f>
        <v>39.39678607361796</v>
      </c>
      <c r="G1825" s="1">
        <v>1.5248527103254175</v>
      </c>
      <c r="H1825" s="1">
        <v>7.3607171717748532</v>
      </c>
      <c r="I1825" s="1">
        <v>33.628496871349462</v>
      </c>
      <c r="J1825" s="1">
        <v>3.8694078148056976E-2</v>
      </c>
      <c r="K1825" s="1">
        <v>2.7861017852816223</v>
      </c>
      <c r="L1825" s="1">
        <v>11.922246712042883</v>
      </c>
      <c r="M1825" s="1">
        <v>0.15612471286639296</v>
      </c>
      <c r="N1825" s="1">
        <v>1.8302127631822973</v>
      </c>
      <c r="O1825" s="1">
        <v>0.1578552380952381</v>
      </c>
      <c r="P1825" s="1">
        <v>0.12534754567811776</v>
      </c>
      <c r="Q1825" s="1">
        <v>2.4369792174150526</v>
      </c>
      <c r="R1825" s="2">
        <f t="shared" si="115"/>
        <v>131.22346074844012</v>
      </c>
      <c r="S1825" s="2">
        <f t="shared" si="114"/>
        <v>2.9501434091077972</v>
      </c>
      <c r="T1825" s="2">
        <f t="shared" si="116"/>
        <v>14.066439426186811</v>
      </c>
      <c r="U1825" s="2">
        <f t="shared" si="117"/>
        <v>148.24004358373472</v>
      </c>
    </row>
    <row r="1826" spans="1:21" x14ac:dyDescent="0.25">
      <c r="A1826">
        <v>3670417</v>
      </c>
      <c r="B1826">
        <v>4</v>
      </c>
      <c r="C1826" s="1">
        <f>5.29628530043065*(10.3/7.3)</f>
        <v>7.4728409033473628</v>
      </c>
      <c r="D1826" s="1">
        <f>5.81441798351566*(10.3/7.3)</f>
        <v>8.2039048260563465</v>
      </c>
      <c r="E1826" s="1">
        <f>20.6855323456726*(10.3/7.3)</f>
        <v>29.186436049373693</v>
      </c>
      <c r="F1826" s="1">
        <f>41.4975917874851*(38.9/42.5)</f>
        <v>37.982501659604026</v>
      </c>
      <c r="G1826" s="1">
        <v>1.4854984587358362</v>
      </c>
      <c r="H1826" s="1">
        <v>9.2618398822044128</v>
      </c>
      <c r="I1826" s="1">
        <v>32.380918595503246</v>
      </c>
      <c r="J1826" s="1">
        <v>4.1010564313515546E-2</v>
      </c>
      <c r="K1826" s="1">
        <v>2.8181030001065182</v>
      </c>
      <c r="L1826" s="1">
        <v>11.056368520109407</v>
      </c>
      <c r="M1826" s="1">
        <v>0.15890824000556641</v>
      </c>
      <c r="N1826" s="1">
        <v>1.9903061284031431</v>
      </c>
      <c r="O1826" s="1">
        <v>0.16038666666666668</v>
      </c>
      <c r="P1826" s="1">
        <v>0.12891072631707415</v>
      </c>
      <c r="Q1826" s="1">
        <v>2.3740842947833025</v>
      </c>
      <c r="R1826" s="2">
        <f t="shared" si="115"/>
        <v>128.34802466960824</v>
      </c>
      <c r="S1826" s="2">
        <f t="shared" si="114"/>
        <v>2.988024290737108</v>
      </c>
      <c r="T1826" s="2">
        <f t="shared" si="116"/>
        <v>13.365969555184783</v>
      </c>
      <c r="U1826" s="2">
        <f t="shared" si="117"/>
        <v>144.70201851553014</v>
      </c>
    </row>
    <row r="1827" spans="1:21" x14ac:dyDescent="0.25">
      <c r="A1827">
        <v>367921</v>
      </c>
      <c r="B1827">
        <v>1</v>
      </c>
      <c r="C1827" s="1">
        <f>1.25621235853042*(10.3/7.3)</f>
        <v>1.7724640127210061</v>
      </c>
      <c r="D1827" s="1">
        <f>1.64321095517804*(10.3/7.3)</f>
        <v>2.3185031285388842</v>
      </c>
      <c r="E1827" s="1">
        <f>5.73515278091875*(10.3/7.3)</f>
        <v>8.0920648826661843</v>
      </c>
      <c r="F1827" s="1">
        <f>14.6764504162737*(38.9/42.5)</f>
        <v>13.43326873395405</v>
      </c>
      <c r="G1827" s="1">
        <v>0.69548580783861957</v>
      </c>
      <c r="H1827" s="1">
        <v>1.4749746639862027</v>
      </c>
      <c r="I1827" s="1">
        <v>11.283361635981951</v>
      </c>
      <c r="J1827" s="1">
        <v>2.1886444979732352E-2</v>
      </c>
      <c r="K1827" s="1">
        <v>2.7964320388990704</v>
      </c>
      <c r="L1827" s="1">
        <v>1.3094504211436231</v>
      </c>
      <c r="M1827" s="1">
        <v>6.9600072510921929E-2</v>
      </c>
      <c r="N1827" s="1">
        <v>0.74342032037650918</v>
      </c>
      <c r="O1827" s="1">
        <v>7.1306666666666671E-2</v>
      </c>
      <c r="P1827" s="1">
        <v>6.1177286482239204E-2</v>
      </c>
      <c r="Q1827" s="1">
        <v>1.1115069988288453</v>
      </c>
      <c r="R1827" s="2">
        <f t="shared" si="115"/>
        <v>40.181629864515742</v>
      </c>
      <c r="S1827" s="2">
        <f t="shared" si="114"/>
        <v>2.879495770361042</v>
      </c>
      <c r="T1827" s="2">
        <f t="shared" si="116"/>
        <v>2.193777480697721</v>
      </c>
      <c r="U1827" s="2">
        <f t="shared" si="117"/>
        <v>45.2549031155745</v>
      </c>
    </row>
    <row r="1828" spans="1:21" x14ac:dyDescent="0.25">
      <c r="A1828">
        <v>367929</v>
      </c>
      <c r="B1828">
        <v>4</v>
      </c>
      <c r="C1828" s="1">
        <f>0.892273220100754*(10.3/7.3)</f>
        <v>1.2589608447996936</v>
      </c>
      <c r="D1828" s="1">
        <f>1.23655098574149*(10.3/7.3)</f>
        <v>1.7447226237174496</v>
      </c>
      <c r="E1828" s="1">
        <f>4.28159381794545*(10.3/7.3)</f>
        <v>6.0411529212107054</v>
      </c>
      <c r="F1828" s="1">
        <f>12.1696544915334*(38.9/42.5)</f>
        <v>11.13881316989761</v>
      </c>
      <c r="G1828" s="1">
        <v>0.6249930315735821</v>
      </c>
      <c r="H1828" s="1">
        <v>3.5013432953906136</v>
      </c>
      <c r="I1828" s="1">
        <v>9.3899154346927638</v>
      </c>
      <c r="J1828" s="1">
        <v>1.8644637309217518E-2</v>
      </c>
      <c r="K1828" s="1">
        <v>2.236269545377489</v>
      </c>
      <c r="L1828" s="1">
        <v>1.0357990869357094</v>
      </c>
      <c r="M1828" s="1">
        <v>5.6669382577941324E-2</v>
      </c>
      <c r="N1828" s="1">
        <v>0.61344825645656864</v>
      </c>
      <c r="O1828" s="1">
        <v>5.9560000000000002E-2</v>
      </c>
      <c r="P1828" s="1">
        <v>5.2338032582593272E-2</v>
      </c>
      <c r="Q1828" s="1">
        <v>0.99884731073403654</v>
      </c>
      <c r="R1828" s="2">
        <f t="shared" si="115"/>
        <v>34.698748632016446</v>
      </c>
      <c r="S1828" s="2">
        <f t="shared" si="114"/>
        <v>2.3072522152692998</v>
      </c>
      <c r="T1828" s="2">
        <f t="shared" si="116"/>
        <v>1.7654767259702195</v>
      </c>
      <c r="U1828" s="2">
        <f t="shared" si="117"/>
        <v>38.771477573255964</v>
      </c>
    </row>
    <row r="1829" spans="1:21" x14ac:dyDescent="0.25">
      <c r="A1829">
        <v>367953</v>
      </c>
      <c r="B1829">
        <v>40</v>
      </c>
      <c r="C1829" s="1">
        <f>1.0348616869219*(10.3/7.3)</f>
        <v>1.4601473116843229</v>
      </c>
      <c r="D1829" s="1">
        <f>1.71639832656803*(10.3/7.3)</f>
        <v>2.4217675018699589</v>
      </c>
      <c r="E1829" s="1">
        <f>5.8645201370958*(10.3/7.3)</f>
        <v>8.2745969057653106</v>
      </c>
      <c r="F1829" s="1">
        <f>18.6505788565463*(38.9/42.5)</f>
        <v>17.070765118109435</v>
      </c>
      <c r="G1829" s="1">
        <v>1.0374642910504119</v>
      </c>
      <c r="H1829" s="1">
        <v>6.441887182554181</v>
      </c>
      <c r="I1829" s="1">
        <v>14.172706498139286</v>
      </c>
      <c r="J1829" s="1">
        <v>2.2350863630959904E-2</v>
      </c>
      <c r="K1829" s="1">
        <v>2.6208441427651841</v>
      </c>
      <c r="L1829" s="1">
        <v>1.2505054299685647</v>
      </c>
      <c r="M1829" s="1">
        <v>6.6503516426685616E-2</v>
      </c>
      <c r="N1829" s="1">
        <v>0.75795053289621417</v>
      </c>
      <c r="O1829" s="1">
        <v>6.8345333333333314E-2</v>
      </c>
      <c r="P1829" s="1">
        <v>5.918420145106542E-2</v>
      </c>
      <c r="Q1829" s="1">
        <v>1.6580479537335369</v>
      </c>
      <c r="R1829" s="2">
        <f t="shared" si="115"/>
        <v>52.537382762906439</v>
      </c>
      <c r="S1829" s="2">
        <f t="shared" si="114"/>
        <v>2.7023792078472093</v>
      </c>
      <c r="T1829" s="2">
        <f t="shared" si="116"/>
        <v>2.1433048126247978</v>
      </c>
      <c r="U1829" s="2">
        <f t="shared" si="117"/>
        <v>57.383066783378446</v>
      </c>
    </row>
    <row r="1830" spans="1:21" x14ac:dyDescent="0.25">
      <c r="A1830">
        <v>367961</v>
      </c>
      <c r="B1830">
        <v>13</v>
      </c>
      <c r="C1830" s="1">
        <f>1.11877104736591*(10.3/7.3)</f>
        <v>1.578539970940936</v>
      </c>
      <c r="D1830" s="1">
        <f>1.73746585857146*(10.3/7.3)</f>
        <v>2.4514929237378165</v>
      </c>
      <c r="E1830" s="1">
        <f>5.99254607734384*(10.3/7.3)</f>
        <v>8.4552362461152786</v>
      </c>
      <c r="F1830" s="1">
        <f>16.8795323305537*(38.9/42.5)</f>
        <v>15.449736650789179</v>
      </c>
      <c r="G1830" s="1">
        <v>0.87171362177271194</v>
      </c>
      <c r="H1830" s="1">
        <v>5.3393963976334273</v>
      </c>
      <c r="I1830" s="1">
        <v>12.698221457218153</v>
      </c>
      <c r="J1830" s="1">
        <v>2.1917126606899928E-2</v>
      </c>
      <c r="K1830" s="1">
        <v>2.6184502555750138</v>
      </c>
      <c r="L1830" s="1">
        <v>1.2962043682394315</v>
      </c>
      <c r="M1830" s="1">
        <v>6.8130914196254846E-2</v>
      </c>
      <c r="N1830" s="1">
        <v>0.77251767502661051</v>
      </c>
      <c r="O1830" s="1">
        <v>7.0026666666666654E-2</v>
      </c>
      <c r="P1830" s="1">
        <v>6.0573881499653162E-2</v>
      </c>
      <c r="Q1830" s="1">
        <v>1.3931496238376686</v>
      </c>
      <c r="R1830" s="2">
        <f t="shared" si="115"/>
        <v>48.237486892045169</v>
      </c>
      <c r="S1830" s="2">
        <f t="shared" si="114"/>
        <v>2.7009412636815666</v>
      </c>
      <c r="T1830" s="2">
        <f t="shared" si="116"/>
        <v>2.2068796241289639</v>
      </c>
      <c r="U1830" s="2">
        <f t="shared" si="117"/>
        <v>53.145307779855699</v>
      </c>
    </row>
    <row r="1831" spans="1:21" x14ac:dyDescent="0.25">
      <c r="A1831">
        <v>367985</v>
      </c>
      <c r="B1831">
        <v>65</v>
      </c>
      <c r="C1831" s="1">
        <f>1.43966556472545*(10.3/7.3)</f>
        <v>2.0313089474893307</v>
      </c>
      <c r="D1831" s="1">
        <f>2.38648432750683*(10.3/7.3)</f>
        <v>3.3672313114137511</v>
      </c>
      <c r="E1831" s="1">
        <f>8.20596366396057*(10.3/7.3)</f>
        <v>11.578277498464915</v>
      </c>
      <c r="F1831" s="1">
        <f>23.4230531616738*(38.9/42.5)</f>
        <v>21.438982776214377</v>
      </c>
      <c r="G1831" s="1">
        <v>1.2267674379055296</v>
      </c>
      <c r="H1831" s="1">
        <v>3.2431251865033204</v>
      </c>
      <c r="I1831" s="1">
        <v>17.443156214298128</v>
      </c>
      <c r="J1831" s="1">
        <v>2.52490207571834E-2</v>
      </c>
      <c r="K1831" s="1">
        <v>2.9074177325975636</v>
      </c>
      <c r="L1831" s="1">
        <v>1.4983823219158305</v>
      </c>
      <c r="M1831" s="1">
        <v>7.796688584488419E-2</v>
      </c>
      <c r="N1831" s="1">
        <v>0.88419971716197321</v>
      </c>
      <c r="O1831" s="1">
        <v>7.9412512820512815E-2</v>
      </c>
      <c r="P1831" s="1">
        <v>6.8118410405817245E-2</v>
      </c>
      <c r="Q1831" s="1">
        <v>1.9605872295293871</v>
      </c>
      <c r="R1831" s="2">
        <f t="shared" si="115"/>
        <v>62.289436601818736</v>
      </c>
      <c r="S1831" s="2">
        <f t="shared" si="114"/>
        <v>3.0007851637605647</v>
      </c>
      <c r="T1831" s="2">
        <f t="shared" si="116"/>
        <v>2.5399614377432007</v>
      </c>
      <c r="U1831" s="2">
        <f t="shared" si="117"/>
        <v>67.830183203322505</v>
      </c>
    </row>
    <row r="1832" spans="1:21" x14ac:dyDescent="0.25">
      <c r="A1832">
        <v>367993</v>
      </c>
      <c r="B1832">
        <v>48</v>
      </c>
      <c r="C1832" s="1">
        <f>1.34513930213623*(10.3/7.3)</f>
        <v>1.8979362756168721</v>
      </c>
      <c r="D1832" s="1">
        <f>2.11382508057718*(10.3/7.3)</f>
        <v>2.9825203191705434</v>
      </c>
      <c r="E1832" s="1">
        <f>7.30488695570858*(10.3/7.3)</f>
        <v>10.306895293671005</v>
      </c>
      <c r="F1832" s="1">
        <f>19.6833268693787*(38.9/42.5)</f>
        <v>18.016033299266589</v>
      </c>
      <c r="G1832" s="1">
        <v>0.98872735233079412</v>
      </c>
      <c r="H1832" s="1">
        <v>4.7513571705070623</v>
      </c>
      <c r="I1832" s="1">
        <v>14.644194856462049</v>
      </c>
      <c r="J1832" s="1">
        <v>2.3014606778682774E-2</v>
      </c>
      <c r="K1832" s="1">
        <v>2.6329438805316312</v>
      </c>
      <c r="L1832" s="1">
        <v>1.3787011033062304</v>
      </c>
      <c r="M1832" s="1">
        <v>7.0920721501600739E-2</v>
      </c>
      <c r="N1832" s="1">
        <v>0.77732920972451991</v>
      </c>
      <c r="O1832" s="1">
        <v>7.474222222222221E-2</v>
      </c>
      <c r="P1832" s="1">
        <v>6.3727795604659951E-2</v>
      </c>
      <c r="Q1832" s="1">
        <v>1.5801578690218188</v>
      </c>
      <c r="R1832" s="2">
        <f t="shared" si="115"/>
        <v>55.167822436046727</v>
      </c>
      <c r="S1832" s="2">
        <f t="shared" si="114"/>
        <v>2.7196862829149739</v>
      </c>
      <c r="T1832" s="2">
        <f t="shared" si="116"/>
        <v>2.3016932567545729</v>
      </c>
      <c r="U1832" s="2">
        <f t="shared" si="117"/>
        <v>60.189201975716273</v>
      </c>
    </row>
    <row r="1833" spans="1:21" x14ac:dyDescent="0.25">
      <c r="A1833">
        <v>3682085</v>
      </c>
      <c r="B1833">
        <v>30</v>
      </c>
      <c r="C1833" s="1">
        <f>0.617485064418198*(10.3/7.3)</f>
        <v>0.8712460497955401</v>
      </c>
      <c r="D1833" s="1">
        <f>0.789966094685172*(10.3/7.3)</f>
        <v>1.1146096952407223</v>
      </c>
      <c r="E1833" s="1">
        <f>2.76857579212927*(10.3/7.3)</f>
        <v>3.9063466656070456</v>
      </c>
      <c r="F1833" s="1">
        <f>6.63824363204052*(38.9/42.5)</f>
        <v>6.0759453479147396</v>
      </c>
      <c r="G1833" s="1">
        <v>0.29722129268034891</v>
      </c>
      <c r="H1833" s="1">
        <v>2.4454593981116113</v>
      </c>
      <c r="I1833" s="1">
        <v>5.0775470777144882</v>
      </c>
      <c r="J1833" s="1">
        <v>1.6653443226080172E-2</v>
      </c>
      <c r="K1833" s="1">
        <v>2.1738026895842433</v>
      </c>
      <c r="L1833" s="1">
        <v>1.9986185883532843</v>
      </c>
      <c r="M1833" s="1">
        <v>0.10993498278318739</v>
      </c>
      <c r="N1833" s="1">
        <v>0.6726970759678178</v>
      </c>
      <c r="O1833" s="1">
        <v>0.34089777777777769</v>
      </c>
      <c r="P1833" s="1">
        <v>0.17166089019622935</v>
      </c>
      <c r="Q1833" s="1">
        <v>0.47501119834759009</v>
      </c>
      <c r="R1833" s="2">
        <f t="shared" si="115"/>
        <v>20.263386725412087</v>
      </c>
      <c r="S1833" s="2">
        <f t="shared" si="114"/>
        <v>2.3621170230065527</v>
      </c>
      <c r="T1833" s="2">
        <f t="shared" si="116"/>
        <v>3.122148424882067</v>
      </c>
      <c r="U1833" s="2">
        <f t="shared" si="117"/>
        <v>25.747652173300704</v>
      </c>
    </row>
    <row r="1834" spans="1:21" x14ac:dyDescent="0.25">
      <c r="A1834">
        <v>3682093</v>
      </c>
      <c r="B1834">
        <v>6</v>
      </c>
      <c r="C1834" s="1">
        <f>0.615228077513208*(10.3/7.3)</f>
        <v>0.86806153402548525</v>
      </c>
      <c r="D1834" s="1">
        <f>0.790014169308003*(10.3/7.3)</f>
        <v>1.1146775265578677</v>
      </c>
      <c r="E1834" s="1">
        <f>2.76294027024885*(10.3/7.3)</f>
        <v>3.8983951758305717</v>
      </c>
      <c r="F1834" s="1">
        <f>6.89689010610802*(38.9/42.5)</f>
        <v>6.3126829441788699</v>
      </c>
      <c r="G1834" s="1">
        <v>0.3196495118563028</v>
      </c>
      <c r="H1834" s="1">
        <v>6.4455261923909335</v>
      </c>
      <c r="I1834" s="1">
        <v>5.3058913043301823</v>
      </c>
      <c r="J1834" s="1">
        <v>1.828537939110636E-2</v>
      </c>
      <c r="K1834" s="1">
        <v>2.2378995678178124</v>
      </c>
      <c r="L1834" s="1">
        <v>2.0982769482327712</v>
      </c>
      <c r="M1834" s="1">
        <v>0.11369294714414714</v>
      </c>
      <c r="N1834" s="1">
        <v>0.72452268325241398</v>
      </c>
      <c r="O1834" s="1">
        <v>0.38999111111111118</v>
      </c>
      <c r="P1834" s="1">
        <v>0.17214475491595368</v>
      </c>
      <c r="Q1834" s="1">
        <v>0.51085538424523325</v>
      </c>
      <c r="R1834" s="2">
        <f t="shared" si="115"/>
        <v>24.775739573415446</v>
      </c>
      <c r="S1834" s="2">
        <f t="shared" si="114"/>
        <v>2.4283297021248722</v>
      </c>
      <c r="T1834" s="2">
        <f t="shared" si="116"/>
        <v>3.3264836897404435</v>
      </c>
      <c r="U1834" s="2">
        <f t="shared" si="117"/>
        <v>30.530552965280762</v>
      </c>
    </row>
    <row r="1835" spans="1:21" x14ac:dyDescent="0.25">
      <c r="A1835">
        <v>3682597</v>
      </c>
      <c r="B1835">
        <v>23</v>
      </c>
      <c r="C1835" s="1">
        <f>4.34285264169794*(10.3/7.3)</f>
        <v>6.127586604039557</v>
      </c>
      <c r="D1835" s="1">
        <f>5.43602321381689*(10.3/7.3)</f>
        <v>7.6700053564813686</v>
      </c>
      <c r="E1835" s="1">
        <f>19.1882387794519*(10.3/7.3)</f>
        <v>27.073816360048518</v>
      </c>
      <c r="F1835" s="1">
        <f>39.9953788826176*(38.9/42.5)</f>
        <v>36.607535024325301</v>
      </c>
      <c r="G1835" s="1">
        <v>1.5479860993996026</v>
      </c>
      <c r="H1835" s="1">
        <v>7.4427122524730303</v>
      </c>
      <c r="I1835" s="1">
        <v>30.015744542058819</v>
      </c>
      <c r="J1835" s="1">
        <v>4.4051834484721837E-2</v>
      </c>
      <c r="K1835" s="1">
        <v>3.3012313995843097</v>
      </c>
      <c r="L1835" s="1">
        <v>11.906039396986412</v>
      </c>
      <c r="M1835" s="1">
        <v>0.17399411870666337</v>
      </c>
      <c r="N1835" s="1">
        <v>2.7482290464382744</v>
      </c>
      <c r="O1835" s="1">
        <v>0.1842782608695652</v>
      </c>
      <c r="P1835" s="1">
        <v>0.14838228855175153</v>
      </c>
      <c r="Q1835" s="1">
        <v>2.4739503871683177</v>
      </c>
      <c r="R1835" s="2">
        <f t="shared" si="115"/>
        <v>118.95933662599452</v>
      </c>
      <c r="S1835" s="2">
        <f t="shared" si="114"/>
        <v>3.4936655226207831</v>
      </c>
      <c r="T1835" s="2">
        <f t="shared" si="116"/>
        <v>15.012540823000913</v>
      </c>
      <c r="U1835" s="2">
        <f t="shared" si="117"/>
        <v>137.46554297161623</v>
      </c>
    </row>
    <row r="1836" spans="1:21" x14ac:dyDescent="0.25">
      <c r="A1836">
        <v>3682605</v>
      </c>
      <c r="B1836">
        <v>52</v>
      </c>
      <c r="C1836" s="1">
        <f>3.42929245622921*(10.3/7.3)</f>
        <v>4.8385907259124483</v>
      </c>
      <c r="D1836" s="1">
        <f>4.34693610701122*(10.3/7.3)</f>
        <v>6.1333482057829478</v>
      </c>
      <c r="E1836" s="1">
        <f>15.336638386731*(10.3/7.3)</f>
        <v>21.639366490867083</v>
      </c>
      <c r="F1836" s="1">
        <f>31.8990752301779*(38.9/42.5)</f>
        <v>29.197035916562836</v>
      </c>
      <c r="G1836" s="1">
        <v>1.2346965340485831</v>
      </c>
      <c r="H1836" s="1">
        <v>5.2786098605378395</v>
      </c>
      <c r="I1836" s="1">
        <v>23.831260097096109</v>
      </c>
      <c r="J1836" s="1">
        <v>3.7204736943579682E-2</v>
      </c>
      <c r="K1836" s="1">
        <v>3.0395843983383717</v>
      </c>
      <c r="L1836" s="1">
        <v>10.815666625552279</v>
      </c>
      <c r="M1836" s="1">
        <v>0.16044366012533454</v>
      </c>
      <c r="N1836" s="1">
        <v>2.1001894186163019</v>
      </c>
      <c r="O1836" s="1">
        <v>0.167676923076923</v>
      </c>
      <c r="P1836" s="1">
        <v>0.13781529779957882</v>
      </c>
      <c r="Q1836" s="1">
        <v>1.9732593009908881</v>
      </c>
      <c r="R1836" s="2">
        <f t="shared" si="115"/>
        <v>94.126167131798738</v>
      </c>
      <c r="S1836" s="2">
        <f t="shared" si="114"/>
        <v>3.2146044330815302</v>
      </c>
      <c r="T1836" s="2">
        <f t="shared" si="116"/>
        <v>13.24397662737084</v>
      </c>
      <c r="U1836" s="2">
        <f t="shared" si="117"/>
        <v>110.58474819225111</v>
      </c>
    </row>
    <row r="1837" spans="1:21" x14ac:dyDescent="0.25">
      <c r="A1837">
        <v>3682613</v>
      </c>
      <c r="B1837">
        <v>11</v>
      </c>
      <c r="C1837" s="1">
        <f>4.3428290275592*(10.3/7.3)</f>
        <v>6.1275532854602366</v>
      </c>
      <c r="D1837" s="1">
        <f>5.52444424557862*(10.3/7.3)</f>
        <v>7.7947637985561427</v>
      </c>
      <c r="E1837" s="1">
        <f>19.4923068009098*(10.3/7.3)</f>
        <v>27.50284384237958</v>
      </c>
      <c r="F1837" s="1">
        <f>40.3247060380849*(38.9/42.5)</f>
        <v>36.908966232505968</v>
      </c>
      <c r="G1837" s="1">
        <v>1.5520700926100413</v>
      </c>
      <c r="H1837" s="1">
        <v>7.414724294786649</v>
      </c>
      <c r="I1837" s="1">
        <v>30.058551640877013</v>
      </c>
      <c r="J1837" s="1">
        <v>3.5140670534098091E-2</v>
      </c>
      <c r="K1837" s="1">
        <v>2.7940095503773867</v>
      </c>
      <c r="L1837" s="1">
        <v>10.191123715175406</v>
      </c>
      <c r="M1837" s="1">
        <v>0.15441910179178617</v>
      </c>
      <c r="N1837" s="1">
        <v>1.7734218308701595</v>
      </c>
      <c r="O1837" s="1">
        <v>0.15919030303030304</v>
      </c>
      <c r="P1837" s="1">
        <v>0.12519811241764353</v>
      </c>
      <c r="Q1837" s="1">
        <v>2.4804773169566894</v>
      </c>
      <c r="R1837" s="2">
        <f t="shared" si="115"/>
        <v>119.83995050413233</v>
      </c>
      <c r="S1837" s="2">
        <f t="shared" si="114"/>
        <v>2.9543483333291283</v>
      </c>
      <c r="T1837" s="2">
        <f t="shared" si="116"/>
        <v>12.278154950867656</v>
      </c>
      <c r="U1837" s="2">
        <f t="shared" si="117"/>
        <v>135.07245378832911</v>
      </c>
    </row>
    <row r="1838" spans="1:21" x14ac:dyDescent="0.25">
      <c r="A1838">
        <v>3682621</v>
      </c>
      <c r="B1838">
        <v>40</v>
      </c>
      <c r="C1838" s="1">
        <f>4.05708000204901*(10.3/7.3)</f>
        <v>5.7243731535760016</v>
      </c>
      <c r="D1838" s="1">
        <f>4.94028043066809*(10.3/7.3)</f>
        <v>6.9705326624494939</v>
      </c>
      <c r="E1838" s="1">
        <f>17.4635726305234*(10.3/7.3)</f>
        <v>24.640383300601464</v>
      </c>
      <c r="F1838" s="1">
        <f>36.2351597038412*(38.9/42.5)</f>
        <v>33.165828528927626</v>
      </c>
      <c r="G1838" s="1">
        <v>1.3869480553881393</v>
      </c>
      <c r="H1838" s="1">
        <v>5.9334055388263014</v>
      </c>
      <c r="I1838" s="1">
        <v>27.419271693331638</v>
      </c>
      <c r="J1838" s="1">
        <v>3.6091842518148003E-2</v>
      </c>
      <c r="K1838" s="1">
        <v>2.8454997756526206</v>
      </c>
      <c r="L1838" s="1">
        <v>11.791308556242157</v>
      </c>
      <c r="M1838" s="1">
        <v>0.15637876910470219</v>
      </c>
      <c r="N1838" s="1">
        <v>1.8987265173767427</v>
      </c>
      <c r="O1838" s="1">
        <v>0.16065599999999997</v>
      </c>
      <c r="P1838" s="1">
        <v>0.13030860247490311</v>
      </c>
      <c r="Q1838" s="1">
        <v>2.2165836501636949</v>
      </c>
      <c r="R1838" s="2">
        <f t="shared" si="115"/>
        <v>107.45732658326438</v>
      </c>
      <c r="S1838" s="2">
        <f t="shared" si="114"/>
        <v>3.0119002206456718</v>
      </c>
      <c r="T1838" s="2">
        <f t="shared" si="116"/>
        <v>14.007069842723601</v>
      </c>
      <c r="U1838" s="2">
        <f t="shared" si="117"/>
        <v>124.47629664663364</v>
      </c>
    </row>
    <row r="1839" spans="1:21" x14ac:dyDescent="0.25">
      <c r="A1839">
        <v>3682629</v>
      </c>
      <c r="B1839">
        <v>38</v>
      </c>
      <c r="C1839" s="1">
        <f>4.59936897086547*(10.3/7.3)</f>
        <v>6.4895206027279944</v>
      </c>
      <c r="D1839" s="1">
        <f>5.39449253739965*(10.3/7.3)</f>
        <v>7.611407278796765</v>
      </c>
      <c r="E1839" s="1">
        <f>19.1061083759224*(10.3/7.3)</f>
        <v>26.95793373589046</v>
      </c>
      <c r="F1839" s="1">
        <f>39.4802778754487*(38.9/42.5)</f>
        <v>36.136066102469485</v>
      </c>
      <c r="G1839" s="1">
        <v>1.4914279160039838</v>
      </c>
      <c r="H1839" s="1">
        <v>8.0017848445201931</v>
      </c>
      <c r="I1839" s="1">
        <v>30.234747861244919</v>
      </c>
      <c r="J1839" s="1">
        <v>3.8700474857480446E-2</v>
      </c>
      <c r="K1839" s="1">
        <v>3.0107958414772629</v>
      </c>
      <c r="L1839" s="1">
        <v>8.396234318158605</v>
      </c>
      <c r="M1839" s="1">
        <v>0.16485941029581849</v>
      </c>
      <c r="N1839" s="1">
        <v>2.0687471001162563</v>
      </c>
      <c r="O1839" s="1">
        <v>0.16811228070175435</v>
      </c>
      <c r="P1839" s="1">
        <v>0.13555367778933725</v>
      </c>
      <c r="Q1839" s="1">
        <v>2.3835605963534015</v>
      </c>
      <c r="R1839" s="2">
        <f t="shared" si="115"/>
        <v>119.30644893800719</v>
      </c>
      <c r="S1839" s="2">
        <f t="shared" si="114"/>
        <v>3.1850499941240806</v>
      </c>
      <c r="T1839" s="2">
        <f t="shared" si="116"/>
        <v>10.797953109272434</v>
      </c>
      <c r="U1839" s="2">
        <f t="shared" si="117"/>
        <v>133.28945204140371</v>
      </c>
    </row>
    <row r="1840" spans="1:21" x14ac:dyDescent="0.25">
      <c r="A1840">
        <v>3682645</v>
      </c>
      <c r="B1840">
        <v>32</v>
      </c>
      <c r="C1840" s="1">
        <f>4.98424856306979*(10.3/7.3)</f>
        <v>7.0325698903587393</v>
      </c>
      <c r="D1840" s="1">
        <f>5.47190414654701*(10.3/7.3)</f>
        <v>7.7206318780046814</v>
      </c>
      <c r="E1840" s="1">
        <f>19.4727343179364*(10.3/7.3)</f>
        <v>27.475227873252781</v>
      </c>
      <c r="F1840" s="1">
        <f>38.7744526524969*(38.9/42.5)</f>
        <v>35.490028427814785</v>
      </c>
      <c r="G1840" s="1">
        <v>1.3740458387277574</v>
      </c>
      <c r="H1840" s="1">
        <v>7.5234079041331112</v>
      </c>
      <c r="I1840" s="1">
        <v>30.22186545935163</v>
      </c>
      <c r="J1840" s="1">
        <v>3.6948227116448608E-2</v>
      </c>
      <c r="K1840" s="1">
        <v>2.6522246841776478</v>
      </c>
      <c r="L1840" s="1">
        <v>13.897728362381692</v>
      </c>
      <c r="M1840" s="1">
        <v>0.15070560524320747</v>
      </c>
      <c r="N1840" s="1">
        <v>1.7858302583088126</v>
      </c>
      <c r="O1840" s="1">
        <v>0.15172166666666667</v>
      </c>
      <c r="P1840" s="1">
        <v>0.12181105359119265</v>
      </c>
      <c r="Q1840" s="1">
        <v>2.1959636691996147</v>
      </c>
      <c r="R1840" s="2">
        <f t="shared" si="115"/>
        <v>119.0337409408431</v>
      </c>
      <c r="S1840" s="2">
        <f t="shared" si="114"/>
        <v>2.8109839648852888</v>
      </c>
      <c r="T1840" s="2">
        <f t="shared" si="116"/>
        <v>15.985985892600379</v>
      </c>
      <c r="U1840" s="2">
        <f t="shared" si="117"/>
        <v>137.83071079832877</v>
      </c>
    </row>
    <row r="1841" spans="1:21" x14ac:dyDescent="0.25">
      <c r="A1841">
        <v>3694313</v>
      </c>
      <c r="B1841">
        <v>13</v>
      </c>
      <c r="C1841" s="1">
        <f>0.476510190044965*(10.3/7.3)</f>
        <v>0.67233629554289576</v>
      </c>
      <c r="D1841" s="1">
        <f>0.603315087076268*(10.3/7.3)</f>
        <v>0.85125279409391241</v>
      </c>
      <c r="E1841" s="1">
        <f>2.11891076397957*(10.3/7.3)</f>
        <v>2.9896960094506237</v>
      </c>
      <c r="F1841" s="1">
        <f>4.90185026847071*(38.9/42.5)</f>
        <v>4.4866347163178961</v>
      </c>
      <c r="G1841" s="1">
        <v>0.212105591527362</v>
      </c>
      <c r="H1841" s="1">
        <v>1.1215988164540951</v>
      </c>
      <c r="I1841" s="1">
        <v>3.7371026246666306</v>
      </c>
      <c r="J1841" s="1">
        <v>1.4817267520206548E-2</v>
      </c>
      <c r="K1841" s="1">
        <v>1.909123892608102</v>
      </c>
      <c r="L1841" s="1">
        <v>1.804316309777023</v>
      </c>
      <c r="M1841" s="1">
        <v>9.9755012609052493E-2</v>
      </c>
      <c r="N1841" s="1">
        <v>0.60179550345474253</v>
      </c>
      <c r="O1841" s="1">
        <v>0.25897846153846155</v>
      </c>
      <c r="P1841" s="1">
        <v>0.14608913444882182</v>
      </c>
      <c r="Q1841" s="1">
        <v>0.33898153897067024</v>
      </c>
      <c r="R1841" s="2">
        <f t="shared" si="115"/>
        <v>14.409708387024084</v>
      </c>
      <c r="S1841" s="2">
        <f t="shared" si="114"/>
        <v>2.0700302945771303</v>
      </c>
      <c r="T1841" s="2">
        <f t="shared" si="116"/>
        <v>2.7648452873792797</v>
      </c>
      <c r="U1841" s="2">
        <f t="shared" si="117"/>
        <v>19.244583968980496</v>
      </c>
    </row>
    <row r="1842" spans="1:21" x14ac:dyDescent="0.25">
      <c r="A1842">
        <v>3694321</v>
      </c>
      <c r="B1842">
        <v>32</v>
      </c>
      <c r="C1842" s="1">
        <f>0.558168627321425*(10.3/7.3)</f>
        <v>0.78755299471379125</v>
      </c>
      <c r="D1842" s="1">
        <f>0.79093081506255*(10.3/7.3)</f>
        <v>1.1159708760471596</v>
      </c>
      <c r="E1842" s="1">
        <f>2.73294145410535*(10.3/7.3)</f>
        <v>3.8560680790801554</v>
      </c>
      <c r="F1842" s="1">
        <f>7.93301041286598*(38.9/42.5)</f>
        <v>7.2610377661291006</v>
      </c>
      <c r="G1842" s="1">
        <v>0.4137259396936474</v>
      </c>
      <c r="H1842" s="1">
        <v>3.6111854076938439</v>
      </c>
      <c r="I1842" s="1">
        <v>6.1128804073084275</v>
      </c>
      <c r="J1842" s="1">
        <v>1.6642110336045273E-2</v>
      </c>
      <c r="K1842" s="1">
        <v>2.1717608830294455</v>
      </c>
      <c r="L1842" s="1">
        <v>1.9995742015001221</v>
      </c>
      <c r="M1842" s="1">
        <v>0.10984538656475094</v>
      </c>
      <c r="N1842" s="1">
        <v>0.67115539792933121</v>
      </c>
      <c r="O1842" s="1">
        <v>0.33994333333333332</v>
      </c>
      <c r="P1842" s="1">
        <v>0.17209000086668272</v>
      </c>
      <c r="Q1842" s="1">
        <v>0.66120583969304458</v>
      </c>
      <c r="R1842" s="2">
        <f t="shared" si="115"/>
        <v>23.819627310359166</v>
      </c>
      <c r="S1842" s="2">
        <f t="shared" si="114"/>
        <v>2.3604929942321733</v>
      </c>
      <c r="T1842" s="2">
        <f t="shared" si="116"/>
        <v>3.1205183193275374</v>
      </c>
      <c r="U1842" s="2">
        <f t="shared" si="117"/>
        <v>29.300638623918879</v>
      </c>
    </row>
    <row r="1843" spans="1:21" x14ac:dyDescent="0.25">
      <c r="A1843">
        <v>3694345</v>
      </c>
      <c r="B1843">
        <v>17</v>
      </c>
      <c r="C1843" s="1">
        <f>0.599429169178277*(10.3/7.3)</f>
        <v>0.84576992363510295</v>
      </c>
      <c r="D1843" s="1">
        <f>0.857242820421687*(10.3/7.3)</f>
        <v>1.2095343904579967</v>
      </c>
      <c r="E1843" s="1">
        <f>2.95394348663298*(10.3/7.3)</f>
        <v>4.1678928647013302</v>
      </c>
      <c r="F1843" s="1">
        <f>8.9364348008423*(38.9/42.5)</f>
        <v>8.1794662059474224</v>
      </c>
      <c r="G1843" s="1">
        <v>0.47800527381223751</v>
      </c>
      <c r="H1843" s="1">
        <v>3.3035227687988167</v>
      </c>
      <c r="I1843" s="1">
        <v>6.9185622817447436</v>
      </c>
      <c r="J1843" s="1">
        <v>2.2210925267049052E-2</v>
      </c>
      <c r="K1843" s="1">
        <v>2.3846441605472966</v>
      </c>
      <c r="L1843" s="1">
        <v>2.2350058903480048</v>
      </c>
      <c r="M1843" s="1">
        <v>0.1149001272886878</v>
      </c>
      <c r="N1843" s="1">
        <v>0.78249869049076781</v>
      </c>
      <c r="O1843" s="1">
        <v>0.39074823529411756</v>
      </c>
      <c r="P1843" s="1">
        <v>0.1935582365860688</v>
      </c>
      <c r="Q1843" s="1">
        <v>0.76393536910631654</v>
      </c>
      <c r="R1843" s="2">
        <f t="shared" si="115"/>
        <v>25.866689078203969</v>
      </c>
      <c r="S1843" s="2">
        <f t="shared" si="114"/>
        <v>2.6004133224004145</v>
      </c>
      <c r="T1843" s="2">
        <f t="shared" si="116"/>
        <v>3.5231529434215774</v>
      </c>
      <c r="U1843" s="2">
        <f t="shared" si="117"/>
        <v>31.990255344025961</v>
      </c>
    </row>
    <row r="1844" spans="1:21" x14ac:dyDescent="0.25">
      <c r="A1844">
        <v>3694833</v>
      </c>
      <c r="B1844">
        <v>55</v>
      </c>
      <c r="C1844" s="1">
        <f>4.43379887622386*(10.3/7.3)</f>
        <v>6.2559080034391465</v>
      </c>
      <c r="D1844" s="1">
        <f>5.56751676846737*(10.3/7.3)</f>
        <v>7.8555373582484878</v>
      </c>
      <c r="E1844" s="1">
        <f>19.6455968556769*(10.3/7.3)</f>
        <v>27.719129810064679</v>
      </c>
      <c r="F1844" s="1">
        <f>41.1501200444288*(38.9/42.5)</f>
        <v>37.664462817136005</v>
      </c>
      <c r="G1844" s="1">
        <v>1.6028303538087756</v>
      </c>
      <c r="H1844" s="1">
        <v>8.8194940613068713</v>
      </c>
      <c r="I1844" s="1">
        <v>30.879805066183984</v>
      </c>
      <c r="J1844" s="1">
        <v>4.2885366031773071E-2</v>
      </c>
      <c r="K1844" s="1">
        <v>3.2937614150315269</v>
      </c>
      <c r="L1844" s="1">
        <v>8.6013693656193126</v>
      </c>
      <c r="M1844" s="1">
        <v>0.17693578423645884</v>
      </c>
      <c r="N1844" s="1">
        <v>2.575151769288154</v>
      </c>
      <c r="O1844" s="1">
        <v>0.18501915151515147</v>
      </c>
      <c r="P1844" s="1">
        <v>0.14849086057459163</v>
      </c>
      <c r="Q1844" s="1">
        <v>2.5616010220688223</v>
      </c>
      <c r="R1844" s="2">
        <f t="shared" si="115"/>
        <v>123.35876849225679</v>
      </c>
      <c r="S1844" s="2">
        <f t="shared" si="114"/>
        <v>3.4851376416378916</v>
      </c>
      <c r="T1844" s="2">
        <f t="shared" si="116"/>
        <v>11.538476070659078</v>
      </c>
      <c r="U1844" s="2">
        <f t="shared" si="117"/>
        <v>138.38238220455375</v>
      </c>
    </row>
    <row r="1845" spans="1:21" x14ac:dyDescent="0.25">
      <c r="A1845">
        <v>3694841</v>
      </c>
      <c r="B1845">
        <v>57</v>
      </c>
      <c r="C1845" s="1">
        <f>4.40222151409336*(10.3/7.3)</f>
        <v>6.2113536431728171</v>
      </c>
      <c r="D1845" s="1">
        <f>5.58637287733717*(10.3/7.3)</f>
        <v>7.8821425529551918</v>
      </c>
      <c r="E1845" s="1">
        <f>19.7062696985247*(10.3/7.3)</f>
        <v>27.804736697918461</v>
      </c>
      <c r="F1845" s="1">
        <f>41.104798415431*(38.9/42.5)</f>
        <v>37.622980196712135</v>
      </c>
      <c r="G1845" s="1">
        <v>1.5966804884320749</v>
      </c>
      <c r="H1845" s="1">
        <v>6.3179103899376647</v>
      </c>
      <c r="I1845" s="1">
        <v>30.715167251047532</v>
      </c>
      <c r="J1845" s="1">
        <v>4.0333066113613009E-2</v>
      </c>
      <c r="K1845" s="1">
        <v>3.1608465550451319</v>
      </c>
      <c r="L1845" s="1">
        <v>10.22030533038839</v>
      </c>
      <c r="M1845" s="1">
        <v>0.170705131870419</v>
      </c>
      <c r="N1845" s="1">
        <v>2.1084037084965694</v>
      </c>
      <c r="O1845" s="1">
        <v>0.17657543859649122</v>
      </c>
      <c r="P1845" s="1">
        <v>0.14175894311887366</v>
      </c>
      <c r="Q1845" s="1">
        <v>2.551772470096926</v>
      </c>
      <c r="R1845" s="2">
        <f t="shared" si="115"/>
        <v>120.7027436902728</v>
      </c>
      <c r="S1845" s="2">
        <f t="shared" si="114"/>
        <v>3.3429385642776186</v>
      </c>
      <c r="T1845" s="2">
        <f t="shared" si="116"/>
        <v>12.675989609351868</v>
      </c>
      <c r="U1845" s="2">
        <f t="shared" si="117"/>
        <v>136.72167186390229</v>
      </c>
    </row>
    <row r="1846" spans="1:21" x14ac:dyDescent="0.25">
      <c r="A1846">
        <v>3694849</v>
      </c>
      <c r="B1846">
        <v>23</v>
      </c>
      <c r="C1846" s="1">
        <f>4.04264452160911*(10.3/7.3)</f>
        <v>5.7040052839142303</v>
      </c>
      <c r="D1846" s="1">
        <f>4.96716406360486*(10.3/7.3)</f>
        <v>7.0084643637164472</v>
      </c>
      <c r="E1846" s="1">
        <f>17.550385200062*(10.3/7.3)</f>
        <v>24.76287226858063</v>
      </c>
      <c r="F1846" s="1">
        <f>36.4633135199559*(38.9/42.5)</f>
        <v>33.374656374736098</v>
      </c>
      <c r="G1846" s="1">
        <v>1.4005255304274744</v>
      </c>
      <c r="H1846" s="1">
        <v>5.4918135207265042</v>
      </c>
      <c r="I1846" s="1">
        <v>27.516091169762973</v>
      </c>
      <c r="J1846" s="1">
        <v>3.5146272233919883E-2</v>
      </c>
      <c r="K1846" s="1">
        <v>2.7306237032089045</v>
      </c>
      <c r="L1846" s="1">
        <v>11.177986555598933</v>
      </c>
      <c r="M1846" s="1">
        <v>0.15156903496765589</v>
      </c>
      <c r="N1846" s="1">
        <v>1.7865513162921798</v>
      </c>
      <c r="O1846" s="1">
        <v>0.15535536231884056</v>
      </c>
      <c r="P1846" s="1">
        <v>0.12560690697558591</v>
      </c>
      <c r="Q1846" s="1">
        <v>2.2382828111854631</v>
      </c>
      <c r="R1846" s="2">
        <f t="shared" si="115"/>
        <v>107.49671132304982</v>
      </c>
      <c r="S1846" s="2">
        <f t="shared" si="114"/>
        <v>2.8913768824184105</v>
      </c>
      <c r="T1846" s="2">
        <f t="shared" si="116"/>
        <v>13.271462269177608</v>
      </c>
      <c r="U1846" s="2">
        <f t="shared" si="117"/>
        <v>123.65955047464584</v>
      </c>
    </row>
    <row r="1847" spans="1:21" x14ac:dyDescent="0.25">
      <c r="A1847">
        <v>3694857</v>
      </c>
      <c r="B1847">
        <v>23</v>
      </c>
      <c r="C1847" s="1">
        <f>4.48570086404523*(10.3/7.3)</f>
        <v>6.3291395752966997</v>
      </c>
      <c r="D1847" s="1">
        <f>5.39038239733895*(10.3/7.3)</f>
        <v>7.6056080400809849</v>
      </c>
      <c r="E1847" s="1">
        <f>19.0659715226408*(10.3/7.3)</f>
        <v>26.901302285369933</v>
      </c>
      <c r="F1847" s="1">
        <f>39.5814990248481*(38.9/42.5)</f>
        <v>36.228713225096243</v>
      </c>
      <c r="G1847" s="1">
        <v>1.511739069316925</v>
      </c>
      <c r="H1847" s="1">
        <v>8.3371054126179427</v>
      </c>
      <c r="I1847" s="1">
        <v>30.087816693935959</v>
      </c>
      <c r="J1847" s="1">
        <v>3.7795876249622926E-2</v>
      </c>
      <c r="K1847" s="1">
        <v>2.9539367190194663</v>
      </c>
      <c r="L1847" s="1">
        <v>9.1393134244922312</v>
      </c>
      <c r="M1847" s="1">
        <v>0.16323938625117823</v>
      </c>
      <c r="N1847" s="1">
        <v>2.0188280448035378</v>
      </c>
      <c r="O1847" s="1">
        <v>0.16649971014492754</v>
      </c>
      <c r="P1847" s="1">
        <v>0.13437238756813333</v>
      </c>
      <c r="Q1847" s="1">
        <v>2.4160213436571887</v>
      </c>
      <c r="R1847" s="2">
        <f t="shared" si="115"/>
        <v>119.41744564537188</v>
      </c>
      <c r="S1847" s="2">
        <f t="shared" si="114"/>
        <v>3.1261049828372229</v>
      </c>
      <c r="T1847" s="2">
        <f t="shared" si="116"/>
        <v>11.487880565691874</v>
      </c>
      <c r="U1847" s="2">
        <f t="shared" si="117"/>
        <v>134.03143119390097</v>
      </c>
    </row>
    <row r="1848" spans="1:21" x14ac:dyDescent="0.25">
      <c r="A1848">
        <v>3694873</v>
      </c>
      <c r="B1848">
        <v>1</v>
      </c>
      <c r="C1848" s="1">
        <f>6.64749025487405*(10.3/7.3)</f>
        <v>9.3793355650962571</v>
      </c>
      <c r="D1848" s="1">
        <f>7.31890922649605*(10.3/7.3)</f>
        <v>10.326680141494428</v>
      </c>
      <c r="E1848" s="1">
        <f>26.0358656116882*(10.3/7.3)</f>
        <v>36.735536411012149</v>
      </c>
      <c r="F1848" s="1">
        <f>52.1428778340212*(38.9/42.5)</f>
        <v>47.726069358668838</v>
      </c>
      <c r="G1848" s="1">
        <v>1.8637131259112656</v>
      </c>
      <c r="H1848" s="1">
        <v>9.4155180668488434</v>
      </c>
      <c r="I1848" s="1">
        <v>40.633951458675739</v>
      </c>
      <c r="J1848" s="1">
        <v>4.2847871540391103E-2</v>
      </c>
      <c r="K1848" s="1">
        <v>2.9294971882037384</v>
      </c>
      <c r="L1848" s="1">
        <v>10.554247116060116</v>
      </c>
      <c r="M1848" s="1">
        <v>0.16914196251805341</v>
      </c>
      <c r="N1848" s="1">
        <v>1.9373468708726402</v>
      </c>
      <c r="O1848" s="1">
        <v>0.16842666666666667</v>
      </c>
      <c r="P1848" s="1">
        <v>0.13071872279228336</v>
      </c>
      <c r="Q1848" s="1">
        <v>2.9785369592189208</v>
      </c>
      <c r="R1848" s="2">
        <f t="shared" si="115"/>
        <v>159.05934108692645</v>
      </c>
      <c r="S1848" s="2">
        <f t="shared" si="114"/>
        <v>3.1030637825364127</v>
      </c>
      <c r="T1848" s="2">
        <f t="shared" si="116"/>
        <v>12.829162616117475</v>
      </c>
      <c r="U1848" s="2">
        <f t="shared" si="117"/>
        <v>174.99156748558036</v>
      </c>
    </row>
    <row r="1849" spans="1:21" x14ac:dyDescent="0.25">
      <c r="A1849">
        <v>3694881</v>
      </c>
      <c r="B1849">
        <v>22</v>
      </c>
      <c r="C1849" s="1">
        <f>4.91184318603921*(10.3/7.3)</f>
        <v>6.9304088789320355</v>
      </c>
      <c r="D1849" s="1">
        <f>5.48642892458917*(10.3/7.3)</f>
        <v>7.7411257429134919</v>
      </c>
      <c r="E1849" s="1">
        <f>19.5068961886337*(10.3/7.3)</f>
        <v>27.523428868894158</v>
      </c>
      <c r="F1849" s="1">
        <f>38.8651852936023*(38.9/42.5)</f>
        <v>35.573075480497188</v>
      </c>
      <c r="G1849" s="1">
        <v>1.3845436733002281</v>
      </c>
      <c r="H1849" s="1">
        <v>8.9854023727173438</v>
      </c>
      <c r="I1849" s="1">
        <v>30.102650244710855</v>
      </c>
      <c r="J1849" s="1">
        <v>3.7942342251250552E-2</v>
      </c>
      <c r="K1849" s="1">
        <v>2.75590029311758</v>
      </c>
      <c r="L1849" s="1">
        <v>12.200845021316921</v>
      </c>
      <c r="M1849" s="1">
        <v>0.15776234243656759</v>
      </c>
      <c r="N1849" s="1">
        <v>1.9476342275756766</v>
      </c>
      <c r="O1849" s="1">
        <v>0.15782787878787879</v>
      </c>
      <c r="P1849" s="1">
        <v>0.12717782208466383</v>
      </c>
      <c r="Q1849" s="1">
        <v>2.2127410303884947</v>
      </c>
      <c r="R1849" s="2">
        <f t="shared" si="115"/>
        <v>120.45337629235381</v>
      </c>
      <c r="S1849" s="2">
        <f t="shared" si="114"/>
        <v>2.9210204574534946</v>
      </c>
      <c r="T1849" s="2">
        <f t="shared" si="116"/>
        <v>14.464069470117044</v>
      </c>
      <c r="U1849" s="2">
        <f t="shared" si="117"/>
        <v>137.83846621992436</v>
      </c>
    </row>
    <row r="1850" spans="1:21" x14ac:dyDescent="0.25">
      <c r="A1850">
        <v>3706549</v>
      </c>
      <c r="B1850">
        <v>9</v>
      </c>
      <c r="C1850" s="1">
        <f>0.473723849499362*(10.3/7.3)</f>
        <v>0.66840488354019623</v>
      </c>
      <c r="D1850" s="1">
        <f>0.605248251506476*(10.3/7.3)</f>
        <v>0.8539804096598228</v>
      </c>
      <c r="E1850" s="1">
        <f>2.12261883060945*(10.3/7.3)</f>
        <v>2.9949279390790813</v>
      </c>
      <c r="F1850" s="1">
        <f>5.02351597341498*(38.9/42.5)</f>
        <v>4.5979946203727735</v>
      </c>
      <c r="G1850" s="1">
        <v>0.22229127452019101</v>
      </c>
      <c r="H1850" s="1">
        <v>1.4062626936327376</v>
      </c>
      <c r="I1850" s="1">
        <v>3.8352227739676601</v>
      </c>
      <c r="J1850" s="1">
        <v>1.4879501175312417E-2</v>
      </c>
      <c r="K1850" s="1">
        <v>1.9190481576154594</v>
      </c>
      <c r="L1850" s="1">
        <v>1.8067730966475617</v>
      </c>
      <c r="M1850" s="1">
        <v>9.9681522032128794E-2</v>
      </c>
      <c r="N1850" s="1">
        <v>0.60336265206299045</v>
      </c>
      <c r="O1850" s="1">
        <v>0.25726222222222228</v>
      </c>
      <c r="P1850" s="1">
        <v>0.1475022186484144</v>
      </c>
      <c r="Q1850" s="1">
        <v>0.35526002777199511</v>
      </c>
      <c r="R1850" s="2">
        <f t="shared" si="115"/>
        <v>14.934344622544458</v>
      </c>
      <c r="S1850" s="2">
        <f t="shared" si="114"/>
        <v>2.0814298774391862</v>
      </c>
      <c r="T1850" s="2">
        <f t="shared" si="116"/>
        <v>2.767079492964903</v>
      </c>
      <c r="U1850" s="2">
        <f t="shared" si="117"/>
        <v>19.782853992948546</v>
      </c>
    </row>
    <row r="1851" spans="1:21" x14ac:dyDescent="0.25">
      <c r="A1851">
        <v>3706557</v>
      </c>
      <c r="B1851">
        <v>6</v>
      </c>
      <c r="C1851" s="1">
        <f>0.52151001538188*(10.3/7.3)</f>
        <v>0.73582919978539274</v>
      </c>
      <c r="D1851" s="1">
        <f>0.751425854006691*(10.3/7.3)</f>
        <v>1.0602309994888925</v>
      </c>
      <c r="E1851" s="1">
        <f>2.59035583844952*(10.3/7.3)</f>
        <v>3.6548856350726133</v>
      </c>
      <c r="F1851" s="1">
        <f>7.74324531737037*(38.9/42.5)</f>
        <v>7.087346890487229</v>
      </c>
      <c r="G1851" s="1">
        <v>0.41161915882004907</v>
      </c>
      <c r="H1851" s="1">
        <v>5.3272864619399956</v>
      </c>
      <c r="I1851" s="1">
        <v>5.9745932119675693</v>
      </c>
      <c r="J1851" s="1">
        <v>1.648626099804577E-2</v>
      </c>
      <c r="K1851" s="1">
        <v>2.1285228355121797</v>
      </c>
      <c r="L1851" s="1">
        <v>1.9723415752723394</v>
      </c>
      <c r="M1851" s="1">
        <v>0.10914329994033774</v>
      </c>
      <c r="N1851" s="1">
        <v>0.66379940164053686</v>
      </c>
      <c r="O1851" s="1">
        <v>0.33040888888888881</v>
      </c>
      <c r="P1851" s="1">
        <v>0.16677467998372575</v>
      </c>
      <c r="Q1851" s="1">
        <v>0.65783883829688261</v>
      </c>
      <c r="R1851" s="2">
        <f t="shared" si="115"/>
        <v>24.909630395858624</v>
      </c>
      <c r="S1851" s="2">
        <f t="shared" si="114"/>
        <v>2.3117837764939511</v>
      </c>
      <c r="T1851" s="2">
        <f t="shared" si="116"/>
        <v>3.0756931657421029</v>
      </c>
      <c r="U1851" s="2">
        <f t="shared" si="117"/>
        <v>30.297107338094676</v>
      </c>
    </row>
    <row r="1852" spans="1:21" x14ac:dyDescent="0.25">
      <c r="A1852">
        <v>3706565</v>
      </c>
      <c r="B1852">
        <v>13</v>
      </c>
      <c r="C1852" s="1">
        <f>0.672194018490743*(10.3/7.3)</f>
        <v>0.94843813567871982</v>
      </c>
      <c r="D1852" s="1">
        <f>0.850300691862027*(10.3/7.3)</f>
        <v>1.1997393323532706</v>
      </c>
      <c r="E1852" s="1">
        <f>2.98089843148691*(10.3/7.3)</f>
        <v>4.2059251841527621</v>
      </c>
      <c r="F1852" s="1">
        <f>7.17906158579388*(38.9/42.5)</f>
        <v>6.5709528397031001</v>
      </c>
      <c r="G1852" s="1">
        <v>0.3221324268381236</v>
      </c>
      <c r="H1852" s="1">
        <v>2.6821526561514961</v>
      </c>
      <c r="I1852" s="1">
        <v>5.5124789833773242</v>
      </c>
      <c r="J1852" s="1">
        <v>2.0025310531758569E-2</v>
      </c>
      <c r="K1852" s="1">
        <v>2.4428664816106389</v>
      </c>
      <c r="L1852" s="1">
        <v>2.2490205561465602</v>
      </c>
      <c r="M1852" s="1">
        <v>0.12284136167235937</v>
      </c>
      <c r="N1852" s="1">
        <v>0.77801356718711445</v>
      </c>
      <c r="O1852" s="1">
        <v>0.42093128205128205</v>
      </c>
      <c r="P1852" s="1">
        <v>0.19375065907927491</v>
      </c>
      <c r="Q1852" s="1">
        <v>0.51482351321161357</v>
      </c>
      <c r="R1852" s="2">
        <f t="shared" si="115"/>
        <v>21.956643071466413</v>
      </c>
      <c r="S1852" s="2">
        <f t="shared" si="114"/>
        <v>2.6566424512216722</v>
      </c>
      <c r="T1852" s="2">
        <f t="shared" si="116"/>
        <v>3.5708067670573165</v>
      </c>
      <c r="U1852" s="2">
        <f t="shared" si="117"/>
        <v>28.184092289745401</v>
      </c>
    </row>
    <row r="1853" spans="1:21" x14ac:dyDescent="0.25">
      <c r="A1853">
        <v>3706573</v>
      </c>
      <c r="B1853">
        <v>31</v>
      </c>
      <c r="C1853" s="1">
        <f>0.577137676122349*(10.3/7.3)</f>
        <v>0.81431754302194437</v>
      </c>
      <c r="D1853" s="1">
        <f>0.758510580567716*(10.3/7.3)</f>
        <v>1.0702272575133529</v>
      </c>
      <c r="E1853" s="1">
        <f>2.64370783455017*(10.3/7.3)</f>
        <v>3.730163109022842</v>
      </c>
      <c r="F1853" s="1">
        <f>6.92430329653881*(38.9/42.5)</f>
        <v>6.337774076126113</v>
      </c>
      <c r="G1853" s="1">
        <v>0.3341510576781942</v>
      </c>
      <c r="H1853" s="1">
        <v>1.7684612588104129</v>
      </c>
      <c r="I1853" s="1">
        <v>5.3374543994736587</v>
      </c>
      <c r="J1853" s="1">
        <v>2.1277613679341792E-2</v>
      </c>
      <c r="K1853" s="1">
        <v>2.234098460688184</v>
      </c>
      <c r="L1853" s="1">
        <v>2.105384989324905</v>
      </c>
      <c r="M1853" s="1">
        <v>0.11002359006160527</v>
      </c>
      <c r="N1853" s="1">
        <v>0.72886082288197285</v>
      </c>
      <c r="O1853" s="1">
        <v>0.34849204301075271</v>
      </c>
      <c r="P1853" s="1">
        <v>0.1790181104396612</v>
      </c>
      <c r="Q1853" s="1">
        <v>0.53403137071857565</v>
      </c>
      <c r="R1853" s="2">
        <f t="shared" si="115"/>
        <v>19.926580072365095</v>
      </c>
      <c r="S1853" s="2">
        <f t="shared" si="114"/>
        <v>2.4343941848071871</v>
      </c>
      <c r="T1853" s="2">
        <f t="shared" si="116"/>
        <v>3.2927614452792358</v>
      </c>
      <c r="U1853" s="2">
        <f t="shared" si="117"/>
        <v>25.653735702451517</v>
      </c>
    </row>
    <row r="1854" spans="1:21" x14ac:dyDescent="0.25">
      <c r="A1854">
        <v>3706605</v>
      </c>
      <c r="B1854">
        <v>2</v>
      </c>
      <c r="C1854" s="1">
        <f>0.573938493545446*(10.3/7.3)</f>
        <v>0.80980362787919147</v>
      </c>
      <c r="D1854" s="1">
        <f>0.762839751677643*(10.3/7.3)</f>
        <v>1.0763355400383181</v>
      </c>
      <c r="E1854" s="1">
        <f>2.65262500860688*(10.3/7.3)</f>
        <v>3.7427448751576513</v>
      </c>
      <c r="F1854" s="1">
        <f>7.19763694822822*(38.9/42.5)</f>
        <v>6.5879547596724199</v>
      </c>
      <c r="G1854" s="1">
        <v>0.35675567896689453</v>
      </c>
      <c r="H1854" s="1">
        <v>2.7028885524402146</v>
      </c>
      <c r="I1854" s="1">
        <v>5.5646651624268877</v>
      </c>
      <c r="J1854" s="1">
        <v>1.9573898932048341E-2</v>
      </c>
      <c r="K1854" s="1">
        <v>2.492532674190806</v>
      </c>
      <c r="L1854" s="1">
        <v>2.3272061730712741</v>
      </c>
      <c r="M1854" s="1">
        <v>0.12306280332489447</v>
      </c>
      <c r="N1854" s="1">
        <v>1.1332081689519244</v>
      </c>
      <c r="O1854" s="1">
        <v>0.33695999999999998</v>
      </c>
      <c r="P1854" s="1">
        <v>0.2057679055531646</v>
      </c>
      <c r="Q1854" s="1">
        <v>0.57015747780097359</v>
      </c>
      <c r="R1854" s="2">
        <f t="shared" si="115"/>
        <v>21.41130567438255</v>
      </c>
      <c r="S1854" s="2">
        <f t="shared" si="114"/>
        <v>2.7178744786760189</v>
      </c>
      <c r="T1854" s="2">
        <f t="shared" si="116"/>
        <v>3.9204371453480928</v>
      </c>
      <c r="U1854" s="2">
        <f t="shared" si="117"/>
        <v>28.049617298406663</v>
      </c>
    </row>
    <row r="1855" spans="1:21" x14ac:dyDescent="0.25">
      <c r="A1855">
        <v>3707069</v>
      </c>
      <c r="B1855">
        <v>14</v>
      </c>
      <c r="C1855" s="1">
        <f>4.73267394444628*(10.3/7.3)</f>
        <v>6.6776084421639252</v>
      </c>
      <c r="D1855" s="1">
        <f>5.97064518122431*(10.3/7.3)</f>
        <v>8.4243349817274442</v>
      </c>
      <c r="E1855" s="1">
        <f>21.0621350380292*(10.3/7.3)</f>
        <v>29.717806971465869</v>
      </c>
      <c r="F1855" s="1">
        <f>44.1948065705973*(38.9/42.5)</f>
        <v>40.451246484617272</v>
      </c>
      <c r="G1855" s="1">
        <v>1.7265288798638452</v>
      </c>
      <c r="H1855" s="1">
        <v>8.2460762683212128</v>
      </c>
      <c r="I1855" s="1">
        <v>33.125732733581053</v>
      </c>
      <c r="J1855" s="1">
        <v>4.3266130196459765E-2</v>
      </c>
      <c r="K1855" s="1">
        <v>3.4010477756960391</v>
      </c>
      <c r="L1855" s="1">
        <v>8.6240220060962436</v>
      </c>
      <c r="M1855" s="1">
        <v>0.18353342101061038</v>
      </c>
      <c r="N1855" s="1">
        <v>2.39355546202412</v>
      </c>
      <c r="O1855" s="1">
        <v>0.19084190476190477</v>
      </c>
      <c r="P1855" s="1">
        <v>0.15179784878816824</v>
      </c>
      <c r="Q1855" s="1">
        <v>2.7592927303760115</v>
      </c>
      <c r="R1855" s="2">
        <f t="shared" si="115"/>
        <v>131.12862749211666</v>
      </c>
      <c r="S1855" s="2">
        <f t="shared" si="114"/>
        <v>3.5961117546806673</v>
      </c>
      <c r="T1855" s="2">
        <f t="shared" si="116"/>
        <v>11.391952793892878</v>
      </c>
      <c r="U1855" s="2">
        <f t="shared" si="117"/>
        <v>146.1166920406902</v>
      </c>
    </row>
    <row r="1856" spans="1:21" x14ac:dyDescent="0.25">
      <c r="A1856">
        <v>3707085</v>
      </c>
      <c r="B1856">
        <v>2</v>
      </c>
      <c r="C1856" s="1">
        <f>4.08109699799682*(10.3/7.3)</f>
        <v>5.7582601478585262</v>
      </c>
      <c r="D1856" s="1">
        <f>4.90309070455274*(10.3/7.3)</f>
        <v>6.9180594872456478</v>
      </c>
      <c r="E1856" s="1">
        <f>17.3432375257472*(10.3/7.3)</f>
        <v>24.470595413040609</v>
      </c>
      <c r="F1856" s="1">
        <f>35.9720083313571*(38.9/42.5)</f>
        <v>32.924967625642161</v>
      </c>
      <c r="G1856" s="1">
        <v>1.372302295935814</v>
      </c>
      <c r="H1856" s="1">
        <v>5.8968754785419701</v>
      </c>
      <c r="I1856" s="1">
        <v>27.341597708434389</v>
      </c>
      <c r="J1856" s="1">
        <v>3.8053051294734339E-2</v>
      </c>
      <c r="K1856" s="1">
        <v>2.948491907860479</v>
      </c>
      <c r="L1856" s="1">
        <v>9.0192855060066357</v>
      </c>
      <c r="M1856" s="1">
        <v>0.16205325401998222</v>
      </c>
      <c r="N1856" s="1">
        <v>2.0644472025071541</v>
      </c>
      <c r="O1856" s="1">
        <v>0.16730666666666666</v>
      </c>
      <c r="P1856" s="1">
        <v>0.13589721748884909</v>
      </c>
      <c r="Q1856" s="1">
        <v>2.1931771852855499</v>
      </c>
      <c r="R1856" s="2">
        <f t="shared" si="115"/>
        <v>106.87583534198467</v>
      </c>
      <c r="S1856" s="2">
        <f t="shared" si="114"/>
        <v>3.1224421766440624</v>
      </c>
      <c r="T1856" s="2">
        <f t="shared" si="116"/>
        <v>11.413092629200438</v>
      </c>
      <c r="U1856" s="2">
        <f t="shared" si="117"/>
        <v>121.41137014782916</v>
      </c>
    </row>
    <row r="1857" spans="1:21" x14ac:dyDescent="0.25">
      <c r="A1857">
        <v>3707117</v>
      </c>
      <c r="B1857">
        <v>9</v>
      </c>
      <c r="C1857" s="1">
        <f>5.48978873654967*(10.3/7.3)</f>
        <v>7.7458662995152823</v>
      </c>
      <c r="D1857" s="1">
        <f>6.29817150609454*(10.3/7.3)</f>
        <v>8.8864611661333939</v>
      </c>
      <c r="E1857" s="1">
        <f>22.3242919917343*(10.3/7.3)</f>
        <v>31.498658563679964</v>
      </c>
      <c r="F1857" s="1">
        <f>46.450196743004*(38.9/42.5)</f>
        <v>42.5155918424201</v>
      </c>
      <c r="G1857" s="1">
        <v>1.7608291991114562</v>
      </c>
      <c r="H1857" s="1">
        <v>10.4792286345152</v>
      </c>
      <c r="I1857" s="1">
        <v>35.885076600131406</v>
      </c>
      <c r="J1857" s="1">
        <v>3.9979465800511475E-2</v>
      </c>
      <c r="K1857" s="1">
        <v>2.884751215614545</v>
      </c>
      <c r="L1857" s="1">
        <v>11.738789636865691</v>
      </c>
      <c r="M1857" s="1">
        <v>0.16651542137133749</v>
      </c>
      <c r="N1857" s="1">
        <v>2.01634059913812</v>
      </c>
      <c r="O1857" s="1">
        <v>0.16536296296296293</v>
      </c>
      <c r="P1857" s="1">
        <v>0.13200171354625684</v>
      </c>
      <c r="Q1857" s="1">
        <v>2.8141105921872613</v>
      </c>
      <c r="R1857" s="2">
        <f t="shared" si="115"/>
        <v>141.58582289769407</v>
      </c>
      <c r="S1857" s="2">
        <f t="shared" si="114"/>
        <v>3.0567323949613132</v>
      </c>
      <c r="T1857" s="2">
        <f t="shared" si="116"/>
        <v>14.087008620338112</v>
      </c>
      <c r="U1857" s="2">
        <f t="shared" si="117"/>
        <v>158.72956391299348</v>
      </c>
    </row>
    <row r="1858" spans="1:21" x14ac:dyDescent="0.25">
      <c r="A1858">
        <v>3718785</v>
      </c>
      <c r="B1858">
        <v>4</v>
      </c>
      <c r="C1858" s="1">
        <f>0.384003088195353*(10.3/7.3)</f>
        <v>0.54181257649481307</v>
      </c>
      <c r="D1858" s="1">
        <f>0.511821692702664*(10.3/7.3)</f>
        <v>0.72215937463526503</v>
      </c>
      <c r="E1858" s="1">
        <f>1.78398559716232*(10.3/7.3)</f>
        <v>2.5171303631194339</v>
      </c>
      <c r="F1858" s="1">
        <f>4.61350057416034*(38.9/42.5)</f>
        <v>4.2227099372902908</v>
      </c>
      <c r="G1858" s="1">
        <v>0.22092028360686794</v>
      </c>
      <c r="H1858" s="1">
        <v>1.3274268112975354</v>
      </c>
      <c r="I1858" s="1">
        <v>3.5365148691929136</v>
      </c>
      <c r="J1858" s="1">
        <v>1.4265651031768158E-2</v>
      </c>
      <c r="K1858" s="1">
        <v>1.8060773169412676</v>
      </c>
      <c r="L1858" s="1">
        <v>1.7214903981223688</v>
      </c>
      <c r="M1858" s="1">
        <v>9.5639263277990119E-2</v>
      </c>
      <c r="N1858" s="1">
        <v>0.57795407706938062</v>
      </c>
      <c r="O1858" s="1">
        <v>0.22517333333333334</v>
      </c>
      <c r="P1858" s="1">
        <v>0.13648206969049986</v>
      </c>
      <c r="Q1858" s="1">
        <v>0.35306894640367059</v>
      </c>
      <c r="R1858" s="2">
        <f t="shared" si="115"/>
        <v>13.441743162040789</v>
      </c>
      <c r="S1858" s="2">
        <f t="shared" si="114"/>
        <v>1.9568250376635357</v>
      </c>
      <c r="T1858" s="2">
        <f t="shared" si="116"/>
        <v>2.6202570718030729</v>
      </c>
      <c r="U1858" s="2">
        <f t="shared" si="117"/>
        <v>18.018825271507399</v>
      </c>
    </row>
    <row r="1859" spans="1:21" x14ac:dyDescent="0.25">
      <c r="A1859">
        <v>3718793</v>
      </c>
      <c r="B1859">
        <v>8</v>
      </c>
      <c r="C1859" s="1">
        <f>0.528981305857076*(10.3/7.3)</f>
        <v>0.74637088360655879</v>
      </c>
      <c r="D1859" s="1">
        <f>0.669294521136264*(10.3/7.3)</f>
        <v>0.94434706406897562</v>
      </c>
      <c r="E1859" s="1">
        <f>2.34775389235153*(10.3/7.3)</f>
        <v>3.3125842590713375</v>
      </c>
      <c r="F1859" s="1">
        <f>5.58133787782235*(38.9/42.5)</f>
        <v>5.1085657281715147</v>
      </c>
      <c r="G1859" s="1">
        <v>0.24759648832360301</v>
      </c>
      <c r="H1859" s="1">
        <v>2.655273508345465</v>
      </c>
      <c r="I1859" s="1">
        <v>4.2760306426686086</v>
      </c>
      <c r="J1859" s="1">
        <v>1.6893254958425634E-2</v>
      </c>
      <c r="K1859" s="1">
        <v>2.1070927158570467</v>
      </c>
      <c r="L1859" s="1">
        <v>1.9939785924217253</v>
      </c>
      <c r="M1859" s="1">
        <v>0.10861900666827874</v>
      </c>
      <c r="N1859" s="1">
        <v>0.66826601640038485</v>
      </c>
      <c r="O1859" s="1">
        <v>0.30170666666666662</v>
      </c>
      <c r="P1859" s="1">
        <v>0.16279405250882603</v>
      </c>
      <c r="Q1859" s="1">
        <v>0.39570215028886369</v>
      </c>
      <c r="R1859" s="2">
        <f t="shared" si="115"/>
        <v>17.686470724544925</v>
      </c>
      <c r="S1859" s="2">
        <f t="shared" si="114"/>
        <v>2.2867800233242983</v>
      </c>
      <c r="T1859" s="2">
        <f t="shared" si="116"/>
        <v>3.0725702821570553</v>
      </c>
      <c r="U1859" s="2">
        <f t="shared" si="117"/>
        <v>23.045821030026278</v>
      </c>
    </row>
    <row r="1860" spans="1:21" x14ac:dyDescent="0.25">
      <c r="A1860">
        <v>3718801</v>
      </c>
      <c r="B1860">
        <v>37</v>
      </c>
      <c r="C1860" s="1">
        <f>0.730919288627188*(10.3/7.3)</f>
        <v>1.0312970784739779</v>
      </c>
      <c r="D1860" s="1">
        <f>0.929172592092751*(10.3/7.3)</f>
        <v>1.311024342267854</v>
      </c>
      <c r="E1860" s="1">
        <f>3.2542949671998*(10.3/7.3)</f>
        <v>4.5916764605695857</v>
      </c>
      <c r="F1860" s="1">
        <f>7.95897445283622*(38.9/42.5)</f>
        <v>7.2848024991842131</v>
      </c>
      <c r="G1860" s="1">
        <v>0.36214652478847126</v>
      </c>
      <c r="H1860" s="1">
        <v>2.361782447430449</v>
      </c>
      <c r="I1860" s="1">
        <v>6.1187191507751892</v>
      </c>
      <c r="J1860" s="1">
        <v>2.2965594908257347E-2</v>
      </c>
      <c r="K1860" s="1">
        <v>2.719395892619541</v>
      </c>
      <c r="L1860" s="1">
        <v>2.5228496634748585</v>
      </c>
      <c r="M1860" s="1">
        <v>0.13711391509759696</v>
      </c>
      <c r="N1860" s="1">
        <v>0.86120183420166541</v>
      </c>
      <c r="O1860" s="1">
        <v>0.49627387387387384</v>
      </c>
      <c r="P1860" s="1">
        <v>0.21611435701674958</v>
      </c>
      <c r="Q1860" s="1">
        <v>0.57877298482175821</v>
      </c>
      <c r="R1860" s="2">
        <f t="shared" si="115"/>
        <v>23.640221488311497</v>
      </c>
      <c r="S1860" s="2">
        <f t="shared" si="114"/>
        <v>2.958475844544548</v>
      </c>
      <c r="T1860" s="2">
        <f t="shared" si="116"/>
        <v>4.0174392866479947</v>
      </c>
      <c r="U1860" s="2">
        <f t="shared" si="117"/>
        <v>30.61613661950404</v>
      </c>
    </row>
    <row r="1861" spans="1:21" x14ac:dyDescent="0.25">
      <c r="A1861">
        <v>3718809</v>
      </c>
      <c r="B1861">
        <v>60</v>
      </c>
      <c r="C1861" s="1">
        <f>0.526515215753535*(10.3/7.3)</f>
        <v>0.74289133181663125</v>
      </c>
      <c r="D1861" s="1">
        <f>0.803638745386666*(10.3/7.3)</f>
        <v>1.1339012434907758</v>
      </c>
      <c r="E1861" s="1">
        <f>2.74776568052429*(10.3/7.3)</f>
        <v>3.8769844533424904</v>
      </c>
      <c r="F1861" s="1">
        <f>9.0615557134247*(38.9/42.5)</f>
        <v>8.2939886412287258</v>
      </c>
      <c r="G1861" s="1">
        <v>0.51017313866578085</v>
      </c>
      <c r="H1861" s="1">
        <v>1.9345144246480859</v>
      </c>
      <c r="I1861" s="1">
        <v>7.0252707778412651</v>
      </c>
      <c r="J1861" s="1">
        <v>1.9068957684939356E-2</v>
      </c>
      <c r="K1861" s="1">
        <v>2.2995041163058962</v>
      </c>
      <c r="L1861" s="1">
        <v>2.1251489923779974</v>
      </c>
      <c r="M1861" s="1">
        <v>0.10874256731421203</v>
      </c>
      <c r="N1861" s="1">
        <v>0.73394452516135211</v>
      </c>
      <c r="O1861" s="1">
        <v>0.34092533333333347</v>
      </c>
      <c r="P1861" s="1">
        <v>0.19277661369362409</v>
      </c>
      <c r="Q1861" s="1">
        <v>0.81534519878092904</v>
      </c>
      <c r="R1861" s="2">
        <f t="shared" si="115"/>
        <v>24.333069209814685</v>
      </c>
      <c r="S1861" s="2">
        <f t="shared" si="114"/>
        <v>2.5113496876844597</v>
      </c>
      <c r="T1861" s="2">
        <f t="shared" si="116"/>
        <v>3.308761418186895</v>
      </c>
      <c r="U1861" s="2">
        <f t="shared" si="117"/>
        <v>30.15318031568604</v>
      </c>
    </row>
    <row r="1862" spans="1:21" x14ac:dyDescent="0.25">
      <c r="A1862">
        <v>3718817</v>
      </c>
      <c r="B1862">
        <v>3</v>
      </c>
      <c r="C1862" s="1">
        <f>0.629035526814325*(10.3/7.3)</f>
        <v>0.88754327755993734</v>
      </c>
      <c r="D1862" s="1">
        <f>0.942527545882394*(10.3/7.3)</f>
        <v>1.3298676332313231</v>
      </c>
      <c r="E1862" s="1">
        <f>3.22808074198526*(10.3/7.3)</f>
        <v>4.5546892660887934</v>
      </c>
      <c r="F1862" s="1">
        <f>10.4802661846459*(38.9/42.5)</f>
        <v>9.5925259901817874</v>
      </c>
      <c r="G1862" s="1">
        <v>0.58461436876118889</v>
      </c>
      <c r="H1862" s="1">
        <v>5.4730707944770058</v>
      </c>
      <c r="I1862" s="1">
        <v>8.1317761707791032</v>
      </c>
      <c r="J1862" s="1">
        <v>2.1728032039462868E-2</v>
      </c>
      <c r="K1862" s="1">
        <v>2.5907694519154116</v>
      </c>
      <c r="L1862" s="1">
        <v>2.3381505774558087</v>
      </c>
      <c r="M1862" s="1">
        <v>0.12320095200415242</v>
      </c>
      <c r="N1862" s="1">
        <v>0.81143674675134447</v>
      </c>
      <c r="O1862" s="1">
        <v>0.49754666666666658</v>
      </c>
      <c r="P1862" s="1">
        <v>0.21772013317388259</v>
      </c>
      <c r="Q1862" s="1">
        <v>0.9343152012165129</v>
      </c>
      <c r="R1862" s="2">
        <f t="shared" si="115"/>
        <v>31.488402702295652</v>
      </c>
      <c r="S1862" s="2">
        <f t="shared" si="114"/>
        <v>2.8302176171287572</v>
      </c>
      <c r="T1862" s="2">
        <f t="shared" si="116"/>
        <v>3.7703349428779722</v>
      </c>
      <c r="U1862" s="2">
        <f t="shared" si="117"/>
        <v>38.088955262302385</v>
      </c>
    </row>
    <row r="1863" spans="1:21" x14ac:dyDescent="0.25">
      <c r="A1863">
        <v>3718833</v>
      </c>
      <c r="B1863">
        <v>14</v>
      </c>
      <c r="C1863" s="1">
        <f>0.992201789476107*(10.3/7.3)</f>
        <v>1.3999559495347815</v>
      </c>
      <c r="D1863" s="1">
        <f>1.29986483865808*(10.3/7.3)</f>
        <v>1.8340558682435957</v>
      </c>
      <c r="E1863" s="1">
        <f>4.52334831811231*(10.3/7.3)</f>
        <v>6.3822585858297032</v>
      </c>
      <c r="F1863" s="1">
        <f>12.2466136369975*(38.9/42.5)</f>
        <v>11.209253423040106</v>
      </c>
      <c r="G1863" s="1">
        <v>0.60504383646400484</v>
      </c>
      <c r="H1863" s="1">
        <v>7.5454669019484841</v>
      </c>
      <c r="I1863" s="1">
        <v>9.4971084973303288</v>
      </c>
      <c r="J1863" s="1">
        <v>2.9772136076540032E-2</v>
      </c>
      <c r="K1863" s="1">
        <v>3.3936103622297531</v>
      </c>
      <c r="L1863" s="1">
        <v>3.4562731605844528</v>
      </c>
      <c r="M1863" s="1">
        <v>0.173642924817514</v>
      </c>
      <c r="N1863" s="1">
        <v>1.1897737165230189</v>
      </c>
      <c r="O1863" s="1">
        <v>0.68620190476190479</v>
      </c>
      <c r="P1863" s="1">
        <v>0.2707167345721177</v>
      </c>
      <c r="Q1863" s="1">
        <v>0.96696503544475743</v>
      </c>
      <c r="R1863" s="2">
        <f t="shared" si="115"/>
        <v>39.440108097835761</v>
      </c>
      <c r="S1863" s="2">
        <f t="shared" si="114"/>
        <v>3.6940992328784108</v>
      </c>
      <c r="T1863" s="2">
        <f t="shared" si="116"/>
        <v>5.5058917066868904</v>
      </c>
      <c r="U1863" s="2">
        <f t="shared" si="117"/>
        <v>48.640099037401058</v>
      </c>
    </row>
    <row r="1864" spans="1:21" x14ac:dyDescent="0.25">
      <c r="A1864">
        <v>3718841</v>
      </c>
      <c r="B1864">
        <v>4</v>
      </c>
      <c r="C1864" s="1">
        <f>0.415099721008372*(10.3/7.3)</f>
        <v>0.5856886474501688</v>
      </c>
      <c r="D1864" s="1">
        <f>0.528439232680127*(10.3/7.3)</f>
        <v>0.74560604063086389</v>
      </c>
      <c r="E1864" s="1">
        <f>1.84902783327626*(10.3/7.3)</f>
        <v>2.6089022853076016</v>
      </c>
      <c r="F1864" s="1">
        <f>4.60559627456808*(38.9/42.5)</f>
        <v>4.2154751783693722</v>
      </c>
      <c r="G1864" s="1">
        <v>0.21281951555814593</v>
      </c>
      <c r="H1864" s="1">
        <v>1.3637049401316301</v>
      </c>
      <c r="I1864" s="1">
        <v>3.5499976696260975</v>
      </c>
      <c r="J1864" s="1">
        <v>1.6340577669047944E-2</v>
      </c>
      <c r="K1864" s="1">
        <v>2.0464432678791087</v>
      </c>
      <c r="L1864" s="1">
        <v>1.9556532200701495</v>
      </c>
      <c r="M1864" s="1">
        <v>0.1050720868323969</v>
      </c>
      <c r="N1864" s="1">
        <v>0.75092365431607289</v>
      </c>
      <c r="O1864" s="1">
        <v>0.26981333333333335</v>
      </c>
      <c r="P1864" s="1">
        <v>0.16168716082012824</v>
      </c>
      <c r="Q1864" s="1">
        <v>0.34012251344909211</v>
      </c>
      <c r="R1864" s="2">
        <f t="shared" si="115"/>
        <v>13.622316790522971</v>
      </c>
      <c r="S1864" s="2">
        <f t="shared" si="114"/>
        <v>2.2244710063682849</v>
      </c>
      <c r="T1864" s="2">
        <f t="shared" si="116"/>
        <v>3.0814622945519528</v>
      </c>
      <c r="U1864" s="2">
        <f t="shared" si="117"/>
        <v>18.928250091443211</v>
      </c>
    </row>
    <row r="1865" spans="1:21" x14ac:dyDescent="0.25">
      <c r="A1865">
        <v>3718865</v>
      </c>
      <c r="B1865">
        <v>3</v>
      </c>
      <c r="C1865" s="1">
        <f>0.909964014517809*(10.3/7.3)</f>
        <v>1.2839218287032104</v>
      </c>
      <c r="D1865" s="1">
        <f>1.16955258471193*(10.3/7.3)</f>
        <v>1.650190633223688</v>
      </c>
      <c r="E1865" s="1">
        <f>4.07444268783389*(10.3/7.3)</f>
        <v>5.7488711896834355</v>
      </c>
      <c r="F1865" s="1">
        <f>10.9711119402925*(38.9/42.5)</f>
        <v>10.041794222997096</v>
      </c>
      <c r="G1865" s="1">
        <v>0.53869213399492388</v>
      </c>
      <c r="H1865" s="1">
        <v>2.7292573775649962</v>
      </c>
      <c r="I1865" s="1">
        <v>8.5398156547059845</v>
      </c>
      <c r="J1865" s="1">
        <v>2.6873623795716339E-2</v>
      </c>
      <c r="K1865" s="1">
        <v>3.5362656694351036</v>
      </c>
      <c r="L1865" s="1">
        <v>3.1608389517748137</v>
      </c>
      <c r="M1865" s="1">
        <v>0.16107029042474177</v>
      </c>
      <c r="N1865" s="1">
        <v>1.1544009476030264</v>
      </c>
      <c r="O1865" s="1">
        <v>0.62186666666666668</v>
      </c>
      <c r="P1865" s="1">
        <v>0.30347191954653957</v>
      </c>
      <c r="Q1865" s="1">
        <v>0.86092350181837241</v>
      </c>
      <c r="R1865" s="2">
        <f t="shared" si="115"/>
        <v>31.393466542691709</v>
      </c>
      <c r="S1865" s="2">
        <f t="shared" ref="S1865:S1928" si="118">J1865+K1865+P1865</f>
        <v>3.8666112127773591</v>
      </c>
      <c r="T1865" s="2">
        <f t="shared" si="116"/>
        <v>5.098176856469248</v>
      </c>
      <c r="U1865" s="2">
        <f t="shared" si="117"/>
        <v>40.358254611938321</v>
      </c>
    </row>
    <row r="1866" spans="1:21" x14ac:dyDescent="0.25">
      <c r="A1866">
        <v>3719305</v>
      </c>
      <c r="B1866">
        <v>1</v>
      </c>
      <c r="C1866" s="1">
        <f>5.42075149004408*(10.3/7.3)</f>
        <v>7.6484575818430223</v>
      </c>
      <c r="D1866" s="1">
        <f>6.82722990679631*(10.3/7.3)</f>
        <v>9.6329408273975332</v>
      </c>
      <c r="E1866" s="1">
        <f>24.080888439785*(10.3/7.3)</f>
        <v>33.977143962984364</v>
      </c>
      <c r="F1866" s="1">
        <f>50.7696968218748*(38.9/42.5)</f>
        <v>46.469204855786572</v>
      </c>
      <c r="G1866" s="1">
        <v>1.9935400045729026</v>
      </c>
      <c r="H1866" s="1">
        <v>9.6741676890919255</v>
      </c>
      <c r="I1866" s="1">
        <v>38.109770712738509</v>
      </c>
      <c r="J1866" s="1">
        <v>4.159188322825446E-2</v>
      </c>
      <c r="K1866" s="1">
        <v>3.1606161523136946</v>
      </c>
      <c r="L1866" s="1">
        <v>7.7841480545137651</v>
      </c>
      <c r="M1866" s="1">
        <v>0.17896167485481251</v>
      </c>
      <c r="N1866" s="1">
        <v>2.1376119313551567</v>
      </c>
      <c r="O1866" s="1">
        <v>0.18085333333333334</v>
      </c>
      <c r="P1866" s="1">
        <v>0.14055006464789388</v>
      </c>
      <c r="Q1866" s="1">
        <v>3.1860228383585234</v>
      </c>
      <c r="R1866" s="2">
        <f t="shared" ref="R1866:R1929" si="119">C1866+D1866+E1866+F1866+G1866+H1866+I1866+Q1866</f>
        <v>150.69124847277337</v>
      </c>
      <c r="S1866" s="2">
        <f t="shared" si="118"/>
        <v>3.342758100189843</v>
      </c>
      <c r="T1866" s="2">
        <f t="shared" ref="T1866:T1929" si="120">L1866+M1866+N1866+O1866</f>
        <v>10.281574994057067</v>
      </c>
      <c r="U1866" s="2">
        <f t="shared" ref="U1866:U1929" si="121">R1866+S1866+T1866</f>
        <v>164.31558156702027</v>
      </c>
    </row>
    <row r="1867" spans="1:21" x14ac:dyDescent="0.25">
      <c r="A1867">
        <v>3719345</v>
      </c>
      <c r="B1867">
        <v>12</v>
      </c>
      <c r="C1867" s="1">
        <f>4.31449599675992*(10.3/7.3)</f>
        <v>6.0875765433735882</v>
      </c>
      <c r="D1867" s="1">
        <f>4.93881567524625*(10.3/7.3)</f>
        <v>6.968465952744709</v>
      </c>
      <c r="E1867" s="1">
        <f>17.5285756086622*(10.3/7.3)</f>
        <v>24.732099831400156</v>
      </c>
      <c r="F1867" s="1">
        <f>35.4251309418814*(38.9/42.5)</f>
        <v>32.424413967980819</v>
      </c>
      <c r="G1867" s="1">
        <v>1.2939769889746608</v>
      </c>
      <c r="H1867" s="1">
        <v>7.20048077160045</v>
      </c>
      <c r="I1867" s="1">
        <v>27.258790654668342</v>
      </c>
      <c r="J1867" s="1">
        <v>3.7463953173107183E-2</v>
      </c>
      <c r="K1867" s="1">
        <v>2.73658929726018</v>
      </c>
      <c r="L1867" s="1">
        <v>11.303358422813234</v>
      </c>
      <c r="M1867" s="1">
        <v>0.1578801120423127</v>
      </c>
      <c r="N1867" s="1">
        <v>1.8629238624999311</v>
      </c>
      <c r="O1867" s="1">
        <v>0.15782222222222222</v>
      </c>
      <c r="P1867" s="1">
        <v>0.12740646891744017</v>
      </c>
      <c r="Q1867" s="1">
        <v>2.0679997540690955</v>
      </c>
      <c r="R1867" s="2">
        <f t="shared" si="119"/>
        <v>108.03380446481182</v>
      </c>
      <c r="S1867" s="2">
        <f t="shared" si="118"/>
        <v>2.9014597193507274</v>
      </c>
      <c r="T1867" s="2">
        <f t="shared" si="120"/>
        <v>13.4819846195777</v>
      </c>
      <c r="U1867" s="2">
        <f t="shared" si="121"/>
        <v>124.41724880374025</v>
      </c>
    </row>
    <row r="1868" spans="1:21" x14ac:dyDescent="0.25">
      <c r="A1868">
        <v>3719353</v>
      </c>
      <c r="B1868">
        <v>3</v>
      </c>
      <c r="C1868" s="1">
        <f>4.93085256772563*(10.3/7.3)</f>
        <v>6.9572303352841018</v>
      </c>
      <c r="D1868" s="1">
        <f>5.65962225154354*(10.3/7.3)</f>
        <v>7.985494409712115</v>
      </c>
      <c r="E1868" s="1">
        <f>20.0977438947788*(10.3/7.3)</f>
        <v>28.357090700852304</v>
      </c>
      <c r="F1868" s="1">
        <f>39.9318086702969*(38.9/42.5)</f>
        <v>36.549349582930532</v>
      </c>
      <c r="G1868" s="1">
        <v>1.4270227158675783</v>
      </c>
      <c r="H1868" s="1">
        <v>8.637329809450824</v>
      </c>
      <c r="I1868" s="1">
        <v>30.608918254248888</v>
      </c>
      <c r="J1868" s="1">
        <v>3.8975240911303131E-2</v>
      </c>
      <c r="K1868" s="1">
        <v>2.7873240289329915</v>
      </c>
      <c r="L1868" s="1">
        <v>10.639914128910368</v>
      </c>
      <c r="M1868" s="1">
        <v>0.16162691564136689</v>
      </c>
      <c r="N1868" s="1">
        <v>1.9617576157212078</v>
      </c>
      <c r="O1868" s="1">
        <v>0.16127999999999998</v>
      </c>
      <c r="P1868" s="1">
        <v>0.12919184377540963</v>
      </c>
      <c r="Q1868" s="1">
        <v>2.2806299112038944</v>
      </c>
      <c r="R1868" s="2">
        <f t="shared" si="119"/>
        <v>122.80306571955023</v>
      </c>
      <c r="S1868" s="2">
        <f t="shared" si="118"/>
        <v>2.9554911136197042</v>
      </c>
      <c r="T1868" s="2">
        <f t="shared" si="120"/>
        <v>12.924578660272942</v>
      </c>
      <c r="U1868" s="2">
        <f t="shared" si="121"/>
        <v>138.68313549344288</v>
      </c>
    </row>
    <row r="1869" spans="1:21" x14ac:dyDescent="0.25">
      <c r="A1869">
        <v>3731029</v>
      </c>
      <c r="B1869">
        <v>3</v>
      </c>
      <c r="C1869" s="1">
        <f>0.600092988856215*(10.3/7.3)</f>
        <v>0.84670654592041295</v>
      </c>
      <c r="D1869" s="1">
        <f>0.75791765847087*(10.3/7.3)</f>
        <v>1.0693906688013644</v>
      </c>
      <c r="E1869" s="1">
        <f>2.65838291286175*(10.3/7.3)</f>
        <v>3.7508690414350756</v>
      </c>
      <c r="F1869" s="1">
        <f>6.34292974756257*(38.9/42.5)</f>
        <v>5.8056462865925651</v>
      </c>
      <c r="G1869" s="1">
        <v>0.28222145992258296</v>
      </c>
      <c r="H1869" s="1">
        <v>2.097749208971496</v>
      </c>
      <c r="I1869" s="1">
        <v>4.8649357872950825</v>
      </c>
      <c r="J1869" s="1">
        <v>1.8149596870875376E-2</v>
      </c>
      <c r="K1869" s="1">
        <v>2.2501418995412088</v>
      </c>
      <c r="L1869" s="1">
        <v>2.0767076270012024</v>
      </c>
      <c r="M1869" s="1">
        <v>0.1124287831504845</v>
      </c>
      <c r="N1869" s="1">
        <v>0.7053128974402566</v>
      </c>
      <c r="O1869" s="1">
        <v>0.33640888888888892</v>
      </c>
      <c r="P1869" s="1">
        <v>0.1802797763299675</v>
      </c>
      <c r="Q1869" s="1">
        <v>0.45103886288997325</v>
      </c>
      <c r="R1869" s="2">
        <f t="shared" si="119"/>
        <v>19.168557861828553</v>
      </c>
      <c r="S1869" s="2">
        <f t="shared" si="118"/>
        <v>2.4485712727420519</v>
      </c>
      <c r="T1869" s="2">
        <f t="shared" si="120"/>
        <v>3.2308581964808321</v>
      </c>
      <c r="U1869" s="2">
        <f t="shared" si="121"/>
        <v>24.847987331051435</v>
      </c>
    </row>
    <row r="1870" spans="1:21" x14ac:dyDescent="0.25">
      <c r="A1870">
        <v>3731037</v>
      </c>
      <c r="B1870">
        <v>60</v>
      </c>
      <c r="C1870" s="1">
        <f>0.605819761217788*(10.3/7.3)</f>
        <v>0.85478678637578343</v>
      </c>
      <c r="D1870" s="1">
        <f>0.77853617734688*(10.3/7.3)</f>
        <v>1.098482551599022</v>
      </c>
      <c r="E1870" s="1">
        <f>2.72304556359332*(10.3/7.3)</f>
        <v>3.8421053842481134</v>
      </c>
      <c r="F1870" s="1">
        <f>6.77995628897619*(38.9/42.5)</f>
        <v>6.2056541092040858</v>
      </c>
      <c r="G1870" s="1">
        <v>0.31361059492461757</v>
      </c>
      <c r="H1870" s="1">
        <v>1.5466407638635558</v>
      </c>
      <c r="I1870" s="1">
        <v>5.2126690426727462</v>
      </c>
      <c r="J1870" s="1">
        <v>1.9980397851989854E-2</v>
      </c>
      <c r="K1870" s="1">
        <v>2.4256415450271347</v>
      </c>
      <c r="L1870" s="1">
        <v>2.2537924553954158</v>
      </c>
      <c r="M1870" s="1">
        <v>0.12089846944568215</v>
      </c>
      <c r="N1870" s="1">
        <v>0.76240416124107568</v>
      </c>
      <c r="O1870" s="1">
        <v>0.40623288888888892</v>
      </c>
      <c r="P1870" s="1">
        <v>0.19424438460762791</v>
      </c>
      <c r="Q1870" s="1">
        <v>0.50120414713980022</v>
      </c>
      <c r="R1870" s="2">
        <f t="shared" si="119"/>
        <v>19.575153380027722</v>
      </c>
      <c r="S1870" s="2">
        <f t="shared" si="118"/>
        <v>2.6398663274867524</v>
      </c>
      <c r="T1870" s="2">
        <f t="shared" si="120"/>
        <v>3.5433279749710627</v>
      </c>
      <c r="U1870" s="2">
        <f t="shared" si="121"/>
        <v>25.758347682485539</v>
      </c>
    </row>
    <row r="1871" spans="1:21" x14ac:dyDescent="0.25">
      <c r="A1871">
        <v>3731045</v>
      </c>
      <c r="B1871">
        <v>54</v>
      </c>
      <c r="C1871" s="1">
        <f>0.562557673955904*(10.3/7.3)</f>
        <v>0.79374575914326206</v>
      </c>
      <c r="D1871" s="1">
        <f>0.829405200818769*(10.3/7.3)</f>
        <v>1.1702566532100442</v>
      </c>
      <c r="E1871" s="1">
        <f>2.8477609646354*(10.3/7.3)</f>
        <v>4.0180736898280269</v>
      </c>
      <c r="F1871" s="1">
        <f>8.96829801207405*(38.9/42.5)</f>
        <v>8.2086304157571863</v>
      </c>
      <c r="G1871" s="1">
        <v>0.4917724536656326</v>
      </c>
      <c r="H1871" s="1">
        <v>2.241661162088227</v>
      </c>
      <c r="I1871" s="1">
        <v>6.9462770767923923</v>
      </c>
      <c r="J1871" s="1">
        <v>1.9078072715232638E-2</v>
      </c>
      <c r="K1871" s="1">
        <v>2.3446347573597794</v>
      </c>
      <c r="L1871" s="1">
        <v>2.1599981410926667</v>
      </c>
      <c r="M1871" s="1">
        <v>0.11264467933435302</v>
      </c>
      <c r="N1871" s="1">
        <v>0.73948919545107694</v>
      </c>
      <c r="O1871" s="1">
        <v>0.36205333333333339</v>
      </c>
      <c r="P1871" s="1">
        <v>0.19639973951211498</v>
      </c>
      <c r="Q1871" s="1">
        <v>0.7859377113377698</v>
      </c>
      <c r="R1871" s="2">
        <f t="shared" si="119"/>
        <v>24.65635492182254</v>
      </c>
      <c r="S1871" s="2">
        <f t="shared" si="118"/>
        <v>2.560112569587127</v>
      </c>
      <c r="T1871" s="2">
        <f t="shared" si="120"/>
        <v>3.3741853492114302</v>
      </c>
      <c r="U1871" s="2">
        <f t="shared" si="121"/>
        <v>30.590652840621097</v>
      </c>
    </row>
    <row r="1872" spans="1:21" x14ac:dyDescent="0.25">
      <c r="A1872">
        <v>3731053</v>
      </c>
      <c r="B1872">
        <v>5</v>
      </c>
      <c r="C1872" s="1">
        <f>0.800805506677637*(10.3/7.3)</f>
        <v>1.1299036601068022</v>
      </c>
      <c r="D1872" s="1">
        <f>1.14512869512336*(10.3/7.3)</f>
        <v>1.6157295287357059</v>
      </c>
      <c r="E1872" s="1">
        <f>3.94514848778359*(10.3/7.3)</f>
        <v>5.566442386872736</v>
      </c>
      <c r="F1872" s="1">
        <f>11.9775673318433*(38.9/42.5)</f>
        <v>10.962996922557736</v>
      </c>
      <c r="G1872" s="1">
        <v>0.64196709124653339</v>
      </c>
      <c r="H1872" s="1">
        <v>9.5062133889340803</v>
      </c>
      <c r="I1872" s="1">
        <v>9.2782947149947059</v>
      </c>
      <c r="J1872" s="1">
        <v>2.3597304734642797E-2</v>
      </c>
      <c r="K1872" s="1">
        <v>2.8631438558839832</v>
      </c>
      <c r="L1872" s="1">
        <v>2.6215452516882407</v>
      </c>
      <c r="M1872" s="1">
        <v>0.13961105225159071</v>
      </c>
      <c r="N1872" s="1">
        <v>0.88290118639547654</v>
      </c>
      <c r="O1872" s="1">
        <v>0.56478933333333337</v>
      </c>
      <c r="P1872" s="1">
        <v>0.23765506919181917</v>
      </c>
      <c r="Q1872" s="1">
        <v>1.0259748033620408</v>
      </c>
      <c r="R1872" s="2">
        <f t="shared" si="119"/>
        <v>39.727522496810344</v>
      </c>
      <c r="S1872" s="2">
        <f t="shared" si="118"/>
        <v>3.1243962298104453</v>
      </c>
      <c r="T1872" s="2">
        <f t="shared" si="120"/>
        <v>4.2088468236686412</v>
      </c>
      <c r="U1872" s="2">
        <f t="shared" si="121"/>
        <v>47.060765550289432</v>
      </c>
    </row>
    <row r="1873" spans="1:21" x14ac:dyDescent="0.25">
      <c r="A1873">
        <v>3731061</v>
      </c>
      <c r="B1873">
        <v>21</v>
      </c>
      <c r="C1873" s="1">
        <f>0.938508260669156*(10.3/7.3)</f>
        <v>1.3241965869715486</v>
      </c>
      <c r="D1873" s="1">
        <f>1.22248941472609*(10.3/7.3)</f>
        <v>1.7248823248874998</v>
      </c>
      <c r="E1873" s="1">
        <f>4.25899922101972*(10.3/7.3)</f>
        <v>6.0092728734935728</v>
      </c>
      <c r="F1873" s="1">
        <f>11.3338112392306*(38.9/42.5)</f>
        <v>10.373770757789869</v>
      </c>
      <c r="G1873" s="1">
        <v>0.55273244342279393</v>
      </c>
      <c r="H1873" s="1">
        <v>6.7356072622349847</v>
      </c>
      <c r="I1873" s="1">
        <v>8.7776916135422525</v>
      </c>
      <c r="J1873" s="1">
        <v>2.916172090746591E-2</v>
      </c>
      <c r="K1873" s="1">
        <v>3.3693809561486896</v>
      </c>
      <c r="L1873" s="1">
        <v>3.3973653180628016</v>
      </c>
      <c r="M1873" s="1">
        <v>0.16852001629604138</v>
      </c>
      <c r="N1873" s="1">
        <v>1.0619600111893956</v>
      </c>
      <c r="O1873" s="1">
        <v>0.68459428571428582</v>
      </c>
      <c r="P1873" s="1">
        <v>0.27630273126443772</v>
      </c>
      <c r="Q1873" s="1">
        <v>0.88336235250218298</v>
      </c>
      <c r="R1873" s="2">
        <f t="shared" si="119"/>
        <v>36.381516214844702</v>
      </c>
      <c r="S1873" s="2">
        <f t="shared" si="118"/>
        <v>3.6748454083205933</v>
      </c>
      <c r="T1873" s="2">
        <f t="shared" si="120"/>
        <v>5.3124396312625244</v>
      </c>
      <c r="U1873" s="2">
        <f t="shared" si="121"/>
        <v>45.368801254427822</v>
      </c>
    </row>
    <row r="1874" spans="1:21" x14ac:dyDescent="0.25">
      <c r="A1874">
        <v>3731069</v>
      </c>
      <c r="B1874">
        <v>35</v>
      </c>
      <c r="C1874" s="1">
        <f>1.03846053789015*(10.3/7.3)</f>
        <v>1.4652251425025404</v>
      </c>
      <c r="D1874" s="1">
        <f>1.35715657176321*(10.3/7.3)</f>
        <v>1.9148921492001434</v>
      </c>
      <c r="E1874" s="1">
        <f>4.72318761330213*(10.3/7.3)</f>
        <v>6.6642236187687569</v>
      </c>
      <c r="F1874" s="1">
        <f>12.7889361569944*(38.9/42.5)</f>
        <v>11.705638035460739</v>
      </c>
      <c r="G1874" s="1">
        <v>0.63169743260387734</v>
      </c>
      <c r="H1874" s="1">
        <v>5.5695853331715215</v>
      </c>
      <c r="I1874" s="1">
        <v>9.9235587380671699</v>
      </c>
      <c r="J1874" s="1">
        <v>3.0336239707463956E-2</v>
      </c>
      <c r="K1874" s="1">
        <v>3.5708623035594855</v>
      </c>
      <c r="L1874" s="1">
        <v>3.7250950455331453</v>
      </c>
      <c r="M1874" s="1">
        <v>0.18824130528331043</v>
      </c>
      <c r="N1874" s="1">
        <v>1.3824048308380374</v>
      </c>
      <c r="O1874" s="1">
        <v>0.72375314285714287</v>
      </c>
      <c r="P1874" s="1">
        <v>0.2803762677461567</v>
      </c>
      <c r="Q1874" s="1">
        <v>1.0095621069011749</v>
      </c>
      <c r="R1874" s="2">
        <f t="shared" si="119"/>
        <v>38.884382556675916</v>
      </c>
      <c r="S1874" s="2">
        <f t="shared" si="118"/>
        <v>3.8815748110131061</v>
      </c>
      <c r="T1874" s="2">
        <f t="shared" si="120"/>
        <v>6.0194943245116352</v>
      </c>
      <c r="U1874" s="2">
        <f t="shared" si="121"/>
        <v>48.78545169220066</v>
      </c>
    </row>
    <row r="1875" spans="1:21" x14ac:dyDescent="0.25">
      <c r="A1875">
        <v>3731093</v>
      </c>
      <c r="B1875">
        <v>24</v>
      </c>
      <c r="C1875" s="1">
        <f>0.922062128148234*(10.3/7.3)</f>
        <v>1.3009917698529883</v>
      </c>
      <c r="D1875" s="1">
        <f>1.20593775311272*(10.3/7.3)</f>
        <v>1.7015286105563023</v>
      </c>
      <c r="E1875" s="1">
        <f>4.19172622055635*(10.3/7.3)</f>
        <v>5.9143534344836155</v>
      </c>
      <c r="F1875" s="1">
        <f>11.6085033377004*(38.9/42.5)</f>
        <v>10.625194819683379</v>
      </c>
      <c r="G1875" s="1">
        <v>0.58239693997964026</v>
      </c>
      <c r="H1875" s="1">
        <v>2.6776814112248579</v>
      </c>
      <c r="I1875" s="1">
        <v>9.0370533416594654</v>
      </c>
      <c r="J1875" s="1">
        <v>2.8039444028012089E-2</v>
      </c>
      <c r="K1875" s="1">
        <v>3.5974423368196575</v>
      </c>
      <c r="L1875" s="1">
        <v>3.3755936979591077</v>
      </c>
      <c r="M1875" s="1">
        <v>0.17228269218812617</v>
      </c>
      <c r="N1875" s="1">
        <v>1.1769676424676081</v>
      </c>
      <c r="O1875" s="1">
        <v>0.67090666666666676</v>
      </c>
      <c r="P1875" s="1">
        <v>0.30026941673781571</v>
      </c>
      <c r="Q1875" s="1">
        <v>0.9307713652642664</v>
      </c>
      <c r="R1875" s="2">
        <f t="shared" si="119"/>
        <v>32.769971692704516</v>
      </c>
      <c r="S1875" s="2">
        <f t="shared" si="118"/>
        <v>3.9257511975854857</v>
      </c>
      <c r="T1875" s="2">
        <f t="shared" si="120"/>
        <v>5.3957506992815087</v>
      </c>
      <c r="U1875" s="2">
        <f t="shared" si="121"/>
        <v>42.091473589571507</v>
      </c>
    </row>
    <row r="1876" spans="1:21" x14ac:dyDescent="0.25">
      <c r="A1876">
        <v>3731573</v>
      </c>
      <c r="B1876">
        <v>8</v>
      </c>
      <c r="C1876" s="1">
        <f>4.59180666721864*(10.3/7.3)</f>
        <v>6.4788505030619206</v>
      </c>
      <c r="D1876" s="1">
        <f>5.2744254039998*(10.3/7.3)</f>
        <v>7.4419974878353328</v>
      </c>
      <c r="E1876" s="1">
        <f>18.7120472336306*(10.3/7.3)</f>
        <v>26.401929658410236</v>
      </c>
      <c r="F1876" s="1">
        <f>38.0437555054229*(38.9/42.5)</f>
        <v>34.821225627316501</v>
      </c>
      <c r="G1876" s="1">
        <v>1.401540167369943</v>
      </c>
      <c r="H1876" s="1">
        <v>7.1951622187621194</v>
      </c>
      <c r="I1876" s="1">
        <v>29.266962621706639</v>
      </c>
      <c r="J1876" s="1">
        <v>3.9577422244515041E-2</v>
      </c>
      <c r="K1876" s="1">
        <v>2.8587685915335244</v>
      </c>
      <c r="L1876" s="1">
        <v>8.9787471166438682</v>
      </c>
      <c r="M1876" s="1">
        <v>0.16438188066954201</v>
      </c>
      <c r="N1876" s="1">
        <v>1.9538379451348489</v>
      </c>
      <c r="O1876" s="1">
        <v>0.16463999999999998</v>
      </c>
      <c r="P1876" s="1">
        <v>0.13228772437240421</v>
      </c>
      <c r="Q1876" s="1">
        <v>2.2399043770752534</v>
      </c>
      <c r="R1876" s="2">
        <f t="shared" si="119"/>
        <v>115.24757266153794</v>
      </c>
      <c r="S1876" s="2">
        <f t="shared" si="118"/>
        <v>3.0306337381504433</v>
      </c>
      <c r="T1876" s="2">
        <f t="shared" si="120"/>
        <v>11.261606942448259</v>
      </c>
      <c r="U1876" s="2">
        <f t="shared" si="121"/>
        <v>129.53981334213665</v>
      </c>
    </row>
    <row r="1877" spans="1:21" x14ac:dyDescent="0.25">
      <c r="A1877">
        <v>3731581</v>
      </c>
      <c r="B1877">
        <v>19</v>
      </c>
      <c r="C1877" s="1">
        <f>4.4969241256207*(10.3/7.3)</f>
        <v>6.3449751361497544</v>
      </c>
      <c r="D1877" s="1">
        <f>5.17459907492852*(10.3/7.3)</f>
        <v>7.3011466399676337</v>
      </c>
      <c r="E1877" s="1">
        <f>18.3650753307011*(10.3/7.3)</f>
        <v>25.912366562496054</v>
      </c>
      <c r="F1877" s="1">
        <f>36.8953623997184*(38.9/42.5)</f>
        <v>33.770108172918711</v>
      </c>
      <c r="G1877" s="1">
        <v>1.3389279221693817</v>
      </c>
      <c r="H1877" s="1">
        <v>6.8263699344155233</v>
      </c>
      <c r="I1877" s="1">
        <v>28.308864589624807</v>
      </c>
      <c r="J1877" s="1">
        <v>3.6901133137906321E-2</v>
      </c>
      <c r="K1877" s="1">
        <v>2.6731432638399721</v>
      </c>
      <c r="L1877" s="1">
        <v>12.360269028027242</v>
      </c>
      <c r="M1877" s="1">
        <v>0.15596877425329983</v>
      </c>
      <c r="N1877" s="1">
        <v>1.8224271896717279</v>
      </c>
      <c r="O1877" s="1">
        <v>0.15494456140350873</v>
      </c>
      <c r="P1877" s="1">
        <v>0.12439058190385796</v>
      </c>
      <c r="Q1877" s="1">
        <v>2.1398391450195624</v>
      </c>
      <c r="R1877" s="2">
        <f t="shared" si="119"/>
        <v>111.94259810276142</v>
      </c>
      <c r="S1877" s="2">
        <f t="shared" si="118"/>
        <v>2.8344349788817365</v>
      </c>
      <c r="T1877" s="2">
        <f t="shared" si="120"/>
        <v>14.493609553355778</v>
      </c>
      <c r="U1877" s="2">
        <f t="shared" si="121"/>
        <v>129.27064263499892</v>
      </c>
    </row>
    <row r="1878" spans="1:21" x14ac:dyDescent="0.25">
      <c r="A1878">
        <v>3743265</v>
      </c>
      <c r="B1878">
        <v>1</v>
      </c>
      <c r="C1878" s="1">
        <f>0.49945792568077*(10.3/7.3)</f>
        <v>0.7047146074673879</v>
      </c>
      <c r="D1878" s="1">
        <f>0.632592132362832*(10.3/7.3)</f>
        <v>0.89256150182700988</v>
      </c>
      <c r="E1878" s="1">
        <f>2.21852933720633*(10.3/7.3)</f>
        <v>3.1302537223596172</v>
      </c>
      <c r="F1878" s="1">
        <f>5.29334078269934*(38.9/42.5)</f>
        <v>4.8449636811059857</v>
      </c>
      <c r="G1878" s="1">
        <v>0.23561969052971443</v>
      </c>
      <c r="H1878" s="1">
        <v>1.2747731381980507</v>
      </c>
      <c r="I1878" s="1">
        <v>4.0567188176863711</v>
      </c>
      <c r="J1878" s="1">
        <v>1.6582440283209387E-2</v>
      </c>
      <c r="K1878" s="1">
        <v>2.0345654480351016</v>
      </c>
      <c r="L1878" s="1">
        <v>1.9281046571167282</v>
      </c>
      <c r="M1878" s="1">
        <v>0.10480684886113099</v>
      </c>
      <c r="N1878" s="1">
        <v>0.64616788702843886</v>
      </c>
      <c r="O1878" s="1">
        <v>0.27311999999999997</v>
      </c>
      <c r="P1878" s="1">
        <v>0.15833542417241867</v>
      </c>
      <c r="Q1878" s="1">
        <v>0.37656114924840245</v>
      </c>
      <c r="R1878" s="2">
        <f t="shared" si="119"/>
        <v>15.516166308422541</v>
      </c>
      <c r="S1878" s="2">
        <f t="shared" si="118"/>
        <v>2.2094833124907298</v>
      </c>
      <c r="T1878" s="2">
        <f t="shared" si="120"/>
        <v>2.952199393006298</v>
      </c>
      <c r="U1878" s="2">
        <f t="shared" si="121"/>
        <v>20.67784901391957</v>
      </c>
    </row>
    <row r="1879" spans="1:21" x14ac:dyDescent="0.25">
      <c r="A1879">
        <v>3743273</v>
      </c>
      <c r="B1879">
        <v>51</v>
      </c>
      <c r="C1879" s="1">
        <f>0.619859195972236*(10.3/7.3)</f>
        <v>0.87459585185123767</v>
      </c>
      <c r="D1879" s="1">
        <f>0.817971119607428*(10.3/7.3)</f>
        <v>1.1541236345145904</v>
      </c>
      <c r="E1879" s="1">
        <f>2.85027225971155*(10.3/7.3)</f>
        <v>4.0216170239765674</v>
      </c>
      <c r="F1879" s="1">
        <f>7.47464865971653*(38.9/42.5)</f>
        <v>6.8415019497170082</v>
      </c>
      <c r="G1879" s="1">
        <v>0.36122630151033924</v>
      </c>
      <c r="H1879" s="1">
        <v>1.6219511427321771</v>
      </c>
      <c r="I1879" s="1">
        <v>5.7571229601126888</v>
      </c>
      <c r="J1879" s="1">
        <v>1.9535543698086029E-2</v>
      </c>
      <c r="K1879" s="1">
        <v>2.4457732142822239</v>
      </c>
      <c r="L1879" s="1">
        <v>2.2567884509599985</v>
      </c>
      <c r="M1879" s="1">
        <v>0.12126950467996632</v>
      </c>
      <c r="N1879" s="1">
        <v>0.76506194072221378</v>
      </c>
      <c r="O1879" s="1">
        <v>0.40540967320261434</v>
      </c>
      <c r="P1879" s="1">
        <v>0.1989722602282061</v>
      </c>
      <c r="Q1879" s="1">
        <v>0.57730230834985807</v>
      </c>
      <c r="R1879" s="2">
        <f t="shared" si="119"/>
        <v>21.209441172764464</v>
      </c>
      <c r="S1879" s="2">
        <f t="shared" si="118"/>
        <v>2.6642810182085159</v>
      </c>
      <c r="T1879" s="2">
        <f t="shared" si="120"/>
        <v>3.5485295695647925</v>
      </c>
      <c r="U1879" s="2">
        <f t="shared" si="121"/>
        <v>27.422251760537772</v>
      </c>
    </row>
    <row r="1880" spans="1:21" x14ac:dyDescent="0.25">
      <c r="A1880">
        <v>3743281</v>
      </c>
      <c r="B1880">
        <v>65</v>
      </c>
      <c r="C1880" s="1">
        <f>0.691434576540524*(10.3/7.3)</f>
        <v>0.97558577237909538</v>
      </c>
      <c r="D1880" s="1">
        <f>0.95800460476889*(10.3/7.3)</f>
        <v>1.3517051272766527</v>
      </c>
      <c r="E1880" s="1">
        <f>3.31519049767695*(10.3/7.3)</f>
        <v>4.6775975515167971</v>
      </c>
      <c r="F1880" s="1">
        <f>9.52334568492946*(38.9/42.5)</f>
        <v>8.7166622857354348</v>
      </c>
      <c r="G1880" s="1">
        <v>0.49236162822223001</v>
      </c>
      <c r="H1880" s="1">
        <v>3.5530603002776791</v>
      </c>
      <c r="I1880" s="1">
        <v>7.360856225940994</v>
      </c>
      <c r="J1880" s="1">
        <v>2.1483275342738802E-2</v>
      </c>
      <c r="K1880" s="1">
        <v>2.7029106519800994</v>
      </c>
      <c r="L1880" s="1">
        <v>2.4570189257645834</v>
      </c>
      <c r="M1880" s="1">
        <v>0.12948048453519248</v>
      </c>
      <c r="N1880" s="1">
        <v>0.83931448160481281</v>
      </c>
      <c r="O1880" s="1">
        <v>0.47858379487179498</v>
      </c>
      <c r="P1880" s="1">
        <v>0.2274488901655739</v>
      </c>
      <c r="Q1880" s="1">
        <v>0.78687931451041426</v>
      </c>
      <c r="R1880" s="2">
        <f t="shared" si="119"/>
        <v>27.914708205859299</v>
      </c>
      <c r="S1880" s="2">
        <f t="shared" si="118"/>
        <v>2.9518428174884122</v>
      </c>
      <c r="T1880" s="2">
        <f t="shared" si="120"/>
        <v>3.9043976867763837</v>
      </c>
      <c r="U1880" s="2">
        <f t="shared" si="121"/>
        <v>34.770948710124095</v>
      </c>
    </row>
    <row r="1881" spans="1:21" x14ac:dyDescent="0.25">
      <c r="A1881">
        <v>3743289</v>
      </c>
      <c r="B1881">
        <v>43</v>
      </c>
      <c r="C1881" s="1">
        <f>0.628008921963559*(10.3/7.3)</f>
        <v>0.88609478030474809</v>
      </c>
      <c r="D1881" s="1">
        <f>0.835259322757366*(10.3/7.3)</f>
        <v>1.1785165786850513</v>
      </c>
      <c r="E1881" s="1">
        <f>2.90594717739534*(10.3/7.3)</f>
        <v>4.1001720448180894</v>
      </c>
      <c r="F1881" s="1">
        <f>7.80417195797695*(38.9/42.5)</f>
        <v>7.1431126862424277</v>
      </c>
      <c r="G1881" s="1">
        <v>0.38406348907784887</v>
      </c>
      <c r="H1881" s="1">
        <v>6.4938006849587842</v>
      </c>
      <c r="I1881" s="1">
        <v>6.0227387674168513</v>
      </c>
      <c r="J1881" s="1">
        <v>2.124956969952102E-2</v>
      </c>
      <c r="K1881" s="1">
        <v>2.7028960199932528</v>
      </c>
      <c r="L1881" s="1">
        <v>2.4719133094019492</v>
      </c>
      <c r="M1881" s="1">
        <v>0.12725114648019975</v>
      </c>
      <c r="N1881" s="1">
        <v>0.83815117116182858</v>
      </c>
      <c r="O1881" s="1">
        <v>0.47369922480620141</v>
      </c>
      <c r="P1881" s="1">
        <v>0.23118550880879621</v>
      </c>
      <c r="Q1881" s="1">
        <v>0.6138000966997591</v>
      </c>
      <c r="R1881" s="2">
        <f t="shared" si="119"/>
        <v>26.822299128203561</v>
      </c>
      <c r="S1881" s="2">
        <f t="shared" si="118"/>
        <v>2.9553310985015702</v>
      </c>
      <c r="T1881" s="2">
        <f t="shared" si="120"/>
        <v>3.9110148518501791</v>
      </c>
      <c r="U1881" s="2">
        <f t="shared" si="121"/>
        <v>33.688645078555311</v>
      </c>
    </row>
    <row r="1882" spans="1:21" x14ac:dyDescent="0.25">
      <c r="A1882">
        <v>3743297</v>
      </c>
      <c r="B1882">
        <v>57</v>
      </c>
      <c r="C1882" s="1">
        <f>0.763188592422763*(10.3/7.3)</f>
        <v>1.0768277399937614</v>
      </c>
      <c r="D1882" s="1">
        <f>0.980436176096882*(10.3/7.3)</f>
        <v>1.3833551525750534</v>
      </c>
      <c r="E1882" s="1">
        <f>3.42322891305113*(10.3/7.3)</f>
        <v>4.8300353156748788</v>
      </c>
      <c r="F1882" s="1">
        <f>8.83127227127863*(38.9/42.5)</f>
        <v>8.0832115612409083</v>
      </c>
      <c r="G1882" s="1">
        <v>0.4201067533667408</v>
      </c>
      <c r="H1882" s="1">
        <v>4.7464238812607613</v>
      </c>
      <c r="I1882" s="1">
        <v>6.8295584455501004</v>
      </c>
      <c r="J1882" s="1">
        <v>2.4180306042450365E-2</v>
      </c>
      <c r="K1882" s="1">
        <v>2.8734382750297693</v>
      </c>
      <c r="L1882" s="1">
        <v>2.8267800252896778</v>
      </c>
      <c r="M1882" s="1">
        <v>0.14094382552789783</v>
      </c>
      <c r="N1882" s="1">
        <v>0.95055055556436707</v>
      </c>
      <c r="O1882" s="1">
        <v>0.51426713450292394</v>
      </c>
      <c r="P1882" s="1">
        <v>0.23832982843406467</v>
      </c>
      <c r="Q1882" s="1">
        <v>0.67140348711579656</v>
      </c>
      <c r="R1882" s="2">
        <f t="shared" si="119"/>
        <v>28.040922336778003</v>
      </c>
      <c r="S1882" s="2">
        <f t="shared" si="118"/>
        <v>3.1359484095062844</v>
      </c>
      <c r="T1882" s="2">
        <f t="shared" si="120"/>
        <v>4.4325415408848663</v>
      </c>
      <c r="U1882" s="2">
        <f t="shared" si="121"/>
        <v>35.60941228716915</v>
      </c>
    </row>
    <row r="1883" spans="1:21" x14ac:dyDescent="0.25">
      <c r="A1883">
        <v>3743321</v>
      </c>
      <c r="B1883">
        <v>6</v>
      </c>
      <c r="C1883" s="1">
        <f>0.789679888875391*(10.3/7.3)</f>
        <v>1.1142058706050038</v>
      </c>
      <c r="D1883" s="1">
        <f>1.06036109430036*(10.3/7.3)</f>
        <v>1.4961259275744789</v>
      </c>
      <c r="E1883" s="1">
        <f>3.67582190694067*(10.3/7.3)</f>
        <v>5.1864336495190271</v>
      </c>
      <c r="F1883" s="1">
        <f>10.4746539121938*(38.9/42.5)</f>
        <v>9.5873891102197639</v>
      </c>
      <c r="G1883" s="1">
        <v>0.53702906240876247</v>
      </c>
      <c r="H1883" s="1">
        <v>2.3865746204762712</v>
      </c>
      <c r="I1883" s="1">
        <v>8.1411898908730134</v>
      </c>
      <c r="J1883" s="1">
        <v>2.5715229169995728E-2</v>
      </c>
      <c r="K1883" s="1">
        <v>3.3244129732997583</v>
      </c>
      <c r="L1883" s="1">
        <v>3.0373281927199187</v>
      </c>
      <c r="M1883" s="1">
        <v>0.1615349520145575</v>
      </c>
      <c r="N1883" s="1">
        <v>1.0992472364744426</v>
      </c>
      <c r="O1883" s="1">
        <v>0.62132444444444446</v>
      </c>
      <c r="P1883" s="1">
        <v>0.27243368399768692</v>
      </c>
      <c r="Q1883" s="1">
        <v>0.85826562485418745</v>
      </c>
      <c r="R1883" s="2">
        <f t="shared" si="119"/>
        <v>29.307213756530505</v>
      </c>
      <c r="S1883" s="2">
        <f t="shared" si="118"/>
        <v>3.6225618864674409</v>
      </c>
      <c r="T1883" s="2">
        <f t="shared" si="120"/>
        <v>4.9194348256533633</v>
      </c>
      <c r="U1883" s="2">
        <f t="shared" si="121"/>
        <v>37.849210468651307</v>
      </c>
    </row>
    <row r="1884" spans="1:21" x14ac:dyDescent="0.25">
      <c r="A1884">
        <v>3743809</v>
      </c>
      <c r="B1884">
        <v>26</v>
      </c>
      <c r="C1884" s="1">
        <f>4.52873103205147*(10.3/7.3)</f>
        <v>6.3898533739904275</v>
      </c>
      <c r="D1884" s="1">
        <f>5.23891408027483*(10.3/7.3)</f>
        <v>7.3918924694288695</v>
      </c>
      <c r="E1884" s="1">
        <f>18.5799093537554*(10.3/7.3)</f>
        <v>26.215488540230261</v>
      </c>
      <c r="F1884" s="1">
        <f>37.7623079989467*(38.9/42.5)</f>
        <v>34.563618380212368</v>
      </c>
      <c r="G1884" s="1">
        <v>1.3928946711590044</v>
      </c>
      <c r="H1884" s="1">
        <v>8.4088258308258155</v>
      </c>
      <c r="I1884" s="1">
        <v>28.976307076367728</v>
      </c>
      <c r="J1884" s="1">
        <v>3.8570069352536943E-2</v>
      </c>
      <c r="K1884" s="1">
        <v>2.7420187290983238</v>
      </c>
      <c r="L1884" s="1">
        <v>9.7817361212595539</v>
      </c>
      <c r="M1884" s="1">
        <v>0.15949742848694531</v>
      </c>
      <c r="N1884" s="1">
        <v>1.8608472080895953</v>
      </c>
      <c r="O1884" s="1">
        <v>0.15837538461538461</v>
      </c>
      <c r="P1884" s="1">
        <v>0.12707962378909873</v>
      </c>
      <c r="Q1884" s="1">
        <v>2.2260873739984106</v>
      </c>
      <c r="R1884" s="2">
        <f t="shared" si="119"/>
        <v>115.56496771621289</v>
      </c>
      <c r="S1884" s="2">
        <f t="shared" si="118"/>
        <v>2.9076684222399596</v>
      </c>
      <c r="T1884" s="2">
        <f t="shared" si="120"/>
        <v>11.960456142451479</v>
      </c>
      <c r="U1884" s="2">
        <f t="shared" si="121"/>
        <v>130.43309228090433</v>
      </c>
    </row>
    <row r="1885" spans="1:21" x14ac:dyDescent="0.25">
      <c r="A1885">
        <v>3743817</v>
      </c>
      <c r="B1885">
        <v>15</v>
      </c>
      <c r="C1885" s="1">
        <f>5.11141152012484*(10.3/7.3)</f>
        <v>7.211991596888474</v>
      </c>
      <c r="D1885" s="1">
        <f>5.9256146409081*(10.3/7.3)</f>
        <v>8.360798739911429</v>
      </c>
      <c r="E1885" s="1">
        <f>21.0299020962851*(10.3/7.3)</f>
        <v>29.672327615306436</v>
      </c>
      <c r="F1885" s="1">
        <f>41.8945664814009*(38.9/42.5)</f>
        <v>38.345850261799875</v>
      </c>
      <c r="G1885" s="1">
        <v>1.5062063823570719</v>
      </c>
      <c r="H1885" s="1">
        <v>7.7102220725795139</v>
      </c>
      <c r="I1885" s="1">
        <v>32.01251273093434</v>
      </c>
      <c r="J1885" s="1">
        <v>4.0055843468141408E-2</v>
      </c>
      <c r="K1885" s="1">
        <v>2.7504509291835442</v>
      </c>
      <c r="L1885" s="1">
        <v>13.276614971093023</v>
      </c>
      <c r="M1885" s="1">
        <v>0.16144501653383758</v>
      </c>
      <c r="N1885" s="1">
        <v>1.8917562042989204</v>
      </c>
      <c r="O1885" s="1">
        <v>0.15872711111111112</v>
      </c>
      <c r="P1885" s="1">
        <v>0.12672688299547274</v>
      </c>
      <c r="Q1885" s="1">
        <v>2.4071791498857347</v>
      </c>
      <c r="R1885" s="2">
        <f t="shared" si="119"/>
        <v>127.22708854966288</v>
      </c>
      <c r="S1885" s="2">
        <f t="shared" si="118"/>
        <v>2.9172336556471583</v>
      </c>
      <c r="T1885" s="2">
        <f t="shared" si="120"/>
        <v>15.488543303036892</v>
      </c>
      <c r="U1885" s="2">
        <f t="shared" si="121"/>
        <v>145.63286550834692</v>
      </c>
    </row>
    <row r="1886" spans="1:21" x14ac:dyDescent="0.25">
      <c r="A1886">
        <v>3744017</v>
      </c>
      <c r="B1886">
        <v>33</v>
      </c>
      <c r="C1886" s="1">
        <f>5.52406597082866*(10.3/7.3)</f>
        <v>7.7942300684294787</v>
      </c>
      <c r="D1886" s="1">
        <f>6.06861383689959*(10.3/7.3)</f>
        <v>8.5625647287761382</v>
      </c>
      <c r="E1886" s="1">
        <f>21.5666319924978*(10.3/7.3)</f>
        <v>30.429631441469493</v>
      </c>
      <c r="F1886" s="1">
        <f>44.400146485285*(38.9/42.5)</f>
        <v>40.639192900649071</v>
      </c>
      <c r="G1886" s="1">
        <v>1.6443437419067419</v>
      </c>
      <c r="H1886" s="1">
        <v>8.0450109775608194</v>
      </c>
      <c r="I1886" s="1">
        <v>34.770599044072142</v>
      </c>
      <c r="J1886" s="1">
        <v>3.8229980033217134E-2</v>
      </c>
      <c r="K1886" s="1">
        <v>2.6361502183849486</v>
      </c>
      <c r="L1886" s="1">
        <v>4.9956240154141547</v>
      </c>
      <c r="M1886" s="1">
        <v>0.12673025921795028</v>
      </c>
      <c r="N1886" s="1">
        <v>1.6928690248920506</v>
      </c>
      <c r="O1886" s="1">
        <v>0.11184969696969697</v>
      </c>
      <c r="P1886" s="1">
        <v>9.1540913718241163E-2</v>
      </c>
      <c r="Q1886" s="1">
        <v>2.6279466194856629</v>
      </c>
      <c r="R1886" s="2">
        <f t="shared" si="119"/>
        <v>134.51351952234955</v>
      </c>
      <c r="S1886" s="2">
        <f t="shared" si="118"/>
        <v>2.7659211121364069</v>
      </c>
      <c r="T1886" s="2">
        <f t="shared" si="120"/>
        <v>6.9270729964938536</v>
      </c>
      <c r="U1886" s="2">
        <f t="shared" si="121"/>
        <v>144.2065136309798</v>
      </c>
    </row>
    <row r="1887" spans="1:21" x14ac:dyDescent="0.25">
      <c r="A1887">
        <v>3744025</v>
      </c>
      <c r="B1887">
        <v>7</v>
      </c>
      <c r="C1887" s="1">
        <f>6.52174384159602*(10.3/7.3)</f>
        <v>9.2019125436217823</v>
      </c>
      <c r="D1887" s="1">
        <f>7.0376855735157*(10.3/7.3)</f>
        <v>9.9298851242755735</v>
      </c>
      <c r="E1887" s="1">
        <f>25.1359809209398*(10.3/7.3)</f>
        <v>35.465836093928715</v>
      </c>
      <c r="F1887" s="1">
        <f>46.5716796361134*(38.9/42.5)</f>
        <v>42.626784419877907</v>
      </c>
      <c r="G1887" s="1">
        <v>1.473466097490336</v>
      </c>
      <c r="H1887" s="1">
        <v>9.7139968517007862</v>
      </c>
      <c r="I1887" s="1">
        <v>36.137884925197319</v>
      </c>
      <c r="J1887" s="1">
        <v>3.8661647947912513E-2</v>
      </c>
      <c r="K1887" s="1">
        <v>2.6450418171427623</v>
      </c>
      <c r="L1887" s="1">
        <v>5.0787379633573488</v>
      </c>
      <c r="M1887" s="1">
        <v>0.13118920700476897</v>
      </c>
      <c r="N1887" s="1">
        <v>1.7327361611351786</v>
      </c>
      <c r="O1887" s="1">
        <v>0.11644190476190477</v>
      </c>
      <c r="P1887" s="1">
        <v>9.2191315563146053E-2</v>
      </c>
      <c r="Q1887" s="1">
        <v>2.3548544937060187</v>
      </c>
      <c r="R1887" s="2">
        <f t="shared" si="119"/>
        <v>146.90462054979844</v>
      </c>
      <c r="S1887" s="2">
        <f t="shared" si="118"/>
        <v>2.7758947806538208</v>
      </c>
      <c r="T1887" s="2">
        <f t="shared" si="120"/>
        <v>7.0591052362592013</v>
      </c>
      <c r="U1887" s="2">
        <f t="shared" si="121"/>
        <v>156.73962056671147</v>
      </c>
    </row>
    <row r="1888" spans="1:21" x14ac:dyDescent="0.25">
      <c r="A1888">
        <v>3755509</v>
      </c>
      <c r="B1888">
        <v>43</v>
      </c>
      <c r="C1888" s="1">
        <f>0.570723445030855*(10.3/7.3)</f>
        <v>0.80526732655038469</v>
      </c>
      <c r="D1888" s="1">
        <f>0.755325013936084*(10.3/7.3)</f>
        <v>1.0657325539098166</v>
      </c>
      <c r="E1888" s="1">
        <f>2.6309470055734*(10.3/7.3)</f>
        <v>3.7121581037542457</v>
      </c>
      <c r="F1888" s="1">
        <f>6.93542769387491*(38.9/42.5)</f>
        <v>6.3479561715702122</v>
      </c>
      <c r="G1888" s="1">
        <v>0.33657175389493643</v>
      </c>
      <c r="H1888" s="1">
        <v>1.5514993302348663</v>
      </c>
      <c r="I1888" s="1">
        <v>5.3425459116634668</v>
      </c>
      <c r="J1888" s="1">
        <v>1.8350770779240862E-2</v>
      </c>
      <c r="K1888" s="1">
        <v>2.325497949919598</v>
      </c>
      <c r="L1888" s="1">
        <v>2.1469048509921733</v>
      </c>
      <c r="M1888" s="1">
        <v>0.11492784915725013</v>
      </c>
      <c r="N1888" s="1">
        <v>0.72776168195982438</v>
      </c>
      <c r="O1888" s="1">
        <v>0.38566325581395355</v>
      </c>
      <c r="P1888" s="1">
        <v>0.18913934741704896</v>
      </c>
      <c r="Q1888" s="1">
        <v>0.53790006330241025</v>
      </c>
      <c r="R1888" s="2">
        <f t="shared" si="119"/>
        <v>19.699631214880338</v>
      </c>
      <c r="S1888" s="2">
        <f t="shared" si="118"/>
        <v>2.5329880681158876</v>
      </c>
      <c r="T1888" s="2">
        <f t="shared" si="120"/>
        <v>3.3752576379232013</v>
      </c>
      <c r="U1888" s="2">
        <f t="shared" si="121"/>
        <v>25.607876920919427</v>
      </c>
    </row>
    <row r="1889" spans="1:21" x14ac:dyDescent="0.25">
      <c r="A1889">
        <v>3755517</v>
      </c>
      <c r="B1889">
        <v>59</v>
      </c>
      <c r="C1889" s="1">
        <f>0.582937188094854*(10.3/7.3)</f>
        <v>0.82250041607904023</v>
      </c>
      <c r="D1889" s="1">
        <f>0.776285882618969*(10.3/7.3)</f>
        <v>1.0953074782158057</v>
      </c>
      <c r="E1889" s="1">
        <f>2.70124662376236*(10.3/7.3)</f>
        <v>3.8113479759934701</v>
      </c>
      <c r="F1889" s="1">
        <f>7.22283969600608*(38.9/42.5)</f>
        <v>6.6110226864620358</v>
      </c>
      <c r="G1889" s="1">
        <v>0.35440792017221484</v>
      </c>
      <c r="H1889" s="1">
        <v>3.8204536190074676</v>
      </c>
      <c r="I1889" s="1">
        <v>5.5685292951351499</v>
      </c>
      <c r="J1889" s="1">
        <v>1.9347570758760781E-2</v>
      </c>
      <c r="K1889" s="1">
        <v>2.449921696521185</v>
      </c>
      <c r="L1889" s="1">
        <v>2.2459139905363954</v>
      </c>
      <c r="M1889" s="1">
        <v>0.11821126995565891</v>
      </c>
      <c r="N1889" s="1">
        <v>0.76451257926567817</v>
      </c>
      <c r="O1889" s="1">
        <v>0.39923615819209041</v>
      </c>
      <c r="P1889" s="1">
        <v>0.20479968217407862</v>
      </c>
      <c r="Q1889" s="1">
        <v>0.56640535187340346</v>
      </c>
      <c r="R1889" s="2">
        <f t="shared" si="119"/>
        <v>22.649974742938586</v>
      </c>
      <c r="S1889" s="2">
        <f t="shared" si="118"/>
        <v>2.6740689494540244</v>
      </c>
      <c r="T1889" s="2">
        <f t="shared" si="120"/>
        <v>3.5278739979498224</v>
      </c>
      <c r="U1889" s="2">
        <f t="shared" si="121"/>
        <v>28.851917690342432</v>
      </c>
    </row>
    <row r="1890" spans="1:21" x14ac:dyDescent="0.25">
      <c r="A1890">
        <v>3755525</v>
      </c>
      <c r="B1890">
        <v>62</v>
      </c>
      <c r="C1890" s="1">
        <f>0.456074954238323*(10.3/7.3)</f>
        <v>0.64350301762393536</v>
      </c>
      <c r="D1890" s="1">
        <f>0.584044600447507*(10.3/7.3)</f>
        <v>0.8240629293985372</v>
      </c>
      <c r="E1890" s="1">
        <f>2.04363075663803*(10.3/7.3)</f>
        <v>2.8834790127906511</v>
      </c>
      <c r="F1890" s="1">
        <f>5.06118354097814*(38.9/42.5)</f>
        <v>4.6324715233894045</v>
      </c>
      <c r="G1890" s="1">
        <v>0.23296673658425601</v>
      </c>
      <c r="H1890" s="1">
        <v>4.7120174876155199</v>
      </c>
      <c r="I1890" s="1">
        <v>3.8913882535960407</v>
      </c>
      <c r="J1890" s="1">
        <v>1.6865366159537463E-2</v>
      </c>
      <c r="K1890" s="1">
        <v>2.2022202483063875</v>
      </c>
      <c r="L1890" s="1">
        <v>1.9739056329046358</v>
      </c>
      <c r="M1890" s="1">
        <v>0.10179153255742782</v>
      </c>
      <c r="N1890" s="1">
        <v>0.68439154314663264</v>
      </c>
      <c r="O1890" s="1">
        <v>0.31252387096774187</v>
      </c>
      <c r="P1890" s="1">
        <v>0.19196830695981351</v>
      </c>
      <c r="Q1890" s="1">
        <v>0.37232126851365149</v>
      </c>
      <c r="R1890" s="2">
        <f t="shared" si="119"/>
        <v>18.192210229511996</v>
      </c>
      <c r="S1890" s="2">
        <f t="shared" si="118"/>
        <v>2.4110539214257387</v>
      </c>
      <c r="T1890" s="2">
        <f t="shared" si="120"/>
        <v>3.0726125795764383</v>
      </c>
      <c r="U1890" s="2">
        <f t="shared" si="121"/>
        <v>23.675876730514176</v>
      </c>
    </row>
    <row r="1891" spans="1:21" x14ac:dyDescent="0.25">
      <c r="A1891">
        <v>3755557</v>
      </c>
      <c r="B1891">
        <v>21</v>
      </c>
      <c r="C1891" s="1">
        <f>1.13094010216521*(10.3/7.3)</f>
        <v>1.5957100071646118</v>
      </c>
      <c r="D1891" s="1">
        <f>2.14329448189129*(10.3/7.3)</f>
        <v>3.0241004333534711</v>
      </c>
      <c r="E1891" s="1">
        <f>7.13195792664103*(10.3/7.3)</f>
        <v>10.062899540329131</v>
      </c>
      <c r="F1891" s="1">
        <f>30.9321288316547*(38.9/42.5)</f>
        <v>28.31199556591455</v>
      </c>
      <c r="G1891" s="1">
        <v>1.9673549296755828</v>
      </c>
      <c r="H1891" s="1">
        <v>3.7170845928552758</v>
      </c>
      <c r="I1891" s="1">
        <v>24.241017216919776</v>
      </c>
      <c r="J1891" s="1">
        <v>3.3340266321717132E-2</v>
      </c>
      <c r="K1891" s="1">
        <v>4.2025371478325937</v>
      </c>
      <c r="L1891" s="1">
        <v>4.1233176682401851</v>
      </c>
      <c r="M1891" s="1">
        <v>0.20950299062824107</v>
      </c>
      <c r="N1891" s="1">
        <v>1.3899620783638564</v>
      </c>
      <c r="O1891" s="1">
        <v>0.91652063492063496</v>
      </c>
      <c r="P1891" s="1">
        <v>0.34568601340601335</v>
      </c>
      <c r="Q1891" s="1">
        <v>3.1441745451436289</v>
      </c>
      <c r="R1891" s="2">
        <f t="shared" si="119"/>
        <v>76.064336831356016</v>
      </c>
      <c r="S1891" s="2">
        <f t="shared" si="118"/>
        <v>4.5815634275603241</v>
      </c>
      <c r="T1891" s="2">
        <f t="shared" si="120"/>
        <v>6.6393033721529182</v>
      </c>
      <c r="U1891" s="2">
        <f t="shared" si="121"/>
        <v>87.285203631069265</v>
      </c>
    </row>
    <row r="1892" spans="1:21" x14ac:dyDescent="0.25">
      <c r="A1892">
        <v>3755893</v>
      </c>
      <c r="B1892">
        <v>30</v>
      </c>
      <c r="C1892" s="1">
        <f>2.59820349584403*(10.3/7.3)</f>
        <v>3.6659583571497953</v>
      </c>
      <c r="D1892" s="1">
        <f>3.63036447133578*(10.3/7.3)</f>
        <v>5.1222950759943204</v>
      </c>
      <c r="E1892" s="1">
        <f>12.6176758991334*(10.3/7.3)</f>
        <v>17.803022159051274</v>
      </c>
      <c r="F1892" s="1">
        <f>33.2140646915428*(38.9/42.5)</f>
        <v>30.400638035317993</v>
      </c>
      <c r="G1892" s="1">
        <v>1.6207258494299543</v>
      </c>
      <c r="H1892" s="1">
        <v>6.795207045319569</v>
      </c>
      <c r="I1892" s="1">
        <v>25.250963637204482</v>
      </c>
      <c r="J1892" s="1">
        <v>4.6128150924971377E-2</v>
      </c>
      <c r="K1892" s="1">
        <v>4.0349510377501581</v>
      </c>
      <c r="L1892" s="1">
        <v>6.851899912033252</v>
      </c>
      <c r="M1892" s="1">
        <v>0.19811604400235863</v>
      </c>
      <c r="N1892" s="1">
        <v>3.0492534343406996</v>
      </c>
      <c r="O1892" s="1">
        <v>0.23990933333333336</v>
      </c>
      <c r="P1892" s="1">
        <v>0.19691969846074978</v>
      </c>
      <c r="Q1892" s="1">
        <v>2.5902011292259575</v>
      </c>
      <c r="R1892" s="2">
        <f t="shared" si="119"/>
        <v>93.249011288693339</v>
      </c>
      <c r="S1892" s="2">
        <f t="shared" si="118"/>
        <v>4.2779988871358796</v>
      </c>
      <c r="T1892" s="2">
        <f t="shared" si="120"/>
        <v>10.339178723709644</v>
      </c>
      <c r="U1892" s="2">
        <f t="shared" si="121"/>
        <v>107.86618889953886</v>
      </c>
    </row>
    <row r="1893" spans="1:21" x14ac:dyDescent="0.25">
      <c r="A1893">
        <v>3756045</v>
      </c>
      <c r="B1893">
        <v>30</v>
      </c>
      <c r="C1893" s="1">
        <f>4.70024161160986*(10.3/7.3)</f>
        <v>6.6318477533673432</v>
      </c>
      <c r="D1893" s="1">
        <f>5.48062462883286*(10.3/7.3)</f>
        <v>7.7329361201340356</v>
      </c>
      <c r="E1893" s="1">
        <f>19.4305806294665*(10.3/7.3)</f>
        <v>27.415750751165049</v>
      </c>
      <c r="F1893" s="1">
        <f>39.4458322242019*(38.9/42.5)</f>
        <v>36.104538200504791</v>
      </c>
      <c r="G1893" s="1">
        <v>1.4555631701849296</v>
      </c>
      <c r="H1893" s="1">
        <v>7.8637323029237818</v>
      </c>
      <c r="I1893" s="1">
        <v>30.177819271100205</v>
      </c>
      <c r="J1893" s="1">
        <v>3.736395500456207E-2</v>
      </c>
      <c r="K1893" s="1">
        <v>2.6530430791045001</v>
      </c>
      <c r="L1893" s="1">
        <v>10.644596360006618</v>
      </c>
      <c r="M1893" s="1">
        <v>0.15641017635242968</v>
      </c>
      <c r="N1893" s="1">
        <v>1.7916213265363934</v>
      </c>
      <c r="O1893" s="1">
        <v>0.15412799999999996</v>
      </c>
      <c r="P1893" s="1">
        <v>0.12254711785001721</v>
      </c>
      <c r="Q1893" s="1">
        <v>2.3262425094279724</v>
      </c>
      <c r="R1893" s="2">
        <f t="shared" si="119"/>
        <v>119.70843007880811</v>
      </c>
      <c r="S1893" s="2">
        <f t="shared" si="118"/>
        <v>2.8129541519590795</v>
      </c>
      <c r="T1893" s="2">
        <f t="shared" si="120"/>
        <v>12.746755862895441</v>
      </c>
      <c r="U1893" s="2">
        <f t="shared" si="121"/>
        <v>135.26814009366262</v>
      </c>
    </row>
    <row r="1894" spans="1:21" x14ac:dyDescent="0.25">
      <c r="A1894">
        <v>3756053</v>
      </c>
      <c r="B1894">
        <v>3</v>
      </c>
      <c r="C1894" s="1">
        <f>6.23193913648468*(10.3/7.3)</f>
        <v>8.7930100144920775</v>
      </c>
      <c r="D1894" s="1">
        <f>7.28633551076735*(10.3/7.3)</f>
        <v>10.280719967247085</v>
      </c>
      <c r="E1894" s="1">
        <f>25.8489026494472*(10.3/7.3)</f>
        <v>36.471739354699515</v>
      </c>
      <c r="F1894" s="1">
        <f>51.4725097943218*(38.9/42.5)</f>
        <v>47.112485435273342</v>
      </c>
      <c r="G1894" s="1">
        <v>1.853341281610474</v>
      </c>
      <c r="H1894" s="1">
        <v>10.02239293808586</v>
      </c>
      <c r="I1894" s="1">
        <v>39.208223922305493</v>
      </c>
      <c r="J1894" s="1">
        <v>4.3317452756189929E-2</v>
      </c>
      <c r="K1894" s="1">
        <v>2.8553000685834284</v>
      </c>
      <c r="L1894" s="1">
        <v>12.07987137386854</v>
      </c>
      <c r="M1894" s="1">
        <v>0.16817680886633812</v>
      </c>
      <c r="N1894" s="1">
        <v>1.9352451488680664</v>
      </c>
      <c r="O1894" s="1">
        <v>0.16492444444444446</v>
      </c>
      <c r="P1894" s="1">
        <v>0.12872396162899924</v>
      </c>
      <c r="Q1894" s="1">
        <v>2.961960952345509</v>
      </c>
      <c r="R1894" s="2">
        <f t="shared" si="119"/>
        <v>156.70387386605935</v>
      </c>
      <c r="S1894" s="2">
        <f t="shared" si="118"/>
        <v>3.0273414829686178</v>
      </c>
      <c r="T1894" s="2">
        <f t="shared" si="120"/>
        <v>14.34821777604739</v>
      </c>
      <c r="U1894" s="2">
        <f t="shared" si="121"/>
        <v>174.07943312507535</v>
      </c>
    </row>
    <row r="1895" spans="1:21" x14ac:dyDescent="0.25">
      <c r="A1895">
        <v>3756221</v>
      </c>
      <c r="B1895">
        <v>12</v>
      </c>
      <c r="C1895" s="1">
        <f>5.05498684750009*(10.3/7.3)</f>
        <v>7.1323787026371077</v>
      </c>
      <c r="D1895" s="1">
        <f>5.59124313237152*(10.3/7.3)</f>
        <v>7.8890142826611918</v>
      </c>
      <c r="E1895" s="1">
        <f>19.9484637446678*(10.3/7.3)</f>
        <v>28.14646254384629</v>
      </c>
      <c r="F1895" s="1">
        <f>36.7639958717195*(38.9/42.5)</f>
        <v>33.649869162585581</v>
      </c>
      <c r="G1895" s="1">
        <v>1.1620042114921707</v>
      </c>
      <c r="H1895" s="1">
        <v>3.6882204466995776</v>
      </c>
      <c r="I1895" s="1">
        <v>28.219588068557318</v>
      </c>
      <c r="J1895" s="1">
        <v>6.578663105191361E-2</v>
      </c>
      <c r="K1895" s="1">
        <v>2.3990823359065181</v>
      </c>
      <c r="L1895" s="1">
        <v>8.5571620117440439</v>
      </c>
      <c r="M1895" s="1">
        <v>0.13223432472598576</v>
      </c>
      <c r="N1895" s="1">
        <v>2.471696174175873</v>
      </c>
      <c r="O1895" s="1">
        <v>0.11823111111111111</v>
      </c>
      <c r="P1895" s="1">
        <v>9.614825179958382E-2</v>
      </c>
      <c r="Q1895" s="1">
        <v>1.8570843562660286</v>
      </c>
      <c r="R1895" s="2">
        <f t="shared" si="119"/>
        <v>111.74462177474527</v>
      </c>
      <c r="S1895" s="2">
        <f t="shared" si="118"/>
        <v>2.5610172187580154</v>
      </c>
      <c r="T1895" s="2">
        <f t="shared" si="120"/>
        <v>11.279323621757014</v>
      </c>
      <c r="U1895" s="2">
        <f t="shared" si="121"/>
        <v>125.5849626152603</v>
      </c>
    </row>
    <row r="1896" spans="1:21" x14ac:dyDescent="0.25">
      <c r="A1896">
        <v>3756245</v>
      </c>
      <c r="B1896">
        <v>16</v>
      </c>
      <c r="C1896" s="1">
        <f>6.00151073078034*(10.3/7.3)</f>
        <v>8.4678850037037741</v>
      </c>
      <c r="D1896" s="1">
        <f>6.45978870284258*(10.3/7.3)</f>
        <v>9.1144963889422765</v>
      </c>
      <c r="E1896" s="1">
        <f>23.0116538059672*(10.3/7.3)</f>
        <v>32.46849783581667</v>
      </c>
      <c r="F1896" s="1">
        <f>45.8240671289112*(38.9/42.5)</f>
        <v>41.942499089756375</v>
      </c>
      <c r="G1896" s="1">
        <v>1.6155265154119276</v>
      </c>
      <c r="H1896" s="1">
        <v>8.6040888542112501</v>
      </c>
      <c r="I1896" s="1">
        <v>35.980973600372607</v>
      </c>
      <c r="J1896" s="1">
        <v>4.2935918018353385E-2</v>
      </c>
      <c r="K1896" s="1">
        <v>2.7154532449274762</v>
      </c>
      <c r="L1896" s="1">
        <v>5.6741936832699569</v>
      </c>
      <c r="M1896" s="1">
        <v>0.13225330196765409</v>
      </c>
      <c r="N1896" s="1">
        <v>1.7832806519987809</v>
      </c>
      <c r="O1896" s="1">
        <v>0.11756333333333333</v>
      </c>
      <c r="P1896" s="1">
        <v>9.4944001594621658E-2</v>
      </c>
      <c r="Q1896" s="1">
        <v>2.5818916912976042</v>
      </c>
      <c r="R1896" s="2">
        <f t="shared" si="119"/>
        <v>140.77585897951249</v>
      </c>
      <c r="S1896" s="2">
        <f t="shared" si="118"/>
        <v>2.8533331645404512</v>
      </c>
      <c r="T1896" s="2">
        <f t="shared" si="120"/>
        <v>7.7072909705697246</v>
      </c>
      <c r="U1896" s="2">
        <f t="shared" si="121"/>
        <v>151.33648311462267</v>
      </c>
    </row>
    <row r="1897" spans="1:21" x14ac:dyDescent="0.25">
      <c r="A1897">
        <v>3756253</v>
      </c>
      <c r="B1897">
        <v>2</v>
      </c>
      <c r="C1897" s="1">
        <f>6.23127531680674*(10.3/7.3)</f>
        <v>8.7920733922067651</v>
      </c>
      <c r="D1897" s="1">
        <f>6.81193117304965*(10.3/7.3)</f>
        <v>9.6113549427960852</v>
      </c>
      <c r="E1897" s="1">
        <f>24.2773198888495*(10.3/7.3)</f>
        <v>34.254300665089083</v>
      </c>
      <c r="F1897" s="1">
        <f>46.7975325700297*(38.9/42.5)</f>
        <v>42.833506281744803</v>
      </c>
      <c r="G1897" s="1">
        <v>1.5815274309690304</v>
      </c>
      <c r="H1897" s="1">
        <v>6.7299288073248871</v>
      </c>
      <c r="I1897" s="1">
        <v>36.352074939178621</v>
      </c>
      <c r="J1897" s="1">
        <v>3.675463094502552E-2</v>
      </c>
      <c r="K1897" s="1">
        <v>2.8127437453328108</v>
      </c>
      <c r="L1897" s="1">
        <v>5.5188161433177747</v>
      </c>
      <c r="M1897" s="1">
        <v>0.12680064359238027</v>
      </c>
      <c r="N1897" s="1">
        <v>1.5437726385371502</v>
      </c>
      <c r="O1897" s="1">
        <v>0.11112</v>
      </c>
      <c r="P1897" s="1">
        <v>8.9267659833493024E-2</v>
      </c>
      <c r="Q1897" s="1">
        <v>2.5275552549733389</v>
      </c>
      <c r="R1897" s="2">
        <f t="shared" si="119"/>
        <v>142.68232171428261</v>
      </c>
      <c r="S1897" s="2">
        <f t="shared" si="118"/>
        <v>2.9387660361113297</v>
      </c>
      <c r="T1897" s="2">
        <f t="shared" si="120"/>
        <v>7.3005094254473049</v>
      </c>
      <c r="U1897" s="2">
        <f t="shared" si="121"/>
        <v>152.92159717584124</v>
      </c>
    </row>
    <row r="1898" spans="1:21" x14ac:dyDescent="0.25">
      <c r="A1898">
        <v>3756261</v>
      </c>
      <c r="B1898">
        <v>2</v>
      </c>
      <c r="C1898" s="1">
        <f>5.22359704569641*(10.3/7.3)</f>
        <v>7.3702807631058969</v>
      </c>
      <c r="D1898" s="1">
        <f>5.6749466743052*(10.3/7.3)</f>
        <v>8.0071165404580249</v>
      </c>
      <c r="E1898" s="1">
        <f>20.2690283649517*(10.3/7.3)</f>
        <v>28.598766049178405</v>
      </c>
      <c r="F1898" s="1">
        <f>37.1867532021405*(38.9/42.5)</f>
        <v>34.036816460312117</v>
      </c>
      <c r="G1898" s="1">
        <v>1.1598583126713171</v>
      </c>
      <c r="H1898" s="1">
        <v>6.5283836471354704</v>
      </c>
      <c r="I1898" s="1">
        <v>28.731358184433297</v>
      </c>
      <c r="J1898" s="1">
        <v>3.5965395046182902E-2</v>
      </c>
      <c r="K1898" s="1">
        <v>2.845533255822577</v>
      </c>
      <c r="L1898" s="1">
        <v>5.5601586728119949</v>
      </c>
      <c r="M1898" s="1">
        <v>0.12454996462564596</v>
      </c>
      <c r="N1898" s="1">
        <v>1.5854200675471244</v>
      </c>
      <c r="O1898" s="1">
        <v>0.10952000000000001</v>
      </c>
      <c r="P1898" s="1">
        <v>8.9732655732069205E-2</v>
      </c>
      <c r="Q1898" s="1">
        <v>1.8536548376025639</v>
      </c>
      <c r="R1898" s="2">
        <f t="shared" si="119"/>
        <v>116.2862347948971</v>
      </c>
      <c r="S1898" s="2">
        <f t="shared" si="118"/>
        <v>2.9712313066008291</v>
      </c>
      <c r="T1898" s="2">
        <f t="shared" si="120"/>
        <v>7.3796487049847652</v>
      </c>
      <c r="U1898" s="2">
        <f t="shared" si="121"/>
        <v>126.63711480648269</v>
      </c>
    </row>
    <row r="1899" spans="1:21" x14ac:dyDescent="0.25">
      <c r="A1899">
        <v>3756317</v>
      </c>
      <c r="B1899">
        <v>2</v>
      </c>
      <c r="C1899" s="1">
        <f>4.4987059573878*(10.3/7.3)</f>
        <v>6.3474892275471673</v>
      </c>
      <c r="D1899" s="1">
        <f>4.88857166364847*(10.3/7.3)</f>
        <v>6.8975737172026426</v>
      </c>
      <c r="E1899" s="1">
        <f>17.4530682827614*(10.3/7.3)</f>
        <v>24.625562097594795</v>
      </c>
      <c r="F1899" s="1">
        <f>32.3764636204391*(38.9/42.5)</f>
        <v>29.633986702001888</v>
      </c>
      <c r="G1899" s="1">
        <v>1.028690247246647</v>
      </c>
      <c r="H1899" s="1">
        <v>3.4732949272642539</v>
      </c>
      <c r="I1899" s="1">
        <v>25.057015377724372</v>
      </c>
      <c r="J1899" s="1">
        <v>2.4954281296201232E-2</v>
      </c>
      <c r="K1899" s="1">
        <v>1.9688768537318213</v>
      </c>
      <c r="L1899" s="1">
        <v>2.705007712806645</v>
      </c>
      <c r="M1899" s="1">
        <v>9.8605741586997794E-2</v>
      </c>
      <c r="N1899" s="1">
        <v>1.0411521833589912</v>
      </c>
      <c r="O1899" s="1">
        <v>8.6400000000000005E-2</v>
      </c>
      <c r="P1899" s="1">
        <v>7.2230322748420062E-2</v>
      </c>
      <c r="Q1899" s="1">
        <v>1.6440255092982961</v>
      </c>
      <c r="R1899" s="2">
        <f t="shared" si="119"/>
        <v>98.707637805880054</v>
      </c>
      <c r="S1899" s="2">
        <f t="shared" si="118"/>
        <v>2.0660614577764425</v>
      </c>
      <c r="T1899" s="2">
        <f t="shared" si="120"/>
        <v>3.9311656377526334</v>
      </c>
      <c r="U1899" s="2">
        <f t="shared" si="121"/>
        <v>104.70486490140912</v>
      </c>
    </row>
    <row r="1900" spans="1:21" x14ac:dyDescent="0.25">
      <c r="A1900">
        <v>3756325</v>
      </c>
      <c r="B1900">
        <v>11</v>
      </c>
      <c r="C1900" s="1">
        <f>4.46992032226265*(10.3/7.3)</f>
        <v>6.306873879356897</v>
      </c>
      <c r="D1900" s="1">
        <f>4.84303440441*(10.3/7.3)</f>
        <v>6.8333225158113668</v>
      </c>
      <c r="E1900" s="1">
        <f>17.2980572664143*(10.3/7.3)</f>
        <v>24.406847923844882</v>
      </c>
      <c r="F1900" s="1">
        <f>31.8402085043253*(38.9/42.5)</f>
        <v>29.143155548664808</v>
      </c>
      <c r="G1900" s="1">
        <v>0.99772590267028605</v>
      </c>
      <c r="H1900" s="1">
        <v>2.670870355401032</v>
      </c>
      <c r="I1900" s="1">
        <v>24.640672122050148</v>
      </c>
      <c r="J1900" s="1">
        <v>2.7772154336790342E-2</v>
      </c>
      <c r="K1900" s="1">
        <v>2.4845226895319574</v>
      </c>
      <c r="L1900" s="1">
        <v>3.0761247521692909</v>
      </c>
      <c r="M1900" s="1">
        <v>0.10744150581751452</v>
      </c>
      <c r="N1900" s="1">
        <v>1.2098336150593296</v>
      </c>
      <c r="O1900" s="1">
        <v>9.5621818181818197E-2</v>
      </c>
      <c r="P1900" s="1">
        <v>7.9403760388145936E-2</v>
      </c>
      <c r="Q1900" s="1">
        <v>1.5945391138566229</v>
      </c>
      <c r="R1900" s="2">
        <f t="shared" si="119"/>
        <v>96.594007361656054</v>
      </c>
      <c r="S1900" s="2">
        <f t="shared" si="118"/>
        <v>2.5916986042568935</v>
      </c>
      <c r="T1900" s="2">
        <f t="shared" si="120"/>
        <v>4.4890216912279532</v>
      </c>
      <c r="U1900" s="2">
        <f t="shared" si="121"/>
        <v>103.67472765714089</v>
      </c>
    </row>
    <row r="1901" spans="1:21" x14ac:dyDescent="0.25">
      <c r="A1901">
        <v>3767745</v>
      </c>
      <c r="B1901">
        <v>32</v>
      </c>
      <c r="C1901" s="1">
        <f>0.490023388508072*(10.3/7.3)</f>
        <v>0.69140286323741684</v>
      </c>
      <c r="D1901" s="1">
        <f>0.635283006276719*(10.3/7.3)</f>
        <v>0.89635821433564489</v>
      </c>
      <c r="E1901" s="1">
        <f>2.21920123481374*(10.3/7.3)</f>
        <v>3.1312017422714442</v>
      </c>
      <c r="F1901" s="1">
        <f>5.62440053585343*(38.9/42.5)</f>
        <v>5.1479807257576065</v>
      </c>
      <c r="G1901" s="1">
        <v>0.26421043935067973</v>
      </c>
      <c r="H1901" s="1">
        <v>1.3485470645423845</v>
      </c>
      <c r="I1901" s="1">
        <v>4.3270249561517948</v>
      </c>
      <c r="J1901" s="1">
        <v>1.6261813199304576E-2</v>
      </c>
      <c r="K1901" s="1">
        <v>2.0512509443910556</v>
      </c>
      <c r="L1901" s="1">
        <v>1.9221616263948451</v>
      </c>
      <c r="M1901" s="1">
        <v>0.103676801363677</v>
      </c>
      <c r="N1901" s="1">
        <v>0.64735571846332474</v>
      </c>
      <c r="O1901" s="1">
        <v>0.30066000000000004</v>
      </c>
      <c r="P1901" s="1">
        <v>0.16376411951538938</v>
      </c>
      <c r="Q1901" s="1">
        <v>0.42225412681615521</v>
      </c>
      <c r="R1901" s="2">
        <f t="shared" si="119"/>
        <v>16.228980132463128</v>
      </c>
      <c r="S1901" s="2">
        <f t="shared" si="118"/>
        <v>2.2312768771057492</v>
      </c>
      <c r="T1901" s="2">
        <f t="shared" si="120"/>
        <v>2.9738541462218469</v>
      </c>
      <c r="U1901" s="2">
        <f t="shared" si="121"/>
        <v>21.434111155790724</v>
      </c>
    </row>
    <row r="1902" spans="1:21" x14ac:dyDescent="0.25">
      <c r="A1902">
        <v>3767753</v>
      </c>
      <c r="B1902">
        <v>61</v>
      </c>
      <c r="C1902" s="1">
        <f>0.468338929762207*(10.3/7.3)</f>
        <v>0.66080698308914187</v>
      </c>
      <c r="D1902" s="1">
        <f>0.60197969334181*(10.3/7.3)</f>
        <v>0.84936860841378692</v>
      </c>
      <c r="E1902" s="1">
        <f>2.10522229209114*(10.3/7.3)</f>
        <v>2.9703821381559892</v>
      </c>
      <c r="F1902" s="1">
        <f>5.25555853995777*(38.9/42.5)</f>
        <v>4.8103818165731145</v>
      </c>
      <c r="G1902" s="1">
        <v>0.243629873505261</v>
      </c>
      <c r="H1902" s="1">
        <v>2.452545784681988</v>
      </c>
      <c r="I1902" s="1">
        <v>4.0422140084420581</v>
      </c>
      <c r="J1902" s="1">
        <v>1.6832997987037267E-2</v>
      </c>
      <c r="K1902" s="1">
        <v>2.1379130642592683</v>
      </c>
      <c r="L1902" s="1">
        <v>1.9839341616309498</v>
      </c>
      <c r="M1902" s="1">
        <v>0.10549055367546648</v>
      </c>
      <c r="N1902" s="1">
        <v>0.67494713809905738</v>
      </c>
      <c r="O1902" s="1">
        <v>0.30906841530054657</v>
      </c>
      <c r="P1902" s="1">
        <v>0.17576608230664365</v>
      </c>
      <c r="Q1902" s="1">
        <v>0.3893628115380886</v>
      </c>
      <c r="R1902" s="2">
        <f t="shared" si="119"/>
        <v>16.418692024399427</v>
      </c>
      <c r="S1902" s="2">
        <f t="shared" si="118"/>
        <v>2.3305121445529493</v>
      </c>
      <c r="T1902" s="2">
        <f t="shared" si="120"/>
        <v>3.0734402687060207</v>
      </c>
      <c r="U1902" s="2">
        <f t="shared" si="121"/>
        <v>21.822644437658397</v>
      </c>
    </row>
    <row r="1903" spans="1:21" x14ac:dyDescent="0.25">
      <c r="A1903">
        <v>3767761</v>
      </c>
      <c r="B1903">
        <v>32</v>
      </c>
      <c r="C1903" s="1">
        <f>0.46551848509698*(10.3/7.3)</f>
        <v>0.65682745157519129</v>
      </c>
      <c r="D1903" s="1">
        <f>0.590448212629405*(10.3/7.3)</f>
        <v>0.83309816302505069</v>
      </c>
      <c r="E1903" s="1">
        <f>2.06806520135766*(10.3/7.3)</f>
        <v>2.9179550101347802</v>
      </c>
      <c r="F1903" s="1">
        <f>5.06310609411605*(38.9/42.5)</f>
        <v>4.6342312249673929</v>
      </c>
      <c r="G1903" s="1">
        <v>0.23050641599564944</v>
      </c>
      <c r="H1903" s="1">
        <v>3.1206748740828556</v>
      </c>
      <c r="I1903" s="1">
        <v>3.8954801112989164</v>
      </c>
      <c r="J1903" s="1">
        <v>1.7153681589024909E-2</v>
      </c>
      <c r="K1903" s="1">
        <v>2.1853641952458256</v>
      </c>
      <c r="L1903" s="1">
        <v>2.0093818787441897</v>
      </c>
      <c r="M1903" s="1">
        <v>0.10554649986622808</v>
      </c>
      <c r="N1903" s="1">
        <v>0.69254081374923537</v>
      </c>
      <c r="O1903" s="1">
        <v>0.30987999999999999</v>
      </c>
      <c r="P1903" s="1">
        <v>0.18203687055617071</v>
      </c>
      <c r="Q1903" s="1">
        <v>0.3683892493081159</v>
      </c>
      <c r="R1903" s="2">
        <f t="shared" si="119"/>
        <v>16.657162500387951</v>
      </c>
      <c r="S1903" s="2">
        <f t="shared" si="118"/>
        <v>2.3845547473910211</v>
      </c>
      <c r="T1903" s="2">
        <f t="shared" si="120"/>
        <v>3.117349192359653</v>
      </c>
      <c r="U1903" s="2">
        <f t="shared" si="121"/>
        <v>22.159066440138627</v>
      </c>
    </row>
    <row r="1904" spans="1:21" x14ac:dyDescent="0.25">
      <c r="A1904">
        <v>3767785</v>
      </c>
      <c r="B1904">
        <v>38</v>
      </c>
      <c r="C1904" s="1">
        <f>1.07942320314434*(10.3/7.3)</f>
        <v>1.5230217797790011</v>
      </c>
      <c r="D1904" s="1">
        <f>1.45466662163963*(10.3/7.3)</f>
        <v>2.0524748223134468</v>
      </c>
      <c r="E1904" s="1">
        <f>5.03708894484881*(10.3/7.3)</f>
        <v>7.1071254975263969</v>
      </c>
      <c r="F1904" s="1">
        <f>14.6029942397966*(38.9/42.5)</f>
        <v>13.36603472771974</v>
      </c>
      <c r="G1904" s="1">
        <v>0.75713804567195675</v>
      </c>
      <c r="H1904" s="1">
        <v>3.218322620224626</v>
      </c>
      <c r="I1904" s="1">
        <v>11.370490112326538</v>
      </c>
      <c r="J1904" s="1">
        <v>3.1806162058054741E-2</v>
      </c>
      <c r="K1904" s="1">
        <v>4.0328539057585262</v>
      </c>
      <c r="L1904" s="1">
        <v>3.8616106176912828</v>
      </c>
      <c r="M1904" s="1">
        <v>0.20198435287598837</v>
      </c>
      <c r="N1904" s="1">
        <v>1.5049827617997682</v>
      </c>
      <c r="O1904" s="1">
        <v>0.85643929824561393</v>
      </c>
      <c r="P1904" s="1">
        <v>0.33671145089823168</v>
      </c>
      <c r="Q1904" s="1">
        <v>1.2100379725350923</v>
      </c>
      <c r="R1904" s="2">
        <f t="shared" si="119"/>
        <v>40.604645578096793</v>
      </c>
      <c r="S1904" s="2">
        <f t="shared" si="118"/>
        <v>4.4013715187148126</v>
      </c>
      <c r="T1904" s="2">
        <f t="shared" si="120"/>
        <v>6.4250170306126533</v>
      </c>
      <c r="U1904" s="2">
        <f t="shared" si="121"/>
        <v>51.431034127424255</v>
      </c>
    </row>
    <row r="1905" spans="1:21" x14ac:dyDescent="0.25">
      <c r="A1905">
        <v>3768129</v>
      </c>
      <c r="B1905">
        <v>4</v>
      </c>
      <c r="C1905" s="1">
        <f>2.61030492857284*(10.3/7.3)</f>
        <v>3.6830329814110003</v>
      </c>
      <c r="D1905" s="1">
        <f>3.67265550773455*(10.3/7.3)</f>
        <v>5.1819659903651853</v>
      </c>
      <c r="E1905" s="1">
        <f>12.7566271231372*(10.3/7.3)</f>
        <v>17.999076625796341</v>
      </c>
      <c r="F1905" s="1">
        <f>33.8076666808622*(38.9/42.5)</f>
        <v>30.943958444365634</v>
      </c>
      <c r="G1905" s="1">
        <v>1.659048025872363</v>
      </c>
      <c r="H1905" s="1">
        <v>6.7181720063138375</v>
      </c>
      <c r="I1905" s="1">
        <v>25.691694231720689</v>
      </c>
      <c r="J1905" s="1">
        <v>4.5673845242698533E-2</v>
      </c>
      <c r="K1905" s="1">
        <v>3.9380217123655701</v>
      </c>
      <c r="L1905" s="1">
        <v>6.8624974592724612</v>
      </c>
      <c r="M1905" s="1">
        <v>0.19938912463974501</v>
      </c>
      <c r="N1905" s="1">
        <v>2.5532530536568325</v>
      </c>
      <c r="O1905" s="1">
        <v>0.24229333333333331</v>
      </c>
      <c r="P1905" s="1">
        <v>0.20085801241601214</v>
      </c>
      <c r="Q1905" s="1">
        <v>2.6514466166909938</v>
      </c>
      <c r="R1905" s="2">
        <f t="shared" si="119"/>
        <v>94.528394922536037</v>
      </c>
      <c r="S1905" s="2">
        <f t="shared" si="118"/>
        <v>4.1845535700242804</v>
      </c>
      <c r="T1905" s="2">
        <f t="shared" si="120"/>
        <v>9.8574329709023711</v>
      </c>
      <c r="U1905" s="2">
        <f t="shared" si="121"/>
        <v>108.57038146346268</v>
      </c>
    </row>
    <row r="1906" spans="1:21" x14ac:dyDescent="0.25">
      <c r="A1906">
        <v>3768281</v>
      </c>
      <c r="B1906">
        <v>20</v>
      </c>
      <c r="C1906" s="1">
        <f>4.59588915823796*(10.3/7.3)</f>
        <v>6.4846107301165778</v>
      </c>
      <c r="D1906" s="1">
        <f>5.38426903174214*(10.3/7.3)</f>
        <v>7.5969823324580839</v>
      </c>
      <c r="E1906" s="1">
        <f>19.0931941036536*(10.3/7.3)</f>
        <v>26.939712228442744</v>
      </c>
      <c r="F1906" s="1">
        <f>38.3289875425995*(38.9/42.5)</f>
        <v>35.082296833108757</v>
      </c>
      <c r="G1906" s="1">
        <v>1.3955852981420742</v>
      </c>
      <c r="H1906" s="1">
        <v>7.3651319705218601</v>
      </c>
      <c r="I1906" s="1">
        <v>29.217373335873042</v>
      </c>
      <c r="J1906" s="1">
        <v>3.8193501339098275E-2</v>
      </c>
      <c r="K1906" s="1">
        <v>2.6779531585957512</v>
      </c>
      <c r="L1906" s="1">
        <v>15.543129417775424</v>
      </c>
      <c r="M1906" s="1">
        <v>0.1565173934367827</v>
      </c>
      <c r="N1906" s="1">
        <v>1.8019965536168043</v>
      </c>
      <c r="O1906" s="1">
        <v>0.15424533333333332</v>
      </c>
      <c r="P1906" s="1">
        <v>0.12282592342191201</v>
      </c>
      <c r="Q1906" s="1">
        <v>2.2303874627841394</v>
      </c>
      <c r="R1906" s="2">
        <f t="shared" si="119"/>
        <v>116.31208019144728</v>
      </c>
      <c r="S1906" s="2">
        <f t="shared" si="118"/>
        <v>2.8389725833567616</v>
      </c>
      <c r="T1906" s="2">
        <f t="shared" si="120"/>
        <v>17.655888698162343</v>
      </c>
      <c r="U1906" s="2">
        <f t="shared" si="121"/>
        <v>136.8069414729664</v>
      </c>
    </row>
    <row r="1907" spans="1:21" x14ac:dyDescent="0.25">
      <c r="A1907">
        <v>3768449</v>
      </c>
      <c r="B1907">
        <v>4</v>
      </c>
      <c r="C1907" s="1">
        <f>5.11207533980278*(10.3/7.3)</f>
        <v>7.2129282191737838</v>
      </c>
      <c r="D1907" s="1">
        <f>5.63361898228886*(10.3/7.3)</f>
        <v>7.9488048654212662</v>
      </c>
      <c r="E1907" s="1">
        <f>20.1094203419896*(10.3/7.3)</f>
        <v>28.373565688012786</v>
      </c>
      <c r="F1907" s="1">
        <f>36.7581159546228*(38.9/42.5)</f>
        <v>33.644487309054774</v>
      </c>
      <c r="G1907" s="1">
        <v>1.1446224310432576</v>
      </c>
      <c r="H1907" s="1">
        <v>3.3933486803891189</v>
      </c>
      <c r="I1907" s="1">
        <v>28.217984793530988</v>
      </c>
      <c r="J1907" s="1">
        <v>6.1719520250619796E-2</v>
      </c>
      <c r="K1907" s="1">
        <v>2.2536086039352865</v>
      </c>
      <c r="L1907" s="1">
        <v>9.596053567859931</v>
      </c>
      <c r="M1907" s="1">
        <v>0.12629925776842027</v>
      </c>
      <c r="N1907" s="1">
        <v>2.762052908877322</v>
      </c>
      <c r="O1907" s="1">
        <v>0.11239999999999999</v>
      </c>
      <c r="P1907" s="1">
        <v>9.093991216439741E-2</v>
      </c>
      <c r="Q1907" s="1">
        <v>1.829305255091966</v>
      </c>
      <c r="R1907" s="2">
        <f t="shared" si="119"/>
        <v>111.76504724171794</v>
      </c>
      <c r="S1907" s="2">
        <f t="shared" si="118"/>
        <v>2.406268036350304</v>
      </c>
      <c r="T1907" s="2">
        <f t="shared" si="120"/>
        <v>12.596805734505672</v>
      </c>
      <c r="U1907" s="2">
        <f t="shared" si="121"/>
        <v>126.76812101257391</v>
      </c>
    </row>
    <row r="1908" spans="1:21" x14ac:dyDescent="0.25">
      <c r="A1908">
        <v>3768457</v>
      </c>
      <c r="B1908">
        <v>25</v>
      </c>
      <c r="C1908" s="1">
        <f>5.03249663681154*(10.3/7.3)</f>
        <v>7.1006459396107964</v>
      </c>
      <c r="D1908" s="1">
        <f>6.18061549561524*(10.3/7.3)</f>
        <v>8.720594466416026</v>
      </c>
      <c r="E1908" s="1">
        <f>21.7020524950892*(10.3/7.3)</f>
        <v>30.620704205399814</v>
      </c>
      <c r="F1908" s="1">
        <f>51.9762023440956*(38.9/42.5)</f>
        <v>47.573512263184014</v>
      </c>
      <c r="G1908" s="1">
        <v>2.3102317525544627</v>
      </c>
      <c r="H1908" s="1">
        <v>6.9377218674801737</v>
      </c>
      <c r="I1908" s="1">
        <v>40.204708928560159</v>
      </c>
      <c r="J1908" s="1">
        <v>4.7615874738302234E-2</v>
      </c>
      <c r="K1908" s="1">
        <v>2.2315555231376352</v>
      </c>
      <c r="L1908" s="1">
        <v>6.4399310563840109</v>
      </c>
      <c r="M1908" s="1">
        <v>0.12530755731030674</v>
      </c>
      <c r="N1908" s="1">
        <v>1.8321017632217782</v>
      </c>
      <c r="O1908" s="1">
        <v>0.11105706666666666</v>
      </c>
      <c r="P1908" s="1">
        <v>9.0281061612953059E-2</v>
      </c>
      <c r="Q1908" s="1">
        <v>3.6921512027126147</v>
      </c>
      <c r="R1908" s="2">
        <f t="shared" si="119"/>
        <v>147.16027062591806</v>
      </c>
      <c r="S1908" s="2">
        <f t="shared" si="118"/>
        <v>2.3694524594888904</v>
      </c>
      <c r="T1908" s="2">
        <f t="shared" si="120"/>
        <v>8.5083974435827638</v>
      </c>
      <c r="U1908" s="2">
        <f t="shared" si="121"/>
        <v>158.03812052898971</v>
      </c>
    </row>
    <row r="1909" spans="1:21" x14ac:dyDescent="0.25">
      <c r="A1909">
        <v>3768473</v>
      </c>
      <c r="B1909">
        <v>3</v>
      </c>
      <c r="C1909" s="1">
        <f>5.80443926389241*(10.3/7.3)</f>
        <v>8.1898252627523114</v>
      </c>
      <c r="D1909" s="1">
        <f>6.42154613802656*(10.3/7.3)</f>
        <v>9.0605377015991202</v>
      </c>
      <c r="E1909" s="1">
        <f>22.8240297657747*(10.3/7.3)</f>
        <v>32.203768025682109</v>
      </c>
      <c r="F1909" s="1">
        <f>46.4182811873909*(38.9/42.5)</f>
        <v>42.48637972210603</v>
      </c>
      <c r="G1909" s="1">
        <v>1.6952600684742658</v>
      </c>
      <c r="H1909" s="1">
        <v>8.9598020657538857</v>
      </c>
      <c r="I1909" s="1">
        <v>36.193684088112555</v>
      </c>
      <c r="J1909" s="1">
        <v>4.6352757843853475E-2</v>
      </c>
      <c r="K1909" s="1">
        <v>2.6873593589383149</v>
      </c>
      <c r="L1909" s="1">
        <v>5.9395503165835359</v>
      </c>
      <c r="M1909" s="1">
        <v>0.13440407904763418</v>
      </c>
      <c r="N1909" s="1">
        <v>2.0436202934746102</v>
      </c>
      <c r="O1909" s="1">
        <v>0.11971555555555556</v>
      </c>
      <c r="P1909" s="1">
        <v>9.6630576256496292E-2</v>
      </c>
      <c r="Q1909" s="1">
        <v>2.7093197441369572</v>
      </c>
      <c r="R1909" s="2">
        <f t="shared" si="119"/>
        <v>141.49857667861724</v>
      </c>
      <c r="S1909" s="2">
        <f t="shared" si="118"/>
        <v>2.8303426930386646</v>
      </c>
      <c r="T1909" s="2">
        <f t="shared" si="120"/>
        <v>8.2372902446613345</v>
      </c>
      <c r="U1909" s="2">
        <f t="shared" si="121"/>
        <v>152.56620961631722</v>
      </c>
    </row>
    <row r="1910" spans="1:21" x14ac:dyDescent="0.25">
      <c r="A1910">
        <v>3768481</v>
      </c>
      <c r="B1910">
        <v>17</v>
      </c>
      <c r="C1910" s="1">
        <f>5.24831456664553*(10.3/7.3)</f>
        <v>7.4051561693765642</v>
      </c>
      <c r="D1910" s="1">
        <f>5.83473464408094*(10.3/7.3)</f>
        <v>8.2325707991826906</v>
      </c>
      <c r="E1910" s="1">
        <f>20.7146678927088*(10.3/7.3)</f>
        <v>29.227545108890538</v>
      </c>
      <c r="F1910" s="1">
        <f>43.0648855343702*(38.9/42.5)</f>
        <v>39.417036406752935</v>
      </c>
      <c r="G1910" s="1">
        <v>1.6190806603339665</v>
      </c>
      <c r="H1910" s="1">
        <v>8.1143662238612944</v>
      </c>
      <c r="I1910" s="1">
        <v>33.631519189653105</v>
      </c>
      <c r="J1910" s="1">
        <v>3.7711598192388764E-2</v>
      </c>
      <c r="K1910" s="1">
        <v>2.7418088471484152</v>
      </c>
      <c r="L1910" s="1">
        <v>5.4827948043078472</v>
      </c>
      <c r="M1910" s="1">
        <v>0.12399933632918633</v>
      </c>
      <c r="N1910" s="1">
        <v>1.5787401215475285</v>
      </c>
      <c r="O1910" s="1">
        <v>0.10898823529411764</v>
      </c>
      <c r="P1910" s="1">
        <v>8.952691653835633E-2</v>
      </c>
      <c r="Q1910" s="1">
        <v>2.5875718315839675</v>
      </c>
      <c r="R1910" s="2">
        <f t="shared" si="119"/>
        <v>130.23484638963507</v>
      </c>
      <c r="S1910" s="2">
        <f t="shared" si="118"/>
        <v>2.8690473618791605</v>
      </c>
      <c r="T1910" s="2">
        <f t="shared" si="120"/>
        <v>7.2945224974786793</v>
      </c>
      <c r="U1910" s="2">
        <f t="shared" si="121"/>
        <v>140.3984162489929</v>
      </c>
    </row>
    <row r="1911" spans="1:21" x14ac:dyDescent="0.25">
      <c r="A1911">
        <v>3768489</v>
      </c>
      <c r="B1911">
        <v>40</v>
      </c>
      <c r="C1911" s="1">
        <f>5.35344017470114*(10.3/7.3)</f>
        <v>7.5534840821125702</v>
      </c>
      <c r="D1911" s="1">
        <f>5.82741179516265*(10.3/7.3)</f>
        <v>8.2222385602979902</v>
      </c>
      <c r="E1911" s="1">
        <f>20.8014437538824*(10.3/7.3)</f>
        <v>29.349982282875153</v>
      </c>
      <c r="F1911" s="1">
        <f>38.6686312802223*(38.9/42.5)</f>
        <v>35.393170748250483</v>
      </c>
      <c r="G1911" s="1">
        <v>1.2334894659618529</v>
      </c>
      <c r="H1911" s="1">
        <v>5.1161399142582251</v>
      </c>
      <c r="I1911" s="1">
        <v>29.915939946202855</v>
      </c>
      <c r="J1911" s="1">
        <v>3.6787940094519682E-2</v>
      </c>
      <c r="K1911" s="1">
        <v>3.2681265180392316</v>
      </c>
      <c r="L1911" s="1">
        <v>7.3484222926017111</v>
      </c>
      <c r="M1911" s="1">
        <v>0.12695752919742104</v>
      </c>
      <c r="N1911" s="1">
        <v>1.5724633875839522</v>
      </c>
      <c r="O1911" s="1">
        <v>0.11124533333333331</v>
      </c>
      <c r="P1911" s="1">
        <v>9.0947709943444421E-2</v>
      </c>
      <c r="Q1911" s="1">
        <v>1.9713301967426902</v>
      </c>
      <c r="R1911" s="2">
        <f t="shared" si="119"/>
        <v>118.75577519670182</v>
      </c>
      <c r="S1911" s="2">
        <f t="shared" si="118"/>
        <v>3.3958621680771954</v>
      </c>
      <c r="T1911" s="2">
        <f t="shared" si="120"/>
        <v>9.1590885427164164</v>
      </c>
      <c r="U1911" s="2">
        <f t="shared" si="121"/>
        <v>131.31072590749542</v>
      </c>
    </row>
    <row r="1912" spans="1:21" x14ac:dyDescent="0.25">
      <c r="A1912">
        <v>3768545</v>
      </c>
      <c r="B1912">
        <v>8</v>
      </c>
      <c r="C1912" s="1">
        <f>4.96470737130048*(10.3/7.3)</f>
        <v>7.0049980718349216</v>
      </c>
      <c r="D1912" s="1">
        <f>5.36812741726304*(10.3/7.3)</f>
        <v>7.574207177782097</v>
      </c>
      <c r="E1912" s="1">
        <f>19.1788756493761*(10.3/7.3)</f>
        <v>27.060605368297839</v>
      </c>
      <c r="F1912" s="1">
        <f>35.1365041232466*(38.9/42.5)</f>
        <v>32.160235538689257</v>
      </c>
      <c r="G1912" s="1">
        <v>1.0915650826976546</v>
      </c>
      <c r="H1912" s="1">
        <v>3.1638811177984616</v>
      </c>
      <c r="I1912" s="1">
        <v>27.193894226942021</v>
      </c>
      <c r="J1912" s="1">
        <v>2.8915312003564581E-2</v>
      </c>
      <c r="K1912" s="1">
        <v>2.2152432345956123</v>
      </c>
      <c r="L1912" s="1">
        <v>3.2684732899565843</v>
      </c>
      <c r="M1912" s="1">
        <v>0.10946989814599629</v>
      </c>
      <c r="N1912" s="1">
        <v>1.262536229875745</v>
      </c>
      <c r="O1912" s="1">
        <v>9.7220000000000001E-2</v>
      </c>
      <c r="P1912" s="1">
        <v>8.0064495666952798E-2</v>
      </c>
      <c r="Q1912" s="1">
        <v>1.7445104061378063</v>
      </c>
      <c r="R1912" s="2">
        <f t="shared" si="119"/>
        <v>106.99389699018006</v>
      </c>
      <c r="S1912" s="2">
        <f t="shared" si="118"/>
        <v>2.3242230422661301</v>
      </c>
      <c r="T1912" s="2">
        <f t="shared" si="120"/>
        <v>4.7376994179783258</v>
      </c>
      <c r="U1912" s="2">
        <f t="shared" si="121"/>
        <v>114.05581945042451</v>
      </c>
    </row>
    <row r="1913" spans="1:21" x14ac:dyDescent="0.25">
      <c r="A1913">
        <v>3768553</v>
      </c>
      <c r="B1913">
        <v>19</v>
      </c>
      <c r="C1913" s="1">
        <f>4.77384174495433*(10.3/7.3)</f>
        <v>6.7356945168533651</v>
      </c>
      <c r="D1913" s="1">
        <f>5.18817904580506*(10.3/7.3)</f>
        <v>7.3203074207934424</v>
      </c>
      <c r="E1913" s="1">
        <f>18.5155159242572*(10.3/7.3)</f>
        <v>26.124632057513562</v>
      </c>
      <c r="F1913" s="1">
        <f>34.7041034231587*(38.9/42.5)</f>
        <v>31.764461721432294</v>
      </c>
      <c r="G1913" s="1">
        <v>1.121305546224036</v>
      </c>
      <c r="H1913" s="1">
        <v>3.4525039528447135</v>
      </c>
      <c r="I1913" s="1">
        <v>26.901342712236154</v>
      </c>
      <c r="J1913" s="1">
        <v>2.8709516621339481E-2</v>
      </c>
      <c r="K1913" s="1">
        <v>2.2903950042226922</v>
      </c>
      <c r="L1913" s="1">
        <v>3.0530779190412729</v>
      </c>
      <c r="M1913" s="1">
        <v>0.10643114689886227</v>
      </c>
      <c r="N1913" s="1">
        <v>1.1883823035804499</v>
      </c>
      <c r="O1913" s="1">
        <v>9.4251228070175441E-2</v>
      </c>
      <c r="P1913" s="1">
        <v>7.7954837396799911E-2</v>
      </c>
      <c r="Q1913" s="1">
        <v>1.7920408272986896</v>
      </c>
      <c r="R1913" s="2">
        <f t="shared" si="119"/>
        <v>105.21228875519625</v>
      </c>
      <c r="S1913" s="2">
        <f t="shared" si="118"/>
        <v>2.3970593582408317</v>
      </c>
      <c r="T1913" s="2">
        <f t="shared" si="120"/>
        <v>4.4421425975907605</v>
      </c>
      <c r="U1913" s="2">
        <f t="shared" si="121"/>
        <v>112.05149071102785</v>
      </c>
    </row>
    <row r="1914" spans="1:21" x14ac:dyDescent="0.25">
      <c r="A1914">
        <v>3779981</v>
      </c>
      <c r="B1914">
        <v>7</v>
      </c>
      <c r="C1914" s="1">
        <f>0.415628880123071*(10.3/7.3)</f>
        <v>0.58643526921474476</v>
      </c>
      <c r="D1914" s="1">
        <f>0.528073056274802*(10.3/7.3)</f>
        <v>0.74508938077129594</v>
      </c>
      <c r="E1914" s="1">
        <f>1.84998710844064*(10.3/7.3)</f>
        <v>2.6102557831422661</v>
      </c>
      <c r="F1914" s="1">
        <f>4.50202054750752*(38.9/42.5)</f>
        <v>4.1206729246598286</v>
      </c>
      <c r="G1914" s="1">
        <v>0.2039676829221253</v>
      </c>
      <c r="H1914" s="1">
        <v>1.1505349430241467</v>
      </c>
      <c r="I1914" s="1">
        <v>3.4587302579144166</v>
      </c>
      <c r="J1914" s="1">
        <v>1.4807568768761476E-2</v>
      </c>
      <c r="K1914" s="1">
        <v>1.8482725451778688</v>
      </c>
      <c r="L1914" s="1">
        <v>1.7593755363473729</v>
      </c>
      <c r="M1914" s="1">
        <v>9.5918221109050475E-2</v>
      </c>
      <c r="N1914" s="1">
        <v>0.58437359221206009</v>
      </c>
      <c r="O1914" s="1">
        <v>0.27160380952380953</v>
      </c>
      <c r="P1914" s="1">
        <v>0.14400597110438532</v>
      </c>
      <c r="Q1914" s="1">
        <v>0.32597574896230103</v>
      </c>
      <c r="R1914" s="2">
        <f t="shared" si="119"/>
        <v>13.201661990611125</v>
      </c>
      <c r="S1914" s="2">
        <f t="shared" si="118"/>
        <v>2.0070860850510157</v>
      </c>
      <c r="T1914" s="2">
        <f t="shared" si="120"/>
        <v>2.7112711591922931</v>
      </c>
      <c r="U1914" s="2">
        <f t="shared" si="121"/>
        <v>17.920019234854436</v>
      </c>
    </row>
    <row r="1915" spans="1:21" x14ac:dyDescent="0.25">
      <c r="A1915">
        <v>3779989</v>
      </c>
      <c r="B1915">
        <v>39</v>
      </c>
      <c r="C1915" s="1">
        <f>0.394473311723265*(10.3/7.3)</f>
        <v>0.55658563160953811</v>
      </c>
      <c r="D1915" s="1">
        <f>0.494884230160368*(10.3/7.3)</f>
        <v>0.69826131104819045</v>
      </c>
      <c r="E1915" s="1">
        <f>1.73676818420462*(10.3/7.3)</f>
        <v>2.4505085338777497</v>
      </c>
      <c r="F1915" s="1">
        <f>4.12117155857354*(38.9/42.5)</f>
        <v>3.7720840853767248</v>
      </c>
      <c r="G1915" s="1">
        <v>0.18227484676516395</v>
      </c>
      <c r="H1915" s="1">
        <v>1.2403812653503441</v>
      </c>
      <c r="I1915" s="1">
        <v>3.1639164512099178</v>
      </c>
      <c r="J1915" s="1">
        <v>1.476003866953227E-2</v>
      </c>
      <c r="K1915" s="1">
        <v>1.8399721700875591</v>
      </c>
      <c r="L1915" s="1">
        <v>1.7394714089705015</v>
      </c>
      <c r="M1915" s="1">
        <v>9.4581638529718098E-2</v>
      </c>
      <c r="N1915" s="1">
        <v>0.58293056649818276</v>
      </c>
      <c r="O1915" s="1">
        <v>0.26986393162393157</v>
      </c>
      <c r="P1915" s="1">
        <v>0.14379400074620255</v>
      </c>
      <c r="Q1915" s="1">
        <v>0.29130683272971436</v>
      </c>
      <c r="R1915" s="2">
        <f t="shared" si="119"/>
        <v>12.355318957967343</v>
      </c>
      <c r="S1915" s="2">
        <f t="shared" si="118"/>
        <v>1.9985262095032941</v>
      </c>
      <c r="T1915" s="2">
        <f t="shared" si="120"/>
        <v>2.6868475456223342</v>
      </c>
      <c r="U1915" s="2">
        <f t="shared" si="121"/>
        <v>17.040692713092973</v>
      </c>
    </row>
    <row r="1916" spans="1:21" x14ac:dyDescent="0.25">
      <c r="A1916">
        <v>3780013</v>
      </c>
      <c r="B1916">
        <v>14</v>
      </c>
      <c r="C1916" s="1">
        <f>0.703326431913876*(10.3/7.3)</f>
        <v>0.99236469160450946</v>
      </c>
      <c r="D1916" s="1">
        <f>0.897658247962805*(10.3/7.3)</f>
        <v>1.2665588978105331</v>
      </c>
      <c r="E1916" s="1">
        <f>3.13672703076785*(10.3/7.3)</f>
        <v>4.4257929338231383</v>
      </c>
      <c r="F1916" s="1">
        <f>8.00951166449311*(38.9/42.5)</f>
        <v>7.3310589117360427</v>
      </c>
      <c r="G1916" s="1">
        <v>0.37767052854585609</v>
      </c>
      <c r="H1916" s="1">
        <v>1.9733430594974339</v>
      </c>
      <c r="I1916" s="1">
        <v>6.1942832999848871</v>
      </c>
      <c r="J1916" s="1">
        <v>2.2324707310656472E-2</v>
      </c>
      <c r="K1916" s="1">
        <v>2.9872511932260162</v>
      </c>
      <c r="L1916" s="1">
        <v>2.5969787353324811</v>
      </c>
      <c r="M1916" s="1">
        <v>0.14021624614268571</v>
      </c>
      <c r="N1916" s="1">
        <v>0.97399386916775299</v>
      </c>
      <c r="O1916" s="1">
        <v>0.47327238095238089</v>
      </c>
      <c r="P1916" s="1">
        <v>0.26791603085470256</v>
      </c>
      <c r="Q1916" s="1">
        <v>0.60358303648881151</v>
      </c>
      <c r="R1916" s="2">
        <f t="shared" si="119"/>
        <v>23.16465535949121</v>
      </c>
      <c r="S1916" s="2">
        <f t="shared" si="118"/>
        <v>3.2774919313913751</v>
      </c>
      <c r="T1916" s="2">
        <f t="shared" si="120"/>
        <v>4.1844612315953009</v>
      </c>
      <c r="U1916" s="2">
        <f t="shared" si="121"/>
        <v>30.626608522477884</v>
      </c>
    </row>
    <row r="1917" spans="1:21" x14ac:dyDescent="0.25">
      <c r="A1917">
        <v>3780021</v>
      </c>
      <c r="B1917">
        <v>10</v>
      </c>
      <c r="C1917" s="1">
        <f>1.12927675971506*(10.3/7.3)</f>
        <v>1.5933630993239916</v>
      </c>
      <c r="D1917" s="1">
        <f>1.53170271387332*(10.3/7.3)</f>
        <v>2.1611695825883879</v>
      </c>
      <c r="E1917" s="1">
        <f>5.29753764235305*(10.3/7.3)</f>
        <v>7.4746079063337572</v>
      </c>
      <c r="F1917" s="1">
        <f>15.608387485582*(38.9/42.5)</f>
        <v>14.28626525150913</v>
      </c>
      <c r="G1917" s="1">
        <v>0.81785568809779063</v>
      </c>
      <c r="H1917" s="1">
        <v>4.9082964678128889</v>
      </c>
      <c r="I1917" s="1">
        <v>12.166004281580008</v>
      </c>
      <c r="J1917" s="1">
        <v>3.3461904829424065E-2</v>
      </c>
      <c r="K1917" s="1">
        <v>4.2105439994356333</v>
      </c>
      <c r="L1917" s="1">
        <v>4.0330590457669748</v>
      </c>
      <c r="M1917" s="1">
        <v>0.20994799656550939</v>
      </c>
      <c r="N1917" s="1">
        <v>1.591835143191572</v>
      </c>
      <c r="O1917" s="1">
        <v>0.95077333333333325</v>
      </c>
      <c r="P1917" s="1">
        <v>0.35881624780045884</v>
      </c>
      <c r="Q1917" s="1">
        <v>1.3070753006129088</v>
      </c>
      <c r="R1917" s="2">
        <f t="shared" si="119"/>
        <v>44.714637577858866</v>
      </c>
      <c r="S1917" s="2">
        <f t="shared" si="118"/>
        <v>4.6028221520655155</v>
      </c>
      <c r="T1917" s="2">
        <f t="shared" si="120"/>
        <v>6.7856155188573899</v>
      </c>
      <c r="U1917" s="2">
        <f t="shared" si="121"/>
        <v>56.103075248781771</v>
      </c>
    </row>
    <row r="1918" spans="1:21" x14ac:dyDescent="0.25">
      <c r="A1918">
        <v>3780357</v>
      </c>
      <c r="B1918">
        <v>27</v>
      </c>
      <c r="C1918" s="1">
        <f>2.90379804762486*(10.3/7.3)</f>
        <v>4.0971397110323382</v>
      </c>
      <c r="D1918" s="1">
        <f>4.09296848250235*(10.3/7.3)</f>
        <v>5.7750103246266073</v>
      </c>
      <c r="E1918" s="1">
        <f>14.201979062051*(10.3/7.3)</f>
        <v>20.038408813578751</v>
      </c>
      <c r="F1918" s="1">
        <f>38.3300625381701*(38.9/42.5)</f>
        <v>35.083280770230942</v>
      </c>
      <c r="G1918" s="1">
        <v>1.9055581529179089</v>
      </c>
      <c r="H1918" s="1">
        <v>8.9289482387619294</v>
      </c>
      <c r="I1918" s="1">
        <v>29.210089067958052</v>
      </c>
      <c r="J1918" s="1">
        <v>4.6570889948113432E-2</v>
      </c>
      <c r="K1918" s="1">
        <v>3.8156400378403288</v>
      </c>
      <c r="L1918" s="1">
        <v>6.8015798197739352</v>
      </c>
      <c r="M1918" s="1">
        <v>0.20625935638037585</v>
      </c>
      <c r="N1918" s="1">
        <v>2.585041030734434</v>
      </c>
      <c r="O1918" s="1">
        <v>0.24819555555555559</v>
      </c>
      <c r="P1918" s="1">
        <v>0.2001063367047807</v>
      </c>
      <c r="Q1918" s="1">
        <v>3.0454125731564794</v>
      </c>
      <c r="R1918" s="2">
        <f t="shared" si="119"/>
        <v>108.08384765226302</v>
      </c>
      <c r="S1918" s="2">
        <f t="shared" si="118"/>
        <v>4.0623172644932231</v>
      </c>
      <c r="T1918" s="2">
        <f t="shared" si="120"/>
        <v>9.8410757624443015</v>
      </c>
      <c r="U1918" s="2">
        <f t="shared" si="121"/>
        <v>121.98724067920054</v>
      </c>
    </row>
    <row r="1919" spans="1:21" x14ac:dyDescent="0.25">
      <c r="A1919">
        <v>3780365</v>
      </c>
      <c r="B1919">
        <v>2</v>
      </c>
      <c r="C1919" s="1">
        <f>2.98181161133101*(10.3/7.3)</f>
        <v>4.2072136433848488</v>
      </c>
      <c r="D1919" s="1">
        <f>4.41918514466314*(10.3/7.3)</f>
        <v>6.2352886287712783</v>
      </c>
      <c r="E1919" s="1">
        <f>15.2575620148427*(10.3/7.3)</f>
        <v>21.527792979846584</v>
      </c>
      <c r="F1919" s="1">
        <f>43.5414333891333*(38.9/42.5)</f>
        <v>39.853217854994917</v>
      </c>
      <c r="G1919" s="1">
        <v>2.2569490848326699</v>
      </c>
      <c r="H1919" s="1">
        <v>11.797110043087098</v>
      </c>
      <c r="I1919" s="1">
        <v>33.146907887175722</v>
      </c>
      <c r="J1919" s="1">
        <v>4.7023184037493976E-2</v>
      </c>
      <c r="K1919" s="1">
        <v>3.8693467339205556</v>
      </c>
      <c r="L1919" s="1">
        <v>7.0393473381807921</v>
      </c>
      <c r="M1919" s="1">
        <v>0.21425908112661918</v>
      </c>
      <c r="N1919" s="1">
        <v>2.4680720784409305</v>
      </c>
      <c r="O1919" s="1">
        <v>0.25098666666666669</v>
      </c>
      <c r="P1919" s="1">
        <v>0.2036826444427795</v>
      </c>
      <c r="Q1919" s="1">
        <v>3.606996254298791</v>
      </c>
      <c r="R1919" s="2">
        <f t="shared" si="119"/>
        <v>122.6314763763919</v>
      </c>
      <c r="S1919" s="2">
        <f t="shared" si="118"/>
        <v>4.1200525624008293</v>
      </c>
      <c r="T1919" s="2">
        <f t="shared" si="120"/>
        <v>9.9726651644150088</v>
      </c>
      <c r="U1919" s="2">
        <f t="shared" si="121"/>
        <v>136.72419410320774</v>
      </c>
    </row>
    <row r="1920" spans="1:21" x14ac:dyDescent="0.25">
      <c r="A1920">
        <v>3780373</v>
      </c>
      <c r="B1920">
        <v>11</v>
      </c>
      <c r="C1920" s="1">
        <f>2.83308582985111*(10.3/7.3)</f>
        <v>3.9973676777351237</v>
      </c>
      <c r="D1920" s="1">
        <f>4.39289384266046*(10.3/7.3)</f>
        <v>6.1981926821099576</v>
      </c>
      <c r="E1920" s="1">
        <f>15.1216801617615*(10.3/7.3)</f>
        <v>21.336069269334789</v>
      </c>
      <c r="F1920" s="1">
        <f>44.1507953541125*(38.9/42.5)</f>
        <v>40.410963277058251</v>
      </c>
      <c r="G1920" s="1">
        <v>2.3302510377359158</v>
      </c>
      <c r="H1920" s="1">
        <v>16.843067962738452</v>
      </c>
      <c r="I1920" s="1">
        <v>33.445287264943879</v>
      </c>
      <c r="J1920" s="1">
        <v>3.9751104289213912E-2</v>
      </c>
      <c r="K1920" s="1">
        <v>3.4868772561715775</v>
      </c>
      <c r="L1920" s="1">
        <v>6.0132825982161782</v>
      </c>
      <c r="M1920" s="1">
        <v>0.1923795450262262</v>
      </c>
      <c r="N1920" s="1">
        <v>2.1408538481674202</v>
      </c>
      <c r="O1920" s="1">
        <v>0.22364606060606063</v>
      </c>
      <c r="P1920" s="1">
        <v>0.18122236896459271</v>
      </c>
      <c r="Q1920" s="1">
        <v>3.724145494098499</v>
      </c>
      <c r="R1920" s="2">
        <f t="shared" si="119"/>
        <v>128.28534466575488</v>
      </c>
      <c r="S1920" s="2">
        <f t="shared" si="118"/>
        <v>3.7078507294253842</v>
      </c>
      <c r="T1920" s="2">
        <f t="shared" si="120"/>
        <v>8.5701620520158848</v>
      </c>
      <c r="U1920" s="2">
        <f t="shared" si="121"/>
        <v>140.56335744719615</v>
      </c>
    </row>
    <row r="1921" spans="1:21" x14ac:dyDescent="0.25">
      <c r="A1921">
        <v>3780381</v>
      </c>
      <c r="B1921">
        <v>8</v>
      </c>
      <c r="C1921" s="1">
        <f>2.71520503317904*(10.3/7.3)</f>
        <v>3.8310427180471427</v>
      </c>
      <c r="D1921" s="1">
        <f>4.9631638532124*(10.3/7.3)</f>
        <v>7.0028202312448888</v>
      </c>
      <c r="E1921" s="1">
        <f>17.096814755137*(10.3/7.3)</f>
        <v>24.122903010672704</v>
      </c>
      <c r="F1921" s="1">
        <f>44.4088886271856*(38.9/42.5)</f>
        <v>40.647194531706312</v>
      </c>
      <c r="G1921" s="1">
        <v>2.2070569372478257</v>
      </c>
      <c r="H1921" s="1">
        <v>13.666861289594317</v>
      </c>
      <c r="I1921" s="1">
        <v>31.778201509838389</v>
      </c>
      <c r="J1921" s="1">
        <v>4.2955012435260863E-2</v>
      </c>
      <c r="K1921" s="1">
        <v>3.9059517751057662</v>
      </c>
      <c r="L1921" s="1">
        <v>6.7962263225338999</v>
      </c>
      <c r="M1921" s="1">
        <v>0.20513942322788961</v>
      </c>
      <c r="N1921" s="1">
        <v>2.2875360296333205</v>
      </c>
      <c r="O1921" s="1">
        <v>0.23691333333333334</v>
      </c>
      <c r="P1921" s="1">
        <v>0.19367945844295556</v>
      </c>
      <c r="Q1921" s="1">
        <v>3.5272599453732418</v>
      </c>
      <c r="R1921" s="2">
        <f t="shared" si="119"/>
        <v>126.78334017372482</v>
      </c>
      <c r="S1921" s="2">
        <f t="shared" si="118"/>
        <v>4.1425862459839831</v>
      </c>
      <c r="T1921" s="2">
        <f t="shared" si="120"/>
        <v>9.5258151087284446</v>
      </c>
      <c r="U1921" s="2">
        <f t="shared" si="121"/>
        <v>140.45174152843725</v>
      </c>
    </row>
    <row r="1922" spans="1:21" x14ac:dyDescent="0.25">
      <c r="A1922">
        <v>3780509</v>
      </c>
      <c r="B1922">
        <v>6</v>
      </c>
      <c r="C1922" s="1">
        <f>4.77817404179982*(10.3/7.3)</f>
        <v>6.741807209662757</v>
      </c>
      <c r="D1922" s="1">
        <f>5.62578884248913*(10.3/7.3)</f>
        <v>7.9377568599504169</v>
      </c>
      <c r="E1922" s="1">
        <f>19.9298687562053*(10.3/7.3)</f>
        <v>28.120225779303322</v>
      </c>
      <c r="F1922" s="1">
        <f>40.7668782758566*(38.9/42.5)</f>
        <v>37.3136838807252</v>
      </c>
      <c r="G1922" s="1">
        <v>1.5221575635920832</v>
      </c>
      <c r="H1922" s="1">
        <v>8.2152046683874378</v>
      </c>
      <c r="I1922" s="1">
        <v>31.124017335262351</v>
      </c>
      <c r="J1922" s="1">
        <v>3.8951196090012227E-2</v>
      </c>
      <c r="K1922" s="1">
        <v>2.7966275570950678</v>
      </c>
      <c r="L1922" s="1">
        <v>9.9974508324831692</v>
      </c>
      <c r="M1922" s="1">
        <v>0.1617152952415026</v>
      </c>
      <c r="N1922" s="1">
        <v>1.9316054322201104</v>
      </c>
      <c r="O1922" s="1">
        <v>0.15929777777777776</v>
      </c>
      <c r="P1922" s="1">
        <v>0.12652702544772607</v>
      </c>
      <c r="Q1922" s="1">
        <v>2.4326719052841539</v>
      </c>
      <c r="R1922" s="2">
        <f t="shared" si="119"/>
        <v>123.40752520216773</v>
      </c>
      <c r="S1922" s="2">
        <f t="shared" si="118"/>
        <v>2.962105778632806</v>
      </c>
      <c r="T1922" s="2">
        <f t="shared" si="120"/>
        <v>12.250069337722561</v>
      </c>
      <c r="U1922" s="2">
        <f t="shared" si="121"/>
        <v>138.61970031852309</v>
      </c>
    </row>
    <row r="1923" spans="1:21" x14ac:dyDescent="0.25">
      <c r="A1923">
        <v>3780517</v>
      </c>
      <c r="B1923">
        <v>29</v>
      </c>
      <c r="C1923" s="1">
        <f>6.16377172266053*(10.3/7.3)</f>
        <v>8.6968285949867745</v>
      </c>
      <c r="D1923" s="1">
        <f>7.34052010208605*(10.3/7.3)</f>
        <v>10.357172198833741</v>
      </c>
      <c r="E1923" s="1">
        <f>26.0167557212786*(10.3/7.3)</f>
        <v>36.708573140982139</v>
      </c>
      <c r="F1923" s="1">
        <f>51.8842734777195*(38.9/42.5)</f>
        <v>47.489370312547948</v>
      </c>
      <c r="G1923" s="1">
        <v>1.8801773496229861</v>
      </c>
      <c r="H1923" s="1">
        <v>8.523970309390263</v>
      </c>
      <c r="I1923" s="1">
        <v>39.273989669384484</v>
      </c>
      <c r="J1923" s="1">
        <v>4.4696445204828905E-2</v>
      </c>
      <c r="K1923" s="1">
        <v>3.0666757534952782</v>
      </c>
      <c r="L1923" s="1">
        <v>13.746860541795639</v>
      </c>
      <c r="M1923" s="1">
        <v>0.17435190227463729</v>
      </c>
      <c r="N1923" s="1">
        <v>1.9886142627959169</v>
      </c>
      <c r="O1923" s="1">
        <v>0.16971770114942528</v>
      </c>
      <c r="P1923" s="1">
        <v>0.13140929418674901</v>
      </c>
      <c r="Q1923" s="1">
        <v>3.0048496455161922</v>
      </c>
      <c r="R1923" s="2">
        <f t="shared" si="119"/>
        <v>155.93493122126452</v>
      </c>
      <c r="S1923" s="2">
        <f t="shared" si="118"/>
        <v>3.2427814928868561</v>
      </c>
      <c r="T1923" s="2">
        <f t="shared" si="120"/>
        <v>16.079544408015618</v>
      </c>
      <c r="U1923" s="2">
        <f t="shared" si="121"/>
        <v>175.25725712216698</v>
      </c>
    </row>
    <row r="1924" spans="1:21" x14ac:dyDescent="0.25">
      <c r="A1924">
        <v>3780685</v>
      </c>
      <c r="B1924">
        <v>30</v>
      </c>
      <c r="C1924" s="1">
        <f>4.66837826706883*(10.3/7.3)</f>
        <v>6.5868898836724536</v>
      </c>
      <c r="D1924" s="1">
        <f>5.18678934823967*(10.3/7.3)</f>
        <v>7.3183466146395402</v>
      </c>
      <c r="E1924" s="1">
        <f>18.4983141608609*(10.3/7.3)</f>
        <v>26.100361076283221</v>
      </c>
      <c r="F1924" s="1">
        <f>34.2397833671562*(38.9/42.5)</f>
        <v>31.339472305467641</v>
      </c>
      <c r="G1924" s="1">
        <v>1.0915007057330293</v>
      </c>
      <c r="H1924" s="1">
        <v>3.4082182344297607</v>
      </c>
      <c r="I1924" s="1">
        <v>26.25419292755306</v>
      </c>
      <c r="J1924" s="1">
        <v>5.1910789005308558E-2</v>
      </c>
      <c r="K1924" s="1">
        <v>2.3034308037890865</v>
      </c>
      <c r="L1924" s="1">
        <v>12.420376952555273</v>
      </c>
      <c r="M1924" s="1">
        <v>0.12855880922131899</v>
      </c>
      <c r="N1924" s="1">
        <v>2.0888076741884953</v>
      </c>
      <c r="O1924" s="1">
        <v>0.11414044444444443</v>
      </c>
      <c r="P1924" s="1">
        <v>9.3283375966290022E-2</v>
      </c>
      <c r="Q1924" s="1">
        <v>1.7444075205779024</v>
      </c>
      <c r="R1924" s="2">
        <f t="shared" si="119"/>
        <v>103.8433892683566</v>
      </c>
      <c r="S1924" s="2">
        <f t="shared" si="118"/>
        <v>2.4486249687606851</v>
      </c>
      <c r="T1924" s="2">
        <f t="shared" si="120"/>
        <v>14.751883880409533</v>
      </c>
      <c r="U1924" s="2">
        <f t="shared" si="121"/>
        <v>121.04389811752682</v>
      </c>
    </row>
    <row r="1925" spans="1:21" x14ac:dyDescent="0.25">
      <c r="A1925">
        <v>3780693</v>
      </c>
      <c r="B1925">
        <v>20</v>
      </c>
      <c r="C1925" s="1">
        <f>5.15748060577376*(10.3/7.3)</f>
        <v>7.2769931834890009</v>
      </c>
      <c r="D1925" s="1">
        <f>6.09267263650666*(10.3/7.3)</f>
        <v>8.5965107063039241</v>
      </c>
      <c r="E1925" s="1">
        <f>21.5106476297437*(10.3/7.3)</f>
        <v>30.350639806350713</v>
      </c>
      <c r="F1925" s="1">
        <f>47.5248313485768*(38.9/42.5)</f>
        <v>43.4991985755209</v>
      </c>
      <c r="G1925" s="1">
        <v>1.9401607714041713</v>
      </c>
      <c r="H1925" s="1">
        <v>7.0186422492962235</v>
      </c>
      <c r="I1925" s="1">
        <v>36.715020282513713</v>
      </c>
      <c r="J1925" s="1">
        <v>4.4526907267122412E-2</v>
      </c>
      <c r="K1925" s="1">
        <v>2.3075882562355075</v>
      </c>
      <c r="L1925" s="1">
        <v>6.1064127694449448</v>
      </c>
      <c r="M1925" s="1">
        <v>0.12842386682162821</v>
      </c>
      <c r="N1925" s="1">
        <v>1.7603640043320652</v>
      </c>
      <c r="O1925" s="1">
        <v>0.11392266666666666</v>
      </c>
      <c r="P1925" s="1">
        <v>9.2198288975018833E-2</v>
      </c>
      <c r="Q1925" s="1">
        <v>3.1007135616048442</v>
      </c>
      <c r="R1925" s="2">
        <f t="shared" si="119"/>
        <v>138.49787913648348</v>
      </c>
      <c r="S1925" s="2">
        <f t="shared" si="118"/>
        <v>2.4443134524776489</v>
      </c>
      <c r="T1925" s="2">
        <f t="shared" si="120"/>
        <v>8.1091233072653051</v>
      </c>
      <c r="U1925" s="2">
        <f t="shared" si="121"/>
        <v>149.05131589622641</v>
      </c>
    </row>
    <row r="1926" spans="1:21" x14ac:dyDescent="0.25">
      <c r="A1926">
        <v>3780709</v>
      </c>
      <c r="B1926">
        <v>14</v>
      </c>
      <c r="C1926" s="1">
        <f>7.2287117986003*(10.3/7.3)</f>
        <v>10.199415277477135</v>
      </c>
      <c r="D1926" s="1">
        <f>7.95281665637689*(10.3/7.3)</f>
        <v>11.221097474066029</v>
      </c>
      <c r="E1926" s="1">
        <f>28.2854536420588*(10.3/7.3)</f>
        <v>39.909612673041799</v>
      </c>
      <c r="F1926" s="1">
        <f>56.9776870433741*(38.9/42.5)</f>
        <v>52.151341787935351</v>
      </c>
      <c r="G1926" s="1">
        <v>2.0520157474411604</v>
      </c>
      <c r="H1926" s="1">
        <v>9.2986698608818852</v>
      </c>
      <c r="I1926" s="1">
        <v>44.45293848185463</v>
      </c>
      <c r="J1926" s="1">
        <v>4.83003883684167E-2</v>
      </c>
      <c r="K1926" s="1">
        <v>2.8688717897013087</v>
      </c>
      <c r="L1926" s="1">
        <v>7.667149447506274</v>
      </c>
      <c r="M1926" s="1">
        <v>0.13713933189995348</v>
      </c>
      <c r="N1926" s="1">
        <v>1.8023303444719971</v>
      </c>
      <c r="O1926" s="1">
        <v>0.12364952380952381</v>
      </c>
      <c r="P1926" s="1">
        <v>9.7086770515758314E-2</v>
      </c>
      <c r="Q1926" s="1">
        <v>3.2794772219379311</v>
      </c>
      <c r="R1926" s="2">
        <f t="shared" si="119"/>
        <v>172.56456852463592</v>
      </c>
      <c r="S1926" s="2">
        <f t="shared" si="118"/>
        <v>3.0142589485854838</v>
      </c>
      <c r="T1926" s="2">
        <f t="shared" si="120"/>
        <v>9.7302686476877494</v>
      </c>
      <c r="U1926" s="2">
        <f t="shared" si="121"/>
        <v>185.30909612090915</v>
      </c>
    </row>
    <row r="1927" spans="1:21" x14ac:dyDescent="0.25">
      <c r="A1927">
        <v>3780717</v>
      </c>
      <c r="B1927">
        <v>10</v>
      </c>
      <c r="C1927" s="1">
        <f>5.19850466187034*(10.3/7.3)</f>
        <v>7.3348764407211711</v>
      </c>
      <c r="D1927" s="1">
        <f>5.70828782592997*(10.3/7.3)</f>
        <v>8.0541595352162574</v>
      </c>
      <c r="E1927" s="1">
        <f>20.3431185589474*(10.3/7.3)</f>
        <v>28.703304268103935</v>
      </c>
      <c r="F1927" s="1">
        <f>39.0248150866412*(38.9/42.5)</f>
        <v>35.719183691066917</v>
      </c>
      <c r="G1927" s="1">
        <v>1.3110368846004468</v>
      </c>
      <c r="H1927" s="1">
        <v>5.1420888536326119</v>
      </c>
      <c r="I1927" s="1">
        <v>30.239218947082424</v>
      </c>
      <c r="J1927" s="1">
        <v>3.2880585914685144E-2</v>
      </c>
      <c r="K1927" s="1">
        <v>2.7947189335762972</v>
      </c>
      <c r="L1927" s="1">
        <v>6.612935669610529</v>
      </c>
      <c r="M1927" s="1">
        <v>0.11642790557386987</v>
      </c>
      <c r="N1927" s="1">
        <v>1.3417266730771897</v>
      </c>
      <c r="O1927" s="1">
        <v>0.10038933333333336</v>
      </c>
      <c r="P1927" s="1">
        <v>8.1619776979892353E-2</v>
      </c>
      <c r="Q1927" s="1">
        <v>2.0952644274436376</v>
      </c>
      <c r="R1927" s="2">
        <f t="shared" si="119"/>
        <v>118.5991330478674</v>
      </c>
      <c r="S1927" s="2">
        <f t="shared" si="118"/>
        <v>2.9092192964708747</v>
      </c>
      <c r="T1927" s="2">
        <f t="shared" si="120"/>
        <v>8.171479581594923</v>
      </c>
      <c r="U1927" s="2">
        <f t="shared" si="121"/>
        <v>129.6798319259332</v>
      </c>
    </row>
    <row r="1928" spans="1:21" x14ac:dyDescent="0.25">
      <c r="A1928">
        <v>3780725</v>
      </c>
      <c r="B1928">
        <v>22</v>
      </c>
      <c r="C1928" s="1">
        <f>5.24912392967531*(10.3/7.3)</f>
        <v>7.4062981473500953</v>
      </c>
      <c r="D1928" s="1">
        <f>5.70548336919928*(10.3/7.3)</f>
        <v>8.0502025620209015</v>
      </c>
      <c r="E1928" s="1">
        <f>20.377220618324*(10.3/7.3)</f>
        <v>28.751420872429694</v>
      </c>
      <c r="F1928" s="1">
        <f>37.4032781613625*(38.9/42.5)</f>
        <v>34.235000481811774</v>
      </c>
      <c r="G1928" s="1">
        <v>1.1677493678807285</v>
      </c>
      <c r="H1928" s="1">
        <v>6.0455913770453726</v>
      </c>
      <c r="I1928" s="1">
        <v>28.895105376740688</v>
      </c>
      <c r="J1928" s="1">
        <v>3.4668903425454631E-2</v>
      </c>
      <c r="K1928" s="1">
        <v>2.783376003829098</v>
      </c>
      <c r="L1928" s="1">
        <v>5.9274488668130827</v>
      </c>
      <c r="M1928" s="1">
        <v>0.12164898594193389</v>
      </c>
      <c r="N1928" s="1">
        <v>1.488223281257387</v>
      </c>
      <c r="O1928" s="1">
        <v>0.10691393939393938</v>
      </c>
      <c r="P1928" s="1">
        <v>8.6967887004220881E-2</v>
      </c>
      <c r="Q1928" s="1">
        <v>1.8662661130513947</v>
      </c>
      <c r="R1928" s="2">
        <f t="shared" si="119"/>
        <v>116.41763429833064</v>
      </c>
      <c r="S1928" s="2">
        <f t="shared" si="118"/>
        <v>2.9050127942587736</v>
      </c>
      <c r="T1928" s="2">
        <f t="shared" si="120"/>
        <v>7.6442350734063425</v>
      </c>
      <c r="U1928" s="2">
        <f t="shared" si="121"/>
        <v>126.96688216599577</v>
      </c>
    </row>
    <row r="1929" spans="1:21" x14ac:dyDescent="0.25">
      <c r="A1929">
        <v>3780773</v>
      </c>
      <c r="B1929">
        <v>5</v>
      </c>
      <c r="C1929" s="1">
        <f>6.23884286113523*(10.3/7.3)</f>
        <v>8.802750886259302</v>
      </c>
      <c r="D1929" s="1">
        <f>6.70346131681655*(10.3/7.3)</f>
        <v>9.4583084333165068</v>
      </c>
      <c r="E1929" s="1">
        <f>23.9632142403154*(10.3/7.3)</f>
        <v>33.811110503458778</v>
      </c>
      <c r="F1929" s="1">
        <f>43.6140137501157*(38.9/42.5)</f>
        <v>39.9196502324588</v>
      </c>
      <c r="G1929" s="1">
        <v>1.336894965391731</v>
      </c>
      <c r="H1929" s="1">
        <v>3.6846486185828873</v>
      </c>
      <c r="I1929" s="1">
        <v>33.807414536482504</v>
      </c>
      <c r="J1929" s="1">
        <v>3.1969994388386082E-2</v>
      </c>
      <c r="K1929" s="1">
        <v>2.3404734389557098</v>
      </c>
      <c r="L1929" s="1">
        <v>3.6118004427438875</v>
      </c>
      <c r="M1929" s="1">
        <v>0.11677042555887591</v>
      </c>
      <c r="N1929" s="1">
        <v>1.4295851130428323</v>
      </c>
      <c r="O1929" s="1">
        <v>0.10538666666666667</v>
      </c>
      <c r="P1929" s="1">
        <v>8.4409752371349414E-2</v>
      </c>
      <c r="Q1929" s="1">
        <v>2.1365901273383856</v>
      </c>
      <c r="R1929" s="2">
        <f t="shared" si="119"/>
        <v>132.95736830328889</v>
      </c>
      <c r="S1929" s="2">
        <f t="shared" ref="S1929:S1992" si="122">J1929+K1929+P1929</f>
        <v>2.4568531857154454</v>
      </c>
      <c r="T1929" s="2">
        <f t="shared" si="120"/>
        <v>5.2635426480122627</v>
      </c>
      <c r="U1929" s="2">
        <f t="shared" si="121"/>
        <v>140.6777641370166</v>
      </c>
    </row>
    <row r="1930" spans="1:21" x14ac:dyDescent="0.25">
      <c r="A1930">
        <v>3780781</v>
      </c>
      <c r="B1930">
        <v>26</v>
      </c>
      <c r="C1930" s="1">
        <f>4.47450207066913*(10.3/7.3)</f>
        <v>6.3133385380673968</v>
      </c>
      <c r="D1930" s="1">
        <f>4.87377155896235*(10.3/7.3)</f>
        <v>6.8766913777140068</v>
      </c>
      <c r="E1930" s="1">
        <f>17.3960985357499*(10.3/7.3)</f>
        <v>24.545180125784093</v>
      </c>
      <c r="F1930" s="1">
        <f>32.3721607847942*(38.9/42.5)</f>
        <v>29.630048341846948</v>
      </c>
      <c r="G1930" s="1">
        <v>1.0346079759180007</v>
      </c>
      <c r="H1930" s="1">
        <v>3.775780621848535</v>
      </c>
      <c r="I1930" s="1">
        <v>25.042452808798849</v>
      </c>
      <c r="J1930" s="1">
        <v>2.9268966716714282E-2</v>
      </c>
      <c r="K1930" s="1">
        <v>2.3505409433201203</v>
      </c>
      <c r="L1930" s="1">
        <v>3.3188987608667904</v>
      </c>
      <c r="M1930" s="1">
        <v>0.1098632228627984</v>
      </c>
      <c r="N1930" s="1">
        <v>1.3198218913308892</v>
      </c>
      <c r="O1930" s="1">
        <v>9.7423589743589722E-2</v>
      </c>
      <c r="P1930" s="1">
        <v>8.1364950118618426E-2</v>
      </c>
      <c r="Q1930" s="1">
        <v>1.6534830665356191</v>
      </c>
      <c r="R1930" s="2">
        <f t="shared" ref="R1930:R1993" si="123">C1930+D1930+E1930+F1930+G1930+H1930+I1930+Q1930</f>
        <v>98.871582856513442</v>
      </c>
      <c r="S1930" s="2">
        <f t="shared" si="122"/>
        <v>2.4611748601554528</v>
      </c>
      <c r="T1930" s="2">
        <f t="shared" ref="T1930:T1993" si="124">L1930+M1930+N1930+O1930</f>
        <v>4.8460074648040674</v>
      </c>
      <c r="U1930" s="2">
        <f t="shared" ref="U1930:U1993" si="125">R1930+S1930+T1930</f>
        <v>106.17876518147295</v>
      </c>
    </row>
    <row r="1931" spans="1:21" x14ac:dyDescent="0.25">
      <c r="A1931">
        <v>3792217</v>
      </c>
      <c r="B1931">
        <v>1</v>
      </c>
      <c r="C1931" s="1">
        <f>0.443697072733954*(10.3/7.3)</f>
        <v>0.62603833550133192</v>
      </c>
      <c r="D1931" s="1">
        <f>0.561276266625347*(10.3/7.3)</f>
        <v>0.79193774606042056</v>
      </c>
      <c r="E1931" s="1">
        <f>1.96742646296311*(10.3/7.3)</f>
        <v>2.7759578860986345</v>
      </c>
      <c r="F1931" s="1">
        <f>4.75031033895993*(38.9/42.5)</f>
        <v>4.3479311102480285</v>
      </c>
      <c r="G1931" s="1">
        <v>0.21362422761596603</v>
      </c>
      <c r="H1931" s="1">
        <v>1.3154180788362491</v>
      </c>
      <c r="I1931" s="1">
        <v>3.6490681401881764</v>
      </c>
      <c r="J1931" s="1">
        <v>1.5945959719626632E-2</v>
      </c>
      <c r="K1931" s="1">
        <v>2.0080656711990863</v>
      </c>
      <c r="L1931" s="1">
        <v>1.9116199423235307</v>
      </c>
      <c r="M1931" s="1">
        <v>0.10293641300487999</v>
      </c>
      <c r="N1931" s="1">
        <v>0.63515630953414559</v>
      </c>
      <c r="O1931" s="1">
        <v>0.29749333333333333</v>
      </c>
      <c r="P1931" s="1">
        <v>0.15942138887955054</v>
      </c>
      <c r="Q1931" s="1">
        <v>0.34140858294789128</v>
      </c>
      <c r="R1931" s="2">
        <f t="shared" si="123"/>
        <v>14.0613841074967</v>
      </c>
      <c r="S1931" s="2">
        <f t="shared" si="122"/>
        <v>2.1834330197982634</v>
      </c>
      <c r="T1931" s="2">
        <f t="shared" si="124"/>
        <v>2.9472059981958898</v>
      </c>
      <c r="U1931" s="2">
        <f t="shared" si="125"/>
        <v>19.192023125490856</v>
      </c>
    </row>
    <row r="1932" spans="1:21" x14ac:dyDescent="0.25">
      <c r="A1932">
        <v>3792225</v>
      </c>
      <c r="B1932">
        <v>11</v>
      </c>
      <c r="C1932" s="1">
        <f>0.415758712906834*(10.3/7.3)</f>
        <v>0.58661845793704026</v>
      </c>
      <c r="D1932" s="1">
        <f>0.518072184892546*(10.3/7.3)</f>
        <v>0.73097856224564717</v>
      </c>
      <c r="E1932" s="1">
        <f>1.81897049265846*(10.3/7.3)</f>
        <v>2.5664926129290575</v>
      </c>
      <c r="F1932" s="1">
        <f>4.30245620889552*(38.9/42.5)</f>
        <v>3.9380128594361321</v>
      </c>
      <c r="G1932" s="1">
        <v>0.18954139039466017</v>
      </c>
      <c r="H1932" s="1">
        <v>1.2157753731244219</v>
      </c>
      <c r="I1932" s="1">
        <v>3.3076656082456326</v>
      </c>
      <c r="J1932" s="1">
        <v>1.4929905292670888E-2</v>
      </c>
      <c r="K1932" s="1">
        <v>1.8717946287103755</v>
      </c>
      <c r="L1932" s="1">
        <v>1.7576436772468169</v>
      </c>
      <c r="M1932" s="1">
        <v>9.5619971262525111E-2</v>
      </c>
      <c r="N1932" s="1">
        <v>0.58791461046609905</v>
      </c>
      <c r="O1932" s="1">
        <v>0.27669333333333335</v>
      </c>
      <c r="P1932" s="1">
        <v>0.14702482350102583</v>
      </c>
      <c r="Q1932" s="1">
        <v>0.3029200303111011</v>
      </c>
      <c r="R1932" s="2">
        <f t="shared" si="123"/>
        <v>12.838004894623692</v>
      </c>
      <c r="S1932" s="2">
        <f t="shared" si="122"/>
        <v>2.0337493575040719</v>
      </c>
      <c r="T1932" s="2">
        <f t="shared" si="124"/>
        <v>2.7178715923087742</v>
      </c>
      <c r="U1932" s="2">
        <f t="shared" si="125"/>
        <v>17.58962584443654</v>
      </c>
    </row>
    <row r="1933" spans="1:21" x14ac:dyDescent="0.25">
      <c r="A1933">
        <v>3792249</v>
      </c>
      <c r="B1933">
        <v>59</v>
      </c>
      <c r="C1933" s="1">
        <f>1.10465219999423*(10.3/7.3)</f>
        <v>1.5586188575261002</v>
      </c>
      <c r="D1933" s="1">
        <f>1.42159324661312*(10.3/7.3)</f>
        <v>2.0058096493308475</v>
      </c>
      <c r="E1933" s="1">
        <f>4.95349253608716*(10.3/7.3)</f>
        <v>6.9891744002325655</v>
      </c>
      <c r="F1933" s="1">
        <f>13.2727280694619*(38.9/42.5)</f>
        <v>12.148449927107505</v>
      </c>
      <c r="G1933" s="1">
        <v>0.64952356478925422</v>
      </c>
      <c r="H1933" s="1">
        <v>3.244751824995229</v>
      </c>
      <c r="I1933" s="1">
        <v>10.320485213163609</v>
      </c>
      <c r="J1933" s="1">
        <v>3.4083282464379416E-2</v>
      </c>
      <c r="K1933" s="1">
        <v>4.225491990944656</v>
      </c>
      <c r="L1933" s="1">
        <v>4.055075400239013</v>
      </c>
      <c r="M1933" s="1">
        <v>0.2149243802562974</v>
      </c>
      <c r="N1933" s="1">
        <v>1.3474071596748909</v>
      </c>
      <c r="O1933" s="1">
        <v>0.95574327683615823</v>
      </c>
      <c r="P1933" s="1">
        <v>0.35698301460416793</v>
      </c>
      <c r="Q1933" s="1">
        <v>1.0380513592522338</v>
      </c>
      <c r="R1933" s="2">
        <f t="shared" si="123"/>
        <v>37.954864796397352</v>
      </c>
      <c r="S1933" s="2">
        <f t="shared" si="122"/>
        <v>4.6165582880132039</v>
      </c>
      <c r="T1933" s="2">
        <f t="shared" si="124"/>
        <v>6.5731502170063596</v>
      </c>
      <c r="U1933" s="2">
        <f t="shared" si="125"/>
        <v>49.144573301416912</v>
      </c>
    </row>
    <row r="1934" spans="1:21" x14ac:dyDescent="0.25">
      <c r="A1934">
        <v>3792593</v>
      </c>
      <c r="B1934">
        <v>24</v>
      </c>
      <c r="C1934" s="1">
        <f>2.55814529737884*(10.3/7.3)</f>
        <v>3.6094378853427518</v>
      </c>
      <c r="D1934" s="1">
        <f>3.62748689123474*(10.3/7.3)</f>
        <v>5.1182349287284632</v>
      </c>
      <c r="E1934" s="1">
        <f>12.5689863252963*(10.3/7.3)</f>
        <v>17.734323171308471</v>
      </c>
      <c r="F1934" s="1">
        <f>34.6806552413267*(38.9/42.5)</f>
        <v>31.74299973853201</v>
      </c>
      <c r="G1934" s="1">
        <v>1.7512769689436289</v>
      </c>
      <c r="H1934" s="1">
        <v>8.4790328815520546</v>
      </c>
      <c r="I1934" s="1">
        <v>26.494811583365188</v>
      </c>
      <c r="J1934" s="1">
        <v>4.3218091068208397E-2</v>
      </c>
      <c r="K1934" s="1">
        <v>3.4326076356756321</v>
      </c>
      <c r="L1934" s="1">
        <v>6.0140827238194881</v>
      </c>
      <c r="M1934" s="1">
        <v>0.19150058255613192</v>
      </c>
      <c r="N1934" s="1">
        <v>2.2010050602034412</v>
      </c>
      <c r="O1934" s="1">
        <v>0.22961333333333331</v>
      </c>
      <c r="P1934" s="1">
        <v>0.18912986059060766</v>
      </c>
      <c r="Q1934" s="1">
        <v>2.798844470914478</v>
      </c>
      <c r="R1934" s="2">
        <f t="shared" si="123"/>
        <v>97.728961628687046</v>
      </c>
      <c r="S1934" s="2">
        <f t="shared" si="122"/>
        <v>3.6649555873344482</v>
      </c>
      <c r="T1934" s="2">
        <f t="shared" si="124"/>
        <v>8.6362016999123945</v>
      </c>
      <c r="U1934" s="2">
        <f t="shared" si="125"/>
        <v>110.03011891593388</v>
      </c>
    </row>
    <row r="1935" spans="1:21" x14ac:dyDescent="0.25">
      <c r="A1935">
        <v>3792601</v>
      </c>
      <c r="B1935">
        <v>23</v>
      </c>
      <c r="C1935" s="1">
        <f>2.5253605422631*(10.3/7.3)</f>
        <v>3.5631799431931448</v>
      </c>
      <c r="D1935" s="1">
        <f>3.84840979643474*(10.3/7.3)</f>
        <v>5.429948068942168</v>
      </c>
      <c r="E1935" s="1">
        <f>13.2416324401742*(10.3/7.3)</f>
        <v>18.683399196410242</v>
      </c>
      <c r="F1935" s="1">
        <f>39.3950288132935*(38.9/42.5)</f>
        <v>36.058038137343942</v>
      </c>
      <c r="G1935" s="1">
        <v>2.0990155966152884</v>
      </c>
      <c r="H1935" s="1">
        <v>10.742064943660768</v>
      </c>
      <c r="I1935" s="1">
        <v>30.042176886324963</v>
      </c>
      <c r="J1935" s="1">
        <v>3.9623405659144899E-2</v>
      </c>
      <c r="K1935" s="1">
        <v>3.4460197568446063</v>
      </c>
      <c r="L1935" s="1">
        <v>5.9247850051020068</v>
      </c>
      <c r="M1935" s="1">
        <v>0.18989219854336792</v>
      </c>
      <c r="N1935" s="1">
        <v>2.2208532006480026</v>
      </c>
      <c r="O1935" s="1">
        <v>0.22497623188405788</v>
      </c>
      <c r="P1935" s="1">
        <v>0.18554805504152053</v>
      </c>
      <c r="Q1935" s="1">
        <v>3.35459113614316</v>
      </c>
      <c r="R1935" s="2">
        <f t="shared" si="123"/>
        <v>109.97241390863367</v>
      </c>
      <c r="S1935" s="2">
        <f t="shared" si="122"/>
        <v>3.6711912175452714</v>
      </c>
      <c r="T1935" s="2">
        <f t="shared" si="124"/>
        <v>8.5605066361774362</v>
      </c>
      <c r="U1935" s="2">
        <f t="shared" si="125"/>
        <v>122.20411176235638</v>
      </c>
    </row>
    <row r="1936" spans="1:21" x14ac:dyDescent="0.25">
      <c r="A1936">
        <v>3792609</v>
      </c>
      <c r="B1936">
        <v>22</v>
      </c>
      <c r="C1936" s="1">
        <f>3.49499250017207*(10.3/7.3)</f>
        <v>4.9312907879140111</v>
      </c>
      <c r="D1936" s="1">
        <f>5.28307782601289*(10.3/7.3)</f>
        <v>7.4542056997168213</v>
      </c>
      <c r="E1936" s="1">
        <f>18.298396924422*(10.3/7.3)</f>
        <v>25.818286071444717</v>
      </c>
      <c r="F1936" s="1">
        <f>48.5313612199524*(38.9/42.5)</f>
        <v>44.420469446027042</v>
      </c>
      <c r="G1936" s="1">
        <v>2.4018460256680281</v>
      </c>
      <c r="H1936" s="1">
        <v>14.110604184897715</v>
      </c>
      <c r="I1936" s="1">
        <v>36.294523977296393</v>
      </c>
      <c r="J1936" s="1">
        <v>4.2052077963014606E-2</v>
      </c>
      <c r="K1936" s="1">
        <v>3.4722794263111085</v>
      </c>
      <c r="L1936" s="1">
        <v>5.9587301753540238</v>
      </c>
      <c r="M1936" s="1">
        <v>0.19518761363770906</v>
      </c>
      <c r="N1936" s="1">
        <v>2.016930183004729</v>
      </c>
      <c r="O1936" s="1">
        <v>0.22655515151515149</v>
      </c>
      <c r="P1936" s="1">
        <v>0.1776922343167277</v>
      </c>
      <c r="Q1936" s="1">
        <v>3.8385667076886323</v>
      </c>
      <c r="R1936" s="2">
        <f t="shared" si="123"/>
        <v>139.26979290065336</v>
      </c>
      <c r="S1936" s="2">
        <f t="shared" si="122"/>
        <v>3.692023738590851</v>
      </c>
      <c r="T1936" s="2">
        <f t="shared" si="124"/>
        <v>8.397403123511614</v>
      </c>
      <c r="U1936" s="2">
        <f t="shared" si="125"/>
        <v>151.35921976275583</v>
      </c>
    </row>
    <row r="1937" spans="1:21" x14ac:dyDescent="0.25">
      <c r="A1937">
        <v>3792617</v>
      </c>
      <c r="B1937">
        <v>14</v>
      </c>
      <c r="C1937" s="1">
        <f>3.76289029380797*(10.3/7.3)</f>
        <v>5.3092835652359041</v>
      </c>
      <c r="D1937" s="1">
        <f>7.49361736657241*(10.3/7.3)</f>
        <v>10.573186147355598</v>
      </c>
      <c r="E1937" s="1">
        <f>25.9253286268188*(10.3/7.3)</f>
        <v>36.579573267977189</v>
      </c>
      <c r="F1937" s="1">
        <f>58.2457221252083*(38.9/42.5)</f>
        <v>53.311966839308283</v>
      </c>
      <c r="G1937" s="1">
        <v>2.6065006749009849</v>
      </c>
      <c r="H1937" s="1">
        <v>13.933968610523918</v>
      </c>
      <c r="I1937" s="1">
        <v>39.292328302584281</v>
      </c>
      <c r="J1937" s="1">
        <v>5.3584995562049528E-2</v>
      </c>
      <c r="K1937" s="1">
        <v>4.8522308228876145</v>
      </c>
      <c r="L1937" s="1">
        <v>8.4693985796702211</v>
      </c>
      <c r="M1937" s="1">
        <v>0.26574501385162425</v>
      </c>
      <c r="N1937" s="1">
        <v>2.7573742481467045</v>
      </c>
      <c r="O1937" s="1">
        <v>0.29081904761904764</v>
      </c>
      <c r="P1937" s="1">
        <v>0.21745716802216331</v>
      </c>
      <c r="Q1937" s="1">
        <v>4.1656403480152759</v>
      </c>
      <c r="R1937" s="2">
        <f t="shared" si="123"/>
        <v>165.77244775590142</v>
      </c>
      <c r="S1937" s="2">
        <f t="shared" si="122"/>
        <v>5.1232729864718269</v>
      </c>
      <c r="T1937" s="2">
        <f t="shared" si="124"/>
        <v>11.783336889287598</v>
      </c>
      <c r="U1937" s="2">
        <f t="shared" si="125"/>
        <v>182.67905763166084</v>
      </c>
    </row>
    <row r="1938" spans="1:21" x14ac:dyDescent="0.25">
      <c r="A1938">
        <v>3792745</v>
      </c>
      <c r="B1938">
        <v>24</v>
      </c>
      <c r="C1938" s="1">
        <f>4.4421983073033*(10.3/7.3)</f>
        <v>6.2677592555101382</v>
      </c>
      <c r="D1938" s="1">
        <f>5.30268021630368*(10.3/7.3)</f>
        <v>7.4818638668394399</v>
      </c>
      <c r="E1938" s="1">
        <f>18.7649329447216*(10.3/7.3)</f>
        <v>26.476549223374263</v>
      </c>
      <c r="F1938" s="1">
        <f>38.7898195674597*(38.9/42.5)</f>
        <v>35.504093674686665</v>
      </c>
      <c r="G1938" s="1">
        <v>1.4717289413020263</v>
      </c>
      <c r="H1938" s="1">
        <v>8.1015555919472941</v>
      </c>
      <c r="I1938" s="1">
        <v>29.529856853086343</v>
      </c>
      <c r="J1938" s="1">
        <v>3.8085228923226577E-2</v>
      </c>
      <c r="K1938" s="1">
        <v>2.9394713674576436</v>
      </c>
      <c r="L1938" s="1">
        <v>12.299533644251342</v>
      </c>
      <c r="M1938" s="1">
        <v>0.15702432303418098</v>
      </c>
      <c r="N1938" s="1">
        <v>1.8732032922784372</v>
      </c>
      <c r="O1938" s="1">
        <v>0.15332000000000001</v>
      </c>
      <c r="P1938" s="1">
        <v>0.12210787482988182</v>
      </c>
      <c r="Q1938" s="1">
        <v>2.3520782166927385</v>
      </c>
      <c r="R1938" s="2">
        <f t="shared" si="123"/>
        <v>117.18548562343891</v>
      </c>
      <c r="S1938" s="2">
        <f t="shared" si="122"/>
        <v>3.0996644712107519</v>
      </c>
      <c r="T1938" s="2">
        <f t="shared" si="124"/>
        <v>14.48308125956396</v>
      </c>
      <c r="U1938" s="2">
        <f t="shared" si="125"/>
        <v>134.76823135421364</v>
      </c>
    </row>
    <row r="1939" spans="1:21" x14ac:dyDescent="0.25">
      <c r="A1939">
        <v>3792897</v>
      </c>
      <c r="B1939">
        <v>1</v>
      </c>
      <c r="C1939" s="1">
        <f>5.28533227574467*(10.3/7.3)</f>
        <v>7.4573866356397431</v>
      </c>
      <c r="D1939" s="1">
        <f>5.77078549535187*(10.3/7.3)</f>
        <v>8.14234117837319</v>
      </c>
      <c r="E1939" s="1">
        <f>20.6111224227411*(10.3/7.3)</f>
        <v>29.0814467060593</v>
      </c>
      <c r="F1939" s="1">
        <f>37.5584804322247*(38.9/42.5)</f>
        <v>34.3770562073774</v>
      </c>
      <c r="G1939" s="1">
        <v>1.1598583126713173</v>
      </c>
      <c r="H1939" s="1">
        <v>4.6086659963312915</v>
      </c>
      <c r="I1939" s="1">
        <v>28.926988463862543</v>
      </c>
      <c r="J1939" s="1">
        <v>5.1122118866966916E-2</v>
      </c>
      <c r="K1939" s="1">
        <v>2.4131606000149115</v>
      </c>
      <c r="L1939" s="1">
        <v>10.022871443517412</v>
      </c>
      <c r="M1939" s="1">
        <v>0.13410767489953082</v>
      </c>
      <c r="N1939" s="1">
        <v>2.0638895781698445</v>
      </c>
      <c r="O1939" s="1">
        <v>0.12144000000000001</v>
      </c>
      <c r="P1939" s="1">
        <v>9.8359629328634623E-2</v>
      </c>
      <c r="Q1939" s="1">
        <v>1.8536548376025637</v>
      </c>
      <c r="R1939" s="2">
        <f t="shared" si="123"/>
        <v>115.60739833791735</v>
      </c>
      <c r="S1939" s="2">
        <f t="shared" si="122"/>
        <v>2.5626423482105132</v>
      </c>
      <c r="T1939" s="2">
        <f t="shared" si="124"/>
        <v>12.342308696586786</v>
      </c>
      <c r="U1939" s="2">
        <f t="shared" si="125"/>
        <v>130.51234938271466</v>
      </c>
    </row>
    <row r="1940" spans="1:21" x14ac:dyDescent="0.25">
      <c r="A1940">
        <v>3792913</v>
      </c>
      <c r="B1940">
        <v>2</v>
      </c>
      <c r="C1940" s="1">
        <f>4.6998433198031*(10.3/7.3)</f>
        <v>6.631285779996154</v>
      </c>
      <c r="D1940" s="1">
        <f>5.21687975170668*(10.3/7.3)</f>
        <v>7.3608029373395674</v>
      </c>
      <c r="E1940" s="1">
        <f>18.6134700161677*(10.3/7.3)</f>
        <v>26.262841255688617</v>
      </c>
      <c r="F1940" s="1">
        <f>34.1024685515832*(38.9/42.5)</f>
        <v>31.213788862507897</v>
      </c>
      <c r="G1940" s="1">
        <v>1.0685503178440008</v>
      </c>
      <c r="H1940" s="1">
        <v>3.6983536894757671</v>
      </c>
      <c r="I1940" s="1">
        <v>26.112922190685428</v>
      </c>
      <c r="J1940" s="1">
        <v>4.7846365566394336E-2</v>
      </c>
      <c r="K1940" s="1">
        <v>2.2510256581413435</v>
      </c>
      <c r="L1940" s="1">
        <v>13.065587589162433</v>
      </c>
      <c r="M1940" s="1">
        <v>0.12558465704677327</v>
      </c>
      <c r="N1940" s="1">
        <v>2.1088356112595612</v>
      </c>
      <c r="O1940" s="1">
        <v>0.11272</v>
      </c>
      <c r="P1940" s="1">
        <v>9.1953660986759125E-2</v>
      </c>
      <c r="Q1940" s="1">
        <v>1.7077288184721491</v>
      </c>
      <c r="R1940" s="2">
        <f t="shared" si="123"/>
        <v>104.05627385200957</v>
      </c>
      <c r="S1940" s="2">
        <f t="shared" si="122"/>
        <v>2.3908256846944971</v>
      </c>
      <c r="T1940" s="2">
        <f t="shared" si="124"/>
        <v>15.412727857468767</v>
      </c>
      <c r="U1940" s="2">
        <f t="shared" si="125"/>
        <v>121.85982739417283</v>
      </c>
    </row>
    <row r="1941" spans="1:21" x14ac:dyDescent="0.25">
      <c r="A1941">
        <v>3792921</v>
      </c>
      <c r="B1941">
        <v>60</v>
      </c>
      <c r="C1941" s="1">
        <f>5.08718210188009*(10.3/7.3)</f>
        <v>7.1778048834746535</v>
      </c>
      <c r="D1941" s="1">
        <f>5.71971477271816*(10.3/7.3)</f>
        <v>8.0702824875338415</v>
      </c>
      <c r="E1941" s="1">
        <f>20.3553021629803*(10.3/7.3)</f>
        <v>28.720494832698289</v>
      </c>
      <c r="F1941" s="1">
        <f>39.2613296609431*(38.9/42.5)</f>
        <v>35.935664089663248</v>
      </c>
      <c r="G1941" s="1">
        <v>1.3385043895073716</v>
      </c>
      <c r="H1941" s="1">
        <v>4.0224607009670335</v>
      </c>
      <c r="I1941" s="1">
        <v>30.174862180214976</v>
      </c>
      <c r="J1941" s="1">
        <v>4.7015970591106716E-2</v>
      </c>
      <c r="K1941" s="1">
        <v>2.336678127025702</v>
      </c>
      <c r="L1941" s="1">
        <v>10.553768204065957</v>
      </c>
      <c r="M1941" s="1">
        <v>0.1301710213836037</v>
      </c>
      <c r="N1941" s="1">
        <v>1.8783624732027604</v>
      </c>
      <c r="O1941" s="1">
        <v>0.11599644444444442</v>
      </c>
      <c r="P1941" s="1">
        <v>9.4251009999747837E-2</v>
      </c>
      <c r="Q1941" s="1">
        <v>2.1391622663359837</v>
      </c>
      <c r="R1941" s="2">
        <f t="shared" si="123"/>
        <v>117.5792358303954</v>
      </c>
      <c r="S1941" s="2">
        <f t="shared" si="122"/>
        <v>2.4779451076165566</v>
      </c>
      <c r="T1941" s="2">
        <f t="shared" si="124"/>
        <v>12.678298143096765</v>
      </c>
      <c r="U1941" s="2">
        <f t="shared" si="125"/>
        <v>132.73547908110874</v>
      </c>
    </row>
    <row r="1942" spans="1:21" x14ac:dyDescent="0.25">
      <c r="A1942">
        <v>3792929</v>
      </c>
      <c r="B1942">
        <v>14</v>
      </c>
      <c r="C1942" s="1">
        <f>5.71434945045793*(10.3/7.3)</f>
        <v>8.0627122383173582</v>
      </c>
      <c r="D1942" s="1">
        <f>6.40426980957563*(10.3/7.3)</f>
        <v>9.0361615121409571</v>
      </c>
      <c r="E1942" s="1">
        <f>22.7837684407672*(10.3/7.3)</f>
        <v>32.146960950671492</v>
      </c>
      <c r="F1942" s="1">
        <f>44.519070914423*(38.9/42.5)</f>
        <v>40.748043731083619</v>
      </c>
      <c r="G1942" s="1">
        <v>1.5450471510145209</v>
      </c>
      <c r="H1942" s="1">
        <v>7.3671954090666558</v>
      </c>
      <c r="I1942" s="1">
        <v>34.330966480195706</v>
      </c>
      <c r="J1942" s="1">
        <v>4.6970447076511393E-2</v>
      </c>
      <c r="K1942" s="1">
        <v>2.5322504194973723</v>
      </c>
      <c r="L1942" s="1">
        <v>6.8704862116875427</v>
      </c>
      <c r="M1942" s="1">
        <v>0.13879502314364836</v>
      </c>
      <c r="N1942" s="1">
        <v>1.9024591655804477</v>
      </c>
      <c r="O1942" s="1">
        <v>0.12352761904761903</v>
      </c>
      <c r="P1942" s="1">
        <v>9.9013593453968624E-2</v>
      </c>
      <c r="Q1942" s="1">
        <v>2.4692534376944422</v>
      </c>
      <c r="R1942" s="2">
        <f t="shared" si="123"/>
        <v>135.70634091018474</v>
      </c>
      <c r="S1942" s="2">
        <f t="shared" si="122"/>
        <v>2.678234460027852</v>
      </c>
      <c r="T1942" s="2">
        <f t="shared" si="124"/>
        <v>9.0352680194592594</v>
      </c>
      <c r="U1942" s="2">
        <f t="shared" si="125"/>
        <v>147.41984338967185</v>
      </c>
    </row>
    <row r="1943" spans="1:21" x14ac:dyDescent="0.25">
      <c r="A1943">
        <v>3792937</v>
      </c>
      <c r="B1943">
        <v>8</v>
      </c>
      <c r="C1943" s="1">
        <f>6.10531553291795*(10.3/7.3)</f>
        <v>8.6143493135691571</v>
      </c>
      <c r="D1943" s="1">
        <f>6.76634355094958*(10.3/7.3)</f>
        <v>9.5470326814768001</v>
      </c>
      <c r="E1943" s="1">
        <f>24.0876356801218*(10.3/7.3)</f>
        <v>33.986664041815636</v>
      </c>
      <c r="F1943" s="1">
        <f>46.9554985232224*(38.9/42.5)</f>
        <v>42.978091589490582</v>
      </c>
      <c r="G1943" s="1">
        <v>1.61921477901027</v>
      </c>
      <c r="H1943" s="1">
        <v>7.3081114856182703</v>
      </c>
      <c r="I1943" s="1">
        <v>36.348643217034223</v>
      </c>
      <c r="J1943" s="1">
        <v>4.915963712925342E-2</v>
      </c>
      <c r="K1943" s="1">
        <v>2.5971999085854591</v>
      </c>
      <c r="L1943" s="1">
        <v>6.9990802500555933</v>
      </c>
      <c r="M1943" s="1">
        <v>0.13668912969536309</v>
      </c>
      <c r="N1943" s="1">
        <v>1.7917340187022404</v>
      </c>
      <c r="O1943" s="1">
        <v>0.12309333333333332</v>
      </c>
      <c r="P1943" s="1">
        <v>9.7904019271185139E-2</v>
      </c>
      <c r="Q1943" s="1">
        <v>2.5877861765004342</v>
      </c>
      <c r="R1943" s="2">
        <f t="shared" si="123"/>
        <v>142.98989328451538</v>
      </c>
      <c r="S1943" s="2">
        <f t="shared" si="122"/>
        <v>2.7442635649858977</v>
      </c>
      <c r="T1943" s="2">
        <f t="shared" si="124"/>
        <v>9.0505967317865306</v>
      </c>
      <c r="U1943" s="2">
        <f t="shared" si="125"/>
        <v>154.78475358128779</v>
      </c>
    </row>
    <row r="1944" spans="1:21" x14ac:dyDescent="0.25">
      <c r="A1944">
        <v>3792945</v>
      </c>
      <c r="B1944">
        <v>1</v>
      </c>
      <c r="C1944" s="1">
        <f>4.96271591226666*(10.3/7.3)</f>
        <v>7.0021882049789896</v>
      </c>
      <c r="D1944" s="1">
        <f>5.41135665720224*(10.3/7.3)</f>
        <v>7.6352018587921995</v>
      </c>
      <c r="E1944" s="1">
        <f>19.315891934549*(10.3/7.3)</f>
        <v>27.253929715870541</v>
      </c>
      <c r="F1944" s="1">
        <f>35.8419628216386*(38.9/42.5)</f>
        <v>32.805937735570403</v>
      </c>
      <c r="G1944" s="1">
        <v>1.1405452232836357</v>
      </c>
      <c r="H1944" s="1">
        <v>4.5582797062839377</v>
      </c>
      <c r="I1944" s="1">
        <v>27.701875048919682</v>
      </c>
      <c r="J1944" s="1">
        <v>3.6177555234043819E-2</v>
      </c>
      <c r="K1944" s="1">
        <v>2.5744963823439631</v>
      </c>
      <c r="L1944" s="1">
        <v>12.525983138759321</v>
      </c>
      <c r="M1944" s="1">
        <v>0.12038668382271064</v>
      </c>
      <c r="N1944" s="1">
        <v>1.4792239550827206</v>
      </c>
      <c r="O1944" s="1">
        <v>0.10538666666666667</v>
      </c>
      <c r="P1944" s="1">
        <v>8.6674086001632122E-2</v>
      </c>
      <c r="Q1944" s="1">
        <v>1.8227891696313832</v>
      </c>
      <c r="R1944" s="2">
        <f t="shared" si="123"/>
        <v>109.92074666333077</v>
      </c>
      <c r="S1944" s="2">
        <f t="shared" si="122"/>
        <v>2.697348023579639</v>
      </c>
      <c r="T1944" s="2">
        <f t="shared" si="124"/>
        <v>14.230980444331417</v>
      </c>
      <c r="U1944" s="2">
        <f t="shared" si="125"/>
        <v>126.84907513124183</v>
      </c>
    </row>
    <row r="1945" spans="1:21" x14ac:dyDescent="0.25">
      <c r="A1945">
        <v>3792953</v>
      </c>
      <c r="B1945">
        <v>20</v>
      </c>
      <c r="C1945" s="1">
        <f>4.93045427591886*(10.3/7.3)</f>
        <v>6.9566683619129153</v>
      </c>
      <c r="D1945" s="1">
        <f>5.36348273653511*(10.3/7.3)</f>
        <v>7.567653724152275</v>
      </c>
      <c r="E1945" s="1">
        <f>19.1550281583131*(10.3/7.3)</f>
        <v>27.026957538441806</v>
      </c>
      <c r="F1945" s="1">
        <f>35.1562182343046*(38.9/42.5)</f>
        <v>32.178279748575285</v>
      </c>
      <c r="G1945" s="1">
        <v>1.0976916238311913</v>
      </c>
      <c r="H1945" s="1">
        <v>4.015619362473938</v>
      </c>
      <c r="I1945" s="1">
        <v>27.1496796570318</v>
      </c>
      <c r="J1945" s="1">
        <v>3.4481546692283642E-2</v>
      </c>
      <c r="K1945" s="1">
        <v>3.8021800803174726</v>
      </c>
      <c r="L1945" s="1">
        <v>10.83219712613646</v>
      </c>
      <c r="M1945" s="1">
        <v>0.12103479648277882</v>
      </c>
      <c r="N1945" s="1">
        <v>1.482069130241396</v>
      </c>
      <c r="O1945" s="1">
        <v>0.10531733333333333</v>
      </c>
      <c r="P1945" s="1">
        <v>8.6222080817665914E-2</v>
      </c>
      <c r="Q1945" s="1">
        <v>1.7543016819219972</v>
      </c>
      <c r="R1945" s="2">
        <f t="shared" si="123"/>
        <v>107.74685169834122</v>
      </c>
      <c r="S1945" s="2">
        <f t="shared" si="122"/>
        <v>3.9228837078274221</v>
      </c>
      <c r="T1945" s="2">
        <f t="shared" si="124"/>
        <v>12.540618386193968</v>
      </c>
      <c r="U1945" s="2">
        <f t="shared" si="125"/>
        <v>124.21035379236261</v>
      </c>
    </row>
    <row r="1946" spans="1:21" x14ac:dyDescent="0.25">
      <c r="A1946">
        <v>3792961</v>
      </c>
      <c r="B1946">
        <v>12</v>
      </c>
      <c r="C1946" s="1">
        <f>7.28077422762717*(10.3/7.3)</f>
        <v>10.272873225282178</v>
      </c>
      <c r="D1946" s="1">
        <f>7.87284515500956*(10.3/7.3)</f>
        <v>11.108260972136783</v>
      </c>
      <c r="E1946" s="1">
        <f>28.1163314393219*(10.3/7.3)</f>
        <v>39.670988195207549</v>
      </c>
      <c r="F1946" s="1">
        <f>52.0708540094911*(38.9/42.5)</f>
        <v>47.660146375745981</v>
      </c>
      <c r="G1946" s="1">
        <v>1.6473349948085378</v>
      </c>
      <c r="H1946" s="1">
        <v>6.6224380552238662</v>
      </c>
      <c r="I1946" s="1">
        <v>40.368769109790669</v>
      </c>
      <c r="J1946" s="1">
        <v>4.2467397603493856E-2</v>
      </c>
      <c r="K1946" s="1">
        <v>3.3331932258090209</v>
      </c>
      <c r="L1946" s="1">
        <v>8.6669117179660109</v>
      </c>
      <c r="M1946" s="1">
        <v>0.144341986723623</v>
      </c>
      <c r="N1946" s="1">
        <v>1.8034763225072139</v>
      </c>
      <c r="O1946" s="1">
        <v>0.12910222222222223</v>
      </c>
      <c r="P1946" s="1">
        <v>9.9792161351594341E-2</v>
      </c>
      <c r="Q1946" s="1">
        <v>2.6327271606529163</v>
      </c>
      <c r="R1946" s="2">
        <f t="shared" si="123"/>
        <v>159.98353808884846</v>
      </c>
      <c r="S1946" s="2">
        <f t="shared" si="122"/>
        <v>3.475452784764109</v>
      </c>
      <c r="T1946" s="2">
        <f t="shared" si="124"/>
        <v>10.74383224941907</v>
      </c>
      <c r="U1946" s="2">
        <f t="shared" si="125"/>
        <v>174.20282312303164</v>
      </c>
    </row>
    <row r="1947" spans="1:21" x14ac:dyDescent="0.25">
      <c r="A1947">
        <v>3792993</v>
      </c>
      <c r="B1947">
        <v>23</v>
      </c>
      <c r="C1947" s="1">
        <f>4.99786949347227*(10.3/7.3)</f>
        <v>7.0517884633923762</v>
      </c>
      <c r="D1947" s="1">
        <f>5.53015718476636*(10.3/7.3)</f>
        <v>7.8028245209717157</v>
      </c>
      <c r="E1947" s="1">
        <f>19.7471487391998*(10.3/7.3)</f>
        <v>27.862415344350421</v>
      </c>
      <c r="F1947" s="1">
        <f>35.5373345947118*(38.9/42.5)</f>
        <v>32.527113311395013</v>
      </c>
      <c r="G1947" s="1">
        <v>1.0785660673404629</v>
      </c>
      <c r="H1947" s="1">
        <v>3.0811143340348068</v>
      </c>
      <c r="I1947" s="1">
        <v>27.16249067652096</v>
      </c>
      <c r="J1947" s="1">
        <v>3.1336982182657055E-2</v>
      </c>
      <c r="K1947" s="1">
        <v>2.4691314990499795</v>
      </c>
      <c r="L1947" s="1">
        <v>4.0729689099357804</v>
      </c>
      <c r="M1947" s="1">
        <v>0.11422021938353129</v>
      </c>
      <c r="N1947" s="1">
        <v>1.359566046880553</v>
      </c>
      <c r="O1947" s="1">
        <v>0.10097159420289854</v>
      </c>
      <c r="P1947" s="1">
        <v>8.2922468703313684E-2</v>
      </c>
      <c r="Q1947" s="1">
        <v>1.7237357240601017</v>
      </c>
      <c r="R1947" s="2">
        <f t="shared" si="123"/>
        <v>108.29004844206585</v>
      </c>
      <c r="S1947" s="2">
        <f t="shared" si="122"/>
        <v>2.5833909499359504</v>
      </c>
      <c r="T1947" s="2">
        <f t="shared" si="124"/>
        <v>5.6477267704027634</v>
      </c>
      <c r="U1947" s="2">
        <f t="shared" si="125"/>
        <v>116.52116616240457</v>
      </c>
    </row>
    <row r="1948" spans="1:21" x14ac:dyDescent="0.25">
      <c r="A1948">
        <v>380141</v>
      </c>
      <c r="B1948">
        <v>4</v>
      </c>
      <c r="C1948" s="1">
        <f>0.983880335656238*(10.3/7.3)</f>
        <v>1.3882147201725001</v>
      </c>
      <c r="D1948" s="1">
        <f>1.41820616949832*(10.3/7.3)</f>
        <v>2.0010306227168093</v>
      </c>
      <c r="E1948" s="1">
        <f>4.90106965844707*(10.3/7.3)</f>
        <v>6.9152078742472352</v>
      </c>
      <c r="F1948" s="1">
        <f>14.0212155623655*(38.9/42.5)</f>
        <v>12.833536126494556</v>
      </c>
      <c r="G1948" s="1">
        <v>0.72593074735947871</v>
      </c>
      <c r="H1948" s="1">
        <v>4.1745041304232604</v>
      </c>
      <c r="I1948" s="1">
        <v>10.740051542500982</v>
      </c>
      <c r="J1948" s="1">
        <v>2.1875836970339308E-2</v>
      </c>
      <c r="K1948" s="1">
        <v>3.0597039763032337</v>
      </c>
      <c r="L1948" s="1">
        <v>1.2231604163675562</v>
      </c>
      <c r="M1948" s="1">
        <v>6.4763479120539785E-2</v>
      </c>
      <c r="N1948" s="1">
        <v>1.2782705155134928</v>
      </c>
      <c r="O1948" s="1">
        <v>6.7239999999999994E-2</v>
      </c>
      <c r="P1948" s="1">
        <v>5.8193803480815681E-2</v>
      </c>
      <c r="Q1948" s="1">
        <v>1.160163294866748</v>
      </c>
      <c r="R1948" s="2">
        <f t="shared" si="123"/>
        <v>39.938639058781561</v>
      </c>
      <c r="S1948" s="2">
        <f t="shared" si="122"/>
        <v>3.1397736167543888</v>
      </c>
      <c r="T1948" s="2">
        <f t="shared" si="124"/>
        <v>2.6334344110015886</v>
      </c>
      <c r="U1948" s="2">
        <f t="shared" si="125"/>
        <v>45.711847086537539</v>
      </c>
    </row>
    <row r="1949" spans="1:21" x14ac:dyDescent="0.25">
      <c r="A1949">
        <v>380157</v>
      </c>
      <c r="B1949">
        <v>3</v>
      </c>
      <c r="C1949" s="1">
        <f>1.06529781915537*(10.3/7.3)</f>
        <v>1.5030914434657952</v>
      </c>
      <c r="D1949" s="1">
        <f>1.45815661732451*(10.3/7.3)</f>
        <v>2.0573990628003416</v>
      </c>
      <c r="E1949" s="1">
        <f>5.05004443399722*(10.3/7.3)</f>
        <v>7.1254051602974533</v>
      </c>
      <c r="F1949" s="1">
        <f>14.4276197503665*(38.9/42.5)</f>
        <v>13.205515489158982</v>
      </c>
      <c r="G1949" s="1">
        <v>0.74240946205461622</v>
      </c>
      <c r="H1949" s="1">
        <v>4.4384723055046749</v>
      </c>
      <c r="I1949" s="1">
        <v>11.171078624993447</v>
      </c>
      <c r="J1949" s="1">
        <v>2.080018481788445E-2</v>
      </c>
      <c r="K1949" s="1">
        <v>2.4629146231831345</v>
      </c>
      <c r="L1949" s="1">
        <v>1.1512281639820989</v>
      </c>
      <c r="M1949" s="1">
        <v>6.0616220981874934E-2</v>
      </c>
      <c r="N1949" s="1">
        <v>0.66940282410786145</v>
      </c>
      <c r="O1949" s="1">
        <v>6.4373333333333338E-2</v>
      </c>
      <c r="P1949" s="1">
        <v>5.5774476994020807E-2</v>
      </c>
      <c r="Q1949" s="1">
        <v>1.1864991402699359</v>
      </c>
      <c r="R1949" s="2">
        <f t="shared" si="123"/>
        <v>41.42987068854525</v>
      </c>
      <c r="S1949" s="2">
        <f t="shared" si="122"/>
        <v>2.5394892849950397</v>
      </c>
      <c r="T1949" s="2">
        <f t="shared" si="124"/>
        <v>1.9456205424051689</v>
      </c>
      <c r="U1949" s="2">
        <f t="shared" si="125"/>
        <v>45.914980515945459</v>
      </c>
    </row>
    <row r="1950" spans="1:21" x14ac:dyDescent="0.25">
      <c r="A1950">
        <v>380189</v>
      </c>
      <c r="B1950">
        <v>15</v>
      </c>
      <c r="C1950" s="1">
        <f>1.09774532501299*(10.3/7.3)</f>
        <v>1.5488735407717573</v>
      </c>
      <c r="D1950" s="1">
        <f>2.26405230000384*(10.3/7.3)</f>
        <v>3.1944847520602107</v>
      </c>
      <c r="E1950" s="1">
        <f>7.55884348945446*(10.3/7.3)</f>
        <v>10.665217526216567</v>
      </c>
      <c r="F1950" s="1">
        <f>30.4851361049505*(38.9/42.5)</f>
        <v>27.902865752531181</v>
      </c>
      <c r="G1950" s="1">
        <v>1.898905866573263</v>
      </c>
      <c r="H1950" s="1">
        <v>7.4361206547219076</v>
      </c>
      <c r="I1950" s="1">
        <v>23.417112464466136</v>
      </c>
      <c r="J1950" s="1">
        <v>2.2417694090136091E-2</v>
      </c>
      <c r="K1950" s="1">
        <v>2.7171563047512328</v>
      </c>
      <c r="L1950" s="1">
        <v>1.2934729115012269</v>
      </c>
      <c r="M1950" s="1">
        <v>6.8635845106865337E-2</v>
      </c>
      <c r="N1950" s="1">
        <v>0.75599794175491097</v>
      </c>
      <c r="O1950" s="1">
        <v>7.0207999999999993E-2</v>
      </c>
      <c r="P1950" s="1">
        <v>6.0285803508158708E-2</v>
      </c>
      <c r="Q1950" s="1">
        <v>3.0347810652997387</v>
      </c>
      <c r="R1950" s="2">
        <f t="shared" si="123"/>
        <v>79.098361622640766</v>
      </c>
      <c r="S1950" s="2">
        <f t="shared" si="122"/>
        <v>2.7998598023495274</v>
      </c>
      <c r="T1950" s="2">
        <f t="shared" si="124"/>
        <v>2.1883146983630031</v>
      </c>
      <c r="U1950" s="2">
        <f t="shared" si="125"/>
        <v>84.086536123353298</v>
      </c>
    </row>
    <row r="1951" spans="1:21" x14ac:dyDescent="0.25">
      <c r="A1951">
        <v>380197</v>
      </c>
      <c r="B1951">
        <v>45</v>
      </c>
      <c r="C1951" s="1">
        <f>1.14849655212363*(10.3/7.3)</f>
        <v>1.6204814365580056</v>
      </c>
      <c r="D1951" s="1">
        <f>1.85017448587786*(10.3/7.3)</f>
        <v>2.6105201650057532</v>
      </c>
      <c r="E1951" s="1">
        <f>6.35731972368672*(10.3/7.3)</f>
        <v>8.9699168704072871</v>
      </c>
      <c r="F1951" s="1">
        <f>18.7047053697566*(38.9/42.5)</f>
        <v>17.120306797259545</v>
      </c>
      <c r="G1951" s="1">
        <v>0.99498175326907345</v>
      </c>
      <c r="H1951" s="1">
        <v>5.3656546887316106</v>
      </c>
      <c r="I1951" s="1">
        <v>14.086732790506524</v>
      </c>
      <c r="J1951" s="1">
        <v>2.3079822463095808E-2</v>
      </c>
      <c r="K1951" s="1">
        <v>2.7275668789604652</v>
      </c>
      <c r="L1951" s="1">
        <v>1.3351956301123953</v>
      </c>
      <c r="M1951" s="1">
        <v>7.0789710613614137E-2</v>
      </c>
      <c r="N1951" s="1">
        <v>0.77896380131431864</v>
      </c>
      <c r="O1951" s="1">
        <v>7.2149333333333343E-2</v>
      </c>
      <c r="P1951" s="1">
        <v>6.1836688880161812E-2</v>
      </c>
      <c r="Q1951" s="1">
        <v>1.5901534869597074</v>
      </c>
      <c r="R1951" s="2">
        <f t="shared" si="123"/>
        <v>52.358747988697509</v>
      </c>
      <c r="S1951" s="2">
        <f t="shared" si="122"/>
        <v>2.812483390303723</v>
      </c>
      <c r="T1951" s="2">
        <f t="shared" si="124"/>
        <v>2.2570984753736614</v>
      </c>
      <c r="U1951" s="2">
        <f t="shared" si="125"/>
        <v>57.428329854374894</v>
      </c>
    </row>
    <row r="1952" spans="1:21" x14ac:dyDescent="0.25">
      <c r="A1952">
        <v>380205</v>
      </c>
      <c r="B1952">
        <v>1</v>
      </c>
      <c r="C1952" s="1">
        <f>0.848361548405136*(10.3/7.3)</f>
        <v>1.1970032806264246</v>
      </c>
      <c r="D1952" s="1">
        <f>1.39007017106413*(10.3/7.3)</f>
        <v>1.9613318852000692</v>
      </c>
      <c r="E1952" s="1">
        <f>4.76647302659779*(10.3/7.3)</f>
        <v>6.7252975580763303</v>
      </c>
      <c r="F1952" s="1">
        <f>14.3868176127207*(38.9/42.5)</f>
        <v>13.168169532584384</v>
      </c>
      <c r="G1952" s="1">
        <v>0.7775664377362661</v>
      </c>
      <c r="H1952" s="1">
        <v>7.4907617870399283</v>
      </c>
      <c r="I1952" s="1">
        <v>10.852786274839174</v>
      </c>
      <c r="J1952" s="1">
        <v>2.0324945997075992E-2</v>
      </c>
      <c r="K1952" s="1">
        <v>2.1244597299223487</v>
      </c>
      <c r="L1952" s="1">
        <v>1.0340343946274684</v>
      </c>
      <c r="M1952" s="1">
        <v>5.5363197075456248E-2</v>
      </c>
      <c r="N1952" s="1">
        <v>0.63401823981445404</v>
      </c>
      <c r="O1952" s="1">
        <v>5.808E-2</v>
      </c>
      <c r="P1952" s="1">
        <v>5.1496129637348925E-2</v>
      </c>
      <c r="Q1952" s="1">
        <v>1.2426860877063626</v>
      </c>
      <c r="R1952" s="2">
        <f t="shared" si="123"/>
        <v>43.415602843808934</v>
      </c>
      <c r="S1952" s="2">
        <f t="shared" si="122"/>
        <v>2.1962808055567735</v>
      </c>
      <c r="T1952" s="2">
        <f t="shared" si="124"/>
        <v>1.7814958315173786</v>
      </c>
      <c r="U1952" s="2">
        <f t="shared" si="125"/>
        <v>47.393379480883084</v>
      </c>
    </row>
    <row r="1953" spans="1:21" x14ac:dyDescent="0.25">
      <c r="A1953">
        <v>380213</v>
      </c>
      <c r="B1953">
        <v>27</v>
      </c>
      <c r="C1953" s="1">
        <f>0.984651104060066*(10.3/7.3)</f>
        <v>1.3893022427148878</v>
      </c>
      <c r="D1953" s="1">
        <f>1.72238437171366*(10.3/7.3)</f>
        <v>2.4302135655685868</v>
      </c>
      <c r="E1953" s="1">
        <f>5.87270100344156*(10.3/7.3)</f>
        <v>8.2861397719791832</v>
      </c>
      <c r="F1953" s="1">
        <f>18.7688767809277*(38.9/42.5)</f>
        <v>17.179042512425617</v>
      </c>
      <c r="G1953" s="1">
        <v>1.0506241149164639</v>
      </c>
      <c r="H1953" s="1">
        <v>4.6094497830653625</v>
      </c>
      <c r="I1953" s="1">
        <v>14.151774358743033</v>
      </c>
      <c r="J1953" s="1">
        <v>2.0234424316922E-2</v>
      </c>
      <c r="K1953" s="1">
        <v>2.3407292826724109</v>
      </c>
      <c r="L1953" s="1">
        <v>1.1728850305301852</v>
      </c>
      <c r="M1953" s="1">
        <v>6.1733282659603629E-2</v>
      </c>
      <c r="N1953" s="1">
        <v>0.69915533240723604</v>
      </c>
      <c r="O1953" s="1">
        <v>6.4600493827160474E-2</v>
      </c>
      <c r="P1953" s="1">
        <v>5.6592942600269362E-2</v>
      </c>
      <c r="Q1953" s="1">
        <v>1.679079635711245</v>
      </c>
      <c r="R1953" s="2">
        <f t="shared" si="123"/>
        <v>50.775625985124378</v>
      </c>
      <c r="S1953" s="2">
        <f t="shared" si="122"/>
        <v>2.4175566495896019</v>
      </c>
      <c r="T1953" s="2">
        <f t="shared" si="124"/>
        <v>1.9983741394241852</v>
      </c>
      <c r="U1953" s="2">
        <f t="shared" si="125"/>
        <v>55.191556774138164</v>
      </c>
    </row>
    <row r="1954" spans="1:21" x14ac:dyDescent="0.25">
      <c r="A1954">
        <v>380221</v>
      </c>
      <c r="B1954">
        <v>16</v>
      </c>
      <c r="C1954" s="1">
        <f>1.24097769692174*(10.3/7.3)</f>
        <v>1.7509685312731373</v>
      </c>
      <c r="D1954" s="1">
        <f>2.07706448702454*(10.3/7.3)</f>
        <v>2.9306526323770914</v>
      </c>
      <c r="E1954" s="1">
        <f>7.1375231062647*(10.3/7.3)</f>
        <v>10.070751780072118</v>
      </c>
      <c r="F1954" s="1">
        <f>20.4830076322278*(38.9/42.5)</f>
        <v>18.747976397497911</v>
      </c>
      <c r="G1954" s="1">
        <v>1.0771473249950452</v>
      </c>
      <c r="H1954" s="1">
        <v>4.3367689786632599</v>
      </c>
      <c r="I1954" s="1">
        <v>15.242531061684627</v>
      </c>
      <c r="J1954" s="1">
        <v>2.2901101078177191E-2</v>
      </c>
      <c r="K1954" s="1">
        <v>2.5709129858524031</v>
      </c>
      <c r="L1954" s="1">
        <v>1.3272842549622437</v>
      </c>
      <c r="M1954" s="1">
        <v>6.9050234958021955E-2</v>
      </c>
      <c r="N1954" s="1">
        <v>0.81213357426544142</v>
      </c>
      <c r="O1954" s="1">
        <v>7.2076666666666664E-2</v>
      </c>
      <c r="P1954" s="1">
        <v>6.1891749214593554E-2</v>
      </c>
      <c r="Q1954" s="1">
        <v>1.7214683276176537</v>
      </c>
      <c r="R1954" s="2">
        <f t="shared" si="123"/>
        <v>55.878265034180842</v>
      </c>
      <c r="S1954" s="2">
        <f t="shared" si="122"/>
        <v>2.6557058361451737</v>
      </c>
      <c r="T1954" s="2">
        <f t="shared" si="124"/>
        <v>2.2805447308523741</v>
      </c>
      <c r="U1954" s="2">
        <f t="shared" si="125"/>
        <v>60.814515601178393</v>
      </c>
    </row>
    <row r="1955" spans="1:21" x14ac:dyDescent="0.25">
      <c r="A1955">
        <v>380229</v>
      </c>
      <c r="B1955">
        <v>1</v>
      </c>
      <c r="C1955" s="1">
        <f>1.04511770094605*(10.3/7.3)</f>
        <v>1.474618125992365</v>
      </c>
      <c r="D1955" s="1">
        <f>1.69704396587877*(10.3/7.3)</f>
        <v>2.3944592943221013</v>
      </c>
      <c r="E1955" s="1">
        <f>5.82285833045015*(10.3/7.3)</f>
        <v>8.2158138087173391</v>
      </c>
      <c r="F1955" s="1">
        <f>17.4749218981514*(38.9/42.5)</f>
        <v>15.994693219719727</v>
      </c>
      <c r="G1955" s="1">
        <v>0.94076204306217492</v>
      </c>
      <c r="H1955" s="1">
        <v>6.0866638377203364</v>
      </c>
      <c r="I1955" s="1">
        <v>13.189832763264755</v>
      </c>
      <c r="J1955" s="1">
        <v>1.9077444092453794E-2</v>
      </c>
      <c r="K1955" s="1">
        <v>2.2163320556166552</v>
      </c>
      <c r="L1955" s="1">
        <v>1.1643031168896312</v>
      </c>
      <c r="M1955" s="1">
        <v>5.99134890939029E-2</v>
      </c>
      <c r="N1955" s="1">
        <v>0.67579641591248729</v>
      </c>
      <c r="O1955" s="1">
        <v>6.4799999999999996E-2</v>
      </c>
      <c r="P1955" s="1">
        <v>5.6047890731485889E-2</v>
      </c>
      <c r="Q1955" s="1">
        <v>1.5035009820628382</v>
      </c>
      <c r="R1955" s="2">
        <f t="shared" si="123"/>
        <v>49.800344074861634</v>
      </c>
      <c r="S1955" s="2">
        <f t="shared" si="122"/>
        <v>2.2914573904405948</v>
      </c>
      <c r="T1955" s="2">
        <f t="shared" si="124"/>
        <v>1.9648130218960214</v>
      </c>
      <c r="U1955" s="2">
        <f t="shared" si="125"/>
        <v>54.056614487198246</v>
      </c>
    </row>
    <row r="1956" spans="1:21" x14ac:dyDescent="0.25">
      <c r="A1956">
        <v>3804477</v>
      </c>
      <c r="B1956">
        <v>42</v>
      </c>
      <c r="C1956" s="1">
        <f>0.826332218235841*(10.3/7.3)</f>
        <v>1.1659208010724877</v>
      </c>
      <c r="D1956" s="1">
        <f>1.05733230091364*(10.3/7.3)</f>
        <v>1.491852424576785</v>
      </c>
      <c r="E1956" s="1">
        <f>3.69128865109193*(10.3/7.3)</f>
        <v>5.2082565898968278</v>
      </c>
      <c r="F1956" s="1">
        <f>9.57762932012187*(38.9/42.5)</f>
        <v>8.7663477777115446</v>
      </c>
      <c r="G1956" s="1">
        <v>0.45737023260893617</v>
      </c>
      <c r="H1956" s="1">
        <v>2.3421547069964297</v>
      </c>
      <c r="I1956" s="1">
        <v>7.4209182655315313</v>
      </c>
      <c r="J1956" s="1">
        <v>2.6739255676737766E-2</v>
      </c>
      <c r="K1956" s="1">
        <v>3.4272933124382083</v>
      </c>
      <c r="L1956" s="1">
        <v>2.9825232849977246</v>
      </c>
      <c r="M1956" s="1">
        <v>0.16264037920215543</v>
      </c>
      <c r="N1956" s="1">
        <v>1.0411786250129698</v>
      </c>
      <c r="O1956" s="1">
        <v>0.64657015873015866</v>
      </c>
      <c r="P1956" s="1">
        <v>0.31085065325682587</v>
      </c>
      <c r="Q1956" s="1">
        <v>0.73095699275400872</v>
      </c>
      <c r="R1956" s="2">
        <f t="shared" si="123"/>
        <v>27.583777791148549</v>
      </c>
      <c r="S1956" s="2">
        <f t="shared" si="122"/>
        <v>3.7648832213717718</v>
      </c>
      <c r="T1956" s="2">
        <f t="shared" si="124"/>
        <v>4.8329124479430083</v>
      </c>
      <c r="U1956" s="2">
        <f t="shared" si="125"/>
        <v>36.181573460463326</v>
      </c>
    </row>
    <row r="1957" spans="1:21" x14ac:dyDescent="0.25">
      <c r="A1957">
        <v>3804821</v>
      </c>
      <c r="B1957">
        <v>11</v>
      </c>
      <c r="C1957" s="1">
        <f>2.67380531549199*(10.3/7.3)</f>
        <v>3.7726294177489681</v>
      </c>
      <c r="D1957" s="1">
        <f>3.78656850291118*(10.3/7.3)</f>
        <v>5.3426925452034499</v>
      </c>
      <c r="E1957" s="1">
        <f>13.1139703499256*(10.3/7.3)</f>
        <v>18.503273233456724</v>
      </c>
      <c r="F1957" s="1">
        <f>36.5381364380705*(38.9/42.5)</f>
        <v>33.443141351551553</v>
      </c>
      <c r="G1957" s="1">
        <v>1.8566901843157453</v>
      </c>
      <c r="H1957" s="1">
        <v>9.0112062606506829</v>
      </c>
      <c r="I1957" s="1">
        <v>27.968160709187956</v>
      </c>
      <c r="J1957" s="1">
        <v>4.3769803993095817E-2</v>
      </c>
      <c r="K1957" s="1">
        <v>3.2760473558973073</v>
      </c>
      <c r="L1957" s="1">
        <v>5.7717451009929439</v>
      </c>
      <c r="M1957" s="1">
        <v>0.18673534968491587</v>
      </c>
      <c r="N1957" s="1">
        <v>2.2489532532210386</v>
      </c>
      <c r="O1957" s="1">
        <v>0.22201212121212119</v>
      </c>
      <c r="P1957" s="1">
        <v>0.18139356044728447</v>
      </c>
      <c r="Q1957" s="1">
        <v>2.9673130799566736</v>
      </c>
      <c r="R1957" s="2">
        <f t="shared" si="123"/>
        <v>102.86510678207175</v>
      </c>
      <c r="S1957" s="2">
        <f t="shared" si="122"/>
        <v>3.5012107203376877</v>
      </c>
      <c r="T1957" s="2">
        <f t="shared" si="124"/>
        <v>8.4294458251110189</v>
      </c>
      <c r="U1957" s="2">
        <f t="shared" si="125"/>
        <v>114.79576332752045</v>
      </c>
    </row>
    <row r="1958" spans="1:21" x14ac:dyDescent="0.25">
      <c r="A1958">
        <v>3804829</v>
      </c>
      <c r="B1958">
        <v>14</v>
      </c>
      <c r="C1958" s="1">
        <f>2.53691966317677*(10.3/7.3)</f>
        <v>3.5794893877699585</v>
      </c>
      <c r="D1958" s="1">
        <f>3.77535684523947*(10.3/7.3)</f>
        <v>5.3268733569817224</v>
      </c>
      <c r="E1958" s="1">
        <f>13.0125514005101*(10.3/7.3)</f>
        <v>18.360175263733431</v>
      </c>
      <c r="F1958" s="1">
        <f>38.1659771937065*(38.9/42.5)</f>
        <v>34.933094419651376</v>
      </c>
      <c r="G1958" s="1">
        <v>2.0123166192553708</v>
      </c>
      <c r="H1958" s="1">
        <v>9.0292231764857966</v>
      </c>
      <c r="I1958" s="1">
        <v>29.168466855888475</v>
      </c>
      <c r="J1958" s="1">
        <v>4.1924671637213438E-2</v>
      </c>
      <c r="K1958" s="1">
        <v>3.497602674450861</v>
      </c>
      <c r="L1958" s="1">
        <v>6.0406409205213993</v>
      </c>
      <c r="M1958" s="1">
        <v>0.19359174263127241</v>
      </c>
      <c r="N1958" s="1">
        <v>2.3279512315105779</v>
      </c>
      <c r="O1958" s="1">
        <v>0.23043047619047616</v>
      </c>
      <c r="P1958" s="1">
        <v>0.19092351965789442</v>
      </c>
      <c r="Q1958" s="1">
        <v>3.2160311266638368</v>
      </c>
      <c r="R1958" s="2">
        <f t="shared" si="123"/>
        <v>105.62567020642996</v>
      </c>
      <c r="S1958" s="2">
        <f t="shared" si="122"/>
        <v>3.7304508657459685</v>
      </c>
      <c r="T1958" s="2">
        <f t="shared" si="124"/>
        <v>8.792614370853725</v>
      </c>
      <c r="U1958" s="2">
        <f t="shared" si="125"/>
        <v>118.14873544302965</v>
      </c>
    </row>
    <row r="1959" spans="1:21" x14ac:dyDescent="0.25">
      <c r="A1959">
        <v>3804837</v>
      </c>
      <c r="B1959">
        <v>15</v>
      </c>
      <c r="C1959" s="1">
        <f>2.71207512339756*(10.3/7.3)</f>
        <v>3.8266265439719045</v>
      </c>
      <c r="D1959" s="1">
        <f>4.1290659359197*(10.3/7.3)</f>
        <v>5.8259423479415009</v>
      </c>
      <c r="E1959" s="1">
        <f>14.2355747829132*(10.3/7.3)</f>
        <v>20.085810995069291</v>
      </c>
      <c r="F1959" s="1">
        <f>40.9238647435009*(38.9/42.5)</f>
        <v>37.457372671110242</v>
      </c>
      <c r="G1959" s="1">
        <v>2.1363138061203553</v>
      </c>
      <c r="H1959" s="1">
        <v>10.741013403694559</v>
      </c>
      <c r="I1959" s="1">
        <v>31.025480388188029</v>
      </c>
      <c r="J1959" s="1">
        <v>3.8320656011689574E-2</v>
      </c>
      <c r="K1959" s="1">
        <v>3.3653965786415236</v>
      </c>
      <c r="L1959" s="1">
        <v>5.6451233324005132</v>
      </c>
      <c r="M1959" s="1">
        <v>0.18610514460325192</v>
      </c>
      <c r="N1959" s="1">
        <v>2.0825145983437938</v>
      </c>
      <c r="O1959" s="1">
        <v>0.21719466666666667</v>
      </c>
      <c r="P1959" s="1">
        <v>0.17679394218181418</v>
      </c>
      <c r="Q1959" s="1">
        <v>3.4142001467676959</v>
      </c>
      <c r="R1959" s="2">
        <f t="shared" si="123"/>
        <v>114.5127603028636</v>
      </c>
      <c r="S1959" s="2">
        <f t="shared" si="122"/>
        <v>3.5805111768350275</v>
      </c>
      <c r="T1959" s="2">
        <f t="shared" si="124"/>
        <v>8.1309377420142255</v>
      </c>
      <c r="U1959" s="2">
        <f t="shared" si="125"/>
        <v>126.22420922171285</v>
      </c>
    </row>
    <row r="1960" spans="1:21" x14ac:dyDescent="0.25">
      <c r="A1960">
        <v>3804845</v>
      </c>
      <c r="B1960">
        <v>29</v>
      </c>
      <c r="C1960" s="1">
        <f>2.66199015760046*(10.3/7.3)</f>
        <v>3.7559587155184531</v>
      </c>
      <c r="D1960" s="1">
        <f>4.27220358017692*(10.3/7.3)</f>
        <v>6.0279036816194838</v>
      </c>
      <c r="E1960" s="1">
        <f>14.8008340041838*(10.3/7.3)</f>
        <v>20.883368526451168</v>
      </c>
      <c r="F1960" s="1">
        <f>37.4135193110852*(38.9/42.5)</f>
        <v>34.244374145910925</v>
      </c>
      <c r="G1960" s="1">
        <v>1.7999651316297034</v>
      </c>
      <c r="H1960" s="1">
        <v>10.9469137926329</v>
      </c>
      <c r="I1960" s="1">
        <v>27.335107078894044</v>
      </c>
      <c r="J1960" s="1">
        <v>4.0064329875655842E-2</v>
      </c>
      <c r="K1960" s="1">
        <v>3.6109285003536691</v>
      </c>
      <c r="L1960" s="1">
        <v>5.8753175253378966</v>
      </c>
      <c r="M1960" s="1">
        <v>0.19104840701650563</v>
      </c>
      <c r="N1960" s="1">
        <v>2.0860256672027488</v>
      </c>
      <c r="O1960" s="1">
        <v>0.21967264367816092</v>
      </c>
      <c r="P1960" s="1">
        <v>0.17981846633805357</v>
      </c>
      <c r="Q1960" s="1">
        <v>2.876656603061174</v>
      </c>
      <c r="R1960" s="2">
        <f t="shared" si="123"/>
        <v>107.87024767571785</v>
      </c>
      <c r="S1960" s="2">
        <f t="shared" si="122"/>
        <v>3.8308112965673784</v>
      </c>
      <c r="T1960" s="2">
        <f t="shared" si="124"/>
        <v>8.372064243235311</v>
      </c>
      <c r="U1960" s="2">
        <f t="shared" si="125"/>
        <v>120.07312321552054</v>
      </c>
    </row>
    <row r="1961" spans="1:21" x14ac:dyDescent="0.25">
      <c r="A1961">
        <v>3804853</v>
      </c>
      <c r="B1961">
        <v>24</v>
      </c>
      <c r="C1961" s="1">
        <f>3.30663517523816*(10.3/7.3)</f>
        <v>4.6655263431442568</v>
      </c>
      <c r="D1961" s="1">
        <f>7.09806141451488*(10.3/7.3)</f>
        <v>10.015072954726474</v>
      </c>
      <c r="E1961" s="1">
        <f>24.5629778329407*(10.3/7.3)</f>
        <v>34.657352284834168</v>
      </c>
      <c r="F1961" s="1">
        <f>52.2811789671092*(38.9/42.5)</f>
        <v>47.852655572248167</v>
      </c>
      <c r="G1961" s="1">
        <v>2.2442525168092864</v>
      </c>
      <c r="H1961" s="1">
        <v>12.805395691701365</v>
      </c>
      <c r="I1961" s="1">
        <v>34.04291420767985</v>
      </c>
      <c r="J1961" s="1">
        <v>4.8906105704759617E-2</v>
      </c>
      <c r="K1961" s="1">
        <v>4.762976106891764</v>
      </c>
      <c r="L1961" s="1">
        <v>7.4832165584642487</v>
      </c>
      <c r="M1961" s="1">
        <v>0.2367114090559119</v>
      </c>
      <c r="N1961" s="1">
        <v>2.6544742248964557</v>
      </c>
      <c r="O1961" s="1">
        <v>0.26235555555555551</v>
      </c>
      <c r="P1961" s="1">
        <v>0.20592482843147317</v>
      </c>
      <c r="Q1961" s="1">
        <v>3.5867049355399598</v>
      </c>
      <c r="R1961" s="2">
        <f t="shared" si="123"/>
        <v>149.86987450668352</v>
      </c>
      <c r="S1961" s="2">
        <f t="shared" si="122"/>
        <v>5.0178070410279965</v>
      </c>
      <c r="T1961" s="2">
        <f t="shared" si="124"/>
        <v>10.636757747972171</v>
      </c>
      <c r="U1961" s="2">
        <f t="shared" si="125"/>
        <v>165.52443929568369</v>
      </c>
    </row>
    <row r="1962" spans="1:21" x14ac:dyDescent="0.25">
      <c r="A1962">
        <v>3804981</v>
      </c>
      <c r="B1962">
        <v>29</v>
      </c>
      <c r="C1962" s="1">
        <f>5.19468655420551*(10.3/7.3)</f>
        <v>7.3294892477146281</v>
      </c>
      <c r="D1962" s="1">
        <f>6.23046143833592*(10.3/7.3)</f>
        <v>8.7909250431315016</v>
      </c>
      <c r="E1962" s="1">
        <f>22.0649885407435*(10.3/7.3)</f>
        <v>31.13279205063812</v>
      </c>
      <c r="F1962" s="1">
        <f>44.5106147556631*(38.9/42.5)</f>
        <v>40.740303858712792</v>
      </c>
      <c r="G1962" s="1">
        <v>1.6398736799429261</v>
      </c>
      <c r="H1962" s="1">
        <v>6.0531888082405994</v>
      </c>
      <c r="I1962" s="1">
        <v>33.679906250863375</v>
      </c>
      <c r="J1962" s="1">
        <v>3.8142012256264984E-2</v>
      </c>
      <c r="K1962" s="1">
        <v>2.9681827043219986</v>
      </c>
      <c r="L1962" s="1">
        <v>12.461032126413267</v>
      </c>
      <c r="M1962" s="1">
        <v>0.15760449303386143</v>
      </c>
      <c r="N1962" s="1">
        <v>1.732406840045001</v>
      </c>
      <c r="O1962" s="1">
        <v>0.15295632183908045</v>
      </c>
      <c r="P1962" s="1">
        <v>0.11952296903679395</v>
      </c>
      <c r="Q1962" s="1">
        <v>2.6208026848402959</v>
      </c>
      <c r="R1962" s="2">
        <f t="shared" si="123"/>
        <v>131.98728162408423</v>
      </c>
      <c r="S1962" s="2">
        <f t="shared" si="122"/>
        <v>3.1258476856150574</v>
      </c>
      <c r="T1962" s="2">
        <f t="shared" si="124"/>
        <v>14.503999781331212</v>
      </c>
      <c r="U1962" s="2">
        <f t="shared" si="125"/>
        <v>149.61712909103051</v>
      </c>
    </row>
    <row r="1963" spans="1:21" x14ac:dyDescent="0.25">
      <c r="A1963">
        <v>3805125</v>
      </c>
      <c r="B1963">
        <v>26</v>
      </c>
      <c r="C1963" s="1">
        <f>6.2874957372229*(10.3/7.3)</f>
        <v>8.8713980949857305</v>
      </c>
      <c r="D1963" s="1">
        <f>6.75792781225696*(10.3/7.3)</f>
        <v>9.5351584200337864</v>
      </c>
      <c r="E1963" s="1">
        <f>24.1582160621266*(10.3/7.3)</f>
        <v>34.086250060260788</v>
      </c>
      <c r="F1963" s="1">
        <f>43.9334443562431*(38.9/42.5)</f>
        <v>40.212023187243709</v>
      </c>
      <c r="G1963" s="1">
        <v>1.3449420859699317</v>
      </c>
      <c r="H1963" s="1">
        <v>7.7349415003463342</v>
      </c>
      <c r="I1963" s="1">
        <v>34.046083438401574</v>
      </c>
      <c r="J1963" s="1">
        <v>4.6915798342407444E-2</v>
      </c>
      <c r="K1963" s="1">
        <v>2.3314444303915725</v>
      </c>
      <c r="L1963" s="1">
        <v>6.8309661568219804</v>
      </c>
      <c r="M1963" s="1">
        <v>0.13317156264426869</v>
      </c>
      <c r="N1963" s="1">
        <v>1.9457939837335674</v>
      </c>
      <c r="O1963" s="1">
        <v>0.12067897435897437</v>
      </c>
      <c r="P1963" s="1">
        <v>9.5977330260109003E-2</v>
      </c>
      <c r="Q1963" s="1">
        <v>2.1494508223263775</v>
      </c>
      <c r="R1963" s="2">
        <f t="shared" si="123"/>
        <v>137.98024760956824</v>
      </c>
      <c r="S1963" s="2">
        <f t="shared" si="122"/>
        <v>2.474337558994089</v>
      </c>
      <c r="T1963" s="2">
        <f t="shared" si="124"/>
        <v>9.0306106775587907</v>
      </c>
      <c r="U1963" s="2">
        <f t="shared" si="125"/>
        <v>149.48519584612112</v>
      </c>
    </row>
    <row r="1964" spans="1:21" x14ac:dyDescent="0.25">
      <c r="A1964">
        <v>3805133</v>
      </c>
      <c r="B1964">
        <v>3</v>
      </c>
      <c r="C1964" s="1">
        <f>4.86712587864355*(10.3/7.3)</f>
        <v>6.8673145958943227</v>
      </c>
      <c r="D1964" s="1">
        <f>5.40816238036867*(10.3/7.3)</f>
        <v>7.6306948654516891</v>
      </c>
      <c r="E1964" s="1">
        <f>19.2967131621316*(10.3/7.3)</f>
        <v>27.226869256158285</v>
      </c>
      <c r="F1964" s="1">
        <f>35.2653008522198*(38.9/42.5)</f>
        <v>32.278122427090622</v>
      </c>
      <c r="G1964" s="1">
        <v>1.100667270196108</v>
      </c>
      <c r="H1964" s="1">
        <v>4.8829913532557745</v>
      </c>
      <c r="I1964" s="1">
        <v>26.98024514109407</v>
      </c>
      <c r="J1964" s="1">
        <v>4.5441883437303932E-2</v>
      </c>
      <c r="K1964" s="1">
        <v>2.3875326057145725</v>
      </c>
      <c r="L1964" s="1">
        <v>13.67688006030825</v>
      </c>
      <c r="M1964" s="1">
        <v>0.13335692619580775</v>
      </c>
      <c r="N1964" s="1">
        <v>2.1492983726124471</v>
      </c>
      <c r="O1964" s="1">
        <v>0.12088888888888889</v>
      </c>
      <c r="P1964" s="1">
        <v>9.8556025111884174E-2</v>
      </c>
      <c r="Q1964" s="1">
        <v>1.7590572811353347</v>
      </c>
      <c r="R1964" s="2">
        <f t="shared" si="123"/>
        <v>108.72596219027622</v>
      </c>
      <c r="S1964" s="2">
        <f t="shared" si="122"/>
        <v>2.5315305142637605</v>
      </c>
      <c r="T1964" s="2">
        <f t="shared" si="124"/>
        <v>16.080424248005393</v>
      </c>
      <c r="U1964" s="2">
        <f t="shared" si="125"/>
        <v>127.33791695254538</v>
      </c>
    </row>
    <row r="1965" spans="1:21" x14ac:dyDescent="0.25">
      <c r="A1965">
        <v>3805149</v>
      </c>
      <c r="B1965">
        <v>23</v>
      </c>
      <c r="C1965" s="1">
        <f>4.8110186849952*(10.3/7.3)</f>
        <v>6.7881496514315822</v>
      </c>
      <c r="D1965" s="1">
        <f>5.34617940348798*(10.3/7.3)</f>
        <v>7.5432394323186589</v>
      </c>
      <c r="E1965" s="1">
        <f>19.072570476161*(10.3/7.3)</f>
        <v>26.910613137597046</v>
      </c>
      <c r="F1965" s="1">
        <f>35.0024446847886*(38.9/42.5)</f>
        <v>32.037531723253551</v>
      </c>
      <c r="G1965" s="1">
        <v>1.1002303154362096</v>
      </c>
      <c r="H1965" s="1">
        <v>3.9647438142478642</v>
      </c>
      <c r="I1965" s="1">
        <v>26.797861294137356</v>
      </c>
      <c r="J1965" s="1">
        <v>4.6013670517515766E-2</v>
      </c>
      <c r="K1965" s="1">
        <v>2.2554461235987877</v>
      </c>
      <c r="L1965" s="1">
        <v>11.901834747849534</v>
      </c>
      <c r="M1965" s="1">
        <v>0.12583084947552484</v>
      </c>
      <c r="N1965" s="1">
        <v>1.977360424602038</v>
      </c>
      <c r="O1965" s="1">
        <v>0.11333565217391303</v>
      </c>
      <c r="P1965" s="1">
        <v>9.229270766678814E-2</v>
      </c>
      <c r="Q1965" s="1">
        <v>1.7583589516103826</v>
      </c>
      <c r="R1965" s="2">
        <f t="shared" si="123"/>
        <v>106.90072832003264</v>
      </c>
      <c r="S1965" s="2">
        <f t="shared" si="122"/>
        <v>2.3937525017830916</v>
      </c>
      <c r="T1965" s="2">
        <f t="shared" si="124"/>
        <v>14.11836167410101</v>
      </c>
      <c r="U1965" s="2">
        <f t="shared" si="125"/>
        <v>123.41284249591675</v>
      </c>
    </row>
    <row r="1966" spans="1:21" x14ac:dyDescent="0.25">
      <c r="A1966">
        <v>3805157</v>
      </c>
      <c r="B1966">
        <v>39</v>
      </c>
      <c r="C1966" s="1">
        <f>5.26153689344319*(10.3/7.3)</f>
        <v>7.423812329104778</v>
      </c>
      <c r="D1966" s="1">
        <f>5.87052001060916*(10.3/7.3)</f>
        <v>8.2830624807225082</v>
      </c>
      <c r="E1966" s="1">
        <f>20.9127149861085*(10.3/7.3)</f>
        <v>29.506981418755895</v>
      </c>
      <c r="F1966" s="1">
        <f>39.6965846179363*(38.9/42.5)</f>
        <v>36.334050391475792</v>
      </c>
      <c r="G1966" s="1">
        <v>1.318517267797755</v>
      </c>
      <c r="H1966" s="1">
        <v>4.2669005281126617</v>
      </c>
      <c r="I1966" s="1">
        <v>30.51750326587953</v>
      </c>
      <c r="J1966" s="1">
        <v>4.5649474021118609E-2</v>
      </c>
      <c r="K1966" s="1">
        <v>2.4232623022744679</v>
      </c>
      <c r="L1966" s="1">
        <v>8.4528177612304098</v>
      </c>
      <c r="M1966" s="1">
        <v>0.13396035252342287</v>
      </c>
      <c r="N1966" s="1">
        <v>1.8836644455487663</v>
      </c>
      <c r="O1966" s="1">
        <v>0.11972376068376069</v>
      </c>
      <c r="P1966" s="1">
        <v>9.6870516806167706E-2</v>
      </c>
      <c r="Q1966" s="1">
        <v>2.1072193777589714</v>
      </c>
      <c r="R1966" s="2">
        <f t="shared" si="123"/>
        <v>119.75804705960788</v>
      </c>
      <c r="S1966" s="2">
        <f t="shared" si="122"/>
        <v>2.565782293101754</v>
      </c>
      <c r="T1966" s="2">
        <f t="shared" si="124"/>
        <v>10.590166319986357</v>
      </c>
      <c r="U1966" s="2">
        <f t="shared" si="125"/>
        <v>132.91399567269599</v>
      </c>
    </row>
    <row r="1967" spans="1:21" x14ac:dyDescent="0.25">
      <c r="A1967">
        <v>3805165</v>
      </c>
      <c r="B1967">
        <v>27</v>
      </c>
      <c r="C1967" s="1">
        <f>6.67286291811969*(10.3/7.3)</f>
        <v>9.4151353502236681</v>
      </c>
      <c r="D1967" s="1">
        <f>7.41299473206524*(10.3/7.3)</f>
        <v>10.459430923324925</v>
      </c>
      <c r="E1967" s="1">
        <f>26.3896392954763*(10.3/7.3)</f>
        <v>37.234696540192637</v>
      </c>
      <c r="F1967" s="1">
        <f>51.2837496561934*(38.9/42.5)</f>
        <v>46.939714391198194</v>
      </c>
      <c r="G1967" s="1">
        <v>1.7617431930536711</v>
      </c>
      <c r="H1967" s="1">
        <v>7.9141310340304125</v>
      </c>
      <c r="I1967" s="1">
        <v>39.643669572420905</v>
      </c>
      <c r="J1967" s="1">
        <v>4.7787589336572116E-2</v>
      </c>
      <c r="K1967" s="1">
        <v>2.6768475732612451</v>
      </c>
      <c r="L1967" s="1">
        <v>7.7583903918275992</v>
      </c>
      <c r="M1967" s="1">
        <v>0.1448803944303404</v>
      </c>
      <c r="N1967" s="1">
        <v>1.9155148084057425</v>
      </c>
      <c r="O1967" s="1">
        <v>0.12974814814814814</v>
      </c>
      <c r="P1967" s="1">
        <v>0.10121143366404206</v>
      </c>
      <c r="Q1967" s="1">
        <v>2.8155713130994773</v>
      </c>
      <c r="R1967" s="2">
        <f t="shared" si="123"/>
        <v>156.1840923175439</v>
      </c>
      <c r="S1967" s="2">
        <f t="shared" si="122"/>
        <v>2.8258465962618593</v>
      </c>
      <c r="T1967" s="2">
        <f t="shared" si="124"/>
        <v>9.9485337428118292</v>
      </c>
      <c r="U1967" s="2">
        <f t="shared" si="125"/>
        <v>168.9584726566176</v>
      </c>
    </row>
    <row r="1968" spans="1:21" x14ac:dyDescent="0.25">
      <c r="A1968">
        <v>3805173</v>
      </c>
      <c r="B1968">
        <v>5</v>
      </c>
      <c r="C1968" s="1">
        <f>5.24152017700075*(10.3/7.3)</f>
        <v>7.3955695648092723</v>
      </c>
      <c r="D1968" s="1">
        <f>5.73821460046758*(10.3/7.3)</f>
        <v>8.0963849842213769</v>
      </c>
      <c r="E1968" s="1">
        <f>20.4706443302826*(10.3/7.3)</f>
        <v>28.883237890672696</v>
      </c>
      <c r="F1968" s="1">
        <f>38.3762524751278*(38.9/42.5)</f>
        <v>35.125558147822872</v>
      </c>
      <c r="G1968" s="1">
        <v>1.2431191869204332</v>
      </c>
      <c r="H1968" s="1">
        <v>4.3238155032635843</v>
      </c>
      <c r="I1968" s="1">
        <v>29.662393251625247</v>
      </c>
      <c r="J1968" s="1">
        <v>4.1189627512070157E-2</v>
      </c>
      <c r="K1968" s="1">
        <v>2.438400304070611</v>
      </c>
      <c r="L1968" s="1">
        <v>9.8771412929380062</v>
      </c>
      <c r="M1968" s="1">
        <v>0.12717280807330197</v>
      </c>
      <c r="N1968" s="1">
        <v>1.6360361357434665</v>
      </c>
      <c r="O1968" s="1">
        <v>0.11269333333333331</v>
      </c>
      <c r="P1968" s="1">
        <v>9.1709900316936335E-2</v>
      </c>
      <c r="Q1968" s="1">
        <v>1.9867201617449866</v>
      </c>
      <c r="R1968" s="2">
        <f t="shared" si="123"/>
        <v>116.71679869108047</v>
      </c>
      <c r="S1968" s="2">
        <f t="shared" si="122"/>
        <v>2.5712998318996174</v>
      </c>
      <c r="T1968" s="2">
        <f t="shared" si="124"/>
        <v>11.753043570088108</v>
      </c>
      <c r="U1968" s="2">
        <f t="shared" si="125"/>
        <v>131.0411420930682</v>
      </c>
    </row>
    <row r="1969" spans="1:21" x14ac:dyDescent="0.25">
      <c r="A1969">
        <v>3805181</v>
      </c>
      <c r="B1969">
        <v>50</v>
      </c>
      <c r="C1969" s="1">
        <f>5.15477222148777*(10.3/7.3)</f>
        <v>7.2731717645649372</v>
      </c>
      <c r="D1969" s="1">
        <f>5.59111803031924*(10.3/7.3)</f>
        <v>7.8888377688065958</v>
      </c>
      <c r="E1969" s="1">
        <f>19.9685902772887*(10.3/7.3)</f>
        <v>28.174860254256686</v>
      </c>
      <c r="F1969" s="1">
        <f>36.7712588642132*(38.9/42.5)</f>
        <v>33.656516936891585</v>
      </c>
      <c r="G1969" s="1">
        <v>1.1534592423875321</v>
      </c>
      <c r="H1969" s="1">
        <v>6.4812220796511477</v>
      </c>
      <c r="I1969" s="1">
        <v>28.446071738160814</v>
      </c>
      <c r="J1969" s="1">
        <v>3.7806775748665401E-2</v>
      </c>
      <c r="K1969" s="1">
        <v>3.3859427884199191</v>
      </c>
      <c r="L1969" s="1">
        <v>9.9431413000253883</v>
      </c>
      <c r="M1969" s="1">
        <v>0.12615872634399566</v>
      </c>
      <c r="N1969" s="1">
        <v>1.6204224413847756</v>
      </c>
      <c r="O1969" s="1">
        <v>0.11108693333333328</v>
      </c>
      <c r="P1969" s="1">
        <v>9.0895780298997281E-2</v>
      </c>
      <c r="Q1969" s="1">
        <v>1.8434280129481124</v>
      </c>
      <c r="R1969" s="2">
        <f t="shared" si="123"/>
        <v>114.9175677976674</v>
      </c>
      <c r="S1969" s="2">
        <f t="shared" si="122"/>
        <v>3.5146453444675818</v>
      </c>
      <c r="T1969" s="2">
        <f t="shared" si="124"/>
        <v>11.800809401087491</v>
      </c>
      <c r="U1969" s="2">
        <f t="shared" si="125"/>
        <v>130.23302254322249</v>
      </c>
    </row>
    <row r="1970" spans="1:21" x14ac:dyDescent="0.25">
      <c r="A1970">
        <v>3805189</v>
      </c>
      <c r="B1970">
        <v>20</v>
      </c>
      <c r="C1970" s="1">
        <f>6.32806022585014*(10.3/7.3)</f>
        <v>8.9286329214049935</v>
      </c>
      <c r="D1970" s="1">
        <f>6.848668472397*(10.3/7.3)</f>
        <v>9.6631897624231691</v>
      </c>
      <c r="E1970" s="1">
        <f>24.4648418324934*(10.3/7.3)</f>
        <v>34.518886421189301</v>
      </c>
      <c r="F1970" s="1">
        <f>44.9425412918616*(38.9/42.5)</f>
        <v>41.135643676550984</v>
      </c>
      <c r="G1970" s="1">
        <v>1.4030798497739057</v>
      </c>
      <c r="H1970" s="1">
        <v>4.7969427668082369</v>
      </c>
      <c r="I1970" s="1">
        <v>34.785073129541473</v>
      </c>
      <c r="J1970" s="1">
        <v>3.6972307297770832E-2</v>
      </c>
      <c r="K1970" s="1">
        <v>3.1097824656400044</v>
      </c>
      <c r="L1970" s="1">
        <v>12.11730071263039</v>
      </c>
      <c r="M1970" s="1">
        <v>0.12918956379784072</v>
      </c>
      <c r="N1970" s="1">
        <v>1.5262093619457886</v>
      </c>
      <c r="O1970" s="1">
        <v>0.11435733333333335</v>
      </c>
      <c r="P1970" s="1">
        <v>9.0879261391904678E-2</v>
      </c>
      <c r="Q1970" s="1">
        <v>2.2423650567162894</v>
      </c>
      <c r="R1970" s="2">
        <f t="shared" si="123"/>
        <v>137.47381358440836</v>
      </c>
      <c r="S1970" s="2">
        <f t="shared" si="122"/>
        <v>3.2376340343296799</v>
      </c>
      <c r="T1970" s="2">
        <f t="shared" si="124"/>
        <v>13.887056971707352</v>
      </c>
      <c r="U1970" s="2">
        <f t="shared" si="125"/>
        <v>154.5985045904454</v>
      </c>
    </row>
    <row r="1971" spans="1:21" x14ac:dyDescent="0.25">
      <c r="A1971">
        <v>3805197</v>
      </c>
      <c r="B1971">
        <v>2</v>
      </c>
      <c r="C1971" s="1">
        <f>7.68304895245778*(10.3/7.3)</f>
        <v>10.840466330180154</v>
      </c>
      <c r="D1971" s="1">
        <f>9.12462455555809*(10.3/7.3)</f>
        <v>12.874470263321689</v>
      </c>
      <c r="E1971" s="1">
        <f>32.0682982307916*(10.3/7.3)</f>
        <v>45.247050928377256</v>
      </c>
      <c r="F1971" s="1">
        <f>77.8824855485623*(38.9/42.5)</f>
        <v>71.285380890331155</v>
      </c>
      <c r="G1971" s="1">
        <v>3.4860126344765123</v>
      </c>
      <c r="H1971" s="1">
        <v>11.128651928458872</v>
      </c>
      <c r="I1971" s="1">
        <v>60.949636469682083</v>
      </c>
      <c r="J1971" s="1">
        <v>3.8142158573635926E-2</v>
      </c>
      <c r="K1971" s="1">
        <v>2.5753375007032178</v>
      </c>
      <c r="L1971" s="1">
        <v>5.8608436055387099</v>
      </c>
      <c r="M1971" s="1">
        <v>0.12241390023635197</v>
      </c>
      <c r="N1971" s="1">
        <v>1.4346456461350003</v>
      </c>
      <c r="O1971" s="1">
        <v>0.11146666666666666</v>
      </c>
      <c r="P1971" s="1">
        <v>8.7318142867412796E-2</v>
      </c>
      <c r="Q1971" s="1">
        <v>5.571253068798085</v>
      </c>
      <c r="R1971" s="2">
        <f t="shared" si="123"/>
        <v>221.3829225136258</v>
      </c>
      <c r="S1971" s="2">
        <f t="shared" si="122"/>
        <v>2.7007978021442667</v>
      </c>
      <c r="T1971" s="2">
        <f t="shared" si="124"/>
        <v>7.529369818576729</v>
      </c>
      <c r="U1971" s="2">
        <f t="shared" si="125"/>
        <v>231.61309013434681</v>
      </c>
    </row>
    <row r="1972" spans="1:21" x14ac:dyDescent="0.25">
      <c r="A1972">
        <v>3805221</v>
      </c>
      <c r="B1972">
        <v>4</v>
      </c>
      <c r="C1972" s="1">
        <f>6.97408953641968*(10.3/7.3)</f>
        <v>9.8401537294688719</v>
      </c>
      <c r="D1972" s="1">
        <f>7.84785363775974*(10.3/7.3)</f>
        <v>11.072998968345928</v>
      </c>
      <c r="E1972" s="1">
        <f>28.0035724471217*(10.3/7.3)</f>
        <v>39.511889891144378</v>
      </c>
      <c r="F1972" s="1">
        <f>50.1913323233492*(38.9/42.5)</f>
        <v>45.939831232430201</v>
      </c>
      <c r="G1972" s="1">
        <v>1.5209057892799189</v>
      </c>
      <c r="H1972" s="1">
        <v>3.9654850038768208</v>
      </c>
      <c r="I1972" s="1">
        <v>38.06942170876907</v>
      </c>
      <c r="J1972" s="1">
        <v>3.2982422804858386E-2</v>
      </c>
      <c r="K1972" s="1">
        <v>2.6296289872348657</v>
      </c>
      <c r="L1972" s="1">
        <v>5.0840920301013348</v>
      </c>
      <c r="M1972" s="1">
        <v>0.12004820143842117</v>
      </c>
      <c r="N1972" s="1">
        <v>1.365026693787097</v>
      </c>
      <c r="O1972" s="1">
        <v>0.10756</v>
      </c>
      <c r="P1972" s="1">
        <v>8.5297865655897059E-2</v>
      </c>
      <c r="Q1972" s="1">
        <v>2.4306713527304664</v>
      </c>
      <c r="R1972" s="2">
        <f t="shared" si="123"/>
        <v>152.35135767604564</v>
      </c>
      <c r="S1972" s="2">
        <f t="shared" si="122"/>
        <v>2.7479092756956209</v>
      </c>
      <c r="T1972" s="2">
        <f t="shared" si="124"/>
        <v>6.6767269253268529</v>
      </c>
      <c r="U1972" s="2">
        <f t="shared" si="125"/>
        <v>161.77599387706812</v>
      </c>
    </row>
    <row r="1973" spans="1:21" x14ac:dyDescent="0.25">
      <c r="A1973">
        <v>3805229</v>
      </c>
      <c r="B1973">
        <v>7</v>
      </c>
      <c r="C1973" s="1">
        <f>5.20965683245971*(10.3/7.3)</f>
        <v>7.3506116951143818</v>
      </c>
      <c r="D1973" s="1">
        <f>5.7024525709799*(10.3/7.3)</f>
        <v>8.0459262302867121</v>
      </c>
      <c r="E1973" s="1">
        <f>20.3678384304277*(10.3/7.3)</f>
        <v>28.738182990877437</v>
      </c>
      <c r="F1973" s="1">
        <f>36.9443898142589*(38.9/42.5)</f>
        <v>33.814982677051091</v>
      </c>
      <c r="G1973" s="1">
        <v>1.1327740039824021</v>
      </c>
      <c r="H1973" s="1">
        <v>4.4627856899084772</v>
      </c>
      <c r="I1973" s="1">
        <v>28.402798363973719</v>
      </c>
      <c r="J1973" s="1">
        <v>3.3780751283180754E-2</v>
      </c>
      <c r="K1973" s="1">
        <v>2.3619432044705593</v>
      </c>
      <c r="L1973" s="1">
        <v>3.8607541729570678</v>
      </c>
      <c r="M1973" s="1">
        <v>0.11308524526226196</v>
      </c>
      <c r="N1973" s="1">
        <v>1.3416641114203784</v>
      </c>
      <c r="O1973" s="1">
        <v>9.9900952380952396E-2</v>
      </c>
      <c r="P1973" s="1">
        <v>8.2116545260159532E-2</v>
      </c>
      <c r="Q1973" s="1">
        <v>1.8103694127572656</v>
      </c>
      <c r="R1973" s="2">
        <f t="shared" si="123"/>
        <v>113.75843106395148</v>
      </c>
      <c r="S1973" s="2">
        <f t="shared" si="122"/>
        <v>2.4778405010138993</v>
      </c>
      <c r="T1973" s="2">
        <f t="shared" si="124"/>
        <v>5.4154044820206604</v>
      </c>
      <c r="U1973" s="2">
        <f t="shared" si="125"/>
        <v>121.65167604698604</v>
      </c>
    </row>
    <row r="1974" spans="1:21" x14ac:dyDescent="0.25">
      <c r="A1974">
        <v>3805245</v>
      </c>
      <c r="B1974">
        <v>11</v>
      </c>
      <c r="C1974" s="1">
        <f>5.64777781989898*(10.3/7.3)</f>
        <v>7.9687824034191088</v>
      </c>
      <c r="D1974" s="1">
        <f>6.13102858689406*(10.3/7.3)</f>
        <v>8.6506293760286042</v>
      </c>
      <c r="E1974" s="1">
        <f>21.8765138136163*(10.3/7.3)</f>
        <v>30.866861956198335</v>
      </c>
      <c r="F1974" s="1">
        <f>41.2609367801746*(38.9/42.5)</f>
        <v>37.76589272350099</v>
      </c>
      <c r="G1974" s="1">
        <v>1.3459857731237106</v>
      </c>
      <c r="H1974" s="1">
        <v>5.0059542590683064</v>
      </c>
      <c r="I1974" s="1">
        <v>32.029865858487611</v>
      </c>
      <c r="J1974" s="1">
        <v>3.2583947397475971E-2</v>
      </c>
      <c r="K1974" s="1">
        <v>2.401901337008471</v>
      </c>
      <c r="L1974" s="1">
        <v>3.729781975762295</v>
      </c>
      <c r="M1974" s="1">
        <v>0.11719755602808846</v>
      </c>
      <c r="N1974" s="1">
        <v>1.3659741133583612</v>
      </c>
      <c r="O1974" s="1">
        <v>0.10548363636363636</v>
      </c>
      <c r="P1974" s="1">
        <v>8.5353396301049655E-2</v>
      </c>
      <c r="Q1974" s="1">
        <v>2.1511188154945171</v>
      </c>
      <c r="R1974" s="2">
        <f t="shared" si="123"/>
        <v>125.78509116532119</v>
      </c>
      <c r="S1974" s="2">
        <f t="shared" si="122"/>
        <v>2.5198386807069966</v>
      </c>
      <c r="T1974" s="2">
        <f t="shared" si="124"/>
        <v>5.3184372815123808</v>
      </c>
      <c r="U1974" s="2">
        <f t="shared" si="125"/>
        <v>133.62336712754058</v>
      </c>
    </row>
    <row r="1975" spans="1:21" x14ac:dyDescent="0.25">
      <c r="A1975">
        <v>3816705</v>
      </c>
      <c r="B1975">
        <v>4</v>
      </c>
      <c r="C1975" s="1">
        <f>0.653696427849732*(10.3/7.3)</f>
        <v>0.92233879545921083</v>
      </c>
      <c r="D1975" s="1">
        <f>0.819196079352243*(10.3/7.3)</f>
        <v>1.1558520023737131</v>
      </c>
      <c r="E1975" s="1">
        <f>2.86860674338263*(10.3/7.3)</f>
        <v>4.0474862269645264</v>
      </c>
      <c r="F1975" s="1">
        <f>7.13519989936312*(38.9/42.5)</f>
        <v>6.5308064961229526</v>
      </c>
      <c r="G1975" s="1">
        <v>0.32859075694319234</v>
      </c>
      <c r="H1975" s="1">
        <v>1.739922572485205</v>
      </c>
      <c r="I1975" s="1">
        <v>5.5216751808922533</v>
      </c>
      <c r="J1975" s="1">
        <v>2.2563235979008677E-2</v>
      </c>
      <c r="K1975" s="1">
        <v>2.8464967753527159</v>
      </c>
      <c r="L1975" s="1">
        <v>2.4437691747243289</v>
      </c>
      <c r="M1975" s="1">
        <v>0.1317641952712903</v>
      </c>
      <c r="N1975" s="1">
        <v>0.87086419247220159</v>
      </c>
      <c r="O1975" s="1">
        <v>0.44813333333333333</v>
      </c>
      <c r="P1975" s="1">
        <v>0.25885397458285009</v>
      </c>
      <c r="Q1975" s="1">
        <v>0.52514504534300199</v>
      </c>
      <c r="R1975" s="2">
        <f t="shared" si="123"/>
        <v>20.771817076584057</v>
      </c>
      <c r="S1975" s="2">
        <f t="shared" si="122"/>
        <v>3.1279139859145748</v>
      </c>
      <c r="T1975" s="2">
        <f t="shared" si="124"/>
        <v>3.8945308958011542</v>
      </c>
      <c r="U1975" s="2">
        <f t="shared" si="125"/>
        <v>27.794261958299785</v>
      </c>
    </row>
    <row r="1976" spans="1:21" x14ac:dyDescent="0.25">
      <c r="A1976">
        <v>3816713</v>
      </c>
      <c r="B1976">
        <v>6</v>
      </c>
      <c r="C1976" s="1">
        <f>0.944017963996044*(10.3/7.3)</f>
        <v>1.3319705519396232</v>
      </c>
      <c r="D1976" s="1">
        <f>1.21999777711839*(10.3/7.3)</f>
        <v>1.7213667266190935</v>
      </c>
      <c r="E1976" s="1">
        <f>4.24983332035427*(10.3/7.3)</f>
        <v>5.9963401643354786</v>
      </c>
      <c r="F1976" s="1">
        <f>11.4089314869791*(38.9/42.5)</f>
        <v>10.442527878670289</v>
      </c>
      <c r="G1976" s="1">
        <v>0.55936429263581255</v>
      </c>
      <c r="H1976" s="1">
        <v>2.9815807211687999</v>
      </c>
      <c r="I1976" s="1">
        <v>8.8647855068301613</v>
      </c>
      <c r="J1976" s="1">
        <v>3.0722209603513403E-2</v>
      </c>
      <c r="K1976" s="1">
        <v>3.7467292783785351</v>
      </c>
      <c r="L1976" s="1">
        <v>3.3321409059092271</v>
      </c>
      <c r="M1976" s="1">
        <v>0.18395151742216972</v>
      </c>
      <c r="N1976" s="1">
        <v>1.1352722179357886</v>
      </c>
      <c r="O1976" s="1">
        <v>0.83395555555555545</v>
      </c>
      <c r="P1976" s="1">
        <v>0.33203691026429999</v>
      </c>
      <c r="Q1976" s="1">
        <v>0.89396119827641363</v>
      </c>
      <c r="R1976" s="2">
        <f t="shared" si="123"/>
        <v>32.791897040475675</v>
      </c>
      <c r="S1976" s="2">
        <f t="shared" si="122"/>
        <v>4.1094883982463486</v>
      </c>
      <c r="T1976" s="2">
        <f t="shared" si="124"/>
        <v>5.485320196822741</v>
      </c>
      <c r="U1976" s="2">
        <f t="shared" si="125"/>
        <v>42.386705635544764</v>
      </c>
    </row>
    <row r="1977" spans="1:21" x14ac:dyDescent="0.25">
      <c r="A1977">
        <v>3817073</v>
      </c>
      <c r="B1977">
        <v>10</v>
      </c>
      <c r="C1977" s="1">
        <f>2.52572766340673*(10.3/7.3)</f>
        <v>3.5636979360396284</v>
      </c>
      <c r="D1977" s="1">
        <f>3.80730867919735*(10.3/7.3)</f>
        <v>5.3719560816072258</v>
      </c>
      <c r="E1977" s="1">
        <f>13.1701766903959*(10.3/7.3)</f>
        <v>18.582578070010698</v>
      </c>
      <c r="F1977" s="1">
        <f>35.8580268134217*(38.9/42.5)</f>
        <v>32.820641012755424</v>
      </c>
      <c r="G1977" s="1">
        <v>1.8062030375123919</v>
      </c>
      <c r="H1977" s="1">
        <v>11.722202425216699</v>
      </c>
      <c r="I1977" s="1">
        <v>26.968808371122925</v>
      </c>
      <c r="J1977" s="1">
        <v>3.7834950621613322E-2</v>
      </c>
      <c r="K1977" s="1">
        <v>3.5183543492026588</v>
      </c>
      <c r="L1977" s="1">
        <v>5.3419916339305429</v>
      </c>
      <c r="M1977" s="1">
        <v>0.18410716441175218</v>
      </c>
      <c r="N1977" s="1">
        <v>2.0597219595504468</v>
      </c>
      <c r="O1977" s="1">
        <v>0.21212266666666663</v>
      </c>
      <c r="P1977" s="1">
        <v>0.1743624863299548</v>
      </c>
      <c r="Q1977" s="1">
        <v>2.8866258590380718</v>
      </c>
      <c r="R1977" s="2">
        <f t="shared" si="123"/>
        <v>103.72271279330306</v>
      </c>
      <c r="S1977" s="2">
        <f t="shared" si="122"/>
        <v>3.7305517861542268</v>
      </c>
      <c r="T1977" s="2">
        <f t="shared" si="124"/>
        <v>7.7979434245594081</v>
      </c>
      <c r="U1977" s="2">
        <f t="shared" si="125"/>
        <v>115.25120800401669</v>
      </c>
    </row>
    <row r="1978" spans="1:21" x14ac:dyDescent="0.25">
      <c r="A1978">
        <v>3817081</v>
      </c>
      <c r="B1978">
        <v>11</v>
      </c>
      <c r="C1978" s="1">
        <f>3.63513690363353*(10.3/7.3)</f>
        <v>5.1290287818390903</v>
      </c>
      <c r="D1978" s="1">
        <f>7.02264053787137*(10.3/7.3)</f>
        <v>9.9086571972705588</v>
      </c>
      <c r="E1978" s="1">
        <f>24.313380235791*(10.3/7.3)</f>
        <v>34.305180332691357</v>
      </c>
      <c r="F1978" s="1">
        <f>54.8325335369052*(38.9/42.5)</f>
        <v>50.187895402014426</v>
      </c>
      <c r="G1978" s="1">
        <v>2.4539328425014717</v>
      </c>
      <c r="H1978" s="1">
        <v>10.874277506583441</v>
      </c>
      <c r="I1978" s="1">
        <v>37.285533499226972</v>
      </c>
      <c r="J1978" s="1">
        <v>5.2829429760553138E-2</v>
      </c>
      <c r="K1978" s="1">
        <v>4.8760122749094172</v>
      </c>
      <c r="L1978" s="1">
        <v>8.0882513651297288</v>
      </c>
      <c r="M1978" s="1">
        <v>0.25745883012916787</v>
      </c>
      <c r="N1978" s="1">
        <v>2.6861007195831146</v>
      </c>
      <c r="O1978" s="1">
        <v>0.28173090909090914</v>
      </c>
      <c r="P1978" s="1">
        <v>0.21213317743299182</v>
      </c>
      <c r="Q1978" s="1">
        <v>3.9218104788836352</v>
      </c>
      <c r="R1978" s="2">
        <f t="shared" si="123"/>
        <v>154.06631604101094</v>
      </c>
      <c r="S1978" s="2">
        <f t="shared" si="122"/>
        <v>5.1409748821029622</v>
      </c>
      <c r="T1978" s="2">
        <f t="shared" si="124"/>
        <v>11.313541823932921</v>
      </c>
      <c r="U1978" s="2">
        <f t="shared" si="125"/>
        <v>170.52083274704682</v>
      </c>
    </row>
    <row r="1979" spans="1:21" x14ac:dyDescent="0.25">
      <c r="A1979">
        <v>3817089</v>
      </c>
      <c r="B1979">
        <v>38</v>
      </c>
      <c r="C1979" s="1">
        <f>3.32637594963433*(10.3/7.3)</f>
        <v>4.6933797645525415</v>
      </c>
      <c r="D1979" s="1">
        <f>5.79436449776877*(10.3/7.3)</f>
        <v>8.1756101817833322</v>
      </c>
      <c r="E1979" s="1">
        <f>20.0416251294845*(10.3/7.3)</f>
        <v>28.277909429272594</v>
      </c>
      <c r="F1979" s="1">
        <f>49.468164430089*(38.9/42.5)</f>
        <v>45.277919913657897</v>
      </c>
      <c r="G1979" s="1">
        <v>2.3578345649235848</v>
      </c>
      <c r="H1979" s="1">
        <v>14.186304161332496</v>
      </c>
      <c r="I1979" s="1">
        <v>35.298081456306413</v>
      </c>
      <c r="J1979" s="1">
        <v>4.8555203920363339E-2</v>
      </c>
      <c r="K1979" s="1">
        <v>5.1485146617603874</v>
      </c>
      <c r="L1979" s="1">
        <v>7.3919466438486481</v>
      </c>
      <c r="M1979" s="1">
        <v>0.23813807406004339</v>
      </c>
      <c r="N1979" s="1">
        <v>3.1002476319681507</v>
      </c>
      <c r="O1979" s="1">
        <v>0.26067929824561409</v>
      </c>
      <c r="P1979" s="1">
        <v>0.20366850820264085</v>
      </c>
      <c r="Q1979" s="1">
        <v>3.7682287567271948</v>
      </c>
      <c r="R1979" s="2">
        <f t="shared" si="123"/>
        <v>142.03526822855605</v>
      </c>
      <c r="S1979" s="2">
        <f t="shared" si="122"/>
        <v>5.4007383738833923</v>
      </c>
      <c r="T1979" s="2">
        <f t="shared" si="124"/>
        <v>10.991011648122457</v>
      </c>
      <c r="U1979" s="2">
        <f t="shared" si="125"/>
        <v>158.4270182505619</v>
      </c>
    </row>
    <row r="1980" spans="1:21" x14ac:dyDescent="0.25">
      <c r="A1980">
        <v>3817209</v>
      </c>
      <c r="B1980">
        <v>16</v>
      </c>
      <c r="C1980" s="1">
        <f>4.41108175989994*(10.3/7.3)</f>
        <v>6.223855085886222</v>
      </c>
      <c r="D1980" s="1">
        <f>5.33701680874105*(10.3/7.3)</f>
        <v>7.5303113876757326</v>
      </c>
      <c r="E1980" s="1">
        <f>18.8569364915487*(10.3/7.3)</f>
        <v>26.606362446979677</v>
      </c>
      <c r="F1980" s="1">
        <f>39.8685987717811*(38.9/42.5)</f>
        <v>36.49149393464198</v>
      </c>
      <c r="G1980" s="1">
        <v>1.557922543939642</v>
      </c>
      <c r="H1980" s="1">
        <v>6.4769476427121306</v>
      </c>
      <c r="I1980" s="1">
        <v>30.336285709294792</v>
      </c>
      <c r="J1980" s="1">
        <v>4.0602155951883281E-2</v>
      </c>
      <c r="K1980" s="1">
        <v>3.1237400781391345</v>
      </c>
      <c r="L1980" s="1">
        <v>9.305061055405945</v>
      </c>
      <c r="M1980" s="1">
        <v>0.15850137962023964</v>
      </c>
      <c r="N1980" s="1">
        <v>2.0084136129192736</v>
      </c>
      <c r="O1980" s="1">
        <v>0.15370333333333333</v>
      </c>
      <c r="P1980" s="1">
        <v>0.12193687054239105</v>
      </c>
      <c r="Q1980" s="1">
        <v>2.4898305496752293</v>
      </c>
      <c r="R1980" s="2">
        <f t="shared" si="123"/>
        <v>117.71300930080541</v>
      </c>
      <c r="S1980" s="2">
        <f t="shared" si="122"/>
        <v>3.2862791046334086</v>
      </c>
      <c r="T1980" s="2">
        <f t="shared" si="124"/>
        <v>11.625679381278792</v>
      </c>
      <c r="U1980" s="2">
        <f t="shared" si="125"/>
        <v>132.6249677867176</v>
      </c>
    </row>
    <row r="1981" spans="1:21" x14ac:dyDescent="0.25">
      <c r="A1981">
        <v>3817217</v>
      </c>
      <c r="B1981">
        <v>19</v>
      </c>
      <c r="C1981" s="1">
        <f>5.49936171506309*(10.3/7.3)</f>
        <v>7.7593733787876502</v>
      </c>
      <c r="D1981" s="1">
        <f>6.45051040731378*(10.3/7.3)</f>
        <v>9.1014050952509464</v>
      </c>
      <c r="E1981" s="1">
        <f>22.8665194650474*(10.3/7.3)</f>
        <v>32.263719245203866</v>
      </c>
      <c r="F1981" s="1">
        <f>46.2246487135323*(38.9/42.5)</f>
        <v>42.309149057797768</v>
      </c>
      <c r="G1981" s="1">
        <v>1.6988177428351545</v>
      </c>
      <c r="H1981" s="1">
        <v>5.7261808713815503</v>
      </c>
      <c r="I1981" s="1">
        <v>35.264291734563351</v>
      </c>
      <c r="J1981" s="1">
        <v>3.7759600255945665E-2</v>
      </c>
      <c r="K1981" s="1">
        <v>2.775567842758845</v>
      </c>
      <c r="L1981" s="1">
        <v>8.5190451059571739</v>
      </c>
      <c r="M1981" s="1">
        <v>0.15640228171627851</v>
      </c>
      <c r="N1981" s="1">
        <v>1.7396569487207316</v>
      </c>
      <c r="O1981" s="1">
        <v>0.15122807017543863</v>
      </c>
      <c r="P1981" s="1">
        <v>0.11858170721008908</v>
      </c>
      <c r="Q1981" s="1">
        <v>2.7150055250790164</v>
      </c>
      <c r="R1981" s="2">
        <f t="shared" si="123"/>
        <v>136.83794265089929</v>
      </c>
      <c r="S1981" s="2">
        <f t="shared" si="122"/>
        <v>2.9319091502248797</v>
      </c>
      <c r="T1981" s="2">
        <f t="shared" si="124"/>
        <v>10.566332406569623</v>
      </c>
      <c r="U1981" s="2">
        <f t="shared" si="125"/>
        <v>150.33618420769378</v>
      </c>
    </row>
    <row r="1982" spans="1:21" x14ac:dyDescent="0.25">
      <c r="A1982">
        <v>3817353</v>
      </c>
      <c r="B1982">
        <v>39</v>
      </c>
      <c r="C1982" s="1">
        <f>6.7071318997842*(10.3/7.3)</f>
        <v>9.4634874750379741</v>
      </c>
      <c r="D1982" s="1">
        <f>7.41865879767346*(10.3/7.3)</f>
        <v>10.467422687128309</v>
      </c>
      <c r="E1982" s="1">
        <f>26.4811383854221*(10.3/7.3)</f>
        <v>37.36379799586954</v>
      </c>
      <c r="F1982" s="1">
        <f>48.1586922506028*(38.9/42.5)</f>
        <v>44.079367730551773</v>
      </c>
      <c r="G1982" s="1">
        <v>1.4884009244486571</v>
      </c>
      <c r="H1982" s="1">
        <v>8.8511916183184791</v>
      </c>
      <c r="I1982" s="1">
        <v>36.882169345281433</v>
      </c>
      <c r="J1982" s="1">
        <v>4.8510046154061841E-2</v>
      </c>
      <c r="K1982" s="1">
        <v>2.5415386015308639</v>
      </c>
      <c r="L1982" s="1">
        <v>7.6066280115937088</v>
      </c>
      <c r="M1982" s="1">
        <v>0.14565156582212982</v>
      </c>
      <c r="N1982" s="1">
        <v>2.1591167308673884</v>
      </c>
      <c r="O1982" s="1">
        <v>0.13251145299145298</v>
      </c>
      <c r="P1982" s="1">
        <v>0.10509736761566139</v>
      </c>
      <c r="Q1982" s="1">
        <v>2.378722938616578</v>
      </c>
      <c r="R1982" s="2">
        <f t="shared" si="123"/>
        <v>150.97456071525275</v>
      </c>
      <c r="S1982" s="2">
        <f t="shared" si="122"/>
        <v>2.6951460153005868</v>
      </c>
      <c r="T1982" s="2">
        <f t="shared" si="124"/>
        <v>10.04390776127468</v>
      </c>
      <c r="U1982" s="2">
        <f t="shared" si="125"/>
        <v>163.71361449182803</v>
      </c>
    </row>
    <row r="1983" spans="1:21" x14ac:dyDescent="0.25">
      <c r="A1983">
        <v>3817361</v>
      </c>
      <c r="B1983">
        <v>7</v>
      </c>
      <c r="C1983" s="1">
        <f>5.11235983395047*(10.3/7.3)</f>
        <v>7.2133296287246305</v>
      </c>
      <c r="D1983" s="1">
        <f>5.62745214915378*(10.3/7.3)</f>
        <v>7.9401037172991735</v>
      </c>
      <c r="E1983" s="1">
        <f>20.0900589471761*(10.3/7.3)</f>
        <v>28.346247555604577</v>
      </c>
      <c r="F1983" s="1">
        <f>36.6485375614497*(38.9/42.5)</f>
        <v>33.544190850362234</v>
      </c>
      <c r="G1983" s="1">
        <v>1.1368665395907442</v>
      </c>
      <c r="H1983" s="1">
        <v>4.1983776345171258</v>
      </c>
      <c r="I1983" s="1">
        <v>28.137449455304623</v>
      </c>
      <c r="J1983" s="1">
        <v>4.0138282855424513E-2</v>
      </c>
      <c r="K1983" s="1">
        <v>2.1531761178579858</v>
      </c>
      <c r="L1983" s="1">
        <v>9.2050025663970239</v>
      </c>
      <c r="M1983" s="1">
        <v>0.1237926574691043</v>
      </c>
      <c r="N1983" s="1">
        <v>1.7458163672637419</v>
      </c>
      <c r="O1983" s="1">
        <v>0.11189333333333333</v>
      </c>
      <c r="P1983" s="1">
        <v>9.0430357528409847E-2</v>
      </c>
      <c r="Q1983" s="1">
        <v>1.8169099947797298</v>
      </c>
      <c r="R1983" s="2">
        <f t="shared" si="123"/>
        <v>112.33347537618285</v>
      </c>
      <c r="S1983" s="2">
        <f t="shared" si="122"/>
        <v>2.2837447582418204</v>
      </c>
      <c r="T1983" s="2">
        <f t="shared" si="124"/>
        <v>11.186504924463204</v>
      </c>
      <c r="U1983" s="2">
        <f t="shared" si="125"/>
        <v>125.80372505888788</v>
      </c>
    </row>
    <row r="1984" spans="1:21" x14ac:dyDescent="0.25">
      <c r="A1984">
        <v>3817369</v>
      </c>
      <c r="B1984">
        <v>14</v>
      </c>
      <c r="C1984" s="1">
        <f>5.15531845025133*(10.3/7.3)</f>
        <v>7.2739424709025613</v>
      </c>
      <c r="D1984" s="1">
        <f>5.7214610573995*(10.3/7.3)</f>
        <v>8.0727464234540847</v>
      </c>
      <c r="E1984" s="1">
        <f>20.4152574197229*(10.3/7.3)</f>
        <v>28.805089236047376</v>
      </c>
      <c r="F1984" s="1">
        <f>37.3384308846261*(38.9/42.5)</f>
        <v>34.175646150869561</v>
      </c>
      <c r="G1984" s="1">
        <v>1.1664492876210815</v>
      </c>
      <c r="H1984" s="1">
        <v>5.2994380394090612</v>
      </c>
      <c r="I1984" s="1">
        <v>28.58419813540112</v>
      </c>
      <c r="J1984" s="1">
        <v>4.4597890004261002E-2</v>
      </c>
      <c r="K1984" s="1">
        <v>2.3320193196753798</v>
      </c>
      <c r="L1984" s="1">
        <v>10.227901581943071</v>
      </c>
      <c r="M1984" s="1">
        <v>0.13190507788298811</v>
      </c>
      <c r="N1984" s="1">
        <v>2.2866315871386296</v>
      </c>
      <c r="O1984" s="1">
        <v>0.11891428571428572</v>
      </c>
      <c r="P1984" s="1">
        <v>9.5995039776964816E-2</v>
      </c>
      <c r="Q1984" s="1">
        <v>1.8641883592117765</v>
      </c>
      <c r="R1984" s="2">
        <f t="shared" si="123"/>
        <v>115.24169810291663</v>
      </c>
      <c r="S1984" s="2">
        <f t="shared" si="122"/>
        <v>2.4726122494566054</v>
      </c>
      <c r="T1984" s="2">
        <f t="shared" si="124"/>
        <v>12.765352532678975</v>
      </c>
      <c r="U1984" s="2">
        <f t="shared" si="125"/>
        <v>130.47966288505222</v>
      </c>
    </row>
    <row r="1985" spans="1:21" x14ac:dyDescent="0.25">
      <c r="A1985">
        <v>3817385</v>
      </c>
      <c r="B1985">
        <v>36</v>
      </c>
      <c r="C1985" s="1">
        <f>5.27061760621704*(10.3/7.3)</f>
        <v>7.4366248416487029</v>
      </c>
      <c r="D1985" s="1">
        <f>5.85327012778552*(10.3/7.3)</f>
        <v>8.2587236049576536</v>
      </c>
      <c r="E1985" s="1">
        <f>20.875092061658*(10.3/7.3)</f>
        <v>29.453897018503802</v>
      </c>
      <c r="F1985" s="1">
        <f>38.6719648750102*(38.9/42.5)</f>
        <v>35.396221967950495</v>
      </c>
      <c r="G1985" s="1">
        <v>1.2343299430000207</v>
      </c>
      <c r="H1985" s="1">
        <v>3.7609166662845652</v>
      </c>
      <c r="I1985" s="1">
        <v>29.66231185979764</v>
      </c>
      <c r="J1985" s="1">
        <v>4.5230666183611282E-2</v>
      </c>
      <c r="K1985" s="1">
        <v>2.3639840826633596</v>
      </c>
      <c r="L1985" s="1">
        <v>14.598548018875542</v>
      </c>
      <c r="M1985" s="1">
        <v>0.13216934251064016</v>
      </c>
      <c r="N1985" s="1">
        <v>1.8420342663826714</v>
      </c>
      <c r="O1985" s="1">
        <v>0.11839703703703702</v>
      </c>
      <c r="P1985" s="1">
        <v>9.5171246638637616E-2</v>
      </c>
      <c r="Q1985" s="1">
        <v>1.9726734248858793</v>
      </c>
      <c r="R1985" s="2">
        <f t="shared" si="123"/>
        <v>117.17569932702875</v>
      </c>
      <c r="S1985" s="2">
        <f t="shared" si="122"/>
        <v>2.5043859954856087</v>
      </c>
      <c r="T1985" s="2">
        <f t="shared" si="124"/>
        <v>16.69114866480589</v>
      </c>
      <c r="U1985" s="2">
        <f t="shared" si="125"/>
        <v>136.37123398732024</v>
      </c>
    </row>
    <row r="1986" spans="1:21" x14ac:dyDescent="0.25">
      <c r="A1986">
        <v>3817393</v>
      </c>
      <c r="B1986">
        <v>21</v>
      </c>
      <c r="C1986" s="1">
        <f>6.02956896609606*(10.3/7.3)</f>
        <v>8.507474020656085</v>
      </c>
      <c r="D1986" s="1">
        <f>6.65941631289643*(10.3/7.3)</f>
        <v>9.3961627428538623</v>
      </c>
      <c r="E1986" s="1">
        <f>23.7467306363897*(10.3/7.3)</f>
        <v>33.50566103490597</v>
      </c>
      <c r="F1986" s="1">
        <f>44.4954871829429*(38.9/42.5)</f>
        <v>40.726457680387732</v>
      </c>
      <c r="G1986" s="1">
        <v>1.4440366279472021</v>
      </c>
      <c r="H1986" s="1">
        <v>4.9967204079340872</v>
      </c>
      <c r="I1986" s="1">
        <v>34.269242391710549</v>
      </c>
      <c r="J1986" s="1">
        <v>4.5479466099153563E-2</v>
      </c>
      <c r="K1986" s="1">
        <v>2.5129098079305927</v>
      </c>
      <c r="L1986" s="1">
        <v>8.580579410603784</v>
      </c>
      <c r="M1986" s="1">
        <v>0.13806660403266463</v>
      </c>
      <c r="N1986" s="1">
        <v>1.845722409592665</v>
      </c>
      <c r="O1986" s="1">
        <v>0.12345904761904759</v>
      </c>
      <c r="P1986" s="1">
        <v>9.8072187320937421E-2</v>
      </c>
      <c r="Q1986" s="1">
        <v>2.3078210948927915</v>
      </c>
      <c r="R1986" s="2">
        <f t="shared" si="123"/>
        <v>135.15357600128829</v>
      </c>
      <c r="S1986" s="2">
        <f t="shared" si="122"/>
        <v>2.6564614613506841</v>
      </c>
      <c r="T1986" s="2">
        <f t="shared" si="124"/>
        <v>10.687827471848159</v>
      </c>
      <c r="U1986" s="2">
        <f t="shared" si="125"/>
        <v>148.49786493448713</v>
      </c>
    </row>
    <row r="1987" spans="1:21" x14ac:dyDescent="0.25">
      <c r="A1987">
        <v>3817401</v>
      </c>
      <c r="B1987">
        <v>36</v>
      </c>
      <c r="C1987" s="1">
        <f>5.09758194350113*(10.3/7.3)</f>
        <v>7.1924786326111771</v>
      </c>
      <c r="D1987" s="1">
        <f>5.61781316793706*(10.3/7.3)</f>
        <v>7.9265035109248956</v>
      </c>
      <c r="E1987" s="1">
        <f>20.0253913107832*(10.3/7.3)</f>
        <v>28.255004178228322</v>
      </c>
      <c r="F1987" s="1">
        <f>37.9917656791633*(38.9/42.5)</f>
        <v>34.773639645163612</v>
      </c>
      <c r="G1987" s="1">
        <v>1.2563343471588557</v>
      </c>
      <c r="H1987" s="1">
        <v>5.2690063197852242</v>
      </c>
      <c r="I1987" s="1">
        <v>29.345032374025728</v>
      </c>
      <c r="J1987" s="1">
        <v>3.90082436071926E-2</v>
      </c>
      <c r="K1987" s="1">
        <v>2.3090504400097505</v>
      </c>
      <c r="L1987" s="1">
        <v>8.4975355549381053</v>
      </c>
      <c r="M1987" s="1">
        <v>0.12442422753986045</v>
      </c>
      <c r="N1987" s="1">
        <v>1.5915425465825213</v>
      </c>
      <c r="O1987" s="1">
        <v>0.10971703703703704</v>
      </c>
      <c r="P1987" s="1">
        <v>8.9240542453630042E-2</v>
      </c>
      <c r="Q1987" s="1">
        <v>2.0078402808474891</v>
      </c>
      <c r="R1987" s="2">
        <f t="shared" si="123"/>
        <v>116.02583928874529</v>
      </c>
      <c r="S1987" s="2">
        <f t="shared" si="122"/>
        <v>2.4372992260705733</v>
      </c>
      <c r="T1987" s="2">
        <f t="shared" si="124"/>
        <v>10.323219366097524</v>
      </c>
      <c r="U1987" s="2">
        <f t="shared" si="125"/>
        <v>128.78635788091339</v>
      </c>
    </row>
    <row r="1988" spans="1:21" x14ac:dyDescent="0.25">
      <c r="A1988">
        <v>3817409</v>
      </c>
      <c r="B1988">
        <v>46</v>
      </c>
      <c r="C1988" s="1">
        <f>5.768650724734*(10.3/7.3)</f>
        <v>8.1393291047616767</v>
      </c>
      <c r="D1988" s="1">
        <f>6.23102208099676*(10.3/7.3)</f>
        <v>8.7917160868858382</v>
      </c>
      <c r="E1988" s="1">
        <f>22.2604393061512*(10.3/7.3)</f>
        <v>31.408565048405162</v>
      </c>
      <c r="F1988" s="1">
        <f>40.9081412233115*(38.9/42.5)</f>
        <v>37.442981025572173</v>
      </c>
      <c r="G1988" s="1">
        <v>1.2771130232412147</v>
      </c>
      <c r="H1988" s="1">
        <v>7.5172693570213633</v>
      </c>
      <c r="I1988" s="1">
        <v>31.689731255525377</v>
      </c>
      <c r="J1988" s="1">
        <v>3.8769599268344612E-2</v>
      </c>
      <c r="K1988" s="1">
        <v>2.4833330079644482</v>
      </c>
      <c r="L1988" s="1">
        <v>9.7517407991582505</v>
      </c>
      <c r="M1988" s="1">
        <v>0.12483112502923621</v>
      </c>
      <c r="N1988" s="1">
        <v>1.5377774089496712</v>
      </c>
      <c r="O1988" s="1">
        <v>0.11018782608695651</v>
      </c>
      <c r="P1988" s="1">
        <v>8.887662603436855E-2</v>
      </c>
      <c r="Q1988" s="1">
        <v>2.0410482106594774</v>
      </c>
      <c r="R1988" s="2">
        <f t="shared" si="123"/>
        <v>128.30775311207228</v>
      </c>
      <c r="S1988" s="2">
        <f t="shared" si="122"/>
        <v>2.6109792332671615</v>
      </c>
      <c r="T1988" s="2">
        <f t="shared" si="124"/>
        <v>11.524537159224115</v>
      </c>
      <c r="U1988" s="2">
        <f t="shared" si="125"/>
        <v>142.44326950456355</v>
      </c>
    </row>
    <row r="1989" spans="1:21" x14ac:dyDescent="0.25">
      <c r="A1989">
        <v>3817417</v>
      </c>
      <c r="B1989">
        <v>55</v>
      </c>
      <c r="C1989" s="1">
        <f>5.00182092602157*(10.3/7.3)</f>
        <v>7.0573637723318106</v>
      </c>
      <c r="D1989" s="1">
        <f>5.41652805789226*(10.3/7.3)</f>
        <v>7.6424984926424981</v>
      </c>
      <c r="E1989" s="1">
        <f>19.3543868411016*(10.3/7.3)</f>
        <v>27.308244447033832</v>
      </c>
      <c r="F1989" s="1">
        <f>35.2508436197668*(38.9/42.5)</f>
        <v>32.264889807268908</v>
      </c>
      <c r="G1989" s="1">
        <v>1.0847089359650277</v>
      </c>
      <c r="H1989" s="1">
        <v>7.1084367255897076</v>
      </c>
      <c r="I1989" s="1">
        <v>27.239512332240633</v>
      </c>
      <c r="J1989" s="1">
        <v>3.7428914596627116E-2</v>
      </c>
      <c r="K1989" s="1">
        <v>3.4543750671564522</v>
      </c>
      <c r="L1989" s="1">
        <v>10.238950079881985</v>
      </c>
      <c r="M1989" s="1">
        <v>0.1255273389171534</v>
      </c>
      <c r="N1989" s="1">
        <v>1.5745248947981851</v>
      </c>
      <c r="O1989" s="1">
        <v>0.11006739393939391</v>
      </c>
      <c r="P1989" s="1">
        <v>9.0374933063009574E-2</v>
      </c>
      <c r="Q1989" s="1">
        <v>1.7335530940080366</v>
      </c>
      <c r="R1989" s="2">
        <f t="shared" si="123"/>
        <v>111.43920760708046</v>
      </c>
      <c r="S1989" s="2">
        <f t="shared" si="122"/>
        <v>3.582178914816089</v>
      </c>
      <c r="T1989" s="2">
        <f t="shared" si="124"/>
        <v>12.049069707536718</v>
      </c>
      <c r="U1989" s="2">
        <f t="shared" si="125"/>
        <v>127.07045622943326</v>
      </c>
    </row>
    <row r="1990" spans="1:21" x14ac:dyDescent="0.25">
      <c r="A1990">
        <v>3817425</v>
      </c>
      <c r="B1990">
        <v>48</v>
      </c>
      <c r="C1990" s="1">
        <f>7.51742594281217*(10.3/7.3)</f>
        <v>10.606779069995261</v>
      </c>
      <c r="D1990" s="1">
        <f>8.13348791077767*(10.3/7.3)</f>
        <v>11.476017189179451</v>
      </c>
      <c r="E1990" s="1">
        <f>29.043706290135*(10.3/7.3)</f>
        <v>40.979475998409612</v>
      </c>
      <c r="F1990" s="1">
        <f>53.9182774535028*(38.9/42.5)</f>
        <v>49.351082186853191</v>
      </c>
      <c r="G1990" s="1">
        <v>1.712896674408156</v>
      </c>
      <c r="H1990" s="1">
        <v>5.7680405341292227</v>
      </c>
      <c r="I1990" s="1">
        <v>41.807082816732112</v>
      </c>
      <c r="J1990" s="1">
        <v>4.2469165605059346E-2</v>
      </c>
      <c r="K1990" s="1">
        <v>3.1886849426556942</v>
      </c>
      <c r="L1990" s="1">
        <v>9.5229546438338311</v>
      </c>
      <c r="M1990" s="1">
        <v>0.14215574871564399</v>
      </c>
      <c r="N1990" s="1">
        <v>1.7128051808670584</v>
      </c>
      <c r="O1990" s="1">
        <v>0.12596888888888888</v>
      </c>
      <c r="P1990" s="1">
        <v>9.7557920681813029E-2</v>
      </c>
      <c r="Q1990" s="1">
        <v>2.7375061006523072</v>
      </c>
      <c r="R1990" s="2">
        <f t="shared" si="123"/>
        <v>164.43888057035932</v>
      </c>
      <c r="S1990" s="2">
        <f t="shared" si="122"/>
        <v>3.3287120289425669</v>
      </c>
      <c r="T1990" s="2">
        <f t="shared" si="124"/>
        <v>11.503884462305422</v>
      </c>
      <c r="U1990" s="2">
        <f t="shared" si="125"/>
        <v>179.2714770616073</v>
      </c>
    </row>
    <row r="1991" spans="1:21" x14ac:dyDescent="0.25">
      <c r="A1991">
        <v>3817433</v>
      </c>
      <c r="B1991">
        <v>28</v>
      </c>
      <c r="C1991" s="1">
        <f>5.93141848514375*(10.3/7.3)</f>
        <v>8.3689877256137883</v>
      </c>
      <c r="D1991" s="1">
        <f>6.69503998044024*(10.3/7.3)</f>
        <v>9.4464262737718521</v>
      </c>
      <c r="E1991" s="1">
        <f>23.72300532563*(10.3/7.3)</f>
        <v>33.472185596436873</v>
      </c>
      <c r="F1991" s="1">
        <f>50.7286644231011*(38.9/42.5)</f>
        <v>46.43164814255605</v>
      </c>
      <c r="G1991" s="1">
        <v>1.9791318267757434</v>
      </c>
      <c r="H1991" s="1">
        <v>6.9800607472028204</v>
      </c>
      <c r="I1991" s="1">
        <v>39.57671688077847</v>
      </c>
      <c r="J1991" s="1">
        <v>3.6743113677684507E-2</v>
      </c>
      <c r="K1991" s="1">
        <v>2.6522173074354458</v>
      </c>
      <c r="L1991" s="1">
        <v>6.1353747801529943</v>
      </c>
      <c r="M1991" s="1">
        <v>0.12226229055597852</v>
      </c>
      <c r="N1991" s="1">
        <v>1.5423631830587994</v>
      </c>
      <c r="O1991" s="1">
        <v>0.10839999999999997</v>
      </c>
      <c r="P1991" s="1">
        <v>8.7911662064489887E-2</v>
      </c>
      <c r="Q1991" s="1">
        <v>3.1629960701895472</v>
      </c>
      <c r="R1991" s="2">
        <f t="shared" si="123"/>
        <v>149.41815326332511</v>
      </c>
      <c r="S1991" s="2">
        <f t="shared" si="122"/>
        <v>2.7768720831776204</v>
      </c>
      <c r="T1991" s="2">
        <f t="shared" si="124"/>
        <v>7.9084002537677716</v>
      </c>
      <c r="U1991" s="2">
        <f t="shared" si="125"/>
        <v>160.1034256002705</v>
      </c>
    </row>
    <row r="1992" spans="1:21" x14ac:dyDescent="0.25">
      <c r="A1992">
        <v>3817441</v>
      </c>
      <c r="B1992">
        <v>5</v>
      </c>
      <c r="C1992" s="1">
        <f>6.71440327841023*(10.3/7.3)</f>
        <v>9.4737470914555235</v>
      </c>
      <c r="D1992" s="1">
        <f>7.74156352108696*(10.3/7.3)</f>
        <v>10.923027981807635</v>
      </c>
      <c r="E1992" s="1">
        <f>27.5764240222257*(10.3/7.3)</f>
        <v>38.909201017660884</v>
      </c>
      <c r="F1992" s="1">
        <f>50.1692834229905*(38.9/42.5)</f>
        <v>45.919650003631304</v>
      </c>
      <c r="G1992" s="1">
        <v>1.5720854761572747</v>
      </c>
      <c r="H1992" s="1">
        <v>5.8831032259290268</v>
      </c>
      <c r="I1992" s="1">
        <v>37.783899116543438</v>
      </c>
      <c r="J1992" s="1">
        <v>4.6191516101079175E-2</v>
      </c>
      <c r="K1992" s="1">
        <v>2.9427529028152661</v>
      </c>
      <c r="L1992" s="1">
        <v>14.21597010244121</v>
      </c>
      <c r="M1992" s="1">
        <v>0.12567031520265132</v>
      </c>
      <c r="N1992" s="1">
        <v>1.6244539521813652</v>
      </c>
      <c r="O1992" s="1">
        <v>0.11224533333333334</v>
      </c>
      <c r="P1992" s="1">
        <v>8.9059711357111146E-2</v>
      </c>
      <c r="Q1992" s="1">
        <v>2.5124653728540944</v>
      </c>
      <c r="R1992" s="2">
        <f t="shared" si="123"/>
        <v>152.97717928603916</v>
      </c>
      <c r="S1992" s="2">
        <f t="shared" si="122"/>
        <v>3.0780041302734564</v>
      </c>
      <c r="T1992" s="2">
        <f t="shared" si="124"/>
        <v>16.078339703158559</v>
      </c>
      <c r="U1992" s="2">
        <f t="shared" si="125"/>
        <v>172.13352311947116</v>
      </c>
    </row>
    <row r="1993" spans="1:21" x14ac:dyDescent="0.25">
      <c r="A1993">
        <v>3817449</v>
      </c>
      <c r="B1993">
        <v>15</v>
      </c>
      <c r="C1993" s="1">
        <f>5.47465364789267*(10.3/7.3)</f>
        <v>7.7245113114102111</v>
      </c>
      <c r="D1993" s="1">
        <f>6.41111536436169*(10.3/7.3)</f>
        <v>9.045820308619918</v>
      </c>
      <c r="E1993" s="1">
        <f>22.8392730800059*(10.3/7.3)</f>
        <v>32.225275715624797</v>
      </c>
      <c r="F1993" s="1">
        <f>40.5831274061353*(38.9/42.5)</f>
        <v>37.145497790556774</v>
      </c>
      <c r="G1993" s="1">
        <v>1.2269462628072672</v>
      </c>
      <c r="H1993" s="1">
        <v>4.497368280093359</v>
      </c>
      <c r="I1993" s="1">
        <v>30.231344797206379</v>
      </c>
      <c r="J1993" s="1">
        <v>3.4367687391464938E-2</v>
      </c>
      <c r="K1993" s="1">
        <v>2.8818433612929173</v>
      </c>
      <c r="L1993" s="1">
        <v>15.502620601624802</v>
      </c>
      <c r="M1993" s="1">
        <v>0.11756532855705072</v>
      </c>
      <c r="N1993" s="1">
        <v>1.3834855210937191</v>
      </c>
      <c r="O1993" s="1">
        <v>0.10455111111111111</v>
      </c>
      <c r="P1993" s="1">
        <v>8.4919995932937448E-2</v>
      </c>
      <c r="Q1993" s="1">
        <v>1.9608730227513425</v>
      </c>
      <c r="R1993" s="2">
        <f t="shared" si="123"/>
        <v>124.05763748907003</v>
      </c>
      <c r="S1993" s="2">
        <f t="shared" ref="S1993:S2056" si="126">J1993+K1993+P1993</f>
        <v>3.0011310446173201</v>
      </c>
      <c r="T1993" s="2">
        <f t="shared" si="124"/>
        <v>17.108222562386683</v>
      </c>
      <c r="U1993" s="2">
        <f t="shared" si="125"/>
        <v>144.16699109607404</v>
      </c>
    </row>
    <row r="1994" spans="1:21" x14ac:dyDescent="0.25">
      <c r="A1994">
        <v>3817457</v>
      </c>
      <c r="B1994">
        <v>1</v>
      </c>
      <c r="C1994" s="1">
        <f>5.26143476733889*(10.3/7.3)</f>
        <v>7.4236682333685762</v>
      </c>
      <c r="D1994" s="1">
        <f>5.8737493858861*(10.3/7.3)</f>
        <v>8.2876189965242268</v>
      </c>
      <c r="E1994" s="1">
        <f>20.9650056328655*(10.3/7.3)</f>
        <v>29.580761372399305</v>
      </c>
      <c r="F1994" s="1">
        <f>37.7112524228336*(38.9/42.5)</f>
        <v>34.516887511722956</v>
      </c>
      <c r="G1994" s="1">
        <v>1.1469829197461963</v>
      </c>
      <c r="H1994" s="1">
        <v>3.2415179930464264</v>
      </c>
      <c r="I1994" s="1">
        <v>28.716068988047127</v>
      </c>
      <c r="J1994" s="1">
        <v>3.328369027162089E-2</v>
      </c>
      <c r="K1994" s="1">
        <v>2.8483605951026032</v>
      </c>
      <c r="L1994" s="1">
        <v>4.7521829013579788</v>
      </c>
      <c r="M1994" s="1">
        <v>0.11952949499546135</v>
      </c>
      <c r="N1994" s="1">
        <v>1.493202308585666</v>
      </c>
      <c r="O1994" s="1">
        <v>0.10607999999999999</v>
      </c>
      <c r="P1994" s="1">
        <v>8.6801159849741141E-2</v>
      </c>
      <c r="Q1994" s="1">
        <v>1.833077725621777</v>
      </c>
      <c r="R1994" s="2">
        <f t="shared" ref="R1994:R2057" si="127">C1994+D1994+E1994+F1994+G1994+H1994+I1994+Q1994</f>
        <v>114.74658374047659</v>
      </c>
      <c r="S1994" s="2">
        <f t="shared" si="126"/>
        <v>2.9684454452239653</v>
      </c>
      <c r="T1994" s="2">
        <f t="shared" ref="T1994:T2057" si="128">L1994+M1994+N1994+O1994</f>
        <v>6.4709947049391072</v>
      </c>
      <c r="U1994" s="2">
        <f t="shared" ref="U1994:U2057" si="129">R1994+S1994+T1994</f>
        <v>124.18602389063966</v>
      </c>
    </row>
    <row r="1995" spans="1:21" x14ac:dyDescent="0.25">
      <c r="A1995">
        <v>3828941</v>
      </c>
      <c r="B1995">
        <v>56</v>
      </c>
      <c r="C1995" s="1">
        <f>0.945871917525143*(10.3/7.3)</f>
        <v>1.334586404179311</v>
      </c>
      <c r="D1995" s="1">
        <f>1.1960847873303*(10.3/7.3)</f>
        <v>1.6876264807537085</v>
      </c>
      <c r="E1995" s="1">
        <f>4.17744227369537*(10.3/7.3)</f>
        <v>5.8941993724742892</v>
      </c>
      <c r="F1995" s="1">
        <f>10.8613710839564*(38.9/42.5)</f>
        <v>9.9413490627271912</v>
      </c>
      <c r="G1995" s="1">
        <v>0.51867715686792137</v>
      </c>
      <c r="H1995" s="1">
        <v>2.8444980209447301</v>
      </c>
      <c r="I1995" s="1">
        <v>8.443445499797015</v>
      </c>
      <c r="J1995" s="1">
        <v>3.4462240115188295E-2</v>
      </c>
      <c r="K1995" s="1">
        <v>3.8191324256454173</v>
      </c>
      <c r="L1995" s="1">
        <v>3.400072588334869</v>
      </c>
      <c r="M1995" s="1">
        <v>0.17990508023808752</v>
      </c>
      <c r="N1995" s="1">
        <v>1.1550124432415141</v>
      </c>
      <c r="O1995" s="1">
        <v>0.82661904761904792</v>
      </c>
      <c r="P1995" s="1">
        <v>0.34618336162459917</v>
      </c>
      <c r="Q1995" s="1">
        <v>0.82893609545101721</v>
      </c>
      <c r="R1995" s="2">
        <f t="shared" si="127"/>
        <v>31.493318093195182</v>
      </c>
      <c r="S1995" s="2">
        <f t="shared" si="126"/>
        <v>4.1997780273852046</v>
      </c>
      <c r="T1995" s="2">
        <f t="shared" si="128"/>
        <v>5.5616091594335186</v>
      </c>
      <c r="U1995" s="2">
        <f t="shared" si="129"/>
        <v>41.254705280013901</v>
      </c>
    </row>
    <row r="1996" spans="1:21" x14ac:dyDescent="0.25">
      <c r="A1996">
        <v>3829309</v>
      </c>
      <c r="B1996">
        <v>19</v>
      </c>
      <c r="C1996" s="1">
        <f>3.39380255997396*(10.3/7.3)</f>
        <v>4.7885159407851798</v>
      </c>
      <c r="D1996" s="1">
        <f>5.22278219923996*(10.3/7.3)</f>
        <v>7.3691310482426848</v>
      </c>
      <c r="E1996" s="1">
        <f>18.0621676188361*(10.3/7.3)</f>
        <v>25.484976229316739</v>
      </c>
      <c r="F1996" s="1">
        <f>48.688246226045*(38.9/42.5)</f>
        <v>44.564065369250585</v>
      </c>
      <c r="G1996" s="1">
        <v>2.4411857928072633</v>
      </c>
      <c r="H1996" s="1">
        <v>11.265844072587806</v>
      </c>
      <c r="I1996" s="1">
        <v>36.386934813867434</v>
      </c>
      <c r="J1996" s="1">
        <v>4.5150367894965911E-2</v>
      </c>
      <c r="K1996" s="1">
        <v>4.4251889489362064</v>
      </c>
      <c r="L1996" s="1">
        <v>6.5704002230163061</v>
      </c>
      <c r="M1996" s="1">
        <v>0.22071528136715032</v>
      </c>
      <c r="N1996" s="1">
        <v>2.2188255267853241</v>
      </c>
      <c r="O1996" s="1">
        <v>0.24692210526315783</v>
      </c>
      <c r="P1996" s="1">
        <v>0.1954642707531736</v>
      </c>
      <c r="Q1996" s="1">
        <v>3.9014384816554477</v>
      </c>
      <c r="R1996" s="2">
        <f t="shared" si="127"/>
        <v>136.20209174851314</v>
      </c>
      <c r="S1996" s="2">
        <f t="shared" si="126"/>
        <v>4.665803587584346</v>
      </c>
      <c r="T1996" s="2">
        <f t="shared" si="128"/>
        <v>9.2568631364319387</v>
      </c>
      <c r="U1996" s="2">
        <f t="shared" si="129"/>
        <v>150.12475847252944</v>
      </c>
    </row>
    <row r="1997" spans="1:21" x14ac:dyDescent="0.25">
      <c r="A1997">
        <v>3829317</v>
      </c>
      <c r="B1997">
        <v>8</v>
      </c>
      <c r="C1997" s="1">
        <f>3.54056522974362*(10.3/7.3)</f>
        <v>4.9955920364875697</v>
      </c>
      <c r="D1997" s="1">
        <f>6.42207634531306*(10.3/7.3)</f>
        <v>9.0612858022910299</v>
      </c>
      <c r="E1997" s="1">
        <f>22.2430367903796*(10.3/7.3)</f>
        <v>31.384010813823309</v>
      </c>
      <c r="F1997" s="1">
        <f>51.8888395646745*(38.9/42.5)</f>
        <v>47.493549625078501</v>
      </c>
      <c r="G1997" s="1">
        <v>2.3741688079217922</v>
      </c>
      <c r="H1997" s="1">
        <v>14.187099734333247</v>
      </c>
      <c r="I1997" s="1">
        <v>36.148326774800587</v>
      </c>
      <c r="J1997" s="1">
        <v>5.4082814288566025E-2</v>
      </c>
      <c r="K1997" s="1">
        <v>5.1311276110766499</v>
      </c>
      <c r="L1997" s="1">
        <v>7.6531293207830098</v>
      </c>
      <c r="M1997" s="1">
        <v>0.24758884267477987</v>
      </c>
      <c r="N1997" s="1">
        <v>2.7034127927412843</v>
      </c>
      <c r="O1997" s="1">
        <v>0.27004000000000006</v>
      </c>
      <c r="P1997" s="1">
        <v>0.2094914829583778</v>
      </c>
      <c r="Q1997" s="1">
        <v>3.7943337112905398</v>
      </c>
      <c r="R1997" s="2">
        <f t="shared" si="127"/>
        <v>149.43836730602658</v>
      </c>
      <c r="S1997" s="2">
        <f t="shared" si="126"/>
        <v>5.3947019083235936</v>
      </c>
      <c r="T1997" s="2">
        <f t="shared" si="128"/>
        <v>10.874170956199075</v>
      </c>
      <c r="U1997" s="2">
        <f t="shared" si="129"/>
        <v>165.70724017054923</v>
      </c>
    </row>
    <row r="1998" spans="1:21" x14ac:dyDescent="0.25">
      <c r="A1998">
        <v>3829325</v>
      </c>
      <c r="B1998">
        <v>19</v>
      </c>
      <c r="C1998" s="1">
        <f>3.18933212401785*(10.3/7.3)</f>
        <v>4.5000165585457408</v>
      </c>
      <c r="D1998" s="1">
        <f>5.12826197683223*(10.3/7.3)</f>
        <v>7.235766898818075</v>
      </c>
      <c r="E1998" s="1">
        <f>17.7473198627894*(10.3/7.3)</f>
        <v>25.040738984483671</v>
      </c>
      <c r="F1998" s="1">
        <f>45.78416838727*(38.9/42.5)</f>
        <v>41.905980006230699</v>
      </c>
      <c r="G1998" s="1">
        <v>2.2363089264373546</v>
      </c>
      <c r="H1998" s="1">
        <v>11.674591800971955</v>
      </c>
      <c r="I1998" s="1">
        <v>33.587789603043539</v>
      </c>
      <c r="J1998" s="1">
        <v>4.5588981167554166E-2</v>
      </c>
      <c r="K1998" s="1">
        <v>5.2683970449153312</v>
      </c>
      <c r="L1998" s="1">
        <v>6.7725761474549175</v>
      </c>
      <c r="M1998" s="1">
        <v>0.22328196315248625</v>
      </c>
      <c r="N1998" s="1">
        <v>2.5980758652469165</v>
      </c>
      <c r="O1998" s="1">
        <v>0.24526035087719303</v>
      </c>
      <c r="P1998" s="1">
        <v>0.19594918045452747</v>
      </c>
      <c r="Q1998" s="1">
        <v>3.5740096997857305</v>
      </c>
      <c r="R1998" s="2">
        <f t="shared" si="127"/>
        <v>129.75520247831679</v>
      </c>
      <c r="S1998" s="2">
        <f t="shared" si="126"/>
        <v>5.5099352065374125</v>
      </c>
      <c r="T1998" s="2">
        <f t="shared" si="128"/>
        <v>9.8391943267315121</v>
      </c>
      <c r="U1998" s="2">
        <f t="shared" si="129"/>
        <v>145.10433201158571</v>
      </c>
    </row>
    <row r="1999" spans="1:21" x14ac:dyDescent="0.25">
      <c r="A1999">
        <v>3829333</v>
      </c>
      <c r="B1999">
        <v>21</v>
      </c>
      <c r="C1999" s="1">
        <f>3.37882319442939*(10.3/7.3)</f>
        <v>4.767380671592151</v>
      </c>
      <c r="D1999" s="1">
        <f>5.21140258137548*(10.3/7.3)</f>
        <v>7.3530748750914343</v>
      </c>
      <c r="E1999" s="1">
        <f>18.0576574286708*(10.3/7.3)</f>
        <v>25.478612536343743</v>
      </c>
      <c r="F1999" s="1">
        <f>46.8168482622202*(38.9/42.5)</f>
        <v>42.851185821185105</v>
      </c>
      <c r="G1999" s="1">
        <v>2.2848202230892314</v>
      </c>
      <c r="H1999" s="1">
        <v>13.853190589971817</v>
      </c>
      <c r="I1999" s="1">
        <v>34.697628824784445</v>
      </c>
      <c r="J1999" s="1">
        <v>4.141488101438192E-2</v>
      </c>
      <c r="K1999" s="1">
        <v>4.1930277291951628</v>
      </c>
      <c r="L1999" s="1">
        <v>6.1287058268203198</v>
      </c>
      <c r="M1999" s="1">
        <v>0.20605441070893704</v>
      </c>
      <c r="N1999" s="1">
        <v>2.2484981205365964</v>
      </c>
      <c r="O1999" s="1">
        <v>0.22165841269841269</v>
      </c>
      <c r="P1999" s="1">
        <v>0.17825667916107099</v>
      </c>
      <c r="Q1999" s="1">
        <v>3.6515391693206931</v>
      </c>
      <c r="R1999" s="2">
        <f t="shared" si="127"/>
        <v>134.93743271137862</v>
      </c>
      <c r="S1999" s="2">
        <f t="shared" si="126"/>
        <v>4.4126992893706154</v>
      </c>
      <c r="T1999" s="2">
        <f t="shared" si="128"/>
        <v>8.8049167707642653</v>
      </c>
      <c r="U1999" s="2">
        <f t="shared" si="129"/>
        <v>148.15504877151349</v>
      </c>
    </row>
    <row r="2000" spans="1:21" x14ac:dyDescent="0.25">
      <c r="A2000">
        <v>3829445</v>
      </c>
      <c r="B2000">
        <v>17</v>
      </c>
      <c r="C2000" s="1">
        <f>4.3767583777289*(10.3/7.3)</f>
        <v>6.1754262041928287</v>
      </c>
      <c r="D2000" s="1">
        <f>5.19444328128613*(10.3/7.3)</f>
        <v>7.329145999622896</v>
      </c>
      <c r="E2000" s="1">
        <f>18.3974694669402*(10.3/7.3)</f>
        <v>25.958073357463583</v>
      </c>
      <c r="F2000" s="1">
        <f>37.4976781107476*(38.9/42.5)</f>
        <v>34.321404200190145</v>
      </c>
      <c r="G2000" s="1">
        <v>1.3963489856636133</v>
      </c>
      <c r="H2000" s="1">
        <v>5.0777524770074409</v>
      </c>
      <c r="I2000" s="1">
        <v>28.530997366613242</v>
      </c>
      <c r="J2000" s="1">
        <v>3.7819425487866321E-2</v>
      </c>
      <c r="K2000" s="1">
        <v>2.8095046222389395</v>
      </c>
      <c r="L2000" s="1">
        <v>12.424152110264217</v>
      </c>
      <c r="M2000" s="1">
        <v>0.15275792117463313</v>
      </c>
      <c r="N2000" s="1">
        <v>1.7490342138385628</v>
      </c>
      <c r="O2000" s="1">
        <v>0.14752313725490193</v>
      </c>
      <c r="P2000" s="1">
        <v>0.11691869004127103</v>
      </c>
      <c r="Q2000" s="1">
        <v>2.2316079679555494</v>
      </c>
      <c r="R2000" s="2">
        <f t="shared" si="127"/>
        <v>111.02075655870929</v>
      </c>
      <c r="S2000" s="2">
        <f t="shared" si="126"/>
        <v>2.9642427377680769</v>
      </c>
      <c r="T2000" s="2">
        <f t="shared" si="128"/>
        <v>14.473467382532315</v>
      </c>
      <c r="U2000" s="2">
        <f t="shared" si="129"/>
        <v>128.45846667900969</v>
      </c>
    </row>
    <row r="2001" spans="1:21" x14ac:dyDescent="0.25">
      <c r="A2001">
        <v>3829453</v>
      </c>
      <c r="B2001">
        <v>1</v>
      </c>
      <c r="C2001" s="1">
        <f>6.71918278009138*(10.3/7.3)</f>
        <v>9.4804907719097553</v>
      </c>
      <c r="D2001" s="1">
        <f>7.67912938887262*(10.3/7.3)</f>
        <v>10.834935987039449</v>
      </c>
      <c r="E2001" s="1">
        <f>27.2247125403802*(10.3/7.3)</f>
        <v>38.412950570673452</v>
      </c>
      <c r="F2001" s="1">
        <f>56.6258009147955*(38.9/42.5)</f>
        <v>51.829262484365721</v>
      </c>
      <c r="G2001" s="1">
        <v>2.1437529220326477</v>
      </c>
      <c r="H2001" s="1">
        <v>9.146791186596289</v>
      </c>
      <c r="I2001" s="1">
        <v>43.801552868255179</v>
      </c>
      <c r="J2001" s="1">
        <v>4.6488540364084459E-2</v>
      </c>
      <c r="K2001" s="1">
        <v>3.1334315422042556</v>
      </c>
      <c r="L2001" s="1">
        <v>9.8540272801657132</v>
      </c>
      <c r="M2001" s="1">
        <v>0.18221909230381753</v>
      </c>
      <c r="N2001" s="1">
        <v>2.1918215671588719</v>
      </c>
      <c r="O2001" s="1">
        <v>0.17450666666666667</v>
      </c>
      <c r="P2001" s="1">
        <v>0.13618314664387418</v>
      </c>
      <c r="Q2001" s="1">
        <v>3.4260891448010384</v>
      </c>
      <c r="R2001" s="2">
        <f t="shared" si="127"/>
        <v>169.07582593567352</v>
      </c>
      <c r="S2001" s="2">
        <f t="shared" si="126"/>
        <v>3.3161032292122146</v>
      </c>
      <c r="T2001" s="2">
        <f t="shared" si="128"/>
        <v>12.402574606295069</v>
      </c>
      <c r="U2001" s="2">
        <f t="shared" si="129"/>
        <v>184.79450377118081</v>
      </c>
    </row>
    <row r="2002" spans="1:21" x14ac:dyDescent="0.25">
      <c r="A2002">
        <v>3829581</v>
      </c>
      <c r="B2002">
        <v>26</v>
      </c>
      <c r="C2002" s="1">
        <f>7.27740406618534*(10.3/7.3)</f>
        <v>10.268118065987528</v>
      </c>
      <c r="D2002" s="1">
        <f>8.74707394680697*(10.3/7.3)</f>
        <v>12.341761870152308</v>
      </c>
      <c r="E2002" s="1">
        <f>31.1097754788699*(10.3/7.3)</f>
        <v>43.894614716761595</v>
      </c>
      <c r="F2002" s="1">
        <f>55.9212113064473*(38.9/42.5)</f>
        <v>51.184355760489375</v>
      </c>
      <c r="G2002" s="1">
        <v>1.739085925161697</v>
      </c>
      <c r="H2002" s="1">
        <v>9.2706897818665759</v>
      </c>
      <c r="I2002" s="1">
        <v>41.321474309894761</v>
      </c>
      <c r="J2002" s="1">
        <v>5.2022983664653272E-2</v>
      </c>
      <c r="K2002" s="1">
        <v>2.6967587309977992</v>
      </c>
      <c r="L2002" s="1">
        <v>8.7011967740999232</v>
      </c>
      <c r="M2002" s="1">
        <v>0.15558483390925593</v>
      </c>
      <c r="N2002" s="1">
        <v>2.2838564424455829</v>
      </c>
      <c r="O2002" s="1">
        <v>0.1423794871794872</v>
      </c>
      <c r="P2002" s="1">
        <v>0.11102360267342154</v>
      </c>
      <c r="Q2002" s="1">
        <v>2.7793610676100213</v>
      </c>
      <c r="R2002" s="2">
        <f t="shared" si="127"/>
        <v>172.79946149792386</v>
      </c>
      <c r="S2002" s="2">
        <f t="shared" si="126"/>
        <v>2.8598053173358742</v>
      </c>
      <c r="T2002" s="2">
        <f t="shared" si="128"/>
        <v>11.283017537634249</v>
      </c>
      <c r="U2002" s="2">
        <f t="shared" si="129"/>
        <v>186.94228435289398</v>
      </c>
    </row>
    <row r="2003" spans="1:21" x14ac:dyDescent="0.25">
      <c r="A2003">
        <v>3829589</v>
      </c>
      <c r="B2003">
        <v>24</v>
      </c>
      <c r="C2003" s="1">
        <f>5.17480629936795*(10.3/7.3)</f>
        <v>7.3014390251355978</v>
      </c>
      <c r="D2003" s="1">
        <f>5.71971443793407*(10.3/7.3)</f>
        <v>8.0702820151672441</v>
      </c>
      <c r="E2003" s="1">
        <f>20.4148892252381*(10.3/7.3)</f>
        <v>28.804569728760573</v>
      </c>
      <c r="F2003" s="1">
        <f>37.2547351559587*(38.9/42.5)</f>
        <v>34.09903994274805</v>
      </c>
      <c r="G2003" s="1">
        <v>1.1579359449776361</v>
      </c>
      <c r="H2003" s="1">
        <v>6.9699634946338094</v>
      </c>
      <c r="I2003" s="1">
        <v>28.556562296358788</v>
      </c>
      <c r="J2003" s="1">
        <v>3.8398872400947644E-2</v>
      </c>
      <c r="K2003" s="1">
        <v>2.1145950771441444</v>
      </c>
      <c r="L2003" s="1">
        <v>9.6721152694777484</v>
      </c>
      <c r="M2003" s="1">
        <v>0.12342941554367888</v>
      </c>
      <c r="N2003" s="1">
        <v>1.7137771583323322</v>
      </c>
      <c r="O2003" s="1">
        <v>0.11144222222222222</v>
      </c>
      <c r="P2003" s="1">
        <v>8.9773812682715337E-2</v>
      </c>
      <c r="Q2003" s="1">
        <v>1.8505825604665436</v>
      </c>
      <c r="R2003" s="2">
        <f t="shared" si="127"/>
        <v>116.81037500824826</v>
      </c>
      <c r="S2003" s="2">
        <f t="shared" si="126"/>
        <v>2.2427677622278077</v>
      </c>
      <c r="T2003" s="2">
        <f t="shared" si="128"/>
        <v>11.620764065575983</v>
      </c>
      <c r="U2003" s="2">
        <f t="shared" si="129"/>
        <v>130.67390683605205</v>
      </c>
    </row>
    <row r="2004" spans="1:21" x14ac:dyDescent="0.25">
      <c r="A2004">
        <v>3829597</v>
      </c>
      <c r="B2004">
        <v>8</v>
      </c>
      <c r="C2004" s="1">
        <f>5.02893192514101*(10.3/7.3)</f>
        <v>7.0956162779386824</v>
      </c>
      <c r="D2004" s="1">
        <f>5.61152111844348*(10.3/7.3)</f>
        <v>7.9176256876668294</v>
      </c>
      <c r="E2004" s="1">
        <f>20.0153929063218*(10.3/7.3)</f>
        <v>28.24089684042659</v>
      </c>
      <c r="F2004" s="1">
        <f>36.7133015593249*(38.9/42.5)</f>
        <v>33.603468956652641</v>
      </c>
      <c r="G2004" s="1">
        <v>1.1544935656191835</v>
      </c>
      <c r="H2004" s="1">
        <v>4.5087331877373744</v>
      </c>
      <c r="I2004" s="1">
        <v>28.058161894766243</v>
      </c>
      <c r="J2004" s="1">
        <v>4.4327688850720998E-2</v>
      </c>
      <c r="K2004" s="1">
        <v>2.3640997064833997</v>
      </c>
      <c r="L2004" s="1">
        <v>10.051423971056341</v>
      </c>
      <c r="M2004" s="1">
        <v>0.13374773365546827</v>
      </c>
      <c r="N2004" s="1">
        <v>2.0515846591724181</v>
      </c>
      <c r="O2004" s="1">
        <v>0.12143333333333334</v>
      </c>
      <c r="P2004" s="1">
        <v>9.8257099177085208E-2</v>
      </c>
      <c r="Q2004" s="1">
        <v>1.8450810409439025</v>
      </c>
      <c r="R2004" s="2">
        <f t="shared" si="127"/>
        <v>112.42407745175144</v>
      </c>
      <c r="S2004" s="2">
        <f t="shared" si="126"/>
        <v>2.5066844945112057</v>
      </c>
      <c r="T2004" s="2">
        <f t="shared" si="128"/>
        <v>12.358189697217561</v>
      </c>
      <c r="U2004" s="2">
        <f t="shared" si="129"/>
        <v>127.2889516434802</v>
      </c>
    </row>
    <row r="2005" spans="1:21" x14ac:dyDescent="0.25">
      <c r="A2005">
        <v>3829613</v>
      </c>
      <c r="B2005">
        <v>9</v>
      </c>
      <c r="C2005" s="1">
        <f>5.26497513895456*(10.3/7.3)</f>
        <v>7.4286635522235649</v>
      </c>
      <c r="D2005" s="1">
        <f>5.85718385488254*(10.3/7.3)</f>
        <v>8.2642457130534428</v>
      </c>
      <c r="E2005" s="1">
        <f>20.8932381116987*(10.3/7.3)</f>
        <v>29.479500349383038</v>
      </c>
      <c r="F2005" s="1">
        <f>38.4025685515215*(38.9/42.5)</f>
        <v>35.149645097745541</v>
      </c>
      <c r="G2005" s="1">
        <v>1.2106207414446184</v>
      </c>
      <c r="H2005" s="1">
        <v>4.1048030958577542</v>
      </c>
      <c r="I2005" s="1">
        <v>29.395485056636353</v>
      </c>
      <c r="J2005" s="1">
        <v>4.739281423145611E-2</v>
      </c>
      <c r="K2005" s="1">
        <v>2.437453317074405</v>
      </c>
      <c r="L2005" s="1">
        <v>10.594406611800711</v>
      </c>
      <c r="M2005" s="1">
        <v>0.13543441176000731</v>
      </c>
      <c r="N2005" s="1">
        <v>2.0000001376143435</v>
      </c>
      <c r="O2005" s="1">
        <v>0.12248296296296296</v>
      </c>
      <c r="P2005" s="1">
        <v>9.8412256338566359E-2</v>
      </c>
      <c r="Q2005" s="1">
        <v>1.9347820068749633</v>
      </c>
      <c r="R2005" s="2">
        <f t="shared" si="127"/>
        <v>116.96774561321928</v>
      </c>
      <c r="S2005" s="2">
        <f t="shared" si="126"/>
        <v>2.5832583876444275</v>
      </c>
      <c r="T2005" s="2">
        <f t="shared" si="128"/>
        <v>12.852324124138024</v>
      </c>
      <c r="U2005" s="2">
        <f t="shared" si="129"/>
        <v>132.40332812500174</v>
      </c>
    </row>
    <row r="2006" spans="1:21" x14ac:dyDescent="0.25">
      <c r="A2006">
        <v>3829621</v>
      </c>
      <c r="B2006">
        <v>28</v>
      </c>
      <c r="C2006" s="1">
        <f>5.35218840045132*(10.3/7.3)</f>
        <v>7.5517178800888445</v>
      </c>
      <c r="D2006" s="1">
        <f>5.93732360074281*(10.3/7.3)</f>
        <v>8.3773196010480788</v>
      </c>
      <c r="E2006" s="1">
        <f>21.1766504589758*(10.3/7.3)</f>
        <v>29.879383524308288</v>
      </c>
      <c r="F2006" s="1">
        <f>39.1997351706514*(38.9/42.5)</f>
        <v>35.879287015019727</v>
      </c>
      <c r="G2006" s="1">
        <v>1.2491430314675436</v>
      </c>
      <c r="H2006" s="1">
        <v>4.0273041830706342</v>
      </c>
      <c r="I2006" s="1">
        <v>30.076335687102517</v>
      </c>
      <c r="J2006" s="1">
        <v>4.2658745887212225E-2</v>
      </c>
      <c r="K2006" s="1">
        <v>2.3215085562727276</v>
      </c>
      <c r="L2006" s="1">
        <v>12.939482609850211</v>
      </c>
      <c r="M2006" s="1">
        <v>0.13020999202134878</v>
      </c>
      <c r="N2006" s="1">
        <v>1.7471989100719498</v>
      </c>
      <c r="O2006" s="1">
        <v>0.11594285714285717</v>
      </c>
      <c r="P2006" s="1">
        <v>9.3134098873471086E-2</v>
      </c>
      <c r="Q2006" s="1">
        <v>1.996347310564569</v>
      </c>
      <c r="R2006" s="2">
        <f t="shared" si="127"/>
        <v>119.03683823267021</v>
      </c>
      <c r="S2006" s="2">
        <f t="shared" si="126"/>
        <v>2.4573014010334111</v>
      </c>
      <c r="T2006" s="2">
        <f t="shared" si="128"/>
        <v>14.932834369086367</v>
      </c>
      <c r="U2006" s="2">
        <f t="shared" si="129"/>
        <v>136.42697400278999</v>
      </c>
    </row>
    <row r="2007" spans="1:21" x14ac:dyDescent="0.25">
      <c r="A2007">
        <v>3829629</v>
      </c>
      <c r="B2007">
        <v>26</v>
      </c>
      <c r="C2007" s="1">
        <f>5.70154721381198*(10.3/7.3)</f>
        <v>8.0446488085292334</v>
      </c>
      <c r="D2007" s="1">
        <f>6.26876302670538*(10.3/7.3)</f>
        <v>8.8449670102829359</v>
      </c>
      <c r="E2007" s="1">
        <f>22.3646147339196*(10.3/7.3)</f>
        <v>31.555552295804372</v>
      </c>
      <c r="F2007" s="1">
        <f>41.6149368158564*(38.9/42.5)</f>
        <v>38.089906873807401</v>
      </c>
      <c r="G2007" s="1">
        <v>1.3337173844454673</v>
      </c>
      <c r="H2007" s="1">
        <v>5.0399209608904378</v>
      </c>
      <c r="I2007" s="1">
        <v>32.071435440094767</v>
      </c>
      <c r="J2007" s="1">
        <v>4.2219224583744754E-2</v>
      </c>
      <c r="K2007" s="1">
        <v>2.4102603114454384</v>
      </c>
      <c r="L2007" s="1">
        <v>8.4585498802259824</v>
      </c>
      <c r="M2007" s="1">
        <v>0.1319776327147886</v>
      </c>
      <c r="N2007" s="1">
        <v>1.7202475915975524</v>
      </c>
      <c r="O2007" s="1">
        <v>0.11761025641025638</v>
      </c>
      <c r="P2007" s="1">
        <v>9.3914952368812948E-2</v>
      </c>
      <c r="Q2007" s="1">
        <v>2.1315118016251788</v>
      </c>
      <c r="R2007" s="2">
        <f t="shared" si="127"/>
        <v>127.11166057547979</v>
      </c>
      <c r="S2007" s="2">
        <f t="shared" si="126"/>
        <v>2.5463944883979961</v>
      </c>
      <c r="T2007" s="2">
        <f t="shared" si="128"/>
        <v>10.428385360948578</v>
      </c>
      <c r="U2007" s="2">
        <f t="shared" si="129"/>
        <v>140.08644042482635</v>
      </c>
    </row>
    <row r="2008" spans="1:21" x14ac:dyDescent="0.25">
      <c r="A2008">
        <v>3829637</v>
      </c>
      <c r="B2008">
        <v>22</v>
      </c>
      <c r="C2008" s="1">
        <f>5.31502311952155*(10.3/7.3)</f>
        <v>7.4992791960372545</v>
      </c>
      <c r="D2008" s="1">
        <f>5.73084872332766*(10.3/7.3)</f>
        <v>8.0859920342842369</v>
      </c>
      <c r="E2008" s="1">
        <f>20.4785851745091*(10.3/7.3)</f>
        <v>28.894442095540214</v>
      </c>
      <c r="F2008" s="1">
        <f>37.4757487304659*(38.9/42.5)</f>
        <v>34.301332367414645</v>
      </c>
      <c r="G2008" s="1">
        <v>1.1609507702528428</v>
      </c>
      <c r="H2008" s="1">
        <v>5.4827917857891739</v>
      </c>
      <c r="I2008" s="1">
        <v>29.032545385261507</v>
      </c>
      <c r="J2008" s="1">
        <v>3.8989256341895151E-2</v>
      </c>
      <c r="K2008" s="1">
        <v>2.3867586000868961</v>
      </c>
      <c r="L2008" s="1">
        <v>15.195335774426816</v>
      </c>
      <c r="M2008" s="1">
        <v>0.12531427365504724</v>
      </c>
      <c r="N2008" s="1">
        <v>1.5871994763390114</v>
      </c>
      <c r="O2008" s="1">
        <v>0.11026909090909093</v>
      </c>
      <c r="P2008" s="1">
        <v>8.9610827856887093E-2</v>
      </c>
      <c r="Q2008" s="1">
        <v>1.8554007743766909</v>
      </c>
      <c r="R2008" s="2">
        <f t="shared" si="127"/>
        <v>116.31273440895656</v>
      </c>
      <c r="S2008" s="2">
        <f t="shared" si="126"/>
        <v>2.5153586842856783</v>
      </c>
      <c r="T2008" s="2">
        <f t="shared" si="128"/>
        <v>17.018118615329968</v>
      </c>
      <c r="U2008" s="2">
        <f t="shared" si="129"/>
        <v>135.84621170857218</v>
      </c>
    </row>
    <row r="2009" spans="1:21" x14ac:dyDescent="0.25">
      <c r="A2009">
        <v>3829645</v>
      </c>
      <c r="B2009">
        <v>42</v>
      </c>
      <c r="C2009" s="1">
        <f>6.09083003923151*(10.3/7.3)</f>
        <v>8.5939108772718527</v>
      </c>
      <c r="D2009" s="1">
        <f>6.5275652129582*(10.3/7.3)</f>
        <v>9.2101262593793845</v>
      </c>
      <c r="E2009" s="1">
        <f>23.3377947344999*(10.3/7.3)</f>
        <v>32.92866928292456</v>
      </c>
      <c r="F2009" s="1">
        <f>42.4643766101982*(38.9/42.5)</f>
        <v>38.867394120863729</v>
      </c>
      <c r="G2009" s="1">
        <v>1.2999190849952627</v>
      </c>
      <c r="H2009" s="1">
        <v>7.9596741974330012</v>
      </c>
      <c r="I2009" s="1">
        <v>32.950135933436052</v>
      </c>
      <c r="J2009" s="1">
        <v>4.1663411520161855E-2</v>
      </c>
      <c r="K2009" s="1">
        <v>2.7862667037933142</v>
      </c>
      <c r="L2009" s="1">
        <v>7.9349733463241785</v>
      </c>
      <c r="M2009" s="1">
        <v>0.12962720196412875</v>
      </c>
      <c r="N2009" s="1">
        <v>1.6159949143503565</v>
      </c>
      <c r="O2009" s="1">
        <v>0.11405587301587301</v>
      </c>
      <c r="P2009" s="1">
        <v>9.1909925928861699E-2</v>
      </c>
      <c r="Q2009" s="1">
        <v>2.0774962545586408</v>
      </c>
      <c r="R2009" s="2">
        <f t="shared" si="127"/>
        <v>133.88732601086249</v>
      </c>
      <c r="S2009" s="2">
        <f t="shared" si="126"/>
        <v>2.9198400412423378</v>
      </c>
      <c r="T2009" s="2">
        <f t="shared" si="128"/>
        <v>9.794651335654537</v>
      </c>
      <c r="U2009" s="2">
        <f t="shared" si="129"/>
        <v>146.60181738775938</v>
      </c>
    </row>
    <row r="2010" spans="1:21" x14ac:dyDescent="0.25">
      <c r="A2010">
        <v>3829653</v>
      </c>
      <c r="B2010">
        <v>11</v>
      </c>
      <c r="C2010" s="1">
        <f>5.02897718557359*(10.3/7.3)</f>
        <v>7.095680138549044</v>
      </c>
      <c r="D2010" s="1">
        <f>5.4460717950661*(10.3/7.3)</f>
        <v>7.6841834916686036</v>
      </c>
      <c r="E2010" s="1">
        <f>19.4622591513414*(10.3/7.3)</f>
        <v>27.460447843673457</v>
      </c>
      <c r="F2010" s="1">
        <f>35.3300571219263*(38.9/42.5)</f>
        <v>32.337393459833713</v>
      </c>
      <c r="G2010" s="1">
        <v>1.0809184983205564</v>
      </c>
      <c r="H2010" s="1">
        <v>3.5267349318599317</v>
      </c>
      <c r="I2010" s="1">
        <v>27.285767112089186</v>
      </c>
      <c r="J2010" s="1">
        <v>3.5020317845711538E-2</v>
      </c>
      <c r="K2010" s="1">
        <v>2.7558836276023038</v>
      </c>
      <c r="L2010" s="1">
        <v>15.472516281280292</v>
      </c>
      <c r="M2010" s="1">
        <v>0.12282851300582774</v>
      </c>
      <c r="N2010" s="1">
        <v>1.4625058161731526</v>
      </c>
      <c r="O2010" s="1">
        <v>0.10590060606060608</v>
      </c>
      <c r="P2010" s="1">
        <v>8.6673556153115283E-2</v>
      </c>
      <c r="Q2010" s="1">
        <v>1.7274953169506631</v>
      </c>
      <c r="R2010" s="2">
        <f t="shared" si="127"/>
        <v>108.19862079294516</v>
      </c>
      <c r="S2010" s="2">
        <f t="shared" si="126"/>
        <v>2.8775775016011305</v>
      </c>
      <c r="T2010" s="2">
        <f t="shared" si="128"/>
        <v>17.163751216519877</v>
      </c>
      <c r="U2010" s="2">
        <f t="shared" si="129"/>
        <v>128.23994951106616</v>
      </c>
    </row>
    <row r="2011" spans="1:21" x14ac:dyDescent="0.25">
      <c r="A2011">
        <v>3829661</v>
      </c>
      <c r="B2011">
        <v>51</v>
      </c>
      <c r="C2011" s="1">
        <f>6.43139742559696*(10.3/7.3)</f>
        <v>9.0744374635135152</v>
      </c>
      <c r="D2011" s="1">
        <f>7.02590472562842*(10.3/7.3)</f>
        <v>9.9132628320510623</v>
      </c>
      <c r="E2011" s="1">
        <f>25.0572807326444*(10.3/7.3)</f>
        <v>35.354793362498228</v>
      </c>
      <c r="F2011" s="1">
        <f>47.4696257227292*(38.9/42.5)</f>
        <v>43.448669190921557</v>
      </c>
      <c r="G2011" s="1">
        <v>1.5622143415813485</v>
      </c>
      <c r="H2011" s="1">
        <v>5.3304084359899875</v>
      </c>
      <c r="I2011" s="1">
        <v>36.783446376050662</v>
      </c>
      <c r="J2011" s="1">
        <v>3.7073952827774634E-2</v>
      </c>
      <c r="K2011" s="1">
        <v>2.6301850640365276</v>
      </c>
      <c r="L2011" s="1">
        <v>6.7575846067440022</v>
      </c>
      <c r="M2011" s="1">
        <v>0.12603824856644577</v>
      </c>
      <c r="N2011" s="1">
        <v>1.4819317287952083</v>
      </c>
      <c r="O2011" s="1">
        <v>0.11094379084967319</v>
      </c>
      <c r="P2011" s="1">
        <v>8.8334835814336071E-2</v>
      </c>
      <c r="Q2011" s="1">
        <v>2.4966895870021579</v>
      </c>
      <c r="R2011" s="2">
        <f t="shared" si="127"/>
        <v>143.9639215896085</v>
      </c>
      <c r="S2011" s="2">
        <f t="shared" si="126"/>
        <v>2.7555938526786385</v>
      </c>
      <c r="T2011" s="2">
        <f t="shared" si="128"/>
        <v>8.4764983749553284</v>
      </c>
      <c r="U2011" s="2">
        <f t="shared" si="129"/>
        <v>155.19601381724246</v>
      </c>
    </row>
    <row r="2012" spans="1:21" x14ac:dyDescent="0.25">
      <c r="A2012">
        <v>3829669</v>
      </c>
      <c r="B2012">
        <v>23</v>
      </c>
      <c r="C2012" s="1">
        <f>5.16411303020812*(10.3/7.3)</f>
        <v>7.2863512618004931</v>
      </c>
      <c r="D2012" s="1">
        <f>5.70649023313792*(10.3/7.3)</f>
        <v>8.0516232056603521</v>
      </c>
      <c r="E2012" s="1">
        <f>20.3309602855728*(10.3/7.3)</f>
        <v>28.686149444027357</v>
      </c>
      <c r="F2012" s="1">
        <f>38.961723957672*(38.9/42.5)</f>
        <v>35.661436751845642</v>
      </c>
      <c r="G2012" s="1">
        <v>1.3092781805668339</v>
      </c>
      <c r="H2012" s="1">
        <v>4.6822737939656882</v>
      </c>
      <c r="I2012" s="1">
        <v>30.111770300887557</v>
      </c>
      <c r="J2012" s="1">
        <v>3.5880161996798769E-2</v>
      </c>
      <c r="K2012" s="1">
        <v>2.8536805808431356</v>
      </c>
      <c r="L2012" s="1">
        <v>9.0793901488154258</v>
      </c>
      <c r="M2012" s="1">
        <v>0.12116141849532763</v>
      </c>
      <c r="N2012" s="1">
        <v>1.5013251079149046</v>
      </c>
      <c r="O2012" s="1">
        <v>0.10601275362318842</v>
      </c>
      <c r="P2012" s="1">
        <v>8.6875751319823044E-2</v>
      </c>
      <c r="Q2012" s="1">
        <v>2.0924537132346686</v>
      </c>
      <c r="R2012" s="2">
        <f t="shared" si="127"/>
        <v>117.88133665198859</v>
      </c>
      <c r="S2012" s="2">
        <f t="shared" si="126"/>
        <v>2.9764364941597572</v>
      </c>
      <c r="T2012" s="2">
        <f t="shared" si="128"/>
        <v>10.807889428848847</v>
      </c>
      <c r="U2012" s="2">
        <f t="shared" si="129"/>
        <v>131.66566257499719</v>
      </c>
    </row>
    <row r="2013" spans="1:21" x14ac:dyDescent="0.25">
      <c r="A2013">
        <v>3829677</v>
      </c>
      <c r="B2013">
        <v>10</v>
      </c>
      <c r="C2013" s="1">
        <f>5.42911561798611*(10.3/7.3)</f>
        <v>7.6602590226379297</v>
      </c>
      <c r="D2013" s="1">
        <f>6.31662414916621*(10.3/7.3)</f>
        <v>8.9124970871797231</v>
      </c>
      <c r="E2013" s="1">
        <f>22.5008993779083*(10.3/7.3)</f>
        <v>31.747844327733642</v>
      </c>
      <c r="F2013" s="1">
        <f>40.4237164385041*(38.9/42.5)</f>
        <v>36.999589869595489</v>
      </c>
      <c r="G2013" s="1">
        <v>1.2433337768025186</v>
      </c>
      <c r="H2013" s="1">
        <v>4.6916354206092681</v>
      </c>
      <c r="I2013" s="1">
        <v>30.25911006868505</v>
      </c>
      <c r="J2013" s="1">
        <v>3.4917323718149963E-2</v>
      </c>
      <c r="K2013" s="1">
        <v>2.7066199983329873</v>
      </c>
      <c r="L2013" s="1">
        <v>20.327906385075249</v>
      </c>
      <c r="M2013" s="1">
        <v>0.11525067010254279</v>
      </c>
      <c r="N2013" s="1">
        <v>1.3471610584474938</v>
      </c>
      <c r="O2013" s="1">
        <v>0.10112533333333333</v>
      </c>
      <c r="P2013" s="1">
        <v>8.1999861161580589E-2</v>
      </c>
      <c r="Q2013" s="1">
        <v>1.9870631136113333</v>
      </c>
      <c r="R2013" s="2">
        <f t="shared" si="127"/>
        <v>123.50133268685495</v>
      </c>
      <c r="S2013" s="2">
        <f t="shared" si="126"/>
        <v>2.8235371832127178</v>
      </c>
      <c r="T2013" s="2">
        <f t="shared" si="128"/>
        <v>21.891443446958618</v>
      </c>
      <c r="U2013" s="2">
        <f t="shared" si="129"/>
        <v>148.21631331702628</v>
      </c>
    </row>
    <row r="2014" spans="1:21" x14ac:dyDescent="0.25">
      <c r="A2014">
        <v>3829685</v>
      </c>
      <c r="B2014">
        <v>23</v>
      </c>
      <c r="C2014" s="1">
        <f>5.78683361156449*(10.3/7.3)</f>
        <v>8.1649844108375635</v>
      </c>
      <c r="D2014" s="1">
        <f>6.58141007696696*(10.3/7.3)</f>
        <v>9.2860991496931113</v>
      </c>
      <c r="E2014" s="1">
        <f>23.4648758012557*(10.3/7.3)</f>
        <v>33.107975445607359</v>
      </c>
      <c r="F2014" s="1">
        <f>42.4213601298079*(38.9/42.5)</f>
        <v>38.828021389400632</v>
      </c>
      <c r="G2014" s="1">
        <v>1.3095067654412289</v>
      </c>
      <c r="H2014" s="1">
        <v>4.8015067423560049</v>
      </c>
      <c r="I2014" s="1">
        <v>32.087484565007223</v>
      </c>
      <c r="J2014" s="1">
        <v>3.4395409656012101E-2</v>
      </c>
      <c r="K2014" s="1">
        <v>2.9871057364671638</v>
      </c>
      <c r="L2014" s="1">
        <v>8.2991568938049358</v>
      </c>
      <c r="M2014" s="1">
        <v>0.12124293683477096</v>
      </c>
      <c r="N2014" s="1">
        <v>1.4244385659805605</v>
      </c>
      <c r="O2014" s="1">
        <v>0.10681507246376809</v>
      </c>
      <c r="P2014" s="1">
        <v>8.6240602082738385E-2</v>
      </c>
      <c r="Q2014" s="1">
        <v>2.09281903152708</v>
      </c>
      <c r="R2014" s="2">
        <f t="shared" si="127"/>
        <v>129.67839749987021</v>
      </c>
      <c r="S2014" s="2">
        <f t="shared" si="126"/>
        <v>3.1077417482059144</v>
      </c>
      <c r="T2014" s="2">
        <f t="shared" si="128"/>
        <v>9.9516534690840341</v>
      </c>
      <c r="U2014" s="2">
        <f t="shared" si="129"/>
        <v>142.73779271716015</v>
      </c>
    </row>
    <row r="2015" spans="1:21" x14ac:dyDescent="0.25">
      <c r="A2015">
        <v>3829693</v>
      </c>
      <c r="B2015">
        <v>7</v>
      </c>
      <c r="C2015" s="1">
        <f>5.45944269412963*(10.3/7.3)</f>
        <v>7.7030492807582451</v>
      </c>
      <c r="D2015" s="1">
        <f>5.94251055313828*(10.3/7.3)</f>
        <v>8.3846381777156509</v>
      </c>
      <c r="E2015" s="1">
        <f>21.2236899480169*(10.3/7.3)</f>
        <v>29.945754310215598</v>
      </c>
      <c r="F2015" s="1">
        <f>38.8828912076635*(38.9/42.5)</f>
        <v>35.589281599484913</v>
      </c>
      <c r="G2015" s="1">
        <v>1.2105934919357824</v>
      </c>
      <c r="H2015" s="1">
        <v>7.0516812594844165</v>
      </c>
      <c r="I2015" s="1">
        <v>30.011439325451402</v>
      </c>
      <c r="J2015" s="1">
        <v>3.3980788031735341E-2</v>
      </c>
      <c r="K2015" s="1">
        <v>2.6103948460692195</v>
      </c>
      <c r="L2015" s="1">
        <v>4.4122205512386952</v>
      </c>
      <c r="M2015" s="1">
        <v>0.11811466370694042</v>
      </c>
      <c r="N2015" s="1">
        <v>1.4527255649322337</v>
      </c>
      <c r="O2015" s="1">
        <v>0.10455619047619047</v>
      </c>
      <c r="P2015" s="1">
        <v>8.6001548446510784E-2</v>
      </c>
      <c r="Q2015" s="1">
        <v>1.9347384574316173</v>
      </c>
      <c r="R2015" s="2">
        <f t="shared" si="127"/>
        <v>121.83117590247763</v>
      </c>
      <c r="S2015" s="2">
        <f t="shared" si="126"/>
        <v>2.7303771825474659</v>
      </c>
      <c r="T2015" s="2">
        <f t="shared" si="128"/>
        <v>6.087616970354059</v>
      </c>
      <c r="U2015" s="2">
        <f t="shared" si="129"/>
        <v>130.64917005537916</v>
      </c>
    </row>
    <row r="2016" spans="1:21" x14ac:dyDescent="0.25">
      <c r="A2016">
        <v>3829709</v>
      </c>
      <c r="B2016">
        <v>10</v>
      </c>
      <c r="C2016" s="1">
        <f>5.46774992324212*(10.3/7.3)</f>
        <v>7.7147704396429848</v>
      </c>
      <c r="D2016" s="1">
        <f>5.91063625623654*(10.3/7.3)</f>
        <v>8.3396648546899161</v>
      </c>
      <c r="E2016" s="1">
        <f>21.1003509941864*(10.3/7.3)</f>
        <v>29.771728115084898</v>
      </c>
      <c r="F2016" s="1">
        <f>39.5130902685126*(38.9/42.5)</f>
        <v>36.166099092826848</v>
      </c>
      <c r="G2016" s="1">
        <v>1.2727325906482114</v>
      </c>
      <c r="H2016" s="1">
        <v>7.2186758207842177</v>
      </c>
      <c r="I2016" s="1">
        <v>30.690224305062486</v>
      </c>
      <c r="J2016" s="1">
        <v>3.2983271445609835E-2</v>
      </c>
      <c r="K2016" s="1">
        <v>2.4306779196516421</v>
      </c>
      <c r="L2016" s="1">
        <v>3.7724945684915361</v>
      </c>
      <c r="M2016" s="1">
        <v>0.11946488603800642</v>
      </c>
      <c r="N2016" s="1">
        <v>1.4276059074520799</v>
      </c>
      <c r="O2016" s="1">
        <v>0.10618133333333332</v>
      </c>
      <c r="P2016" s="1">
        <v>8.6153631399674205E-2</v>
      </c>
      <c r="Q2016" s="1">
        <v>2.0340475193007967</v>
      </c>
      <c r="R2016" s="2">
        <f t="shared" si="127"/>
        <v>123.20794273804036</v>
      </c>
      <c r="S2016" s="2">
        <f t="shared" si="126"/>
        <v>2.5498148224969261</v>
      </c>
      <c r="T2016" s="2">
        <f t="shared" si="128"/>
        <v>5.425746695314956</v>
      </c>
      <c r="U2016" s="2">
        <f t="shared" si="129"/>
        <v>131.18350425585226</v>
      </c>
    </row>
    <row r="2017" spans="1:21" x14ac:dyDescent="0.25">
      <c r="A2017">
        <v>3841169</v>
      </c>
      <c r="B2017">
        <v>35</v>
      </c>
      <c r="C2017" s="1">
        <f>1.01064839001219*(10.3/7.3)</f>
        <v>1.4259833448117154</v>
      </c>
      <c r="D2017" s="1">
        <f>1.23187792670187*(10.3/7.3)</f>
        <v>1.7381291294560652</v>
      </c>
      <c r="E2017" s="1">
        <f>4.31787103405224*(10.3/7.3)</f>
        <v>6.0923385822928848</v>
      </c>
      <c r="F2017" s="1">
        <f>10.8060831394419*(38.9/42.5)</f>
        <v>9.8907443323362401</v>
      </c>
      <c r="G2017" s="1">
        <v>0.4981428211334436</v>
      </c>
      <c r="H2017" s="1">
        <v>2.4155667318130423</v>
      </c>
      <c r="I2017" s="1">
        <v>8.4331025244617042</v>
      </c>
      <c r="J2017" s="1">
        <v>3.1744983354860444E-2</v>
      </c>
      <c r="K2017" s="1">
        <v>3.6757043434724284</v>
      </c>
      <c r="L2017" s="1">
        <v>3.321819808752398</v>
      </c>
      <c r="M2017" s="1">
        <v>0.17622973870510947</v>
      </c>
      <c r="N2017" s="1">
        <v>1.1002997592269477</v>
      </c>
      <c r="O2017" s="1">
        <v>0.80048609523809522</v>
      </c>
      <c r="P2017" s="1">
        <v>0.32971155310837935</v>
      </c>
      <c r="Q2017" s="1">
        <v>0.79611866391189701</v>
      </c>
      <c r="R2017" s="2">
        <f t="shared" si="127"/>
        <v>31.29012613021699</v>
      </c>
      <c r="S2017" s="2">
        <f t="shared" si="126"/>
        <v>4.0371608799356684</v>
      </c>
      <c r="T2017" s="2">
        <f t="shared" si="128"/>
        <v>5.3988354019225495</v>
      </c>
      <c r="U2017" s="2">
        <f t="shared" si="129"/>
        <v>40.726122412075206</v>
      </c>
    </row>
    <row r="2018" spans="1:21" x14ac:dyDescent="0.25">
      <c r="A2018">
        <v>3841537</v>
      </c>
      <c r="B2018">
        <v>4</v>
      </c>
      <c r="C2018" s="1">
        <f>2.69842699081915*(10.3/7.3)</f>
        <v>3.8073695897859272</v>
      </c>
      <c r="D2018" s="1">
        <f>4.13630869203458*(10.3/7.3)</f>
        <v>5.8361615791720718</v>
      </c>
      <c r="E2018" s="1">
        <f>14.2634557842268*(10.3/7.3)</f>
        <v>20.125149942128253</v>
      </c>
      <c r="F2018" s="1">
        <f>40.6693531115454*(38.9/42.5)</f>
        <v>37.224419671508585</v>
      </c>
      <c r="G2018" s="1">
        <v>2.1137103385406983</v>
      </c>
      <c r="H2018" s="1">
        <v>13.312057830510868</v>
      </c>
      <c r="I2018" s="1">
        <v>30.744894961988024</v>
      </c>
      <c r="J2018" s="1">
        <v>3.9196594707304688E-2</v>
      </c>
      <c r="K2018" s="1">
        <v>3.8486373246252601</v>
      </c>
      <c r="L2018" s="1">
        <v>5.4972069957978951</v>
      </c>
      <c r="M2018" s="1">
        <v>0.19387755846828036</v>
      </c>
      <c r="N2018" s="1">
        <v>2.2000564800948386</v>
      </c>
      <c r="O2018" s="1">
        <v>0.22094666666666665</v>
      </c>
      <c r="P2018" s="1">
        <v>0.18051083019261405</v>
      </c>
      <c r="Q2018" s="1">
        <v>3.3780758835125355</v>
      </c>
      <c r="R2018" s="2">
        <f t="shared" si="127"/>
        <v>116.54183979714696</v>
      </c>
      <c r="S2018" s="2">
        <f t="shared" si="126"/>
        <v>4.0683447495251785</v>
      </c>
      <c r="T2018" s="2">
        <f t="shared" si="128"/>
        <v>8.1120877010276811</v>
      </c>
      <c r="U2018" s="2">
        <f t="shared" si="129"/>
        <v>128.72227224769983</v>
      </c>
    </row>
    <row r="2019" spans="1:21" x14ac:dyDescent="0.25">
      <c r="A2019">
        <v>3841545</v>
      </c>
      <c r="B2019">
        <v>16</v>
      </c>
      <c r="C2019" s="1">
        <f>3.04120687701454*(10.3/7.3)</f>
        <v>4.2910179223629781</v>
      </c>
      <c r="D2019" s="1">
        <f>4.76044342226955*(10.3/7.3)</f>
        <v>6.7167900341611508</v>
      </c>
      <c r="E2019" s="1">
        <f>16.4567989081048*(10.3/7.3)</f>
        <v>23.219866952531422</v>
      </c>
      <c r="F2019" s="1">
        <f>44.1655608134061*(38.9/42.5)</f>
        <v>40.424478015094024</v>
      </c>
      <c r="G2019" s="1">
        <v>2.2116169722421395</v>
      </c>
      <c r="H2019" s="1">
        <v>10.741097380844645</v>
      </c>
      <c r="I2019" s="1">
        <v>32.859135965748628</v>
      </c>
      <c r="J2019" s="1">
        <v>4.5984659917914783E-2</v>
      </c>
      <c r="K2019" s="1">
        <v>4.9148307515935556</v>
      </c>
      <c r="L2019" s="1">
        <v>5.8130296638588437</v>
      </c>
      <c r="M2019" s="1">
        <v>0.20208470397429878</v>
      </c>
      <c r="N2019" s="1">
        <v>2.2307993656550567</v>
      </c>
      <c r="O2019" s="1">
        <v>0.22648999999999997</v>
      </c>
      <c r="P2019" s="1">
        <v>0.18337517568508879</v>
      </c>
      <c r="Q2019" s="1">
        <v>3.5345476725331029</v>
      </c>
      <c r="R2019" s="2">
        <f t="shared" si="127"/>
        <v>123.99855091551811</v>
      </c>
      <c r="S2019" s="2">
        <f t="shared" si="126"/>
        <v>5.144190587196559</v>
      </c>
      <c r="T2019" s="2">
        <f t="shared" si="128"/>
        <v>8.4724037334881981</v>
      </c>
      <c r="U2019" s="2">
        <f t="shared" si="129"/>
        <v>137.61514523620286</v>
      </c>
    </row>
    <row r="2020" spans="1:21" x14ac:dyDescent="0.25">
      <c r="A2020">
        <v>3841553</v>
      </c>
      <c r="B2020">
        <v>9</v>
      </c>
      <c r="C2020" s="1">
        <f>3.13367142632069*(10.3/7.3)</f>
        <v>4.4214816015209761</v>
      </c>
      <c r="D2020" s="1">
        <f>5.16216986298858*(10.3/7.3)</f>
        <v>7.2836095327099164</v>
      </c>
      <c r="E2020" s="1">
        <f>17.8454341553824*(10.3/7.3)</f>
        <v>25.179174219238131</v>
      </c>
      <c r="F2020" s="1">
        <f>46.2466947631027*(38.9/42.5)</f>
        <v>42.329327677286983</v>
      </c>
      <c r="G2020" s="1">
        <v>2.2719107682780653</v>
      </c>
      <c r="H2020" s="1">
        <v>13.987980580701665</v>
      </c>
      <c r="I2020" s="1">
        <v>33.78522800339644</v>
      </c>
      <c r="J2020" s="1">
        <v>4.6648839172690491E-2</v>
      </c>
      <c r="K2020" s="1">
        <v>5.7265263154032571</v>
      </c>
      <c r="L2020" s="1">
        <v>6.7090133654570261</v>
      </c>
      <c r="M2020" s="1">
        <v>0.22406648321735417</v>
      </c>
      <c r="N2020" s="1">
        <v>3.2862814789892689</v>
      </c>
      <c r="O2020" s="1">
        <v>0.24476444444444445</v>
      </c>
      <c r="P2020" s="1">
        <v>0.19372903594303553</v>
      </c>
      <c r="Q2020" s="1">
        <v>3.6309076205357247</v>
      </c>
      <c r="R2020" s="2">
        <f t="shared" si="127"/>
        <v>132.88962000366791</v>
      </c>
      <c r="S2020" s="2">
        <f t="shared" si="126"/>
        <v>5.9669041905189832</v>
      </c>
      <c r="T2020" s="2">
        <f t="shared" si="128"/>
        <v>10.464125772108092</v>
      </c>
      <c r="U2020" s="2">
        <f t="shared" si="129"/>
        <v>149.32064996629501</v>
      </c>
    </row>
    <row r="2021" spans="1:21" x14ac:dyDescent="0.25">
      <c r="A2021">
        <v>3841561</v>
      </c>
      <c r="B2021">
        <v>14</v>
      </c>
      <c r="C2021" s="1">
        <f>3.02690393373953*(10.3/7.3)</f>
        <v>4.2708370571941332</v>
      </c>
      <c r="D2021" s="1">
        <f>4.84064644836905*(10.3/7.3)</f>
        <v>6.8299532079727721</v>
      </c>
      <c r="E2021" s="1">
        <f>16.7697946235284*(10.3/7.3)</f>
        <v>23.661491044156492</v>
      </c>
      <c r="F2021" s="1">
        <f>42.517961918814*(38.9/42.5)</f>
        <v>38.916440438632137</v>
      </c>
      <c r="G2021" s="1">
        <v>2.0493333739150934</v>
      </c>
      <c r="H2021" s="1">
        <v>12.213876642193066</v>
      </c>
      <c r="I2021" s="1">
        <v>31.109834163506775</v>
      </c>
      <c r="J2021" s="1">
        <v>4.5085252264375812E-2</v>
      </c>
      <c r="K2021" s="1">
        <v>4.966084836459947</v>
      </c>
      <c r="L2021" s="1">
        <v>6.0401866902992216</v>
      </c>
      <c r="M2021" s="1">
        <v>0.20674593254691181</v>
      </c>
      <c r="N2021" s="1">
        <v>2.4991561943880312</v>
      </c>
      <c r="O2021" s="1">
        <v>0.22641523809523809</v>
      </c>
      <c r="P2021" s="1">
        <v>0.18426875623008679</v>
      </c>
      <c r="Q2021" s="1">
        <v>3.2751903236086011</v>
      </c>
      <c r="R2021" s="2">
        <f t="shared" si="127"/>
        <v>122.32695625117907</v>
      </c>
      <c r="S2021" s="2">
        <f t="shared" si="126"/>
        <v>5.1954388449544098</v>
      </c>
      <c r="T2021" s="2">
        <f t="shared" si="128"/>
        <v>8.9725040553294022</v>
      </c>
      <c r="U2021" s="2">
        <f t="shared" si="129"/>
        <v>136.49489915146287</v>
      </c>
    </row>
    <row r="2022" spans="1:21" x14ac:dyDescent="0.25">
      <c r="A2022">
        <v>3841673</v>
      </c>
      <c r="B2022">
        <v>9</v>
      </c>
      <c r="C2022" s="1">
        <f>4.48653592995893*(10.3/7.3)</f>
        <v>6.330317818983147</v>
      </c>
      <c r="D2022" s="1">
        <f>5.38817166522586*(10.3/7.3)</f>
        <v>7.6024887879214154</v>
      </c>
      <c r="E2022" s="1">
        <f>19.0618643959219*(10.3/7.3)</f>
        <v>26.895507298355561</v>
      </c>
      <c r="F2022" s="1">
        <f>39.4122384220066*(38.9/42.5)</f>
        <v>36.07378999096602</v>
      </c>
      <c r="G2022" s="1">
        <v>1.497718160354585</v>
      </c>
      <c r="H2022" s="1">
        <v>6.4621350065176539</v>
      </c>
      <c r="I2022" s="1">
        <v>29.943243356509658</v>
      </c>
      <c r="J2022" s="1">
        <v>4.440182704970129E-2</v>
      </c>
      <c r="K2022" s="1">
        <v>2.9395203989078866</v>
      </c>
      <c r="L2022" s="1">
        <v>8.0540905431072183</v>
      </c>
      <c r="M2022" s="1">
        <v>0.16385101300891988</v>
      </c>
      <c r="N2022" s="1">
        <v>2.4807176571053322</v>
      </c>
      <c r="O2022" s="1">
        <v>0.15759999999999999</v>
      </c>
      <c r="P2022" s="1">
        <v>0.12483968562049903</v>
      </c>
      <c r="Q2022" s="1">
        <v>2.3936134982835857</v>
      </c>
      <c r="R2022" s="2">
        <f t="shared" si="127"/>
        <v>117.19881391789163</v>
      </c>
      <c r="S2022" s="2">
        <f t="shared" si="126"/>
        <v>3.1087619115780871</v>
      </c>
      <c r="T2022" s="2">
        <f t="shared" si="128"/>
        <v>10.85625921322147</v>
      </c>
      <c r="U2022" s="2">
        <f t="shared" si="129"/>
        <v>131.16383504269118</v>
      </c>
    </row>
    <row r="2023" spans="1:21" x14ac:dyDescent="0.25">
      <c r="A2023">
        <v>3841681</v>
      </c>
      <c r="B2023">
        <v>36</v>
      </c>
      <c r="C2023" s="1">
        <f>4.69254130334578*(10.3/7.3)</f>
        <v>6.6209829348577438</v>
      </c>
      <c r="D2023" s="1">
        <f>5.53149569318356*(10.3/7.3)</f>
        <v>7.8047131013411919</v>
      </c>
      <c r="E2023" s="1">
        <f>19.5997048793412*(10.3/7.3)</f>
        <v>27.654378117426671</v>
      </c>
      <c r="F2023" s="1">
        <f>39.8397914712882*(38.9/42.5)</f>
        <v>36.46512678195554</v>
      </c>
      <c r="G2023" s="1">
        <v>1.476199563845471</v>
      </c>
      <c r="H2023" s="1">
        <v>5.8296937584788324</v>
      </c>
      <c r="I2023" s="1">
        <v>30.370100208392021</v>
      </c>
      <c r="J2023" s="1">
        <v>4.0143064878706468E-2</v>
      </c>
      <c r="K2023" s="1">
        <v>2.7625216051187502</v>
      </c>
      <c r="L2023" s="1">
        <v>13.916042711334164</v>
      </c>
      <c r="M2023" s="1">
        <v>0.15895188212130315</v>
      </c>
      <c r="N2023" s="1">
        <v>1.7998185523846031</v>
      </c>
      <c r="O2023" s="1">
        <v>0.15297185185185183</v>
      </c>
      <c r="P2023" s="1">
        <v>0.12086379354637808</v>
      </c>
      <c r="Q2023" s="1">
        <v>2.3592230472416222</v>
      </c>
      <c r="R2023" s="2">
        <f t="shared" si="127"/>
        <v>118.58041751353908</v>
      </c>
      <c r="S2023" s="2">
        <f t="shared" si="126"/>
        <v>2.9235284635438346</v>
      </c>
      <c r="T2023" s="2">
        <f t="shared" si="128"/>
        <v>16.027784997691921</v>
      </c>
      <c r="U2023" s="2">
        <f t="shared" si="129"/>
        <v>137.53173097477483</v>
      </c>
    </row>
    <row r="2024" spans="1:21" x14ac:dyDescent="0.25">
      <c r="A2024">
        <v>3841801</v>
      </c>
      <c r="B2024">
        <v>7</v>
      </c>
      <c r="C2024" s="1">
        <f>5.8787870678215*(10.3/7.3)</f>
        <v>8.294726958707054</v>
      </c>
      <c r="D2024" s="1">
        <f>6.85263353389554*(10.3/7.3)</f>
        <v>9.6687843012498771</v>
      </c>
      <c r="E2024" s="1">
        <f>24.3817224084575*(10.3/7.3)</f>
        <v>34.401608329741386</v>
      </c>
      <c r="F2024" s="1">
        <f>45.1261111637105*(38.9/42.5)</f>
        <v>41.303664100431519</v>
      </c>
      <c r="G2024" s="1">
        <v>1.4592111981803808</v>
      </c>
      <c r="H2024" s="1">
        <v>6.5017508938247266</v>
      </c>
      <c r="I2024" s="1">
        <v>33.950768705898547</v>
      </c>
      <c r="J2024" s="1">
        <v>4.2702390268715029E-2</v>
      </c>
      <c r="K2024" s="1">
        <v>2.4212740928623533</v>
      </c>
      <c r="L2024" s="1">
        <v>8.9209345196081085</v>
      </c>
      <c r="M2024" s="1">
        <v>0.14203634552957486</v>
      </c>
      <c r="N2024" s="1">
        <v>2.1060717915572558</v>
      </c>
      <c r="O2024" s="1">
        <v>0.13049904761904763</v>
      </c>
      <c r="P2024" s="1">
        <v>0.10300711191210421</v>
      </c>
      <c r="Q2024" s="1">
        <v>2.332072691155862</v>
      </c>
      <c r="R2024" s="2">
        <f t="shared" si="127"/>
        <v>137.91258717918936</v>
      </c>
      <c r="S2024" s="2">
        <f t="shared" si="126"/>
        <v>2.5669835950431725</v>
      </c>
      <c r="T2024" s="2">
        <f t="shared" si="128"/>
        <v>11.299541704313986</v>
      </c>
      <c r="U2024" s="2">
        <f t="shared" si="129"/>
        <v>151.77911247854652</v>
      </c>
    </row>
    <row r="2025" spans="1:21" x14ac:dyDescent="0.25">
      <c r="A2025">
        <v>3841809</v>
      </c>
      <c r="B2025">
        <v>33</v>
      </c>
      <c r="C2025" s="1">
        <f>6.28951040673496*(10.3/7.3)</f>
        <v>8.8742407108726145</v>
      </c>
      <c r="D2025" s="1">
        <f>7.23586086307946*(10.3/7.3)</f>
        <v>10.209502313660066</v>
      </c>
      <c r="E2025" s="1">
        <f>25.7732999436292*(10.3/7.3)</f>
        <v>36.365067043750791</v>
      </c>
      <c r="F2025" s="1">
        <f>47.1147709788352*(38.9/42.5)</f>
        <v>43.123872731216181</v>
      </c>
      <c r="G2025" s="1">
        <v>1.4872704509439649</v>
      </c>
      <c r="H2025" s="1">
        <v>6.8983411646649788</v>
      </c>
      <c r="I2025" s="1">
        <v>35.546915475552026</v>
      </c>
      <c r="J2025" s="1">
        <v>4.6473367696104106E-2</v>
      </c>
      <c r="K2025" s="1">
        <v>2.5118278191469092</v>
      </c>
      <c r="L2025" s="1">
        <v>11.005179300495273</v>
      </c>
      <c r="M2025" s="1">
        <v>0.14562616883558521</v>
      </c>
      <c r="N2025" s="1">
        <v>2.1167389699939458</v>
      </c>
      <c r="O2025" s="1">
        <v>0.13409616161616161</v>
      </c>
      <c r="P2025" s="1">
        <v>0.10572447172561565</v>
      </c>
      <c r="Q2025" s="1">
        <v>2.3769162458008597</v>
      </c>
      <c r="R2025" s="2">
        <f t="shared" si="127"/>
        <v>144.88212613646149</v>
      </c>
      <c r="S2025" s="2">
        <f t="shared" si="126"/>
        <v>2.6640256585686291</v>
      </c>
      <c r="T2025" s="2">
        <f t="shared" si="128"/>
        <v>13.401640600940967</v>
      </c>
      <c r="U2025" s="2">
        <f t="shared" si="129"/>
        <v>160.94779239597108</v>
      </c>
    </row>
    <row r="2026" spans="1:21" x14ac:dyDescent="0.25">
      <c r="A2026">
        <v>3841817</v>
      </c>
      <c r="B2026">
        <v>6</v>
      </c>
      <c r="C2026" s="1">
        <f>5.69291755799878*(10.3/7.3)</f>
        <v>8.0324727188202001</v>
      </c>
      <c r="D2026" s="1">
        <f>6.2946863351655*(10.3/7.3)</f>
        <v>8.8815437331787166</v>
      </c>
      <c r="E2026" s="1">
        <f>22.4672232810104*(10.3/7.3)</f>
        <v>31.700328738959929</v>
      </c>
      <c r="F2026" s="1">
        <f>40.9721943791103*(38.9/42.5)</f>
        <v>37.501608502291582</v>
      </c>
      <c r="G2026" s="1">
        <v>1.2721603509626505</v>
      </c>
      <c r="H2026" s="1">
        <v>7.1895637420901908</v>
      </c>
      <c r="I2026" s="1">
        <v>31.397740420432921</v>
      </c>
      <c r="J2026" s="1">
        <v>3.8791368748490339E-2</v>
      </c>
      <c r="K2026" s="1">
        <v>2.1551624750639866</v>
      </c>
      <c r="L2026" s="1">
        <v>9.2958620600373703</v>
      </c>
      <c r="M2026" s="1">
        <v>0.12707433067594687</v>
      </c>
      <c r="N2026" s="1">
        <v>1.7365198425448725</v>
      </c>
      <c r="O2026" s="1">
        <v>0.11435555555555556</v>
      </c>
      <c r="P2026" s="1">
        <v>9.1703353598283119E-2</v>
      </c>
      <c r="Q2026" s="1">
        <v>2.0331329809905392</v>
      </c>
      <c r="R2026" s="2">
        <f t="shared" si="127"/>
        <v>128.00855118772671</v>
      </c>
      <c r="S2026" s="2">
        <f t="shared" si="126"/>
        <v>2.2856571974107598</v>
      </c>
      <c r="T2026" s="2">
        <f t="shared" si="128"/>
        <v>11.273811788813745</v>
      </c>
      <c r="U2026" s="2">
        <f t="shared" si="129"/>
        <v>141.5680201739512</v>
      </c>
    </row>
    <row r="2027" spans="1:21" x14ac:dyDescent="0.25">
      <c r="A2027">
        <v>3841825</v>
      </c>
      <c r="B2027">
        <v>33</v>
      </c>
      <c r="C2027" s="1">
        <f>5.0341670485102*(10.3/7.3)</f>
        <v>7.1030028218705592</v>
      </c>
      <c r="D2027" s="1">
        <f>5.61312434958806*(10.3/7.3)</f>
        <v>7.919887780925623</v>
      </c>
      <c r="E2027" s="1">
        <f>20.0209742342327*(10.3/7.3)</f>
        <v>28.248771864739361</v>
      </c>
      <c r="F2027" s="1">
        <f>36.768661596379*(38.9/42.5)</f>
        <v>33.654139672920977</v>
      </c>
      <c r="G2027" s="1">
        <v>1.1583301726019215</v>
      </c>
      <c r="H2027" s="1">
        <v>5.479483595028487</v>
      </c>
      <c r="I2027" s="1">
        <v>28.115035639287822</v>
      </c>
      <c r="J2027" s="1">
        <v>4.459298552199617E-2</v>
      </c>
      <c r="K2027" s="1">
        <v>2.3271301963951081</v>
      </c>
      <c r="L2027" s="1">
        <v>11.696199126623046</v>
      </c>
      <c r="M2027" s="1">
        <v>0.13249068473498596</v>
      </c>
      <c r="N2027" s="1">
        <v>2.0318102731609327</v>
      </c>
      <c r="O2027" s="1">
        <v>0.12051232323232321</v>
      </c>
      <c r="P2027" s="1">
        <v>9.7638811643580986E-2</v>
      </c>
      <c r="Q2027" s="1">
        <v>1.8512126046149457</v>
      </c>
      <c r="R2027" s="2">
        <f t="shared" si="127"/>
        <v>113.52986415198968</v>
      </c>
      <c r="S2027" s="2">
        <f t="shared" si="126"/>
        <v>2.4693619935606854</v>
      </c>
      <c r="T2027" s="2">
        <f t="shared" si="128"/>
        <v>13.981012407751287</v>
      </c>
      <c r="U2027" s="2">
        <f t="shared" si="129"/>
        <v>129.98023855330166</v>
      </c>
    </row>
    <row r="2028" spans="1:21" x14ac:dyDescent="0.25">
      <c r="A2028">
        <v>3841849</v>
      </c>
      <c r="B2028">
        <v>55</v>
      </c>
      <c r="C2028" s="1">
        <f>5.0308600195692*(10.3/7.3)</f>
        <v>7.0983367399401045</v>
      </c>
      <c r="D2028" s="1">
        <f>5.61023224552473*(10.3/7.3)</f>
        <v>7.9158071409458506</v>
      </c>
      <c r="E2028" s="1">
        <f>20.0104166696793*(10.3/7.3)</f>
        <v>28.233875575026985</v>
      </c>
      <c r="F2028" s="1">
        <f>36.7542681820001*(38.9/42.5)</f>
        <v>33.640965465407163</v>
      </c>
      <c r="G2028" s="1">
        <v>1.1581903640423812</v>
      </c>
      <c r="H2028" s="1">
        <v>5.0498666742732121</v>
      </c>
      <c r="I2028" s="1">
        <v>28.10308813884302</v>
      </c>
      <c r="J2028" s="1">
        <v>4.2954028783480772E-2</v>
      </c>
      <c r="K2028" s="1">
        <v>2.308230955072093</v>
      </c>
      <c r="L2028" s="1">
        <v>9.5447893277679583</v>
      </c>
      <c r="M2028" s="1">
        <v>0.12910803626961942</v>
      </c>
      <c r="N2028" s="1">
        <v>1.8081967570540491</v>
      </c>
      <c r="O2028" s="1">
        <v>0.11607369696969699</v>
      </c>
      <c r="P2028" s="1">
        <v>9.3651066366273614E-2</v>
      </c>
      <c r="Q2028" s="1">
        <v>1.85098916627778</v>
      </c>
      <c r="R2028" s="2">
        <f t="shared" si="127"/>
        <v>113.05111926475651</v>
      </c>
      <c r="S2028" s="2">
        <f t="shared" si="126"/>
        <v>2.4448360502218476</v>
      </c>
      <c r="T2028" s="2">
        <f t="shared" si="128"/>
        <v>11.598167818061322</v>
      </c>
      <c r="U2028" s="2">
        <f t="shared" si="129"/>
        <v>127.09412313303969</v>
      </c>
    </row>
    <row r="2029" spans="1:21" x14ac:dyDescent="0.25">
      <c r="A2029">
        <v>3841857</v>
      </c>
      <c r="B2029">
        <v>18</v>
      </c>
      <c r="C2029" s="1">
        <f>5.13353884272278*(10.3/7.3)</f>
        <v>7.2432123397321462</v>
      </c>
      <c r="D2029" s="1">
        <f>5.67577664099866*(10.3/7.3)</f>
        <v>8.0082875893542766</v>
      </c>
      <c r="E2029" s="1">
        <f>20.2489940262451*(10.3/7.3)</f>
        <v>28.570498420592383</v>
      </c>
      <c r="F2029" s="1">
        <f>37.3930285209048*(38.9/42.5)</f>
        <v>34.225619046192875</v>
      </c>
      <c r="G2029" s="1">
        <v>1.1856687068221388</v>
      </c>
      <c r="H2029" s="1">
        <v>4.2804086474672358</v>
      </c>
      <c r="I2029" s="1">
        <v>28.716985517541275</v>
      </c>
      <c r="J2029" s="1">
        <v>4.1483917265987456E-2</v>
      </c>
      <c r="K2029" s="1">
        <v>2.3260261905410107</v>
      </c>
      <c r="L2029" s="1">
        <v>11.949512692150092</v>
      </c>
      <c r="M2029" s="1">
        <v>0.12885682605899232</v>
      </c>
      <c r="N2029" s="1">
        <v>1.7049867087263348</v>
      </c>
      <c r="O2029" s="1">
        <v>0.11443259259259259</v>
      </c>
      <c r="P2029" s="1">
        <v>9.2630776846662377E-2</v>
      </c>
      <c r="Q2029" s="1">
        <v>1.8949043259714564</v>
      </c>
      <c r="R2029" s="2">
        <f t="shared" si="127"/>
        <v>114.12558459367379</v>
      </c>
      <c r="S2029" s="2">
        <f t="shared" si="126"/>
        <v>2.4601408846536605</v>
      </c>
      <c r="T2029" s="2">
        <f t="shared" si="128"/>
        <v>13.897788819528012</v>
      </c>
      <c r="U2029" s="2">
        <f t="shared" si="129"/>
        <v>130.48351429785546</v>
      </c>
    </row>
    <row r="2030" spans="1:21" x14ac:dyDescent="0.25">
      <c r="A2030">
        <v>3841865</v>
      </c>
      <c r="B2030">
        <v>35</v>
      </c>
      <c r="C2030" s="1">
        <f>5.31992676410351*(10.3/7.3)</f>
        <v>7.5061980370227639</v>
      </c>
      <c r="D2030" s="1">
        <f>5.72446224163266*(10.3/7.3)</f>
        <v>8.0769809710707374</v>
      </c>
      <c r="E2030" s="1">
        <f>20.4617442900303*(10.3/7.3)</f>
        <v>28.870680299631768</v>
      </c>
      <c r="F2030" s="1">
        <f>37.2530472619365*(38.9/42.5)</f>
        <v>34.097495023278391</v>
      </c>
      <c r="G2030" s="1">
        <v>1.1431049740199397</v>
      </c>
      <c r="H2030" s="1">
        <v>4.7500355301212966</v>
      </c>
      <c r="I2030" s="1">
        <v>28.860703486265457</v>
      </c>
      <c r="J2030" s="1">
        <v>3.8568297465253726E-2</v>
      </c>
      <c r="K2030" s="1">
        <v>2.3110874651433249</v>
      </c>
      <c r="L2030" s="1">
        <v>13.538421054085386</v>
      </c>
      <c r="M2030" s="1">
        <v>0.12483118855455529</v>
      </c>
      <c r="N2030" s="1">
        <v>1.5977527341896878</v>
      </c>
      <c r="O2030" s="1">
        <v>0.10991695238095239</v>
      </c>
      <c r="P2030" s="1">
        <v>8.9192071552559038E-2</v>
      </c>
      <c r="Q2030" s="1">
        <v>1.8268800954656585</v>
      </c>
      <c r="R2030" s="2">
        <f t="shared" si="127"/>
        <v>115.13207841687601</v>
      </c>
      <c r="S2030" s="2">
        <f t="shared" si="126"/>
        <v>2.4388478341611379</v>
      </c>
      <c r="T2030" s="2">
        <f t="shared" si="128"/>
        <v>15.370921929210583</v>
      </c>
      <c r="U2030" s="2">
        <f t="shared" si="129"/>
        <v>132.94184818024775</v>
      </c>
    </row>
    <row r="2031" spans="1:21" x14ac:dyDescent="0.25">
      <c r="A2031">
        <v>3841881</v>
      </c>
      <c r="B2031">
        <v>49</v>
      </c>
      <c r="C2031" s="1">
        <f>6.05793709682265*(10.3/7.3)</f>
        <v>8.5475002872977068</v>
      </c>
      <c r="D2031" s="1">
        <f>6.44213025945575*(10.3/7.3)</f>
        <v>9.0895810510129085</v>
      </c>
      <c r="E2031" s="1">
        <f>23.0522576268751*(10.3/7.3)</f>
        <v>32.525788158467627</v>
      </c>
      <c r="F2031" s="1">
        <f>41.4144464752878*(38.9/42.5)</f>
        <v>37.906399244439854</v>
      </c>
      <c r="G2031" s="1">
        <v>1.2361099806698697</v>
      </c>
      <c r="H2031" s="1">
        <v>7.2922329489757969</v>
      </c>
      <c r="I2031" s="1">
        <v>32.175907220079075</v>
      </c>
      <c r="J2031" s="1">
        <v>4.311302847721972E-2</v>
      </c>
      <c r="K2031" s="1">
        <v>2.8273554402557104</v>
      </c>
      <c r="L2031" s="1">
        <v>8.4313743659196003</v>
      </c>
      <c r="M2031" s="1">
        <v>0.12947917797618624</v>
      </c>
      <c r="N2031" s="1">
        <v>1.617865085176835</v>
      </c>
      <c r="O2031" s="1">
        <v>0.1131526530612245</v>
      </c>
      <c r="P2031" s="1">
        <v>9.1666258863359648E-2</v>
      </c>
      <c r="Q2031" s="1">
        <v>1.9755182339472828</v>
      </c>
      <c r="R2031" s="2">
        <f t="shared" si="127"/>
        <v>130.74903712489009</v>
      </c>
      <c r="S2031" s="2">
        <f t="shared" si="126"/>
        <v>2.9621347275962897</v>
      </c>
      <c r="T2031" s="2">
        <f t="shared" si="128"/>
        <v>10.291871282133846</v>
      </c>
      <c r="U2031" s="2">
        <f t="shared" si="129"/>
        <v>144.00304313462024</v>
      </c>
    </row>
    <row r="2032" spans="1:21" x14ac:dyDescent="0.25">
      <c r="A2032">
        <v>3841889</v>
      </c>
      <c r="B2032">
        <v>8</v>
      </c>
      <c r="C2032" s="1">
        <f>8.49257704970353*(10.3/7.3)</f>
        <v>11.982677207115934</v>
      </c>
      <c r="D2032" s="1">
        <f>9.10186872119934*(10.3/7.3)</f>
        <v>12.842362716212769</v>
      </c>
      <c r="E2032" s="1">
        <f>32.5296409410022*(10.3/7.3)</f>
        <v>45.89798653319496</v>
      </c>
      <c r="F2032" s="1">
        <f>59.7886493221557*(38.9/42.5)</f>
        <v>54.724199026631887</v>
      </c>
      <c r="G2032" s="1">
        <v>1.862237820471929</v>
      </c>
      <c r="H2032" s="1">
        <v>5.2893007977209621</v>
      </c>
      <c r="I2032" s="1">
        <v>46.465281844827167</v>
      </c>
      <c r="J2032" s="1">
        <v>4.8972936163935818E-2</v>
      </c>
      <c r="K2032" s="1">
        <v>3.4792797046856045</v>
      </c>
      <c r="L2032" s="1">
        <v>13.354387690761886</v>
      </c>
      <c r="M2032" s="1">
        <v>0.15827781085638123</v>
      </c>
      <c r="N2032" s="1">
        <v>1.9596234236901819</v>
      </c>
      <c r="O2032" s="1">
        <v>0.14055333333333334</v>
      </c>
      <c r="P2032" s="1">
        <v>0.10667323612398566</v>
      </c>
      <c r="Q2032" s="1">
        <v>2.9761791651377885</v>
      </c>
      <c r="R2032" s="2">
        <f t="shared" si="127"/>
        <v>182.04022511131336</v>
      </c>
      <c r="S2032" s="2">
        <f t="shared" si="126"/>
        <v>3.6349258769735258</v>
      </c>
      <c r="T2032" s="2">
        <f t="shared" si="128"/>
        <v>15.612842258641782</v>
      </c>
      <c r="U2032" s="2">
        <f t="shared" si="129"/>
        <v>201.28799324692866</v>
      </c>
    </row>
    <row r="2033" spans="1:21" x14ac:dyDescent="0.25">
      <c r="A2033">
        <v>3841897</v>
      </c>
      <c r="B2033">
        <v>59</v>
      </c>
      <c r="C2033" s="1">
        <f>4.88569032726386*(10.3/7.3)</f>
        <v>6.8935082699750359</v>
      </c>
      <c r="D2033" s="1">
        <f>5.3673429659304*(10.3/7.3)</f>
        <v>7.5731003491894748</v>
      </c>
      <c r="E2033" s="1">
        <f>19.1450405818355*(10.3/7.3)</f>
        <v>27.012865478480165</v>
      </c>
      <c r="F2033" s="1">
        <f>35.8477170948058*(38.9/42.5)</f>
        <v>32.811204587951615</v>
      </c>
      <c r="G2033" s="1">
        <v>1.1602038387526412</v>
      </c>
      <c r="H2033" s="1">
        <v>4.2551022677176515</v>
      </c>
      <c r="I2033" s="1">
        <v>27.66420724307876</v>
      </c>
      <c r="J2033" s="1">
        <v>3.4869210102665575E-2</v>
      </c>
      <c r="K2033" s="1">
        <v>2.6750813222174807</v>
      </c>
      <c r="L2033" s="1">
        <v>8.3483421777501547</v>
      </c>
      <c r="M2033" s="1">
        <v>0.12159419127026874</v>
      </c>
      <c r="N2033" s="1">
        <v>1.4789415774525256</v>
      </c>
      <c r="O2033" s="1">
        <v>0.10613333333333336</v>
      </c>
      <c r="P2033" s="1">
        <v>8.7181419877125452E-2</v>
      </c>
      <c r="Q2033" s="1">
        <v>1.8542070482348159</v>
      </c>
      <c r="R2033" s="2">
        <f t="shared" si="127"/>
        <v>109.22439908338015</v>
      </c>
      <c r="S2033" s="2">
        <f t="shared" si="126"/>
        <v>2.7971319521972715</v>
      </c>
      <c r="T2033" s="2">
        <f t="shared" si="128"/>
        <v>10.055011279806283</v>
      </c>
      <c r="U2033" s="2">
        <f t="shared" si="129"/>
        <v>122.0765423153837</v>
      </c>
    </row>
    <row r="2034" spans="1:21" x14ac:dyDescent="0.25">
      <c r="A2034">
        <v>3841905</v>
      </c>
      <c r="B2034">
        <v>25</v>
      </c>
      <c r="C2034" s="1">
        <f>6.22514162298259*(10.3/7.3)</f>
        <v>8.7834190022905005</v>
      </c>
      <c r="D2034" s="1">
        <f>6.94585619977482*(10.3/7.3)</f>
        <v>9.8003176517370747</v>
      </c>
      <c r="E2034" s="1">
        <f>24.7694129575329*(10.3/7.3)</f>
        <v>34.948623761998448</v>
      </c>
      <c r="F2034" s="1">
        <f>45.7060200375636*(38.9/42.5)</f>
        <v>41.834451281440593</v>
      </c>
      <c r="G2034" s="1">
        <v>1.4515717983781427</v>
      </c>
      <c r="H2034" s="1">
        <v>5.2239161886695129</v>
      </c>
      <c r="I2034" s="1">
        <v>34.968103982114869</v>
      </c>
      <c r="J2034" s="1">
        <v>3.5290216464334313E-2</v>
      </c>
      <c r="K2034" s="1">
        <v>2.5810140039797682</v>
      </c>
      <c r="L2034" s="1">
        <v>12.773827300259022</v>
      </c>
      <c r="M2034" s="1">
        <v>0.11880756993045846</v>
      </c>
      <c r="N2034" s="1">
        <v>1.3774819225336157</v>
      </c>
      <c r="O2034" s="1">
        <v>0.10495359999999999</v>
      </c>
      <c r="P2034" s="1">
        <v>8.3914142529134136E-2</v>
      </c>
      <c r="Q2034" s="1">
        <v>2.3198636047139285</v>
      </c>
      <c r="R2034" s="2">
        <f t="shared" si="127"/>
        <v>139.33026727134308</v>
      </c>
      <c r="S2034" s="2">
        <f t="shared" si="126"/>
        <v>2.7002183629732368</v>
      </c>
      <c r="T2034" s="2">
        <f t="shared" si="128"/>
        <v>14.375070392723096</v>
      </c>
      <c r="U2034" s="2">
        <f t="shared" si="129"/>
        <v>156.40555602703941</v>
      </c>
    </row>
    <row r="2035" spans="1:21" x14ac:dyDescent="0.25">
      <c r="A2035">
        <v>3841913</v>
      </c>
      <c r="B2035">
        <v>37</v>
      </c>
      <c r="C2035" s="1">
        <f>6.44888258366386*(10.3/7.3)</f>
        <v>9.099108302977772</v>
      </c>
      <c r="D2035" s="1">
        <f>7.47945405154663*(10.3/7.3)</f>
        <v>10.55320229190826</v>
      </c>
      <c r="E2035" s="1">
        <f>26.6454101957412*(10.3/7.3)</f>
        <v>37.595578769333514</v>
      </c>
      <c r="F2035" s="1">
        <f>47.9577824137671*(38.9/42.5)</f>
        <v>43.895476138718578</v>
      </c>
      <c r="G2035" s="1">
        <v>1.4782922985063485</v>
      </c>
      <c r="H2035" s="1">
        <v>6.3587498039760453</v>
      </c>
      <c r="I2035" s="1">
        <v>35.957672935619897</v>
      </c>
      <c r="J2035" s="1">
        <v>3.9193899699512952E-2</v>
      </c>
      <c r="K2035" s="1">
        <v>3.3081819458796233</v>
      </c>
      <c r="L2035" s="1">
        <v>16.877417687462717</v>
      </c>
      <c r="M2035" s="1">
        <v>0.13058668030160636</v>
      </c>
      <c r="N2035" s="1">
        <v>1.5695420830511717</v>
      </c>
      <c r="O2035" s="1">
        <v>0.1154363963963964</v>
      </c>
      <c r="P2035" s="1">
        <v>9.13351238639903E-2</v>
      </c>
      <c r="Q2035" s="1">
        <v>2.3625676003526137</v>
      </c>
      <c r="R2035" s="2">
        <f t="shared" si="127"/>
        <v>147.300648141393</v>
      </c>
      <c r="S2035" s="2">
        <f t="shared" si="126"/>
        <v>3.4387109694431266</v>
      </c>
      <c r="T2035" s="2">
        <f t="shared" si="128"/>
        <v>18.692982847211894</v>
      </c>
      <c r="U2035" s="2">
        <f t="shared" si="129"/>
        <v>169.43234195804803</v>
      </c>
    </row>
    <row r="2036" spans="1:21" x14ac:dyDescent="0.25">
      <c r="A2036">
        <v>3841921</v>
      </c>
      <c r="B2036">
        <v>27</v>
      </c>
      <c r="C2036" s="1">
        <f>5.65146570699864*(10.3/7.3)</f>
        <v>7.9739858605597194</v>
      </c>
      <c r="D2036" s="1">
        <f>6.26211162104728*(10.3/7.3)</f>
        <v>8.8355821502447967</v>
      </c>
      <c r="E2036" s="1">
        <f>22.3456884008212*(10.3/7.3)</f>
        <v>31.528848017597028</v>
      </c>
      <c r="F2036" s="1">
        <f>40.8948476125425*(38.9/42.5)</f>
        <v>37.430813461833054</v>
      </c>
      <c r="G2036" s="1">
        <v>1.2782602670552621</v>
      </c>
      <c r="H2036" s="1">
        <v>4.0790501031668844</v>
      </c>
      <c r="I2036" s="1">
        <v>31.330434441389521</v>
      </c>
      <c r="J2036" s="1">
        <v>3.2725787555394029E-2</v>
      </c>
      <c r="K2036" s="1">
        <v>2.7992292137151793</v>
      </c>
      <c r="L2036" s="1">
        <v>5.4184152206357563</v>
      </c>
      <c r="M2036" s="1">
        <v>0.11786920685953702</v>
      </c>
      <c r="N2036" s="1">
        <v>1.3854656535321577</v>
      </c>
      <c r="O2036" s="1">
        <v>0.10388345679012347</v>
      </c>
      <c r="P2036" s="1">
        <v>8.4561649106102102E-2</v>
      </c>
      <c r="Q2036" s="1">
        <v>2.0428817053394615</v>
      </c>
      <c r="R2036" s="2">
        <f t="shared" si="127"/>
        <v>124.49985600718573</v>
      </c>
      <c r="S2036" s="2">
        <f t="shared" si="126"/>
        <v>2.9165166503766753</v>
      </c>
      <c r="T2036" s="2">
        <f t="shared" si="128"/>
        <v>7.0256335378175745</v>
      </c>
      <c r="U2036" s="2">
        <f t="shared" si="129"/>
        <v>134.44200619537997</v>
      </c>
    </row>
    <row r="2037" spans="1:21" x14ac:dyDescent="0.25">
      <c r="A2037">
        <v>3853397</v>
      </c>
      <c r="B2037">
        <v>6</v>
      </c>
      <c r="C2037" s="1">
        <f>0.763724539468004*(10.3/7.3)</f>
        <v>1.0775839392493753</v>
      </c>
      <c r="D2037" s="1">
        <f>0.901430437316256*(10.3/7.3)</f>
        <v>1.271881301966773</v>
      </c>
      <c r="E2037" s="1">
        <f>3.17131464667084*(10.3/7.3)</f>
        <v>4.4745946384533779</v>
      </c>
      <c r="F2037" s="1">
        <f>7.58361526427332*(38.9/42.5)</f>
        <v>6.941238441887811</v>
      </c>
      <c r="G2037" s="1">
        <v>0.33445621372019191</v>
      </c>
      <c r="H2037" s="1">
        <v>1.7478444169759833</v>
      </c>
      <c r="I2037" s="1">
        <v>5.9319261202270708</v>
      </c>
      <c r="J2037" s="1">
        <v>2.3032109994181312E-2</v>
      </c>
      <c r="K2037" s="1">
        <v>2.9107363339991763</v>
      </c>
      <c r="L2037" s="1">
        <v>2.4931782645187321</v>
      </c>
      <c r="M2037" s="1">
        <v>0.13575348100657328</v>
      </c>
      <c r="N2037" s="1">
        <v>0.8827006792528076</v>
      </c>
      <c r="O2037" s="1">
        <v>0.5231555555555556</v>
      </c>
      <c r="P2037" s="1">
        <v>0.26349382496212104</v>
      </c>
      <c r="Q2037" s="1">
        <v>0.53451906302313834</v>
      </c>
      <c r="R2037" s="2">
        <f t="shared" si="127"/>
        <v>22.314044135503725</v>
      </c>
      <c r="S2037" s="2">
        <f t="shared" si="126"/>
        <v>3.1972622689554786</v>
      </c>
      <c r="T2037" s="2">
        <f t="shared" si="128"/>
        <v>4.034787980333669</v>
      </c>
      <c r="U2037" s="2">
        <f t="shared" si="129"/>
        <v>29.546094384792873</v>
      </c>
    </row>
    <row r="2038" spans="1:21" x14ac:dyDescent="0.25">
      <c r="A2038">
        <v>3853405</v>
      </c>
      <c r="B2038">
        <v>11</v>
      </c>
      <c r="C2038" s="1">
        <f>1.4645913901596*(10.3/7.3)</f>
        <v>2.0664782628279235</v>
      </c>
      <c r="D2038" s="1">
        <f>1.78608471406057*(10.3/7.3)</f>
        <v>2.5200921307977877</v>
      </c>
      <c r="E2038" s="1">
        <f>6.25198616929404*(10.3/7.3)</f>
        <v>8.8212955539354283</v>
      </c>
      <c r="F2038" s="1">
        <f>16.0694172887741*(38.9/42.5)</f>
        <v>14.708243118430842</v>
      </c>
      <c r="G2038" s="1">
        <v>0.7568585141150298</v>
      </c>
      <c r="H2038" s="1">
        <v>3.2761776531699085</v>
      </c>
      <c r="I2038" s="1">
        <v>12.588098956937234</v>
      </c>
      <c r="J2038" s="1">
        <v>4.7055586684367268E-2</v>
      </c>
      <c r="K2038" s="1">
        <v>4.4159320825703974</v>
      </c>
      <c r="L2038" s="1">
        <v>4.4618202822454869</v>
      </c>
      <c r="M2038" s="1">
        <v>0.23149690904348164</v>
      </c>
      <c r="N2038" s="1">
        <v>1.3744389122146108</v>
      </c>
      <c r="O2038" s="1">
        <v>1.1189333333333331</v>
      </c>
      <c r="P2038" s="1">
        <v>0.37923973233249308</v>
      </c>
      <c r="Q2038" s="1">
        <v>1.20959123260393</v>
      </c>
      <c r="R2038" s="2">
        <f t="shared" si="127"/>
        <v>45.946835422818083</v>
      </c>
      <c r="S2038" s="2">
        <f t="shared" si="126"/>
        <v>4.842227401587258</v>
      </c>
      <c r="T2038" s="2">
        <f t="shared" si="128"/>
        <v>7.1866894368369127</v>
      </c>
      <c r="U2038" s="2">
        <f t="shared" si="129"/>
        <v>57.975752261242256</v>
      </c>
    </row>
    <row r="2039" spans="1:21" x14ac:dyDescent="0.25">
      <c r="A2039">
        <v>3853773</v>
      </c>
      <c r="B2039">
        <v>11</v>
      </c>
      <c r="C2039" s="1">
        <f>2.58447932573887*(10.3/7.3)</f>
        <v>3.6465941171384091</v>
      </c>
      <c r="D2039" s="1">
        <f>3.99221736564494*(10.3/7.3)</f>
        <v>5.6328546391976531</v>
      </c>
      <c r="E2039" s="1">
        <f>13.7682653230568*(10.3/7.3)</f>
        <v>19.426456551710277</v>
      </c>
      <c r="F2039" s="1">
        <f>38.9700934444836*(38.9/42.5)</f>
        <v>35.669097293892058</v>
      </c>
      <c r="G2039" s="1">
        <v>2.0176325958797574</v>
      </c>
      <c r="H2039" s="1">
        <v>9.8225782161404958</v>
      </c>
      <c r="I2039" s="1">
        <v>29.374994506063491</v>
      </c>
      <c r="J2039" s="1">
        <v>4.0240229958682358E-2</v>
      </c>
      <c r="K2039" s="1">
        <v>4.3544596266816447</v>
      </c>
      <c r="L2039" s="1">
        <v>5.5141529746110862</v>
      </c>
      <c r="M2039" s="1">
        <v>0.19544916069444343</v>
      </c>
      <c r="N2039" s="1">
        <v>2.2390945143462138</v>
      </c>
      <c r="O2039" s="1">
        <v>0.22229333333333334</v>
      </c>
      <c r="P2039" s="1">
        <v>0.1836311065329278</v>
      </c>
      <c r="Q2039" s="1">
        <v>3.224526979716511</v>
      </c>
      <c r="R2039" s="2">
        <f t="shared" si="127"/>
        <v>108.81473489973867</v>
      </c>
      <c r="S2039" s="2">
        <f t="shared" si="126"/>
        <v>4.5783309631732543</v>
      </c>
      <c r="T2039" s="2">
        <f t="shared" si="128"/>
        <v>8.1709899829850769</v>
      </c>
      <c r="U2039" s="2">
        <f t="shared" si="129"/>
        <v>121.564055845897</v>
      </c>
    </row>
    <row r="2040" spans="1:21" x14ac:dyDescent="0.25">
      <c r="A2040">
        <v>3853781</v>
      </c>
      <c r="B2040">
        <v>8</v>
      </c>
      <c r="C2040" s="1">
        <f>2.95064527745181*(10.3/7.3)</f>
        <v>4.1632392270895346</v>
      </c>
      <c r="D2040" s="1">
        <f>4.62050756859458*(10.3/7.3)</f>
        <v>6.5193462954142678</v>
      </c>
      <c r="E2040" s="1">
        <f>15.9865795138765*(10.3/7.3)</f>
        <v>22.556406711359998</v>
      </c>
      <c r="F2040" s="1">
        <f>42.1993985159283*(38.9/42.5)</f>
        <v>38.624861229873204</v>
      </c>
      <c r="G2040" s="1">
        <v>2.0893007394534897</v>
      </c>
      <c r="H2040" s="1">
        <v>13.865047363780576</v>
      </c>
      <c r="I2040" s="1">
        <v>31.287838522853441</v>
      </c>
      <c r="J2040" s="1">
        <v>4.7670272610469772E-2</v>
      </c>
      <c r="K2040" s="1">
        <v>6.0662776162219973</v>
      </c>
      <c r="L2040" s="1">
        <v>5.7908722294068156</v>
      </c>
      <c r="M2040" s="1">
        <v>0.20121606672843687</v>
      </c>
      <c r="N2040" s="1">
        <v>2.3502575493759252</v>
      </c>
      <c r="O2040" s="1">
        <v>0.22555999999999998</v>
      </c>
      <c r="P2040" s="1">
        <v>0.18252244144019386</v>
      </c>
      <c r="Q2040" s="1">
        <v>3.3390651087156269</v>
      </c>
      <c r="R2040" s="2">
        <f t="shared" si="127"/>
        <v>122.44510519854015</v>
      </c>
      <c r="S2040" s="2">
        <f t="shared" si="126"/>
        <v>6.296470330272661</v>
      </c>
      <c r="T2040" s="2">
        <f t="shared" si="128"/>
        <v>8.5679058455111772</v>
      </c>
      <c r="U2040" s="2">
        <f t="shared" si="129"/>
        <v>137.30948137432398</v>
      </c>
    </row>
    <row r="2041" spans="1:21" x14ac:dyDescent="0.25">
      <c r="A2041">
        <v>3853797</v>
      </c>
      <c r="B2041">
        <v>9</v>
      </c>
      <c r="C2041" s="1">
        <f>3.62250823715445*(10.3/7.3)</f>
        <v>5.1112102524234011</v>
      </c>
      <c r="D2041" s="1">
        <f>6.48605918202934*(10.3/7.3)</f>
        <v>9.1515629554660585</v>
      </c>
      <c r="E2041" s="1">
        <f>22.3712730070124*(10.3/7.3)</f>
        <v>31.564946845510597</v>
      </c>
      <c r="F2041" s="1">
        <f>57.4012958482851*(38.9/42.5)</f>
        <v>52.539068435253903</v>
      </c>
      <c r="G2041" s="1">
        <v>2.8229298988327804</v>
      </c>
      <c r="H2041" s="1">
        <v>12.508116580421978</v>
      </c>
      <c r="I2041" s="1">
        <v>41.119984119077927</v>
      </c>
      <c r="J2041" s="1">
        <v>4.4527237294081305E-2</v>
      </c>
      <c r="K2041" s="1">
        <v>4.4682060041274054</v>
      </c>
      <c r="L2041" s="1">
        <v>5.8374577260072504</v>
      </c>
      <c r="M2041" s="1">
        <v>0.20618252150160141</v>
      </c>
      <c r="N2041" s="1">
        <v>2.2897807552097516</v>
      </c>
      <c r="O2041" s="1">
        <v>0.22</v>
      </c>
      <c r="P2041" s="1">
        <v>0.17414786610910735</v>
      </c>
      <c r="Q2041" s="1">
        <v>4.5115318017875534</v>
      </c>
      <c r="R2041" s="2">
        <f t="shared" si="127"/>
        <v>159.3293508887742</v>
      </c>
      <c r="S2041" s="2">
        <f t="shared" si="126"/>
        <v>4.6868811075305947</v>
      </c>
      <c r="T2041" s="2">
        <f t="shared" si="128"/>
        <v>8.5534210027186042</v>
      </c>
      <c r="U2041" s="2">
        <f t="shared" si="129"/>
        <v>172.56965299902339</v>
      </c>
    </row>
    <row r="2042" spans="1:21" x14ac:dyDescent="0.25">
      <c r="A2042">
        <v>3853909</v>
      </c>
      <c r="B2042">
        <v>6</v>
      </c>
      <c r="C2042" s="1">
        <f>4.33075957886941*(10.3/7.3)</f>
        <v>6.1105237893636897</v>
      </c>
      <c r="D2042" s="1">
        <f>5.18143329328398*(10.3/7.3)</f>
        <v>7.3107894412089083</v>
      </c>
      <c r="E2042" s="1">
        <f>18.3407690550243*(10.3/7.3)</f>
        <v>25.87807140640415</v>
      </c>
      <c r="F2042" s="1">
        <f>37.5660591511867*(38.9/42.5)</f>
        <v>34.383992964262625</v>
      </c>
      <c r="G2042" s="1">
        <v>1.4100343502024879</v>
      </c>
      <c r="H2042" s="1">
        <v>5.3666997377103698</v>
      </c>
      <c r="I2042" s="1">
        <v>28.528929956657478</v>
      </c>
      <c r="J2042" s="1">
        <v>4.5627170001369129E-2</v>
      </c>
      <c r="K2042" s="1">
        <v>2.8971305367068312</v>
      </c>
      <c r="L2042" s="1">
        <v>9.6066759582816292</v>
      </c>
      <c r="M2042" s="1">
        <v>0.1620664825146986</v>
      </c>
      <c r="N2042" s="1">
        <v>2.3417483211418575</v>
      </c>
      <c r="O2042" s="1">
        <v>0.15674666666666667</v>
      </c>
      <c r="P2042" s="1">
        <v>0.12425499002202182</v>
      </c>
      <c r="Q2042" s="1">
        <v>2.2534795551181337</v>
      </c>
      <c r="R2042" s="2">
        <f t="shared" si="127"/>
        <v>111.24252120092784</v>
      </c>
      <c r="S2042" s="2">
        <f t="shared" si="126"/>
        <v>3.067012696730222</v>
      </c>
      <c r="T2042" s="2">
        <f t="shared" si="128"/>
        <v>12.267237428604851</v>
      </c>
      <c r="U2042" s="2">
        <f t="shared" si="129"/>
        <v>126.5767713262629</v>
      </c>
    </row>
    <row r="2043" spans="1:21" x14ac:dyDescent="0.25">
      <c r="A2043">
        <v>3853917</v>
      </c>
      <c r="B2043">
        <v>44</v>
      </c>
      <c r="C2043" s="1">
        <f>5.46157640023729*(10.3/7.3)</f>
        <v>7.7060598523895996</v>
      </c>
      <c r="D2043" s="1">
        <f>6.4048390347783*(10.3/7.3)</f>
        <v>9.0369646655091049</v>
      </c>
      <c r="E2043" s="1">
        <f>22.6752690419049*(10.3/7.3)</f>
        <v>31.993872757756222</v>
      </c>
      <c r="F2043" s="1">
        <f>47.3315774541911*(38.9/42.5)</f>
        <v>43.322314422777225</v>
      </c>
      <c r="G2043" s="1">
        <v>1.8099681145344348</v>
      </c>
      <c r="H2043" s="1">
        <v>9.1348816998578215</v>
      </c>
      <c r="I2043" s="1">
        <v>36.311634277924895</v>
      </c>
      <c r="J2043" s="1">
        <v>4.5700654575528236E-2</v>
      </c>
      <c r="K2043" s="1">
        <v>2.9657138408795634</v>
      </c>
      <c r="L2043" s="1">
        <v>12.034165899211933</v>
      </c>
      <c r="M2043" s="1">
        <v>0.1742299814159177</v>
      </c>
      <c r="N2043" s="1">
        <v>2.08893209530765</v>
      </c>
      <c r="O2043" s="1">
        <v>0.16716848484848484</v>
      </c>
      <c r="P2043" s="1">
        <v>0.13081035678499997</v>
      </c>
      <c r="Q2043" s="1">
        <v>2.892643105420333</v>
      </c>
      <c r="R2043" s="2">
        <f t="shared" si="127"/>
        <v>142.20833889616964</v>
      </c>
      <c r="S2043" s="2">
        <f t="shared" si="126"/>
        <v>3.1422248522400915</v>
      </c>
      <c r="T2043" s="2">
        <f t="shared" si="128"/>
        <v>14.464496460783986</v>
      </c>
      <c r="U2043" s="2">
        <f t="shared" si="129"/>
        <v>159.81506020919372</v>
      </c>
    </row>
    <row r="2044" spans="1:21" x14ac:dyDescent="0.25">
      <c r="A2044">
        <v>3854021</v>
      </c>
      <c r="B2044">
        <v>12</v>
      </c>
      <c r="C2044" s="1">
        <f>5.47518470363502*(10.3/7.3)</f>
        <v>7.7252606092384575</v>
      </c>
      <c r="D2044" s="1">
        <f>6.5089793734957*(10.3/7.3)</f>
        <v>9.1839024036994168</v>
      </c>
      <c r="E2044" s="1">
        <f>23.127310257404*(10.3/7.3)</f>
        <v>32.631684335789195</v>
      </c>
      <c r="F2044" s="1">
        <f>43.3043276787205*(38.9/42.5)</f>
        <v>39.636196392993618</v>
      </c>
      <c r="G2044" s="1">
        <v>1.4339968870353521</v>
      </c>
      <c r="H2044" s="1">
        <v>7.5190340942331657</v>
      </c>
      <c r="I2044" s="1">
        <v>32.407059192714634</v>
      </c>
      <c r="J2044" s="1">
        <v>4.1890321892512149E-2</v>
      </c>
      <c r="K2044" s="1">
        <v>2.4700519146731885</v>
      </c>
      <c r="L2044" s="1">
        <v>7.0389847961448302</v>
      </c>
      <c r="M2044" s="1">
        <v>0.14591850627356093</v>
      </c>
      <c r="N2044" s="1">
        <v>2.4682047396068936</v>
      </c>
      <c r="O2044" s="1">
        <v>0.13513333333333333</v>
      </c>
      <c r="P2044" s="1">
        <v>0.10702366781566625</v>
      </c>
      <c r="Q2044" s="1">
        <v>2.2917758468601543</v>
      </c>
      <c r="R2044" s="2">
        <f t="shared" si="127"/>
        <v>132.828909762564</v>
      </c>
      <c r="S2044" s="2">
        <f t="shared" si="126"/>
        <v>2.6189659043813669</v>
      </c>
      <c r="T2044" s="2">
        <f t="shared" si="128"/>
        <v>9.7882413753586182</v>
      </c>
      <c r="U2044" s="2">
        <f t="shared" si="129"/>
        <v>145.23611704230396</v>
      </c>
    </row>
    <row r="2045" spans="1:21" x14ac:dyDescent="0.25">
      <c r="A2045">
        <v>3854029</v>
      </c>
      <c r="B2045">
        <v>21</v>
      </c>
      <c r="C2045" s="1">
        <f>5.53246285870284*(10.3/7.3)</f>
        <v>7.8060777321423664</v>
      </c>
      <c r="D2045" s="1">
        <f>6.5683865168602*(10.3/7.3)</f>
        <v>9.2677234415972638</v>
      </c>
      <c r="E2045" s="1">
        <f>23.3481427533881*(10.3/7.3)</f>
        <v>32.943269912314676</v>
      </c>
      <c r="F2045" s="1">
        <f>43.3004547686416*(38.9/42.5)</f>
        <v>39.632651541180167</v>
      </c>
      <c r="G2045" s="1">
        <v>1.4121036097797397</v>
      </c>
      <c r="H2045" s="1">
        <v>6.0397965901524806</v>
      </c>
      <c r="I2045" s="1">
        <v>32.358686215901308</v>
      </c>
      <c r="J2045" s="1">
        <v>4.1477114669487794E-2</v>
      </c>
      <c r="K2045" s="1">
        <v>2.39812350604844</v>
      </c>
      <c r="L2045" s="1">
        <v>8.5186491162236866</v>
      </c>
      <c r="M2045" s="1">
        <v>0.14055260955880236</v>
      </c>
      <c r="N2045" s="1">
        <v>2.188701254027658</v>
      </c>
      <c r="O2045" s="1">
        <v>0.13003936507936509</v>
      </c>
      <c r="P2045" s="1">
        <v>0.10303599502025562</v>
      </c>
      <c r="Q2045" s="1">
        <v>2.2567865909721885</v>
      </c>
      <c r="R2045" s="2">
        <f t="shared" si="127"/>
        <v>131.71709563404016</v>
      </c>
      <c r="S2045" s="2">
        <f t="shared" si="126"/>
        <v>2.5426366157381834</v>
      </c>
      <c r="T2045" s="2">
        <f t="shared" si="128"/>
        <v>10.977942344889513</v>
      </c>
      <c r="U2045" s="2">
        <f t="shared" si="129"/>
        <v>145.23767459466785</v>
      </c>
    </row>
    <row r="2046" spans="1:21" x14ac:dyDescent="0.25">
      <c r="A2046">
        <v>3854037</v>
      </c>
      <c r="B2046">
        <v>18</v>
      </c>
      <c r="C2046" s="1">
        <f>5.41831748455831*(10.3/7.3)</f>
        <v>7.6450233001302195</v>
      </c>
      <c r="D2046" s="1">
        <f>6.3193382748063*(10.3/7.3)</f>
        <v>8.9163266069184797</v>
      </c>
      <c r="E2046" s="1">
        <f>22.4879372730246*(10.3/7.3)</f>
        <v>31.729555330431957</v>
      </c>
      <c r="F2046" s="1">
        <f>41.405886929295*(38.9/42.5)</f>
        <v>37.898564742342984</v>
      </c>
      <c r="G2046" s="1">
        <v>1.3280133286054208</v>
      </c>
      <c r="H2046" s="1">
        <v>5.5053553432851245</v>
      </c>
      <c r="I2046" s="1">
        <v>31.114027593310336</v>
      </c>
      <c r="J2046" s="1">
        <v>4.0443389411300684E-2</v>
      </c>
      <c r="K2046" s="1">
        <v>2.2927657237298131</v>
      </c>
      <c r="L2046" s="1">
        <v>11.211806985217985</v>
      </c>
      <c r="M2046" s="1">
        <v>0.13461994203851291</v>
      </c>
      <c r="N2046" s="1">
        <v>1.9203887343381087</v>
      </c>
      <c r="O2046" s="1">
        <v>0.12319111111111113</v>
      </c>
      <c r="P2046" s="1">
        <v>9.835738265072852E-2</v>
      </c>
      <c r="Q2046" s="1">
        <v>2.1223957306479355</v>
      </c>
      <c r="R2046" s="2">
        <f t="shared" si="127"/>
        <v>126.25926197567246</v>
      </c>
      <c r="S2046" s="2">
        <f t="shared" si="126"/>
        <v>2.4315664957918424</v>
      </c>
      <c r="T2046" s="2">
        <f t="shared" si="128"/>
        <v>13.390006772705719</v>
      </c>
      <c r="U2046" s="2">
        <f t="shared" si="129"/>
        <v>142.08083524417003</v>
      </c>
    </row>
    <row r="2047" spans="1:21" x14ac:dyDescent="0.25">
      <c r="A2047">
        <v>3854045</v>
      </c>
      <c r="B2047">
        <v>4</v>
      </c>
      <c r="C2047" s="1">
        <f>5.96342407675864*(10.3/7.3)</f>
        <v>8.4141463000841039</v>
      </c>
      <c r="D2047" s="1">
        <f>6.56615411397583*(10.3/7.3)</f>
        <v>9.2645736128700111</v>
      </c>
      <c r="E2047" s="1">
        <f>23.4384220578644*(10.3/7.3)</f>
        <v>33.070650300822393</v>
      </c>
      <c r="F2047" s="1">
        <f>42.8808267623476*(38.9/42.5)</f>
        <v>39.248568495419299</v>
      </c>
      <c r="G2047" s="1">
        <v>1.3368949653917312</v>
      </c>
      <c r="H2047" s="1">
        <v>6.1236137837550624</v>
      </c>
      <c r="I2047" s="1">
        <v>32.934651064061057</v>
      </c>
      <c r="J2047" s="1">
        <v>4.0677472818573902E-2</v>
      </c>
      <c r="K2047" s="1">
        <v>2.2994666242395243</v>
      </c>
      <c r="L2047" s="1">
        <v>13.329521612544655</v>
      </c>
      <c r="M2047" s="1">
        <v>0.13465170051976608</v>
      </c>
      <c r="N2047" s="1">
        <v>1.9624181093242128</v>
      </c>
      <c r="O2047" s="1">
        <v>0.12251999999999999</v>
      </c>
      <c r="P2047" s="1">
        <v>9.8362516057831043E-2</v>
      </c>
      <c r="Q2047" s="1">
        <v>2.1365901273383856</v>
      </c>
      <c r="R2047" s="2">
        <f t="shared" si="127"/>
        <v>132.52968864974204</v>
      </c>
      <c r="S2047" s="2">
        <f t="shared" si="126"/>
        <v>2.438506613115929</v>
      </c>
      <c r="T2047" s="2">
        <f t="shared" si="128"/>
        <v>15.549111422388634</v>
      </c>
      <c r="U2047" s="2">
        <f t="shared" si="129"/>
        <v>150.51730668524658</v>
      </c>
    </row>
    <row r="2048" spans="1:21" x14ac:dyDescent="0.25">
      <c r="A2048">
        <v>3854053</v>
      </c>
      <c r="B2048">
        <v>8</v>
      </c>
      <c r="C2048" s="1">
        <f>5.28085149291859*(10.3/7.3)</f>
        <v>7.451064435213901</v>
      </c>
      <c r="D2048" s="1">
        <f>5.86289608817812*(10.3/7.3)</f>
        <v>8.2723054394841906</v>
      </c>
      <c r="E2048" s="1">
        <f>20.9137168474075*(10.3/7.3)</f>
        <v>29.508395003876281</v>
      </c>
      <c r="F2048" s="1">
        <f>38.5431454145907*(38.9/42.5)</f>
        <v>35.278314273590048</v>
      </c>
      <c r="G2048" s="1">
        <v>1.2196752423026087</v>
      </c>
      <c r="H2048" s="1">
        <v>7.1158038119375373</v>
      </c>
      <c r="I2048" s="1">
        <v>29.540867253097037</v>
      </c>
      <c r="J2048" s="1">
        <v>4.5709912474634885E-2</v>
      </c>
      <c r="K2048" s="1">
        <v>2.3961910447829986</v>
      </c>
      <c r="L2048" s="1">
        <v>13.342182319419901</v>
      </c>
      <c r="M2048" s="1">
        <v>0.13617631351168144</v>
      </c>
      <c r="N2048" s="1">
        <v>2.200679645082936</v>
      </c>
      <c r="O2048" s="1">
        <v>0.12426000000000001</v>
      </c>
      <c r="P2048" s="1">
        <v>0.10058568816452661</v>
      </c>
      <c r="Q2048" s="1">
        <v>1.9492526703466369</v>
      </c>
      <c r="R2048" s="2">
        <f t="shared" si="127"/>
        <v>120.33567812984825</v>
      </c>
      <c r="S2048" s="2">
        <f t="shared" si="126"/>
        <v>2.54248664542216</v>
      </c>
      <c r="T2048" s="2">
        <f t="shared" si="128"/>
        <v>15.803298278014518</v>
      </c>
      <c r="U2048" s="2">
        <f t="shared" si="129"/>
        <v>138.68146305328492</v>
      </c>
    </row>
    <row r="2049" spans="1:21" x14ac:dyDescent="0.25">
      <c r="A2049">
        <v>3854077</v>
      </c>
      <c r="B2049">
        <v>2</v>
      </c>
      <c r="C2049" s="1">
        <f>5.25546039023745*(10.3/7.3)</f>
        <v>7.4152386328007847</v>
      </c>
      <c r="D2049" s="1">
        <f>5.86335540878574*(10.3/7.3)</f>
        <v>8.2729535219853574</v>
      </c>
      <c r="E2049" s="1">
        <f>20.912587863729*(10.3/7.3)</f>
        <v>29.506802054302504</v>
      </c>
      <c r="F2049" s="1">
        <f>38.4206298911107*(38.9/42.5)</f>
        <v>35.16617653562836</v>
      </c>
      <c r="G2049" s="1">
        <v>1.2113598843718014</v>
      </c>
      <c r="H2049" s="1">
        <v>5.8800800485261853</v>
      </c>
      <c r="I2049" s="1">
        <v>29.373095154090571</v>
      </c>
      <c r="J2049" s="1">
        <v>4.7952445660324791E-2</v>
      </c>
      <c r="K2049" s="1">
        <v>2.4967807869783831</v>
      </c>
      <c r="L2049" s="1">
        <v>7.7963634262893775</v>
      </c>
      <c r="M2049" s="1">
        <v>0.13829670584446119</v>
      </c>
      <c r="N2049" s="1">
        <v>2.0646599432903874</v>
      </c>
      <c r="O2049" s="1">
        <v>0.12512000000000001</v>
      </c>
      <c r="P2049" s="1">
        <v>0.10050265390468133</v>
      </c>
      <c r="Q2049" s="1">
        <v>1.9359632855257121</v>
      </c>
      <c r="R2049" s="2">
        <f t="shared" si="127"/>
        <v>118.76166911723128</v>
      </c>
      <c r="S2049" s="2">
        <f t="shared" si="126"/>
        <v>2.6452358865433889</v>
      </c>
      <c r="T2049" s="2">
        <f t="shared" si="128"/>
        <v>10.124440075424227</v>
      </c>
      <c r="U2049" s="2">
        <f t="shared" si="129"/>
        <v>131.5313450791989</v>
      </c>
    </row>
    <row r="2050" spans="1:21" x14ac:dyDescent="0.25">
      <c r="A2050">
        <v>3854085</v>
      </c>
      <c r="B2050">
        <v>36</v>
      </c>
      <c r="C2050" s="1">
        <f>4.70747724609939*(10.3/7.3)</f>
        <v>6.642056936277223</v>
      </c>
      <c r="D2050" s="1">
        <f>5.24082054770252*(10.3/7.3)</f>
        <v>7.3945824166213683</v>
      </c>
      <c r="E2050" s="1">
        <f>18.6944351770214*(10.3/7.3)</f>
        <v>26.377079770317863</v>
      </c>
      <c r="F2050" s="1">
        <f>34.3346396645775*(38.9/42.5)</f>
        <v>31.426293716519172</v>
      </c>
      <c r="G2050" s="1">
        <v>1.0812439054523548</v>
      </c>
      <c r="H2050" s="1">
        <v>5.940636904527544</v>
      </c>
      <c r="I2050" s="1">
        <v>26.270395701577833</v>
      </c>
      <c r="J2050" s="1">
        <v>4.1708807065120021E-2</v>
      </c>
      <c r="K2050" s="1">
        <v>2.3153217723183732</v>
      </c>
      <c r="L2050" s="1">
        <v>10.876773370116682</v>
      </c>
      <c r="M2050" s="1">
        <v>0.12813211956836687</v>
      </c>
      <c r="N2050" s="1">
        <v>1.7690252311842434</v>
      </c>
      <c r="O2050" s="1">
        <v>0.11495259259259262</v>
      </c>
      <c r="P2050" s="1">
        <v>9.3533331478987652E-2</v>
      </c>
      <c r="Q2050" s="1">
        <v>1.7280153740106152</v>
      </c>
      <c r="R2050" s="2">
        <f t="shared" si="127"/>
        <v>106.86030472530395</v>
      </c>
      <c r="S2050" s="2">
        <f t="shared" si="126"/>
        <v>2.4505639108624808</v>
      </c>
      <c r="T2050" s="2">
        <f t="shared" si="128"/>
        <v>12.888883313461884</v>
      </c>
      <c r="U2050" s="2">
        <f t="shared" si="129"/>
        <v>122.19975194962832</v>
      </c>
    </row>
    <row r="2051" spans="1:21" x14ac:dyDescent="0.25">
      <c r="A2051">
        <v>3854093</v>
      </c>
      <c r="B2051">
        <v>31</v>
      </c>
      <c r="C2051" s="1">
        <f>6.45142790096427*(10.3/7.3)</f>
        <v>9.1026996410865753</v>
      </c>
      <c r="D2051" s="1">
        <f>7.00113073582325*(10.3/7.3)</f>
        <v>9.8783077505451402</v>
      </c>
      <c r="E2051" s="1">
        <f>25.0084408689631*(10.3/7.3)</f>
        <v>35.285882321961658</v>
      </c>
      <c r="F2051" s="1">
        <f>45.8166723762134*(38.9/42.5)</f>
        <v>41.935730716110633</v>
      </c>
      <c r="G2051" s="1">
        <v>1.4250671790388971</v>
      </c>
      <c r="H2051" s="1">
        <v>4.9056742135781679</v>
      </c>
      <c r="I2051" s="1">
        <v>35.406874934499143</v>
      </c>
      <c r="J2051" s="1">
        <v>4.4048013815981106E-2</v>
      </c>
      <c r="K2051" s="1">
        <v>2.4988729377911882</v>
      </c>
      <c r="L2051" s="1">
        <v>13.351999030311195</v>
      </c>
      <c r="M2051" s="1">
        <v>0.13714491266287518</v>
      </c>
      <c r="N2051" s="1">
        <v>1.8072724383109884</v>
      </c>
      <c r="O2051" s="1">
        <v>0.12186666666666664</v>
      </c>
      <c r="P2051" s="1">
        <v>9.5923315227701186E-2</v>
      </c>
      <c r="Q2051" s="1">
        <v>2.2775046240347687</v>
      </c>
      <c r="R2051" s="2">
        <f t="shared" si="127"/>
        <v>140.21774138085499</v>
      </c>
      <c r="S2051" s="2">
        <f t="shared" si="126"/>
        <v>2.6388442668348704</v>
      </c>
      <c r="T2051" s="2">
        <f t="shared" si="128"/>
        <v>15.418283047951725</v>
      </c>
      <c r="U2051" s="2">
        <f t="shared" si="129"/>
        <v>158.27486869564157</v>
      </c>
    </row>
    <row r="2052" spans="1:21" x14ac:dyDescent="0.25">
      <c r="A2052">
        <v>3854101</v>
      </c>
      <c r="B2052">
        <v>1</v>
      </c>
      <c r="C2052" s="1">
        <f>5.31321270221808*(10.3/7.3)</f>
        <v>7.4967247716227723</v>
      </c>
      <c r="D2052" s="1">
        <f>5.66219506567421*(10.3/7.3)</f>
        <v>7.9891245447184014</v>
      </c>
      <c r="E2052" s="1">
        <f>20.2516992711088*(10.3/7.3)</f>
        <v>28.574315409920633</v>
      </c>
      <c r="F2052" s="1">
        <f>36.7554665750188*(38.9/42.5)</f>
        <v>33.642062347487773</v>
      </c>
      <c r="G2052" s="1">
        <v>1.1180132856646741</v>
      </c>
      <c r="H2052" s="1">
        <v>5.5424919052089159</v>
      </c>
      <c r="I2052" s="1">
        <v>28.575964838744706</v>
      </c>
      <c r="J2052" s="1">
        <v>4.1201508482590375E-2</v>
      </c>
      <c r="K2052" s="1">
        <v>2.5315880002767139</v>
      </c>
      <c r="L2052" s="1">
        <v>15.136216320997908</v>
      </c>
      <c r="M2052" s="1">
        <v>0.12905200818480483</v>
      </c>
      <c r="N2052" s="1">
        <v>1.7200694840972874</v>
      </c>
      <c r="O2052" s="1">
        <v>0.11472</v>
      </c>
      <c r="P2052" s="1">
        <v>9.3536379945887968E-2</v>
      </c>
      <c r="Q2052" s="1">
        <v>1.786779223665006</v>
      </c>
      <c r="R2052" s="2">
        <f t="shared" si="127"/>
        <v>114.72547632703289</v>
      </c>
      <c r="S2052" s="2">
        <f t="shared" si="126"/>
        <v>2.6663258887051922</v>
      </c>
      <c r="T2052" s="2">
        <f t="shared" si="128"/>
        <v>17.100057813279999</v>
      </c>
      <c r="U2052" s="2">
        <f t="shared" si="129"/>
        <v>134.49186002901808</v>
      </c>
    </row>
    <row r="2053" spans="1:21" x14ac:dyDescent="0.25">
      <c r="A2053">
        <v>3854117</v>
      </c>
      <c r="B2053">
        <v>10</v>
      </c>
      <c r="C2053" s="1">
        <f>5.54621340917442*(10.3/7.3)</f>
        <v>7.8254791937666486</v>
      </c>
      <c r="D2053" s="1">
        <f>5.87754914411849*(10.3/7.3)</f>
        <v>8.2929802992356798</v>
      </c>
      <c r="E2053" s="1">
        <f>21.0397810881565*(10.3/7.3)</f>
        <v>29.686266466851023</v>
      </c>
      <c r="F2053" s="1">
        <f>37.6000466504805*(38.9/42.5)</f>
        <v>34.415101522439805</v>
      </c>
      <c r="G2053" s="1">
        <v>1.1101163780039331</v>
      </c>
      <c r="H2053" s="1">
        <v>5.4208929918946351</v>
      </c>
      <c r="I2053" s="1">
        <v>29.23139384679796</v>
      </c>
      <c r="J2053" s="1">
        <v>3.9740149108604364E-2</v>
      </c>
      <c r="K2053" s="1">
        <v>2.7019946548470672</v>
      </c>
      <c r="L2053" s="1">
        <v>11.505498236914139</v>
      </c>
      <c r="M2053" s="1">
        <v>0.12582765895257295</v>
      </c>
      <c r="N2053" s="1">
        <v>1.6587811526342264</v>
      </c>
      <c r="O2053" s="1">
        <v>0.10958933333333332</v>
      </c>
      <c r="P2053" s="1">
        <v>8.9695687114045769E-2</v>
      </c>
      <c r="Q2053" s="1">
        <v>1.7741585949834568</v>
      </c>
      <c r="R2053" s="2">
        <f t="shared" si="127"/>
        <v>117.75638929397314</v>
      </c>
      <c r="S2053" s="2">
        <f t="shared" si="126"/>
        <v>2.8314304910697174</v>
      </c>
      <c r="T2053" s="2">
        <f t="shared" si="128"/>
        <v>13.399696381834273</v>
      </c>
      <c r="U2053" s="2">
        <f t="shared" si="129"/>
        <v>133.98751616687713</v>
      </c>
    </row>
    <row r="2054" spans="1:21" x14ac:dyDescent="0.25">
      <c r="A2054">
        <v>3854125</v>
      </c>
      <c r="B2054">
        <v>40</v>
      </c>
      <c r="C2054" s="1">
        <f>6.11208649363292*(10.3/7.3)</f>
        <v>8.6239028608793227</v>
      </c>
      <c r="D2054" s="1">
        <f>6.60958739473711*(10.3/7.3)</f>
        <v>9.3258561870948302</v>
      </c>
      <c r="E2054" s="1">
        <f>23.6131099333379*(10.3/7.3)</f>
        <v>33.317127714161749</v>
      </c>
      <c r="F2054" s="1">
        <f>43.311091885783*(38.9/42.5)</f>
        <v>39.642387631928443</v>
      </c>
      <c r="G2054" s="1">
        <v>1.3482682291422547</v>
      </c>
      <c r="H2054" s="1">
        <v>4.0476650429440557</v>
      </c>
      <c r="I2054" s="1">
        <v>33.525160667615523</v>
      </c>
      <c r="J2054" s="1">
        <v>3.9307554485555944E-2</v>
      </c>
      <c r="K2054" s="1">
        <v>2.8273175927873608</v>
      </c>
      <c r="L2054" s="1">
        <v>11.836714235602702</v>
      </c>
      <c r="M2054" s="1">
        <v>0.13400529372090189</v>
      </c>
      <c r="N2054" s="1">
        <v>1.6339714227773843</v>
      </c>
      <c r="O2054" s="1">
        <v>0.11761199999999998</v>
      </c>
      <c r="P2054" s="1">
        <v>9.378620635723986E-2</v>
      </c>
      <c r="Q2054" s="1">
        <v>2.1547665762547474</v>
      </c>
      <c r="R2054" s="2">
        <f t="shared" si="127"/>
        <v>131.98513491002092</v>
      </c>
      <c r="S2054" s="2">
        <f t="shared" si="126"/>
        <v>2.9604113536301568</v>
      </c>
      <c r="T2054" s="2">
        <f t="shared" si="128"/>
        <v>13.722302952100987</v>
      </c>
      <c r="U2054" s="2">
        <f t="shared" si="129"/>
        <v>148.66784921575206</v>
      </c>
    </row>
    <row r="2055" spans="1:21" x14ac:dyDescent="0.25">
      <c r="A2055">
        <v>3854133</v>
      </c>
      <c r="B2055">
        <v>25</v>
      </c>
      <c r="C2055" s="1">
        <f>5.01321931336421*(10.3/7.3)</f>
        <v>7.0734464284453908</v>
      </c>
      <c r="D2055" s="1">
        <f>5.53250077740387*(10.3/7.3)</f>
        <v>7.8061312338712101</v>
      </c>
      <c r="E2055" s="1">
        <f>19.73514094423*(10.3/7.3)</f>
        <v>27.845472839119029</v>
      </c>
      <c r="F2055" s="1">
        <f>36.6732346619612*(38.9/42.5)</f>
        <v>33.566795961183296</v>
      </c>
      <c r="G2055" s="1">
        <v>1.1741499988182016</v>
      </c>
      <c r="H2055" s="1">
        <v>4.104534368977502</v>
      </c>
      <c r="I2055" s="1">
        <v>28.214763381914107</v>
      </c>
      <c r="J2055" s="1">
        <v>3.1654639485149613E-2</v>
      </c>
      <c r="K2055" s="1">
        <v>2.4142406127512768</v>
      </c>
      <c r="L2055" s="1">
        <v>10.9723163765797</v>
      </c>
      <c r="M2055" s="1">
        <v>0.11321765740931618</v>
      </c>
      <c r="N2055" s="1">
        <v>1.3078639983005471</v>
      </c>
      <c r="O2055" s="1">
        <v>9.8506666666666687E-2</v>
      </c>
      <c r="P2055" s="1">
        <v>8.0346439142847254E-2</v>
      </c>
      <c r="Q2055" s="1">
        <v>1.8764954319012377</v>
      </c>
      <c r="R2055" s="2">
        <f t="shared" si="127"/>
        <v>111.66178964422998</v>
      </c>
      <c r="S2055" s="2">
        <f t="shared" si="126"/>
        <v>2.526241691379274</v>
      </c>
      <c r="T2055" s="2">
        <f t="shared" si="128"/>
        <v>12.491904698956231</v>
      </c>
      <c r="U2055" s="2">
        <f t="shared" si="129"/>
        <v>126.67993603456549</v>
      </c>
    </row>
    <row r="2056" spans="1:21" x14ac:dyDescent="0.25">
      <c r="A2056">
        <v>3854141</v>
      </c>
      <c r="B2056">
        <v>17</v>
      </c>
      <c r="C2056" s="1">
        <f>6.04372673368099*(10.3/7.3)</f>
        <v>8.5274500488923621</v>
      </c>
      <c r="D2056" s="1">
        <f>6.83467489971217*(10.3/7.3)</f>
        <v>9.6434454064432042</v>
      </c>
      <c r="E2056" s="1">
        <f>24.3616264820042*(10.3/7.3)</f>
        <v>34.373253803375832</v>
      </c>
      <c r="F2056" s="1">
        <f>44.6995757349933*(38.9/42.5)</f>
        <v>40.913258731558578</v>
      </c>
      <c r="G2056" s="1">
        <v>1.41225388280641</v>
      </c>
      <c r="H2056" s="1">
        <v>5.7495696776388243</v>
      </c>
      <c r="I2056" s="1">
        <v>33.9803875461538</v>
      </c>
      <c r="J2056" s="1">
        <v>3.7576314872599811E-2</v>
      </c>
      <c r="K2056" s="1">
        <v>3.4137930971161912</v>
      </c>
      <c r="L2056" s="1">
        <v>13.983080858627227</v>
      </c>
      <c r="M2056" s="1">
        <v>0.12700063974199058</v>
      </c>
      <c r="N2056" s="1">
        <v>1.530610956435398</v>
      </c>
      <c r="O2056" s="1">
        <v>0.11180235294117649</v>
      </c>
      <c r="P2056" s="1">
        <v>8.8874867927208806E-2</v>
      </c>
      <c r="Q2056" s="1">
        <v>2.2570267533435802</v>
      </c>
      <c r="R2056" s="2">
        <f t="shared" si="127"/>
        <v>136.8566458502126</v>
      </c>
      <c r="S2056" s="2">
        <f t="shared" si="126"/>
        <v>3.5402442799159997</v>
      </c>
      <c r="T2056" s="2">
        <f t="shared" si="128"/>
        <v>15.752494807745791</v>
      </c>
      <c r="U2056" s="2">
        <f t="shared" si="129"/>
        <v>156.1493849378744</v>
      </c>
    </row>
    <row r="2057" spans="1:21" x14ac:dyDescent="0.25">
      <c r="A2057">
        <v>3854149</v>
      </c>
      <c r="B2057">
        <v>54</v>
      </c>
      <c r="C2057" s="1">
        <f>5.74934223062354*(10.3/7.3)</f>
        <v>8.1120856130715655</v>
      </c>
      <c r="D2057" s="1">
        <f>6.46004817431811*(10.3/7.3)</f>
        <v>9.1148624925310315</v>
      </c>
      <c r="E2057" s="1">
        <f>23.0334358857661*(10.3/7.3)</f>
        <v>32.499231455259093</v>
      </c>
      <c r="F2057" s="1">
        <f>42.2748373944294*(38.9/42.5)</f>
        <v>38.693909991607107</v>
      </c>
      <c r="G2057" s="1">
        <v>1.3336224696899295</v>
      </c>
      <c r="H2057" s="1">
        <v>5.2964699581258481</v>
      </c>
      <c r="I2057" s="1">
        <v>32.221894535364903</v>
      </c>
      <c r="J2057" s="1">
        <v>3.3703924599280226E-2</v>
      </c>
      <c r="K2057" s="1">
        <v>2.8584827753825781</v>
      </c>
      <c r="L2057" s="1">
        <v>6.9427418198372628</v>
      </c>
      <c r="M2057" s="1">
        <v>0.11994414327467552</v>
      </c>
      <c r="N2057" s="1">
        <v>1.4197635816631451</v>
      </c>
      <c r="O2057" s="1">
        <v>0.10580246913580245</v>
      </c>
      <c r="P2057" s="1">
        <v>8.501755217942808E-2</v>
      </c>
      <c r="Q2057" s="1">
        <v>2.1313601113766021</v>
      </c>
      <c r="R2057" s="2">
        <f t="shared" si="127"/>
        <v>129.40343662702608</v>
      </c>
      <c r="S2057" s="2">
        <f t="shared" ref="S2057:S2120" si="130">J2057+K2057+P2057</f>
        <v>2.9772042521612865</v>
      </c>
      <c r="T2057" s="2">
        <f t="shared" si="128"/>
        <v>8.5882520139108873</v>
      </c>
      <c r="U2057" s="2">
        <f t="shared" si="129"/>
        <v>140.96889289309826</v>
      </c>
    </row>
    <row r="2058" spans="1:21" x14ac:dyDescent="0.25">
      <c r="A2058">
        <v>3854157</v>
      </c>
      <c r="B2058">
        <v>34</v>
      </c>
      <c r="C2058" s="1">
        <f>5.39052817058972*(10.3/7.3)</f>
        <v>7.605813720147137</v>
      </c>
      <c r="D2058" s="1">
        <f>5.84103793577251*(10.3/7.3)</f>
        <v>8.2414644847201242</v>
      </c>
      <c r="E2058" s="1">
        <f>20.8594236716485*(10.3/7.3)</f>
        <v>29.431789564106744</v>
      </c>
      <c r="F2058" s="1">
        <f>38.5535612242099*(38.9/42.5)</f>
        <v>35.287847802865066</v>
      </c>
      <c r="G2058" s="1">
        <v>1.2164437711370883</v>
      </c>
      <c r="H2058" s="1">
        <v>4.4778691151671914</v>
      </c>
      <c r="I2058" s="1">
        <v>29.854486804180958</v>
      </c>
      <c r="J2058" s="1">
        <v>3.1722440889185549E-2</v>
      </c>
      <c r="K2058" s="1">
        <v>2.4761213452591959</v>
      </c>
      <c r="L2058" s="1">
        <v>4.4551406095518384</v>
      </c>
      <c r="M2058" s="1">
        <v>0.1140403672210611</v>
      </c>
      <c r="N2058" s="1">
        <v>1.4483091318901744</v>
      </c>
      <c r="O2058" s="1">
        <v>0.10045490196078433</v>
      </c>
      <c r="P2058" s="1">
        <v>8.2426936296348174E-2</v>
      </c>
      <c r="Q2058" s="1">
        <v>1.944088218712243</v>
      </c>
      <c r="R2058" s="2">
        <f t="shared" ref="R2058:R2121" si="131">C2058+D2058+E2058+F2058+G2058+H2058+I2058+Q2058</f>
        <v>118.05980348103657</v>
      </c>
      <c r="S2058" s="2">
        <f t="shared" si="130"/>
        <v>2.5902707224447297</v>
      </c>
      <c r="T2058" s="2">
        <f t="shared" ref="T2058:T2121" si="132">L2058+M2058+N2058+O2058</f>
        <v>6.117945010623858</v>
      </c>
      <c r="U2058" s="2">
        <f t="shared" ref="U2058:U2121" si="133">R2058+S2058+T2058</f>
        <v>126.76801921410515</v>
      </c>
    </row>
    <row r="2059" spans="1:21" x14ac:dyDescent="0.25">
      <c r="A2059">
        <v>3854173</v>
      </c>
      <c r="B2059">
        <v>5</v>
      </c>
      <c r="C2059" s="1">
        <f>5.14672672699116*(10.3/7.3)</f>
        <v>7.2618199024669758</v>
      </c>
      <c r="D2059" s="1">
        <f>5.56942124312984*(10.3/7.3)</f>
        <v>7.8582244937311456</v>
      </c>
      <c r="E2059" s="1">
        <f>19.8681506863504*(10.3/7.3)</f>
        <v>28.033144119097198</v>
      </c>
      <c r="F2059" s="1">
        <f>37.861331461359*(38.9/42.5)</f>
        <v>34.654253972867402</v>
      </c>
      <c r="G2059" s="1">
        <v>1.2538486810247007</v>
      </c>
      <c r="H2059" s="1">
        <v>5.2569695949405775</v>
      </c>
      <c r="I2059" s="1">
        <v>29.47466580098353</v>
      </c>
      <c r="J2059" s="1">
        <v>3.0742859861798533E-2</v>
      </c>
      <c r="K2059" s="1">
        <v>2.2657614405562296</v>
      </c>
      <c r="L2059" s="1">
        <v>3.6776580773420706</v>
      </c>
      <c r="M2059" s="1">
        <v>0.11230428136085827</v>
      </c>
      <c r="N2059" s="1">
        <v>1.3236558791028064</v>
      </c>
      <c r="O2059" s="1">
        <v>9.9530666666666656E-2</v>
      </c>
      <c r="P2059" s="1">
        <v>8.2130406016341223E-2</v>
      </c>
      <c r="Q2059" s="1">
        <v>2.0038677550623092</v>
      </c>
      <c r="R2059" s="2">
        <f t="shared" si="131"/>
        <v>115.79679432017383</v>
      </c>
      <c r="S2059" s="2">
        <f t="shared" si="130"/>
        <v>2.3786347064343696</v>
      </c>
      <c r="T2059" s="2">
        <f t="shared" si="132"/>
        <v>5.2131489044724013</v>
      </c>
      <c r="U2059" s="2">
        <f t="shared" si="133"/>
        <v>123.3885779310806</v>
      </c>
    </row>
    <row r="2060" spans="1:21" x14ac:dyDescent="0.25">
      <c r="A2060">
        <v>3865633</v>
      </c>
      <c r="B2060">
        <v>41</v>
      </c>
      <c r="C2060" s="1">
        <f>1.46593728087691*(10.3/7.3)</f>
        <v>2.0683772593194698</v>
      </c>
      <c r="D2060" s="1">
        <f>1.65211901382342*(10.3/7.3)</f>
        <v>2.3310720332029078</v>
      </c>
      <c r="E2060" s="1">
        <f>5.82089540439952*(10.3/7.3)</f>
        <v>8.2130442007280973</v>
      </c>
      <c r="F2060" s="1">
        <f>14.1489005287962*(38.9/42.5)</f>
        <v>12.950405425180556</v>
      </c>
      <c r="G2060" s="1">
        <v>0.6283531950930652</v>
      </c>
      <c r="H2060" s="1">
        <v>2.8321928813300294</v>
      </c>
      <c r="I2060" s="1">
        <v>11.243058045992818</v>
      </c>
      <c r="J2060" s="1">
        <v>3.8387125971034358E-2</v>
      </c>
      <c r="K2060" s="1">
        <v>4.2282086557033285</v>
      </c>
      <c r="L2060" s="1">
        <v>4.1406950362026738</v>
      </c>
      <c r="M2060" s="1">
        <v>0.21580016629067353</v>
      </c>
      <c r="N2060" s="1">
        <v>1.3021507869138145</v>
      </c>
      <c r="O2060" s="1">
        <v>1.117983739837398</v>
      </c>
      <c r="P2060" s="1">
        <v>0.36523022055256887</v>
      </c>
      <c r="Q2060" s="1">
        <v>1.004217435080242</v>
      </c>
      <c r="R2060" s="2">
        <f t="shared" si="131"/>
        <v>41.270720475927185</v>
      </c>
      <c r="S2060" s="2">
        <f t="shared" si="130"/>
        <v>4.6318260022269317</v>
      </c>
      <c r="T2060" s="2">
        <f t="shared" si="132"/>
        <v>6.7766297292445596</v>
      </c>
      <c r="U2060" s="2">
        <f t="shared" si="133"/>
        <v>52.679176207398676</v>
      </c>
    </row>
    <row r="2061" spans="1:21" x14ac:dyDescent="0.25">
      <c r="A2061">
        <v>3866017</v>
      </c>
      <c r="B2061">
        <v>16</v>
      </c>
      <c r="C2061" s="1">
        <f>3.22437132164966*(10.3/7.3)</f>
        <v>4.5494554264371931</v>
      </c>
      <c r="D2061" s="1">
        <f>5.04588104237845*(10.3/7.3)</f>
        <v>7.1195307858216426</v>
      </c>
      <c r="E2061" s="1">
        <f>17.4476874429663*(10.3/7.3)</f>
        <v>24.617969953774416</v>
      </c>
      <c r="F2061" s="1">
        <f>46.6215398518087*(38.9/42.5)</f>
        <v>42.672421182008414</v>
      </c>
      <c r="G2061" s="1">
        <v>2.3276296272445323</v>
      </c>
      <c r="H2061" s="1">
        <v>15.120925643210867</v>
      </c>
      <c r="I2061" s="1">
        <v>34.657691261031964</v>
      </c>
      <c r="J2061" s="1">
        <v>5.2827356376899046E-2</v>
      </c>
      <c r="K2061" s="1">
        <v>10.024643578648639</v>
      </c>
      <c r="L2061" s="1">
        <v>6.2912187933394277</v>
      </c>
      <c r="M2061" s="1">
        <v>0.22142342699380607</v>
      </c>
      <c r="N2061" s="1">
        <v>2.4423097372904623</v>
      </c>
      <c r="O2061" s="1">
        <v>0.23897666666666664</v>
      </c>
      <c r="P2061" s="1">
        <v>0.189507849185966</v>
      </c>
      <c r="Q2061" s="1">
        <v>3.719956025276653</v>
      </c>
      <c r="R2061" s="2">
        <f t="shared" si="131"/>
        <v>134.78557990480567</v>
      </c>
      <c r="S2061" s="2">
        <f t="shared" si="130"/>
        <v>10.266978784211505</v>
      </c>
      <c r="T2061" s="2">
        <f t="shared" si="132"/>
        <v>9.1939286242903613</v>
      </c>
      <c r="U2061" s="2">
        <f t="shared" si="133"/>
        <v>154.24648731330754</v>
      </c>
    </row>
    <row r="2062" spans="1:21" x14ac:dyDescent="0.25">
      <c r="A2062">
        <v>3866025</v>
      </c>
      <c r="B2062">
        <v>14</v>
      </c>
      <c r="C2062" s="1">
        <f>5.78709460402171*(10.3/7.3)</f>
        <v>8.1653526604689937</v>
      </c>
      <c r="D2062" s="1">
        <f>9.31832833633057*(10.3/7.3)</f>
        <v>13.147778337562306</v>
      </c>
      <c r="E2062" s="1">
        <f>32.341136064788*(10.3/7.3)</f>
        <v>45.63201389963244</v>
      </c>
      <c r="F2062" s="1">
        <f>78.5884132529043*(38.9/42.5)</f>
        <v>71.931512365599431</v>
      </c>
      <c r="G2062" s="1">
        <v>3.6684906734926623</v>
      </c>
      <c r="H2062" s="1">
        <v>12.874176976527911</v>
      </c>
      <c r="I2062" s="1">
        <v>56.857642648013687</v>
      </c>
      <c r="J2062" s="1">
        <v>6.1297321476776565E-2</v>
      </c>
      <c r="K2062" s="1">
        <v>6.5446693376680711</v>
      </c>
      <c r="L2062" s="1">
        <v>6.8035852205702136</v>
      </c>
      <c r="M2062" s="1">
        <v>0.25143171144061977</v>
      </c>
      <c r="N2062" s="1">
        <v>2.273287402868839</v>
      </c>
      <c r="O2062" s="1">
        <v>0.26610666666666666</v>
      </c>
      <c r="P2062" s="1">
        <v>0.18867528346770304</v>
      </c>
      <c r="Q2062" s="1">
        <v>5.8628846380019777</v>
      </c>
      <c r="R2062" s="2">
        <f t="shared" si="131"/>
        <v>218.13985219929941</v>
      </c>
      <c r="S2062" s="2">
        <f t="shared" si="130"/>
        <v>6.7946419426125511</v>
      </c>
      <c r="T2062" s="2">
        <f t="shared" si="132"/>
        <v>9.5944110015463391</v>
      </c>
      <c r="U2062" s="2">
        <f t="shared" si="133"/>
        <v>234.5289051434583</v>
      </c>
    </row>
    <row r="2063" spans="1:21" x14ac:dyDescent="0.25">
      <c r="A2063">
        <v>3866145</v>
      </c>
      <c r="B2063">
        <v>9</v>
      </c>
      <c r="C2063" s="1">
        <f>4.31571299950281*(10.3/7.3)</f>
        <v>6.0892936842299914</v>
      </c>
      <c r="D2063" s="1">
        <f>5.13364810326743*(10.3/7.3)</f>
        <v>7.2433665018704856</v>
      </c>
      <c r="E2063" s="1">
        <f>18.1834054463022*(10.3/7.3)</f>
        <v>25.65603782149482</v>
      </c>
      <c r="F2063" s="1">
        <f>36.8990134186557*(38.9/42.5)</f>
        <v>33.773449929075447</v>
      </c>
      <c r="G2063" s="1">
        <v>1.3671759820859972</v>
      </c>
      <c r="H2063" s="1">
        <v>7.1444026969366359</v>
      </c>
      <c r="I2063" s="1">
        <v>28.031236593222175</v>
      </c>
      <c r="J2063" s="1">
        <v>4.074135660847425E-2</v>
      </c>
      <c r="K2063" s="1">
        <v>2.5983205167164218</v>
      </c>
      <c r="L2063" s="1">
        <v>15.223610753780001</v>
      </c>
      <c r="M2063" s="1">
        <v>0.15467707464123362</v>
      </c>
      <c r="N2063" s="1">
        <v>1.7383302000394691</v>
      </c>
      <c r="O2063" s="1">
        <v>0.14850370370370369</v>
      </c>
      <c r="P2063" s="1">
        <v>0.11714109863855687</v>
      </c>
      <c r="Q2063" s="1">
        <v>2.1849844462561623</v>
      </c>
      <c r="R2063" s="2">
        <f t="shared" si="131"/>
        <v>111.48994765517172</v>
      </c>
      <c r="S2063" s="2">
        <f t="shared" si="130"/>
        <v>2.7562029719634533</v>
      </c>
      <c r="T2063" s="2">
        <f t="shared" si="132"/>
        <v>17.265121732164406</v>
      </c>
      <c r="U2063" s="2">
        <f t="shared" si="133"/>
        <v>131.51127235929957</v>
      </c>
    </row>
    <row r="2064" spans="1:21" x14ac:dyDescent="0.25">
      <c r="A2064">
        <v>3866153</v>
      </c>
      <c r="B2064">
        <v>28</v>
      </c>
      <c r="C2064" s="1">
        <f>4.61506406379212*(10.3/7.3)</f>
        <v>6.5116657338436816</v>
      </c>
      <c r="D2064" s="1">
        <f>5.49491572006052*(10.3/7.3)</f>
        <v>7.7531002625511389</v>
      </c>
      <c r="E2064" s="1">
        <f>19.4505382953481*(10.3/7.3)</f>
        <v>27.443910197545922</v>
      </c>
      <c r="F2064" s="1">
        <f>40.0567211937392*(38.9/42.5)</f>
        <v>36.663681280857752</v>
      </c>
      <c r="G2064" s="1">
        <v>1.5120156370220974</v>
      </c>
      <c r="H2064" s="1">
        <v>8.9489650144817965</v>
      </c>
      <c r="I2064" s="1">
        <v>30.500654478599611</v>
      </c>
      <c r="J2064" s="1">
        <v>4.4461198226082056E-2</v>
      </c>
      <c r="K2064" s="1">
        <v>2.8389902178190951</v>
      </c>
      <c r="L2064" s="1">
        <v>12.590029509856956</v>
      </c>
      <c r="M2064" s="1">
        <v>0.16742740628604721</v>
      </c>
      <c r="N2064" s="1">
        <v>1.9924338723295443</v>
      </c>
      <c r="O2064" s="1">
        <v>0.16062857142857143</v>
      </c>
      <c r="P2064" s="1">
        <v>0.12760795386831264</v>
      </c>
      <c r="Q2064" s="1">
        <v>2.4164633468389702</v>
      </c>
      <c r="R2064" s="2">
        <f t="shared" si="131"/>
        <v>121.75045595174097</v>
      </c>
      <c r="S2064" s="2">
        <f t="shared" si="130"/>
        <v>3.0110593699134895</v>
      </c>
      <c r="T2064" s="2">
        <f t="shared" si="132"/>
        <v>14.910519359901118</v>
      </c>
      <c r="U2064" s="2">
        <f t="shared" si="133"/>
        <v>139.67203468155557</v>
      </c>
    </row>
    <row r="2065" spans="1:21" x14ac:dyDescent="0.25">
      <c r="A2065">
        <v>3866161</v>
      </c>
      <c r="B2065">
        <v>10</v>
      </c>
      <c r="C2065" s="1">
        <f>5.57927162913575*(10.3/7.3)</f>
        <v>7.8721229835750961</v>
      </c>
      <c r="D2065" s="1">
        <f>6.84771488509438*(10.3/7.3)</f>
        <v>9.6618442899276893</v>
      </c>
      <c r="E2065" s="1">
        <f>24.2184042241266*(10.3/7.3)</f>
        <v>34.171173083356777</v>
      </c>
      <c r="F2065" s="1">
        <f>49.1902028311853*(38.9/42.5)</f>
        <v>45.023503297249611</v>
      </c>
      <c r="G2065" s="1">
        <v>1.837533160296853</v>
      </c>
      <c r="H2065" s="1">
        <v>7.8401067313682473</v>
      </c>
      <c r="I2065" s="1">
        <v>36.97402692018089</v>
      </c>
      <c r="J2065" s="1">
        <v>4.6309477165529842E-2</v>
      </c>
      <c r="K2065" s="1">
        <v>3.0861968843637304</v>
      </c>
      <c r="L2065" s="1">
        <v>11.653363490599999</v>
      </c>
      <c r="M2065" s="1">
        <v>0.17387852728295622</v>
      </c>
      <c r="N2065" s="1">
        <v>2.0770362706834775</v>
      </c>
      <c r="O2065" s="1">
        <v>0.16932266666666668</v>
      </c>
      <c r="P2065" s="1">
        <v>0.13076377771786479</v>
      </c>
      <c r="Q2065" s="1">
        <v>2.936696831524654</v>
      </c>
      <c r="R2065" s="2">
        <f t="shared" si="131"/>
        <v>146.31700729747982</v>
      </c>
      <c r="S2065" s="2">
        <f t="shared" si="130"/>
        <v>3.2632701392471248</v>
      </c>
      <c r="T2065" s="2">
        <f t="shared" si="132"/>
        <v>14.073600955233099</v>
      </c>
      <c r="U2065" s="2">
        <f t="shared" si="133"/>
        <v>163.65387839196003</v>
      </c>
    </row>
    <row r="2066" spans="1:21" x14ac:dyDescent="0.25">
      <c r="A2066">
        <v>3866249</v>
      </c>
      <c r="B2066">
        <v>27</v>
      </c>
      <c r="C2066" s="1">
        <f>5.15905902145241*(10.3/7.3)</f>
        <v>7.2792202631451834</v>
      </c>
      <c r="D2066" s="1">
        <f>6.17128121087416*(10.3/7.3)</f>
        <v>8.7074241742470999</v>
      </c>
      <c r="E2066" s="1">
        <f>21.9265136507563*(10.3/7.3)</f>
        <v>30.937409671614986</v>
      </c>
      <c r="F2066" s="1">
        <f>40.7789762920157*(38.9/42.5)</f>
        <v>37.324757123750842</v>
      </c>
      <c r="G2066" s="1">
        <v>1.3386037366750034</v>
      </c>
      <c r="H2066" s="1">
        <v>7.2709282697222157</v>
      </c>
      <c r="I2066" s="1">
        <v>30.403673195611081</v>
      </c>
      <c r="J2066" s="1">
        <v>4.1385380645403175E-2</v>
      </c>
      <c r="K2066" s="1">
        <v>2.464238637964121</v>
      </c>
      <c r="L2066" s="1">
        <v>8.1684051061351912</v>
      </c>
      <c r="M2066" s="1">
        <v>0.14474250494661456</v>
      </c>
      <c r="N2066" s="1">
        <v>2.1895838476929432</v>
      </c>
      <c r="O2066" s="1">
        <v>0.13492148148148145</v>
      </c>
      <c r="P2066" s="1">
        <v>0.10756263325504233</v>
      </c>
      <c r="Q2066" s="1">
        <v>2.139321040348181</v>
      </c>
      <c r="R2066" s="2">
        <f t="shared" si="131"/>
        <v>125.40133747511459</v>
      </c>
      <c r="S2066" s="2">
        <f t="shared" si="130"/>
        <v>2.6131866518645666</v>
      </c>
      <c r="T2066" s="2">
        <f t="shared" si="132"/>
        <v>10.637652940256231</v>
      </c>
      <c r="U2066" s="2">
        <f t="shared" si="133"/>
        <v>138.65217706723539</v>
      </c>
    </row>
    <row r="2067" spans="1:21" x14ac:dyDescent="0.25">
      <c r="A2067">
        <v>3866257</v>
      </c>
      <c r="B2067">
        <v>33</v>
      </c>
      <c r="C2067" s="1">
        <f>5.72731548676468*(10.3/7.3)</f>
        <v>8.0810067826953649</v>
      </c>
      <c r="D2067" s="1">
        <f>6.83315764567537*(10.3/7.3)</f>
        <v>9.6413046233501802</v>
      </c>
      <c r="E2067" s="1">
        <f>24.2803972043085*(10.3/7.3)</f>
        <v>34.258642630736588</v>
      </c>
      <c r="F2067" s="1">
        <f>45.1942641293905*(38.9/42.5)</f>
        <v>41.36604410901856</v>
      </c>
      <c r="G2067" s="1">
        <v>1.4843767388976625</v>
      </c>
      <c r="H2067" s="1">
        <v>6.8126335763420087</v>
      </c>
      <c r="I2067" s="1">
        <v>33.735014702230181</v>
      </c>
      <c r="J2067" s="1">
        <v>3.9658268134283255E-2</v>
      </c>
      <c r="K2067" s="1">
        <v>2.3289637871520856</v>
      </c>
      <c r="L2067" s="1">
        <v>8.1844061246048589</v>
      </c>
      <c r="M2067" s="1">
        <v>0.13883507872574674</v>
      </c>
      <c r="N2067" s="1">
        <v>2.7012908016791783</v>
      </c>
      <c r="O2067" s="1">
        <v>0.12778828282828281</v>
      </c>
      <c r="P2067" s="1">
        <v>0.10075436258232204</v>
      </c>
      <c r="Q2067" s="1">
        <v>2.372291591845582</v>
      </c>
      <c r="R2067" s="2">
        <f t="shared" si="131"/>
        <v>137.75131475511614</v>
      </c>
      <c r="S2067" s="2">
        <f t="shared" si="130"/>
        <v>2.4693764178686912</v>
      </c>
      <c r="T2067" s="2">
        <f t="shared" si="132"/>
        <v>11.152320287838066</v>
      </c>
      <c r="U2067" s="2">
        <f t="shared" si="133"/>
        <v>151.37301146082291</v>
      </c>
    </row>
    <row r="2068" spans="1:21" x14ac:dyDescent="0.25">
      <c r="A2068">
        <v>3866265</v>
      </c>
      <c r="B2068">
        <v>36</v>
      </c>
      <c r="C2068" s="1">
        <f>5.05554003056503*(10.3/7.3)</f>
        <v>7.1331592212081985</v>
      </c>
      <c r="D2068" s="1">
        <f>6.06647937282282*(10.3/7.3)</f>
        <v>8.5595530876815182</v>
      </c>
      <c r="E2068" s="1">
        <f>21.5633820075122*(10.3/7.3)</f>
        <v>30.425045846215859</v>
      </c>
      <c r="F2068" s="1">
        <f>39.4790617334229*(38.9/42.5)</f>
        <v>36.134952974827037</v>
      </c>
      <c r="G2068" s="1">
        <v>1.2651265714942974</v>
      </c>
      <c r="H2068" s="1">
        <v>4.9491466859290592</v>
      </c>
      <c r="I2068" s="1">
        <v>29.30412580807274</v>
      </c>
      <c r="J2068" s="1">
        <v>3.7856685254191967E-2</v>
      </c>
      <c r="K2068" s="1">
        <v>2.2374881709805288</v>
      </c>
      <c r="L2068" s="1">
        <v>11.747332820171893</v>
      </c>
      <c r="M2068" s="1">
        <v>0.13235387104710628</v>
      </c>
      <c r="N2068" s="1">
        <v>1.9286722483034693</v>
      </c>
      <c r="O2068" s="1">
        <v>0.1212192592592593</v>
      </c>
      <c r="P2068" s="1">
        <v>9.688906760487806E-2</v>
      </c>
      <c r="Q2068" s="1">
        <v>2.0218917809269619</v>
      </c>
      <c r="R2068" s="2">
        <f t="shared" si="131"/>
        <v>119.79300197635567</v>
      </c>
      <c r="S2068" s="2">
        <f t="shared" si="130"/>
        <v>2.3722339238395991</v>
      </c>
      <c r="T2068" s="2">
        <f t="shared" si="132"/>
        <v>13.929578198781728</v>
      </c>
      <c r="U2068" s="2">
        <f t="shared" si="133"/>
        <v>136.094814098977</v>
      </c>
    </row>
    <row r="2069" spans="1:21" x14ac:dyDescent="0.25">
      <c r="A2069">
        <v>3866273</v>
      </c>
      <c r="B2069">
        <v>23</v>
      </c>
      <c r="C2069" s="1">
        <f>5.37520768779249*(10.3/7.3)</f>
        <v>7.5841971485291317</v>
      </c>
      <c r="D2069" s="1">
        <f>6.24644290231885*(10.3/7.3)</f>
        <v>8.8134742320389297</v>
      </c>
      <c r="E2069" s="1">
        <f>22.2330050151487*(10.3/7.3)</f>
        <v>31.369856391237207</v>
      </c>
      <c r="F2069" s="1">
        <f>40.9066110600088*(38.9/42.5)</f>
        <v>37.441580476102189</v>
      </c>
      <c r="G2069" s="1">
        <v>1.3090449306950021</v>
      </c>
      <c r="H2069" s="1">
        <v>6.7777592710654906</v>
      </c>
      <c r="I2069" s="1">
        <v>30.778250519797854</v>
      </c>
      <c r="J2069" s="1">
        <v>4.242502706162829E-2</v>
      </c>
      <c r="K2069" s="1">
        <v>2.4099193876789431</v>
      </c>
      <c r="L2069" s="1">
        <v>13.619936413449651</v>
      </c>
      <c r="M2069" s="1">
        <v>0.14018927569950929</v>
      </c>
      <c r="N2069" s="1">
        <v>2.0953195371576192</v>
      </c>
      <c r="O2069" s="1">
        <v>0.12833159420289855</v>
      </c>
      <c r="P2069" s="1">
        <v>0.10317961356869834</v>
      </c>
      <c r="Q2069" s="1">
        <v>2.0920809394669</v>
      </c>
      <c r="R2069" s="2">
        <f t="shared" si="131"/>
        <v>126.1662439089327</v>
      </c>
      <c r="S2069" s="2">
        <f t="shared" si="130"/>
        <v>2.5555240283092697</v>
      </c>
      <c r="T2069" s="2">
        <f t="shared" si="132"/>
        <v>15.983776820509677</v>
      </c>
      <c r="U2069" s="2">
        <f t="shared" si="133"/>
        <v>144.70554475775165</v>
      </c>
    </row>
    <row r="2070" spans="1:21" x14ac:dyDescent="0.25">
      <c r="A2070">
        <v>3866313</v>
      </c>
      <c r="B2070">
        <v>41</v>
      </c>
      <c r="C2070" s="1">
        <f>5.10483808624086*(10.3/7.3)</f>
        <v>7.2027167518193016</v>
      </c>
      <c r="D2070" s="1">
        <f>5.70234146619327*(10.3/7.3)</f>
        <v>8.0457694659987276</v>
      </c>
      <c r="E2070" s="1">
        <f>20.3358532192472*(10.3/7.3)</f>
        <v>28.693053172362486</v>
      </c>
      <c r="F2070" s="1">
        <f>37.4210379078977*(38.9/42.5)</f>
        <v>34.251255873346381</v>
      </c>
      <c r="G2070" s="1">
        <v>1.1834448810522349</v>
      </c>
      <c r="H2070" s="1">
        <v>5.3469275566836583</v>
      </c>
      <c r="I2070" s="1">
        <v>28.602686677842442</v>
      </c>
      <c r="J2070" s="1">
        <v>4.2305362416114538E-2</v>
      </c>
      <c r="K2070" s="1">
        <v>2.2423604442843463</v>
      </c>
      <c r="L2070" s="1">
        <v>6.4569910622584574</v>
      </c>
      <c r="M2070" s="1">
        <v>0.1262703017290884</v>
      </c>
      <c r="N2070" s="1">
        <v>1.7451750387762257</v>
      </c>
      <c r="O2070" s="1">
        <v>0.1136624390243902</v>
      </c>
      <c r="P2070" s="1">
        <v>9.1424490018719384E-2</v>
      </c>
      <c r="Q2070" s="1">
        <v>1.8913502665218382</v>
      </c>
      <c r="R2070" s="2">
        <f t="shared" si="131"/>
        <v>115.21720464562708</v>
      </c>
      <c r="S2070" s="2">
        <f t="shared" si="130"/>
        <v>2.3760902967191804</v>
      </c>
      <c r="T2070" s="2">
        <f t="shared" si="132"/>
        <v>8.4420988417881624</v>
      </c>
      <c r="U2070" s="2">
        <f t="shared" si="133"/>
        <v>126.03539378413443</v>
      </c>
    </row>
    <row r="2071" spans="1:21" x14ac:dyDescent="0.25">
      <c r="A2071">
        <v>3866321</v>
      </c>
      <c r="B2071">
        <v>27</v>
      </c>
      <c r="C2071" s="1">
        <f>5.97924511241617*(10.3/7.3)</f>
        <v>8.436469131217331</v>
      </c>
      <c r="D2071" s="1">
        <f>6.58465877804611*(10.3/7.3)</f>
        <v>9.2906829334075276</v>
      </c>
      <c r="E2071" s="1">
        <f>23.4966091360356*(10.3/7.3)</f>
        <v>33.152749876872136</v>
      </c>
      <c r="F2071" s="1">
        <f>43.3730832019258*(38.9/42.5)</f>
        <v>39.699127918939119</v>
      </c>
      <c r="G2071" s="1">
        <v>1.3726798151728159</v>
      </c>
      <c r="H2071" s="1">
        <v>5.3858589689876348</v>
      </c>
      <c r="I2071" s="1">
        <v>33.360526628264914</v>
      </c>
      <c r="J2071" s="1">
        <v>4.5977784356271138E-2</v>
      </c>
      <c r="K2071" s="1">
        <v>2.4382427151894279</v>
      </c>
      <c r="L2071" s="1">
        <v>8.2323403930510324</v>
      </c>
      <c r="M2071" s="1">
        <v>0.13589152058428289</v>
      </c>
      <c r="N2071" s="1">
        <v>1.8280871285507287</v>
      </c>
      <c r="O2071" s="1">
        <v>0.12159407407407405</v>
      </c>
      <c r="P2071" s="1">
        <v>9.5925433883962158E-2</v>
      </c>
      <c r="Q2071" s="1">
        <v>2.1937805265318993</v>
      </c>
      <c r="R2071" s="2">
        <f t="shared" si="131"/>
        <v>132.89187579939338</v>
      </c>
      <c r="S2071" s="2">
        <f t="shared" si="130"/>
        <v>2.5801459334296615</v>
      </c>
      <c r="T2071" s="2">
        <f t="shared" si="132"/>
        <v>10.317913116260119</v>
      </c>
      <c r="U2071" s="2">
        <f t="shared" si="133"/>
        <v>145.78993484908315</v>
      </c>
    </row>
    <row r="2072" spans="1:21" x14ac:dyDescent="0.25">
      <c r="A2072">
        <v>3866329</v>
      </c>
      <c r="B2072">
        <v>20</v>
      </c>
      <c r="C2072" s="1">
        <f>5.6874078546719*(10.3/7.3)</f>
        <v>8.0246987538521264</v>
      </c>
      <c r="D2072" s="1">
        <f>6.09926753448879*(10.3/7.3)</f>
        <v>8.6058158363334911</v>
      </c>
      <c r="E2072" s="1">
        <f>21.8076647202995*(10.3/7.3)</f>
        <v>30.769718714943146</v>
      </c>
      <c r="F2072" s="1">
        <f>39.5843976376631*(38.9/42.5)</f>
        <v>36.231366308355206</v>
      </c>
      <c r="G2072" s="1">
        <v>1.2069178738126347</v>
      </c>
      <c r="H2072" s="1">
        <v>6.1958341328229363</v>
      </c>
      <c r="I2072" s="1">
        <v>30.695234933806546</v>
      </c>
      <c r="J2072" s="1">
        <v>4.4050395485186779E-2</v>
      </c>
      <c r="K2072" s="1">
        <v>2.5173595924356014</v>
      </c>
      <c r="L2072" s="1">
        <v>11.565631191705716</v>
      </c>
      <c r="M2072" s="1">
        <v>0.13485392557223744</v>
      </c>
      <c r="N2072" s="1">
        <v>1.9069229250625355</v>
      </c>
      <c r="O2072" s="1">
        <v>0.12006933333333333</v>
      </c>
      <c r="P2072" s="1">
        <v>9.6855758655403232E-2</v>
      </c>
      <c r="Q2072" s="1">
        <v>1.9288641818923407</v>
      </c>
      <c r="R2072" s="2">
        <f t="shared" si="131"/>
        <v>123.65845073581842</v>
      </c>
      <c r="S2072" s="2">
        <f t="shared" si="130"/>
        <v>2.6582657465761912</v>
      </c>
      <c r="T2072" s="2">
        <f t="shared" si="132"/>
        <v>13.727477375673821</v>
      </c>
      <c r="U2072" s="2">
        <f t="shared" si="133"/>
        <v>140.04419385806844</v>
      </c>
    </row>
    <row r="2073" spans="1:21" x14ac:dyDescent="0.25">
      <c r="A2073">
        <v>3866345</v>
      </c>
      <c r="B2073">
        <v>2</v>
      </c>
      <c r="C2073" s="1">
        <f>8.23866602289213*(10.3/7.3)</f>
        <v>11.624419182984786</v>
      </c>
      <c r="D2073" s="1">
        <f>8.51488567562359*(10.3/7.3)</f>
        <v>12.014153761496294</v>
      </c>
      <c r="E2073" s="1">
        <f>30.535770754451*(10.3/7.3)</f>
        <v>43.084717639841813</v>
      </c>
      <c r="F2073" s="1">
        <f>53.8491164889435*(38.9/42.5)</f>
        <v>49.287779562821214</v>
      </c>
      <c r="G2073" s="1">
        <v>1.5359270810258934</v>
      </c>
      <c r="H2073" s="1">
        <v>8.483371700972798</v>
      </c>
      <c r="I2073" s="1">
        <v>42.234410673313818</v>
      </c>
      <c r="J2073" s="1">
        <v>4.8355550017260544E-2</v>
      </c>
      <c r="K2073" s="1">
        <v>2.703638254703284</v>
      </c>
      <c r="L2073" s="1">
        <v>7.5747853973988324</v>
      </c>
      <c r="M2073" s="1">
        <v>0.13178049724640747</v>
      </c>
      <c r="N2073" s="1">
        <v>1.6223216026954228</v>
      </c>
      <c r="O2073" s="1">
        <v>0.11704000000000001</v>
      </c>
      <c r="P2073" s="1">
        <v>9.1959437333325289E-2</v>
      </c>
      <c r="Q2073" s="1">
        <v>2.4546779833747179</v>
      </c>
      <c r="R2073" s="2">
        <f t="shared" si="131"/>
        <v>170.71945758583132</v>
      </c>
      <c r="S2073" s="2">
        <f t="shared" si="130"/>
        <v>2.8439532420538698</v>
      </c>
      <c r="T2073" s="2">
        <f t="shared" si="132"/>
        <v>9.4459274973406622</v>
      </c>
      <c r="U2073" s="2">
        <f t="shared" si="133"/>
        <v>183.00933832522583</v>
      </c>
    </row>
    <row r="2074" spans="1:21" x14ac:dyDescent="0.25">
      <c r="A2074">
        <v>3866353</v>
      </c>
      <c r="B2074">
        <v>13</v>
      </c>
      <c r="C2074" s="1">
        <f>6.43731473222835*(10.3/7.3)</f>
        <v>9.08278653999343</v>
      </c>
      <c r="D2074" s="1">
        <f>6.78583168248054*(10.3/7.3)</f>
        <v>9.5745296341848647</v>
      </c>
      <c r="E2074" s="1">
        <f>24.2974268947036*(10.3/7.3)</f>
        <v>34.282670824033829</v>
      </c>
      <c r="F2074" s="1">
        <f>43.4485290852826*(38.9/42.5)</f>
        <v>39.768183092176351</v>
      </c>
      <c r="G2074" s="1">
        <v>1.2817948864378155</v>
      </c>
      <c r="H2074" s="1">
        <v>4.3077694078177364</v>
      </c>
      <c r="I2074" s="1">
        <v>33.857793211259292</v>
      </c>
      <c r="J2074" s="1">
        <v>3.8954568892998739E-2</v>
      </c>
      <c r="K2074" s="1">
        <v>2.5972249215114189</v>
      </c>
      <c r="L2074" s="1">
        <v>14.977410082778903</v>
      </c>
      <c r="M2074" s="1">
        <v>0.12934121602575499</v>
      </c>
      <c r="N2074" s="1">
        <v>1.5493859258688842</v>
      </c>
      <c r="O2074" s="1">
        <v>0.11146666666666663</v>
      </c>
      <c r="P2074" s="1">
        <v>8.974043113888161E-2</v>
      </c>
      <c r="Q2074" s="1">
        <v>2.0485306404257355</v>
      </c>
      <c r="R2074" s="2">
        <f t="shared" si="131"/>
        <v>134.20405823632905</v>
      </c>
      <c r="S2074" s="2">
        <f t="shared" si="130"/>
        <v>2.7259199215432992</v>
      </c>
      <c r="T2074" s="2">
        <f t="shared" si="132"/>
        <v>16.767603891340208</v>
      </c>
      <c r="U2074" s="2">
        <f t="shared" si="133"/>
        <v>153.69758204921254</v>
      </c>
    </row>
    <row r="2075" spans="1:21" x14ac:dyDescent="0.25">
      <c r="A2075">
        <v>3866361</v>
      </c>
      <c r="B2075">
        <v>22</v>
      </c>
      <c r="C2075" s="1">
        <f>4.99313092296493*(10.3/7.3)</f>
        <v>7.045102535142294</v>
      </c>
      <c r="D2075" s="1">
        <f>5.46446363845797*(10.3/7.3)</f>
        <v>7.7101336268653533</v>
      </c>
      <c r="E2075" s="1">
        <f>19.5086873255452*(10.3/7.3)</f>
        <v>27.525956089467936</v>
      </c>
      <c r="F2075" s="1">
        <f>35.8531288601435*(38.9/42.5)</f>
        <v>32.816157944931383</v>
      </c>
      <c r="G2075" s="1">
        <v>1.124148605475205</v>
      </c>
      <c r="H2075" s="1">
        <v>3.46921821834224</v>
      </c>
      <c r="I2075" s="1">
        <v>27.626091462060529</v>
      </c>
      <c r="J2075" s="1">
        <v>3.473139424442457E-2</v>
      </c>
      <c r="K2075" s="1">
        <v>2.5243124412275213</v>
      </c>
      <c r="L2075" s="1">
        <v>13.356901656229194</v>
      </c>
      <c r="M2075" s="1">
        <v>0.12182572555289989</v>
      </c>
      <c r="N2075" s="1">
        <v>1.4634441812119006</v>
      </c>
      <c r="O2075" s="1">
        <v>0.10569212121212125</v>
      </c>
      <c r="P2075" s="1">
        <v>8.6365832054812394E-2</v>
      </c>
      <c r="Q2075" s="1">
        <v>1.7965845292982747</v>
      </c>
      <c r="R2075" s="2">
        <f t="shared" si="131"/>
        <v>109.11339301158321</v>
      </c>
      <c r="S2075" s="2">
        <f t="shared" si="130"/>
        <v>2.6454096675267582</v>
      </c>
      <c r="T2075" s="2">
        <f t="shared" si="132"/>
        <v>15.047863684206115</v>
      </c>
      <c r="U2075" s="2">
        <f t="shared" si="133"/>
        <v>126.8066663633161</v>
      </c>
    </row>
    <row r="2076" spans="1:21" x14ac:dyDescent="0.25">
      <c r="A2076">
        <v>3866369</v>
      </c>
      <c r="B2076">
        <v>28</v>
      </c>
      <c r="C2076" s="1">
        <f>7.41292175922818*(10.3/7.3)</f>
        <v>10.459327961650715</v>
      </c>
      <c r="D2076" s="1">
        <f>8.15061138731286*(10.3/7.3)</f>
        <v>11.500177710866089</v>
      </c>
      <c r="E2076" s="1">
        <f>29.0762561935163*(10.3/7.3)</f>
        <v>41.025402574413462</v>
      </c>
      <c r="F2076" s="1">
        <f>54.2069905400977*(38.9/42.5)</f>
        <v>49.615339576701182</v>
      </c>
      <c r="G2076" s="1">
        <v>1.7426614406420478</v>
      </c>
      <c r="H2076" s="1">
        <v>7.4799647248869254</v>
      </c>
      <c r="I2076" s="1">
        <v>41.788453771664116</v>
      </c>
      <c r="J2076" s="1">
        <v>4.3897458298337334E-2</v>
      </c>
      <c r="K2076" s="1">
        <v>3.3200263192763741</v>
      </c>
      <c r="L2076" s="1">
        <v>12.091617401984688</v>
      </c>
      <c r="M2076" s="1">
        <v>0.14420328668703913</v>
      </c>
      <c r="N2076" s="1">
        <v>1.7858058380093351</v>
      </c>
      <c r="O2076" s="1">
        <v>0.12748761904761904</v>
      </c>
      <c r="P2076" s="1">
        <v>9.8400683474065054E-2</v>
      </c>
      <c r="Q2076" s="1">
        <v>2.7850753617567001</v>
      </c>
      <c r="R2076" s="2">
        <f t="shared" si="131"/>
        <v>166.39640312258123</v>
      </c>
      <c r="S2076" s="2">
        <f t="shared" si="130"/>
        <v>3.4623244610487767</v>
      </c>
      <c r="T2076" s="2">
        <f t="shared" si="132"/>
        <v>14.149114145728682</v>
      </c>
      <c r="U2076" s="2">
        <f t="shared" si="133"/>
        <v>184.00784172935869</v>
      </c>
    </row>
    <row r="2077" spans="1:21" x14ac:dyDescent="0.25">
      <c r="A2077">
        <v>3866377</v>
      </c>
      <c r="B2077">
        <v>28</v>
      </c>
      <c r="C2077" s="1">
        <f>5.63938524254219*(10.3/7.3)</f>
        <v>7.9569408216691153</v>
      </c>
      <c r="D2077" s="1">
        <f>6.36191871719989*(10.3/7.3)</f>
        <v>8.9764058612546354</v>
      </c>
      <c r="E2077" s="1">
        <f>22.6647891652342*(10.3/7.3)</f>
        <v>31.979086082453733</v>
      </c>
      <c r="F2077" s="1">
        <f>42.3145489482467*(38.9/42.5)</f>
        <v>38.730257743218758</v>
      </c>
      <c r="G2077" s="1">
        <v>1.3740649985386579</v>
      </c>
      <c r="H2077" s="1">
        <v>6.2812508911889262</v>
      </c>
      <c r="I2077" s="1">
        <v>32.298102825606485</v>
      </c>
      <c r="J2077" s="1">
        <v>3.6609452759332126E-2</v>
      </c>
      <c r="K2077" s="1">
        <v>3.3905926276181235</v>
      </c>
      <c r="L2077" s="1">
        <v>8.3141515998905344</v>
      </c>
      <c r="M2077" s="1">
        <v>0.12687657751209744</v>
      </c>
      <c r="N2077" s="1">
        <v>1.6418380062131734</v>
      </c>
      <c r="O2077" s="1">
        <v>0.11193333333333333</v>
      </c>
      <c r="P2077" s="1">
        <v>8.9897074692218901E-2</v>
      </c>
      <c r="Q2077" s="1">
        <v>2.1959942899019675</v>
      </c>
      <c r="R2077" s="2">
        <f t="shared" si="131"/>
        <v>129.79210351383227</v>
      </c>
      <c r="S2077" s="2">
        <f t="shared" si="130"/>
        <v>3.5170991550696744</v>
      </c>
      <c r="T2077" s="2">
        <f t="shared" si="132"/>
        <v>10.194799516949139</v>
      </c>
      <c r="U2077" s="2">
        <f t="shared" si="133"/>
        <v>143.50400218585108</v>
      </c>
    </row>
    <row r="2078" spans="1:21" x14ac:dyDescent="0.25">
      <c r="A2078">
        <v>3866385</v>
      </c>
      <c r="B2078">
        <v>52</v>
      </c>
      <c r="C2078" s="1">
        <f>5.56926837721974*(10.3/7.3)</f>
        <v>7.8580088062141558</v>
      </c>
      <c r="D2078" s="1">
        <f>6.1412092586993*(10.3/7.3)</f>
        <v>8.6649938855620299</v>
      </c>
      <c r="E2078" s="1">
        <f>21.9093722733484*(10.3/7.3)</f>
        <v>30.91322389253266</v>
      </c>
      <c r="F2078" s="1">
        <f>40.6131141059823*(38.9/42.5)</f>
        <v>37.172944440534373</v>
      </c>
      <c r="G2078" s="1">
        <v>1.2947507505687186</v>
      </c>
      <c r="H2078" s="1">
        <v>5.7582485831039936</v>
      </c>
      <c r="I2078" s="1">
        <v>31.243112716678841</v>
      </c>
      <c r="J2078" s="1">
        <v>3.3526858486938406E-2</v>
      </c>
      <c r="K2078" s="1">
        <v>2.7130995959182731</v>
      </c>
      <c r="L2078" s="1">
        <v>5.4677798291191912</v>
      </c>
      <c r="M2078" s="1">
        <v>0.11905361689584161</v>
      </c>
      <c r="N2078" s="1">
        <v>1.4588352871577506</v>
      </c>
      <c r="O2078" s="1">
        <v>0.10514256410256408</v>
      </c>
      <c r="P2078" s="1">
        <v>8.5560245312473457E-2</v>
      </c>
      <c r="Q2078" s="1">
        <v>2.069236359356402</v>
      </c>
      <c r="R2078" s="2">
        <f t="shared" si="131"/>
        <v>124.97451943455117</v>
      </c>
      <c r="S2078" s="2">
        <f t="shared" si="130"/>
        <v>2.8321866997176852</v>
      </c>
      <c r="T2078" s="2">
        <f t="shared" si="132"/>
        <v>7.1508112972753484</v>
      </c>
      <c r="U2078" s="2">
        <f t="shared" si="133"/>
        <v>134.9575174315442</v>
      </c>
    </row>
    <row r="2079" spans="1:21" x14ac:dyDescent="0.25">
      <c r="A2079">
        <v>3866401</v>
      </c>
      <c r="B2079">
        <v>6</v>
      </c>
      <c r="C2079" s="1">
        <f>4.95873299419903*(10.3/7.3)</f>
        <v>6.9965684712671301</v>
      </c>
      <c r="D2079" s="1">
        <f>5.40998164238421*(10.3/7.3)</f>
        <v>7.6332617693914164</v>
      </c>
      <c r="E2079" s="1">
        <f>19.2730707761905*(10.3/7.3)</f>
        <v>27.193510821200334</v>
      </c>
      <c r="F2079" s="1">
        <f>37.6431931802654*(38.9/42.5)</f>
        <v>34.454593287348835</v>
      </c>
      <c r="G2079" s="1">
        <v>1.2961228877955147</v>
      </c>
      <c r="H2079" s="1">
        <v>6.1152160687471699</v>
      </c>
      <c r="I2079" s="1">
        <v>29.32281921794414</v>
      </c>
      <c r="J2079" s="1">
        <v>2.9440762068833459E-2</v>
      </c>
      <c r="K2079" s="1">
        <v>2.1821488923798182</v>
      </c>
      <c r="L2079" s="1">
        <v>3.6044574155711886</v>
      </c>
      <c r="M2079" s="1">
        <v>0.10883044730543699</v>
      </c>
      <c r="N2079" s="1">
        <v>1.2702133394191144</v>
      </c>
      <c r="O2079" s="1">
        <v>9.5999999999999988E-2</v>
      </c>
      <c r="P2079" s="1">
        <v>7.9596130232879689E-2</v>
      </c>
      <c r="Q2079" s="1">
        <v>2.0714292727325598</v>
      </c>
      <c r="R2079" s="2">
        <f t="shared" si="131"/>
        <v>115.08352179642712</v>
      </c>
      <c r="S2079" s="2">
        <f t="shared" si="130"/>
        <v>2.2911857846815313</v>
      </c>
      <c r="T2079" s="2">
        <f t="shared" si="132"/>
        <v>5.0795012022957398</v>
      </c>
      <c r="U2079" s="2">
        <f t="shared" si="133"/>
        <v>122.4542087834044</v>
      </c>
    </row>
    <row r="2080" spans="1:21" x14ac:dyDescent="0.25">
      <c r="A2080">
        <v>3877861</v>
      </c>
      <c r="B2080">
        <v>53</v>
      </c>
      <c r="C2080" s="1">
        <f>1.02491002795764*(10.3/7.3)</f>
        <v>1.4461059298580359</v>
      </c>
      <c r="D2080" s="1">
        <f>1.1924720751283*(10.3/7.3)</f>
        <v>1.6825290923043086</v>
      </c>
      <c r="E2080" s="1">
        <f>4.19742648498895*(10.3/7.3)</f>
        <v>5.9223962733405715</v>
      </c>
      <c r="F2080" s="1">
        <f>10.0724019373808*(38.9/42.5)</f>
        <v>9.2192102438614434</v>
      </c>
      <c r="G2080" s="1">
        <v>0.44455735609825042</v>
      </c>
      <c r="H2080" s="1">
        <v>2.2490348370759397</v>
      </c>
      <c r="I2080" s="1">
        <v>7.915648270607913</v>
      </c>
      <c r="J2080" s="1">
        <v>2.8119150875948393E-2</v>
      </c>
      <c r="K2080" s="1">
        <v>3.554193786179114</v>
      </c>
      <c r="L2080" s="1">
        <v>3.141679837005126</v>
      </c>
      <c r="M2080" s="1">
        <v>0.171407421892946</v>
      </c>
      <c r="N2080" s="1">
        <v>1.0585580590606953</v>
      </c>
      <c r="O2080" s="1">
        <v>0.81815949685534606</v>
      </c>
      <c r="P2080" s="1">
        <v>0.32160049279992442</v>
      </c>
      <c r="Q2080" s="1">
        <v>0.71047979285108598</v>
      </c>
      <c r="R2080" s="2">
        <f t="shared" si="131"/>
        <v>29.589961795997549</v>
      </c>
      <c r="S2080" s="2">
        <f t="shared" si="130"/>
        <v>3.9039134298549869</v>
      </c>
      <c r="T2080" s="2">
        <f t="shared" si="132"/>
        <v>5.1898048148141136</v>
      </c>
      <c r="U2080" s="2">
        <f t="shared" si="133"/>
        <v>38.683680040666644</v>
      </c>
    </row>
    <row r="2081" spans="1:21" x14ac:dyDescent="0.25">
      <c r="A2081">
        <v>3878253</v>
      </c>
      <c r="B2081">
        <v>17</v>
      </c>
      <c r="C2081" s="1">
        <f>2.97901185421876*(10.3/7.3)</f>
        <v>4.203263301157981</v>
      </c>
      <c r="D2081" s="1">
        <f>4.50234595420183*(10.3/7.3)</f>
        <v>6.3526251134628495</v>
      </c>
      <c r="E2081" s="1">
        <f>15.6386119656663*(10.3/7.3)</f>
        <v>22.065438800871664</v>
      </c>
      <c r="F2081" s="1">
        <f>39.2149089366566*(38.9/42.5)</f>
        <v>35.89317547378684</v>
      </c>
      <c r="G2081" s="1">
        <v>1.8625139471584355</v>
      </c>
      <c r="H2081" s="1">
        <v>8.1829310969845572</v>
      </c>
      <c r="I2081" s="1">
        <v>28.996466904255925</v>
      </c>
      <c r="J2081" s="1">
        <v>5.0292447732320236E-2</v>
      </c>
      <c r="K2081" s="1">
        <v>8.7792572823725035</v>
      </c>
      <c r="L2081" s="1">
        <v>5.3017220611774842</v>
      </c>
      <c r="M2081" s="1">
        <v>0.19784259297952514</v>
      </c>
      <c r="N2081" s="1">
        <v>2.1934017978742077</v>
      </c>
      <c r="O2081" s="1">
        <v>0.21548235294117643</v>
      </c>
      <c r="P2081" s="1">
        <v>0.17554113309537542</v>
      </c>
      <c r="Q2081" s="1">
        <v>2.97662046349522</v>
      </c>
      <c r="R2081" s="2">
        <f t="shared" si="131"/>
        <v>110.53303510117348</v>
      </c>
      <c r="S2081" s="2">
        <f t="shared" si="130"/>
        <v>9.0050908632001985</v>
      </c>
      <c r="T2081" s="2">
        <f t="shared" si="132"/>
        <v>7.9084488049723944</v>
      </c>
      <c r="U2081" s="2">
        <f t="shared" si="133"/>
        <v>127.44657476934607</v>
      </c>
    </row>
    <row r="2082" spans="1:21" x14ac:dyDescent="0.25">
      <c r="A2082">
        <v>3878261</v>
      </c>
      <c r="B2082">
        <v>9</v>
      </c>
      <c r="C2082" s="1">
        <f>3.96145456470974*(10.3/7.3)</f>
        <v>5.5894495913027855</v>
      </c>
      <c r="D2082" s="1">
        <f>7.59150083938317*(10.3/7.3)</f>
        <v>10.71129570488311</v>
      </c>
      <c r="E2082" s="1">
        <f>26.3497702697309*(10.3/7.3)</f>
        <v>37.178442983318931</v>
      </c>
      <c r="F2082" s="1">
        <f>56.3512597251563*(38.9/42.5)</f>
        <v>51.577976548437171</v>
      </c>
      <c r="G2082" s="1">
        <v>2.3985187987084213</v>
      </c>
      <c r="H2082" s="1">
        <v>10.005224276291946</v>
      </c>
      <c r="I2082" s="1">
        <v>37.737740908380474</v>
      </c>
      <c r="J2082" s="1">
        <v>5.24026234674786E-2</v>
      </c>
      <c r="K2082" s="1">
        <v>6.1135310950525854</v>
      </c>
      <c r="L2082" s="1">
        <v>6.3324571077884668</v>
      </c>
      <c r="M2082" s="1">
        <v>0.22335132501672328</v>
      </c>
      <c r="N2082" s="1">
        <v>2.7428879266593689</v>
      </c>
      <c r="O2082" s="1">
        <v>0.23809185185185186</v>
      </c>
      <c r="P2082" s="1">
        <v>0.19184530322073223</v>
      </c>
      <c r="Q2082" s="1">
        <v>3.8332492216801293</v>
      </c>
      <c r="R2082" s="2">
        <f t="shared" si="131"/>
        <v>159.03189803300293</v>
      </c>
      <c r="S2082" s="2">
        <f t="shared" si="130"/>
        <v>6.3577790217407957</v>
      </c>
      <c r="T2082" s="2">
        <f t="shared" si="132"/>
        <v>9.5367882113164111</v>
      </c>
      <c r="U2082" s="2">
        <f t="shared" si="133"/>
        <v>174.92646526606012</v>
      </c>
    </row>
    <row r="2083" spans="1:21" x14ac:dyDescent="0.25">
      <c r="A2083">
        <v>3878381</v>
      </c>
      <c r="B2083">
        <v>21</v>
      </c>
      <c r="C2083" s="1">
        <f>4.28998208436748*(10.3/7.3)</f>
        <v>6.0529884204089175</v>
      </c>
      <c r="D2083" s="1">
        <f>5.11692929884125*(10.3/7.3)</f>
        <v>7.2197769558992979</v>
      </c>
      <c r="E2083" s="1">
        <f>18.1208632964519*(10.3/7.3)</f>
        <v>25.567793418281386</v>
      </c>
      <c r="F2083" s="1">
        <f>36.8224721245099*(38.9/42.5)</f>
        <v>33.703392132786711</v>
      </c>
      <c r="G2083" s="1">
        <v>1.3675506628324954</v>
      </c>
      <c r="H2083" s="1">
        <v>8.181613808355868</v>
      </c>
      <c r="I2083" s="1">
        <v>27.953633082353079</v>
      </c>
      <c r="J2083" s="1">
        <v>4.0977224855423114E-2</v>
      </c>
      <c r="K2083" s="1">
        <v>2.6096920718189236</v>
      </c>
      <c r="L2083" s="1">
        <v>13.998694104702432</v>
      </c>
      <c r="M2083" s="1">
        <v>0.15649156149777721</v>
      </c>
      <c r="N2083" s="1">
        <v>1.791162634277605</v>
      </c>
      <c r="O2083" s="1">
        <v>0.14985650793650793</v>
      </c>
      <c r="P2083" s="1">
        <v>0.1189137947596438</v>
      </c>
      <c r="Q2083" s="1">
        <v>2.1855832511021642</v>
      </c>
      <c r="R2083" s="2">
        <f t="shared" si="131"/>
        <v>112.2323317320199</v>
      </c>
      <c r="S2083" s="2">
        <f t="shared" si="130"/>
        <v>2.7695830914339905</v>
      </c>
      <c r="T2083" s="2">
        <f t="shared" si="132"/>
        <v>16.096204808414321</v>
      </c>
      <c r="U2083" s="2">
        <f t="shared" si="133"/>
        <v>131.0981196318682</v>
      </c>
    </row>
    <row r="2084" spans="1:21" x14ac:dyDescent="0.25">
      <c r="A2084">
        <v>3878389</v>
      </c>
      <c r="B2084">
        <v>25</v>
      </c>
      <c r="C2084" s="1">
        <f>4.7551262225818*(10.3/7.3)</f>
        <v>6.7092876839167861</v>
      </c>
      <c r="D2084" s="1">
        <f>5.73421622739266*(10.3/7.3)</f>
        <v>8.0907434441293766</v>
      </c>
      <c r="E2084" s="1">
        <f>20.2952359521182*(10.3/7.3)</f>
        <v>28.635743877646206</v>
      </c>
      <c r="F2084" s="1">
        <f>41.3026170467896*(38.9/42.5)</f>
        <v>37.804042426355643</v>
      </c>
      <c r="G2084" s="1">
        <v>1.5406265994435626</v>
      </c>
      <c r="H2084" s="1">
        <v>8.8798110310653797</v>
      </c>
      <c r="I2084" s="1">
        <v>31.244906907382624</v>
      </c>
      <c r="J2084" s="1">
        <v>4.0247296821667104E-2</v>
      </c>
      <c r="K2084" s="1">
        <v>2.757249231610384</v>
      </c>
      <c r="L2084" s="1">
        <v>13.243934219287137</v>
      </c>
      <c r="M2084" s="1">
        <v>0.15983534992017215</v>
      </c>
      <c r="N2084" s="1">
        <v>1.848234856867693</v>
      </c>
      <c r="O2084" s="1">
        <v>0.15366826666666666</v>
      </c>
      <c r="P2084" s="1">
        <v>0.1209153377608915</v>
      </c>
      <c r="Q2084" s="1">
        <v>2.4621886292477044</v>
      </c>
      <c r="R2084" s="2">
        <f t="shared" si="131"/>
        <v>125.36735059918729</v>
      </c>
      <c r="S2084" s="2">
        <f t="shared" si="130"/>
        <v>2.9184118661929426</v>
      </c>
      <c r="T2084" s="2">
        <f t="shared" si="132"/>
        <v>15.405672692741669</v>
      </c>
      <c r="U2084" s="2">
        <f t="shared" si="133"/>
        <v>143.69143515812189</v>
      </c>
    </row>
    <row r="2085" spans="1:21" x14ac:dyDescent="0.25">
      <c r="A2085">
        <v>3878397</v>
      </c>
      <c r="B2085">
        <v>27</v>
      </c>
      <c r="C2085" s="1">
        <f>4.92760722707793*(10.3/7.3)</f>
        <v>6.9526512930003612</v>
      </c>
      <c r="D2085" s="1">
        <f>6.10217644738902*(10.3/7.3)</f>
        <v>8.6099201928913569</v>
      </c>
      <c r="E2085" s="1">
        <f>21.5875785829308*(10.3/7.3)</f>
        <v>30.459186219751636</v>
      </c>
      <c r="F2085" s="1">
        <f>43.1021629534089*(38.9/42.5)</f>
        <v>39.451156209120171</v>
      </c>
      <c r="G2085" s="1">
        <v>1.5785867548071195</v>
      </c>
      <c r="H2085" s="1">
        <v>8.912401629931562</v>
      </c>
      <c r="I2085" s="1">
        <v>32.190056634087924</v>
      </c>
      <c r="J2085" s="1">
        <v>3.8941923904024241E-2</v>
      </c>
      <c r="K2085" s="1">
        <v>2.7466792309408019</v>
      </c>
      <c r="L2085" s="1">
        <v>12.711253363288815</v>
      </c>
      <c r="M2085" s="1">
        <v>0.15818374097112706</v>
      </c>
      <c r="N2085" s="1">
        <v>1.8340465310255951</v>
      </c>
      <c r="O2085" s="1">
        <v>0.1573906172839506</v>
      </c>
      <c r="P2085" s="1">
        <v>0.11978687951856032</v>
      </c>
      <c r="Q2085" s="1">
        <v>2.5228555442122946</v>
      </c>
      <c r="R2085" s="2">
        <f t="shared" si="131"/>
        <v>130.67681447780242</v>
      </c>
      <c r="S2085" s="2">
        <f t="shared" si="130"/>
        <v>2.9054080343633863</v>
      </c>
      <c r="T2085" s="2">
        <f t="shared" si="132"/>
        <v>14.86087425256949</v>
      </c>
      <c r="U2085" s="2">
        <f t="shared" si="133"/>
        <v>148.44309676473529</v>
      </c>
    </row>
    <row r="2086" spans="1:21" x14ac:dyDescent="0.25">
      <c r="A2086">
        <v>3878453</v>
      </c>
      <c r="B2086">
        <v>23</v>
      </c>
      <c r="C2086" s="1">
        <f>5.93714547602982*(10.3/7.3)</f>
        <v>8.377068274398237</v>
      </c>
      <c r="D2086" s="1">
        <f>7.99218061400335*(10.3/7.3)</f>
        <v>11.276638400580071</v>
      </c>
      <c r="E2086" s="1">
        <f>28.2686866422106*(10.3/7.3)</f>
        <v>39.885955125310822</v>
      </c>
      <c r="F2086" s="1">
        <f>51.501404321872*(38.9/42.5)</f>
        <v>47.138932426372207</v>
      </c>
      <c r="G2086" s="1">
        <v>1.6896154215759338</v>
      </c>
      <c r="H2086" s="1">
        <v>7.3098092845220384</v>
      </c>
      <c r="I2086" s="1">
        <v>36.554942656510228</v>
      </c>
      <c r="J2086" s="1">
        <v>3.8776609778900011E-2</v>
      </c>
      <c r="K2086" s="1">
        <v>2.4154488897379407</v>
      </c>
      <c r="L2086" s="1">
        <v>5.8841907963852176</v>
      </c>
      <c r="M2086" s="1">
        <v>0.14518346116619849</v>
      </c>
      <c r="N2086" s="1">
        <v>1.8634804341247528</v>
      </c>
      <c r="O2086" s="1">
        <v>0.13936463768115945</v>
      </c>
      <c r="P2086" s="1">
        <v>0.10852424101541698</v>
      </c>
      <c r="Q2086" s="1">
        <v>2.7002986189569747</v>
      </c>
      <c r="R2086" s="2">
        <f t="shared" si="131"/>
        <v>154.9332602082265</v>
      </c>
      <c r="S2086" s="2">
        <f t="shared" si="130"/>
        <v>2.5627497405322579</v>
      </c>
      <c r="T2086" s="2">
        <f t="shared" si="132"/>
        <v>8.0322193293573285</v>
      </c>
      <c r="U2086" s="2">
        <f t="shared" si="133"/>
        <v>165.5282292781161</v>
      </c>
    </row>
    <row r="2087" spans="1:21" x14ac:dyDescent="0.25">
      <c r="A2087">
        <v>3878469</v>
      </c>
      <c r="B2087">
        <v>3</v>
      </c>
      <c r="C2087" s="1">
        <f>5.61193155729031*(10.3/7.3)</f>
        <v>7.918204800012357</v>
      </c>
      <c r="D2087" s="1">
        <f>7.16556419222371*(10.3/7.3)</f>
        <v>10.110316599986886</v>
      </c>
      <c r="E2087" s="1">
        <f>25.3969036344159*(10.3/7.3)</f>
        <v>35.833987319792271</v>
      </c>
      <c r="F2087" s="1">
        <f>46.5612003566907*(38.9/42.5)</f>
        <v>42.617192797065115</v>
      </c>
      <c r="G2087" s="1">
        <v>1.5214422639851322</v>
      </c>
      <c r="H2087" s="1">
        <v>8.4760936812992913</v>
      </c>
      <c r="I2087" s="1">
        <v>33.75856723738007</v>
      </c>
      <c r="J2087" s="1">
        <v>4.0344381323632252E-2</v>
      </c>
      <c r="K2087" s="1">
        <v>2.8295033531701548</v>
      </c>
      <c r="L2087" s="1">
        <v>7.7126792713475893</v>
      </c>
      <c r="M2087" s="1">
        <v>0.14883826939454167</v>
      </c>
      <c r="N2087" s="1">
        <v>1.9600313232544522</v>
      </c>
      <c r="O2087" s="1">
        <v>0.14035555555555554</v>
      </c>
      <c r="P2087" s="1">
        <v>0.11060740757230808</v>
      </c>
      <c r="Q2087" s="1">
        <v>2.4315287323963326</v>
      </c>
      <c r="R2087" s="2">
        <f t="shared" si="131"/>
        <v>142.66733343191748</v>
      </c>
      <c r="S2087" s="2">
        <f t="shared" si="130"/>
        <v>2.9804551420660954</v>
      </c>
      <c r="T2087" s="2">
        <f t="shared" si="132"/>
        <v>9.9619044195521376</v>
      </c>
      <c r="U2087" s="2">
        <f t="shared" si="133"/>
        <v>155.6096929935357</v>
      </c>
    </row>
    <row r="2088" spans="1:21" x14ac:dyDescent="0.25">
      <c r="A2088">
        <v>3878477</v>
      </c>
      <c r="B2088">
        <v>24</v>
      </c>
      <c r="C2088" s="1">
        <f>5.4453128181278*(10.3/7.3)</f>
        <v>7.683112606399499</v>
      </c>
      <c r="D2088" s="1">
        <f>6.52692098364447*(10.3/7.3)</f>
        <v>9.2092172782928756</v>
      </c>
      <c r="E2088" s="1">
        <f>23.1915975254095*(10.3/7.3)</f>
        <v>32.722391029002395</v>
      </c>
      <c r="F2088" s="1">
        <f>42.9451235598355*(38.9/42.5)</f>
        <v>39.307418975943577</v>
      </c>
      <c r="G2088" s="1">
        <v>1.4009589864392951</v>
      </c>
      <c r="H2088" s="1">
        <v>8.0135195462812234</v>
      </c>
      <c r="I2088" s="1">
        <v>31.965501423828986</v>
      </c>
      <c r="J2088" s="1">
        <v>4.271527142297802E-2</v>
      </c>
      <c r="K2088" s="1">
        <v>2.4877823673717052</v>
      </c>
      <c r="L2088" s="1">
        <v>8.40738380668971</v>
      </c>
      <c r="M2088" s="1">
        <v>0.14576887968970456</v>
      </c>
      <c r="N2088" s="1">
        <v>2.0360503426334584</v>
      </c>
      <c r="O2088" s="1">
        <v>0.13591555555555559</v>
      </c>
      <c r="P2088" s="1">
        <v>0.10788578729998505</v>
      </c>
      <c r="Q2088" s="1">
        <v>2.2389755491038978</v>
      </c>
      <c r="R2088" s="2">
        <f t="shared" si="131"/>
        <v>132.54109539529173</v>
      </c>
      <c r="S2088" s="2">
        <f t="shared" si="130"/>
        <v>2.6383834260946686</v>
      </c>
      <c r="T2088" s="2">
        <f t="shared" si="132"/>
        <v>10.725118584568429</v>
      </c>
      <c r="U2088" s="2">
        <f t="shared" si="133"/>
        <v>145.90459740595483</v>
      </c>
    </row>
    <row r="2089" spans="1:21" x14ac:dyDescent="0.25">
      <c r="A2089">
        <v>3878485</v>
      </c>
      <c r="B2089">
        <v>34</v>
      </c>
      <c r="C2089" s="1">
        <f>5.04811436142261*(10.3/7.3)</f>
        <v>7.1226819072127192</v>
      </c>
      <c r="D2089" s="1">
        <f>6.04605852698758*(10.3/7.3)</f>
        <v>8.5307401134208298</v>
      </c>
      <c r="E2089" s="1">
        <f>21.4829700856969*(10.3/7.3)</f>
        <v>30.311587929134028</v>
      </c>
      <c r="F2089" s="1">
        <f>39.8220278015177*(38.9/42.5)</f>
        <v>36.448867799506758</v>
      </c>
      <c r="G2089" s="1">
        <v>1.3008880454712337</v>
      </c>
      <c r="H2089" s="1">
        <v>7.4622095560130939</v>
      </c>
      <c r="I2089" s="1">
        <v>29.656090381517391</v>
      </c>
      <c r="J2089" s="1">
        <v>3.7741550218910312E-2</v>
      </c>
      <c r="K2089" s="1">
        <v>2.3102522071634244</v>
      </c>
      <c r="L2089" s="1">
        <v>10.726251837509308</v>
      </c>
      <c r="M2089" s="1">
        <v>0.13716236939641671</v>
      </c>
      <c r="N2089" s="1">
        <v>2.3070877196558963</v>
      </c>
      <c r="O2089" s="1">
        <v>0.12680627450980389</v>
      </c>
      <c r="P2089" s="1">
        <v>0.10128229096845992</v>
      </c>
      <c r="Q2089" s="1">
        <v>2.0790448215293709</v>
      </c>
      <c r="R2089" s="2">
        <f t="shared" si="131"/>
        <v>122.91211055380542</v>
      </c>
      <c r="S2089" s="2">
        <f t="shared" si="130"/>
        <v>2.4492760483507947</v>
      </c>
      <c r="T2089" s="2">
        <f t="shared" si="132"/>
        <v>13.297308201071425</v>
      </c>
      <c r="U2089" s="2">
        <f t="shared" si="133"/>
        <v>138.65869480322763</v>
      </c>
    </row>
    <row r="2090" spans="1:21" x14ac:dyDescent="0.25">
      <c r="A2090">
        <v>3878493</v>
      </c>
      <c r="B2090">
        <v>24</v>
      </c>
      <c r="C2090" s="1">
        <f>5.50024389647719*(10.3/7.3)</f>
        <v>7.7606181005089168</v>
      </c>
      <c r="D2090" s="1">
        <f>6.78269767399462*(10.3/7.3)</f>
        <v>9.5701076770061082</v>
      </c>
      <c r="E2090" s="1">
        <f>24.0742368266168*(10.3/7.3)</f>
        <v>33.967758810157896</v>
      </c>
      <c r="F2090" s="1">
        <f>44.3030286472463*(38.9/42.5)</f>
        <v>40.550301514773686</v>
      </c>
      <c r="G2090" s="1">
        <v>1.4425357760933319</v>
      </c>
      <c r="H2090" s="1">
        <v>6.6101214065456233</v>
      </c>
      <c r="I2090" s="1">
        <v>32.576126592860568</v>
      </c>
      <c r="J2090" s="1">
        <v>3.8522278910220066E-2</v>
      </c>
      <c r="K2090" s="1">
        <v>2.320331441284492</v>
      </c>
      <c r="L2090" s="1">
        <v>14.606762424767743</v>
      </c>
      <c r="M2090" s="1">
        <v>0.13632996569780478</v>
      </c>
      <c r="N2090" s="1">
        <v>2.2901013405395698</v>
      </c>
      <c r="O2090" s="1">
        <v>0.12595555555555552</v>
      </c>
      <c r="P2090" s="1">
        <v>0.10027111843913984</v>
      </c>
      <c r="Q2090" s="1">
        <v>2.3054224732085236</v>
      </c>
      <c r="R2090" s="2">
        <f t="shared" si="131"/>
        <v>134.78299235115466</v>
      </c>
      <c r="S2090" s="2">
        <f t="shared" si="130"/>
        <v>2.4591248386338522</v>
      </c>
      <c r="T2090" s="2">
        <f t="shared" si="132"/>
        <v>17.159149286560673</v>
      </c>
      <c r="U2090" s="2">
        <f t="shared" si="133"/>
        <v>154.40126647634918</v>
      </c>
    </row>
    <row r="2091" spans="1:21" x14ac:dyDescent="0.25">
      <c r="A2091">
        <v>3878501</v>
      </c>
      <c r="B2091">
        <v>36</v>
      </c>
      <c r="C2091" s="1">
        <f>4.88659792252974*(10.3/7.3)</f>
        <v>6.8947888495967566</v>
      </c>
      <c r="D2091" s="1">
        <f>5.8721734088738*(10.3/7.3)</f>
        <v>8.2853953577260455</v>
      </c>
      <c r="E2091" s="1">
        <f>20.8725578882091*(10.3/7.3)</f>
        <v>29.450321403911527</v>
      </c>
      <c r="F2091" s="1">
        <f>38.1517689589615*(38.9/42.5)</f>
        <v>34.920089705967108</v>
      </c>
      <c r="G2091" s="1">
        <v>1.2198540672043463</v>
      </c>
      <c r="H2091" s="1">
        <v>5.3825620882808325</v>
      </c>
      <c r="I2091" s="1">
        <v>28.293410683837472</v>
      </c>
      <c r="J2091" s="1">
        <v>4.0852387106788117E-2</v>
      </c>
      <c r="K2091" s="1">
        <v>2.3929019512737431</v>
      </c>
      <c r="L2091" s="1">
        <v>12.313689301914019</v>
      </c>
      <c r="M2091" s="1">
        <v>0.13933099899745338</v>
      </c>
      <c r="N2091" s="1">
        <v>2.0965321055309705</v>
      </c>
      <c r="O2091" s="1">
        <v>0.12771703703703705</v>
      </c>
      <c r="P2091" s="1">
        <v>0.10308419929708858</v>
      </c>
      <c r="Q2091" s="1">
        <v>1.9495384635685917</v>
      </c>
      <c r="R2091" s="2">
        <f t="shared" si="131"/>
        <v>116.39596062009269</v>
      </c>
      <c r="S2091" s="2">
        <f t="shared" si="130"/>
        <v>2.5368385376776197</v>
      </c>
      <c r="T2091" s="2">
        <f t="shared" si="132"/>
        <v>14.67726944347948</v>
      </c>
      <c r="U2091" s="2">
        <f t="shared" si="133"/>
        <v>133.61006860124979</v>
      </c>
    </row>
    <row r="2092" spans="1:21" x14ac:dyDescent="0.25">
      <c r="A2092">
        <v>3878549</v>
      </c>
      <c r="B2092">
        <v>19</v>
      </c>
      <c r="C2092" s="1">
        <f>6.31774656432765*(10.3/7.3)</f>
        <v>8.9140807688458583</v>
      </c>
      <c r="D2092" s="1">
        <f>6.99835569029485*(10.3/7.3)</f>
        <v>9.8743922753475317</v>
      </c>
      <c r="E2092" s="1">
        <f>24.9611618607167*(10.3/7.3)</f>
        <v>35.219173584298851</v>
      </c>
      <c r="F2092" s="1">
        <f>46.2902148630798*(38.9/42.5)</f>
        <v>42.369161368795432</v>
      </c>
      <c r="G2092" s="1">
        <v>1.4788631136976707</v>
      </c>
      <c r="H2092" s="1">
        <v>6.9847773585643962</v>
      </c>
      <c r="I2092" s="1">
        <v>35.548114854907681</v>
      </c>
      <c r="J2092" s="1">
        <v>5.2754635680928294E-2</v>
      </c>
      <c r="K2092" s="1">
        <v>2.5851195182331845</v>
      </c>
      <c r="L2092" s="1">
        <v>7.7976296141564969</v>
      </c>
      <c r="M2092" s="1">
        <v>0.14374327018979527</v>
      </c>
      <c r="N2092" s="1">
        <v>2.0194898770706775</v>
      </c>
      <c r="O2092" s="1">
        <v>0.13032982456140352</v>
      </c>
      <c r="P2092" s="1">
        <v>0.10177345045325559</v>
      </c>
      <c r="Q2092" s="1">
        <v>2.3634798620739055</v>
      </c>
      <c r="R2092" s="2">
        <f t="shared" si="131"/>
        <v>142.75204318653135</v>
      </c>
      <c r="S2092" s="2">
        <f t="shared" si="130"/>
        <v>2.7396476043673683</v>
      </c>
      <c r="T2092" s="2">
        <f t="shared" si="132"/>
        <v>10.091192585978373</v>
      </c>
      <c r="U2092" s="2">
        <f t="shared" si="133"/>
        <v>155.58288337687711</v>
      </c>
    </row>
    <row r="2093" spans="1:21" x14ac:dyDescent="0.25">
      <c r="A2093">
        <v>3878557</v>
      </c>
      <c r="B2093">
        <v>13</v>
      </c>
      <c r="C2093" s="1">
        <f>6.07793297120299*(10.3/7.3)</f>
        <v>8.5757136443001123</v>
      </c>
      <c r="D2093" s="1">
        <f>6.62257486098648*(10.3/7.3)</f>
        <v>9.3441809682411989</v>
      </c>
      <c r="E2093" s="1">
        <f>23.6494211019807*(10.3/7.3)</f>
        <v>33.368361280876947</v>
      </c>
      <c r="F2093" s="1">
        <f>43.420595811618*(38.9/42.5)</f>
        <v>39.742615931104481</v>
      </c>
      <c r="G2093" s="1">
        <v>1.3572727507328362</v>
      </c>
      <c r="H2093" s="1">
        <v>6.5225698444376992</v>
      </c>
      <c r="I2093" s="1">
        <v>33.511480425213023</v>
      </c>
      <c r="J2093" s="1">
        <v>4.7962564069284327E-2</v>
      </c>
      <c r="K2093" s="1">
        <v>2.499739085879559</v>
      </c>
      <c r="L2093" s="1">
        <v>8.4415849178881395</v>
      </c>
      <c r="M2093" s="1">
        <v>0.13740688500153037</v>
      </c>
      <c r="N2093" s="1">
        <v>1.9018711324194395</v>
      </c>
      <c r="O2093" s="1">
        <v>0.12251076923076926</v>
      </c>
      <c r="P2093" s="1">
        <v>9.7056396232103478E-2</v>
      </c>
      <c r="Q2093" s="1">
        <v>2.1691573641849002</v>
      </c>
      <c r="R2093" s="2">
        <f t="shared" si="131"/>
        <v>134.59135220909121</v>
      </c>
      <c r="S2093" s="2">
        <f t="shared" si="130"/>
        <v>2.6447580461809466</v>
      </c>
      <c r="T2093" s="2">
        <f t="shared" si="132"/>
        <v>10.603373704539878</v>
      </c>
      <c r="U2093" s="2">
        <f t="shared" si="133"/>
        <v>147.83948395981204</v>
      </c>
    </row>
    <row r="2094" spans="1:21" x14ac:dyDescent="0.25">
      <c r="A2094">
        <v>3878589</v>
      </c>
      <c r="B2094">
        <v>22</v>
      </c>
      <c r="C2094" s="1">
        <f>5.57065404277124*(10.3/7.3)</f>
        <v>7.8599639233621597</v>
      </c>
      <c r="D2094" s="1">
        <f>6.00347746920767*(10.3/7.3)</f>
        <v>8.4706599907998648</v>
      </c>
      <c r="E2094" s="1">
        <f>21.4635116167402*(10.3/7.3)</f>
        <v>30.284132829099171</v>
      </c>
      <c r="F2094" s="1">
        <f>38.7671227043622*(38.9/42.5)</f>
        <v>35.483319369404413</v>
      </c>
      <c r="G2094" s="1">
        <v>1.1736798518947238</v>
      </c>
      <c r="H2094" s="1">
        <v>3.9857082284731007</v>
      </c>
      <c r="I2094" s="1">
        <v>29.976259260255212</v>
      </c>
      <c r="J2094" s="1">
        <v>3.8887033705925812E-2</v>
      </c>
      <c r="K2094" s="1">
        <v>2.5534287829454478</v>
      </c>
      <c r="L2094" s="1">
        <v>13.009900868312195</v>
      </c>
      <c r="M2094" s="1">
        <v>0.12680011000641292</v>
      </c>
      <c r="N2094" s="1">
        <v>1.5560108680888418</v>
      </c>
      <c r="O2094" s="1">
        <v>0.11017696969696968</v>
      </c>
      <c r="P2094" s="1">
        <v>8.9418369441505996E-2</v>
      </c>
      <c r="Q2094" s="1">
        <v>1.8757440555395148</v>
      </c>
      <c r="R2094" s="2">
        <f t="shared" si="131"/>
        <v>119.10946750882815</v>
      </c>
      <c r="S2094" s="2">
        <f t="shared" si="130"/>
        <v>2.6817341860928798</v>
      </c>
      <c r="T2094" s="2">
        <f t="shared" si="132"/>
        <v>14.802888816104419</v>
      </c>
      <c r="U2094" s="2">
        <f t="shared" si="133"/>
        <v>136.59409051102546</v>
      </c>
    </row>
    <row r="2095" spans="1:21" x14ac:dyDescent="0.25">
      <c r="A2095">
        <v>3878597</v>
      </c>
      <c r="B2095">
        <v>45</v>
      </c>
      <c r="C2095" s="1">
        <f>5.48421265125498*(10.3/7.3)</f>
        <v>7.7379986723186756</v>
      </c>
      <c r="D2095" s="1">
        <f>6.04006582462088*(10.3/7.3)</f>
        <v>8.5222846566568595</v>
      </c>
      <c r="E2095" s="1">
        <f>21.5486545549309*(10.3/7.3)</f>
        <v>30.404266015861445</v>
      </c>
      <c r="F2095" s="1">
        <f>40.0054437946183*(38.9/42.5)</f>
        <v>36.616747379074127</v>
      </c>
      <c r="G2095" s="1">
        <v>1.278073494380114</v>
      </c>
      <c r="H2095" s="1">
        <v>5.6263197625765873</v>
      </c>
      <c r="I2095" s="1">
        <v>30.798471868761922</v>
      </c>
      <c r="J2095" s="1">
        <v>3.6153604706169747E-2</v>
      </c>
      <c r="K2095" s="1">
        <v>2.5662577540221174</v>
      </c>
      <c r="L2095" s="1">
        <v>9.9849251665511485</v>
      </c>
      <c r="M2095" s="1">
        <v>0.12291181853559095</v>
      </c>
      <c r="N2095" s="1">
        <v>1.5011106979535573</v>
      </c>
      <c r="O2095" s="1">
        <v>0.10744888888888887</v>
      </c>
      <c r="P2095" s="1">
        <v>8.6763677907052861E-2</v>
      </c>
      <c r="Q2095" s="1">
        <v>2.0425832101965304</v>
      </c>
      <c r="R2095" s="2">
        <f t="shared" si="131"/>
        <v>123.02674505982625</v>
      </c>
      <c r="S2095" s="2">
        <f t="shared" si="130"/>
        <v>2.6891750366353397</v>
      </c>
      <c r="T2095" s="2">
        <f t="shared" si="132"/>
        <v>11.716396571929186</v>
      </c>
      <c r="U2095" s="2">
        <f t="shared" si="133"/>
        <v>137.43231666839077</v>
      </c>
    </row>
    <row r="2096" spans="1:21" x14ac:dyDescent="0.25">
      <c r="A2096">
        <v>3878605</v>
      </c>
      <c r="B2096">
        <v>46</v>
      </c>
      <c r="C2096" s="1">
        <f>6.31491659622696*(10.3/7.3)</f>
        <v>8.9100878001558517</v>
      </c>
      <c r="D2096" s="1">
        <f>7.02709655164259*(10.3/7.3)</f>
        <v>9.9149444495778969</v>
      </c>
      <c r="E2096" s="1">
        <f>25.0494452039643*(10.3/7.3)</f>
        <v>35.343737753538726</v>
      </c>
      <c r="F2096" s="1">
        <f>46.8803682821595*(38.9/42.5)</f>
        <v>42.909325321788316</v>
      </c>
      <c r="G2096" s="1">
        <v>1.5219787386903458</v>
      </c>
      <c r="H2096" s="1">
        <v>6.522249663999272</v>
      </c>
      <c r="I2096" s="1">
        <v>35.99186114560819</v>
      </c>
      <c r="J2096" s="1">
        <v>3.7730383322065866E-2</v>
      </c>
      <c r="K2096" s="1">
        <v>3.3094709948893555</v>
      </c>
      <c r="L2096" s="1">
        <v>7.9781107212157369</v>
      </c>
      <c r="M2096" s="1">
        <v>0.12908342847255092</v>
      </c>
      <c r="N2096" s="1">
        <v>1.680575890734979</v>
      </c>
      <c r="O2096" s="1">
        <v>0.113655652173913</v>
      </c>
      <c r="P2096" s="1">
        <v>9.0179317883362614E-2</v>
      </c>
      <c r="Q2096" s="1">
        <v>2.4323861120621992</v>
      </c>
      <c r="R2096" s="2">
        <f t="shared" si="131"/>
        <v>143.5465709854208</v>
      </c>
      <c r="S2096" s="2">
        <f t="shared" si="130"/>
        <v>3.4373806960947841</v>
      </c>
      <c r="T2096" s="2">
        <f t="shared" si="132"/>
        <v>9.9014256925971793</v>
      </c>
      <c r="U2096" s="2">
        <f t="shared" si="133"/>
        <v>156.88537737411275</v>
      </c>
    </row>
    <row r="2097" spans="1:21" x14ac:dyDescent="0.25">
      <c r="A2097">
        <v>3878613</v>
      </c>
      <c r="B2097">
        <v>24</v>
      </c>
      <c r="C2097" s="1">
        <f>5.48547390864307*(10.3/7.3)</f>
        <v>7.7397782546607656</v>
      </c>
      <c r="D2097" s="1">
        <f>6.18569257045203*(10.3/7.3)</f>
        <v>8.7277580103638233</v>
      </c>
      <c r="E2097" s="1">
        <f>22.0182889631766*(10.3/7.3)</f>
        <v>31.066900865851878</v>
      </c>
      <c r="F2097" s="1">
        <f>42.0711372830154*(38.9/42.5)</f>
        <v>38.507464477865881</v>
      </c>
      <c r="G2097" s="1">
        <v>1.4156226283817943</v>
      </c>
      <c r="H2097" s="1">
        <v>6.8298616159188041</v>
      </c>
      <c r="I2097" s="1">
        <v>32.246734523423818</v>
      </c>
      <c r="J2097" s="1">
        <v>3.5698780410104346E-2</v>
      </c>
      <c r="K2097" s="1">
        <v>3.0076411237837135</v>
      </c>
      <c r="L2097" s="1">
        <v>6.6569421075968576</v>
      </c>
      <c r="M2097" s="1">
        <v>0.1249574021812897</v>
      </c>
      <c r="N2097" s="1">
        <v>1.5926810832223666</v>
      </c>
      <c r="O2097" s="1">
        <v>0.1102711111111111</v>
      </c>
      <c r="P2097" s="1">
        <v>8.8948276485967773E-2</v>
      </c>
      <c r="Q2097" s="1">
        <v>2.2624105933042391</v>
      </c>
      <c r="R2097" s="2">
        <f t="shared" si="131"/>
        <v>128.79653096977103</v>
      </c>
      <c r="S2097" s="2">
        <f t="shared" si="130"/>
        <v>3.1322881806797858</v>
      </c>
      <c r="T2097" s="2">
        <f t="shared" si="132"/>
        <v>8.4848517041116231</v>
      </c>
      <c r="U2097" s="2">
        <f t="shared" si="133"/>
        <v>140.41367085456244</v>
      </c>
    </row>
    <row r="2098" spans="1:21" x14ac:dyDescent="0.25">
      <c r="A2098">
        <v>3878621</v>
      </c>
      <c r="B2098">
        <v>15</v>
      </c>
      <c r="C2098" s="1">
        <f>5.19345963231801*(10.3/7.3)</f>
        <v>7.3277581113528116</v>
      </c>
      <c r="D2098" s="1">
        <f>5.66887044488674*(10.3/7.3)</f>
        <v>7.9985432304566322</v>
      </c>
      <c r="E2098" s="1">
        <f>20.233239793932*(10.3/7.3)</f>
        <v>28.548269846232809</v>
      </c>
      <c r="F2098" s="1">
        <f>37.5827351717617*(38.9/42.5)</f>
        <v>34.399256427800708</v>
      </c>
      <c r="G2098" s="1">
        <v>1.19834143152529</v>
      </c>
      <c r="H2098" s="1">
        <v>5.1781430433998281</v>
      </c>
      <c r="I2098" s="1">
        <v>29.039929699216266</v>
      </c>
      <c r="J2098" s="1">
        <v>3.4475747647148773E-2</v>
      </c>
      <c r="K2098" s="1">
        <v>2.6435297841257821</v>
      </c>
      <c r="L2098" s="1">
        <v>5.064943185753811</v>
      </c>
      <c r="M2098" s="1">
        <v>0.11875391292923763</v>
      </c>
      <c r="N2098" s="1">
        <v>1.5881586834621768</v>
      </c>
      <c r="O2098" s="1">
        <v>0.10478933333333336</v>
      </c>
      <c r="P2098" s="1">
        <v>8.614034580257203E-2</v>
      </c>
      <c r="Q2098" s="1">
        <v>1.9151575389673607</v>
      </c>
      <c r="R2098" s="2">
        <f t="shared" si="131"/>
        <v>115.60539932895172</v>
      </c>
      <c r="S2098" s="2">
        <f t="shared" si="130"/>
        <v>2.764145877575503</v>
      </c>
      <c r="T2098" s="2">
        <f t="shared" si="132"/>
        <v>6.8766451154785591</v>
      </c>
      <c r="U2098" s="2">
        <f t="shared" si="133"/>
        <v>125.24619032200577</v>
      </c>
    </row>
    <row r="2099" spans="1:21" x14ac:dyDescent="0.25">
      <c r="A2099">
        <v>3878629</v>
      </c>
      <c r="B2099">
        <v>5</v>
      </c>
      <c r="C2099" s="1">
        <f>6.17192983759905*(10.3/7.3)</f>
        <v>8.7083393599000356</v>
      </c>
      <c r="D2099" s="1">
        <f>6.91594922095143*(10.3/7.3)</f>
        <v>9.7581201336711967</v>
      </c>
      <c r="E2099" s="1">
        <f>24.4879750725743*(10.3/7.3)</f>
        <v>34.55152647226236</v>
      </c>
      <c r="F2099" s="1">
        <f>53.7158112306795*(38.9/42.5)</f>
        <v>49.165766044080769</v>
      </c>
      <c r="G2099" s="1">
        <v>2.1531948768444029</v>
      </c>
      <c r="H2099" s="1">
        <v>8.1961698477028797</v>
      </c>
      <c r="I2099" s="1">
        <v>42.166525626450948</v>
      </c>
      <c r="J2099" s="1">
        <v>3.517785642884317E-2</v>
      </c>
      <c r="K2099" s="1">
        <v>2.5703934746531361</v>
      </c>
      <c r="L2099" s="1">
        <v>4.5723941371219983</v>
      </c>
      <c r="M2099" s="1">
        <v>0.12447033214011989</v>
      </c>
      <c r="N2099" s="1">
        <v>1.5370783493256006</v>
      </c>
      <c r="O2099" s="1">
        <v>0.109856</v>
      </c>
      <c r="P2099" s="1">
        <v>8.8843673684997987E-2</v>
      </c>
      <c r="Q2099" s="1">
        <v>3.4411790269202824</v>
      </c>
      <c r="R2099" s="2">
        <f t="shared" si="131"/>
        <v>158.14082138783289</v>
      </c>
      <c r="S2099" s="2">
        <f t="shared" si="130"/>
        <v>2.6944150047669768</v>
      </c>
      <c r="T2099" s="2">
        <f t="shared" si="132"/>
        <v>6.3437988185877181</v>
      </c>
      <c r="U2099" s="2">
        <f t="shared" si="133"/>
        <v>167.17903521118757</v>
      </c>
    </row>
    <row r="2100" spans="1:21" x14ac:dyDescent="0.25">
      <c r="A2100">
        <v>3878637</v>
      </c>
      <c r="B2100">
        <v>17</v>
      </c>
      <c r="C2100" s="1">
        <f>5.65433792024566*(10.3/7.3)</f>
        <v>7.9780384354151153</v>
      </c>
      <c r="D2100" s="1">
        <f>6.10074409825951*(10.3/7.3)</f>
        <v>8.6078992071332756</v>
      </c>
      <c r="E2100" s="1">
        <f>21.7539516483733*(10.3/7.3)</f>
        <v>30.69393177784184</v>
      </c>
      <c r="F2100" s="1">
        <f>42.1068312903878*(38.9/42.5)</f>
        <v>38.54013499284904</v>
      </c>
      <c r="G2100" s="1">
        <v>1.4263915691555624</v>
      </c>
      <c r="H2100" s="1">
        <v>4.966902638903262</v>
      </c>
      <c r="I2100" s="1">
        <v>32.89491475410486</v>
      </c>
      <c r="J2100" s="1">
        <v>3.212604444656332E-2</v>
      </c>
      <c r="K2100" s="1">
        <v>2.3623470834548357</v>
      </c>
      <c r="L2100" s="1">
        <v>3.9221413619653855</v>
      </c>
      <c r="M2100" s="1">
        <v>0.11675381428879139</v>
      </c>
      <c r="N2100" s="1">
        <v>1.3900336705887699</v>
      </c>
      <c r="O2100" s="1">
        <v>0.10345098039215686</v>
      </c>
      <c r="P2100" s="1">
        <v>8.4417907213560461E-2</v>
      </c>
      <c r="Q2100" s="1">
        <v>2.2796212292440519</v>
      </c>
      <c r="R2100" s="2">
        <f t="shared" si="131"/>
        <v>127.38783460464701</v>
      </c>
      <c r="S2100" s="2">
        <f t="shared" si="130"/>
        <v>2.4788910351149593</v>
      </c>
      <c r="T2100" s="2">
        <f t="shared" si="132"/>
        <v>5.5323798272351041</v>
      </c>
      <c r="U2100" s="2">
        <f t="shared" si="133"/>
        <v>135.39910546699707</v>
      </c>
    </row>
    <row r="2101" spans="1:21" x14ac:dyDescent="0.25">
      <c r="A2101">
        <v>3890089</v>
      </c>
      <c r="B2101">
        <v>19</v>
      </c>
      <c r="C2101" s="1">
        <f>0.806519945968352*(10.3/7.3)</f>
        <v>1.1379664991060308</v>
      </c>
      <c r="D2101" s="1">
        <f>0.992677548308319*(10.3/7.3)</f>
        <v>1.400627225695299</v>
      </c>
      <c r="E2101" s="1">
        <f>3.48367716664122*(10.3/7.3)</f>
        <v>4.915325317315701</v>
      </c>
      <c r="F2101" s="1">
        <f>8.42339703824142*(38.9/42.5)</f>
        <v>7.7098857597080324</v>
      </c>
      <c r="G2101" s="1">
        <v>0.37769513377669667</v>
      </c>
      <c r="H2101" s="1">
        <v>1.8634087617512587</v>
      </c>
      <c r="I2101" s="1">
        <v>6.5215474176471302</v>
      </c>
      <c r="J2101" s="1">
        <v>2.4510978166828682E-2</v>
      </c>
      <c r="K2101" s="1">
        <v>3.2282414314436245</v>
      </c>
      <c r="L2101" s="1">
        <v>2.7888744518427431</v>
      </c>
      <c r="M2101" s="1">
        <v>0.15446331061292906</v>
      </c>
      <c r="N2101" s="1">
        <v>0.95391692296428532</v>
      </c>
      <c r="O2101" s="1">
        <v>0.71787508771929831</v>
      </c>
      <c r="P2101" s="1">
        <v>0.29730034744384487</v>
      </c>
      <c r="Q2101" s="1">
        <v>0.60362235991709579</v>
      </c>
      <c r="R2101" s="2">
        <f t="shared" si="131"/>
        <v>24.530078474917246</v>
      </c>
      <c r="S2101" s="2">
        <f t="shared" si="130"/>
        <v>3.5500527570542979</v>
      </c>
      <c r="T2101" s="2">
        <f t="shared" si="132"/>
        <v>4.6151297731392553</v>
      </c>
      <c r="U2101" s="2">
        <f t="shared" si="133"/>
        <v>32.695261005110801</v>
      </c>
    </row>
    <row r="2102" spans="1:21" x14ac:dyDescent="0.25">
      <c r="A2102">
        <v>3890097</v>
      </c>
      <c r="B2102">
        <v>35</v>
      </c>
      <c r="C2102" s="1">
        <f>1.55578469604572*(10.3/7.3)</f>
        <v>2.1951482697631342</v>
      </c>
      <c r="D2102" s="1">
        <f>1.64765790670938*(10.3/7.3)</f>
        <v>2.3247775943981637</v>
      </c>
      <c r="E2102" s="1">
        <f>5.83405608919483*(10.3/7.3)</f>
        <v>8.2316133861242147</v>
      </c>
      <c r="F2102" s="1">
        <f>13.6548784432741*(38.9/42.5)</f>
        <v>12.498229916314445</v>
      </c>
      <c r="G2102" s="1">
        <v>0.57882248565804706</v>
      </c>
      <c r="H2102" s="1">
        <v>2.7493543092524551</v>
      </c>
      <c r="I2102" s="1">
        <v>11.007699445431555</v>
      </c>
      <c r="J2102" s="1">
        <v>3.6492764656008612E-2</v>
      </c>
      <c r="K2102" s="1">
        <v>4.3073365733015034</v>
      </c>
      <c r="L2102" s="1">
        <v>4.0603510592502987</v>
      </c>
      <c r="M2102" s="1">
        <v>0.21632853215274139</v>
      </c>
      <c r="N2102" s="1">
        <v>1.2784882552204753</v>
      </c>
      <c r="O2102" s="1">
        <v>1.2069028571428571</v>
      </c>
      <c r="P2102" s="1">
        <v>0.38310232177881443</v>
      </c>
      <c r="Q2102" s="1">
        <v>0.92505876703340972</v>
      </c>
      <c r="R2102" s="2">
        <f t="shared" si="131"/>
        <v>40.510704173975427</v>
      </c>
      <c r="S2102" s="2">
        <f t="shared" si="130"/>
        <v>4.7269316597363265</v>
      </c>
      <c r="T2102" s="2">
        <f t="shared" si="132"/>
        <v>6.7620707037663728</v>
      </c>
      <c r="U2102" s="2">
        <f t="shared" si="133"/>
        <v>51.999706537478119</v>
      </c>
    </row>
    <row r="2103" spans="1:21" x14ac:dyDescent="0.25">
      <c r="A2103">
        <v>3890481</v>
      </c>
      <c r="B2103">
        <v>12</v>
      </c>
      <c r="C2103" s="1">
        <f>3.01390729275933*(10.3/7.3)</f>
        <v>4.252499330879596</v>
      </c>
      <c r="D2103" s="1">
        <f>4.54275474457631*(10.3/7.3)</f>
        <v>6.4096402560460195</v>
      </c>
      <c r="E2103" s="1">
        <f>15.7531769016312*(10.3/7.3)</f>
        <v>22.227085217370099</v>
      </c>
      <c r="F2103" s="1">
        <f>40.8991830571692*(38.9/42.5)</f>
        <v>37.434781668797264</v>
      </c>
      <c r="G2103" s="1">
        <v>1.9930035298676891</v>
      </c>
      <c r="H2103" s="1">
        <v>9.9515722081859668</v>
      </c>
      <c r="I2103" s="1">
        <v>30.477186269832718</v>
      </c>
      <c r="J2103" s="1">
        <v>5.2698469062773534E-2</v>
      </c>
      <c r="K2103" s="1">
        <v>17.545038501971359</v>
      </c>
      <c r="L2103" s="1">
        <v>5.3250572329718509</v>
      </c>
      <c r="M2103" s="1">
        <v>0.20076906142853179</v>
      </c>
      <c r="N2103" s="1">
        <v>2.5759245135924691</v>
      </c>
      <c r="O2103" s="1">
        <v>0.21643555555555552</v>
      </c>
      <c r="P2103" s="1">
        <v>0.17354888849374528</v>
      </c>
      <c r="Q2103" s="1">
        <v>3.1851654586926568</v>
      </c>
      <c r="R2103" s="2">
        <f t="shared" si="131"/>
        <v>115.930933939672</v>
      </c>
      <c r="S2103" s="2">
        <f t="shared" si="130"/>
        <v>17.771285859527875</v>
      </c>
      <c r="T2103" s="2">
        <f t="shared" si="132"/>
        <v>8.3181863635484081</v>
      </c>
      <c r="U2103" s="2">
        <f t="shared" si="133"/>
        <v>142.02040616274829</v>
      </c>
    </row>
    <row r="2104" spans="1:21" x14ac:dyDescent="0.25">
      <c r="A2104">
        <v>3890489</v>
      </c>
      <c r="B2104">
        <v>35</v>
      </c>
      <c r="C2104" s="1">
        <f>5.68580899756189*(10.3/7.3)</f>
        <v>8.0224428321763668</v>
      </c>
      <c r="D2104" s="1">
        <f>7.10563584530383*(10.3/7.3)</f>
        <v>10.025760165291709</v>
      </c>
      <c r="E2104" s="1">
        <f>24.9985898038616*(10.3/7.3)</f>
        <v>35.27198287394171</v>
      </c>
      <c r="F2104" s="1">
        <f>56.3990112411164*(38.9/42.5)</f>
        <v>51.621683230104182</v>
      </c>
      <c r="G2104" s="1">
        <v>2.3767055668850148</v>
      </c>
      <c r="H2104" s="1">
        <v>8.855606417065486</v>
      </c>
      <c r="I2104" s="1">
        <v>42.972939157285936</v>
      </c>
      <c r="J2104" s="1">
        <v>5.003319154847162E-2</v>
      </c>
      <c r="K2104" s="1">
        <v>6.7574523800487274</v>
      </c>
      <c r="L2104" s="1">
        <v>6.0253385156409207</v>
      </c>
      <c r="M2104" s="1">
        <v>0.21990400646212455</v>
      </c>
      <c r="N2104" s="1">
        <v>2.6141574747491938</v>
      </c>
      <c r="O2104" s="1">
        <v>0.23326171428571427</v>
      </c>
      <c r="P2104" s="1">
        <v>0.18573974348262479</v>
      </c>
      <c r="Q2104" s="1">
        <v>3.7983878922819923</v>
      </c>
      <c r="R2104" s="2">
        <f t="shared" si="131"/>
        <v>162.94550813503241</v>
      </c>
      <c r="S2104" s="2">
        <f t="shared" si="130"/>
        <v>6.9932253150798234</v>
      </c>
      <c r="T2104" s="2">
        <f t="shared" si="132"/>
        <v>9.0926617111379535</v>
      </c>
      <c r="U2104" s="2">
        <f t="shared" si="133"/>
        <v>179.0313951612502</v>
      </c>
    </row>
    <row r="2105" spans="1:21" x14ac:dyDescent="0.25">
      <c r="A2105">
        <v>3890617</v>
      </c>
      <c r="B2105">
        <v>16</v>
      </c>
      <c r="C2105" s="1">
        <f>4.58608122249643*(10.3/7.3)</f>
        <v>6.4707721358511217</v>
      </c>
      <c r="D2105" s="1">
        <f>5.52736804755819*(10.3/7.3)</f>
        <v>7.798889162993067</v>
      </c>
      <c r="E2105" s="1">
        <f>19.5714862950634*(10.3/7.3)</f>
        <v>27.61456285467845</v>
      </c>
      <c r="F2105" s="1">
        <f>39.4328602078725*(38.9/42.5)</f>
        <v>36.092664990264481</v>
      </c>
      <c r="G2105" s="1">
        <v>1.4521699676744555</v>
      </c>
      <c r="H2105" s="1">
        <v>8.6360001712412391</v>
      </c>
      <c r="I2105" s="1">
        <v>29.780432394150495</v>
      </c>
      <c r="J2105" s="1">
        <v>3.9043308971575173E-2</v>
      </c>
      <c r="K2105" s="1">
        <v>2.6069607695148456</v>
      </c>
      <c r="L2105" s="1">
        <v>15.562061838703531</v>
      </c>
      <c r="M2105" s="1">
        <v>0.15645645569881617</v>
      </c>
      <c r="N2105" s="1">
        <v>1.7654624246205188</v>
      </c>
      <c r="O2105" s="1">
        <v>0.15057666666666666</v>
      </c>
      <c r="P2105" s="1">
        <v>0.11807177228528512</v>
      </c>
      <c r="Q2105" s="1">
        <v>2.3208195830413691</v>
      </c>
      <c r="R2105" s="2">
        <f t="shared" si="131"/>
        <v>120.16631125989467</v>
      </c>
      <c r="S2105" s="2">
        <f t="shared" si="130"/>
        <v>2.764075850771706</v>
      </c>
      <c r="T2105" s="2">
        <f t="shared" si="132"/>
        <v>17.634557385689533</v>
      </c>
      <c r="U2105" s="2">
        <f t="shared" si="133"/>
        <v>140.56494449635591</v>
      </c>
    </row>
    <row r="2106" spans="1:21" x14ac:dyDescent="0.25">
      <c r="A2106">
        <v>3890625</v>
      </c>
      <c r="B2106">
        <v>18</v>
      </c>
      <c r="C2106" s="1">
        <f>5.64025453021568*(10.3/7.3)</f>
        <v>7.9581673508522597</v>
      </c>
      <c r="D2106" s="1">
        <f>6.88105170313244*(10.3/7.3)</f>
        <v>9.708881170173175</v>
      </c>
      <c r="E2106" s="1">
        <f>24.3604319541309*(10.3/7.3)</f>
        <v>34.371568373636727</v>
      </c>
      <c r="F2106" s="1">
        <f>48.6006357108598*(38.9/42.5)</f>
        <v>44.48387598005759</v>
      </c>
      <c r="G2106" s="1">
        <v>1.7720951679209374</v>
      </c>
      <c r="H2106" s="1">
        <v>7.6939864902309223</v>
      </c>
      <c r="I2106" s="1">
        <v>36.480174254752413</v>
      </c>
      <c r="J2106" s="1">
        <v>3.9463209343383238E-2</v>
      </c>
      <c r="K2106" s="1">
        <v>3.2391259157772962</v>
      </c>
      <c r="L2106" s="1">
        <v>14.433702023040306</v>
      </c>
      <c r="M2106" s="1">
        <v>0.1622960939331089</v>
      </c>
      <c r="N2106" s="1">
        <v>1.8118437670107437</v>
      </c>
      <c r="O2106" s="1">
        <v>0.15816296296296295</v>
      </c>
      <c r="P2106" s="1">
        <v>0.12135237683524903</v>
      </c>
      <c r="Q2106" s="1">
        <v>2.8321155651704504</v>
      </c>
      <c r="R2106" s="2">
        <f t="shared" si="131"/>
        <v>145.30086435279446</v>
      </c>
      <c r="S2106" s="2">
        <f t="shared" si="130"/>
        <v>3.3999415019559285</v>
      </c>
      <c r="T2106" s="2">
        <f t="shared" si="132"/>
        <v>16.56600484694712</v>
      </c>
      <c r="U2106" s="2">
        <f t="shared" si="133"/>
        <v>165.26681070169752</v>
      </c>
    </row>
    <row r="2107" spans="1:21" x14ac:dyDescent="0.25">
      <c r="A2107">
        <v>3890633</v>
      </c>
      <c r="B2107">
        <v>28</v>
      </c>
      <c r="C2107" s="1">
        <f>4.98575993822938*(10.3/7.3)</f>
        <v>7.0347023785976139</v>
      </c>
      <c r="D2107" s="1">
        <f>6.25838352837344*(10.3/7.3)</f>
        <v>8.8303219646912954</v>
      </c>
      <c r="E2107" s="1">
        <f>22.1472778896507*(10.3/7.3)</f>
        <v>31.248898940192078</v>
      </c>
      <c r="F2107" s="1">
        <f>43.1777862255849*(38.9/42.5)</f>
        <v>39.520373745300077</v>
      </c>
      <c r="G2107" s="1">
        <v>1.5369233911927183</v>
      </c>
      <c r="H2107" s="1">
        <v>7.4631692948711379</v>
      </c>
      <c r="I2107" s="1">
        <v>31.936869095991646</v>
      </c>
      <c r="J2107" s="1">
        <v>3.8443729126381096E-2</v>
      </c>
      <c r="K2107" s="1">
        <v>2.5845846481529788</v>
      </c>
      <c r="L2107" s="1">
        <v>14.962213264778683</v>
      </c>
      <c r="M2107" s="1">
        <v>0.15501099316433486</v>
      </c>
      <c r="N2107" s="1">
        <v>1.7574304662823643</v>
      </c>
      <c r="O2107" s="1">
        <v>0.15345523809523809</v>
      </c>
      <c r="P2107" s="1">
        <v>0.11631705301428749</v>
      </c>
      <c r="Q2107" s="1">
        <v>2.4562702598970403</v>
      </c>
      <c r="R2107" s="2">
        <f t="shared" si="131"/>
        <v>130.02752907073361</v>
      </c>
      <c r="S2107" s="2">
        <f t="shared" si="130"/>
        <v>2.7393454302936475</v>
      </c>
      <c r="T2107" s="2">
        <f t="shared" si="132"/>
        <v>17.02810996232062</v>
      </c>
      <c r="U2107" s="2">
        <f t="shared" si="133"/>
        <v>149.79498446334787</v>
      </c>
    </row>
    <row r="2108" spans="1:21" x14ac:dyDescent="0.25">
      <c r="A2108">
        <v>3890641</v>
      </c>
      <c r="B2108">
        <v>20</v>
      </c>
      <c r="C2108" s="1">
        <f>5.04556060807336*(10.3/7.3)</f>
        <v>7.1190786661857022</v>
      </c>
      <c r="D2108" s="1">
        <f>6.63941704714389*(10.3/7.3)</f>
        <v>9.3679446007646607</v>
      </c>
      <c r="E2108" s="1">
        <f>23.4936458380121*(10.3/7.3)</f>
        <v>33.14856878514037</v>
      </c>
      <c r="F2108" s="1">
        <f>43.4525881296938*(38.9/42.5)</f>
        <v>39.771898311649124</v>
      </c>
      <c r="G2108" s="1">
        <v>1.4506276028969665</v>
      </c>
      <c r="H2108" s="1">
        <v>6.2991260274200114</v>
      </c>
      <c r="I2108" s="1">
        <v>31.220263248545358</v>
      </c>
      <c r="J2108" s="1">
        <v>4.0911273345596626E-2</v>
      </c>
      <c r="K2108" s="1">
        <v>2.5648084446591306</v>
      </c>
      <c r="L2108" s="1">
        <v>11.95860188392707</v>
      </c>
      <c r="M2108" s="1">
        <v>0.15501979960655521</v>
      </c>
      <c r="N2108" s="1">
        <v>1.8241523812181832</v>
      </c>
      <c r="O2108" s="1">
        <v>0.15313066666666666</v>
      </c>
      <c r="P2108" s="1">
        <v>0.11699556772653741</v>
      </c>
      <c r="Q2108" s="1">
        <v>2.3183546165020035</v>
      </c>
      <c r="R2108" s="2">
        <f t="shared" si="131"/>
        <v>130.69586185910421</v>
      </c>
      <c r="S2108" s="2">
        <f t="shared" si="130"/>
        <v>2.7227152857312649</v>
      </c>
      <c r="T2108" s="2">
        <f t="shared" si="132"/>
        <v>14.090904731418474</v>
      </c>
      <c r="U2108" s="2">
        <f t="shared" si="133"/>
        <v>147.50948187625394</v>
      </c>
    </row>
    <row r="2109" spans="1:21" x14ac:dyDescent="0.25">
      <c r="A2109">
        <v>3890649</v>
      </c>
      <c r="B2109">
        <v>4</v>
      </c>
      <c r="C2109" s="1">
        <f>6.31491659622696*(10.3/7.3)</f>
        <v>8.9100878001558499</v>
      </c>
      <c r="D2109" s="1">
        <f>8.79776520041022*(10.3/7.3)</f>
        <v>12.413285145784286</v>
      </c>
      <c r="E2109" s="1">
        <f>31.1100980726727*(10.3/7.3)</f>
        <v>43.895069883360165</v>
      </c>
      <c r="F2109" s="1">
        <f>54.858504512529*(38.9/42.5)</f>
        <v>50.211666483232435</v>
      </c>
      <c r="G2109" s="1">
        <v>1.7226202784401479</v>
      </c>
      <c r="H2109" s="1">
        <v>7.9324815964550623</v>
      </c>
      <c r="I2109" s="1">
        <v>38.098597312981113</v>
      </c>
      <c r="J2109" s="1">
        <v>4.3163990220303865E-2</v>
      </c>
      <c r="K2109" s="1">
        <v>2.6868915513735177</v>
      </c>
      <c r="L2109" s="1">
        <v>7.2007254935886298</v>
      </c>
      <c r="M2109" s="1">
        <v>0.16160263388105844</v>
      </c>
      <c r="N2109" s="1">
        <v>1.9485958820107381</v>
      </c>
      <c r="O2109" s="1">
        <v>0.16030666666666665</v>
      </c>
      <c r="P2109" s="1">
        <v>0.12018266665560087</v>
      </c>
      <c r="Q2109" s="1">
        <v>2.7530461070961296</v>
      </c>
      <c r="R2109" s="2">
        <f t="shared" si="131"/>
        <v>165.93685460750518</v>
      </c>
      <c r="S2109" s="2">
        <f t="shared" si="130"/>
        <v>2.8502382082494222</v>
      </c>
      <c r="T2109" s="2">
        <f t="shared" si="132"/>
        <v>9.4712306761470924</v>
      </c>
      <c r="U2109" s="2">
        <f t="shared" si="133"/>
        <v>178.25832349190168</v>
      </c>
    </row>
    <row r="2110" spans="1:21" x14ac:dyDescent="0.25">
      <c r="A2110">
        <v>3890657</v>
      </c>
      <c r="B2110">
        <v>2</v>
      </c>
      <c r="C2110" s="1">
        <f>7.11150020975291*(10.3/7.3)</f>
        <v>10.034034542528079</v>
      </c>
      <c r="D2110" s="1">
        <f>9.8077116074343*(10.3/7.3)</f>
        <v>13.838278021448396</v>
      </c>
      <c r="E2110" s="1">
        <f>34.6923289569741*(10.3/7.3)</f>
        <v>48.949450446141512</v>
      </c>
      <c r="F2110" s="1">
        <f>61.347693881039*(38.9/42.5)</f>
        <v>56.151183340527439</v>
      </c>
      <c r="G2110" s="1">
        <v>1.9302359893577243</v>
      </c>
      <c r="H2110" s="1">
        <v>10.339266717716995</v>
      </c>
      <c r="I2110" s="1">
        <v>42.802823947670483</v>
      </c>
      <c r="J2110" s="1">
        <v>4.5576251556282511E-2</v>
      </c>
      <c r="K2110" s="1">
        <v>2.859180960822699</v>
      </c>
      <c r="L2110" s="1">
        <v>8.6121221667994163</v>
      </c>
      <c r="M2110" s="1">
        <v>0.17646917325846573</v>
      </c>
      <c r="N2110" s="1">
        <v>2.1533770860157961</v>
      </c>
      <c r="O2110" s="1">
        <v>0.16944000000000001</v>
      </c>
      <c r="P2110" s="1">
        <v>0.1272009277334897</v>
      </c>
      <c r="Q2110" s="1">
        <v>3.0848520377863204</v>
      </c>
      <c r="R2110" s="2">
        <f t="shared" si="131"/>
        <v>187.13012504317695</v>
      </c>
      <c r="S2110" s="2">
        <f t="shared" si="130"/>
        <v>3.0319581401124713</v>
      </c>
      <c r="T2110" s="2">
        <f t="shared" si="132"/>
        <v>11.111408426073679</v>
      </c>
      <c r="U2110" s="2">
        <f t="shared" si="133"/>
        <v>201.27349160936308</v>
      </c>
    </row>
    <row r="2111" spans="1:21" x14ac:dyDescent="0.25">
      <c r="A2111">
        <v>3890681</v>
      </c>
      <c r="B2111">
        <v>25</v>
      </c>
      <c r="C2111" s="1">
        <f>7.16893388828813*(10.3/7.3)</f>
        <v>10.115071102653118</v>
      </c>
      <c r="D2111" s="1">
        <f>9.70775884249003*(10.3/7.3)</f>
        <v>13.697248777759903</v>
      </c>
      <c r="E2111" s="1">
        <f>34.3783534446563*(10.3/7.3)</f>
        <v>48.506443901364307</v>
      </c>
      <c r="F2111" s="1">
        <f>60.1111342851488*(38.9/42.5)</f>
        <v>55.019367616289102</v>
      </c>
      <c r="G2111" s="1">
        <v>1.8460309196274327</v>
      </c>
      <c r="H2111" s="1">
        <v>8.490022691259048</v>
      </c>
      <c r="I2111" s="1">
        <v>42.100669981913377</v>
      </c>
      <c r="J2111" s="1">
        <v>4.3317679060390316E-2</v>
      </c>
      <c r="K2111" s="1">
        <v>2.6053563842851108</v>
      </c>
      <c r="L2111" s="1">
        <v>6.8957649017809866</v>
      </c>
      <c r="M2111" s="1">
        <v>0.15819258449776821</v>
      </c>
      <c r="N2111" s="1">
        <v>2.0379558371849833</v>
      </c>
      <c r="O2111" s="1">
        <v>0.15139626666666664</v>
      </c>
      <c r="P2111" s="1">
        <v>0.11540978770807277</v>
      </c>
      <c r="Q2111" s="1">
        <v>2.9502777254319739</v>
      </c>
      <c r="R2111" s="2">
        <f t="shared" si="131"/>
        <v>182.72513271629828</v>
      </c>
      <c r="S2111" s="2">
        <f t="shared" si="130"/>
        <v>2.7640838510535737</v>
      </c>
      <c r="T2111" s="2">
        <f t="shared" si="132"/>
        <v>9.243309590130405</v>
      </c>
      <c r="U2111" s="2">
        <f t="shared" si="133"/>
        <v>194.73252615748225</v>
      </c>
    </row>
    <row r="2112" spans="1:21" x14ac:dyDescent="0.25">
      <c r="A2112">
        <v>3890689</v>
      </c>
      <c r="B2112">
        <v>36</v>
      </c>
      <c r="C2112" s="1">
        <f>6.9040565603972*(10.3/7.3)</f>
        <v>9.7413400783686459</v>
      </c>
      <c r="D2112" s="1">
        <f>9.44674679310701*(10.3/7.3)</f>
        <v>13.328971502603045</v>
      </c>
      <c r="E2112" s="1">
        <f>33.3812582435362*(10.3/7.3)</f>
        <v>47.09958354909898</v>
      </c>
      <c r="F2112" s="1">
        <f>61.2962373668414*(38.9/42.5)</f>
        <v>56.104085495767812</v>
      </c>
      <c r="G2112" s="1">
        <v>2.0438494102618012</v>
      </c>
      <c r="H2112" s="1">
        <v>10.003824657123964</v>
      </c>
      <c r="I2112" s="1">
        <v>43.338405057253176</v>
      </c>
      <c r="J2112" s="1">
        <v>4.158764002449724E-2</v>
      </c>
      <c r="K2112" s="1">
        <v>2.6236310345768721</v>
      </c>
      <c r="L2112" s="1">
        <v>7.7038882878228474</v>
      </c>
      <c r="M2112" s="1">
        <v>0.15609758441853538</v>
      </c>
      <c r="N2112" s="1">
        <v>2.0008037998868207</v>
      </c>
      <c r="O2112" s="1">
        <v>0.14954518518518517</v>
      </c>
      <c r="P2112" s="1">
        <v>0.11341663937776787</v>
      </c>
      <c r="Q2112" s="1">
        <v>3.2664259981353028</v>
      </c>
      <c r="R2112" s="2">
        <f t="shared" si="131"/>
        <v>184.92648574861272</v>
      </c>
      <c r="S2112" s="2">
        <f t="shared" si="130"/>
        <v>2.7786353139791373</v>
      </c>
      <c r="T2112" s="2">
        <f t="shared" si="132"/>
        <v>10.010334857313389</v>
      </c>
      <c r="U2112" s="2">
        <f t="shared" si="133"/>
        <v>197.71545591990522</v>
      </c>
    </row>
    <row r="2113" spans="1:21" x14ac:dyDescent="0.25">
      <c r="A2113">
        <v>3890705</v>
      </c>
      <c r="B2113">
        <v>46</v>
      </c>
      <c r="C2113" s="1">
        <f>5.58119382002926*(10.3/7.3)</f>
        <v>7.8748351159316901</v>
      </c>
      <c r="D2113" s="1">
        <f>6.78965857658162*(10.3/7.3)</f>
        <v>9.5799292244918774</v>
      </c>
      <c r="E2113" s="1">
        <f>24.1120515447451*(10.3/7.3)</f>
        <v>34.021113823407539</v>
      </c>
      <c r="F2113" s="1">
        <f>44.4709343568074*(38.9/42.5)</f>
        <v>40.703984623054325</v>
      </c>
      <c r="G2113" s="1">
        <v>1.4475953545631517</v>
      </c>
      <c r="H2113" s="1">
        <v>8.6233579589739247</v>
      </c>
      <c r="I2113" s="1">
        <v>32.88577111313738</v>
      </c>
      <c r="J2113" s="1">
        <v>3.9966182727880183E-2</v>
      </c>
      <c r="K2113" s="1">
        <v>2.5746987436879301</v>
      </c>
      <c r="L2113" s="1">
        <v>8.8973334628992031</v>
      </c>
      <c r="M2113" s="1">
        <v>0.14713738845209734</v>
      </c>
      <c r="N2113" s="1">
        <v>1.9568714897920216</v>
      </c>
      <c r="O2113" s="1">
        <v>0.13732637681159418</v>
      </c>
      <c r="P2113" s="1">
        <v>0.10840996993718087</v>
      </c>
      <c r="Q2113" s="1">
        <v>2.3135085575210219</v>
      </c>
      <c r="R2113" s="2">
        <f t="shared" si="131"/>
        <v>137.45009577108092</v>
      </c>
      <c r="S2113" s="2">
        <f t="shared" si="130"/>
        <v>2.7230748963529909</v>
      </c>
      <c r="T2113" s="2">
        <f t="shared" si="132"/>
        <v>11.138668717954916</v>
      </c>
      <c r="U2113" s="2">
        <f t="shared" si="133"/>
        <v>151.31183938538882</v>
      </c>
    </row>
    <row r="2114" spans="1:21" x14ac:dyDescent="0.25">
      <c r="A2114">
        <v>3890713</v>
      </c>
      <c r="B2114">
        <v>26</v>
      </c>
      <c r="C2114" s="1">
        <f>5.22405661316575*(10.3/7.3)</f>
        <v>7.3709291939188022</v>
      </c>
      <c r="D2114" s="1">
        <f>6.30560315679682*(10.3/7.3)</f>
        <v>8.8969469198640088</v>
      </c>
      <c r="E2114" s="1">
        <f>22.3986855180557*(10.3/7.3)</f>
        <v>31.603624772051141</v>
      </c>
      <c r="F2114" s="1">
        <f>41.4365386972902*(38.9/42.5)</f>
        <v>37.926620125284458</v>
      </c>
      <c r="G2114" s="1">
        <v>1.3523289299878696</v>
      </c>
      <c r="H2114" s="1">
        <v>7.4473520602298988</v>
      </c>
      <c r="I2114" s="1">
        <v>30.753755971066749</v>
      </c>
      <c r="J2114" s="1">
        <v>3.700922317045862E-2</v>
      </c>
      <c r="K2114" s="1">
        <v>2.2846603087150412</v>
      </c>
      <c r="L2114" s="1">
        <v>11.607891799065358</v>
      </c>
      <c r="M2114" s="1">
        <v>0.13629844411948197</v>
      </c>
      <c r="N2114" s="1">
        <v>1.8988122491002102</v>
      </c>
      <c r="O2114" s="1">
        <v>0.12618871794871797</v>
      </c>
      <c r="P2114" s="1">
        <v>0.10022094503732434</v>
      </c>
      <c r="Q2114" s="1">
        <v>2.161256280802534</v>
      </c>
      <c r="R2114" s="2">
        <f t="shared" si="131"/>
        <v>127.51281425320546</v>
      </c>
      <c r="S2114" s="2">
        <f t="shared" si="130"/>
        <v>2.4218904769228238</v>
      </c>
      <c r="T2114" s="2">
        <f t="shared" si="132"/>
        <v>13.769191210233769</v>
      </c>
      <c r="U2114" s="2">
        <f t="shared" si="133"/>
        <v>143.70389594036206</v>
      </c>
    </row>
    <row r="2115" spans="1:21" x14ac:dyDescent="0.25">
      <c r="A2115">
        <v>3890721</v>
      </c>
      <c r="B2115">
        <v>28</v>
      </c>
      <c r="C2115" s="1">
        <f>5.76271345556487*(10.3/7.3)</f>
        <v>8.1309518619613872</v>
      </c>
      <c r="D2115" s="1">
        <f>6.97069044258499*(10.3/7.3)</f>
        <v>9.8353577477569036</v>
      </c>
      <c r="E2115" s="1">
        <f>24.7598019485605*(10.3/7.3)</f>
        <v>34.935063023311336</v>
      </c>
      <c r="F2115" s="1">
        <f>45.7505484969061*(38.9/42.5)</f>
        <v>41.875207918344678</v>
      </c>
      <c r="G2115" s="1">
        <v>1.4912464020059795</v>
      </c>
      <c r="H2115" s="1">
        <v>6.324079237729177</v>
      </c>
      <c r="I2115" s="1">
        <v>33.919317359859356</v>
      </c>
      <c r="J2115" s="1">
        <v>3.9074754142276E-2</v>
      </c>
      <c r="K2115" s="1">
        <v>2.3916713058002785</v>
      </c>
      <c r="L2115" s="1">
        <v>14.138156420093912</v>
      </c>
      <c r="M2115" s="1">
        <v>0.14068170762914006</v>
      </c>
      <c r="N2115" s="1">
        <v>4.7994616738780111</v>
      </c>
      <c r="O2115" s="1">
        <v>0.13005142857142862</v>
      </c>
      <c r="P2115" s="1">
        <v>0.10320103232455205</v>
      </c>
      <c r="Q2115" s="1">
        <v>2.3832705054890106</v>
      </c>
      <c r="R2115" s="2">
        <f t="shared" si="131"/>
        <v>138.89449405645783</v>
      </c>
      <c r="S2115" s="2">
        <f t="shared" si="130"/>
        <v>2.5339470922671068</v>
      </c>
      <c r="T2115" s="2">
        <f t="shared" si="132"/>
        <v>19.208351230172489</v>
      </c>
      <c r="U2115" s="2">
        <f t="shared" si="133"/>
        <v>160.63679237889744</v>
      </c>
    </row>
    <row r="2116" spans="1:21" x14ac:dyDescent="0.25">
      <c r="A2116">
        <v>3890729</v>
      </c>
      <c r="B2116">
        <v>14</v>
      </c>
      <c r="C2116" s="1">
        <f>5.87082123168624*(10.3/7.3)</f>
        <v>8.2834874912833314</v>
      </c>
      <c r="D2116" s="1">
        <f>7.37366038866725*(10.3/7.3)</f>
        <v>10.403931781270229</v>
      </c>
      <c r="E2116" s="1">
        <f>26.169749698044*(10.3/7.3)</f>
        <v>36.92444135477443</v>
      </c>
      <c r="F2116" s="1">
        <f>47.1679530710195*(38.9/42.5)</f>
        <v>43.172549987356653</v>
      </c>
      <c r="G2116" s="1">
        <v>1.4927025476344156</v>
      </c>
      <c r="H2116" s="1">
        <v>6.0962612263007836</v>
      </c>
      <c r="I2116" s="1">
        <v>34.277185258465366</v>
      </c>
      <c r="J2116" s="1">
        <v>4.1636133781722595E-2</v>
      </c>
      <c r="K2116" s="1">
        <v>2.4562671456717902</v>
      </c>
      <c r="L2116" s="1">
        <v>10.857242780561347</v>
      </c>
      <c r="M2116" s="1">
        <v>0.14435350185373189</v>
      </c>
      <c r="N2116" s="1">
        <v>2.2368628568932438</v>
      </c>
      <c r="O2116" s="1">
        <v>0.13289142857142858</v>
      </c>
      <c r="P2116" s="1">
        <v>0.10483491382930409</v>
      </c>
      <c r="Q2116" s="1">
        <v>2.3855976788677902</v>
      </c>
      <c r="R2116" s="2">
        <f t="shared" si="131"/>
        <v>143.03615732595301</v>
      </c>
      <c r="S2116" s="2">
        <f t="shared" si="130"/>
        <v>2.6027381932828169</v>
      </c>
      <c r="T2116" s="2">
        <f t="shared" si="132"/>
        <v>13.37135056787975</v>
      </c>
      <c r="U2116" s="2">
        <f t="shared" si="133"/>
        <v>159.01024608711558</v>
      </c>
    </row>
    <row r="2117" spans="1:21" x14ac:dyDescent="0.25">
      <c r="A2117">
        <v>3890777</v>
      </c>
      <c r="B2117">
        <v>1</v>
      </c>
      <c r="C2117" s="1">
        <f>6.65147317294167*(10.3/7.3)</f>
        <v>9.3849552988081175</v>
      </c>
      <c r="D2117" s="1">
        <f>7.39381819597788*(10.3/7.3)</f>
        <v>10.432373618982487</v>
      </c>
      <c r="E2117" s="1">
        <f>26.3710050924122*(10.3/7.3)</f>
        <v>37.208404445458285</v>
      </c>
      <c r="F2117" s="1">
        <f>48.7037402346906*(38.9/42.5)</f>
        <v>44.578246944222677</v>
      </c>
      <c r="G2117" s="1">
        <v>1.5471930498353741</v>
      </c>
      <c r="H2117" s="1">
        <v>7.6352024851756761</v>
      </c>
      <c r="I2117" s="1">
        <v>37.323111968229149</v>
      </c>
      <c r="J2117" s="1">
        <v>5.9837659384293453E-2</v>
      </c>
      <c r="K2117" s="1">
        <v>2.7140858462520101</v>
      </c>
      <c r="L2117" s="1">
        <v>7.9752700259580598</v>
      </c>
      <c r="M2117" s="1">
        <v>0.15095734251003348</v>
      </c>
      <c r="N2117" s="1">
        <v>2.2008741746638676</v>
      </c>
      <c r="O2117" s="1">
        <v>0.13791999999999999</v>
      </c>
      <c r="P2117" s="1">
        <v>0.10615192084638937</v>
      </c>
      <c r="Q2117" s="1">
        <v>2.4726829563579065</v>
      </c>
      <c r="R2117" s="2">
        <f t="shared" si="131"/>
        <v>150.5821707670697</v>
      </c>
      <c r="S2117" s="2">
        <f t="shared" si="130"/>
        <v>2.8800754264826929</v>
      </c>
      <c r="T2117" s="2">
        <f t="shared" si="132"/>
        <v>10.465021543131961</v>
      </c>
      <c r="U2117" s="2">
        <f t="shared" si="133"/>
        <v>163.92726773668437</v>
      </c>
    </row>
    <row r="2118" spans="1:21" x14ac:dyDescent="0.25">
      <c r="A2118">
        <v>3890785</v>
      </c>
      <c r="B2118">
        <v>11</v>
      </c>
      <c r="C2118" s="1">
        <f>5.1531718125915*(10.3/7.3)</f>
        <v>7.2709136533825331</v>
      </c>
      <c r="D2118" s="1">
        <f>5.70706318608313*(10.3/7.3)</f>
        <v>8.0524316187200355</v>
      </c>
      <c r="E2118" s="1">
        <f>20.3564681432414*(10.3/7.3)</f>
        <v>28.722139982929644</v>
      </c>
      <c r="F2118" s="1">
        <f>37.7128384764418*(38.9/42.5)</f>
        <v>34.518339217260817</v>
      </c>
      <c r="G2118" s="1">
        <v>1.2027762890883873</v>
      </c>
      <c r="H2118" s="1">
        <v>6.2176681918434573</v>
      </c>
      <c r="I2118" s="1">
        <v>28.958829257346324</v>
      </c>
      <c r="J2118" s="1">
        <v>4.6555660132607729E-2</v>
      </c>
      <c r="K2118" s="1">
        <v>2.304423209592894</v>
      </c>
      <c r="L2118" s="1">
        <v>6.6344270053234089</v>
      </c>
      <c r="M2118" s="1">
        <v>0.12781860407539666</v>
      </c>
      <c r="N2118" s="1">
        <v>1.779373034666424</v>
      </c>
      <c r="O2118" s="1">
        <v>0.11504484848484849</v>
      </c>
      <c r="P2118" s="1">
        <v>9.2633693989198698E-2</v>
      </c>
      <c r="Q2118" s="1">
        <v>1.9222452108718535</v>
      </c>
      <c r="R2118" s="2">
        <f t="shared" si="131"/>
        <v>116.86534342144304</v>
      </c>
      <c r="S2118" s="2">
        <f t="shared" si="130"/>
        <v>2.4436125637147006</v>
      </c>
      <c r="T2118" s="2">
        <f t="shared" si="132"/>
        <v>8.6566634925500772</v>
      </c>
      <c r="U2118" s="2">
        <f t="shared" si="133"/>
        <v>127.96561947770782</v>
      </c>
    </row>
    <row r="2119" spans="1:21" x14ac:dyDescent="0.25">
      <c r="A2119">
        <v>3890825</v>
      </c>
      <c r="B2119">
        <v>29</v>
      </c>
      <c r="C2119" s="1">
        <f>5.66467088618582*(10.3/7.3)</f>
        <v>7.992617825714242</v>
      </c>
      <c r="D2119" s="1">
        <f>6.17287193174623*(10.3/7.3)</f>
        <v>8.7096686160254979</v>
      </c>
      <c r="E2119" s="1">
        <f>22.0433791988579*(10.3/7.3)</f>
        <v>31.102302157292719</v>
      </c>
      <c r="F2119" s="1">
        <f>40.473402411148*(38.9/42.5)</f>
        <v>37.045067148086048</v>
      </c>
      <c r="G2119" s="1">
        <v>1.2652663426818624</v>
      </c>
      <c r="H2119" s="1">
        <v>4.421808150114301</v>
      </c>
      <c r="I2119" s="1">
        <v>31.235843594954538</v>
      </c>
      <c r="J2119" s="1">
        <v>3.7518114986582939E-2</v>
      </c>
      <c r="K2119" s="1">
        <v>2.5447332427869092</v>
      </c>
      <c r="L2119" s="1">
        <v>10.719952130591109</v>
      </c>
      <c r="M2119" s="1">
        <v>0.12640882320238453</v>
      </c>
      <c r="N2119" s="1">
        <v>1.5459394200232452</v>
      </c>
      <c r="O2119" s="1">
        <v>0.11040919540229886</v>
      </c>
      <c r="P2119" s="1">
        <v>8.9187786903388494E-2</v>
      </c>
      <c r="Q2119" s="1">
        <v>2.0221151595372251</v>
      </c>
      <c r="R2119" s="2">
        <f t="shared" si="131"/>
        <v>123.79468899440643</v>
      </c>
      <c r="S2119" s="2">
        <f t="shared" si="130"/>
        <v>2.6714391446768806</v>
      </c>
      <c r="T2119" s="2">
        <f t="shared" si="132"/>
        <v>12.502709569219038</v>
      </c>
      <c r="U2119" s="2">
        <f t="shared" si="133"/>
        <v>138.96883770830235</v>
      </c>
    </row>
    <row r="2120" spans="1:21" x14ac:dyDescent="0.25">
      <c r="A2120">
        <v>3890833</v>
      </c>
      <c r="B2120">
        <v>18</v>
      </c>
      <c r="C2120" s="1">
        <f>6.93204762348359*(10.3/7.3)</f>
        <v>9.7808343180658923</v>
      </c>
      <c r="D2120" s="1">
        <f>7.64018121473563*(10.3/7.3)</f>
        <v>10.779981713942057</v>
      </c>
      <c r="E2120" s="1">
        <f>27.2408791165168*(10.3/7.3)</f>
        <v>38.435760945222391</v>
      </c>
      <c r="F2120" s="1">
        <f>51.3468546406841*(38.9/42.5)</f>
        <v>46.997474012296699</v>
      </c>
      <c r="G2120" s="1">
        <v>1.6810136846358219</v>
      </c>
      <c r="H2120" s="1">
        <v>7.1639973652883855</v>
      </c>
      <c r="I2120" s="1">
        <v>39.617329688530937</v>
      </c>
      <c r="J2120" s="1">
        <v>4.2128884237084649E-2</v>
      </c>
      <c r="K2120" s="1">
        <v>3.0228204234767575</v>
      </c>
      <c r="L2120" s="1">
        <v>8.8314412088492134</v>
      </c>
      <c r="M2120" s="1">
        <v>0.13524710807193782</v>
      </c>
      <c r="N2120" s="1">
        <v>1.7822160830097877</v>
      </c>
      <c r="O2120" s="1">
        <v>0.1196859259259259</v>
      </c>
      <c r="P2120" s="1">
        <v>9.3302758818100892E-2</v>
      </c>
      <c r="Q2120" s="1">
        <v>2.6865515507878461</v>
      </c>
      <c r="R2120" s="2">
        <f t="shared" si="131"/>
        <v>157.14294327877002</v>
      </c>
      <c r="S2120" s="2">
        <f t="shared" si="130"/>
        <v>3.1582520665319431</v>
      </c>
      <c r="T2120" s="2">
        <f t="shared" si="132"/>
        <v>10.868590325856866</v>
      </c>
      <c r="U2120" s="2">
        <f t="shared" si="133"/>
        <v>171.16978567115882</v>
      </c>
    </row>
    <row r="2121" spans="1:21" x14ac:dyDescent="0.25">
      <c r="A2121">
        <v>3890849</v>
      </c>
      <c r="B2121">
        <v>4</v>
      </c>
      <c r="C2121" s="1">
        <f>5.32615718593788*(10.3/7.3)</f>
        <v>7.5149889061863213</v>
      </c>
      <c r="D2121" s="1">
        <f>5.89491976512009*(10.3/7.3)</f>
        <v>8.3174895316078032</v>
      </c>
      <c r="E2121" s="1">
        <f>21.0192110386606*(10.3/7.3)</f>
        <v>29.657242972356698</v>
      </c>
      <c r="F2121" s="1">
        <f>39.3428960861569*(38.9/42.5)</f>
        <v>36.010321358858924</v>
      </c>
      <c r="G2121" s="1">
        <v>1.2754686116447997</v>
      </c>
      <c r="H2121" s="1">
        <v>5.9665765131074773</v>
      </c>
      <c r="I2121" s="1">
        <v>30.270265013674415</v>
      </c>
      <c r="J2121" s="1">
        <v>3.5755356460200588E-2</v>
      </c>
      <c r="K2121" s="1">
        <v>2.8400280651225818</v>
      </c>
      <c r="L2121" s="1">
        <v>5.8271105638939877</v>
      </c>
      <c r="M2121" s="1">
        <v>0.1215199692180951</v>
      </c>
      <c r="N2121" s="1">
        <v>1.7463937287016968</v>
      </c>
      <c r="O2121" s="1">
        <v>0.10904</v>
      </c>
      <c r="P2121" s="1">
        <v>8.887920197100517E-2</v>
      </c>
      <c r="Q2121" s="1">
        <v>2.0384201555967141</v>
      </c>
      <c r="R2121" s="2">
        <f t="shared" si="131"/>
        <v>121.05077306303316</v>
      </c>
      <c r="S2121" s="2">
        <f t="shared" ref="S2121:S2184" si="134">J2121+K2121+P2121</f>
        <v>2.9646626235537874</v>
      </c>
      <c r="T2121" s="2">
        <f t="shared" si="132"/>
        <v>7.8040642618137799</v>
      </c>
      <c r="U2121" s="2">
        <f t="shared" si="133"/>
        <v>131.81949994840073</v>
      </c>
    </row>
    <row r="2122" spans="1:21" x14ac:dyDescent="0.25">
      <c r="A2122">
        <v>3890857</v>
      </c>
      <c r="B2122">
        <v>18</v>
      </c>
      <c r="C2122" s="1">
        <f>5.29993630865932*(10.3/7.3)</f>
        <v>7.4779923259165688</v>
      </c>
      <c r="D2122" s="1">
        <f>5.72836025874698*(10.3/7.3)</f>
        <v>8.0824809130265667</v>
      </c>
      <c r="E2122" s="1">
        <f>20.4430722716198*(10.3/7.3)</f>
        <v>28.844334848997775</v>
      </c>
      <c r="F2122" s="1">
        <f>38.6212406089588*(38.9/42.5)</f>
        <v>35.349794345611713</v>
      </c>
      <c r="G2122" s="1">
        <v>1.2614904651589625</v>
      </c>
      <c r="H2122" s="1">
        <v>4.9322579479687425</v>
      </c>
      <c r="I2122" s="1">
        <v>30.040404195600484</v>
      </c>
      <c r="J2122" s="1">
        <v>3.4758910777880486E-2</v>
      </c>
      <c r="K2122" s="1">
        <v>2.4955556168450972</v>
      </c>
      <c r="L2122" s="1">
        <v>4.60928098569428</v>
      </c>
      <c r="M2122" s="1">
        <v>0.11870881410377548</v>
      </c>
      <c r="N2122" s="1">
        <v>1.566599387164481</v>
      </c>
      <c r="O2122" s="1">
        <v>0.1046962962962963</v>
      </c>
      <c r="P2122" s="1">
        <v>8.6235719702542235E-2</v>
      </c>
      <c r="Q2122" s="1">
        <v>2.0160806520805354</v>
      </c>
      <c r="R2122" s="2">
        <f t="shared" ref="R2122:R2185" si="135">C2122+D2122+E2122+F2122+G2122+H2122+I2122+Q2122</f>
        <v>118.00483569436133</v>
      </c>
      <c r="S2122" s="2">
        <f t="shared" si="134"/>
        <v>2.6165502473255198</v>
      </c>
      <c r="T2122" s="2">
        <f t="shared" ref="T2122:T2185" si="136">L2122+M2122+N2122+O2122</f>
        <v>6.3992854832588328</v>
      </c>
      <c r="U2122" s="2">
        <f t="shared" ref="U2122:U2185" si="137">R2122+S2122+T2122</f>
        <v>127.02067142494569</v>
      </c>
    </row>
    <row r="2123" spans="1:21" x14ac:dyDescent="0.25">
      <c r="A2123">
        <v>3890865</v>
      </c>
      <c r="B2123">
        <v>21</v>
      </c>
      <c r="C2123" s="1">
        <f>4.99856217487533*(10.3/7.3)</f>
        <v>7.0527658083857396</v>
      </c>
      <c r="D2123" s="1">
        <f>5.713191811933*(10.3/7.3)</f>
        <v>8.061078857932868</v>
      </c>
      <c r="E2123" s="1">
        <f>20.1946522282781*(10.3/7.3)</f>
        <v>28.493824376885566</v>
      </c>
      <c r="F2123" s="1">
        <f>45.0449676650702*(38.9/42.5)</f>
        <v>41.229393933440697</v>
      </c>
      <c r="G2123" s="1">
        <v>1.8456262644212149</v>
      </c>
      <c r="H2123" s="1">
        <v>5.4882666597293834</v>
      </c>
      <c r="I2123" s="1">
        <v>35.218817756016726</v>
      </c>
      <c r="J2123" s="1">
        <v>3.1385563790891871E-2</v>
      </c>
      <c r="K2123" s="1">
        <v>2.3216948715653012</v>
      </c>
      <c r="L2123" s="1">
        <v>3.9972765137506072</v>
      </c>
      <c r="M2123" s="1">
        <v>0.11353454090761166</v>
      </c>
      <c r="N2123" s="1">
        <v>1.3839168598523723</v>
      </c>
      <c r="O2123" s="1">
        <v>0.10030476190476192</v>
      </c>
      <c r="P2123" s="1">
        <v>8.3137580256054167E-2</v>
      </c>
      <c r="Q2123" s="1">
        <v>2.9496310161982913</v>
      </c>
      <c r="R2123" s="2">
        <f t="shared" si="135"/>
        <v>130.33940467301048</v>
      </c>
      <c r="S2123" s="2">
        <f t="shared" si="134"/>
        <v>2.4362180156122473</v>
      </c>
      <c r="T2123" s="2">
        <f t="shared" si="136"/>
        <v>5.5950326764153537</v>
      </c>
      <c r="U2123" s="2">
        <f t="shared" si="137"/>
        <v>138.37065536503806</v>
      </c>
    </row>
    <row r="2124" spans="1:21" x14ac:dyDescent="0.25">
      <c r="A2124">
        <v>3902325</v>
      </c>
      <c r="B2124">
        <v>60</v>
      </c>
      <c r="C2124" s="1">
        <f>1.36999105132904*(10.3/7.3)</f>
        <v>1.9330010724231723</v>
      </c>
      <c r="D2124" s="1">
        <f>1.65027298159281*(10.3/7.3)</f>
        <v>2.3284673575898593</v>
      </c>
      <c r="E2124" s="1">
        <f>5.79295109803696*(10.3/7.3)</f>
        <v>8.1736159328466744</v>
      </c>
      <c r="F2124" s="1">
        <f>14.2233023487298*(38.9/42.5)</f>
        <v>13.018504973307968</v>
      </c>
      <c r="G2124" s="1">
        <v>0.64410404882229999</v>
      </c>
      <c r="H2124" s="1">
        <v>2.8252936463952536</v>
      </c>
      <c r="I2124" s="1">
        <v>11.104401874850089</v>
      </c>
      <c r="J2124" s="1">
        <v>3.818063028770137E-2</v>
      </c>
      <c r="K2124" s="1">
        <v>4.6008347238375835</v>
      </c>
      <c r="L2124" s="1">
        <v>4.479916383337387</v>
      </c>
      <c r="M2124" s="1">
        <v>0.24192755825783405</v>
      </c>
      <c r="N2124" s="1">
        <v>1.3695683334382298</v>
      </c>
      <c r="O2124" s="1">
        <v>1.3567911111111111</v>
      </c>
      <c r="P2124" s="1">
        <v>0.40367478154579922</v>
      </c>
      <c r="Q2124" s="1">
        <v>1.0293900323644074</v>
      </c>
      <c r="R2124" s="2">
        <f t="shared" si="135"/>
        <v>41.05677893859972</v>
      </c>
      <c r="S2124" s="2">
        <f t="shared" si="134"/>
        <v>5.0426901356710845</v>
      </c>
      <c r="T2124" s="2">
        <f t="shared" si="136"/>
        <v>7.448203386144562</v>
      </c>
      <c r="U2124" s="2">
        <f t="shared" si="137"/>
        <v>53.54767246041537</v>
      </c>
    </row>
    <row r="2125" spans="1:21" x14ac:dyDescent="0.25">
      <c r="A2125">
        <v>3902725</v>
      </c>
      <c r="B2125">
        <v>15</v>
      </c>
      <c r="C2125" s="1">
        <f>14.1528745087284*(10.3/7.3)</f>
        <v>19.96912430683599</v>
      </c>
      <c r="D2125" s="1">
        <f>11.2588603875246*(10.3/7.3)</f>
        <v>15.885789313904604</v>
      </c>
      <c r="E2125" s="1">
        <f>40.9192566635983*(10.3/7.3)</f>
        <v>57.735389539049685</v>
      </c>
      <c r="F2125" s="1">
        <f>77.673369884295*(38.9/42.5)</f>
        <v>71.093978552919438</v>
      </c>
      <c r="G2125" s="1">
        <v>2.2865267235801006</v>
      </c>
      <c r="H2125" s="1">
        <v>11.218451494276596</v>
      </c>
      <c r="I2125" s="1">
        <v>68.857003547399302</v>
      </c>
      <c r="J2125" s="1">
        <v>4.5145990695300564E-2</v>
      </c>
      <c r="K2125" s="1">
        <v>5.8854126955623931</v>
      </c>
      <c r="L2125" s="1">
        <v>5.7474534397085035</v>
      </c>
      <c r="M2125" s="1">
        <v>0.21506382807726379</v>
      </c>
      <c r="N2125" s="1">
        <v>2.417849576171279</v>
      </c>
      <c r="O2125" s="1">
        <v>0.22888888888888886</v>
      </c>
      <c r="P2125" s="1">
        <v>0.18501907768297832</v>
      </c>
      <c r="Q2125" s="1">
        <v>3.65426645321021</v>
      </c>
      <c r="R2125" s="2">
        <f t="shared" si="135"/>
        <v>250.70052993117591</v>
      </c>
      <c r="S2125" s="2">
        <f t="shared" si="134"/>
        <v>6.1155777639406725</v>
      </c>
      <c r="T2125" s="2">
        <f t="shared" si="136"/>
        <v>8.6092557328459343</v>
      </c>
      <c r="U2125" s="2">
        <f t="shared" si="137"/>
        <v>265.42536342796251</v>
      </c>
    </row>
    <row r="2126" spans="1:21" x14ac:dyDescent="0.25">
      <c r="A2126">
        <v>3902853</v>
      </c>
      <c r="B2126">
        <v>40</v>
      </c>
      <c r="C2126" s="1">
        <f>4.5920456423027*(10.3/7.3)</f>
        <v>6.4791876870846314</v>
      </c>
      <c r="D2126" s="1">
        <f>5.49467489481009*(10.3/7.3)</f>
        <v>7.7527604680197122</v>
      </c>
      <c r="E2126" s="1">
        <f>19.4690617742796*(10.3/7.3)</f>
        <v>27.470046065079391</v>
      </c>
      <c r="F2126" s="1">
        <f>38.8861673787445*(38.9/42.5)</f>
        <v>35.592280259603797</v>
      </c>
      <c r="G2126" s="1">
        <v>1.4135840245019833</v>
      </c>
      <c r="H2126" s="1">
        <v>7.2919038956530375</v>
      </c>
      <c r="I2126" s="1">
        <v>29.394180400094076</v>
      </c>
      <c r="J2126" s="1">
        <v>4.0853353614310597E-2</v>
      </c>
      <c r="K2126" s="1">
        <v>2.9361383614281134</v>
      </c>
      <c r="L2126" s="1">
        <v>13.433149663852054</v>
      </c>
      <c r="M2126" s="1">
        <v>0.16501469040907027</v>
      </c>
      <c r="N2126" s="1">
        <v>1.9485962734079822</v>
      </c>
      <c r="O2126" s="1">
        <v>0.15903200000000001</v>
      </c>
      <c r="P2126" s="1">
        <v>0.1254914182560509</v>
      </c>
      <c r="Q2126" s="1">
        <v>2.259152550573948</v>
      </c>
      <c r="R2126" s="2">
        <f t="shared" si="135"/>
        <v>117.65309535061057</v>
      </c>
      <c r="S2126" s="2">
        <f t="shared" si="134"/>
        <v>3.1024831332984748</v>
      </c>
      <c r="T2126" s="2">
        <f t="shared" si="136"/>
        <v>15.705792627669107</v>
      </c>
      <c r="U2126" s="2">
        <f t="shared" si="137"/>
        <v>136.46137111157816</v>
      </c>
    </row>
    <row r="2127" spans="1:21" x14ac:dyDescent="0.25">
      <c r="A2127">
        <v>3902861</v>
      </c>
      <c r="B2127">
        <v>34</v>
      </c>
      <c r="C2127" s="1">
        <f>4.42830202330999*(10.3/7.3)</f>
        <v>6.2481521698757385</v>
      </c>
      <c r="D2127" s="1">
        <f>5.45789493057816*(10.3/7.3)</f>
        <v>7.7008654499938398</v>
      </c>
      <c r="E2127" s="1">
        <f>19.3186565138423*(10.3/7.3)</f>
        <v>27.257830423640545</v>
      </c>
      <c r="F2127" s="1">
        <f>38.2609408071009*(38.9/42.5)</f>
        <v>35.020014056381761</v>
      </c>
      <c r="G2127" s="1">
        <v>1.3850199021829308</v>
      </c>
      <c r="H2127" s="1">
        <v>7.1207683434569082</v>
      </c>
      <c r="I2127" s="1">
        <v>28.575376568716685</v>
      </c>
      <c r="J2127" s="1">
        <v>3.8530286917310912E-2</v>
      </c>
      <c r="K2127" s="1">
        <v>3.0172945033926619</v>
      </c>
      <c r="L2127" s="1">
        <v>13.619753172498362</v>
      </c>
      <c r="M2127" s="1">
        <v>0.16063159993276327</v>
      </c>
      <c r="N2127" s="1">
        <v>1.8707850868535354</v>
      </c>
      <c r="O2127" s="1">
        <v>0.15856784313725486</v>
      </c>
      <c r="P2127" s="1">
        <v>0.12215189132691702</v>
      </c>
      <c r="Q2127" s="1">
        <v>2.2135021267763761</v>
      </c>
      <c r="R2127" s="2">
        <f t="shared" si="135"/>
        <v>115.52152904102479</v>
      </c>
      <c r="S2127" s="2">
        <f t="shared" si="134"/>
        <v>3.1779766816368897</v>
      </c>
      <c r="T2127" s="2">
        <f t="shared" si="136"/>
        <v>15.809737702421916</v>
      </c>
      <c r="U2127" s="2">
        <f t="shared" si="137"/>
        <v>134.50924342508361</v>
      </c>
    </row>
    <row r="2128" spans="1:21" x14ac:dyDescent="0.25">
      <c r="A2128">
        <v>3902869</v>
      </c>
      <c r="B2128">
        <v>15</v>
      </c>
      <c r="C2128" s="1">
        <f>5.05326091633745*(10.3/7.3)</f>
        <v>7.1299434846953016</v>
      </c>
      <c r="D2128" s="1">
        <f>6.46454742838857*(10.3/7.3)</f>
        <v>9.121210755123597</v>
      </c>
      <c r="E2128" s="1">
        <f>22.8697140010845*(10.3/7.3)</f>
        <v>32.268226604269969</v>
      </c>
      <c r="F2128" s="1">
        <f>43.9727429974649*(38.9/42.5)</f>
        <v>40.247993002385535</v>
      </c>
      <c r="G2128" s="1">
        <v>1.5425436023901917</v>
      </c>
      <c r="H2128" s="1">
        <v>8.2351352453395013</v>
      </c>
      <c r="I2128" s="1">
        <v>32.209782439368084</v>
      </c>
      <c r="J2128" s="1">
        <v>3.7899164438472549E-2</v>
      </c>
      <c r="K2128" s="1">
        <v>2.5343731592785064</v>
      </c>
      <c r="L2128" s="1">
        <v>12.542563099787749</v>
      </c>
      <c r="M2128" s="1">
        <v>0.15580285580902364</v>
      </c>
      <c r="N2128" s="1">
        <v>1.7583729505276391</v>
      </c>
      <c r="O2128" s="1">
        <v>0.15246222222222222</v>
      </c>
      <c r="P2128" s="1">
        <v>0.11544760321552076</v>
      </c>
      <c r="Q2128" s="1">
        <v>2.4652523325870672</v>
      </c>
      <c r="R2128" s="2">
        <f t="shared" si="135"/>
        <v>133.22008746615927</v>
      </c>
      <c r="S2128" s="2">
        <f t="shared" si="134"/>
        <v>2.6877199269324996</v>
      </c>
      <c r="T2128" s="2">
        <f t="shared" si="136"/>
        <v>14.609201128346633</v>
      </c>
      <c r="U2128" s="2">
        <f t="shared" si="137"/>
        <v>150.51700852143838</v>
      </c>
    </row>
    <row r="2129" spans="1:21" x14ac:dyDescent="0.25">
      <c r="A2129">
        <v>3902877</v>
      </c>
      <c r="B2129">
        <v>25</v>
      </c>
      <c r="C2129" s="1">
        <f>4.84322837023777*(10.3/7.3)</f>
        <v>6.8335961936231557</v>
      </c>
      <c r="D2129" s="1">
        <f>6.43768203128644*(10.3/7.3)</f>
        <v>9.083304783869913</v>
      </c>
      <c r="E2129" s="1">
        <f>22.7728540596391*(10.3/7.3)</f>
        <v>32.131561207435944</v>
      </c>
      <c r="F2129" s="1">
        <f>41.97584855032*(38.9/42.5)</f>
        <v>38.420247261351761</v>
      </c>
      <c r="G2129" s="1">
        <v>1.3976239020218852</v>
      </c>
      <c r="H2129" s="1">
        <v>6.8658374270126137</v>
      </c>
      <c r="I2129" s="1">
        <v>30.022561925163082</v>
      </c>
      <c r="J2129" s="1">
        <v>3.785379044629536E-2</v>
      </c>
      <c r="K2129" s="1">
        <v>2.4904270347013764</v>
      </c>
      <c r="L2129" s="1">
        <v>13.136920770659312</v>
      </c>
      <c r="M2129" s="1">
        <v>0.15280300318402099</v>
      </c>
      <c r="N2129" s="1">
        <v>1.76769682188997</v>
      </c>
      <c r="O2129" s="1">
        <v>0.1493824</v>
      </c>
      <c r="P2129" s="1">
        <v>0.11447910228722476</v>
      </c>
      <c r="Q2129" s="1">
        <v>2.2336455055144304</v>
      </c>
      <c r="R2129" s="2">
        <f t="shared" si="135"/>
        <v>126.98837820599277</v>
      </c>
      <c r="S2129" s="2">
        <f t="shared" si="134"/>
        <v>2.6427599274348963</v>
      </c>
      <c r="T2129" s="2">
        <f t="shared" si="136"/>
        <v>15.206802995733304</v>
      </c>
      <c r="U2129" s="2">
        <f t="shared" si="137"/>
        <v>144.83794112916098</v>
      </c>
    </row>
    <row r="2130" spans="1:21" x14ac:dyDescent="0.25">
      <c r="A2130">
        <v>3902885</v>
      </c>
      <c r="B2130">
        <v>19</v>
      </c>
      <c r="C2130" s="1">
        <f>4.90360102305237*(10.3/7.3)</f>
        <v>6.9187795256766309</v>
      </c>
      <c r="D2130" s="1">
        <f>6.66279602727999*(10.3/7.3)</f>
        <v>9.4009313809567043</v>
      </c>
      <c r="E2130" s="1">
        <f>23.5666228537274*(10.3/7.3)</f>
        <v>33.251536355259184</v>
      </c>
      <c r="F2130" s="1">
        <f>42.4708300996084*(38.9/42.5)</f>
        <v>38.873300961759206</v>
      </c>
      <c r="G2130" s="1">
        <v>1.3729234771734298</v>
      </c>
      <c r="H2130" s="1">
        <v>7.8001512873306966</v>
      </c>
      <c r="I2130" s="1">
        <v>29.954519927668979</v>
      </c>
      <c r="J2130" s="1">
        <v>3.9635542969663248E-2</v>
      </c>
      <c r="K2130" s="1">
        <v>2.5691925019621782</v>
      </c>
      <c r="L2130" s="1">
        <v>9.3850613387001367</v>
      </c>
      <c r="M2130" s="1">
        <v>0.15766911256189756</v>
      </c>
      <c r="N2130" s="1">
        <v>1.9020660839552919</v>
      </c>
      <c r="O2130" s="1">
        <v>0.15260070175438598</v>
      </c>
      <c r="P2130" s="1">
        <v>0.11848411583485371</v>
      </c>
      <c r="Q2130" s="1">
        <v>2.194169940688131</v>
      </c>
      <c r="R2130" s="2">
        <f t="shared" si="135"/>
        <v>129.76631285651297</v>
      </c>
      <c r="S2130" s="2">
        <f t="shared" si="134"/>
        <v>2.727312160766695</v>
      </c>
      <c r="T2130" s="2">
        <f t="shared" si="136"/>
        <v>11.597397236971712</v>
      </c>
      <c r="U2130" s="2">
        <f t="shared" si="137"/>
        <v>144.09102225425138</v>
      </c>
    </row>
    <row r="2131" spans="1:21" x14ac:dyDescent="0.25">
      <c r="A2131">
        <v>3902893</v>
      </c>
      <c r="B2131">
        <v>9</v>
      </c>
      <c r="C2131" s="1">
        <f>6.55632568577052*(10.3/7.3)</f>
        <v>9.2507061045803241</v>
      </c>
      <c r="D2131" s="1">
        <f>9.25205003224134*(10.3/7.3)</f>
        <v>13.054262374258331</v>
      </c>
      <c r="E2131" s="1">
        <f>32.6248029698177*(10.3/7.3)</f>
        <v>46.032256245085243</v>
      </c>
      <c r="F2131" s="1">
        <f>61.2844469742218*(38.9/42.5)</f>
        <v>56.093293818758291</v>
      </c>
      <c r="G2131" s="1">
        <v>2.128254763882039</v>
      </c>
      <c r="H2131" s="1">
        <v>9.9175148084317364</v>
      </c>
      <c r="I2131" s="1">
        <v>43.122750932907024</v>
      </c>
      <c r="J2131" s="1">
        <v>4.3070404004102988E-2</v>
      </c>
      <c r="K2131" s="1">
        <v>2.7472928551823128</v>
      </c>
      <c r="L2131" s="1">
        <v>8.955951239303662</v>
      </c>
      <c r="M2131" s="1">
        <v>0.16776179745944356</v>
      </c>
      <c r="N2131" s="1">
        <v>2.0562549894659128</v>
      </c>
      <c r="O2131" s="1">
        <v>0.16087703703703704</v>
      </c>
      <c r="P2131" s="1">
        <v>0.12274929190528179</v>
      </c>
      <c r="Q2131" s="1">
        <v>3.401320398898239</v>
      </c>
      <c r="R2131" s="2">
        <f t="shared" si="135"/>
        <v>183.00035944680124</v>
      </c>
      <c r="S2131" s="2">
        <f t="shared" si="134"/>
        <v>2.9131125510916975</v>
      </c>
      <c r="T2131" s="2">
        <f t="shared" si="136"/>
        <v>11.340845063266055</v>
      </c>
      <c r="U2131" s="2">
        <f t="shared" si="137"/>
        <v>197.25431706115899</v>
      </c>
    </row>
    <row r="2132" spans="1:21" x14ac:dyDescent="0.25">
      <c r="A2132">
        <v>3902901</v>
      </c>
      <c r="B2132">
        <v>2</v>
      </c>
      <c r="C2132" s="1">
        <f>5.6099400982565*(10.3/7.3)</f>
        <v>7.9153949331564277</v>
      </c>
      <c r="D2132" s="1">
        <f>7.72449852717661*(10.3/7.3)</f>
        <v>10.898949976701248</v>
      </c>
      <c r="E2132" s="1">
        <f>27.2971756363376*(10.3/7.3)</f>
        <v>38.515193021133939</v>
      </c>
      <c r="F2132" s="1">
        <f>49.6824793934781*(38.9/42.5)</f>
        <v>45.474081138971727</v>
      </c>
      <c r="G2132" s="1">
        <v>1.636784325606008</v>
      </c>
      <c r="H2132" s="1">
        <v>9.1954979336420646</v>
      </c>
      <c r="I2132" s="1">
        <v>34.963348230224128</v>
      </c>
      <c r="J2132" s="1">
        <v>4.0191625988372399E-2</v>
      </c>
      <c r="K2132" s="1">
        <v>2.4566164398452139</v>
      </c>
      <c r="L2132" s="1">
        <v>10.597478569565176</v>
      </c>
      <c r="M2132" s="1">
        <v>0.15039914525164721</v>
      </c>
      <c r="N2132" s="1">
        <v>1.8074860186138051</v>
      </c>
      <c r="O2132" s="1">
        <v>0.14597333333333334</v>
      </c>
      <c r="P2132" s="1">
        <v>0.11194271116714172</v>
      </c>
      <c r="Q2132" s="1">
        <v>2.6158653605575499</v>
      </c>
      <c r="R2132" s="2">
        <f t="shared" si="135"/>
        <v>151.21511491999308</v>
      </c>
      <c r="S2132" s="2">
        <f t="shared" si="134"/>
        <v>2.6087507770007279</v>
      </c>
      <c r="T2132" s="2">
        <f t="shared" si="136"/>
        <v>12.701337066763962</v>
      </c>
      <c r="U2132" s="2">
        <f t="shared" si="137"/>
        <v>166.52520276375776</v>
      </c>
    </row>
    <row r="2133" spans="1:21" x14ac:dyDescent="0.25">
      <c r="A2133">
        <v>3902909</v>
      </c>
      <c r="B2133">
        <v>25</v>
      </c>
      <c r="C2133" s="1">
        <f>6.55779493999102*(10.3/7.3)</f>
        <v>9.252779161905142</v>
      </c>
      <c r="D2133" s="1">
        <f>8.94469500251379*(10.3/7.3)</f>
        <v>12.620597058341369</v>
      </c>
      <c r="E2133" s="1">
        <f>31.6490384513662*(10.3/7.3)</f>
        <v>44.655492609461959</v>
      </c>
      <c r="F2133" s="1">
        <f>56.2182872996155*(38.9/42.5)</f>
        <v>51.456267669530448</v>
      </c>
      <c r="G2133" s="1">
        <v>1.7768471416431155</v>
      </c>
      <c r="H2133" s="1">
        <v>7.722807448138008</v>
      </c>
      <c r="I2133" s="1">
        <v>39.437626759811991</v>
      </c>
      <c r="J2133" s="1">
        <v>4.6419630735067233E-2</v>
      </c>
      <c r="K2133" s="1">
        <v>2.501830976495794</v>
      </c>
      <c r="L2133" s="1">
        <v>8.8857799570767444</v>
      </c>
      <c r="M2133" s="1">
        <v>0.15296261664881688</v>
      </c>
      <c r="N2133" s="1">
        <v>1.8795510376573978</v>
      </c>
      <c r="O2133" s="1">
        <v>0.14683733333333332</v>
      </c>
      <c r="P2133" s="1">
        <v>0.11157683448746764</v>
      </c>
      <c r="Q2133" s="1">
        <v>2.8397100437218774</v>
      </c>
      <c r="R2133" s="2">
        <f t="shared" si="135"/>
        <v>169.76212789255391</v>
      </c>
      <c r="S2133" s="2">
        <f t="shared" si="134"/>
        <v>2.6598274417183285</v>
      </c>
      <c r="T2133" s="2">
        <f t="shared" si="136"/>
        <v>11.065130944716293</v>
      </c>
      <c r="U2133" s="2">
        <f t="shared" si="137"/>
        <v>183.48708627898853</v>
      </c>
    </row>
    <row r="2134" spans="1:21" x14ac:dyDescent="0.25">
      <c r="A2134">
        <v>3902917</v>
      </c>
      <c r="B2134">
        <v>48</v>
      </c>
      <c r="C2134" s="1">
        <f>5.59873814119129*(10.3/7.3)</f>
        <v>7.8995894320918181</v>
      </c>
      <c r="D2134" s="1">
        <f>7.48528115317963*(10.3/7.3)</f>
        <v>10.561424092842485</v>
      </c>
      <c r="E2134" s="1">
        <f>26.4910585449341*(10.3/7.3)</f>
        <v>37.377794933263175</v>
      </c>
      <c r="F2134" s="1">
        <f>47.8774111594593*(38.9/42.5)</f>
        <v>43.82191280242273</v>
      </c>
      <c r="G2134" s="1">
        <v>1.548198939907649</v>
      </c>
      <c r="H2134" s="1">
        <v>6.6824817175302949</v>
      </c>
      <c r="I2134" s="1">
        <v>33.99770425065622</v>
      </c>
      <c r="J2134" s="1">
        <v>3.9292420392155213E-2</v>
      </c>
      <c r="K2134" s="1">
        <v>2.4984042719866495</v>
      </c>
      <c r="L2134" s="1">
        <v>9.2667707240474648</v>
      </c>
      <c r="M2134" s="1">
        <v>0.14986574713569359</v>
      </c>
      <c r="N2134" s="1">
        <v>1.9077396574817875</v>
      </c>
      <c r="O2134" s="1">
        <v>0.14375555555555561</v>
      </c>
      <c r="P2134" s="1">
        <v>0.11173620400956864</v>
      </c>
      <c r="Q2134" s="1">
        <v>2.474290543231406</v>
      </c>
      <c r="R2134" s="2">
        <f t="shared" si="135"/>
        <v>144.36339671194577</v>
      </c>
      <c r="S2134" s="2">
        <f t="shared" si="134"/>
        <v>2.6494328963883738</v>
      </c>
      <c r="T2134" s="2">
        <f t="shared" si="136"/>
        <v>11.468131684220502</v>
      </c>
      <c r="U2134" s="2">
        <f t="shared" si="137"/>
        <v>158.48096129255464</v>
      </c>
    </row>
    <row r="2135" spans="1:21" x14ac:dyDescent="0.25">
      <c r="A2135">
        <v>3902925</v>
      </c>
      <c r="B2135">
        <v>26</v>
      </c>
      <c r="C2135" s="1">
        <f>6.62497144887629*(10.3/7.3)</f>
        <v>9.3475624552638088</v>
      </c>
      <c r="D2135" s="1">
        <f>8.92915572661223*(10.3/7.3)</f>
        <v>12.59867177864465</v>
      </c>
      <c r="E2135" s="1">
        <f>31.5746394467582*(10.3/7.3)</f>
        <v>44.550518671453382</v>
      </c>
      <c r="F2135" s="1">
        <f>57.8524314627553*(38.9/42.5)</f>
        <v>52.951990209439522</v>
      </c>
      <c r="G2135" s="1">
        <v>1.9153797667518151</v>
      </c>
      <c r="H2135" s="1">
        <v>7.0511091074728922</v>
      </c>
      <c r="I2135" s="1">
        <v>41.1050922518288</v>
      </c>
      <c r="J2135" s="1">
        <v>3.8600098179126491E-2</v>
      </c>
      <c r="K2135" s="1">
        <v>2.4927401448634332</v>
      </c>
      <c r="L2135" s="1">
        <v>8.9242094967791274</v>
      </c>
      <c r="M2135" s="1">
        <v>0.14436893545485124</v>
      </c>
      <c r="N2135" s="1">
        <v>1.7809600046727445</v>
      </c>
      <c r="O2135" s="1">
        <v>0.13855794871794874</v>
      </c>
      <c r="P2135" s="1">
        <v>0.10556184416143667</v>
      </c>
      <c r="Q2135" s="1">
        <v>3.0611092162700282</v>
      </c>
      <c r="R2135" s="2">
        <f t="shared" si="135"/>
        <v>172.58143345712492</v>
      </c>
      <c r="S2135" s="2">
        <f t="shared" si="134"/>
        <v>2.6369020872039961</v>
      </c>
      <c r="T2135" s="2">
        <f t="shared" si="136"/>
        <v>10.988096385624672</v>
      </c>
      <c r="U2135" s="2">
        <f t="shared" si="137"/>
        <v>186.20643192995357</v>
      </c>
    </row>
    <row r="2136" spans="1:21" x14ac:dyDescent="0.25">
      <c r="A2136">
        <v>3902933</v>
      </c>
      <c r="B2136">
        <v>20</v>
      </c>
      <c r="C2136" s="1">
        <f>5.14254466302015*(10.3/7.3)</f>
        <v>7.2559191820695235</v>
      </c>
      <c r="D2136" s="1">
        <f>6.49073673264308*(10.3/7.3)</f>
        <v>9.1581627871539339</v>
      </c>
      <c r="E2136" s="1">
        <f>23.0174846039513*(10.3/7.3)</f>
        <v>32.476724852150504</v>
      </c>
      <c r="F2136" s="1">
        <f>42.1715476782464*(38.9/42.5)</f>
        <v>38.599369521971383</v>
      </c>
      <c r="G2136" s="1">
        <v>1.3723022959358138</v>
      </c>
      <c r="H2136" s="1">
        <v>9.3904928761253252</v>
      </c>
      <c r="I2136" s="1">
        <v>30.705176383782437</v>
      </c>
      <c r="J2136" s="1">
        <v>3.7967762899214261E-2</v>
      </c>
      <c r="K2136" s="1">
        <v>2.7325495850298274</v>
      </c>
      <c r="L2136" s="1">
        <v>9.7480091252211079</v>
      </c>
      <c r="M2136" s="1">
        <v>0.1436128064981613</v>
      </c>
      <c r="N2136" s="1">
        <v>1.8632939341703778</v>
      </c>
      <c r="O2136" s="1">
        <v>0.13503733333333337</v>
      </c>
      <c r="P2136" s="1">
        <v>0.10686616552166087</v>
      </c>
      <c r="Q2136" s="1">
        <v>2.1931771852855499</v>
      </c>
      <c r="R2136" s="2">
        <f t="shared" si="135"/>
        <v>131.15132508447445</v>
      </c>
      <c r="S2136" s="2">
        <f t="shared" si="134"/>
        <v>2.8773835134507024</v>
      </c>
      <c r="T2136" s="2">
        <f t="shared" si="136"/>
        <v>11.88995319922298</v>
      </c>
      <c r="U2136" s="2">
        <f t="shared" si="137"/>
        <v>145.91866179714813</v>
      </c>
    </row>
    <row r="2137" spans="1:21" x14ac:dyDescent="0.25">
      <c r="A2137">
        <v>3902941</v>
      </c>
      <c r="B2137">
        <v>19</v>
      </c>
      <c r="C2137" s="1">
        <f>6.01420628212092*(10.3/7.3)</f>
        <v>8.4857979049103331</v>
      </c>
      <c r="D2137" s="1">
        <f>7.26788564610473*(10.3/7.3)</f>
        <v>10.25468796642174</v>
      </c>
      <c r="E2137" s="1">
        <f>25.7922804489095*(10.3/7.3)</f>
        <v>36.391847756680569</v>
      </c>
      <c r="F2137" s="1">
        <f>48.8818598684892*(38.9/42.5)</f>
        <v>44.741278797275982</v>
      </c>
      <c r="G2137" s="1">
        <v>1.6557868243748819</v>
      </c>
      <c r="H2137" s="1">
        <v>8.3547540658519228</v>
      </c>
      <c r="I2137" s="1">
        <v>36.443937264850128</v>
      </c>
      <c r="J2137" s="1">
        <v>3.750500803051255E-2</v>
      </c>
      <c r="K2137" s="1">
        <v>2.3756684421884335</v>
      </c>
      <c r="L2137" s="1">
        <v>13.031159470287077</v>
      </c>
      <c r="M2137" s="1">
        <v>0.14105134418015711</v>
      </c>
      <c r="N2137" s="1">
        <v>1.8421365335033768</v>
      </c>
      <c r="O2137" s="1">
        <v>0.13048421052631579</v>
      </c>
      <c r="P2137" s="1">
        <v>0.10256268119710124</v>
      </c>
      <c r="Q2137" s="1">
        <v>2.6462346508274392</v>
      </c>
      <c r="R2137" s="2">
        <f t="shared" si="135"/>
        <v>148.97432523119301</v>
      </c>
      <c r="S2137" s="2">
        <f t="shared" si="134"/>
        <v>2.5157361314160473</v>
      </c>
      <c r="T2137" s="2">
        <f t="shared" si="136"/>
        <v>15.144831558496927</v>
      </c>
      <c r="U2137" s="2">
        <f t="shared" si="137"/>
        <v>166.63489292110597</v>
      </c>
    </row>
    <row r="2138" spans="1:21" x14ac:dyDescent="0.25">
      <c r="A2138">
        <v>3902949</v>
      </c>
      <c r="B2138">
        <v>12</v>
      </c>
      <c r="C2138" s="1">
        <f>5.45527011329687*(10.3/7.3)</f>
        <v>7.6971619406791509</v>
      </c>
      <c r="D2138" s="1">
        <f>6.59809936583996*(10.3/7.3)</f>
        <v>9.309647050431721</v>
      </c>
      <c r="E2138" s="1">
        <f>23.4383552392271*(10.3/7.3)</f>
        <v>33.070556022471187</v>
      </c>
      <c r="F2138" s="1">
        <f>43.2144137111817*(38.9/42.5)</f>
        <v>39.553898667411005</v>
      </c>
      <c r="G2138" s="1">
        <v>1.4036860661907964</v>
      </c>
      <c r="H2138" s="1">
        <v>8.2174440590562092</v>
      </c>
      <c r="I2138" s="1">
        <v>32.025689032095435</v>
      </c>
      <c r="J2138" s="1">
        <v>3.9466038145888054E-2</v>
      </c>
      <c r="K2138" s="1">
        <v>2.4420435796067879</v>
      </c>
      <c r="L2138" s="1">
        <v>15.058001280395196</v>
      </c>
      <c r="M2138" s="1">
        <v>0.14403226878570247</v>
      </c>
      <c r="N2138" s="1">
        <v>2.3178700692177805</v>
      </c>
      <c r="O2138" s="1">
        <v>0.13352</v>
      </c>
      <c r="P2138" s="1">
        <v>0.10615480901967245</v>
      </c>
      <c r="Q2138" s="1">
        <v>2.2433338957387177</v>
      </c>
      <c r="R2138" s="2">
        <f t="shared" si="135"/>
        <v>133.52141673407422</v>
      </c>
      <c r="S2138" s="2">
        <f t="shared" si="134"/>
        <v>2.5876644267723483</v>
      </c>
      <c r="T2138" s="2">
        <f t="shared" si="136"/>
        <v>17.65342361839868</v>
      </c>
      <c r="U2138" s="2">
        <f t="shared" si="137"/>
        <v>153.76250477924523</v>
      </c>
    </row>
    <row r="2139" spans="1:21" x14ac:dyDescent="0.25">
      <c r="A2139">
        <v>3903053</v>
      </c>
      <c r="B2139">
        <v>3</v>
      </c>
      <c r="C2139" s="1">
        <f>6.03943142988257*(10.3/7.3)</f>
        <v>8.5213895517521223</v>
      </c>
      <c r="D2139" s="1">
        <f>6.57472259896136*(10.3/7.3)</f>
        <v>9.2766633930550721</v>
      </c>
      <c r="E2139" s="1">
        <f>23.4900632718062*(10.3/7.3)</f>
        <v>33.143513931452652</v>
      </c>
      <c r="F2139" s="1">
        <f>42.6027522506518*(38.9/42.5)</f>
        <v>38.994048530596615</v>
      </c>
      <c r="G2139" s="1">
        <v>1.3036335336685019</v>
      </c>
      <c r="H2139" s="1">
        <v>5.6399053993004671</v>
      </c>
      <c r="I2139" s="1">
        <v>32.826262665318211</v>
      </c>
      <c r="J2139" s="1">
        <v>4.1362750225364668E-2</v>
      </c>
      <c r="K2139" s="1">
        <v>2.5603375736655019</v>
      </c>
      <c r="L2139" s="1">
        <v>6.7273372477176041</v>
      </c>
      <c r="M2139" s="1">
        <v>0.13055235798544082</v>
      </c>
      <c r="N2139" s="1">
        <v>1.6430731453096472</v>
      </c>
      <c r="O2139" s="1">
        <v>0.11310222222222222</v>
      </c>
      <c r="P2139" s="1">
        <v>9.1256648501108706E-2</v>
      </c>
      <c r="Q2139" s="1">
        <v>2.0834325880546856</v>
      </c>
      <c r="R2139" s="2">
        <f t="shared" si="135"/>
        <v>131.78884959319834</v>
      </c>
      <c r="S2139" s="2">
        <f t="shared" si="134"/>
        <v>2.6929569723919755</v>
      </c>
      <c r="T2139" s="2">
        <f t="shared" si="136"/>
        <v>8.6140649732349157</v>
      </c>
      <c r="U2139" s="2">
        <f t="shared" si="137"/>
        <v>143.09587153882524</v>
      </c>
    </row>
    <row r="2140" spans="1:21" x14ac:dyDescent="0.25">
      <c r="A2140">
        <v>3903061</v>
      </c>
      <c r="B2140">
        <v>14</v>
      </c>
      <c r="C2140" s="1">
        <f>5.1863283123493*(10.3/7.3)</f>
        <v>7.3176961119449091</v>
      </c>
      <c r="D2140" s="1">
        <f>5.6979448020562*(10.3/7.3)</f>
        <v>8.0395659535861448</v>
      </c>
      <c r="E2140" s="1">
        <f>20.3336424152952*(10.3/7.3)</f>
        <v>28.689933818841126</v>
      </c>
      <c r="F2140" s="1">
        <f>37.5989881287158*(38.9/42.5)</f>
        <v>34.414132663695156</v>
      </c>
      <c r="G2140" s="1">
        <v>1.1924299912021294</v>
      </c>
      <c r="H2140" s="1">
        <v>5.7142851607989416</v>
      </c>
      <c r="I2140" s="1">
        <v>28.955261423729262</v>
      </c>
      <c r="J2140" s="1">
        <v>3.9419969076523974E-2</v>
      </c>
      <c r="K2140" s="1">
        <v>2.545838855025067</v>
      </c>
      <c r="L2140" s="1">
        <v>9.3420729760681436</v>
      </c>
      <c r="M2140" s="1">
        <v>0.12665773890960982</v>
      </c>
      <c r="N2140" s="1">
        <v>1.6943447686129385</v>
      </c>
      <c r="O2140" s="1">
        <v>0.11029333333333335</v>
      </c>
      <c r="P2140" s="1">
        <v>8.9897281196608683E-2</v>
      </c>
      <c r="Q2140" s="1">
        <v>1.9057100316015789</v>
      </c>
      <c r="R2140" s="2">
        <f t="shared" si="135"/>
        <v>116.22901515539924</v>
      </c>
      <c r="S2140" s="2">
        <f t="shared" si="134"/>
        <v>2.6751561052981998</v>
      </c>
      <c r="T2140" s="2">
        <f t="shared" si="136"/>
        <v>11.273368816924025</v>
      </c>
      <c r="U2140" s="2">
        <f t="shared" si="137"/>
        <v>130.17754007762147</v>
      </c>
    </row>
    <row r="2141" spans="1:21" x14ac:dyDescent="0.25">
      <c r="A2141">
        <v>3903085</v>
      </c>
      <c r="B2141">
        <v>7</v>
      </c>
      <c r="C2141" s="1">
        <f>5.75816154920186*(10.3/7.3)</f>
        <v>8.1245293091478317</v>
      </c>
      <c r="D2141" s="1">
        <f>6.30248353567213*(10.3/7.3)</f>
        <v>8.8925452626606791</v>
      </c>
      <c r="E2141" s="1">
        <f>22.467622868883*(10.3/7.3)</f>
        <v>31.700892541026708</v>
      </c>
      <c r="F2141" s="1">
        <f>42.9381617538751*(38.9/42.5)</f>
        <v>39.301046875899765</v>
      </c>
      <c r="G2141" s="1">
        <v>1.4330005768685272</v>
      </c>
      <c r="H2141" s="1">
        <v>6.3093232527867382</v>
      </c>
      <c r="I2141" s="1">
        <v>33.293311843515781</v>
      </c>
      <c r="J2141" s="1">
        <v>3.4146879150232172E-2</v>
      </c>
      <c r="K2141" s="1">
        <v>2.4440761204696106</v>
      </c>
      <c r="L2141" s="1">
        <v>4.7392274223026272</v>
      </c>
      <c r="M2141" s="1">
        <v>0.11723144279162141</v>
      </c>
      <c r="N2141" s="1">
        <v>1.6551966600944577</v>
      </c>
      <c r="O2141" s="1">
        <v>0.10380190476190475</v>
      </c>
      <c r="P2141" s="1">
        <v>8.4347862943854796E-2</v>
      </c>
      <c r="Q2141" s="1">
        <v>2.2901835703378315</v>
      </c>
      <c r="R2141" s="2">
        <f t="shared" si="135"/>
        <v>131.34483323224384</v>
      </c>
      <c r="S2141" s="2">
        <f t="shared" si="134"/>
        <v>2.5625708625636974</v>
      </c>
      <c r="T2141" s="2">
        <f t="shared" si="136"/>
        <v>6.6154574299506104</v>
      </c>
      <c r="U2141" s="2">
        <f t="shared" si="137"/>
        <v>140.52286152475816</v>
      </c>
    </row>
    <row r="2142" spans="1:21" x14ac:dyDescent="0.25">
      <c r="A2142">
        <v>3903093</v>
      </c>
      <c r="B2142">
        <v>25</v>
      </c>
      <c r="C2142" s="1">
        <f>5.0253273842898*(10.3/7.3)</f>
        <v>7.0905304189294478</v>
      </c>
      <c r="D2142" s="1">
        <f>5.43480072522372*(10.3/7.3)</f>
        <v>7.6682804753156635</v>
      </c>
      <c r="E2142" s="1">
        <f>19.3800195466146*(10.3/7.3)</f>
        <v>27.344411141113799</v>
      </c>
      <c r="F2142" s="1">
        <f>37.3588866831687*(38.9/42.5)</f>
        <v>34.194369222947387</v>
      </c>
      <c r="G2142" s="1">
        <v>1.2587413303362469</v>
      </c>
      <c r="H2142" s="1">
        <v>5.4136373661278165</v>
      </c>
      <c r="I2142" s="1">
        <v>29.141341140238413</v>
      </c>
      <c r="J2142" s="1">
        <v>3.1947929728848544E-2</v>
      </c>
      <c r="K2142" s="1">
        <v>2.3457938043987396</v>
      </c>
      <c r="L2142" s="1">
        <v>4.2063698112159198</v>
      </c>
      <c r="M2142" s="1">
        <v>0.11401462871165656</v>
      </c>
      <c r="N2142" s="1">
        <v>1.4121602563881033</v>
      </c>
      <c r="O2142" s="1">
        <v>0.10042879999999998</v>
      </c>
      <c r="P2142" s="1">
        <v>8.3221442124704337E-2</v>
      </c>
      <c r="Q2142" s="1">
        <v>2.0116870576150081</v>
      </c>
      <c r="R2142" s="2">
        <f t="shared" si="135"/>
        <v>114.12299815262378</v>
      </c>
      <c r="S2142" s="2">
        <f t="shared" si="134"/>
        <v>2.4609631762522928</v>
      </c>
      <c r="T2142" s="2">
        <f t="shared" si="136"/>
        <v>5.8329734963156792</v>
      </c>
      <c r="U2142" s="2">
        <f t="shared" si="137"/>
        <v>122.41693482519175</v>
      </c>
    </row>
    <row r="2143" spans="1:21" x14ac:dyDescent="0.25">
      <c r="A2143">
        <v>3914553</v>
      </c>
      <c r="B2143">
        <v>30</v>
      </c>
      <c r="C2143" s="1">
        <f>0.986595358139006*(10.3/7.3)</f>
        <v>1.392045505319419</v>
      </c>
      <c r="D2143" s="1">
        <f>1.22751384119792*(10.3/7.3)</f>
        <v>1.7319715841559711</v>
      </c>
      <c r="E2143" s="1">
        <f>4.30346728032944*(10.3/7.3)</f>
        <v>6.072015477725107</v>
      </c>
      <c r="F2143" s="1">
        <f>10.5185017028557*(38.9/42.5)</f>
        <v>9.6275227350844101</v>
      </c>
      <c r="G2143" s="1">
        <v>0.47683660048382165</v>
      </c>
      <c r="H2143" s="1">
        <v>2.1499829963205861</v>
      </c>
      <c r="I2143" s="1">
        <v>8.1331665254986856</v>
      </c>
      <c r="J2143" s="1">
        <v>2.8654920732996615E-2</v>
      </c>
      <c r="K2143" s="1">
        <v>3.6241582075140482</v>
      </c>
      <c r="L2143" s="1">
        <v>3.3486736298016884</v>
      </c>
      <c r="M2143" s="1">
        <v>0.18510745164601031</v>
      </c>
      <c r="N2143" s="1">
        <v>1.0734460647049808</v>
      </c>
      <c r="O2143" s="1">
        <v>0.92634311111111112</v>
      </c>
      <c r="P2143" s="1">
        <v>0.32877847836503904</v>
      </c>
      <c r="Q2143" s="1">
        <v>0.76206762634400815</v>
      </c>
      <c r="R2143" s="2">
        <f t="shared" si="135"/>
        <v>30.345609050932008</v>
      </c>
      <c r="S2143" s="2">
        <f t="shared" si="134"/>
        <v>3.9815916066120836</v>
      </c>
      <c r="T2143" s="2">
        <f t="shared" si="136"/>
        <v>5.5335702572637899</v>
      </c>
      <c r="U2143" s="2">
        <f t="shared" si="137"/>
        <v>39.86077091480788</v>
      </c>
    </row>
    <row r="2144" spans="1:21" x14ac:dyDescent="0.25">
      <c r="A2144">
        <v>3914561</v>
      </c>
      <c r="B2144">
        <v>51</v>
      </c>
      <c r="C2144" s="1">
        <f>1.46698682074073*(10.3/7.3)</f>
        <v>2.0698581169355559</v>
      </c>
      <c r="D2144" s="1">
        <f>1.68599036362492*(10.3/7.3)</f>
        <v>2.3788631157995415</v>
      </c>
      <c r="E2144" s="1">
        <f>5.9354929136448*(10.3/7.3)</f>
        <v>8.3747365767864963</v>
      </c>
      <c r="F2144" s="1">
        <f>14.3769088533385*(38.9/42.5)</f>
        <v>13.159100103408617</v>
      </c>
      <c r="G2144" s="1">
        <v>0.63857530881616076</v>
      </c>
      <c r="H2144" s="1">
        <v>3.1910526656813509</v>
      </c>
      <c r="I2144" s="1">
        <v>11.353716084609955</v>
      </c>
      <c r="J2144" s="1">
        <v>3.8794863151584529E-2</v>
      </c>
      <c r="K2144" s="1">
        <v>4.603139712099944</v>
      </c>
      <c r="L2144" s="1">
        <v>4.4213335791467783</v>
      </c>
      <c r="M2144" s="1">
        <v>0.23654990398296555</v>
      </c>
      <c r="N2144" s="1">
        <v>1.3570900520282954</v>
      </c>
      <c r="O2144" s="1">
        <v>1.3959111111111107</v>
      </c>
      <c r="P2144" s="1">
        <v>0.41493728538256264</v>
      </c>
      <c r="Q2144" s="1">
        <v>1.0205541465098471</v>
      </c>
      <c r="R2144" s="2">
        <f t="shared" si="135"/>
        <v>42.186456118547525</v>
      </c>
      <c r="S2144" s="2">
        <f t="shared" si="134"/>
        <v>5.0568718606340912</v>
      </c>
      <c r="T2144" s="2">
        <f t="shared" si="136"/>
        <v>7.4108846462691504</v>
      </c>
      <c r="U2144" s="2">
        <f t="shared" si="137"/>
        <v>54.654212625450768</v>
      </c>
    </row>
    <row r="2145" spans="1:21" x14ac:dyDescent="0.25">
      <c r="A2145">
        <v>3914953</v>
      </c>
      <c r="B2145">
        <v>38</v>
      </c>
      <c r="C2145" s="1">
        <f>3.35631072332156*(10.3/7.3)</f>
        <v>4.7356165000290567</v>
      </c>
      <c r="D2145" s="1">
        <f>4.94721111102543*(10.3/7.3)</f>
        <v>6.9803115676112233</v>
      </c>
      <c r="E2145" s="1">
        <f>17.1784933243497*(10.3/7.3)</f>
        <v>24.238148115178323</v>
      </c>
      <c r="F2145" s="1">
        <f>44.1827088465328*(38.9/42.5)</f>
        <v>40.440173508944106</v>
      </c>
      <c r="G2145" s="1">
        <v>2.1328540148635757</v>
      </c>
      <c r="H2145" s="1">
        <v>9.7942992122048267</v>
      </c>
      <c r="I2145" s="1">
        <v>33.030644777119441</v>
      </c>
      <c r="J2145" s="1">
        <v>4.936744245010035E-2</v>
      </c>
      <c r="K2145" s="1">
        <v>7.3314315877524274</v>
      </c>
      <c r="L2145" s="1">
        <v>5.8961542889987113</v>
      </c>
      <c r="M2145" s="1">
        <v>0.22392770914092833</v>
      </c>
      <c r="N2145" s="1">
        <v>2.4243760878767358</v>
      </c>
      <c r="O2145" s="1">
        <v>0.2369978947368421</v>
      </c>
      <c r="P2145" s="1">
        <v>0.1905893400936812</v>
      </c>
      <c r="Q2145" s="1">
        <v>3.4086708000102854</v>
      </c>
      <c r="R2145" s="2">
        <f t="shared" si="135"/>
        <v>124.76071849596086</v>
      </c>
      <c r="S2145" s="2">
        <f t="shared" si="134"/>
        <v>7.5713883702962095</v>
      </c>
      <c r="T2145" s="2">
        <f t="shared" si="136"/>
        <v>8.7814559807532167</v>
      </c>
      <c r="U2145" s="2">
        <f t="shared" si="137"/>
        <v>141.11356284701029</v>
      </c>
    </row>
    <row r="2146" spans="1:21" x14ac:dyDescent="0.25">
      <c r="A2146">
        <v>3914961</v>
      </c>
      <c r="B2146">
        <v>1</v>
      </c>
      <c r="C2146" s="1">
        <f>3.96897785439304*(10.3/7.3)</f>
        <v>5.6000646438696338</v>
      </c>
      <c r="D2146" s="1">
        <f>6.07550850545787*(10.3/7.3)</f>
        <v>8.5722928227693167</v>
      </c>
      <c r="E2146" s="1">
        <f>21.0714075046912*(10.3/7.3)</f>
        <v>29.730890040865688</v>
      </c>
      <c r="F2146" s="1">
        <f>53.930580774665*(38.9/42.5)</f>
        <v>49.36234334434041</v>
      </c>
      <c r="G2146" s="1">
        <v>2.6051211685161504</v>
      </c>
      <c r="H2146" s="1">
        <v>13.117230842327766</v>
      </c>
      <c r="I2146" s="1">
        <v>39.930906040467704</v>
      </c>
      <c r="J2146" s="1">
        <v>4.5962383098189383E-2</v>
      </c>
      <c r="K2146" s="1">
        <v>5.5799924831032586</v>
      </c>
      <c r="L2146" s="1">
        <v>6.2231540525126654</v>
      </c>
      <c r="M2146" s="1">
        <v>0.22917273768092536</v>
      </c>
      <c r="N2146" s="1">
        <v>2.4080927662477061</v>
      </c>
      <c r="O2146" s="1">
        <v>0.23871999999999999</v>
      </c>
      <c r="P2146" s="1">
        <v>0.19176892965006698</v>
      </c>
      <c r="Q2146" s="1">
        <v>4.1634356574459064</v>
      </c>
      <c r="R2146" s="2">
        <f t="shared" si="135"/>
        <v>153.0822845606026</v>
      </c>
      <c r="S2146" s="2">
        <f t="shared" si="134"/>
        <v>5.8177237958515144</v>
      </c>
      <c r="T2146" s="2">
        <f t="shared" si="136"/>
        <v>9.0991395564412976</v>
      </c>
      <c r="U2146" s="2">
        <f t="shared" si="137"/>
        <v>167.99914791289541</v>
      </c>
    </row>
    <row r="2147" spans="1:21" x14ac:dyDescent="0.25">
      <c r="A2147">
        <v>3915081</v>
      </c>
      <c r="B2147">
        <v>7</v>
      </c>
      <c r="C2147" s="1">
        <f>4.14058472427835*(10.3/7.3)</f>
        <v>5.8421948849406808</v>
      </c>
      <c r="D2147" s="1">
        <f>4.98528980620131*(10.3/7.3)</f>
        <v>7.0340390416265102</v>
      </c>
      <c r="E2147" s="1">
        <f>17.6573915141473*(10.3/7.3)</f>
        <v>24.913853780235172</v>
      </c>
      <c r="F2147" s="1">
        <f>35.351000218583*(38.9/42.5)</f>
        <v>32.356562553008871</v>
      </c>
      <c r="G2147" s="1">
        <v>1.2909114192305846</v>
      </c>
      <c r="H2147" s="1">
        <v>7.4269391529799469</v>
      </c>
      <c r="I2147" s="1">
        <v>26.675501758461071</v>
      </c>
      <c r="J2147" s="1">
        <v>4.1551875878543545E-2</v>
      </c>
      <c r="K2147" s="1">
        <v>2.7466352854443699</v>
      </c>
      <c r="L2147" s="1">
        <v>13.503978929062544</v>
      </c>
      <c r="M2147" s="1">
        <v>0.1621314328391214</v>
      </c>
      <c r="N2147" s="1">
        <v>1.9430700777980765</v>
      </c>
      <c r="O2147" s="1">
        <v>0.15629714285714286</v>
      </c>
      <c r="P2147" s="1">
        <v>0.12409242726333471</v>
      </c>
      <c r="Q2147" s="1">
        <v>2.0631004416927174</v>
      </c>
      <c r="R2147" s="2">
        <f t="shared" si="135"/>
        <v>107.60310303217554</v>
      </c>
      <c r="S2147" s="2">
        <f t="shared" si="134"/>
        <v>2.912279588586248</v>
      </c>
      <c r="T2147" s="2">
        <f t="shared" si="136"/>
        <v>15.765477582556885</v>
      </c>
      <c r="U2147" s="2">
        <f t="shared" si="137"/>
        <v>126.28086020331867</v>
      </c>
    </row>
    <row r="2148" spans="1:21" x14ac:dyDescent="0.25">
      <c r="A2148">
        <v>3915089</v>
      </c>
      <c r="B2148">
        <v>44</v>
      </c>
      <c r="C2148" s="1">
        <f>4.53156503144574*(10.3/7.3)</f>
        <v>6.3938520306700211</v>
      </c>
      <c r="D2148" s="1">
        <f>5.38800718387013*(10.3/7.3)</f>
        <v>7.6022567114879891</v>
      </c>
      <c r="E2148" s="1">
        <f>19.0999766029084*(10.3/7.3)</f>
        <v>26.949282056158452</v>
      </c>
      <c r="F2148" s="1">
        <f>37.9899615694253*(38.9/42.5)</f>
        <v>34.771988354132816</v>
      </c>
      <c r="G2148" s="1">
        <v>1.3713512725947536</v>
      </c>
      <c r="H2148" s="1">
        <v>7.9059906227483481</v>
      </c>
      <c r="I2148" s="1">
        <v>28.75908193776926</v>
      </c>
      <c r="J2148" s="1">
        <v>3.9985251987453146E-2</v>
      </c>
      <c r="K2148" s="1">
        <v>3.2194686191541706</v>
      </c>
      <c r="L2148" s="1">
        <v>10.336075273142605</v>
      </c>
      <c r="M2148" s="1">
        <v>0.1658385452616794</v>
      </c>
      <c r="N2148" s="1">
        <v>1.9738652255597047</v>
      </c>
      <c r="O2148" s="1">
        <v>0.16002787878787877</v>
      </c>
      <c r="P2148" s="1">
        <v>0.1260116571377207</v>
      </c>
      <c r="Q2148" s="1">
        <v>2.1916572849687865</v>
      </c>
      <c r="R2148" s="2">
        <f t="shared" si="135"/>
        <v>115.94546027053042</v>
      </c>
      <c r="S2148" s="2">
        <f t="shared" si="134"/>
        <v>3.3854655282793447</v>
      </c>
      <c r="T2148" s="2">
        <f t="shared" si="136"/>
        <v>12.635806922751868</v>
      </c>
      <c r="U2148" s="2">
        <f t="shared" si="137"/>
        <v>131.96673272156164</v>
      </c>
    </row>
    <row r="2149" spans="1:21" x14ac:dyDescent="0.25">
      <c r="A2149">
        <v>3915097</v>
      </c>
      <c r="B2149">
        <v>17</v>
      </c>
      <c r="C2149" s="1">
        <f>4.39784441455753*(10.3/7.3)</f>
        <v>6.2051777356085651</v>
      </c>
      <c r="D2149" s="1">
        <f>5.52186441908128*(10.3/7.3)</f>
        <v>7.791123769388653</v>
      </c>
      <c r="E2149" s="1">
        <f>19.5311498737601*(10.3/7.3)</f>
        <v>27.557649821880741</v>
      </c>
      <c r="F2149" s="1">
        <f>38.5558814187665*(38.9/42.5)</f>
        <v>35.289971463294478</v>
      </c>
      <c r="G2149" s="1">
        <v>1.3956547242803961</v>
      </c>
      <c r="H2149" s="1">
        <v>9.4595813714784889</v>
      </c>
      <c r="I2149" s="1">
        <v>28.590526313355621</v>
      </c>
      <c r="J2149" s="1">
        <v>3.9007023339445446E-2</v>
      </c>
      <c r="K2149" s="1">
        <v>2.7890615493536193</v>
      </c>
      <c r="L2149" s="1">
        <v>8.8506274621803698</v>
      </c>
      <c r="M2149" s="1">
        <v>0.16358780790022082</v>
      </c>
      <c r="N2149" s="1">
        <v>1.9203040371943649</v>
      </c>
      <c r="O2149" s="1">
        <v>0.16064313725490198</v>
      </c>
      <c r="P2149" s="1">
        <v>0.12322000627369677</v>
      </c>
      <c r="Q2149" s="1">
        <v>2.2304984177997218</v>
      </c>
      <c r="R2149" s="2">
        <f t="shared" si="135"/>
        <v>118.52018361708666</v>
      </c>
      <c r="S2149" s="2">
        <f t="shared" si="134"/>
        <v>2.9512885789667611</v>
      </c>
      <c r="T2149" s="2">
        <f t="shared" si="136"/>
        <v>11.095162444529858</v>
      </c>
      <c r="U2149" s="2">
        <f t="shared" si="137"/>
        <v>132.56663464058329</v>
      </c>
    </row>
    <row r="2150" spans="1:21" x14ac:dyDescent="0.25">
      <c r="A2150">
        <v>3915105</v>
      </c>
      <c r="B2150">
        <v>26</v>
      </c>
      <c r="C2150" s="1">
        <f>5.76481433542471*(10.3/7.3)</f>
        <v>8.1339161171061054</v>
      </c>
      <c r="D2150" s="1">
        <f>7.53258565490653*(10.3/7.3)</f>
        <v>10.628168800758528</v>
      </c>
      <c r="E2150" s="1">
        <f>26.6319987622012*(10.3/7.3)</f>
        <v>37.57665578776335</v>
      </c>
      <c r="F2150" s="1">
        <f>50.7784591775027*(38.9/42.5)</f>
        <v>46.477224988349548</v>
      </c>
      <c r="G2150" s="1">
        <v>1.7692935777937118</v>
      </c>
      <c r="H2150" s="1">
        <v>7.4451557347662982</v>
      </c>
      <c r="I2150" s="1">
        <v>36.845470099046061</v>
      </c>
      <c r="J2150" s="1">
        <v>4.0097622705135567E-2</v>
      </c>
      <c r="K2150" s="1">
        <v>2.6506757181960214</v>
      </c>
      <c r="L2150" s="1">
        <v>12.627744069430443</v>
      </c>
      <c r="M2150" s="1">
        <v>0.16403966251994453</v>
      </c>
      <c r="N2150" s="1">
        <v>1.8700421661868272</v>
      </c>
      <c r="O2150" s="1">
        <v>0.16076102564102565</v>
      </c>
      <c r="P2150" s="1">
        <v>0.1206554381831566</v>
      </c>
      <c r="Q2150" s="1">
        <v>2.8276381380264826</v>
      </c>
      <c r="R2150" s="2">
        <f t="shared" si="135"/>
        <v>151.70352324361011</v>
      </c>
      <c r="S2150" s="2">
        <f t="shared" si="134"/>
        <v>2.8114287790843138</v>
      </c>
      <c r="T2150" s="2">
        <f t="shared" si="136"/>
        <v>14.822586923778243</v>
      </c>
      <c r="U2150" s="2">
        <f t="shared" si="137"/>
        <v>169.33753894647265</v>
      </c>
    </row>
    <row r="2151" spans="1:21" x14ac:dyDescent="0.25">
      <c r="A2151">
        <v>3915121</v>
      </c>
      <c r="B2151">
        <v>15</v>
      </c>
      <c r="C2151" s="1">
        <f>6.95576811330859*(10.3/7.3)</f>
        <v>9.8143029543943108</v>
      </c>
      <c r="D2151" s="1">
        <f>9.58411094839469*(10.3/7.3)</f>
        <v>13.52278668061169</v>
      </c>
      <c r="E2151" s="1">
        <f>33.8876108511522*(10.3/7.3)</f>
        <v>47.814026269433874</v>
      </c>
      <c r="F2151" s="1">
        <f>60.6817264382646*(38.9/42.5)</f>
        <v>55.541627257611573</v>
      </c>
      <c r="G2151" s="1">
        <v>1.9486191892563691</v>
      </c>
      <c r="H2151" s="1">
        <v>12.515058691495168</v>
      </c>
      <c r="I2151" s="1">
        <v>42.50235439011054</v>
      </c>
      <c r="J2151" s="1">
        <v>4.2442221261201014E-2</v>
      </c>
      <c r="K2151" s="1">
        <v>2.7272261749747928</v>
      </c>
      <c r="L2151" s="1">
        <v>10.203633835935765</v>
      </c>
      <c r="M2151" s="1">
        <v>0.16841591168413508</v>
      </c>
      <c r="N2151" s="1">
        <v>1.9813912092661108</v>
      </c>
      <c r="O2151" s="1">
        <v>0.16287288888888887</v>
      </c>
      <c r="P2151" s="1">
        <v>0.12215625173237346</v>
      </c>
      <c r="Q2151" s="1">
        <v>3.1142315810033323</v>
      </c>
      <c r="R2151" s="2">
        <f t="shared" si="135"/>
        <v>186.77300701391684</v>
      </c>
      <c r="S2151" s="2">
        <f t="shared" si="134"/>
        <v>2.8918246479683676</v>
      </c>
      <c r="T2151" s="2">
        <f t="shared" si="136"/>
        <v>12.516313845774901</v>
      </c>
      <c r="U2151" s="2">
        <f t="shared" si="137"/>
        <v>202.18114550766012</v>
      </c>
    </row>
    <row r="2152" spans="1:21" x14ac:dyDescent="0.25">
      <c r="A2152">
        <v>3915129</v>
      </c>
      <c r="B2152">
        <v>35</v>
      </c>
      <c r="C2152" s="1">
        <f>5.67611343700869*(10.3/7.3)</f>
        <v>8.0087627946834914</v>
      </c>
      <c r="D2152" s="1">
        <f>7.90780883553888*(10.3/7.3)</f>
        <v>11.157593288500067</v>
      </c>
      <c r="E2152" s="1">
        <f>27.9104866174213*(10.3/7.3)</f>
        <v>39.38054961088217</v>
      </c>
      <c r="F2152" s="1">
        <f>51.8589805218017*(38.9/42.5)</f>
        <v>47.466219818778505</v>
      </c>
      <c r="G2152" s="1">
        <v>1.7675462030395881</v>
      </c>
      <c r="H2152" s="1">
        <v>8.5201776861788172</v>
      </c>
      <c r="I2152" s="1">
        <v>36.546041966296272</v>
      </c>
      <c r="J2152" s="1">
        <v>4.1364932444439804E-2</v>
      </c>
      <c r="K2152" s="1">
        <v>2.5902762171774656</v>
      </c>
      <c r="L2152" s="1">
        <v>10.640767673690322</v>
      </c>
      <c r="M2152" s="1">
        <v>0.15835898750388924</v>
      </c>
      <c r="N2152" s="1">
        <v>1.9314095125701496</v>
      </c>
      <c r="O2152" s="1">
        <v>0.15326933333333331</v>
      </c>
      <c r="P2152" s="1">
        <v>0.1172745237172475</v>
      </c>
      <c r="Q2152" s="1">
        <v>2.8248455299719475</v>
      </c>
      <c r="R2152" s="2">
        <f t="shared" si="135"/>
        <v>155.67173689833086</v>
      </c>
      <c r="S2152" s="2">
        <f t="shared" si="134"/>
        <v>2.7489156733391527</v>
      </c>
      <c r="T2152" s="2">
        <f t="shared" si="136"/>
        <v>12.883805507097696</v>
      </c>
      <c r="U2152" s="2">
        <f t="shared" si="137"/>
        <v>171.30445807876771</v>
      </c>
    </row>
    <row r="2153" spans="1:21" x14ac:dyDescent="0.25">
      <c r="A2153">
        <v>3915137</v>
      </c>
      <c r="B2153">
        <v>24</v>
      </c>
      <c r="C2153" s="1">
        <f>5.90882490824821*(10.3/7.3)</f>
        <v>8.3371091171173397</v>
      </c>
      <c r="D2153" s="1">
        <f>8.0500882657894*(10.3/7.3)</f>
        <v>11.358343717483674</v>
      </c>
      <c r="E2153" s="1">
        <f>28.4732446609226*(10.3/7.3)</f>
        <v>40.174578083219558</v>
      </c>
      <c r="F2153" s="1">
        <f>51.1694560205166*(38.9/42.5)</f>
        <v>46.835102098778727</v>
      </c>
      <c r="G2153" s="1">
        <v>1.647826763288317</v>
      </c>
      <c r="H2153" s="1">
        <v>6.9436506542757455</v>
      </c>
      <c r="I2153" s="1">
        <v>36.026417840006864</v>
      </c>
      <c r="J2153" s="1">
        <v>4.4474786580971239E-2</v>
      </c>
      <c r="K2153" s="1">
        <v>2.4214219507754131</v>
      </c>
      <c r="L2153" s="1">
        <v>10.014771381764575</v>
      </c>
      <c r="M2153" s="1">
        <v>0.14812748960773089</v>
      </c>
      <c r="N2153" s="1">
        <v>1.7738448882908697</v>
      </c>
      <c r="O2153" s="1">
        <v>0.14317555555555553</v>
      </c>
      <c r="P2153" s="1">
        <v>0.1088124100430027</v>
      </c>
      <c r="Q2153" s="1">
        <v>2.6335130920132945</v>
      </c>
      <c r="R2153" s="2">
        <f t="shared" si="135"/>
        <v>153.9565413661835</v>
      </c>
      <c r="S2153" s="2">
        <f t="shared" si="134"/>
        <v>2.5747091473993868</v>
      </c>
      <c r="T2153" s="2">
        <f t="shared" si="136"/>
        <v>12.079919315218731</v>
      </c>
      <c r="U2153" s="2">
        <f t="shared" si="137"/>
        <v>168.61116982880162</v>
      </c>
    </row>
    <row r="2154" spans="1:21" x14ac:dyDescent="0.25">
      <c r="A2154">
        <v>3915145</v>
      </c>
      <c r="B2154">
        <v>14</v>
      </c>
      <c r="C2154" s="1">
        <f>5.70922855579955*(10.3/7.3)</f>
        <v>8.0554868664021093</v>
      </c>
      <c r="D2154" s="1">
        <f>7.72231521709469*(10.3/7.3)</f>
        <v>10.895869415900725</v>
      </c>
      <c r="E2154" s="1">
        <f>27.3245021109445*(10.3/7.3)</f>
        <v>38.553749553798383</v>
      </c>
      <c r="F2154" s="1">
        <f>48.9849916764966*(38.9/42.5)</f>
        <v>44.835674734487498</v>
      </c>
      <c r="G2154" s="1">
        <v>1.5682688418258999</v>
      </c>
      <c r="H2154" s="1">
        <v>7.2393102062321812</v>
      </c>
      <c r="I2154" s="1">
        <v>34.55856683726482</v>
      </c>
      <c r="J2154" s="1">
        <v>3.7929392213809691E-2</v>
      </c>
      <c r="K2154" s="1">
        <v>2.3670866966076685</v>
      </c>
      <c r="L2154" s="1">
        <v>8.8889972550781433</v>
      </c>
      <c r="M2154" s="1">
        <v>0.14523485338961786</v>
      </c>
      <c r="N2154" s="1">
        <v>1.7586058439004018</v>
      </c>
      <c r="O2154" s="1">
        <v>0.13926476190476192</v>
      </c>
      <c r="P2154" s="1">
        <v>0.10683187894386729</v>
      </c>
      <c r="Q2154" s="1">
        <v>2.5063657289455046</v>
      </c>
      <c r="R2154" s="2">
        <f t="shared" si="135"/>
        <v>148.21329218485712</v>
      </c>
      <c r="S2154" s="2">
        <f t="shared" si="134"/>
        <v>2.5118479677653451</v>
      </c>
      <c r="T2154" s="2">
        <f t="shared" si="136"/>
        <v>10.932102714272924</v>
      </c>
      <c r="U2154" s="2">
        <f t="shared" si="137"/>
        <v>161.65724286689539</v>
      </c>
    </row>
    <row r="2155" spans="1:21" x14ac:dyDescent="0.25">
      <c r="A2155">
        <v>3915153</v>
      </c>
      <c r="B2155">
        <v>26</v>
      </c>
      <c r="C2155" s="1">
        <f>5.42641948883263*(10.3/7.3)</f>
        <v>7.6564548952022102</v>
      </c>
      <c r="D2155" s="1">
        <f>7.20731277465356*(10.3/7.3)</f>
        <v>10.169222134100222</v>
      </c>
      <c r="E2155" s="1">
        <f>25.5048255302957*(10.3/7.3)</f>
        <v>35.98626067973229</v>
      </c>
      <c r="F2155" s="1">
        <f>46.577795345963*(38.9/42.5)</f>
        <v>42.632382093128506</v>
      </c>
      <c r="G2155" s="1">
        <v>1.528540237007955</v>
      </c>
      <c r="H2155" s="1">
        <v>6.0441584802188508</v>
      </c>
      <c r="I2155" s="1">
        <v>33.245234245958869</v>
      </c>
      <c r="J2155" s="1">
        <v>3.5195416764392272E-2</v>
      </c>
      <c r="K2155" s="1">
        <v>2.2771261952629542</v>
      </c>
      <c r="L2155" s="1">
        <v>11.674820061463517</v>
      </c>
      <c r="M2155" s="1">
        <v>0.13882681768961408</v>
      </c>
      <c r="N2155" s="1">
        <v>1.6842890757871838</v>
      </c>
      <c r="O2155" s="1">
        <v>0.13234666666666667</v>
      </c>
      <c r="P2155" s="1">
        <v>0.10185654067291985</v>
      </c>
      <c r="Q2155" s="1">
        <v>2.442872524898561</v>
      </c>
      <c r="R2155" s="2">
        <f t="shared" si="135"/>
        <v>139.70512529024745</v>
      </c>
      <c r="S2155" s="2">
        <f t="shared" si="134"/>
        <v>2.4141781527002664</v>
      </c>
      <c r="T2155" s="2">
        <f t="shared" si="136"/>
        <v>13.630282621606982</v>
      </c>
      <c r="U2155" s="2">
        <f t="shared" si="137"/>
        <v>155.74958606455471</v>
      </c>
    </row>
    <row r="2156" spans="1:21" x14ac:dyDescent="0.25">
      <c r="A2156">
        <v>3915161</v>
      </c>
      <c r="B2156">
        <v>28</v>
      </c>
      <c r="C2156" s="1">
        <f>5.13014071818096*(10.3/7.3)</f>
        <v>7.2384177256525817</v>
      </c>
      <c r="D2156" s="1">
        <f>6.60632675563611*(10.3/7.3)</f>
        <v>9.3212555593221769</v>
      </c>
      <c r="E2156" s="1">
        <f>23.4085251532654*(10.3/7.3)</f>
        <v>33.028466997073039</v>
      </c>
      <c r="F2156" s="1">
        <f>42.7905863080369*(38.9/42.5)</f>
        <v>39.165971938414998</v>
      </c>
      <c r="G2156" s="1">
        <v>1.3949875120419795</v>
      </c>
      <c r="H2156" s="1">
        <v>6.2501793456597259</v>
      </c>
      <c r="I2156" s="1">
        <v>30.904064792606309</v>
      </c>
      <c r="J2156" s="1">
        <v>3.6919812805574381E-2</v>
      </c>
      <c r="K2156" s="1">
        <v>2.5625718069319068</v>
      </c>
      <c r="L2156" s="1">
        <v>13.664637880352663</v>
      </c>
      <c r="M2156" s="1">
        <v>0.14286743528032603</v>
      </c>
      <c r="N2156" s="1">
        <v>1.8148272330902564</v>
      </c>
      <c r="O2156" s="1">
        <v>0.13494095238095238</v>
      </c>
      <c r="P2156" s="1">
        <v>0.10581524256711676</v>
      </c>
      <c r="Q2156" s="1">
        <v>2.2294320968707462</v>
      </c>
      <c r="R2156" s="2">
        <f t="shared" si="135"/>
        <v>129.53277596764156</v>
      </c>
      <c r="S2156" s="2">
        <f t="shared" si="134"/>
        <v>2.7053068623045982</v>
      </c>
      <c r="T2156" s="2">
        <f t="shared" si="136"/>
        <v>15.757273501104198</v>
      </c>
      <c r="U2156" s="2">
        <f t="shared" si="137"/>
        <v>147.99535633105037</v>
      </c>
    </row>
    <row r="2157" spans="1:21" x14ac:dyDescent="0.25">
      <c r="A2157">
        <v>3915169</v>
      </c>
      <c r="B2157">
        <v>12</v>
      </c>
      <c r="C2157" s="1">
        <f>7.16526960366591*(10.3/7.3)</f>
        <v>10.109900947638206</v>
      </c>
      <c r="D2157" s="1">
        <f>7.71617571642456*(10.3/7.3)</f>
        <v>10.887206832763415</v>
      </c>
      <c r="E2157" s="1">
        <f>27.5930681581055*(10.3/7.3)</f>
        <v>38.932685209381788</v>
      </c>
      <c r="F2157" s="1">
        <f>49.5731583713784*(38.9/42.5)</f>
        <v>45.374020250508742</v>
      </c>
      <c r="G2157" s="1">
        <v>1.4862137583427877</v>
      </c>
      <c r="H2157" s="1">
        <v>6.4138947991945399</v>
      </c>
      <c r="I2157" s="1">
        <v>38.310978184742346</v>
      </c>
      <c r="J2157" s="1">
        <v>3.5962566243678086E-2</v>
      </c>
      <c r="K2157" s="1">
        <v>2.3695279215827494</v>
      </c>
      <c r="L2157" s="1">
        <v>14.378273280415064</v>
      </c>
      <c r="M2157" s="1">
        <v>0.13770545938725243</v>
      </c>
      <c r="N2157" s="1">
        <v>1.7687544632776717</v>
      </c>
      <c r="O2157" s="1">
        <v>0.12896444444444446</v>
      </c>
      <c r="P2157" s="1">
        <v>0.10123480583194257</v>
      </c>
      <c r="Q2157" s="1">
        <v>2.3752274676711238</v>
      </c>
      <c r="R2157" s="2">
        <f t="shared" si="135"/>
        <v>153.89012745024294</v>
      </c>
      <c r="S2157" s="2">
        <f t="shared" si="134"/>
        <v>2.5067252936583704</v>
      </c>
      <c r="T2157" s="2">
        <f t="shared" si="136"/>
        <v>16.413697647524433</v>
      </c>
      <c r="U2157" s="2">
        <f t="shared" si="137"/>
        <v>172.81055039142575</v>
      </c>
    </row>
    <row r="2158" spans="1:21" x14ac:dyDescent="0.25">
      <c r="A2158">
        <v>3915281</v>
      </c>
      <c r="B2158">
        <v>4</v>
      </c>
      <c r="C2158" s="1">
        <f>7.04876925018774*(10.3/7.3)</f>
        <v>9.9455237365662654</v>
      </c>
      <c r="D2158" s="1">
        <f>7.61724731756053*(10.3/7.3)</f>
        <v>10.747622927516909</v>
      </c>
      <c r="E2158" s="1">
        <f>27.2302006057129*(10.3/7.3)</f>
        <v>38.420694005320875</v>
      </c>
      <c r="F2158" s="1">
        <f>49.1307406155389*(38.9/42.5)</f>
        <v>44.969077881046168</v>
      </c>
      <c r="G2158" s="1">
        <v>1.4860349334410496</v>
      </c>
      <c r="H2158" s="1">
        <v>6.3654679759823605</v>
      </c>
      <c r="I2158" s="1">
        <v>37.939927254028575</v>
      </c>
      <c r="J2158" s="1">
        <v>4.2663292176952097E-2</v>
      </c>
      <c r="K2158" s="1">
        <v>2.6237256222040313</v>
      </c>
      <c r="L2158" s="1">
        <v>6.3894292623667885</v>
      </c>
      <c r="M2158" s="1">
        <v>0.13328120700053087</v>
      </c>
      <c r="N2158" s="1">
        <v>1.6805183742149081</v>
      </c>
      <c r="O2158" s="1">
        <v>0.11576</v>
      </c>
      <c r="P2158" s="1">
        <v>9.2446095975611223E-2</v>
      </c>
      <c r="Q2158" s="1">
        <v>2.3749416744491683</v>
      </c>
      <c r="R2158" s="2">
        <f t="shared" si="135"/>
        <v>152.24929038835134</v>
      </c>
      <c r="S2158" s="2">
        <f t="shared" si="134"/>
        <v>2.7588350103565946</v>
      </c>
      <c r="T2158" s="2">
        <f t="shared" si="136"/>
        <v>8.3189888435822272</v>
      </c>
      <c r="U2158" s="2">
        <f t="shared" si="137"/>
        <v>163.32711424229015</v>
      </c>
    </row>
    <row r="2159" spans="1:21" x14ac:dyDescent="0.25">
      <c r="A2159">
        <v>3915289</v>
      </c>
      <c r="B2159">
        <v>42</v>
      </c>
      <c r="C2159" s="1">
        <f>5.20785503619102*(10.3/7.3)</f>
        <v>7.3480694346256819</v>
      </c>
      <c r="D2159" s="1">
        <f>5.72759096894493*(10.3/7.3)</f>
        <v>8.0813954767305241</v>
      </c>
      <c r="E2159" s="1">
        <f>20.4393968164607*(10.3/7.3)</f>
        <v>28.839148932814375</v>
      </c>
      <c r="F2159" s="1">
        <f>37.7416659739685*(38.9/42.5)</f>
        <v>34.544724856173545</v>
      </c>
      <c r="G2159" s="1">
        <v>1.1945861085887963</v>
      </c>
      <c r="H2159" s="1">
        <v>6.3964195541543063</v>
      </c>
      <c r="I2159" s="1">
        <v>29.046115822849078</v>
      </c>
      <c r="J2159" s="1">
        <v>3.5520868938283837E-2</v>
      </c>
      <c r="K2159" s="1">
        <v>2.3267162716069558</v>
      </c>
      <c r="L2159" s="1">
        <v>7.4053523764334992</v>
      </c>
      <c r="M2159" s="1">
        <v>0.1205283368887874</v>
      </c>
      <c r="N2159" s="1">
        <v>1.4708839717039557</v>
      </c>
      <c r="O2159" s="1">
        <v>0.10429333333333332</v>
      </c>
      <c r="P2159" s="1">
        <v>8.498986329272587E-2</v>
      </c>
      <c r="Q2159" s="1">
        <v>1.9091558813062974</v>
      </c>
      <c r="R2159" s="2">
        <f t="shared" si="135"/>
        <v>117.3596160672426</v>
      </c>
      <c r="S2159" s="2">
        <f t="shared" si="134"/>
        <v>2.4472270038379658</v>
      </c>
      <c r="T2159" s="2">
        <f t="shared" si="136"/>
        <v>9.1010580183595753</v>
      </c>
      <c r="U2159" s="2">
        <f t="shared" si="137"/>
        <v>128.90790108944014</v>
      </c>
    </row>
    <row r="2160" spans="1:21" x14ac:dyDescent="0.25">
      <c r="A2160">
        <v>3915297</v>
      </c>
      <c r="B2160">
        <v>9</v>
      </c>
      <c r="C2160" s="1">
        <f>5.96995163692503*(10.3/7.3)</f>
        <v>8.4233564192229871</v>
      </c>
      <c r="D2160" s="1">
        <f>6.63000805132085*(10.3/7.3)</f>
        <v>9.3546688943294125</v>
      </c>
      <c r="E2160" s="1">
        <f>23.6109737129231*(10.3/7.3)</f>
        <v>33.314113594946299</v>
      </c>
      <c r="F2160" s="1">
        <f>45.464327896375*(38.9/42.5)</f>
        <v>41.613231886329118</v>
      </c>
      <c r="G2160" s="1">
        <v>1.5408745699739721</v>
      </c>
      <c r="H2160" s="1">
        <v>6.428544146486086</v>
      </c>
      <c r="I2160" s="1">
        <v>35.097121834193082</v>
      </c>
      <c r="J2160" s="1">
        <v>3.9831425136092974E-2</v>
      </c>
      <c r="K2160" s="1">
        <v>2.5821774859672071</v>
      </c>
      <c r="L2160" s="1">
        <v>6.4169322093071672</v>
      </c>
      <c r="M2160" s="1">
        <v>0.13013046583501203</v>
      </c>
      <c r="N2160" s="1">
        <v>1.6724363777332727</v>
      </c>
      <c r="O2160" s="1">
        <v>0.11255703703703704</v>
      </c>
      <c r="P2160" s="1">
        <v>8.9921669986223488E-2</v>
      </c>
      <c r="Q2160" s="1">
        <v>2.4625849291821504</v>
      </c>
      <c r="R2160" s="2">
        <f t="shared" si="135"/>
        <v>138.23449627466312</v>
      </c>
      <c r="S2160" s="2">
        <f t="shared" si="134"/>
        <v>2.7119305810895233</v>
      </c>
      <c r="T2160" s="2">
        <f t="shared" si="136"/>
        <v>8.3320560899124896</v>
      </c>
      <c r="U2160" s="2">
        <f t="shared" si="137"/>
        <v>149.27848294566513</v>
      </c>
    </row>
    <row r="2161" spans="1:21" x14ac:dyDescent="0.25">
      <c r="A2161">
        <v>3915305</v>
      </c>
      <c r="B2161">
        <v>10</v>
      </c>
      <c r="C2161" s="1">
        <f>5.00692630281735*(10.3/7.3)</f>
        <v>7.0645672491806497</v>
      </c>
      <c r="D2161" s="1">
        <f>5.61231733826644*(10.3/7.3)</f>
        <v>7.9187491211156571</v>
      </c>
      <c r="E2161" s="1">
        <f>19.9703593655353*(10.3/7.3)</f>
        <v>28.177356365070388</v>
      </c>
      <c r="F2161" s="1">
        <f>38.8104194935766*(38.9/42.5)</f>
        <v>35.522948665885444</v>
      </c>
      <c r="G2161" s="1">
        <v>1.3365730805686034</v>
      </c>
      <c r="H2161" s="1">
        <v>5.4124952768867427</v>
      </c>
      <c r="I2161" s="1">
        <v>29.900264073099883</v>
      </c>
      <c r="J2161" s="1">
        <v>3.5911082038090507E-2</v>
      </c>
      <c r="K2161" s="1">
        <v>2.6221276404209375</v>
      </c>
      <c r="L2161" s="1">
        <v>5.7611580409708294</v>
      </c>
      <c r="M2161" s="1">
        <v>0.12303080370473285</v>
      </c>
      <c r="N2161" s="1">
        <v>1.58245275906441</v>
      </c>
      <c r="O2161" s="1">
        <v>0.10857066666666666</v>
      </c>
      <c r="P2161" s="1">
        <v>8.836135105726195E-2</v>
      </c>
      <c r="Q2161" s="1">
        <v>2.1360756995388654</v>
      </c>
      <c r="R2161" s="2">
        <f t="shared" si="135"/>
        <v>117.46902953134624</v>
      </c>
      <c r="S2161" s="2">
        <f t="shared" si="134"/>
        <v>2.7464000735162899</v>
      </c>
      <c r="T2161" s="2">
        <f t="shared" si="136"/>
        <v>7.5752122704066398</v>
      </c>
      <c r="U2161" s="2">
        <f t="shared" si="137"/>
        <v>127.79064187526916</v>
      </c>
    </row>
    <row r="2162" spans="1:21" x14ac:dyDescent="0.25">
      <c r="A2162">
        <v>3915313</v>
      </c>
      <c r="B2162">
        <v>13</v>
      </c>
      <c r="C2162" s="1">
        <f>5.33312729255623*(10.3/7.3)</f>
        <v>7.5248234401820762</v>
      </c>
      <c r="D2162" s="1">
        <f>5.88856400975316*(10.3/7.3)</f>
        <v>8.3085218219804879</v>
      </c>
      <c r="E2162" s="1">
        <f>20.9928270805647*(10.3/7.3)</f>
        <v>29.620016291755661</v>
      </c>
      <c r="F2162" s="1">
        <f>39.608800102959*(38.9/42.5)</f>
        <v>36.253701741296581</v>
      </c>
      <c r="G2162" s="1">
        <v>1.2994242705968277</v>
      </c>
      <c r="H2162" s="1">
        <v>6.1778759422675984</v>
      </c>
      <c r="I2162" s="1">
        <v>30.543886722283695</v>
      </c>
      <c r="J2162" s="1">
        <v>3.9733359982592815E-2</v>
      </c>
      <c r="K2162" s="1">
        <v>2.6817510461855347</v>
      </c>
      <c r="L2162" s="1">
        <v>5.4946108022527698</v>
      </c>
      <c r="M2162" s="1">
        <v>0.12449753799353923</v>
      </c>
      <c r="N2162" s="1">
        <v>1.6164455020102659</v>
      </c>
      <c r="O2162" s="1">
        <v>0.11055589743589743</v>
      </c>
      <c r="P2162" s="1">
        <v>9.037582970549396E-2</v>
      </c>
      <c r="Q2162" s="1">
        <v>2.0767054552917359</v>
      </c>
      <c r="R2162" s="2">
        <f t="shared" si="135"/>
        <v>121.80495568565466</v>
      </c>
      <c r="S2162" s="2">
        <f t="shared" si="134"/>
        <v>2.8118602358736213</v>
      </c>
      <c r="T2162" s="2">
        <f t="shared" si="136"/>
        <v>7.3461097396924728</v>
      </c>
      <c r="U2162" s="2">
        <f t="shared" si="137"/>
        <v>131.96292566122077</v>
      </c>
    </row>
    <row r="2163" spans="1:21" x14ac:dyDescent="0.25">
      <c r="A2163">
        <v>3915321</v>
      </c>
      <c r="B2163">
        <v>8</v>
      </c>
      <c r="C2163" s="1">
        <f>5.14095149579309*(10.3/7.3)</f>
        <v>7.2536712885847781</v>
      </c>
      <c r="D2163" s="1">
        <f>5.6263457245852*(10.3/7.3)</f>
        <v>7.9385425977024093</v>
      </c>
      <c r="E2163" s="1">
        <f>20.0530978776278*(10.3/7.3)</f>
        <v>28.294097005419985</v>
      </c>
      <c r="F2163" s="1">
        <f>38.5392931780518*(38.9/42.5)</f>
        <v>35.274788344146252</v>
      </c>
      <c r="G2163" s="1">
        <v>1.2970617185296378</v>
      </c>
      <c r="H2163" s="1">
        <v>4.2044419844263965</v>
      </c>
      <c r="I2163" s="1">
        <v>29.910101797677477</v>
      </c>
      <c r="J2163" s="1">
        <v>3.5073261456227744E-2</v>
      </c>
      <c r="K2163" s="1">
        <v>2.5453130684386003</v>
      </c>
      <c r="L2163" s="1">
        <v>4.7778235394766684</v>
      </c>
      <c r="M2163" s="1">
        <v>0.12023175261818658</v>
      </c>
      <c r="N2163" s="1">
        <v>2.0310604760843773</v>
      </c>
      <c r="O2163" s="1">
        <v>0.10675333333333334</v>
      </c>
      <c r="P2163" s="1">
        <v>8.795281966841334E-2</v>
      </c>
      <c r="Q2163" s="1">
        <v>2.0729296871478256</v>
      </c>
      <c r="R2163" s="2">
        <f t="shared" si="135"/>
        <v>116.24563442363475</v>
      </c>
      <c r="S2163" s="2">
        <f t="shared" si="134"/>
        <v>2.6683391495632414</v>
      </c>
      <c r="T2163" s="2">
        <f t="shared" si="136"/>
        <v>7.0358691015125663</v>
      </c>
      <c r="U2163" s="2">
        <f t="shared" si="137"/>
        <v>125.94984267471055</v>
      </c>
    </row>
    <row r="2164" spans="1:21" x14ac:dyDescent="0.25">
      <c r="A2164">
        <v>392369</v>
      </c>
      <c r="B2164">
        <v>3</v>
      </c>
      <c r="C2164" s="1">
        <f>0.980594428250443*(10.3/7.3)</f>
        <v>1.3835784398602147</v>
      </c>
      <c r="D2164" s="1">
        <f>1.47825655100539*(10.3/7.3)</f>
        <v>2.0857592431993797</v>
      </c>
      <c r="E2164" s="1">
        <f>5.08418579608439*(10.3/7.3)</f>
        <v>7.1735772191327651</v>
      </c>
      <c r="F2164" s="1">
        <f>15.3456885496626*(38.9/42.5)</f>
        <v>14.045818460750027</v>
      </c>
      <c r="G2164" s="1">
        <v>0.82363173242392129</v>
      </c>
      <c r="H2164" s="1">
        <v>5.9220686235656474</v>
      </c>
      <c r="I2164" s="1">
        <v>11.755499306288653</v>
      </c>
      <c r="J2164" s="1">
        <v>2.3886408350634613E-2</v>
      </c>
      <c r="K2164" s="1">
        <v>3.308047740842508</v>
      </c>
      <c r="L2164" s="1">
        <v>1.2738124688299544</v>
      </c>
      <c r="M2164" s="1">
        <v>6.6838037579981968E-2</v>
      </c>
      <c r="N2164" s="1">
        <v>1.0040641969101733</v>
      </c>
      <c r="O2164" s="1">
        <v>6.9315555555555561E-2</v>
      </c>
      <c r="P2164" s="1">
        <v>5.9679285347298577E-2</v>
      </c>
      <c r="Q2164" s="1">
        <v>1.3163064216820672</v>
      </c>
      <c r="R2164" s="2">
        <f t="shared" si="135"/>
        <v>44.506239446902669</v>
      </c>
      <c r="S2164" s="2">
        <f t="shared" si="134"/>
        <v>3.3916134345404414</v>
      </c>
      <c r="T2164" s="2">
        <f t="shared" si="136"/>
        <v>2.4140302588756648</v>
      </c>
      <c r="U2164" s="2">
        <f t="shared" si="137"/>
        <v>50.31188314031877</v>
      </c>
    </row>
    <row r="2165" spans="1:21" x14ac:dyDescent="0.25">
      <c r="A2165">
        <v>392377</v>
      </c>
      <c r="B2165">
        <v>8</v>
      </c>
      <c r="C2165" s="1">
        <f>1.16161805442422*(10.3/7.3)</f>
        <v>1.638995337064304</v>
      </c>
      <c r="D2165" s="1">
        <f>1.68247996019617*(10.3/7.3)</f>
        <v>2.3739100808247344</v>
      </c>
      <c r="E2165" s="1">
        <f>5.80773594885652*(10.3/7.3)</f>
        <v>8.1944767497564648</v>
      </c>
      <c r="F2165" s="1">
        <f>16.898354457117*(38.9/42.5)</f>
        <v>15.46696443251413</v>
      </c>
      <c r="G2165" s="1">
        <v>0.88444561088240081</v>
      </c>
      <c r="H2165" s="1">
        <v>4.7830445484701754</v>
      </c>
      <c r="I2165" s="1">
        <v>12.967683494622644</v>
      </c>
      <c r="J2165" s="1">
        <v>2.3781035457330353E-2</v>
      </c>
      <c r="K2165" s="1">
        <v>3.2368950926836857</v>
      </c>
      <c r="L2165" s="1">
        <v>1.328777590767362</v>
      </c>
      <c r="M2165" s="1">
        <v>6.9759956136726406E-2</v>
      </c>
      <c r="N2165" s="1">
        <v>1.1847109993251526</v>
      </c>
      <c r="O2165" s="1">
        <v>7.158666666666666E-2</v>
      </c>
      <c r="P2165" s="1">
        <v>6.1515202756359778E-2</v>
      </c>
      <c r="Q2165" s="1">
        <v>1.4134975516385415</v>
      </c>
      <c r="R2165" s="2">
        <f t="shared" si="135"/>
        <v>47.723017805773395</v>
      </c>
      <c r="S2165" s="2">
        <f t="shared" si="134"/>
        <v>3.3221913308973758</v>
      </c>
      <c r="T2165" s="2">
        <f t="shared" si="136"/>
        <v>2.6548352128959074</v>
      </c>
      <c r="U2165" s="2">
        <f t="shared" si="137"/>
        <v>53.700044349566681</v>
      </c>
    </row>
    <row r="2166" spans="1:21" x14ac:dyDescent="0.25">
      <c r="A2166">
        <v>392417</v>
      </c>
      <c r="B2166">
        <v>34</v>
      </c>
      <c r="C2166" s="1">
        <f>1.06336883726771*(10.3/7.3)</f>
        <v>1.5003697292955407</v>
      </c>
      <c r="D2166" s="1">
        <f>1.88510062335155*(10.3/7.3)</f>
        <v>2.659799509660413</v>
      </c>
      <c r="E2166" s="1">
        <f>6.39844921069834*(10.3/7.3)</f>
        <v>9.0279488863277884</v>
      </c>
      <c r="F2166" s="1">
        <f>21.8064063974799*(38.9/42.5)</f>
        <v>19.959275502634544</v>
      </c>
      <c r="G2166" s="1">
        <v>1.2598855993251314</v>
      </c>
      <c r="H2166" s="1">
        <v>5.4048879350560624</v>
      </c>
      <c r="I2166" s="1">
        <v>16.598465393466167</v>
      </c>
      <c r="J2166" s="1">
        <v>2.2140038804281403E-2</v>
      </c>
      <c r="K2166" s="1">
        <v>2.6261443222514398</v>
      </c>
      <c r="L2166" s="1">
        <v>1.2370265129709703</v>
      </c>
      <c r="M2166" s="1">
        <v>6.5955778162782946E-2</v>
      </c>
      <c r="N2166" s="1">
        <v>0.74643601109000957</v>
      </c>
      <c r="O2166" s="1">
        <v>6.7750588235294118E-2</v>
      </c>
      <c r="P2166" s="1">
        <v>5.8465444604759824E-2</v>
      </c>
      <c r="Q2166" s="1">
        <v>2.0135157980082026</v>
      </c>
      <c r="R2166" s="2">
        <f t="shared" si="135"/>
        <v>58.424148353773845</v>
      </c>
      <c r="S2166" s="2">
        <f t="shared" si="134"/>
        <v>2.7067498056604808</v>
      </c>
      <c r="T2166" s="2">
        <f t="shared" si="136"/>
        <v>2.1171688904590567</v>
      </c>
      <c r="U2166" s="2">
        <f t="shared" si="137"/>
        <v>63.248067049893379</v>
      </c>
    </row>
    <row r="2167" spans="1:21" x14ac:dyDescent="0.25">
      <c r="A2167">
        <v>392433</v>
      </c>
      <c r="B2167">
        <v>3</v>
      </c>
      <c r="C2167" s="1">
        <f>0.972628592115184*(10.3/7.3)</f>
        <v>1.3723389724364923</v>
      </c>
      <c r="D2167" s="1">
        <f>1.60064373220819*(10.3/7.3)</f>
        <v>2.2584425262663461</v>
      </c>
      <c r="E2167" s="1">
        <f>5.48639498631971*(10.3/7.3)</f>
        <v>7.741077857409997</v>
      </c>
      <c r="F2167" s="1">
        <f>16.6263689576002*(38.9/42.5)</f>
        <v>15.218017704721168</v>
      </c>
      <c r="G2167" s="1">
        <v>0.90091985495499494</v>
      </c>
      <c r="H2167" s="1">
        <v>8.8814233923468908</v>
      </c>
      <c r="I2167" s="1">
        <v>12.541781976164378</v>
      </c>
      <c r="J2167" s="1">
        <v>2.0562565407480221E-2</v>
      </c>
      <c r="K2167" s="1">
        <v>2.4080042824643306</v>
      </c>
      <c r="L2167" s="1">
        <v>1.1577526574167685</v>
      </c>
      <c r="M2167" s="1">
        <v>6.0966588932371113E-2</v>
      </c>
      <c r="N2167" s="1">
        <v>0.6921167015257591</v>
      </c>
      <c r="O2167" s="1">
        <v>6.3786666666666672E-2</v>
      </c>
      <c r="P2167" s="1">
        <v>5.5883842489006845E-2</v>
      </c>
      <c r="Q2167" s="1">
        <v>1.4398262522111807</v>
      </c>
      <c r="R2167" s="2">
        <f t="shared" si="135"/>
        <v>50.353828536511458</v>
      </c>
      <c r="S2167" s="2">
        <f t="shared" si="134"/>
        <v>2.4844506903608177</v>
      </c>
      <c r="T2167" s="2">
        <f t="shared" si="136"/>
        <v>1.9746226145415653</v>
      </c>
      <c r="U2167" s="2">
        <f t="shared" si="137"/>
        <v>54.81290184141384</v>
      </c>
    </row>
    <row r="2168" spans="1:21" x14ac:dyDescent="0.25">
      <c r="A2168">
        <v>392449</v>
      </c>
      <c r="B2168">
        <v>44</v>
      </c>
      <c r="C2168" s="1">
        <f>1.30748337656464*(10.3/7.3)</f>
        <v>1.8448053121391461</v>
      </c>
      <c r="D2168" s="1">
        <f>2.27967207465788*(10.3/7.3)</f>
        <v>3.2165236121885172</v>
      </c>
      <c r="E2168" s="1">
        <f>7.80515071825187*(10.3/7.3)</f>
        <v>11.012746903834833</v>
      </c>
      <c r="F2168" s="1">
        <f>23.3185833791761*(38.9/42.5)</f>
        <v>21.343362198822373</v>
      </c>
      <c r="G2168" s="1">
        <v>1.2592451288548698</v>
      </c>
      <c r="H2168" s="1">
        <v>4.0285747464452042</v>
      </c>
      <c r="I2168" s="1">
        <v>17.365305166870648</v>
      </c>
      <c r="J2168" s="1">
        <v>2.5207330538449892E-2</v>
      </c>
      <c r="K2168" s="1">
        <v>2.7773029683348156</v>
      </c>
      <c r="L2168" s="1">
        <v>1.4104632614452834</v>
      </c>
      <c r="M2168" s="1">
        <v>7.3647484186097553E-2</v>
      </c>
      <c r="N2168" s="1">
        <v>0.82205037752271937</v>
      </c>
      <c r="O2168" s="1">
        <v>7.5303030303030316E-2</v>
      </c>
      <c r="P2168" s="1">
        <v>6.4644538968061063E-2</v>
      </c>
      <c r="Q2168" s="1">
        <v>2.0124922150648619</v>
      </c>
      <c r="R2168" s="2">
        <f t="shared" si="135"/>
        <v>62.08305528422045</v>
      </c>
      <c r="S2168" s="2">
        <f t="shared" si="134"/>
        <v>2.8671548378413267</v>
      </c>
      <c r="T2168" s="2">
        <f t="shared" si="136"/>
        <v>2.3814641534571304</v>
      </c>
      <c r="U2168" s="2">
        <f t="shared" si="137"/>
        <v>67.331674275518907</v>
      </c>
    </row>
    <row r="2169" spans="1:21" x14ac:dyDescent="0.25">
      <c r="A2169">
        <v>392457</v>
      </c>
      <c r="B2169">
        <v>3</v>
      </c>
      <c r="C2169" s="1">
        <f>0.869471014163573*(10.3/7.3)</f>
        <v>1.2267878692992886</v>
      </c>
      <c r="D2169" s="1">
        <f>1.34042864117013*(10.3/7.3)</f>
        <v>1.8912897265825115</v>
      </c>
      <c r="E2169" s="1">
        <f>4.6286954383081*(10.3/7.3)</f>
        <v>6.5308990430922584</v>
      </c>
      <c r="F2169" s="1">
        <f>12.8178882239077*(38.9/42.5)</f>
        <v>11.732137692000256</v>
      </c>
      <c r="G2169" s="1">
        <v>0.65435608043892757</v>
      </c>
      <c r="H2169" s="1">
        <v>4.1943787226086053</v>
      </c>
      <c r="I2169" s="1">
        <v>9.6259704574735725</v>
      </c>
      <c r="J2169" s="1">
        <v>1.7787510150259405E-2</v>
      </c>
      <c r="K2169" s="1">
        <v>1.9816828611604675</v>
      </c>
      <c r="L2169" s="1">
        <v>0.99348307838838856</v>
      </c>
      <c r="M2169" s="1">
        <v>5.3223899634544304E-2</v>
      </c>
      <c r="N2169" s="1">
        <v>0.61919247189896365</v>
      </c>
      <c r="O2169" s="1">
        <v>5.7013333333333326E-2</v>
      </c>
      <c r="P2169" s="1">
        <v>5.0445797286734838E-2</v>
      </c>
      <c r="Q2169" s="1">
        <v>1.0457745577791091</v>
      </c>
      <c r="R2169" s="2">
        <f t="shared" si="135"/>
        <v>36.90159414927453</v>
      </c>
      <c r="S2169" s="2">
        <f t="shared" si="134"/>
        <v>2.0499161685974618</v>
      </c>
      <c r="T2169" s="2">
        <f t="shared" si="136"/>
        <v>1.7229127832552298</v>
      </c>
      <c r="U2169" s="2">
        <f t="shared" si="137"/>
        <v>40.674423101127225</v>
      </c>
    </row>
    <row r="2170" spans="1:21" x14ac:dyDescent="0.25">
      <c r="A2170">
        <v>3926789</v>
      </c>
      <c r="B2170">
        <v>64</v>
      </c>
      <c r="C2170" s="1">
        <f>0.910390518660885*(10.3/7.3)</f>
        <v>1.2845236085215226</v>
      </c>
      <c r="D2170" s="1">
        <f>1.12645525538372*(10.3/7.3)</f>
        <v>1.5893820726647052</v>
      </c>
      <c r="E2170" s="1">
        <f>3.95100806977299*(10.3/7.3)</f>
        <v>5.5747100162550351</v>
      </c>
      <c r="F2170" s="1">
        <f>9.61405096722764*(38.9/42.5)</f>
        <v>8.7996842970624769</v>
      </c>
      <c r="G2170" s="1">
        <v>0.43380853498661931</v>
      </c>
      <c r="H2170" s="1">
        <v>2.0674334577930047</v>
      </c>
      <c r="I2170" s="1">
        <v>7.4398893968879642</v>
      </c>
      <c r="J2170" s="1">
        <v>2.9548477564212004E-2</v>
      </c>
      <c r="K2170" s="1">
        <v>3.8017873852916564</v>
      </c>
      <c r="L2170" s="1">
        <v>3.3591838235821152</v>
      </c>
      <c r="M2170" s="1">
        <v>0.18708612655659784</v>
      </c>
      <c r="N2170" s="1">
        <v>1.1258202654651563</v>
      </c>
      <c r="O2170" s="1">
        <v>0.98124166666666646</v>
      </c>
      <c r="P2170" s="1">
        <v>0.3536949942975699</v>
      </c>
      <c r="Q2170" s="1">
        <v>0.69330131162245179</v>
      </c>
      <c r="R2170" s="2">
        <f t="shared" si="135"/>
        <v>27.882732695793777</v>
      </c>
      <c r="S2170" s="2">
        <f t="shared" si="134"/>
        <v>4.1850308571534383</v>
      </c>
      <c r="T2170" s="2">
        <f t="shared" si="136"/>
        <v>5.6533318822705363</v>
      </c>
      <c r="U2170" s="2">
        <f t="shared" si="137"/>
        <v>37.721095435217748</v>
      </c>
    </row>
    <row r="2171" spans="1:21" x14ac:dyDescent="0.25">
      <c r="A2171">
        <v>3926797</v>
      </c>
      <c r="B2171">
        <v>45</v>
      </c>
      <c r="C2171" s="1">
        <f>1.38427645079828*(10.3/7.3)</f>
        <v>1.9531571840030484</v>
      </c>
      <c r="D2171" s="1">
        <f>1.61536456394777*(10.3/7.3)</f>
        <v>2.2792130148852041</v>
      </c>
      <c r="E2171" s="1">
        <f>5.6796021643666*(10.3/7.3)</f>
        <v>8.0136852456131518</v>
      </c>
      <c r="F2171" s="1">
        <f>13.9123577161713*(38.9/42.5)</f>
        <v>12.733899180213271</v>
      </c>
      <c r="G2171" s="1">
        <v>0.62562249522769919</v>
      </c>
      <c r="H2171" s="1">
        <v>6.7711485249014025</v>
      </c>
      <c r="I2171" s="1">
        <v>10.955613988056434</v>
      </c>
      <c r="J2171" s="1">
        <v>3.8456627118754215E-2</v>
      </c>
      <c r="K2171" s="1">
        <v>4.6215665679529154</v>
      </c>
      <c r="L2171" s="1">
        <v>4.2999286923470939</v>
      </c>
      <c r="M2171" s="1">
        <v>0.22984239438703788</v>
      </c>
      <c r="N2171" s="1">
        <v>1.3535467185086794</v>
      </c>
      <c r="O2171" s="1">
        <v>1.41389037037037</v>
      </c>
      <c r="P2171" s="1">
        <v>0.43388359640111113</v>
      </c>
      <c r="Q2171" s="1">
        <v>0.99985330287531948</v>
      </c>
      <c r="R2171" s="2">
        <f t="shared" si="135"/>
        <v>44.332192935775531</v>
      </c>
      <c r="S2171" s="2">
        <f t="shared" si="134"/>
        <v>5.0939067914727811</v>
      </c>
      <c r="T2171" s="2">
        <f t="shared" si="136"/>
        <v>7.2972081756131812</v>
      </c>
      <c r="U2171" s="2">
        <f t="shared" si="137"/>
        <v>56.723307902861492</v>
      </c>
    </row>
    <row r="2172" spans="1:21" x14ac:dyDescent="0.25">
      <c r="A2172">
        <v>3927189</v>
      </c>
      <c r="B2172">
        <v>30</v>
      </c>
      <c r="C2172" s="1">
        <f>3.46529803556058*(10.3/7.3)</f>
        <v>4.8893931186676731</v>
      </c>
      <c r="D2172" s="1">
        <f>5.23873165225009*(10.3/7.3)</f>
        <v>7.3916350709830008</v>
      </c>
      <c r="E2172" s="1">
        <f>18.1600353841499*(10.3/7.3)</f>
        <v>25.623063624211458</v>
      </c>
      <c r="F2172" s="1">
        <f>47.3819040827574*(38.9/42.5)</f>
        <v>43.368378089864969</v>
      </c>
      <c r="G2172" s="1">
        <v>2.3179283763252574</v>
      </c>
      <c r="H2172" s="1">
        <v>11.341170102925267</v>
      </c>
      <c r="I2172" s="1">
        <v>35.319291068487658</v>
      </c>
      <c r="J2172" s="1">
        <v>4.8384403802809631E-2</v>
      </c>
      <c r="K2172" s="1">
        <v>6.1714201266119728</v>
      </c>
      <c r="L2172" s="1">
        <v>6.3021659417025919</v>
      </c>
      <c r="M2172" s="1">
        <v>0.24048689331624323</v>
      </c>
      <c r="N2172" s="1">
        <v>2.5249446394025741</v>
      </c>
      <c r="O2172" s="1">
        <v>0.24913422222222223</v>
      </c>
      <c r="P2172" s="1">
        <v>0.1974097261571704</v>
      </c>
      <c r="Q2172" s="1">
        <v>3.7044517429855741</v>
      </c>
      <c r="R2172" s="2">
        <f t="shared" si="135"/>
        <v>133.95531119445084</v>
      </c>
      <c r="S2172" s="2">
        <f t="shared" si="134"/>
        <v>6.4172142565719525</v>
      </c>
      <c r="T2172" s="2">
        <f t="shared" si="136"/>
        <v>9.3167316966436307</v>
      </c>
      <c r="U2172" s="2">
        <f t="shared" si="137"/>
        <v>149.68925714766644</v>
      </c>
    </row>
    <row r="2173" spans="1:21" x14ac:dyDescent="0.25">
      <c r="A2173">
        <v>3927317</v>
      </c>
      <c r="B2173">
        <v>7</v>
      </c>
      <c r="C2173" s="1">
        <f>5.23639928234236*(10.3/7.3)</f>
        <v>7.3883441928940199</v>
      </c>
      <c r="D2173" s="1">
        <f>5.82735091662441*(10.3/7.3)</f>
        <v>8.2221526631823849</v>
      </c>
      <c r="E2173" s="1">
        <f>20.7341448123786*(10.3/7.3)</f>
        <v>29.255026242123179</v>
      </c>
      <c r="F2173" s="1">
        <f>40.7425798398308*(38.9/42.5)</f>
        <v>37.29144366516276</v>
      </c>
      <c r="G2173" s="1">
        <v>1.4225776397386674</v>
      </c>
      <c r="H2173" s="1">
        <v>7.6793504726457371</v>
      </c>
      <c r="I2173" s="1">
        <v>31.530479609766353</v>
      </c>
      <c r="J2173" s="1">
        <v>4.0391662736926973E-2</v>
      </c>
      <c r="K2173" s="1">
        <v>2.8185201168672913</v>
      </c>
      <c r="L2173" s="1">
        <v>9.7787450083347061</v>
      </c>
      <c r="M2173" s="1">
        <v>0.1659677618377747</v>
      </c>
      <c r="N2173" s="1">
        <v>1.9874941297008537</v>
      </c>
      <c r="O2173" s="1">
        <v>0.15840761904761907</v>
      </c>
      <c r="P2173" s="1">
        <v>0.12510081398569831</v>
      </c>
      <c r="Q2173" s="1">
        <v>2.2735259082581467</v>
      </c>
      <c r="R2173" s="2">
        <f t="shared" si="135"/>
        <v>125.06290039377124</v>
      </c>
      <c r="S2173" s="2">
        <f t="shared" si="134"/>
        <v>2.9840125935899167</v>
      </c>
      <c r="T2173" s="2">
        <f t="shared" si="136"/>
        <v>12.090614518920955</v>
      </c>
      <c r="U2173" s="2">
        <f t="shared" si="137"/>
        <v>140.13752750628211</v>
      </c>
    </row>
    <row r="2174" spans="1:21" x14ac:dyDescent="0.25">
      <c r="A2174">
        <v>3927325</v>
      </c>
      <c r="B2174">
        <v>19</v>
      </c>
      <c r="C2174" s="1">
        <f>4.25061208722781*(10.3/7.3)</f>
        <v>5.9974389723899204</v>
      </c>
      <c r="D2174" s="1">
        <f>5.23011774861635*(10.3/7.3)</f>
        <v>7.3794812069518336</v>
      </c>
      <c r="E2174" s="1">
        <f>18.5059840323637*(10.3/7.3)</f>
        <v>26.111182949773386</v>
      </c>
      <c r="F2174" s="1">
        <f>37.0478243705257*(38.9/42.5)</f>
        <v>33.909655717963481</v>
      </c>
      <c r="G2174" s="1">
        <v>1.3595398450538958</v>
      </c>
      <c r="H2174" s="1">
        <v>8.8423519183101718</v>
      </c>
      <c r="I2174" s="1">
        <v>27.744761500355779</v>
      </c>
      <c r="J2174" s="1">
        <v>3.9093752847820532E-2</v>
      </c>
      <c r="K2174" s="1">
        <v>2.9585973840345781</v>
      </c>
      <c r="L2174" s="1">
        <v>8.9099290689147637</v>
      </c>
      <c r="M2174" s="1">
        <v>0.16312090854055306</v>
      </c>
      <c r="N2174" s="1">
        <v>1.9409250650006611</v>
      </c>
      <c r="O2174" s="1">
        <v>0.16048561403508771</v>
      </c>
      <c r="P2174" s="1">
        <v>0.12424222221865262</v>
      </c>
      <c r="Q2174" s="1">
        <v>2.1727805742870507</v>
      </c>
      <c r="R2174" s="2">
        <f t="shared" si="135"/>
        <v>113.51719268508552</v>
      </c>
      <c r="S2174" s="2">
        <f t="shared" si="134"/>
        <v>3.121933359101051</v>
      </c>
      <c r="T2174" s="2">
        <f t="shared" si="136"/>
        <v>11.174460656491064</v>
      </c>
      <c r="U2174" s="2">
        <f t="shared" si="137"/>
        <v>127.81358670067763</v>
      </c>
    </row>
    <row r="2175" spans="1:21" x14ac:dyDescent="0.25">
      <c r="A2175">
        <v>3927333</v>
      </c>
      <c r="B2175">
        <v>8</v>
      </c>
      <c r="C2175" s="1">
        <f>5.49144828574451*(10.3/7.3)</f>
        <v>7.7482078552285589</v>
      </c>
      <c r="D2175" s="1">
        <f>7.04046212659695*(10.3/7.3)</f>
        <v>9.9338027265683042</v>
      </c>
      <c r="E2175" s="1">
        <f>24.890584635239*(10.3/7.3)</f>
        <v>35.119592019583777</v>
      </c>
      <c r="F2175" s="1">
        <f>48.5716830600927*(38.9/42.5)</f>
        <v>44.457375789120107</v>
      </c>
      <c r="G2175" s="1">
        <v>1.7396533503306728</v>
      </c>
      <c r="H2175" s="1">
        <v>11.457422471017855</v>
      </c>
      <c r="I2175" s="1">
        <v>35.66798906641246</v>
      </c>
      <c r="J2175" s="1">
        <v>4.0777188106868534E-2</v>
      </c>
      <c r="K2175" s="1">
        <v>2.7497033348588116</v>
      </c>
      <c r="L2175" s="1">
        <v>9.0630783259583509</v>
      </c>
      <c r="M2175" s="1">
        <v>0.16886824421403127</v>
      </c>
      <c r="N2175" s="1">
        <v>1.9531978758094368</v>
      </c>
      <c r="O2175" s="1">
        <v>0.16409333333333331</v>
      </c>
      <c r="P2175" s="1">
        <v>0.12333005349083931</v>
      </c>
      <c r="Q2175" s="1">
        <v>2.7802679114873792</v>
      </c>
      <c r="R2175" s="2">
        <f t="shared" si="135"/>
        <v>148.90431118974911</v>
      </c>
      <c r="S2175" s="2">
        <f t="shared" si="134"/>
        <v>2.9138105764565196</v>
      </c>
      <c r="T2175" s="2">
        <f t="shared" si="136"/>
        <v>11.349237779315153</v>
      </c>
      <c r="U2175" s="2">
        <f t="shared" si="137"/>
        <v>163.16735954552078</v>
      </c>
    </row>
    <row r="2176" spans="1:21" x14ac:dyDescent="0.25">
      <c r="A2176">
        <v>3927341</v>
      </c>
      <c r="B2176">
        <v>27</v>
      </c>
      <c r="C2176" s="1">
        <f>5.26128725185491*(10.3/7.3)</f>
        <v>7.4234600950829517</v>
      </c>
      <c r="D2176" s="1">
        <f>7.01455718698943*(10.3/7.3)</f>
        <v>9.8972519213686549</v>
      </c>
      <c r="E2176" s="1">
        <f>24.7570471897266*(10.3/7.3)</f>
        <v>34.93117617180603</v>
      </c>
      <c r="F2176" s="1">
        <f>48.3137496962241*(38.9/42.5)</f>
        <v>44.221290898426282</v>
      </c>
      <c r="G2176" s="1">
        <v>1.7458079073654815</v>
      </c>
      <c r="H2176" s="1">
        <v>6.3983123724576734</v>
      </c>
      <c r="I2176" s="1">
        <v>35.003263902184798</v>
      </c>
      <c r="J2176" s="1">
        <v>3.8559092631706308E-2</v>
      </c>
      <c r="K2176" s="1">
        <v>2.4767706250122794</v>
      </c>
      <c r="L2176" s="1">
        <v>10.130362467005389</v>
      </c>
      <c r="M2176" s="1">
        <v>0.15521747156936505</v>
      </c>
      <c r="N2176" s="1">
        <v>1.770098519000799</v>
      </c>
      <c r="O2176" s="1">
        <v>0.15086419753086422</v>
      </c>
      <c r="P2176" s="1">
        <v>0.11418917203236303</v>
      </c>
      <c r="Q2176" s="1">
        <v>2.7901039615430103</v>
      </c>
      <c r="R2176" s="2">
        <f t="shared" si="135"/>
        <v>142.41066723023485</v>
      </c>
      <c r="S2176" s="2">
        <f t="shared" si="134"/>
        <v>2.6295188896763486</v>
      </c>
      <c r="T2176" s="2">
        <f t="shared" si="136"/>
        <v>12.206542655106418</v>
      </c>
      <c r="U2176" s="2">
        <f t="shared" si="137"/>
        <v>157.24672877501763</v>
      </c>
    </row>
    <row r="2177" spans="1:21" x14ac:dyDescent="0.25">
      <c r="A2177">
        <v>3927349</v>
      </c>
      <c r="B2177">
        <v>25</v>
      </c>
      <c r="C2177" s="1">
        <f>4.61460887315582*(10.3/7.3)</f>
        <v>6.5110234785623247</v>
      </c>
      <c r="D2177" s="1">
        <f>6.22956509189171*(10.3/7.3)</f>
        <v>8.7896603351348777</v>
      </c>
      <c r="E2177" s="1">
        <f>22.0195863375173*(10.3/7.3)</f>
        <v>31.068731407729917</v>
      </c>
      <c r="F2177" s="1">
        <f>40.7211700357238*(38.9/42.5)</f>
        <v>37.271847397403668</v>
      </c>
      <c r="G2177" s="1">
        <v>1.3678817443648554</v>
      </c>
      <c r="H2177" s="1">
        <v>6.2264018154516645</v>
      </c>
      <c r="I2177" s="1">
        <v>28.985806170458542</v>
      </c>
      <c r="J2177" s="1">
        <v>3.8718385643866184E-2</v>
      </c>
      <c r="K2177" s="1">
        <v>2.4859981586380702</v>
      </c>
      <c r="L2177" s="1">
        <v>15.537786988227767</v>
      </c>
      <c r="M2177" s="1">
        <v>0.15342858863257089</v>
      </c>
      <c r="N2177" s="1">
        <v>1.850447674808116</v>
      </c>
      <c r="O2177" s="1">
        <v>0.14743253333333331</v>
      </c>
      <c r="P2177" s="1">
        <v>0.11452531305975405</v>
      </c>
      <c r="Q2177" s="1">
        <v>2.1861123768388131</v>
      </c>
      <c r="R2177" s="2">
        <f t="shared" si="135"/>
        <v>122.40746472594465</v>
      </c>
      <c r="S2177" s="2">
        <f t="shared" si="134"/>
        <v>2.6392418573416903</v>
      </c>
      <c r="T2177" s="2">
        <f t="shared" si="136"/>
        <v>17.689095785001786</v>
      </c>
      <c r="U2177" s="2">
        <f t="shared" si="137"/>
        <v>142.73580236828812</v>
      </c>
    </row>
    <row r="2178" spans="1:21" x14ac:dyDescent="0.25">
      <c r="A2178">
        <v>3927357</v>
      </c>
      <c r="B2178">
        <v>12</v>
      </c>
      <c r="C2178" s="1">
        <f>4.84123691120395*(10.3/7.3)</f>
        <v>6.8307863267672237</v>
      </c>
      <c r="D2178" s="1">
        <f>6.72330179056486*(10.3/7.3)</f>
        <v>9.486302526413434</v>
      </c>
      <c r="E2178" s="1">
        <f>23.750001713398*(10.3/7.3)</f>
        <v>33.510276390136902</v>
      </c>
      <c r="F2178" s="1">
        <f>43.2656571921412*(38.9/42.5)</f>
        <v>39.600801524101023</v>
      </c>
      <c r="G2178" s="1">
        <v>1.430420389000596</v>
      </c>
      <c r="H2178" s="1">
        <v>7.2581450813213095</v>
      </c>
      <c r="I2178" s="1">
        <v>30.360614384264412</v>
      </c>
      <c r="J2178" s="1">
        <v>3.8055172896612949E-2</v>
      </c>
      <c r="K2178" s="1">
        <v>2.4306674001355639</v>
      </c>
      <c r="L2178" s="1">
        <v>12.593236388258681</v>
      </c>
      <c r="M2178" s="1">
        <v>0.14893677258448226</v>
      </c>
      <c r="N2178" s="1">
        <v>1.7437591313687848</v>
      </c>
      <c r="O2178" s="1">
        <v>0.14225777777777779</v>
      </c>
      <c r="P2178" s="1">
        <v>0.11051546931491214</v>
      </c>
      <c r="Q2178" s="1">
        <v>2.2860599824210461</v>
      </c>
      <c r="R2178" s="2">
        <f t="shared" si="135"/>
        <v>130.76340660442597</v>
      </c>
      <c r="S2178" s="2">
        <f t="shared" si="134"/>
        <v>2.5792380423470891</v>
      </c>
      <c r="T2178" s="2">
        <f t="shared" si="136"/>
        <v>14.628190069989726</v>
      </c>
      <c r="U2178" s="2">
        <f t="shared" si="137"/>
        <v>147.97083471676279</v>
      </c>
    </row>
    <row r="2179" spans="1:21" x14ac:dyDescent="0.25">
      <c r="A2179">
        <v>3927365</v>
      </c>
      <c r="B2179">
        <v>6</v>
      </c>
      <c r="C2179" s="1">
        <f>5.24616691474631*(10.3/7.3)</f>
        <v>7.4021259208064425</v>
      </c>
      <c r="D2179" s="1">
        <f>7.26105851895842*(10.3/7.3)</f>
        <v>10.245055170585166</v>
      </c>
      <c r="E2179" s="1">
        <f>25.6550008738933*(10.3/7.3)</f>
        <v>36.198151917959002</v>
      </c>
      <c r="F2179" s="1">
        <f>46.6437155105848*(38.9/42.5)</f>
        <v>42.692718432041161</v>
      </c>
      <c r="G2179" s="1">
        <v>1.536105905927631</v>
      </c>
      <c r="H2179" s="1">
        <v>5.8632846185104013</v>
      </c>
      <c r="I2179" s="1">
        <v>32.753478660942811</v>
      </c>
      <c r="J2179" s="1">
        <v>3.9108194629029307E-2</v>
      </c>
      <c r="K2179" s="1">
        <v>2.4574576944896966</v>
      </c>
      <c r="L2179" s="1">
        <v>14.267531460998667</v>
      </c>
      <c r="M2179" s="1">
        <v>0.15286839352622086</v>
      </c>
      <c r="N2179" s="1">
        <v>1.821797981028934</v>
      </c>
      <c r="O2179" s="1">
        <v>0.14549333333333334</v>
      </c>
      <c r="P2179" s="1">
        <v>0.1112322186140547</v>
      </c>
      <c r="Q2179" s="1">
        <v>2.454963776596673</v>
      </c>
      <c r="R2179" s="2">
        <f t="shared" si="135"/>
        <v>139.14588440336931</v>
      </c>
      <c r="S2179" s="2">
        <f t="shared" si="134"/>
        <v>2.6077981077327808</v>
      </c>
      <c r="T2179" s="2">
        <f t="shared" si="136"/>
        <v>16.387691168887155</v>
      </c>
      <c r="U2179" s="2">
        <f t="shared" si="137"/>
        <v>158.14137367998924</v>
      </c>
    </row>
    <row r="2180" spans="1:21" x14ac:dyDescent="0.25">
      <c r="A2180">
        <v>3927373</v>
      </c>
      <c r="B2180">
        <v>16</v>
      </c>
      <c r="C2180" s="1">
        <f>5.15962142423511*(10.3/7.3)</f>
        <v>7.2800137903591269</v>
      </c>
      <c r="D2180" s="1">
        <f>7.05037695962592*(10.3/7.3)</f>
        <v>9.9477921485132832</v>
      </c>
      <c r="E2180" s="1">
        <f>24.9084551097636*(10.3/7.3)</f>
        <v>35.144806524734904</v>
      </c>
      <c r="F2180" s="1">
        <f>46.0558739924521*(38.9/42.5)</f>
        <v>42.154670548385546</v>
      </c>
      <c r="G2180" s="1">
        <v>1.5512836694626262</v>
      </c>
      <c r="H2180" s="1">
        <v>5.8506880459985631</v>
      </c>
      <c r="I2180" s="1">
        <v>32.638594665365758</v>
      </c>
      <c r="J2180" s="1">
        <v>3.8154357784437924E-2</v>
      </c>
      <c r="K2180" s="1">
        <v>2.3536741100928862</v>
      </c>
      <c r="L2180" s="1">
        <v>14.277216455510812</v>
      </c>
      <c r="M2180" s="1">
        <v>0.14536550548655189</v>
      </c>
      <c r="N2180" s="1">
        <v>1.7384353186732855</v>
      </c>
      <c r="O2180" s="1">
        <v>0.13896333333333333</v>
      </c>
      <c r="P2180" s="1">
        <v>0.10702775939448393</v>
      </c>
      <c r="Q2180" s="1">
        <v>2.4792204763101355</v>
      </c>
      <c r="R2180" s="2">
        <f t="shared" si="135"/>
        <v>137.04706986912996</v>
      </c>
      <c r="S2180" s="2">
        <f t="shared" si="134"/>
        <v>2.498856227271808</v>
      </c>
      <c r="T2180" s="2">
        <f t="shared" si="136"/>
        <v>16.299980613003981</v>
      </c>
      <c r="U2180" s="2">
        <f t="shared" si="137"/>
        <v>155.84590670940574</v>
      </c>
    </row>
    <row r="2181" spans="1:21" x14ac:dyDescent="0.25">
      <c r="A2181">
        <v>3927381</v>
      </c>
      <c r="B2181">
        <v>38</v>
      </c>
      <c r="C2181" s="1">
        <f>4.99059633874007*(10.3/7.3)</f>
        <v>7.0415263409620179</v>
      </c>
      <c r="D2181" s="1">
        <f>6.69702621857899*(10.3/7.3)</f>
        <v>9.4492287741593977</v>
      </c>
      <c r="E2181" s="1">
        <f>23.6846359460763*(10.3/7.3)</f>
        <v>33.418047978710405</v>
      </c>
      <c r="F2181" s="1">
        <f>43.45931967014*(38.9/42.5)</f>
        <v>39.778059651022261</v>
      </c>
      <c r="G2181" s="1">
        <v>1.440491054519514</v>
      </c>
      <c r="H2181" s="1">
        <v>6.1664863287953544</v>
      </c>
      <c r="I2181" s="1">
        <v>30.939655435348318</v>
      </c>
      <c r="J2181" s="1">
        <v>3.7765853398324709E-2</v>
      </c>
      <c r="K2181" s="1">
        <v>2.402255216520766</v>
      </c>
      <c r="L2181" s="1">
        <v>13.767329330383303</v>
      </c>
      <c r="M2181" s="1">
        <v>0.14551550395575874</v>
      </c>
      <c r="N2181" s="1">
        <v>1.8139296467014525</v>
      </c>
      <c r="O2181" s="1">
        <v>0.13890947368421055</v>
      </c>
      <c r="P2181" s="1">
        <v>0.10806054659910035</v>
      </c>
      <c r="Q2181" s="1">
        <v>2.3021546533416912</v>
      </c>
      <c r="R2181" s="2">
        <f t="shared" si="135"/>
        <v>130.53565021685895</v>
      </c>
      <c r="S2181" s="2">
        <f t="shared" si="134"/>
        <v>2.548081616518191</v>
      </c>
      <c r="T2181" s="2">
        <f t="shared" si="136"/>
        <v>15.865683954724725</v>
      </c>
      <c r="U2181" s="2">
        <f t="shared" si="137"/>
        <v>148.94941578810187</v>
      </c>
    </row>
    <row r="2182" spans="1:21" x14ac:dyDescent="0.25">
      <c r="A2182">
        <v>3927389</v>
      </c>
      <c r="B2182">
        <v>25</v>
      </c>
      <c r="C2182" s="1">
        <f>5.94378829068522*(10.3/7.3)</f>
        <v>8.3864410128846298</v>
      </c>
      <c r="D2182" s="1">
        <f>7.82212949645875*(10.3/7.3)</f>
        <v>11.036703262126725</v>
      </c>
      <c r="E2182" s="1">
        <f>27.690333881925*(10.3/7.3)</f>
        <v>39.069923148469591</v>
      </c>
      <c r="F2182" s="1">
        <f>50.6227512023753*(38.9/42.5)</f>
        <v>46.334706394644677</v>
      </c>
      <c r="G2182" s="1">
        <v>1.6600673278122684</v>
      </c>
      <c r="H2182" s="1">
        <v>6.6371508519176921</v>
      </c>
      <c r="I2182" s="1">
        <v>36.265737819309841</v>
      </c>
      <c r="J2182" s="1">
        <v>3.5727436179478086E-2</v>
      </c>
      <c r="K2182" s="1">
        <v>2.3316194360357358</v>
      </c>
      <c r="L2182" s="1">
        <v>11.354171569980153</v>
      </c>
      <c r="M2182" s="1">
        <v>0.14081667389979877</v>
      </c>
      <c r="N2182" s="1">
        <v>1.7087842954618995</v>
      </c>
      <c r="O2182" s="1">
        <v>0.13411626666666668</v>
      </c>
      <c r="P2182" s="1">
        <v>0.10232428163357125</v>
      </c>
      <c r="Q2182" s="1">
        <v>2.6530756380561398</v>
      </c>
      <c r="R2182" s="2">
        <f t="shared" si="135"/>
        <v>152.04380545522159</v>
      </c>
      <c r="S2182" s="2">
        <f t="shared" si="134"/>
        <v>2.4696711538487852</v>
      </c>
      <c r="T2182" s="2">
        <f t="shared" si="136"/>
        <v>13.337888806008518</v>
      </c>
      <c r="U2182" s="2">
        <f t="shared" si="137"/>
        <v>167.8513654150789</v>
      </c>
    </row>
    <row r="2183" spans="1:21" x14ac:dyDescent="0.25">
      <c r="A2183">
        <v>3927397</v>
      </c>
      <c r="B2183">
        <v>22</v>
      </c>
      <c r="C2183" s="1">
        <f>5.37476689053599*(10.3/7.3)</f>
        <v>7.5835752017151705</v>
      </c>
      <c r="D2183" s="1">
        <f>6.73942580722983*(10.3/7.3)</f>
        <v>9.5090528512968913</v>
      </c>
      <c r="E2183" s="1">
        <f>23.910058164584*(10.3/7.3)</f>
        <v>33.736109465098032</v>
      </c>
      <c r="F2183" s="1">
        <f>43.6241856694933*(38.9/42.5)</f>
        <v>39.928960530430373</v>
      </c>
      <c r="G2183" s="1">
        <v>1.4076120856244037</v>
      </c>
      <c r="H2183" s="1">
        <v>7.9414900543726183</v>
      </c>
      <c r="I2183" s="1">
        <v>31.811808821917008</v>
      </c>
      <c r="J2183" s="1">
        <v>3.682445093412156E-2</v>
      </c>
      <c r="K2183" s="1">
        <v>2.5480898013738345</v>
      </c>
      <c r="L2183" s="1">
        <v>12.315391729799927</v>
      </c>
      <c r="M2183" s="1">
        <v>0.14197525306869122</v>
      </c>
      <c r="N2183" s="1">
        <v>1.8315286162835362</v>
      </c>
      <c r="O2183" s="1">
        <v>0.13391757575757576</v>
      </c>
      <c r="P2183" s="1">
        <v>0.10522717974826565</v>
      </c>
      <c r="Q2183" s="1">
        <v>2.2496083560207381</v>
      </c>
      <c r="R2183" s="2">
        <f t="shared" si="135"/>
        <v>134.16821736647523</v>
      </c>
      <c r="S2183" s="2">
        <f t="shared" si="134"/>
        <v>2.6901414320562216</v>
      </c>
      <c r="T2183" s="2">
        <f t="shared" si="136"/>
        <v>14.422813174909731</v>
      </c>
      <c r="U2183" s="2">
        <f t="shared" si="137"/>
        <v>151.28117197344116</v>
      </c>
    </row>
    <row r="2184" spans="1:21" x14ac:dyDescent="0.25">
      <c r="A2184">
        <v>3927517</v>
      </c>
      <c r="B2184">
        <v>28</v>
      </c>
      <c r="C2184" s="1">
        <f>6.2029681491118*(10.3/7.3)</f>
        <v>8.7521331418974668</v>
      </c>
      <c r="D2184" s="1">
        <f>6.76704318124446*(10.3/7.3)</f>
        <v>9.5480198310709561</v>
      </c>
      <c r="E2184" s="1">
        <f>24.1648359016305*(10.3/7.3)</f>
        <v>34.095590381752672</v>
      </c>
      <c r="F2184" s="1">
        <f>44.315358753028*(38.9/42.5)</f>
        <v>40.561587188065666</v>
      </c>
      <c r="G2184" s="1">
        <v>1.3830701096618825</v>
      </c>
      <c r="H2184" s="1">
        <v>7.6037710375747052</v>
      </c>
      <c r="I2184" s="1">
        <v>34.178571623964125</v>
      </c>
      <c r="J2184" s="1">
        <v>3.9044748629992798E-2</v>
      </c>
      <c r="K2184" s="1">
        <v>2.5009190161499504</v>
      </c>
      <c r="L2184" s="1">
        <v>6.7715565235042163</v>
      </c>
      <c r="M2184" s="1">
        <v>0.12935392328259956</v>
      </c>
      <c r="N2184" s="1">
        <v>1.5838351284836156</v>
      </c>
      <c r="O2184" s="1">
        <v>0.11091047619047618</v>
      </c>
      <c r="P2184" s="1">
        <v>8.9036399672754826E-2</v>
      </c>
      <c r="Q2184" s="1">
        <v>2.2103860200075767</v>
      </c>
      <c r="R2184" s="2">
        <f t="shared" si="135"/>
        <v>138.33312933399506</v>
      </c>
      <c r="S2184" s="2">
        <f t="shared" si="134"/>
        <v>2.6290001644526981</v>
      </c>
      <c r="T2184" s="2">
        <f t="shared" si="136"/>
        <v>8.5956560514609084</v>
      </c>
      <c r="U2184" s="2">
        <f t="shared" si="137"/>
        <v>149.55778554990866</v>
      </c>
    </row>
    <row r="2185" spans="1:21" x14ac:dyDescent="0.25">
      <c r="A2185">
        <v>3927525</v>
      </c>
      <c r="B2185">
        <v>4</v>
      </c>
      <c r="C2185" s="1">
        <f>5.77025255047859*(10.3/7.3)</f>
        <v>8.141589215058838</v>
      </c>
      <c r="D2185" s="1">
        <f>6.35626081210602*(10.3/7.3)</f>
        <v>8.9684227896838422</v>
      </c>
      <c r="E2185" s="1">
        <f>22.6680332871023*(10.3/7.3)</f>
        <v>31.983663405089484</v>
      </c>
      <c r="F2185" s="1">
        <f>42.5100417891086*(38.9/42.5)</f>
        <v>38.909191190501716</v>
      </c>
      <c r="G2185" s="1">
        <v>1.3803494165140147</v>
      </c>
      <c r="H2185" s="1">
        <v>7.8543828468816654</v>
      </c>
      <c r="I2185" s="1">
        <v>32.77878934585673</v>
      </c>
      <c r="J2185" s="1">
        <v>3.9272972374934614E-2</v>
      </c>
      <c r="K2185" s="1">
        <v>2.5428390954616171</v>
      </c>
      <c r="L2185" s="1">
        <v>6.9930957010860695</v>
      </c>
      <c r="M2185" s="1">
        <v>0.12943869862543966</v>
      </c>
      <c r="N2185" s="1">
        <v>1.7748873884959793</v>
      </c>
      <c r="O2185" s="1">
        <v>0.11292000000000001</v>
      </c>
      <c r="P2185" s="1">
        <v>9.0430148135846822E-2</v>
      </c>
      <c r="Q2185" s="1">
        <v>2.2060378802735414</v>
      </c>
      <c r="R2185" s="2">
        <f t="shared" si="135"/>
        <v>132.22242608985982</v>
      </c>
      <c r="S2185" s="2">
        <f t="shared" ref="S2185:S2248" si="138">J2185+K2185+P2185</f>
        <v>2.6725422159723986</v>
      </c>
      <c r="T2185" s="2">
        <f t="shared" si="136"/>
        <v>9.010341788207489</v>
      </c>
      <c r="U2185" s="2">
        <f t="shared" si="137"/>
        <v>143.90531009403969</v>
      </c>
    </row>
    <row r="2186" spans="1:21" x14ac:dyDescent="0.25">
      <c r="A2186">
        <v>3927533</v>
      </c>
      <c r="B2186">
        <v>27</v>
      </c>
      <c r="C2186" s="1">
        <f>5.64807285086695*(10.3/7.3)</f>
        <v>7.969198679990356</v>
      </c>
      <c r="D2186" s="1">
        <f>6.376445772434*(10.3/7.3)</f>
        <v>8.9969029391877058</v>
      </c>
      <c r="E2186" s="1">
        <f>22.6538333580985*(10.3/7.3)</f>
        <v>31.963627888823932</v>
      </c>
      <c r="F2186" s="1">
        <f>45.4086787405835*(38.9/42.5)</f>
        <v>41.562296541381087</v>
      </c>
      <c r="G2186" s="1">
        <v>1.6352543792244736</v>
      </c>
      <c r="H2186" s="1">
        <v>6.535661666808978</v>
      </c>
      <c r="I2186" s="1">
        <v>35.06812113427528</v>
      </c>
      <c r="J2186" s="1">
        <v>3.8604667783172716E-2</v>
      </c>
      <c r="K2186" s="1">
        <v>2.6779417089329889</v>
      </c>
      <c r="L2186" s="1">
        <v>6.2053529921424229</v>
      </c>
      <c r="M2186" s="1">
        <v>0.12973538999266485</v>
      </c>
      <c r="N2186" s="1">
        <v>1.6561785320429456</v>
      </c>
      <c r="O2186" s="1">
        <v>0.11386666666666666</v>
      </c>
      <c r="P2186" s="1">
        <v>9.136896570919005E-2</v>
      </c>
      <c r="Q2186" s="1">
        <v>2.6134202407697091</v>
      </c>
      <c r="R2186" s="2">
        <f t="shared" ref="R2186:R2249" si="139">C2186+D2186+E2186+F2186+G2186+H2186+I2186+Q2186</f>
        <v>136.34448347046151</v>
      </c>
      <c r="S2186" s="2">
        <f t="shared" si="138"/>
        <v>2.8079153424253516</v>
      </c>
      <c r="T2186" s="2">
        <f t="shared" ref="T2186:T2249" si="140">L2186+M2186+N2186+O2186</f>
        <v>8.1051335808447007</v>
      </c>
      <c r="U2186" s="2">
        <f t="shared" ref="U2186:U2249" si="141">R2186+S2186+T2186</f>
        <v>147.25753239373157</v>
      </c>
    </row>
    <row r="2187" spans="1:21" x14ac:dyDescent="0.25">
      <c r="A2187">
        <v>3927541</v>
      </c>
      <c r="B2187">
        <v>21</v>
      </c>
      <c r="C2187" s="1">
        <f>4.68429097306283*(10.3/7.3)</f>
        <v>6.6093420578831727</v>
      </c>
      <c r="D2187" s="1">
        <f>5.19454585987716*(10.3/7.3)</f>
        <v>7.3292907337992856</v>
      </c>
      <c r="E2187" s="1">
        <f>18.516389680177*(10.3/7.3)</f>
        <v>26.125864891208685</v>
      </c>
      <c r="F2187" s="1">
        <f>34.8455943877946*(38.9/42.5)</f>
        <v>31.893967569063786</v>
      </c>
      <c r="G2187" s="1">
        <v>1.1399832021638885</v>
      </c>
      <c r="H2187" s="1">
        <v>6.1765593774238692</v>
      </c>
      <c r="I2187" s="1">
        <v>26.813684272009844</v>
      </c>
      <c r="J2187" s="1">
        <v>3.5404483920942982E-2</v>
      </c>
      <c r="K2187" s="1">
        <v>2.5634053054866865</v>
      </c>
      <c r="L2187" s="1">
        <v>5.4812055099780235</v>
      </c>
      <c r="M2187" s="1">
        <v>0.12111147436467139</v>
      </c>
      <c r="N2187" s="1">
        <v>1.5465104275022223</v>
      </c>
      <c r="O2187" s="1">
        <v>0.10684190476190476</v>
      </c>
      <c r="P2187" s="1">
        <v>8.7729225922973983E-2</v>
      </c>
      <c r="Q2187" s="1">
        <v>1.8218909623623805</v>
      </c>
      <c r="R2187" s="2">
        <f t="shared" si="139"/>
        <v>107.91058306591492</v>
      </c>
      <c r="S2187" s="2">
        <f t="shared" si="138"/>
        <v>2.6865390153306037</v>
      </c>
      <c r="T2187" s="2">
        <f t="shared" si="140"/>
        <v>7.2556693166068218</v>
      </c>
      <c r="U2187" s="2">
        <f t="shared" si="141"/>
        <v>117.85279139785236</v>
      </c>
    </row>
    <row r="2188" spans="1:21" x14ac:dyDescent="0.25">
      <c r="A2188">
        <v>3927549</v>
      </c>
      <c r="B2188">
        <v>27</v>
      </c>
      <c r="C2188" s="1">
        <f>5.17749845695069*(10.3/7.3)</f>
        <v>7.3052375488482415</v>
      </c>
      <c r="D2188" s="1">
        <f>5.86678870239813*(10.3/7.3)</f>
        <v>8.2777977581781883</v>
      </c>
      <c r="E2188" s="1">
        <f>20.8372985705998*(10.3/7.3)</f>
        <v>29.40057195577776</v>
      </c>
      <c r="F2188" s="1">
        <f>41.8706131228916*(38.9/42.5)</f>
        <v>38.323925893658391</v>
      </c>
      <c r="G2188" s="1">
        <v>1.5141700513144618</v>
      </c>
      <c r="H2188" s="1">
        <v>6.1325713464301472</v>
      </c>
      <c r="I2188" s="1">
        <v>32.305551482428513</v>
      </c>
      <c r="J2188" s="1">
        <v>3.5328600171210721E-2</v>
      </c>
      <c r="K2188" s="1">
        <v>2.5099112819647864</v>
      </c>
      <c r="L2188" s="1">
        <v>4.908697321503074</v>
      </c>
      <c r="M2188" s="1">
        <v>0.12094690730453234</v>
      </c>
      <c r="N2188" s="1">
        <v>1.5803535324850435</v>
      </c>
      <c r="O2188" s="1">
        <v>0.10636049382716049</v>
      </c>
      <c r="P2188" s="1">
        <v>8.745260359308614E-2</v>
      </c>
      <c r="Q2188" s="1">
        <v>2.4199064747034811</v>
      </c>
      <c r="R2188" s="2">
        <f t="shared" si="139"/>
        <v>125.67973251133918</v>
      </c>
      <c r="S2188" s="2">
        <f t="shared" si="138"/>
        <v>2.6326924857290832</v>
      </c>
      <c r="T2188" s="2">
        <f t="shared" si="140"/>
        <v>6.7163582551198093</v>
      </c>
      <c r="U2188" s="2">
        <f t="shared" si="141"/>
        <v>135.02878325218808</v>
      </c>
    </row>
    <row r="2189" spans="1:21" x14ac:dyDescent="0.25">
      <c r="A2189">
        <v>3927557</v>
      </c>
      <c r="B2189">
        <v>5</v>
      </c>
      <c r="C2189" s="1">
        <f>5.06945811647914*(10.3/7.3)</f>
        <v>7.1527970684568691</v>
      </c>
      <c r="D2189" s="1">
        <f>5.51820008959966*(10.3/7.3)</f>
        <v>7.785953551078971</v>
      </c>
      <c r="E2189" s="1">
        <f>19.6796301592679*(10.3/7.3)</f>
        <v>27.767149402802588</v>
      </c>
      <c r="F2189" s="1">
        <f>37.4928325733962*(38.9/42.5)</f>
        <v>34.316969108355579</v>
      </c>
      <c r="G2189" s="1">
        <v>1.2433337768025183</v>
      </c>
      <c r="H2189" s="1">
        <v>4.4024181157374569</v>
      </c>
      <c r="I2189" s="1">
        <v>29.119405924655297</v>
      </c>
      <c r="J2189" s="1">
        <v>3.5851677185489449E-2</v>
      </c>
      <c r="K2189" s="1">
        <v>2.4255379699570088</v>
      </c>
      <c r="L2189" s="1">
        <v>4.445853239659824</v>
      </c>
      <c r="M2189" s="1">
        <v>0.11816453178201687</v>
      </c>
      <c r="N2189" s="1">
        <v>1.6440069489583462</v>
      </c>
      <c r="O2189" s="1">
        <v>0.10432</v>
      </c>
      <c r="P2189" s="1">
        <v>8.6490391249212234E-2</v>
      </c>
      <c r="Q2189" s="1">
        <v>1.9870631136113333</v>
      </c>
      <c r="R2189" s="2">
        <f t="shared" si="139"/>
        <v>113.77509006150061</v>
      </c>
      <c r="S2189" s="2">
        <f t="shared" si="138"/>
        <v>2.5478800383917104</v>
      </c>
      <c r="T2189" s="2">
        <f t="shared" si="140"/>
        <v>6.3123447204001879</v>
      </c>
      <c r="U2189" s="2">
        <f t="shared" si="141"/>
        <v>122.63531482029251</v>
      </c>
    </row>
    <row r="2190" spans="1:21" x14ac:dyDescent="0.25">
      <c r="A2190">
        <v>3939017</v>
      </c>
      <c r="B2190">
        <v>9</v>
      </c>
      <c r="C2190" s="1">
        <f>0.522395108285798*(10.3/7.3)</f>
        <v>0.73707802949913959</v>
      </c>
      <c r="D2190" s="1">
        <f>0.652868415927853*(10.3/7.3)</f>
        <v>0.92117050466532724</v>
      </c>
      <c r="E2190" s="1">
        <f>2.29186976584435*(10.3/7.3)</f>
        <v>3.2337340531776495</v>
      </c>
      <c r="F2190" s="1">
        <f>5.42460535370975*(38.9/42.5)</f>
        <v>4.9651093708072747</v>
      </c>
      <c r="G2190" s="1">
        <v>0.23923195354481783</v>
      </c>
      <c r="H2190" s="1">
        <v>1.2443547482805741</v>
      </c>
      <c r="I2190" s="1">
        <v>4.1673322917665914</v>
      </c>
      <c r="J2190" s="1">
        <v>1.9966631013133104E-2</v>
      </c>
      <c r="K2190" s="1">
        <v>2.64524496325545</v>
      </c>
      <c r="L2190" s="1">
        <v>2.2265690608106161</v>
      </c>
      <c r="M2190" s="1">
        <v>0.12836359754830409</v>
      </c>
      <c r="N2190" s="1">
        <v>0.80634053372537273</v>
      </c>
      <c r="O2190" s="1">
        <v>0.52082370370370379</v>
      </c>
      <c r="P2190" s="1">
        <v>0.24835658723553034</v>
      </c>
      <c r="Q2190" s="1">
        <v>0.38233417233190098</v>
      </c>
      <c r="R2190" s="2">
        <f t="shared" si="139"/>
        <v>15.890345124073278</v>
      </c>
      <c r="S2190" s="2">
        <f t="shared" si="138"/>
        <v>2.9135681815041132</v>
      </c>
      <c r="T2190" s="2">
        <f t="shared" si="140"/>
        <v>3.6820968957879967</v>
      </c>
      <c r="U2190" s="2">
        <f t="shared" si="141"/>
        <v>22.486010201365389</v>
      </c>
    </row>
    <row r="2191" spans="1:21" x14ac:dyDescent="0.25">
      <c r="A2191">
        <v>3939025</v>
      </c>
      <c r="B2191">
        <v>67</v>
      </c>
      <c r="C2191" s="1">
        <f>0.966662537529105*(10.3/7.3)</f>
        <v>1.3639211145958601</v>
      </c>
      <c r="D2191" s="1">
        <f>1.17718014698355*(10.3/7.3)</f>
        <v>1.6609528101274775</v>
      </c>
      <c r="E2191" s="1">
        <f>4.13094209783737*(10.3/7.3)</f>
        <v>5.8285895353047765</v>
      </c>
      <c r="F2191" s="1">
        <f>10.1028923274622*(38.9/42.5)</f>
        <v>9.2471179185477919</v>
      </c>
      <c r="G2191" s="1">
        <v>0.45674063169050244</v>
      </c>
      <c r="H2191" s="1">
        <v>2.6507349820703046</v>
      </c>
      <c r="I2191" s="1">
        <v>7.8589945422449148</v>
      </c>
      <c r="J2191" s="1">
        <v>3.2211869668827407E-2</v>
      </c>
      <c r="K2191" s="1">
        <v>3.9839759289372911</v>
      </c>
      <c r="L2191" s="1">
        <v>3.6514507027873955</v>
      </c>
      <c r="M2191" s="1">
        <v>0.20269913442169724</v>
      </c>
      <c r="N2191" s="1">
        <v>1.1911981559411622</v>
      </c>
      <c r="O2191" s="1">
        <v>1.1636728358208954</v>
      </c>
      <c r="P2191" s="1">
        <v>0.36677671292395325</v>
      </c>
      <c r="Q2191" s="1">
        <v>0.72995078124052981</v>
      </c>
      <c r="R2191" s="2">
        <f t="shared" si="139"/>
        <v>29.797002315822152</v>
      </c>
      <c r="S2191" s="2">
        <f t="shared" si="138"/>
        <v>4.3829645115300719</v>
      </c>
      <c r="T2191" s="2">
        <f t="shared" si="140"/>
        <v>6.2090208289711502</v>
      </c>
      <c r="U2191" s="2">
        <f t="shared" si="141"/>
        <v>40.388987656323373</v>
      </c>
    </row>
    <row r="2192" spans="1:21" x14ac:dyDescent="0.25">
      <c r="A2192">
        <v>3939033</v>
      </c>
      <c r="B2192">
        <v>39</v>
      </c>
      <c r="C2192" s="1">
        <f>1.19995108767254*(10.3/7.3)</f>
        <v>1.6930816716475627</v>
      </c>
      <c r="D2192" s="1">
        <f>1.44812873849956*(10.3/7.3)</f>
        <v>2.0432501378829349</v>
      </c>
      <c r="E2192" s="1">
        <f>5.07767077615583*(10.3/7.3)</f>
        <v>7.1643847937541105</v>
      </c>
      <c r="F2192" s="1">
        <f>12.7346347149055*(38.9/42.5)</f>
        <v>11.655936244937028</v>
      </c>
      <c r="G2192" s="1">
        <v>0.58720870541255399</v>
      </c>
      <c r="H2192" s="1">
        <v>3.8986930239204596</v>
      </c>
      <c r="I2192" s="1">
        <v>9.9681679894783635</v>
      </c>
      <c r="J2192" s="1">
        <v>3.7777134250418787E-2</v>
      </c>
      <c r="K2192" s="1">
        <v>4.4198059249082196</v>
      </c>
      <c r="L2192" s="1">
        <v>3.9954612281747539</v>
      </c>
      <c r="M2192" s="1">
        <v>0.21386464041587649</v>
      </c>
      <c r="N2192" s="1">
        <v>1.3144462508450179</v>
      </c>
      <c r="O2192" s="1">
        <v>1.3407589743589743</v>
      </c>
      <c r="P2192" s="1">
        <v>0.42575539649692457</v>
      </c>
      <c r="Q2192" s="1">
        <v>0.93846140134426526</v>
      </c>
      <c r="R2192" s="2">
        <f t="shared" si="139"/>
        <v>37.949183968377277</v>
      </c>
      <c r="S2192" s="2">
        <f t="shared" si="138"/>
        <v>4.8833384556555632</v>
      </c>
      <c r="T2192" s="2">
        <f t="shared" si="140"/>
        <v>6.8645310937946222</v>
      </c>
      <c r="U2192" s="2">
        <f t="shared" si="141"/>
        <v>49.697053517827463</v>
      </c>
    </row>
    <row r="2193" spans="1:21" x14ac:dyDescent="0.25">
      <c r="A2193">
        <v>3939417</v>
      </c>
      <c r="B2193">
        <v>21</v>
      </c>
      <c r="C2193" s="1">
        <f>2.88016185236214*(10.3/7.3)</f>
        <v>4.0637900108671348</v>
      </c>
      <c r="D2193" s="1">
        <f>4.32134437810611*(10.3/7.3)</f>
        <v>6.0972393280127353</v>
      </c>
      <c r="E2193" s="1">
        <f>14.9654187108174*(10.3/7.3)</f>
        <v>21.115590783756037</v>
      </c>
      <c r="F2193" s="1">
        <f>40.0056493328778*(38.9/42.5)</f>
        <v>36.616935507034015</v>
      </c>
      <c r="G2193" s="1">
        <v>1.9891971141021279</v>
      </c>
      <c r="H2193" s="1">
        <v>10.822975102171592</v>
      </c>
      <c r="I2193" s="1">
        <v>30.013398374965536</v>
      </c>
      <c r="J2193" s="1">
        <v>4.5588577052910619E-2</v>
      </c>
      <c r="K2193" s="1">
        <v>6.4374133300691243</v>
      </c>
      <c r="L2193" s="1">
        <v>5.7218311216824373</v>
      </c>
      <c r="M2193" s="1">
        <v>0.22159124877752778</v>
      </c>
      <c r="N2193" s="1">
        <v>2.345183817589588</v>
      </c>
      <c r="O2193" s="1">
        <v>0.23408507936507936</v>
      </c>
      <c r="P2193" s="1">
        <v>0.18923998983551202</v>
      </c>
      <c r="Q2193" s="1">
        <v>3.1790821458253218</v>
      </c>
      <c r="R2193" s="2">
        <f t="shared" si="139"/>
        <v>113.89820836673449</v>
      </c>
      <c r="S2193" s="2">
        <f t="shared" si="138"/>
        <v>6.672241896957547</v>
      </c>
      <c r="T2193" s="2">
        <f t="shared" si="140"/>
        <v>8.5226912674146327</v>
      </c>
      <c r="U2193" s="2">
        <f t="shared" si="141"/>
        <v>129.09314153110668</v>
      </c>
    </row>
    <row r="2194" spans="1:21" x14ac:dyDescent="0.25">
      <c r="A2194">
        <v>3939425</v>
      </c>
      <c r="B2194">
        <v>1</v>
      </c>
      <c r="C2194" s="1">
        <f>2.59208307841344*(10.3/7.3)</f>
        <v>3.6573226996792347</v>
      </c>
      <c r="D2194" s="1">
        <f>3.99729416479034*(10.3/7.3)</f>
        <v>5.6400177941562371</v>
      </c>
      <c r="E2194" s="1">
        <f>13.8269638186919*(10.3/7.3)</f>
        <v>19.50927771678445</v>
      </c>
      <c r="F2194" s="1">
        <f>37.0665361956361*(38.9/42.5)</f>
        <v>33.926782541417531</v>
      </c>
      <c r="G2194" s="1">
        <v>1.8519106823965714</v>
      </c>
      <c r="H2194" s="1">
        <v>11.367147034683011</v>
      </c>
      <c r="I2194" s="1">
        <v>27.65900963952237</v>
      </c>
      <c r="J2194" s="1">
        <v>3.9775792020164999E-2</v>
      </c>
      <c r="K2194" s="1">
        <v>4.5746367949328723</v>
      </c>
      <c r="L2194" s="1">
        <v>5.1437596699795627</v>
      </c>
      <c r="M2194" s="1">
        <v>0.20598949991293419</v>
      </c>
      <c r="N2194" s="1">
        <v>2.164897377544011</v>
      </c>
      <c r="O2194" s="1">
        <v>0.21594666666666665</v>
      </c>
      <c r="P2194" s="1">
        <v>0.17739737939345182</v>
      </c>
      <c r="Q2194" s="1">
        <v>2.959674606569866</v>
      </c>
      <c r="R2194" s="2">
        <f t="shared" si="139"/>
        <v>106.57114271520928</v>
      </c>
      <c r="S2194" s="2">
        <f t="shared" si="138"/>
        <v>4.7918099663464888</v>
      </c>
      <c r="T2194" s="2">
        <f t="shared" si="140"/>
        <v>7.7305932141031741</v>
      </c>
      <c r="U2194" s="2">
        <f t="shared" si="141"/>
        <v>119.09354589565895</v>
      </c>
    </row>
    <row r="2195" spans="1:21" x14ac:dyDescent="0.25">
      <c r="A2195">
        <v>3939553</v>
      </c>
      <c r="B2195">
        <v>1</v>
      </c>
      <c r="C2195" s="1">
        <f>4.6201849584505*(10.3/7.3)</f>
        <v>6.5188911057589323</v>
      </c>
      <c r="D2195" s="1">
        <f>5.51131132986078*(10.3/7.3)</f>
        <v>7.7762337941871271</v>
      </c>
      <c r="E2195" s="1">
        <f>19.5276787066293*(10.3/7.3)</f>
        <v>27.5527521477098</v>
      </c>
      <c r="F2195" s="1">
        <f>39.1631717958029*(38.9/42.5)</f>
        <v>35.845820773099604</v>
      </c>
      <c r="G2195" s="1">
        <v>1.4302415640988586</v>
      </c>
      <c r="H2195" s="1">
        <v>8.8444734463121666</v>
      </c>
      <c r="I2195" s="1">
        <v>29.658254109355951</v>
      </c>
      <c r="J2195" s="1">
        <v>3.9860656095309366E-2</v>
      </c>
      <c r="K2195" s="1">
        <v>2.8962611050913472</v>
      </c>
      <c r="L2195" s="1">
        <v>8.2924416735646975</v>
      </c>
      <c r="M2195" s="1">
        <v>0.16563335630277454</v>
      </c>
      <c r="N2195" s="1">
        <v>2.0076531442077652</v>
      </c>
      <c r="O2195" s="1">
        <v>0.16026666666666667</v>
      </c>
      <c r="P2195" s="1">
        <v>0.12469977544668742</v>
      </c>
      <c r="Q2195" s="1">
        <v>2.2857741891990915</v>
      </c>
      <c r="R2195" s="2">
        <f t="shared" si="139"/>
        <v>119.91244112972153</v>
      </c>
      <c r="S2195" s="2">
        <f t="shared" si="138"/>
        <v>3.0608215366333438</v>
      </c>
      <c r="T2195" s="2">
        <f t="shared" si="140"/>
        <v>10.625994840741905</v>
      </c>
      <c r="U2195" s="2">
        <f t="shared" si="141"/>
        <v>133.59925750709678</v>
      </c>
    </row>
    <row r="2196" spans="1:21" x14ac:dyDescent="0.25">
      <c r="A2196">
        <v>3939569</v>
      </c>
      <c r="B2196">
        <v>11</v>
      </c>
      <c r="C2196" s="1">
        <f>5.02499426750596*(10.3/7.3)</f>
        <v>7.0900604048371836</v>
      </c>
      <c r="D2196" s="1">
        <f>6.61417108889606*(10.3/7.3)</f>
        <v>9.3323235911821083</v>
      </c>
      <c r="E2196" s="1">
        <f>23.3363191945147*(10.3/7.3)</f>
        <v>32.926587356643964</v>
      </c>
      <c r="F2196" s="1">
        <f>46.5692648939552*(38.9/42.5)</f>
        <v>42.624574220584925</v>
      </c>
      <c r="G2196" s="1">
        <v>1.7273510099315752</v>
      </c>
      <c r="H2196" s="1">
        <v>6.7331352076006281</v>
      </c>
      <c r="I2196" s="1">
        <v>34.060687175654607</v>
      </c>
      <c r="J2196" s="1">
        <v>3.9411647988636438E-2</v>
      </c>
      <c r="K2196" s="1">
        <v>2.5735634758832862</v>
      </c>
      <c r="L2196" s="1">
        <v>8.0409538501488402</v>
      </c>
      <c r="M2196" s="1">
        <v>0.16012232282685429</v>
      </c>
      <c r="N2196" s="1">
        <v>1.8474760706943394</v>
      </c>
      <c r="O2196" s="1">
        <v>0.15618424242424242</v>
      </c>
      <c r="P2196" s="1">
        <v>0.11847391831684666</v>
      </c>
      <c r="Q2196" s="1">
        <v>2.7606066368769486</v>
      </c>
      <c r="R2196" s="2">
        <f t="shared" si="139"/>
        <v>137.25532560331195</v>
      </c>
      <c r="S2196" s="2">
        <f t="shared" si="138"/>
        <v>2.7314490421887694</v>
      </c>
      <c r="T2196" s="2">
        <f t="shared" si="140"/>
        <v>10.204736486094276</v>
      </c>
      <c r="U2196" s="2">
        <f t="shared" si="141"/>
        <v>150.19151113159498</v>
      </c>
    </row>
    <row r="2197" spans="1:21" x14ac:dyDescent="0.25">
      <c r="A2197">
        <v>3939577</v>
      </c>
      <c r="B2197">
        <v>14</v>
      </c>
      <c r="C2197" s="1">
        <f>5.63184614762846*(10.3/7.3)</f>
        <v>7.9463034685716618</v>
      </c>
      <c r="D2197" s="1">
        <f>7.53526302310936*(10.3/7.3)</f>
        <v>10.631946457263894</v>
      </c>
      <c r="E2197" s="1">
        <f>26.6234162260933*(10.3/7.3)</f>
        <v>37.564546182022049</v>
      </c>
      <c r="F2197" s="1">
        <f>50.3126564008113*(38.9/42.5)</f>
        <v>46.050878446860267</v>
      </c>
      <c r="G2197" s="1">
        <v>1.7407837791738008</v>
      </c>
      <c r="H2197" s="1">
        <v>6.9552275042509111</v>
      </c>
      <c r="I2197" s="1">
        <v>36.124759688612464</v>
      </c>
      <c r="J2197" s="1">
        <v>4.0887511404556209E-2</v>
      </c>
      <c r="K2197" s="1">
        <v>2.6690579563104748</v>
      </c>
      <c r="L2197" s="1">
        <v>9.9527507488808489</v>
      </c>
      <c r="M2197" s="1">
        <v>0.16369277079394978</v>
      </c>
      <c r="N2197" s="1">
        <v>1.9857407971936338</v>
      </c>
      <c r="O2197" s="1">
        <v>0.15833142857142857</v>
      </c>
      <c r="P2197" s="1">
        <v>0.1199239688486734</v>
      </c>
      <c r="Q2197" s="1">
        <v>2.7820745329261691</v>
      </c>
      <c r="R2197" s="2">
        <f t="shared" si="139"/>
        <v>149.79652005968123</v>
      </c>
      <c r="S2197" s="2">
        <f t="shared" si="138"/>
        <v>2.8298694365637043</v>
      </c>
      <c r="T2197" s="2">
        <f t="shared" si="140"/>
        <v>12.260515745439861</v>
      </c>
      <c r="U2197" s="2">
        <f t="shared" si="141"/>
        <v>164.88690524168481</v>
      </c>
    </row>
    <row r="2198" spans="1:21" x14ac:dyDescent="0.25">
      <c r="A2198">
        <v>3939585</v>
      </c>
      <c r="B2198">
        <v>12</v>
      </c>
      <c r="C2198" s="1">
        <f>5.35735671080098*(10.3/7.3)</f>
        <v>7.5590101535958976</v>
      </c>
      <c r="D2198" s="1">
        <f>7.47173293803061*(10.3/7.3)</f>
        <v>10.542308118043193</v>
      </c>
      <c r="E2198" s="1">
        <f>26.3888666174399*(10.3/7.3)</f>
        <v>37.233606323237183</v>
      </c>
      <c r="F2198" s="1">
        <f>48.092969573596*(38.9/42.5)</f>
        <v>44.01921215089137</v>
      </c>
      <c r="G2198" s="1">
        <v>1.5927039873276423</v>
      </c>
      <c r="H2198" s="1">
        <v>7.5389086864185115</v>
      </c>
      <c r="I2198" s="1">
        <v>33.70010337375475</v>
      </c>
      <c r="J2198" s="1">
        <v>4.3638521840486118E-2</v>
      </c>
      <c r="K2198" s="1">
        <v>2.4705580269050329</v>
      </c>
      <c r="L2198" s="1">
        <v>13.879727452458845</v>
      </c>
      <c r="M2198" s="1">
        <v>0.15391512439175936</v>
      </c>
      <c r="N2198" s="1">
        <v>1.8119947105827217</v>
      </c>
      <c r="O2198" s="1">
        <v>0.1480488888888889</v>
      </c>
      <c r="P2198" s="1">
        <v>0.11331651748137432</v>
      </c>
      <c r="Q2198" s="1">
        <v>2.5454173313455497</v>
      </c>
      <c r="R2198" s="2">
        <f t="shared" si="139"/>
        <v>144.7312701246141</v>
      </c>
      <c r="S2198" s="2">
        <f t="shared" si="138"/>
        <v>2.6275130662268933</v>
      </c>
      <c r="T2198" s="2">
        <f t="shared" si="140"/>
        <v>15.993686176322214</v>
      </c>
      <c r="U2198" s="2">
        <f t="shared" si="141"/>
        <v>163.35246936716322</v>
      </c>
    </row>
    <row r="2199" spans="1:21" x14ac:dyDescent="0.25">
      <c r="A2199">
        <v>3939593</v>
      </c>
      <c r="B2199">
        <v>18</v>
      </c>
      <c r="C2199" s="1">
        <f>4.87973845252438*(10.3/7.3)</f>
        <v>6.8851104193152155</v>
      </c>
      <c r="D2199" s="1">
        <f>7.05636984329363*(10.3/7.3)</f>
        <v>9.9562478610855329</v>
      </c>
      <c r="E2199" s="1">
        <f>24.8947683338922*(10.3/7.3)</f>
        <v>35.125495046450602</v>
      </c>
      <c r="F2199" s="1">
        <f>44.9240712214146*(38.9/42.5)</f>
        <v>41.118738129718309</v>
      </c>
      <c r="G2199" s="1">
        <v>1.4781666377645866</v>
      </c>
      <c r="H2199" s="1">
        <v>6.8155855004053887</v>
      </c>
      <c r="I2199" s="1">
        <v>30.983955977005628</v>
      </c>
      <c r="J2199" s="1">
        <v>3.7888037815286955E-2</v>
      </c>
      <c r="K2199" s="1">
        <v>2.4160897784319655</v>
      </c>
      <c r="L2199" s="1">
        <v>10.461045729728504</v>
      </c>
      <c r="M2199" s="1">
        <v>0.15010061239901984</v>
      </c>
      <c r="N2199" s="1">
        <v>1.7780450214228507</v>
      </c>
      <c r="O2199" s="1">
        <v>0.14336888888888888</v>
      </c>
      <c r="P2199" s="1">
        <v>0.1105432285110603</v>
      </c>
      <c r="Q2199" s="1">
        <v>2.3623667726831319</v>
      </c>
      <c r="R2199" s="2">
        <f t="shared" si="139"/>
        <v>134.72566634442842</v>
      </c>
      <c r="S2199" s="2">
        <f t="shared" si="138"/>
        <v>2.5645210447583127</v>
      </c>
      <c r="T2199" s="2">
        <f t="shared" si="140"/>
        <v>12.532560252439263</v>
      </c>
      <c r="U2199" s="2">
        <f t="shared" si="141"/>
        <v>149.82274764162599</v>
      </c>
    </row>
    <row r="2200" spans="1:21" x14ac:dyDescent="0.25">
      <c r="A2200">
        <v>3939601</v>
      </c>
      <c r="B2200">
        <v>11</v>
      </c>
      <c r="C2200" s="1">
        <f>5.08111720391347*(10.3/7.3)</f>
        <v>7.1692475616861353</v>
      </c>
      <c r="D2200" s="1">
        <f>6.99270998441812*(10.3/7.3)</f>
        <v>9.866426416370766</v>
      </c>
      <c r="E2200" s="1">
        <f>24.708028368546*(10.3/7.3)</f>
        <v>34.862012629592371</v>
      </c>
      <c r="F2200" s="1">
        <f>45.1535861283364*(38.9/42.5)</f>
        <v>41.328811773936181</v>
      </c>
      <c r="G2200" s="1">
        <v>1.4967644275453169</v>
      </c>
      <c r="H2200" s="1">
        <v>5.2423117651086191</v>
      </c>
      <c r="I2200" s="1">
        <v>31.817373769170935</v>
      </c>
      <c r="J2200" s="1">
        <v>3.9015101310234578E-2</v>
      </c>
      <c r="K2200" s="1">
        <v>2.4301631889277884</v>
      </c>
      <c r="L2200" s="1">
        <v>14.681624437204787</v>
      </c>
      <c r="M2200" s="1">
        <v>0.15078710565804918</v>
      </c>
      <c r="N2200" s="1">
        <v>1.8081075559199038</v>
      </c>
      <c r="O2200" s="1">
        <v>0.1431660606060606</v>
      </c>
      <c r="P2200" s="1">
        <v>0.11013549948738187</v>
      </c>
      <c r="Q2200" s="1">
        <v>2.3920892677664911</v>
      </c>
      <c r="R2200" s="2">
        <f t="shared" si="139"/>
        <v>134.17503761117683</v>
      </c>
      <c r="S2200" s="2">
        <f t="shared" si="138"/>
        <v>2.5793137897254046</v>
      </c>
      <c r="T2200" s="2">
        <f t="shared" si="140"/>
        <v>16.783685159388799</v>
      </c>
      <c r="U2200" s="2">
        <f t="shared" si="141"/>
        <v>153.53803656029103</v>
      </c>
    </row>
    <row r="2201" spans="1:21" x14ac:dyDescent="0.25">
      <c r="A2201">
        <v>3939609</v>
      </c>
      <c r="B2201">
        <v>4</v>
      </c>
      <c r="C2201" s="1">
        <f>5.35005469434366*(10.3/7.3)</f>
        <v>7.5487073084574874</v>
      </c>
      <c r="D2201" s="1">
        <f>7.43462500183267*(10.3/7.3)</f>
        <v>10.489950345051573</v>
      </c>
      <c r="E2201" s="1">
        <f>26.194898367168*(10.3/7.3)</f>
        <v>36.959925093401466</v>
      </c>
      <c r="F2201" s="1">
        <f>51.0977492551709*(38.9/42.5)</f>
        <v>46.769469318262338</v>
      </c>
      <c r="G2201" s="1">
        <v>1.8618354644430188</v>
      </c>
      <c r="H2201" s="1">
        <v>5.5030226446718213</v>
      </c>
      <c r="I2201" s="1">
        <v>36.502844818157364</v>
      </c>
      <c r="J2201" s="1">
        <v>3.6941331910343128E-2</v>
      </c>
      <c r="K2201" s="1">
        <v>2.3204214491601172</v>
      </c>
      <c r="L2201" s="1">
        <v>13.609824608859288</v>
      </c>
      <c r="M2201" s="1">
        <v>0.14375379293317792</v>
      </c>
      <c r="N2201" s="1">
        <v>1.7156536908638309</v>
      </c>
      <c r="O2201" s="1">
        <v>0.13718666666666668</v>
      </c>
      <c r="P2201" s="1">
        <v>0.10534756314296445</v>
      </c>
      <c r="Q2201" s="1">
        <v>2.9755361303883894</v>
      </c>
      <c r="R2201" s="2">
        <f t="shared" si="139"/>
        <v>148.61129112283345</v>
      </c>
      <c r="S2201" s="2">
        <f t="shared" si="138"/>
        <v>2.4627103442134248</v>
      </c>
      <c r="T2201" s="2">
        <f t="shared" si="140"/>
        <v>15.606418759322963</v>
      </c>
      <c r="U2201" s="2">
        <f t="shared" si="141"/>
        <v>166.68042022636985</v>
      </c>
    </row>
    <row r="2202" spans="1:21" x14ac:dyDescent="0.25">
      <c r="A2202">
        <v>3939617</v>
      </c>
      <c r="B2202">
        <v>32</v>
      </c>
      <c r="C2202" s="1">
        <f>5.27487711581715*(10.3/7.3)</f>
        <v>7.4426348346461095</v>
      </c>
      <c r="D2202" s="1">
        <f>7.04649958647176*(10.3/7.3)</f>
        <v>9.942321334336869</v>
      </c>
      <c r="E2202" s="1">
        <f>24.9262964458391*(10.3/7.3)</f>
        <v>35.169979916731918</v>
      </c>
      <c r="F2202" s="1">
        <f>45.6901369144154*(38.9/42.5)</f>
        <v>41.819913552253198</v>
      </c>
      <c r="G2202" s="1">
        <v>1.5102768841828789</v>
      </c>
      <c r="H2202" s="1">
        <v>7.4033205795202504</v>
      </c>
      <c r="I2202" s="1">
        <v>32.573252530314463</v>
      </c>
      <c r="J2202" s="1">
        <v>3.9640805100638485E-2</v>
      </c>
      <c r="K2202" s="1">
        <v>2.4342312205317169</v>
      </c>
      <c r="L2202" s="1">
        <v>9.2891805510224223</v>
      </c>
      <c r="M2202" s="1">
        <v>0.14712949014927851</v>
      </c>
      <c r="N2202" s="1">
        <v>1.8707210415067312</v>
      </c>
      <c r="O2202" s="1">
        <v>0.14016000000000001</v>
      </c>
      <c r="P2202" s="1">
        <v>0.10858953801424545</v>
      </c>
      <c r="Q2202" s="1">
        <v>2.413684518100494</v>
      </c>
      <c r="R2202" s="2">
        <f t="shared" si="139"/>
        <v>138.27538415008618</v>
      </c>
      <c r="S2202" s="2">
        <f t="shared" si="138"/>
        <v>2.5824615636466008</v>
      </c>
      <c r="T2202" s="2">
        <f t="shared" si="140"/>
        <v>11.447191082678433</v>
      </c>
      <c r="U2202" s="2">
        <f t="shared" si="141"/>
        <v>152.30503679641123</v>
      </c>
    </row>
    <row r="2203" spans="1:21" x14ac:dyDescent="0.25">
      <c r="A2203">
        <v>3939625</v>
      </c>
      <c r="B2203">
        <v>26</v>
      </c>
      <c r="C2203" s="1">
        <f>5.94894770147437*(10.3/7.3)</f>
        <v>8.3937207294775309</v>
      </c>
      <c r="D2203" s="1">
        <f>7.72279300188657*(10.3/7.3)</f>
        <v>10.896543550607079</v>
      </c>
      <c r="E2203" s="1">
        <f>27.3553167010083*(10.3/7.3)</f>
        <v>38.597227674025447</v>
      </c>
      <c r="F2203" s="1">
        <f>49.9851043461107*(38.9/42.5)</f>
        <v>45.751071977969595</v>
      </c>
      <c r="G2203" s="1">
        <v>1.6319973205441038</v>
      </c>
      <c r="H2203" s="1">
        <v>8.2995263401077093</v>
      </c>
      <c r="I2203" s="1">
        <v>35.987352191657088</v>
      </c>
      <c r="J2203" s="1">
        <v>4.0789591317851176E-2</v>
      </c>
      <c r="K2203" s="1">
        <v>2.6531174279384091</v>
      </c>
      <c r="L2203" s="1">
        <v>9.1626798613765725</v>
      </c>
      <c r="M2203" s="1">
        <v>0.15392303828279663</v>
      </c>
      <c r="N2203" s="1">
        <v>2.029451700486935</v>
      </c>
      <c r="O2203" s="1">
        <v>0.1451302564102564</v>
      </c>
      <c r="P2203" s="1">
        <v>0.11231683758054818</v>
      </c>
      <c r="Q2203" s="1">
        <v>2.6082148958467437</v>
      </c>
      <c r="R2203" s="2">
        <f t="shared" si="139"/>
        <v>152.16565468023529</v>
      </c>
      <c r="S2203" s="2">
        <f t="shared" si="138"/>
        <v>2.8062238568368087</v>
      </c>
      <c r="T2203" s="2">
        <f t="shared" si="140"/>
        <v>11.49118485655656</v>
      </c>
      <c r="U2203" s="2">
        <f t="shared" si="141"/>
        <v>166.46306339362866</v>
      </c>
    </row>
    <row r="2204" spans="1:21" x14ac:dyDescent="0.25">
      <c r="A2204">
        <v>3939737</v>
      </c>
      <c r="B2204">
        <v>11</v>
      </c>
      <c r="C2204" s="1">
        <f>6.12427965417177*(10.3/7.3)</f>
        <v>8.6411069093108583</v>
      </c>
      <c r="D2204" s="1">
        <f>7.84653180224303*(10.3/7.3)</f>
        <v>11.071133912753863</v>
      </c>
      <c r="E2204" s="1">
        <f>27.2739546324528*(10.3/7.3)</f>
        <v>38.482429138940297</v>
      </c>
      <c r="F2204" s="1">
        <f>76.7804591080457*(38.9/42.5)</f>
        <v>70.276702571834775</v>
      </c>
      <c r="G2204" s="1">
        <v>3.885247356010757</v>
      </c>
      <c r="H2204" s="1">
        <v>7.5539736781902436</v>
      </c>
      <c r="I2204" s="1">
        <v>60.202079914161658</v>
      </c>
      <c r="J2204" s="1">
        <v>3.7931155623163335E-2</v>
      </c>
      <c r="K2204" s="1">
        <v>2.9325387492786832</v>
      </c>
      <c r="L2204" s="1">
        <v>5.2435446666101093</v>
      </c>
      <c r="M2204" s="1">
        <v>0.12630396432165691</v>
      </c>
      <c r="N2204" s="1">
        <v>1.8949496538973376</v>
      </c>
      <c r="O2204" s="1">
        <v>0.10950303030303031</v>
      </c>
      <c r="P2204" s="1">
        <v>8.8825506759973943E-2</v>
      </c>
      <c r="Q2204" s="1">
        <v>6.2092994274144582</v>
      </c>
      <c r="R2204" s="2">
        <f t="shared" si="139"/>
        <v>206.32197290861689</v>
      </c>
      <c r="S2204" s="2">
        <f t="shared" si="138"/>
        <v>3.0592954116618203</v>
      </c>
      <c r="T2204" s="2">
        <f t="shared" si="140"/>
        <v>7.3743013151321346</v>
      </c>
      <c r="U2204" s="2">
        <f t="shared" si="141"/>
        <v>216.75556963541084</v>
      </c>
    </row>
    <row r="2205" spans="1:21" x14ac:dyDescent="0.25">
      <c r="A2205">
        <v>3939745</v>
      </c>
      <c r="B2205">
        <v>23</v>
      </c>
      <c r="C2205" s="1">
        <f>5.99394535108123*(10.3/7.3)</f>
        <v>8.4572105638543444</v>
      </c>
      <c r="D2205" s="1">
        <f>6.56050323115093*(10.3/7.3)</f>
        <v>9.256600449432133</v>
      </c>
      <c r="E2205" s="1">
        <f>23.4007398714852*(10.3/7.3)</f>
        <v>33.017482284424311</v>
      </c>
      <c r="F2205" s="1">
        <f>44.0515031637207*(38.9/42.5)</f>
        <v>40.320081719264351</v>
      </c>
      <c r="G2205" s="1">
        <v>1.4362594107921216</v>
      </c>
      <c r="H2205" s="1">
        <v>6.4079677162831707</v>
      </c>
      <c r="I2205" s="1">
        <v>34.074695375405838</v>
      </c>
      <c r="J2205" s="1">
        <v>3.6842815788327703E-2</v>
      </c>
      <c r="K2205" s="1">
        <v>2.4637832933789721</v>
      </c>
      <c r="L2205" s="1">
        <v>6.1278668452522052</v>
      </c>
      <c r="M2205" s="1">
        <v>0.12336031334607026</v>
      </c>
      <c r="N2205" s="1">
        <v>1.5089816630326189</v>
      </c>
      <c r="O2205" s="1">
        <v>0.10635594202898549</v>
      </c>
      <c r="P2205" s="1">
        <v>8.5861874664400387E-2</v>
      </c>
      <c r="Q2205" s="1">
        <v>2.295391752407502</v>
      </c>
      <c r="R2205" s="2">
        <f t="shared" si="139"/>
        <v>135.26568927186378</v>
      </c>
      <c r="S2205" s="2">
        <f t="shared" si="138"/>
        <v>2.5864879838317001</v>
      </c>
      <c r="T2205" s="2">
        <f t="shared" si="140"/>
        <v>7.8665647636598788</v>
      </c>
      <c r="U2205" s="2">
        <f t="shared" si="141"/>
        <v>145.71874201935535</v>
      </c>
    </row>
    <row r="2206" spans="1:21" x14ac:dyDescent="0.25">
      <c r="A2206">
        <v>3939753</v>
      </c>
      <c r="B2206">
        <v>34</v>
      </c>
      <c r="C2206" s="1">
        <f>5.19126512255918*(10.3/7.3)</f>
        <v>7.3246617482684337</v>
      </c>
      <c r="D2206" s="1">
        <f>5.74977605033412*(10.3/7.3)</f>
        <v>8.1126977148549955</v>
      </c>
      <c r="E2206" s="1">
        <f>20.4966237830476*(10.3/7.3)</f>
        <v>28.919893830875363</v>
      </c>
      <c r="F2206" s="1">
        <f>38.5815077247855*(38.9/42.5)</f>
        <v>35.313427070450686</v>
      </c>
      <c r="G2206" s="1">
        <v>1.2622303093602694</v>
      </c>
      <c r="H2206" s="1">
        <v>6.6625494939674468</v>
      </c>
      <c r="I2206" s="1">
        <v>29.703808823059184</v>
      </c>
      <c r="J2206" s="1">
        <v>3.8306145918841371E-2</v>
      </c>
      <c r="K2206" s="1">
        <v>2.5367639268666489</v>
      </c>
      <c r="L2206" s="1">
        <v>7.48148800208822</v>
      </c>
      <c r="M2206" s="1">
        <v>0.12960592085878317</v>
      </c>
      <c r="N2206" s="1">
        <v>1.6338573160174581</v>
      </c>
      <c r="O2206" s="1">
        <v>0.11205647058823529</v>
      </c>
      <c r="P2206" s="1">
        <v>9.0726356384532678E-2</v>
      </c>
      <c r="Q2206" s="1">
        <v>2.0172630514890173</v>
      </c>
      <c r="R2206" s="2">
        <f t="shared" si="139"/>
        <v>119.31653204232538</v>
      </c>
      <c r="S2206" s="2">
        <f t="shared" si="138"/>
        <v>2.6657964291700229</v>
      </c>
      <c r="T2206" s="2">
        <f t="shared" si="140"/>
        <v>9.3570077095526969</v>
      </c>
      <c r="U2206" s="2">
        <f t="shared" si="141"/>
        <v>131.33933618104811</v>
      </c>
    </row>
    <row r="2207" spans="1:21" x14ac:dyDescent="0.25">
      <c r="A2207">
        <v>3939761</v>
      </c>
      <c r="B2207">
        <v>35</v>
      </c>
      <c r="C2207" s="1">
        <f>5.59907242181482*(10.3/7.3)</f>
        <v>7.9000610883140618</v>
      </c>
      <c r="D2207" s="1">
        <f>6.24433803196882*(10.3/7.3)</f>
        <v>8.8105043464765505</v>
      </c>
      <c r="E2207" s="1">
        <f>22.226912417009*(10.3/7.3)</f>
        <v>31.361259985642857</v>
      </c>
      <c r="F2207" s="1">
        <f>43.0960235535468*(38.9/42.5)</f>
        <v>39.445536852540464</v>
      </c>
      <c r="G2207" s="1">
        <v>1.4771754368806682</v>
      </c>
      <c r="H2207" s="1">
        <v>6.5367813621433628</v>
      </c>
      <c r="I2207" s="1">
        <v>33.253016757252318</v>
      </c>
      <c r="J2207" s="1">
        <v>3.9552235799356121E-2</v>
      </c>
      <c r="K2207" s="1">
        <v>2.6364232677872645</v>
      </c>
      <c r="L2207" s="1">
        <v>6.4092931612786659</v>
      </c>
      <c r="M2207" s="1">
        <v>0.1334416683184507</v>
      </c>
      <c r="N2207" s="1">
        <v>1.7465069917029947</v>
      </c>
      <c r="O2207" s="1">
        <v>0.11607161904761905</v>
      </c>
      <c r="P2207" s="1">
        <v>9.2553905914220191E-2</v>
      </c>
      <c r="Q2207" s="1">
        <v>2.3607826616814358</v>
      </c>
      <c r="R2207" s="2">
        <f t="shared" si="139"/>
        <v>131.14511849093174</v>
      </c>
      <c r="S2207" s="2">
        <f t="shared" si="138"/>
        <v>2.7685294095008408</v>
      </c>
      <c r="T2207" s="2">
        <f t="shared" si="140"/>
        <v>8.4053134403477294</v>
      </c>
      <c r="U2207" s="2">
        <f t="shared" si="141"/>
        <v>142.31896134078031</v>
      </c>
    </row>
    <row r="2208" spans="1:21" x14ac:dyDescent="0.25">
      <c r="A2208">
        <v>3939769</v>
      </c>
      <c r="B2208">
        <v>42</v>
      </c>
      <c r="C2208" s="1">
        <f>5.07167717083111*(10.3/7.3)</f>
        <v>7.1559280629534774</v>
      </c>
      <c r="D2208" s="1">
        <f>5.64013850267292*(10.3/7.3)</f>
        <v>7.9580036407576893</v>
      </c>
      <c r="E2208" s="1">
        <f>20.0894884245528*(10.3/7.3)</f>
        <v>28.345442571629302</v>
      </c>
      <c r="F2208" s="1">
        <f>38.4287603424023*(38.9/42.5)</f>
        <v>35.173618289869374</v>
      </c>
      <c r="G2208" s="1">
        <v>1.2901705732091</v>
      </c>
      <c r="H2208" s="1">
        <v>6.0170827705120837</v>
      </c>
      <c r="I2208" s="1">
        <v>29.618224158719549</v>
      </c>
      <c r="J2208" s="1">
        <v>3.6563080603985373E-2</v>
      </c>
      <c r="K2208" s="1">
        <v>2.6051608191680566</v>
      </c>
      <c r="L2208" s="1">
        <v>5.7031804132202835</v>
      </c>
      <c r="M2208" s="1">
        <v>0.12474823101763753</v>
      </c>
      <c r="N2208" s="1">
        <v>1.58582546691474</v>
      </c>
      <c r="O2208" s="1">
        <v>0.11010666666666667</v>
      </c>
      <c r="P2208" s="1">
        <v>8.9352792179313398E-2</v>
      </c>
      <c r="Q2208" s="1">
        <v>2.0619164412017588</v>
      </c>
      <c r="R2208" s="2">
        <f t="shared" si="139"/>
        <v>117.62038650885233</v>
      </c>
      <c r="S2208" s="2">
        <f t="shared" si="138"/>
        <v>2.7310766919513556</v>
      </c>
      <c r="T2208" s="2">
        <f t="shared" si="140"/>
        <v>7.523860777819328</v>
      </c>
      <c r="U2208" s="2">
        <f t="shared" si="141"/>
        <v>127.87532397862302</v>
      </c>
    </row>
    <row r="2209" spans="1:21" x14ac:dyDescent="0.25">
      <c r="A2209">
        <v>3939777</v>
      </c>
      <c r="B2209">
        <v>17</v>
      </c>
      <c r="C2209" s="1">
        <f>5.97718857302177*(10.3/7.3)</f>
        <v>8.4335674386471542</v>
      </c>
      <c r="D2209" s="1">
        <f>6.60632348928295*(10.3/7.3)</f>
        <v>9.3212509506321037</v>
      </c>
      <c r="E2209" s="1">
        <f>23.5660628830321*(10.3/7.3)</f>
        <v>33.250746259620684</v>
      </c>
      <c r="F2209" s="1">
        <f>43.6778382482842*(38.9/42.5)</f>
        <v>39.978068420194276</v>
      </c>
      <c r="G2209" s="1">
        <v>1.3931301374323337</v>
      </c>
      <c r="H2209" s="1">
        <v>6.0210628640116237</v>
      </c>
      <c r="I2209" s="1">
        <v>33.568738127286103</v>
      </c>
      <c r="J2209" s="1">
        <v>3.548666182228026E-2</v>
      </c>
      <c r="K2209" s="1">
        <v>2.486062154173005</v>
      </c>
      <c r="L2209" s="1">
        <v>5.0189119159027644</v>
      </c>
      <c r="M2209" s="1">
        <v>0.12270663863964971</v>
      </c>
      <c r="N2209" s="1">
        <v>1.5354608940566985</v>
      </c>
      <c r="O2209" s="1">
        <v>0.10710274509803921</v>
      </c>
      <c r="P2209" s="1">
        <v>8.7029156326128745E-2</v>
      </c>
      <c r="Q2209" s="1">
        <v>2.2264636899603518</v>
      </c>
      <c r="R2209" s="2">
        <f t="shared" si="139"/>
        <v>134.19302788778464</v>
      </c>
      <c r="S2209" s="2">
        <f t="shared" si="138"/>
        <v>2.608577972321414</v>
      </c>
      <c r="T2209" s="2">
        <f t="shared" si="140"/>
        <v>6.784182193697152</v>
      </c>
      <c r="U2209" s="2">
        <f t="shared" si="141"/>
        <v>143.58578805380321</v>
      </c>
    </row>
    <row r="2210" spans="1:21" x14ac:dyDescent="0.25">
      <c r="A2210">
        <v>3939785</v>
      </c>
      <c r="B2210">
        <v>12</v>
      </c>
      <c r="C2210" s="1">
        <f>7.24957470276408*(10.3/7.3)</f>
        <v>10.228851977872599</v>
      </c>
      <c r="D2210" s="1">
        <f>8.03366766611357*(10.3/7.3)</f>
        <v>11.335174926160242</v>
      </c>
      <c r="E2210" s="1">
        <f>28.6122714844126*(10.3/7.3)</f>
        <v>40.37073921773284</v>
      </c>
      <c r="F2210" s="1">
        <f>55.1244071269348*(38.9/42.5)</f>
        <v>50.455045582064997</v>
      </c>
      <c r="G2210" s="1">
        <v>1.868630810709055</v>
      </c>
      <c r="H2210" s="1">
        <v>9.1801021227942616</v>
      </c>
      <c r="I2210" s="1">
        <v>42.593508261335622</v>
      </c>
      <c r="J2210" s="1">
        <v>3.9804080045213117E-2</v>
      </c>
      <c r="K2210" s="1">
        <v>2.5135019964525847</v>
      </c>
      <c r="L2210" s="1">
        <v>4.7285385427823607</v>
      </c>
      <c r="M2210" s="1">
        <v>0.12374735446011387</v>
      </c>
      <c r="N2210" s="1">
        <v>1.9234929968341616</v>
      </c>
      <c r="O2210" s="1">
        <v>0.11024888888888888</v>
      </c>
      <c r="P2210" s="1">
        <v>8.7923696051070074E-2</v>
      </c>
      <c r="Q2210" s="1">
        <v>2.9863962728226938</v>
      </c>
      <c r="R2210" s="2">
        <f t="shared" si="139"/>
        <v>169.01844917149231</v>
      </c>
      <c r="S2210" s="2">
        <f t="shared" si="138"/>
        <v>2.641229772548868</v>
      </c>
      <c r="T2210" s="2">
        <f t="shared" si="140"/>
        <v>6.8860277829655248</v>
      </c>
      <c r="U2210" s="2">
        <f t="shared" si="141"/>
        <v>178.54570672700669</v>
      </c>
    </row>
    <row r="2211" spans="1:21" x14ac:dyDescent="0.25">
      <c r="A2211">
        <v>3951253</v>
      </c>
      <c r="B2211">
        <v>42</v>
      </c>
      <c r="C2211" s="1">
        <f>0.626967254360634*(10.3/7.3)</f>
        <v>0.88462503012527793</v>
      </c>
      <c r="D2211" s="1">
        <f>0.782616636844169*(10.3/7.3)</f>
        <v>1.1042399122595805</v>
      </c>
      <c r="E2211" s="1">
        <f>2.74613535532818*(10.3/7.3)</f>
        <v>3.8746841314904499</v>
      </c>
      <c r="F2211" s="1">
        <f>6.56893254326698*(38.9/42.5)</f>
        <v>6.0125053160726019</v>
      </c>
      <c r="G2211" s="1">
        <v>0.29240247250680607</v>
      </c>
      <c r="H2211" s="1">
        <v>1.4745187880286317</v>
      </c>
      <c r="I2211" s="1">
        <v>5.0569971949861916</v>
      </c>
      <c r="J2211" s="1">
        <v>2.2693057808247381E-2</v>
      </c>
      <c r="K2211" s="1">
        <v>3.0324677944031149</v>
      </c>
      <c r="L2211" s="1">
        <v>2.5293332181974497</v>
      </c>
      <c r="M2211" s="1">
        <v>0.14463843879556282</v>
      </c>
      <c r="N2211" s="1">
        <v>0.90352540659260849</v>
      </c>
      <c r="O2211" s="1">
        <v>0.68973841269841296</v>
      </c>
      <c r="P2211" s="1">
        <v>0.29221670950015838</v>
      </c>
      <c r="Q2211" s="1">
        <v>0.46730988756795544</v>
      </c>
      <c r="R2211" s="2">
        <f t="shared" si="139"/>
        <v>19.167282733037496</v>
      </c>
      <c r="S2211" s="2">
        <f t="shared" si="138"/>
        <v>3.3473775617115207</v>
      </c>
      <c r="T2211" s="2">
        <f t="shared" si="140"/>
        <v>4.2672354762840339</v>
      </c>
      <c r="U2211" s="2">
        <f t="shared" si="141"/>
        <v>26.781895771033049</v>
      </c>
    </row>
    <row r="2212" spans="1:21" x14ac:dyDescent="0.25">
      <c r="A2212">
        <v>3951261</v>
      </c>
      <c r="B2212">
        <v>71</v>
      </c>
      <c r="C2212" s="1">
        <f>1.19733248805459*(10.3/7.3)</f>
        <v>1.6893869352003095</v>
      </c>
      <c r="D2212" s="1">
        <f>1.46977557192148*(10.3/7.3)</f>
        <v>2.0737929302453821</v>
      </c>
      <c r="E2212" s="1">
        <f>5.15234037316921*(10.3/7.3)</f>
        <v>7.2697405265264212</v>
      </c>
      <c r="F2212" s="1">
        <f>12.7778631178034*(38.9/42.5)</f>
        <v>11.695502947824723</v>
      </c>
      <c r="G2212" s="1">
        <v>0.5852349667300365</v>
      </c>
      <c r="H2212" s="1">
        <v>2.901554833991713</v>
      </c>
      <c r="I2212" s="1">
        <v>9.9391457586453864</v>
      </c>
      <c r="J2212" s="1">
        <v>3.7502271494360757E-2</v>
      </c>
      <c r="K2212" s="1">
        <v>4.5723818464145589</v>
      </c>
      <c r="L2212" s="1">
        <v>4.2161232273432718</v>
      </c>
      <c r="M2212" s="1">
        <v>0.2294124860169191</v>
      </c>
      <c r="N2212" s="1">
        <v>1.3331737961147063</v>
      </c>
      <c r="O2212" s="1">
        <v>1.4691981220657278</v>
      </c>
      <c r="P2212" s="1">
        <v>0.4350158467346304</v>
      </c>
      <c r="Q2212" s="1">
        <v>0.93530702445439762</v>
      </c>
      <c r="R2212" s="2">
        <f t="shared" si="139"/>
        <v>37.089665923618369</v>
      </c>
      <c r="S2212" s="2">
        <f t="shared" si="138"/>
        <v>5.0448999646435508</v>
      </c>
      <c r="T2212" s="2">
        <f t="shared" si="140"/>
        <v>7.2479076315406248</v>
      </c>
      <c r="U2212" s="2">
        <f t="shared" si="141"/>
        <v>49.382473519802545</v>
      </c>
    </row>
    <row r="2213" spans="1:21" x14ac:dyDescent="0.25">
      <c r="A2213">
        <v>3951269</v>
      </c>
      <c r="B2213">
        <v>3</v>
      </c>
      <c r="C2213" s="1">
        <f>0.805478797210322*(10.3/7.3)</f>
        <v>1.1364974809953863</v>
      </c>
      <c r="D2213" s="1">
        <f>0.999497542429882*(10.3/7.3)</f>
        <v>1.4102499571270934</v>
      </c>
      <c r="E2213" s="1">
        <f>3.50151502428476*(10.3/7.3)</f>
        <v>4.9404938013880901</v>
      </c>
      <c r="F2213" s="1">
        <f>8.71051981471862*(38.9/42.5)</f>
        <v>7.9726875480601054</v>
      </c>
      <c r="G2213" s="1">
        <v>0.40060354487300115</v>
      </c>
      <c r="H2213" s="1">
        <v>3.5942220233779025</v>
      </c>
      <c r="I2213" s="1">
        <v>6.7587864798702739</v>
      </c>
      <c r="J2213" s="1">
        <v>3.2188943702258555E-2</v>
      </c>
      <c r="K2213" s="1">
        <v>3.731617188597729</v>
      </c>
      <c r="L2213" s="1">
        <v>3.000600284372771</v>
      </c>
      <c r="M2213" s="1">
        <v>0.16541551996144685</v>
      </c>
      <c r="N2213" s="1">
        <v>1.0906240013074449</v>
      </c>
      <c r="O2213" s="1">
        <v>0.99182222222222205</v>
      </c>
      <c r="P2213" s="1">
        <v>0.38592926677852568</v>
      </c>
      <c r="Q2213" s="1">
        <v>0.64023397582443164</v>
      </c>
      <c r="R2213" s="2">
        <f t="shared" si="139"/>
        <v>26.853774811516285</v>
      </c>
      <c r="S2213" s="2">
        <f t="shared" si="138"/>
        <v>4.1497353990785131</v>
      </c>
      <c r="T2213" s="2">
        <f t="shared" si="140"/>
        <v>5.2484620278638845</v>
      </c>
      <c r="U2213" s="2">
        <f t="shared" si="141"/>
        <v>36.251972238458684</v>
      </c>
    </row>
    <row r="2214" spans="1:21" x14ac:dyDescent="0.25">
      <c r="A2214">
        <v>3951653</v>
      </c>
      <c r="B2214">
        <v>24</v>
      </c>
      <c r="C2214" s="1">
        <f>3.09240396967553*(10.3/7.3)</f>
        <v>4.3632549161175262</v>
      </c>
      <c r="D2214" s="1">
        <f>4.77025660018137*(10.3/7.3)</f>
        <v>6.7306360249134434</v>
      </c>
      <c r="E2214" s="1">
        <f>16.4953002416878*(10.3/7.3)</f>
        <v>23.274190751970476</v>
      </c>
      <c r="F2214" s="1">
        <f>44.486851295568*(38.9/42.5)</f>
        <v>40.718553303472817</v>
      </c>
      <c r="G2214" s="1">
        <v>2.23182418613851</v>
      </c>
      <c r="H2214" s="1">
        <v>11.589826444308956</v>
      </c>
      <c r="I2214" s="1">
        <v>33.233548112746327</v>
      </c>
      <c r="J2214" s="1">
        <v>4.5070956708860417E-2</v>
      </c>
      <c r="K2214" s="1">
        <v>5.0747274087572505</v>
      </c>
      <c r="L2214" s="1">
        <v>5.8726739167580755</v>
      </c>
      <c r="M2214" s="1">
        <v>0.23214652606574473</v>
      </c>
      <c r="N2214" s="1">
        <v>2.4058644746708091</v>
      </c>
      <c r="O2214" s="1">
        <v>0.23767555555555553</v>
      </c>
      <c r="P2214" s="1">
        <v>0.19028970332623416</v>
      </c>
      <c r="Q2214" s="1">
        <v>3.5668423066140615</v>
      </c>
      <c r="R2214" s="2">
        <f t="shared" si="139"/>
        <v>125.70867604628211</v>
      </c>
      <c r="S2214" s="2">
        <f t="shared" si="138"/>
        <v>5.3100880687923455</v>
      </c>
      <c r="T2214" s="2">
        <f t="shared" si="140"/>
        <v>8.7483604730501838</v>
      </c>
      <c r="U2214" s="2">
        <f t="shared" si="141"/>
        <v>139.76712458812463</v>
      </c>
    </row>
    <row r="2215" spans="1:21" x14ac:dyDescent="0.25">
      <c r="A2215">
        <v>3951805</v>
      </c>
      <c r="B2215">
        <v>3</v>
      </c>
      <c r="C2215" s="1">
        <f>9.08105319419582*(10.3/7.3)</f>
        <v>12.812992863043418</v>
      </c>
      <c r="D2215" s="1">
        <f>12.3704985611964*(10.3/7.3)</f>
        <v>17.454265093194934</v>
      </c>
      <c r="E2215" s="1">
        <f>43.5322053422119*(10.3/7.3)</f>
        <v>61.422152743120904</v>
      </c>
      <c r="F2215" s="1">
        <f>89.4208580046256*(38.9/42.5)</f>
        <v>81.84638532658677</v>
      </c>
      <c r="G2215" s="1">
        <v>3.4595465490193198</v>
      </c>
      <c r="H2215" s="1">
        <v>9.1411927099243595</v>
      </c>
      <c r="I2215" s="1">
        <v>65.101821803327766</v>
      </c>
      <c r="J2215" s="1">
        <v>5.116172210203429E-2</v>
      </c>
      <c r="K2215" s="1">
        <v>2.9248773233840062</v>
      </c>
      <c r="L2215" s="1">
        <v>9.4280636871647925</v>
      </c>
      <c r="M2215" s="1">
        <v>0.19023716479257322</v>
      </c>
      <c r="N2215" s="1">
        <v>2.0738073120936997</v>
      </c>
      <c r="O2215" s="1">
        <v>0.18327111111111108</v>
      </c>
      <c r="P2215" s="1">
        <v>0.12998320518042292</v>
      </c>
      <c r="Q2215" s="1">
        <v>5.5289556719486894</v>
      </c>
      <c r="R2215" s="2">
        <f t="shared" si="139"/>
        <v>256.76731276016613</v>
      </c>
      <c r="S2215" s="2">
        <f t="shared" si="138"/>
        <v>3.1060222506664634</v>
      </c>
      <c r="T2215" s="2">
        <f t="shared" si="140"/>
        <v>11.875379275162178</v>
      </c>
      <c r="U2215" s="2">
        <f t="shared" si="141"/>
        <v>271.74871428599477</v>
      </c>
    </row>
    <row r="2216" spans="1:21" x14ac:dyDescent="0.25">
      <c r="A2216">
        <v>3951813</v>
      </c>
      <c r="B2216">
        <v>2</v>
      </c>
      <c r="C2216" s="1">
        <f>4.75560417274992*(10.3/7.3)</f>
        <v>6.7099620519622105</v>
      </c>
      <c r="D2216" s="1">
        <f>6.48344852188068*(10.3/7.3)</f>
        <v>9.1478794212836956</v>
      </c>
      <c r="E2216" s="1">
        <f>22.905123375564*(10.3/7.3)</f>
        <v>32.318187776480649</v>
      </c>
      <c r="F2216" s="1">
        <f>42.4820537765967*(38.9/42.5)</f>
        <v>38.883573927284942</v>
      </c>
      <c r="G2216" s="1">
        <v>1.4366792605614189</v>
      </c>
      <c r="H2216" s="1">
        <v>8.2616720247644402</v>
      </c>
      <c r="I2216" s="1">
        <v>30.154974406122154</v>
      </c>
      <c r="J2216" s="1">
        <v>4.3208543859754658E-2</v>
      </c>
      <c r="K2216" s="1">
        <v>2.6684847406392276</v>
      </c>
      <c r="L2216" s="1">
        <v>12.97828411938891</v>
      </c>
      <c r="M2216" s="1">
        <v>0.16221705979203438</v>
      </c>
      <c r="N2216" s="1">
        <v>2.0730710787224864</v>
      </c>
      <c r="O2216" s="1">
        <v>0.15527999999999997</v>
      </c>
      <c r="P2216" s="1">
        <v>0.12117908932643739</v>
      </c>
      <c r="Q2216" s="1">
        <v>2.2960627451894844</v>
      </c>
      <c r="R2216" s="2">
        <f t="shared" si="139"/>
        <v>129.20899161364898</v>
      </c>
      <c r="S2216" s="2">
        <f t="shared" si="138"/>
        <v>2.8328723738254196</v>
      </c>
      <c r="T2216" s="2">
        <f t="shared" si="140"/>
        <v>15.368852257903431</v>
      </c>
      <c r="U2216" s="2">
        <f t="shared" si="141"/>
        <v>147.41071624537781</v>
      </c>
    </row>
    <row r="2217" spans="1:21" x14ac:dyDescent="0.25">
      <c r="A2217">
        <v>3951821</v>
      </c>
      <c r="B2217">
        <v>25</v>
      </c>
      <c r="C2217" s="1">
        <f>4.78189143199627*(10.3/7.3)</f>
        <v>6.7470522944604943</v>
      </c>
      <c r="D2217" s="1">
        <f>7.37678223246655*(10.3/7.3)</f>
        <v>10.408336574576088</v>
      </c>
      <c r="E2217" s="1">
        <f>25.9851299045931*(10.3/7.3)</f>
        <v>36.663950413329978</v>
      </c>
      <c r="F2217" s="1">
        <f>45.6907799959497*(38.9/42.5)</f>
        <v>41.820502160998636</v>
      </c>
      <c r="G2217" s="1">
        <v>1.4653055508316046</v>
      </c>
      <c r="H2217" s="1">
        <v>7.0112186692292457</v>
      </c>
      <c r="I2217" s="1">
        <v>30.538851089070914</v>
      </c>
      <c r="J2217" s="1">
        <v>4.1566424005711144E-2</v>
      </c>
      <c r="K2217" s="1">
        <v>2.4415554924592708</v>
      </c>
      <c r="L2217" s="1">
        <v>9.9400025028714722</v>
      </c>
      <c r="M2217" s="1">
        <v>0.15147385823199322</v>
      </c>
      <c r="N2217" s="1">
        <v>1.8233024347997195</v>
      </c>
      <c r="O2217" s="1">
        <v>0.14436906666666668</v>
      </c>
      <c r="P2217" s="1">
        <v>0.11225682577418253</v>
      </c>
      <c r="Q2217" s="1">
        <v>2.3418125241601011</v>
      </c>
      <c r="R2217" s="2">
        <f t="shared" si="139"/>
        <v>136.99702927665706</v>
      </c>
      <c r="S2217" s="2">
        <f t="shared" si="138"/>
        <v>2.5953787422391645</v>
      </c>
      <c r="T2217" s="2">
        <f t="shared" si="140"/>
        <v>12.059147862569851</v>
      </c>
      <c r="U2217" s="2">
        <f t="shared" si="141"/>
        <v>151.65155588146609</v>
      </c>
    </row>
    <row r="2218" spans="1:21" x14ac:dyDescent="0.25">
      <c r="A2218">
        <v>3951845</v>
      </c>
      <c r="B2218">
        <v>1</v>
      </c>
      <c r="C2218" s="1">
        <f>5.73540201738683*(10.3/7.3)</f>
        <v>8.092416545080054</v>
      </c>
      <c r="D2218" s="1">
        <f>7.79326931527595*(10.3/7.3)</f>
        <v>10.995982732512642</v>
      </c>
      <c r="E2218" s="1">
        <f>27.5467603805274*(10.3/7.3)</f>
        <v>38.867346838278451</v>
      </c>
      <c r="F2218" s="1">
        <f>50.5667891336102*(38.9/42.5)</f>
        <v>46.283484642292628</v>
      </c>
      <c r="G2218" s="1">
        <v>1.6823846755491449</v>
      </c>
      <c r="H2218" s="1">
        <v>9.4020817228362148</v>
      </c>
      <c r="I2218" s="1">
        <v>35.839723117660704</v>
      </c>
      <c r="J2218" s="1">
        <v>4.1990744381432993E-2</v>
      </c>
      <c r="K2218" s="1">
        <v>2.5587838539175078</v>
      </c>
      <c r="L2218" s="1">
        <v>9.7369752573082256</v>
      </c>
      <c r="M2218" s="1">
        <v>0.15375789817767038</v>
      </c>
      <c r="N2218" s="1">
        <v>1.9999599925003972</v>
      </c>
      <c r="O2218" s="1">
        <v>0.14698666666666668</v>
      </c>
      <c r="P2218" s="1">
        <v>0.11380558582290277</v>
      </c>
      <c r="Q2218" s="1">
        <v>2.6887426321561705</v>
      </c>
      <c r="R2218" s="2">
        <f t="shared" si="139"/>
        <v>153.852162906366</v>
      </c>
      <c r="S2218" s="2">
        <f t="shared" si="138"/>
        <v>2.7145801841218438</v>
      </c>
      <c r="T2218" s="2">
        <f t="shared" si="140"/>
        <v>12.037679814652959</v>
      </c>
      <c r="U2218" s="2">
        <f t="shared" si="141"/>
        <v>168.60442290514081</v>
      </c>
    </row>
    <row r="2219" spans="1:21" x14ac:dyDescent="0.25">
      <c r="A2219">
        <v>3951853</v>
      </c>
      <c r="B2219">
        <v>17</v>
      </c>
      <c r="C2219" s="1">
        <f>5.55640499364159*(10.3/7.3)</f>
        <v>7.8398591006175886</v>
      </c>
      <c r="D2219" s="1">
        <f>7.36904710192368*(10.3/7.3)</f>
        <v>10.397422623262173</v>
      </c>
      <c r="E2219" s="1">
        <f>26.0758820130827*(10.3/7.3)</f>
        <v>36.791997908870144</v>
      </c>
      <c r="F2219" s="1">
        <f>47.7677137514936*(38.9/42.5)</f>
        <v>43.72150741019059</v>
      </c>
      <c r="G2219" s="1">
        <v>1.5745217024656559</v>
      </c>
      <c r="H2219" s="1">
        <v>7.1439855555375527</v>
      </c>
      <c r="I2219" s="1">
        <v>34.139945454424684</v>
      </c>
      <c r="J2219" s="1">
        <v>4.1089188383134592E-2</v>
      </c>
      <c r="K2219" s="1">
        <v>2.5377132657183377</v>
      </c>
      <c r="L2219" s="1">
        <v>7.9740586297774954</v>
      </c>
      <c r="M2219" s="1">
        <v>0.15085369463073989</v>
      </c>
      <c r="N2219" s="1">
        <v>2.0079972275950366</v>
      </c>
      <c r="O2219" s="1">
        <v>0.14306509803921566</v>
      </c>
      <c r="P2219" s="1">
        <v>0.11053107077394059</v>
      </c>
      <c r="Q2219" s="1">
        <v>2.5163588852190868</v>
      </c>
      <c r="R2219" s="2">
        <f t="shared" si="139"/>
        <v>144.12559864058747</v>
      </c>
      <c r="S2219" s="2">
        <f t="shared" si="138"/>
        <v>2.6893335248754129</v>
      </c>
      <c r="T2219" s="2">
        <f t="shared" si="140"/>
        <v>10.275974650042489</v>
      </c>
      <c r="U2219" s="2">
        <f t="shared" si="141"/>
        <v>157.09090681550538</v>
      </c>
    </row>
    <row r="2220" spans="1:21" x14ac:dyDescent="0.25">
      <c r="A2220">
        <v>3951965</v>
      </c>
      <c r="B2220">
        <v>1</v>
      </c>
      <c r="C2220" s="1">
        <f>4.90695505931985*(10.3/7.3)</f>
        <v>6.9235119330129349</v>
      </c>
      <c r="D2220" s="1">
        <f>5.32246011761779*(10.3/7.3)</f>
        <v>7.509772494720985</v>
      </c>
      <c r="E2220" s="1">
        <f>18.9859814315093*(10.3/7.3)</f>
        <v>26.788439554047429</v>
      </c>
      <c r="F2220" s="1">
        <f>36.1228734389735*(38.9/42.5)</f>
        <v>33.063053571201621</v>
      </c>
      <c r="G2220" s="1">
        <v>1.1941926938049734</v>
      </c>
      <c r="H2220" s="1">
        <v>5.6936507753509771</v>
      </c>
      <c r="I2220" s="1">
        <v>28.088475172489893</v>
      </c>
      <c r="J2220" s="1">
        <v>4.0802647329411842E-2</v>
      </c>
      <c r="K2220" s="1">
        <v>2.8348152062378094</v>
      </c>
      <c r="L2220" s="1">
        <v>5.3866190427024163</v>
      </c>
      <c r="M2220" s="1">
        <v>0.12997518848474016</v>
      </c>
      <c r="N2220" s="1">
        <v>2.1885235851838227</v>
      </c>
      <c r="O2220" s="1">
        <v>0.11258666666666667</v>
      </c>
      <c r="P2220" s="1">
        <v>9.2444650444883036E-2</v>
      </c>
      <c r="Q2220" s="1">
        <v>1.9085271362179959</v>
      </c>
      <c r="R2220" s="2">
        <f t="shared" si="139"/>
        <v>111.16962333084682</v>
      </c>
      <c r="S2220" s="2">
        <f t="shared" si="138"/>
        <v>2.9680625040121038</v>
      </c>
      <c r="T2220" s="2">
        <f t="shared" si="140"/>
        <v>7.8177044830376463</v>
      </c>
      <c r="U2220" s="2">
        <f t="shared" si="141"/>
        <v>121.95539031789657</v>
      </c>
    </row>
    <row r="2221" spans="1:21" x14ac:dyDescent="0.25">
      <c r="A2221">
        <v>3951973</v>
      </c>
      <c r="B2221">
        <v>39</v>
      </c>
      <c r="C2221" s="1">
        <f>5.63102913879407*(10.3/7.3)</f>
        <v>7.9451507026820511</v>
      </c>
      <c r="D2221" s="1">
        <f>6.15946067889124*(10.3/7.3)</f>
        <v>8.6907458893944849</v>
      </c>
      <c r="E2221" s="1">
        <f>21.928543416342*(10.3/7.3)</f>
        <v>30.940273587441521</v>
      </c>
      <c r="F2221" s="1">
        <f>43.4157033225636*(38.9/42.5)</f>
        <v>39.738137864652373</v>
      </c>
      <c r="G2221" s="1">
        <v>1.5249637389731998</v>
      </c>
      <c r="H2221" s="1">
        <v>7.0122212272055737</v>
      </c>
      <c r="I2221" s="1">
        <v>33.856060280177886</v>
      </c>
      <c r="J2221" s="1">
        <v>3.7866567929609407E-2</v>
      </c>
      <c r="K2221" s="1">
        <v>3.5753512849130553</v>
      </c>
      <c r="L2221" s="1">
        <v>5.8486579975368134</v>
      </c>
      <c r="M2221" s="1">
        <v>0.12668333090204742</v>
      </c>
      <c r="N2221" s="1">
        <v>1.6580964315441717</v>
      </c>
      <c r="O2221" s="1">
        <v>0.10986529914529918</v>
      </c>
      <c r="P2221" s="1">
        <v>8.9519597262536554E-2</v>
      </c>
      <c r="Q2221" s="1">
        <v>2.4371566604594537</v>
      </c>
      <c r="R2221" s="2">
        <f t="shared" si="139"/>
        <v>132.14470995098654</v>
      </c>
      <c r="S2221" s="2">
        <f t="shared" si="138"/>
        <v>3.7027374501052011</v>
      </c>
      <c r="T2221" s="2">
        <f t="shared" si="140"/>
        <v>7.7433030591283307</v>
      </c>
      <c r="U2221" s="2">
        <f t="shared" si="141"/>
        <v>143.59075046022005</v>
      </c>
    </row>
    <row r="2222" spans="1:21" x14ac:dyDescent="0.25">
      <c r="A2222">
        <v>3951981</v>
      </c>
      <c r="B2222">
        <v>50</v>
      </c>
      <c r="C2222" s="1">
        <f>5.19882329531575*(10.3/7.3)</f>
        <v>7.335326019418118</v>
      </c>
      <c r="D2222" s="1">
        <f>5.77703260095256*(10.3/7.3)</f>
        <v>8.1511555876453983</v>
      </c>
      <c r="E2222" s="1">
        <f>20.5778235531824*(10.3/7.3)</f>
        <v>29.034463369558679</v>
      </c>
      <c r="F2222" s="1">
        <f>39.3666043317808*(38.9/42.5)</f>
        <v>36.032021376618196</v>
      </c>
      <c r="G2222" s="1">
        <v>1.3215517888226289</v>
      </c>
      <c r="H2222" s="1">
        <v>6.1895862328570637</v>
      </c>
      <c r="I2222" s="1">
        <v>30.350635146083359</v>
      </c>
      <c r="J2222" s="1">
        <v>3.8137066729127256E-2</v>
      </c>
      <c r="K2222" s="1">
        <v>2.6062394614591033</v>
      </c>
      <c r="L2222" s="1">
        <v>6.6843243482506649</v>
      </c>
      <c r="M2222" s="1">
        <v>0.1296424883247094</v>
      </c>
      <c r="N2222" s="1">
        <v>1.6425793605291414</v>
      </c>
      <c r="O2222" s="1">
        <v>0.11130773333333333</v>
      </c>
      <c r="P2222" s="1">
        <v>9.0662763056152881E-2</v>
      </c>
      <c r="Q2222" s="1">
        <v>2.112069068894614</v>
      </c>
      <c r="R2222" s="2">
        <f t="shared" si="139"/>
        <v>120.52680858989807</v>
      </c>
      <c r="S2222" s="2">
        <f t="shared" si="138"/>
        <v>2.7350392912443837</v>
      </c>
      <c r="T2222" s="2">
        <f t="shared" si="140"/>
        <v>8.5678539304378489</v>
      </c>
      <c r="U2222" s="2">
        <f t="shared" si="141"/>
        <v>131.82970181158029</v>
      </c>
    </row>
    <row r="2223" spans="1:21" x14ac:dyDescent="0.25">
      <c r="A2223">
        <v>3951989</v>
      </c>
      <c r="B2223">
        <v>20</v>
      </c>
      <c r="C2223" s="1">
        <f>5.79195945394718*(10.3/7.3)</f>
        <v>8.1722167637884819</v>
      </c>
      <c r="D2223" s="1">
        <f>6.52244507886743*(10.3/7.3)</f>
        <v>9.2029019605937652</v>
      </c>
      <c r="E2223" s="1">
        <f>23.1777992063285*(10.3/7.3)</f>
        <v>32.702922167833322</v>
      </c>
      <c r="F2223" s="1">
        <f>46.3395645876037*(38.9/42.5)</f>
        <v>42.414330881359632</v>
      </c>
      <c r="G2223" s="1">
        <v>1.6619986367510364</v>
      </c>
      <c r="H2223" s="1">
        <v>6.5230091095304186</v>
      </c>
      <c r="I2223" s="1">
        <v>35.804892288854461</v>
      </c>
      <c r="J2223" s="1">
        <v>4.0569695443140555E-2</v>
      </c>
      <c r="K2223" s="1">
        <v>2.6762402577008211</v>
      </c>
      <c r="L2223" s="1">
        <v>6.4535173676048858</v>
      </c>
      <c r="M2223" s="1">
        <v>0.13641596944167955</v>
      </c>
      <c r="N2223" s="1">
        <v>1.82729496905614</v>
      </c>
      <c r="O2223" s="1">
        <v>0.11889866666666667</v>
      </c>
      <c r="P2223" s="1">
        <v>9.4790423052498116E-2</v>
      </c>
      <c r="Q2223" s="1">
        <v>2.656162204853258</v>
      </c>
      <c r="R2223" s="2">
        <f t="shared" si="139"/>
        <v>139.13843401356436</v>
      </c>
      <c r="S2223" s="2">
        <f t="shared" si="138"/>
        <v>2.8116003761964596</v>
      </c>
      <c r="T2223" s="2">
        <f t="shared" si="140"/>
        <v>8.536126972769372</v>
      </c>
      <c r="U2223" s="2">
        <f t="shared" si="141"/>
        <v>150.4861613625302</v>
      </c>
    </row>
    <row r="2224" spans="1:21" x14ac:dyDescent="0.25">
      <c r="A2224">
        <v>3951997</v>
      </c>
      <c r="B2224">
        <v>33</v>
      </c>
      <c r="C2224" s="1">
        <f>5.71295284282383*(10.3/7.3)</f>
        <v>8.0607416823404723</v>
      </c>
      <c r="D2224" s="1">
        <f>6.39684627671787*(10.3/7.3)</f>
        <v>9.0256872123553453</v>
      </c>
      <c r="E2224" s="1">
        <f>22.7463884005591*(10.3/7.3)</f>
        <v>32.094219250103947</v>
      </c>
      <c r="F2224" s="1">
        <f>45.0518164628608*(38.9/42.5)</f>
        <v>41.235662597771395</v>
      </c>
      <c r="G2224" s="1">
        <v>1.5930047382987467</v>
      </c>
      <c r="H2224" s="1">
        <v>7.2064609625909197</v>
      </c>
      <c r="I2224" s="1">
        <v>34.830095493102704</v>
      </c>
      <c r="J2224" s="1">
        <v>4.0525939011668392E-2</v>
      </c>
      <c r="K2224" s="1">
        <v>2.7130036888817299</v>
      </c>
      <c r="L2224" s="1">
        <v>6.1969225801623917</v>
      </c>
      <c r="M2224" s="1">
        <v>0.13529656379637495</v>
      </c>
      <c r="N2224" s="1">
        <v>1.7495876208565422</v>
      </c>
      <c r="O2224" s="1">
        <v>0.11898343434343434</v>
      </c>
      <c r="P2224" s="1">
        <v>9.4619532097364567E-2</v>
      </c>
      <c r="Q2224" s="1">
        <v>2.5458979835824742</v>
      </c>
      <c r="R2224" s="2">
        <f t="shared" si="139"/>
        <v>136.59176992014599</v>
      </c>
      <c r="S2224" s="2">
        <f t="shared" si="138"/>
        <v>2.8481491599907631</v>
      </c>
      <c r="T2224" s="2">
        <f t="shared" si="140"/>
        <v>8.2007901991587424</v>
      </c>
      <c r="U2224" s="2">
        <f t="shared" si="141"/>
        <v>147.64070927929549</v>
      </c>
    </row>
    <row r="2225" spans="1:21" x14ac:dyDescent="0.25">
      <c r="A2225">
        <v>3952005</v>
      </c>
      <c r="B2225">
        <v>36</v>
      </c>
      <c r="C2225" s="1">
        <f>5.89659956251285*(10.3/7.3)</f>
        <v>8.3198596566962113</v>
      </c>
      <c r="D2225" s="1">
        <f>6.48480352044189*(10.3/7.3)</f>
        <v>9.1497912685686948</v>
      </c>
      <c r="E2225" s="1">
        <f>23.1174074062288*(10.3/7.3)</f>
        <v>32.61771181974752</v>
      </c>
      <c r="F2225" s="1">
        <f>43.905154824027*(38.9/42.5)</f>
        <v>40.186129944815285</v>
      </c>
      <c r="G2225" s="1">
        <v>1.4533993888739027</v>
      </c>
      <c r="H2225" s="1">
        <v>7.8441189729831287</v>
      </c>
      <c r="I2225" s="1">
        <v>33.946190003858142</v>
      </c>
      <c r="J2225" s="1">
        <v>3.8380249451124289E-2</v>
      </c>
      <c r="K2225" s="1">
        <v>2.6515461732611545</v>
      </c>
      <c r="L2225" s="1">
        <v>5.5671360747741074</v>
      </c>
      <c r="M2225" s="1">
        <v>0.12997367575504259</v>
      </c>
      <c r="N2225" s="1">
        <v>1.6628798735104633</v>
      </c>
      <c r="O2225" s="1">
        <v>0.1140251851851852</v>
      </c>
      <c r="P2225" s="1">
        <v>9.1627137112153659E-2</v>
      </c>
      <c r="Q2225" s="1">
        <v>2.3227844114423126</v>
      </c>
      <c r="R2225" s="2">
        <f t="shared" si="139"/>
        <v>135.83998546698521</v>
      </c>
      <c r="S2225" s="2">
        <f t="shared" si="138"/>
        <v>2.7815535598244323</v>
      </c>
      <c r="T2225" s="2">
        <f t="shared" si="140"/>
        <v>7.4740148092247987</v>
      </c>
      <c r="U2225" s="2">
        <f t="shared" si="141"/>
        <v>146.09555383603444</v>
      </c>
    </row>
    <row r="2226" spans="1:21" x14ac:dyDescent="0.25">
      <c r="A2226">
        <v>3952013</v>
      </c>
      <c r="B2226">
        <v>29</v>
      </c>
      <c r="C2226" s="1">
        <f>6.36484041407467*(10.3/7.3)</f>
        <v>8.9805282554752139</v>
      </c>
      <c r="D2226" s="1">
        <f>7.44507506528142*(10.3/7.3)</f>
        <v>10.504694955123101</v>
      </c>
      <c r="E2226" s="1">
        <f>26.535205495467*(10.3/7.3)</f>
        <v>37.440084466206891</v>
      </c>
      <c r="F2226" s="1">
        <f>46.5951636866338*(38.9/42.5)</f>
        <v>42.648279233177753</v>
      </c>
      <c r="G2226" s="1">
        <v>1.3783330115875232</v>
      </c>
      <c r="H2226" s="1">
        <v>7.5778663620183435</v>
      </c>
      <c r="I2226" s="1">
        <v>34.641782582936294</v>
      </c>
      <c r="J2226" s="1">
        <v>3.6648989803207875E-2</v>
      </c>
      <c r="K2226" s="1">
        <v>2.495614261788786</v>
      </c>
      <c r="L2226" s="1">
        <v>4.8622471874636295</v>
      </c>
      <c r="M2226" s="1">
        <v>0.12331803778936073</v>
      </c>
      <c r="N2226" s="1">
        <v>1.6387698218865432</v>
      </c>
      <c r="O2226" s="1">
        <v>0.10752183908045974</v>
      </c>
      <c r="P2226" s="1">
        <v>8.770824604254629E-2</v>
      </c>
      <c r="Q2226" s="1">
        <v>2.2028153153225274</v>
      </c>
      <c r="R2226" s="2">
        <f t="shared" si="139"/>
        <v>145.37438418184766</v>
      </c>
      <c r="S2226" s="2">
        <f t="shared" si="138"/>
        <v>2.6199714976345403</v>
      </c>
      <c r="T2226" s="2">
        <f t="shared" si="140"/>
        <v>6.731856886219993</v>
      </c>
      <c r="U2226" s="2">
        <f t="shared" si="141"/>
        <v>154.72621256570218</v>
      </c>
    </row>
    <row r="2227" spans="1:21" x14ac:dyDescent="0.25">
      <c r="A2227">
        <v>3952253</v>
      </c>
      <c r="B2227">
        <v>1</v>
      </c>
      <c r="C2227" s="1">
        <f>3.70252063566861*(10.3/7.3)</f>
        <v>5.2241044585461225</v>
      </c>
      <c r="D2227" s="1">
        <f>4.05473786957439*(10.3/7.3)</f>
        <v>5.7210685009063349</v>
      </c>
      <c r="E2227" s="1">
        <f>14.4077495007893*(10.3/7.3)</f>
        <v>20.32874244631914</v>
      </c>
      <c r="F2227" s="1">
        <f>29.8784840612417*(38.9/42.5)</f>
        <v>27.347600705465922</v>
      </c>
      <c r="G2227" s="1">
        <v>1.1158673868438205</v>
      </c>
      <c r="H2227" s="1">
        <v>2.8159217964464447</v>
      </c>
      <c r="I2227" s="1">
        <v>23.449375804274901</v>
      </c>
      <c r="J2227" s="1">
        <v>2.2183469242737636E-2</v>
      </c>
      <c r="K2227" s="1">
        <v>1.8645421978839447</v>
      </c>
      <c r="L2227" s="1">
        <v>2.0206223529841436</v>
      </c>
      <c r="M2227" s="1">
        <v>9.3208427590822915E-2</v>
      </c>
      <c r="N2227" s="1">
        <v>0.96934325859675707</v>
      </c>
      <c r="O2227" s="1">
        <v>8.5226666666666659E-2</v>
      </c>
      <c r="P2227" s="1">
        <v>6.7606360210379357E-2</v>
      </c>
      <c r="Q2227" s="1">
        <v>1.7833497050015414</v>
      </c>
      <c r="R2227" s="2">
        <f t="shared" si="139"/>
        <v>87.786030803804223</v>
      </c>
      <c r="S2227" s="2">
        <f t="shared" si="138"/>
        <v>1.9543320273370617</v>
      </c>
      <c r="T2227" s="2">
        <f t="shared" si="140"/>
        <v>3.1684007058383905</v>
      </c>
      <c r="U2227" s="2">
        <f t="shared" si="141"/>
        <v>92.908763536979677</v>
      </c>
    </row>
    <row r="2228" spans="1:21" x14ac:dyDescent="0.25">
      <c r="A2228">
        <v>3963489</v>
      </c>
      <c r="B2228">
        <v>61</v>
      </c>
      <c r="C2228" s="1">
        <f>0.74752124524402*(10.3/7.3)</f>
        <v>1.0547217569881384</v>
      </c>
      <c r="D2228" s="1">
        <f>0.934976159330807*(10.3/7.3)</f>
        <v>1.3192129371379879</v>
      </c>
      <c r="E2228" s="1">
        <f>3.27895579541438*(10.3/7.3)</f>
        <v>4.6264718757216601</v>
      </c>
      <c r="F2228" s="1">
        <f>7.91970270964672*(38.9/42.5)</f>
        <v>7.2488573036531134</v>
      </c>
      <c r="G2228" s="1">
        <v>0.35564930982073317</v>
      </c>
      <c r="H2228" s="1">
        <v>1.7327487211891186</v>
      </c>
      <c r="I2228" s="1">
        <v>6.1031076640335069</v>
      </c>
      <c r="J2228" s="1">
        <v>2.6674170032221296E-2</v>
      </c>
      <c r="K2228" s="1">
        <v>3.5464758990335747</v>
      </c>
      <c r="L2228" s="1">
        <v>2.9818083294721345</v>
      </c>
      <c r="M2228" s="1">
        <v>0.16916233170264061</v>
      </c>
      <c r="N2228" s="1">
        <v>1.0405677998209706</v>
      </c>
      <c r="O2228" s="1">
        <v>0.94315628415300512</v>
      </c>
      <c r="P2228" s="1">
        <v>0.34736950295855723</v>
      </c>
      <c r="Q2228" s="1">
        <v>0.56838930793267906</v>
      </c>
      <c r="R2228" s="2">
        <f t="shared" si="139"/>
        <v>23.009158876476942</v>
      </c>
      <c r="S2228" s="2">
        <f t="shared" si="138"/>
        <v>3.9205195720243533</v>
      </c>
      <c r="T2228" s="2">
        <f t="shared" si="140"/>
        <v>5.1346947451487512</v>
      </c>
      <c r="U2228" s="2">
        <f t="shared" si="141"/>
        <v>32.064373193650049</v>
      </c>
    </row>
    <row r="2229" spans="1:21" x14ac:dyDescent="0.25">
      <c r="A2229">
        <v>3963497</v>
      </c>
      <c r="B2229">
        <v>42</v>
      </c>
      <c r="C2229" s="1">
        <f>1.12841758738904*(10.3/7.3)</f>
        <v>1.5921508424804325</v>
      </c>
      <c r="D2229" s="1">
        <f>1.4090290788831*(10.3/7.3)</f>
        <v>1.9880821249994358</v>
      </c>
      <c r="E2229" s="1">
        <f>4.93303342151081*(10.3/7.3)</f>
        <v>6.9603074303508725</v>
      </c>
      <c r="F2229" s="1">
        <f>12.362439092855*(38.9/42.5)</f>
        <v>11.315267781460257</v>
      </c>
      <c r="G2229" s="1">
        <v>0.57252580540371412</v>
      </c>
      <c r="H2229" s="1">
        <v>2.7423178238582233</v>
      </c>
      <c r="I2229" s="1">
        <v>9.5873179167766516</v>
      </c>
      <c r="J2229" s="1">
        <v>3.8119932268240966E-2</v>
      </c>
      <c r="K2229" s="1">
        <v>4.6189461453435667</v>
      </c>
      <c r="L2229" s="1">
        <v>4.0481760541373042</v>
      </c>
      <c r="M2229" s="1">
        <v>0.21976086850337526</v>
      </c>
      <c r="N2229" s="1">
        <v>1.3029941914324843</v>
      </c>
      <c r="O2229" s="1">
        <v>1.5109079365079361</v>
      </c>
      <c r="P2229" s="1">
        <v>0.46886000032753944</v>
      </c>
      <c r="Q2229" s="1">
        <v>0.91499557941232945</v>
      </c>
      <c r="R2229" s="2">
        <f t="shared" si="139"/>
        <v>35.672965304741915</v>
      </c>
      <c r="S2229" s="2">
        <f t="shared" si="138"/>
        <v>5.1259260779393472</v>
      </c>
      <c r="T2229" s="2">
        <f t="shared" si="140"/>
        <v>7.0818390505810989</v>
      </c>
      <c r="U2229" s="2">
        <f t="shared" si="141"/>
        <v>47.880730433262357</v>
      </c>
    </row>
    <row r="2230" spans="1:21" x14ac:dyDescent="0.25">
      <c r="A2230">
        <v>3963889</v>
      </c>
      <c r="B2230">
        <v>27</v>
      </c>
      <c r="C2230" s="1">
        <f>3.00455112318749*(10.3/7.3)</f>
        <v>4.2392981601138624</v>
      </c>
      <c r="D2230" s="1">
        <f>4.68922829780414*(10.3/7.3)</f>
        <v>6.6163084201894069</v>
      </c>
      <c r="E2230" s="1">
        <f>16.1848495977336*(10.3/7.3)</f>
        <v>22.836157651596775</v>
      </c>
      <c r="F2230" s="1">
        <f>44.8424298896875*(38.9/42.5)</f>
        <v>41.044012299031621</v>
      </c>
      <c r="G2230" s="1">
        <v>2.2926941957467011</v>
      </c>
      <c r="H2230" s="1">
        <v>12.471664276758091</v>
      </c>
      <c r="I2230" s="1">
        <v>33.594289873335825</v>
      </c>
      <c r="J2230" s="1">
        <v>4.3508868392348889E-2</v>
      </c>
      <c r="K2230" s="1">
        <v>4.4880437501365993</v>
      </c>
      <c r="L2230" s="1">
        <v>5.6784325693138769</v>
      </c>
      <c r="M2230" s="1">
        <v>0.23063066357575637</v>
      </c>
      <c r="N2230" s="1">
        <v>2.3516658470602949</v>
      </c>
      <c r="O2230" s="1">
        <v>0.23183604938271607</v>
      </c>
      <c r="P2230" s="1">
        <v>0.18764846995529194</v>
      </c>
      <c r="Q2230" s="1">
        <v>3.6641231438874269</v>
      </c>
      <c r="R2230" s="2">
        <f t="shared" si="139"/>
        <v>126.75854802065972</v>
      </c>
      <c r="S2230" s="2">
        <f t="shared" si="138"/>
        <v>4.7192010884842404</v>
      </c>
      <c r="T2230" s="2">
        <f t="shared" si="140"/>
        <v>8.492565129332645</v>
      </c>
      <c r="U2230" s="2">
        <f t="shared" si="141"/>
        <v>139.97031423847659</v>
      </c>
    </row>
    <row r="2231" spans="1:21" x14ac:dyDescent="0.25">
      <c r="A2231">
        <v>3964057</v>
      </c>
      <c r="B2231">
        <v>3</v>
      </c>
      <c r="C2231" s="1">
        <f>5.18443168469805*(10.3/7.3)</f>
        <v>7.3150200482725944</v>
      </c>
      <c r="D2231" s="1">
        <f>8.65696346781706*(10.3/7.3)</f>
        <v>12.214619687467911</v>
      </c>
      <c r="E2231" s="1">
        <f>30.4292944028325*(10.3/7.3)</f>
        <v>42.934483883448529</v>
      </c>
      <c r="F2231" s="1">
        <f>52.4873129896057*(38.9/42.5)</f>
        <v>48.041328830486137</v>
      </c>
      <c r="G2231" s="1">
        <v>1.661640986947561</v>
      </c>
      <c r="H2231" s="1">
        <v>9.7872569178648732</v>
      </c>
      <c r="I2231" s="1">
        <v>33.875966732222821</v>
      </c>
      <c r="J2231" s="1">
        <v>3.9040303368913815E-2</v>
      </c>
      <c r="K2231" s="1">
        <v>2.4261920232115664</v>
      </c>
      <c r="L2231" s="1">
        <v>7.6892878009304271</v>
      </c>
      <c r="M2231" s="1">
        <v>0.15253207780073472</v>
      </c>
      <c r="N2231" s="1">
        <v>1.8419009423408479</v>
      </c>
      <c r="O2231" s="1">
        <v>0.14535111111111113</v>
      </c>
      <c r="P2231" s="1">
        <v>0.11111187902331741</v>
      </c>
      <c r="Q2231" s="1">
        <v>2.6555906184093465</v>
      </c>
      <c r="R2231" s="2">
        <f t="shared" si="139"/>
        <v>158.48590770511979</v>
      </c>
      <c r="S2231" s="2">
        <f t="shared" si="138"/>
        <v>2.5763442056037977</v>
      </c>
      <c r="T2231" s="2">
        <f t="shared" si="140"/>
        <v>9.8290719321831208</v>
      </c>
      <c r="U2231" s="2">
        <f t="shared" si="141"/>
        <v>170.8913238429067</v>
      </c>
    </row>
    <row r="2232" spans="1:21" x14ac:dyDescent="0.25">
      <c r="A2232">
        <v>3964201</v>
      </c>
      <c r="B2232">
        <v>44</v>
      </c>
      <c r="C2232" s="1">
        <f>5.5176993366448*(10.3/7.3)</f>
        <v>7.7852470092385531</v>
      </c>
      <c r="D2232" s="1">
        <f>6.02764083779254*(10.3/7.3)</f>
        <v>8.5047535108579613</v>
      </c>
      <c r="E2232" s="1">
        <f>21.4782236387897*(10.3/7.3)</f>
        <v>30.304890887607446</v>
      </c>
      <c r="F2232" s="1">
        <f>41.6389452048298*(38.9/42.5)</f>
        <v>38.111881611008918</v>
      </c>
      <c r="G2232" s="1">
        <v>1.4188048987922637</v>
      </c>
      <c r="H2232" s="1">
        <v>8.0369186340077565</v>
      </c>
      <c r="I2232" s="1">
        <v>32.382266221204155</v>
      </c>
      <c r="J2232" s="1">
        <v>4.0727234026272201E-2</v>
      </c>
      <c r="K2232" s="1">
        <v>3.9555855114600162</v>
      </c>
      <c r="L2232" s="1">
        <v>5.6179935442243911</v>
      </c>
      <c r="M2232" s="1">
        <v>0.1329048053973646</v>
      </c>
      <c r="N2232" s="1">
        <v>1.888290728188462</v>
      </c>
      <c r="O2232" s="1">
        <v>0.11525575757575757</v>
      </c>
      <c r="P2232" s="1">
        <v>9.3462075649272905E-2</v>
      </c>
      <c r="Q2232" s="1">
        <v>2.2674964135949449</v>
      </c>
      <c r="R2232" s="2">
        <f t="shared" si="139"/>
        <v>128.81225918631202</v>
      </c>
      <c r="S2232" s="2">
        <f t="shared" si="138"/>
        <v>4.0897748211355616</v>
      </c>
      <c r="T2232" s="2">
        <f t="shared" si="140"/>
        <v>7.754444835385975</v>
      </c>
      <c r="U2232" s="2">
        <f t="shared" si="141"/>
        <v>140.65647884283356</v>
      </c>
    </row>
    <row r="2233" spans="1:21" x14ac:dyDescent="0.25">
      <c r="A2233">
        <v>3964209</v>
      </c>
      <c r="B2233">
        <v>62</v>
      </c>
      <c r="C2233" s="1">
        <f>5.22289039894248*(10.3/7.3)</f>
        <v>7.3692837135763734</v>
      </c>
      <c r="D2233" s="1">
        <f>5.76011629834413*(10.3/7.3)</f>
        <v>8.1272873798554208</v>
      </c>
      <c r="E2233" s="1">
        <f>20.5331149479784*(10.3/7.3)</f>
        <v>28.971381364955874</v>
      </c>
      <c r="F2233" s="1">
        <f>38.8931019657352*(38.9/42.5)</f>
        <v>35.598627446284652</v>
      </c>
      <c r="G2233" s="1">
        <v>1.2832648005060456</v>
      </c>
      <c r="H2233" s="1">
        <v>6.4996688796891284</v>
      </c>
      <c r="I2233" s="1">
        <v>30.024887042313221</v>
      </c>
      <c r="J2233" s="1">
        <v>3.7897010898501157E-2</v>
      </c>
      <c r="K2233" s="1">
        <v>3.1740371913486505</v>
      </c>
      <c r="L2233" s="1">
        <v>6.303652734864083</v>
      </c>
      <c r="M2233" s="1">
        <v>0.12900283989704206</v>
      </c>
      <c r="N2233" s="1">
        <v>1.6474625076641594</v>
      </c>
      <c r="O2233" s="1">
        <v>0.11107354838709677</v>
      </c>
      <c r="P2233" s="1">
        <v>9.0448643578300722E-2</v>
      </c>
      <c r="Q2233" s="1">
        <v>2.0508798181603494</v>
      </c>
      <c r="R2233" s="2">
        <f t="shared" si="139"/>
        <v>119.92528044534107</v>
      </c>
      <c r="S2233" s="2">
        <f t="shared" si="138"/>
        <v>3.3023828458254525</v>
      </c>
      <c r="T2233" s="2">
        <f t="shared" si="140"/>
        <v>8.1911916308123818</v>
      </c>
      <c r="U2233" s="2">
        <f t="shared" si="141"/>
        <v>131.41885492197889</v>
      </c>
    </row>
    <row r="2234" spans="1:21" x14ac:dyDescent="0.25">
      <c r="A2234">
        <v>3964217</v>
      </c>
      <c r="B2234">
        <v>51</v>
      </c>
      <c r="C2234" s="1">
        <f>4.92280863515767*(10.3/7.3)</f>
        <v>6.9458806770032853</v>
      </c>
      <c r="D2234" s="1">
        <f>5.74800336806786*(10.3/7.3)</f>
        <v>8.1101965330272581</v>
      </c>
      <c r="E2234" s="1">
        <f>20.3285496105213*(10.3/7.3)</f>
        <v>28.682748080598593</v>
      </c>
      <c r="F2234" s="1">
        <f>43.7248102944901*(38.9/42.5)</f>
        <v>40.021061657780329</v>
      </c>
      <c r="G2234" s="1">
        <v>1.7295944496079223</v>
      </c>
      <c r="H2234" s="1">
        <v>5.137754974044225</v>
      </c>
      <c r="I2234" s="1">
        <v>33.760431365187628</v>
      </c>
      <c r="J2234" s="1">
        <v>3.7538874839447872E-2</v>
      </c>
      <c r="K2234" s="1">
        <v>2.5197533698228902</v>
      </c>
      <c r="L2234" s="1">
        <v>5.7531676631277602</v>
      </c>
      <c r="M2234" s="1">
        <v>0.12915170670648105</v>
      </c>
      <c r="N2234" s="1">
        <v>1.6285611638655593</v>
      </c>
      <c r="O2234" s="1">
        <v>0.11091450980392159</v>
      </c>
      <c r="P2234" s="1">
        <v>9.0190968963976798E-2</v>
      </c>
      <c r="Q2234" s="1">
        <v>2.7641920427523878</v>
      </c>
      <c r="R2234" s="2">
        <f t="shared" si="139"/>
        <v>127.15185978000163</v>
      </c>
      <c r="S2234" s="2">
        <f t="shared" si="138"/>
        <v>2.6474832136263151</v>
      </c>
      <c r="T2234" s="2">
        <f t="shared" si="140"/>
        <v>7.6217950435037229</v>
      </c>
      <c r="U2234" s="2">
        <f t="shared" si="141"/>
        <v>137.42113803713164</v>
      </c>
    </row>
    <row r="2235" spans="1:21" x14ac:dyDescent="0.25">
      <c r="A2235">
        <v>3964225</v>
      </c>
      <c r="B2235">
        <v>49</v>
      </c>
      <c r="C2235" s="1">
        <f>5.38108487745218*(10.3/7.3)</f>
        <v>7.5924896216106106</v>
      </c>
      <c r="D2235" s="1">
        <f>6.45447383924139*(10.3/7.3)</f>
        <v>9.1069973348200399</v>
      </c>
      <c r="E2235" s="1">
        <f>22.7236347557105*(10.3/7.3)</f>
        <v>32.062114792303824</v>
      </c>
      <c r="F2235" s="1">
        <f>52.6357794186834*(38.9/42.5)</f>
        <v>48.177219279689034</v>
      </c>
      <c r="G2235" s="1">
        <v>2.2597409429924533</v>
      </c>
      <c r="H2235" s="1">
        <v>6.3390066046105549</v>
      </c>
      <c r="I2235" s="1">
        <v>40.77918263808391</v>
      </c>
      <c r="J2235" s="1">
        <v>4.0097929121733412E-2</v>
      </c>
      <c r="K2235" s="1">
        <v>2.6352319048737174</v>
      </c>
      <c r="L2235" s="1">
        <v>6.032694799385574</v>
      </c>
      <c r="M2235" s="1">
        <v>0.13387024692070743</v>
      </c>
      <c r="N2235" s="1">
        <v>1.801452962785375</v>
      </c>
      <c r="O2235" s="1">
        <v>0.11679564625850336</v>
      </c>
      <c r="P2235" s="1">
        <v>9.4019353013824317E-2</v>
      </c>
      <c r="Q2235" s="1">
        <v>3.6114581280701357</v>
      </c>
      <c r="R2235" s="2">
        <f t="shared" si="139"/>
        <v>149.92820934218057</v>
      </c>
      <c r="S2235" s="2">
        <f t="shared" si="138"/>
        <v>2.7693491870092752</v>
      </c>
      <c r="T2235" s="2">
        <f t="shared" si="140"/>
        <v>8.0848136553501604</v>
      </c>
      <c r="U2235" s="2">
        <f t="shared" si="141"/>
        <v>160.78237218454001</v>
      </c>
    </row>
    <row r="2236" spans="1:21" x14ac:dyDescent="0.25">
      <c r="A2236">
        <v>3964233</v>
      </c>
      <c r="B2236">
        <v>30</v>
      </c>
      <c r="C2236" s="1">
        <f>5.25439827875275*(10.3/7.3)</f>
        <v>7.4137400371442874</v>
      </c>
      <c r="D2236" s="1">
        <f>5.87936459448348*(10.3/7.3)</f>
        <v>8.2955418250931281</v>
      </c>
      <c r="E2236" s="1">
        <f>20.9058206769447*(10.3/7.3)</f>
        <v>29.497253831853431</v>
      </c>
      <c r="F2236" s="1">
        <f>41.4661942945327*(38.9/42.5)</f>
        <v>37.953763718995788</v>
      </c>
      <c r="G2236" s="1">
        <v>1.4688677428742214</v>
      </c>
      <c r="H2236" s="1">
        <v>6.6418087845087364</v>
      </c>
      <c r="I2236" s="1">
        <v>32.073561986139246</v>
      </c>
      <c r="J2236" s="1">
        <v>3.7809208518819526E-2</v>
      </c>
      <c r="K2236" s="1">
        <v>2.5206997270343674</v>
      </c>
      <c r="L2236" s="1">
        <v>5.3399717288016424</v>
      </c>
      <c r="M2236" s="1">
        <v>0.1265714591664138</v>
      </c>
      <c r="N2236" s="1">
        <v>1.6476031254775814</v>
      </c>
      <c r="O2236" s="1">
        <v>0.11041599999999994</v>
      </c>
      <c r="P2236" s="1">
        <v>8.9447111859360079E-2</v>
      </c>
      <c r="Q2236" s="1">
        <v>2.3475055251414516</v>
      </c>
      <c r="R2236" s="2">
        <f t="shared" si="139"/>
        <v>125.69204345175029</v>
      </c>
      <c r="S2236" s="2">
        <f t="shared" si="138"/>
        <v>2.647956047412547</v>
      </c>
      <c r="T2236" s="2">
        <f t="shared" si="140"/>
        <v>7.2245623134456372</v>
      </c>
      <c r="U2236" s="2">
        <f t="shared" si="141"/>
        <v>135.56456181260847</v>
      </c>
    </row>
    <row r="2237" spans="1:21" x14ac:dyDescent="0.25">
      <c r="A2237">
        <v>3964241</v>
      </c>
      <c r="B2237">
        <v>27</v>
      </c>
      <c r="C2237" s="1">
        <f>5.81447031680348*(10.3/7.3)</f>
        <v>8.2039786661747769</v>
      </c>
      <c r="D2237" s="1">
        <f>6.48818139218066*(10.3/7.3)</f>
        <v>9.15455730677545</v>
      </c>
      <c r="E2237" s="1">
        <f>23.100101830595*(10.3/7.3)</f>
        <v>32.593294363716282</v>
      </c>
      <c r="F2237" s="1">
        <f>44.4931571045313*(38.9/42.5)</f>
        <v>40.724324973323945</v>
      </c>
      <c r="G2237" s="1">
        <v>1.5105935532797059</v>
      </c>
      <c r="H2237" s="1">
        <v>7.2461705617730212</v>
      </c>
      <c r="I2237" s="1">
        <v>34.286472677377773</v>
      </c>
      <c r="J2237" s="1">
        <v>3.6680453457121558E-2</v>
      </c>
      <c r="K2237" s="1">
        <v>2.4694882238251354</v>
      </c>
      <c r="L2237" s="1">
        <v>4.9252249543365769</v>
      </c>
      <c r="M2237" s="1">
        <v>0.12225902365062051</v>
      </c>
      <c r="N2237" s="1">
        <v>1.6607849982023428</v>
      </c>
      <c r="O2237" s="1">
        <v>0.107120987654321</v>
      </c>
      <c r="P2237" s="1">
        <v>8.8007987976668409E-2</v>
      </c>
      <c r="Q2237" s="1">
        <v>2.4141906102643724</v>
      </c>
      <c r="R2237" s="2">
        <f t="shared" si="139"/>
        <v>136.13358271268532</v>
      </c>
      <c r="S2237" s="2">
        <f t="shared" si="138"/>
        <v>2.5941766652589253</v>
      </c>
      <c r="T2237" s="2">
        <f t="shared" si="140"/>
        <v>6.8153899638438613</v>
      </c>
      <c r="U2237" s="2">
        <f t="shared" si="141"/>
        <v>145.54314934178811</v>
      </c>
    </row>
    <row r="2238" spans="1:21" x14ac:dyDescent="0.25">
      <c r="A2238">
        <v>3964481</v>
      </c>
      <c r="B2238">
        <v>3</v>
      </c>
      <c r="C2238" s="1">
        <f>3.99075113982942*(10.3/7.3)</f>
        <v>5.630785854827808</v>
      </c>
      <c r="D2238" s="1">
        <f>4.38970549053601*(10.3/7.3)</f>
        <v>6.1936940482905332</v>
      </c>
      <c r="E2238" s="1">
        <f>15.5815677579162*(10.3/7.3)</f>
        <v>21.984951768018696</v>
      </c>
      <c r="F2238" s="1">
        <f>32.9654914228092*(38.9/42.5)</f>
        <v>30.173120384641859</v>
      </c>
      <c r="G2238" s="1">
        <v>1.2628614560722851</v>
      </c>
      <c r="H2238" s="1">
        <v>3.5866080951040806</v>
      </c>
      <c r="I2238" s="1">
        <v>25.906175545455284</v>
      </c>
      <c r="J2238" s="1">
        <v>2.2831265016339641E-2</v>
      </c>
      <c r="K2238" s="1">
        <v>1.8951038196714272</v>
      </c>
      <c r="L2238" s="1">
        <v>2.0670011359429115</v>
      </c>
      <c r="M2238" s="1">
        <v>9.529877951966198E-2</v>
      </c>
      <c r="N2238" s="1">
        <v>0.97813889391771092</v>
      </c>
      <c r="O2238" s="1">
        <v>8.6399999999999991E-2</v>
      </c>
      <c r="P2238" s="1">
        <v>6.8018404339983504E-2</v>
      </c>
      <c r="Q2238" s="1">
        <v>2.0182717334488598</v>
      </c>
      <c r="R2238" s="2">
        <f t="shared" si="139"/>
        <v>96.756468885859405</v>
      </c>
      <c r="S2238" s="2">
        <f t="shared" si="138"/>
        <v>1.9859534890277502</v>
      </c>
      <c r="T2238" s="2">
        <f t="shared" si="140"/>
        <v>3.226838809380284</v>
      </c>
      <c r="U2238" s="2">
        <f t="shared" si="141"/>
        <v>101.96926118426744</v>
      </c>
    </row>
    <row r="2239" spans="1:21" x14ac:dyDescent="0.25">
      <c r="A2239">
        <v>3964489</v>
      </c>
      <c r="B2239">
        <v>1</v>
      </c>
      <c r="C2239" s="1">
        <f>3.41575053479927*(10.3/7.3)</f>
        <v>4.8194836312921208</v>
      </c>
      <c r="D2239" s="1">
        <f>3.75230711165885*(10.3/7.3)</f>
        <v>5.2943511301487911</v>
      </c>
      <c r="E2239" s="1">
        <f>13.3340681563537*(10.3/7.3)</f>
        <v>18.813822193211365</v>
      </c>
      <c r="F2239" s="1">
        <f>27.4971380903439*(38.9/42.5)</f>
        <v>25.167968746220627</v>
      </c>
      <c r="G2239" s="1">
        <v>1.0204821842568823</v>
      </c>
      <c r="H2239" s="1">
        <v>2.6358747866772338</v>
      </c>
      <c r="I2239" s="1">
        <v>21.539096975892321</v>
      </c>
      <c r="J2239" s="1">
        <v>2.1546988679154881E-2</v>
      </c>
      <c r="K2239" s="1">
        <v>1.8118484682647629</v>
      </c>
      <c r="L2239" s="1">
        <v>1.9308942517604641</v>
      </c>
      <c r="M2239" s="1">
        <v>9.0435184312289571E-2</v>
      </c>
      <c r="N2239" s="1">
        <v>0.9459958318735926</v>
      </c>
      <c r="O2239" s="1">
        <v>8.2026666666666664E-2</v>
      </c>
      <c r="P2239" s="1">
        <v>6.6012088558118187E-2</v>
      </c>
      <c r="Q2239" s="1">
        <v>1.6309076004105443</v>
      </c>
      <c r="R2239" s="2">
        <f t="shared" si="139"/>
        <v>80.921987248109886</v>
      </c>
      <c r="S2239" s="2">
        <f t="shared" si="138"/>
        <v>1.8994075455020358</v>
      </c>
      <c r="T2239" s="2">
        <f t="shared" si="140"/>
        <v>3.0493519346130129</v>
      </c>
      <c r="U2239" s="2">
        <f t="shared" si="141"/>
        <v>85.87074672822493</v>
      </c>
    </row>
    <row r="2240" spans="1:21" x14ac:dyDescent="0.25">
      <c r="A2240">
        <v>3975717</v>
      </c>
      <c r="B2240">
        <v>3</v>
      </c>
      <c r="C2240" s="1">
        <f>0.296541526528593*(10.3/7.3)</f>
        <v>0.4184079072937687</v>
      </c>
      <c r="D2240" s="1">
        <f>0.363849674306639*(10.3/7.3)</f>
        <v>0.513376937720326</v>
      </c>
      <c r="E2240" s="1">
        <f>1.28112290231645*(10.3/7.3)</f>
        <v>1.8076117662821189</v>
      </c>
      <c r="F2240" s="1">
        <f>2.89133149675559*(38.9/42.5)</f>
        <v>2.6464187111480562</v>
      </c>
      <c r="G2240" s="1">
        <v>0.12149363824065573</v>
      </c>
      <c r="H2240" s="1">
        <v>0.70966290293361833</v>
      </c>
      <c r="I2240" s="1">
        <v>2.2153816792326251</v>
      </c>
      <c r="J2240" s="1">
        <v>1.6050625412304686E-2</v>
      </c>
      <c r="K2240" s="1">
        <v>1.9709218135860949</v>
      </c>
      <c r="L2240" s="1">
        <v>1.7517040959368639</v>
      </c>
      <c r="M2240" s="1">
        <v>0.10505445604939435</v>
      </c>
      <c r="N2240" s="1">
        <v>0.64142033352444272</v>
      </c>
      <c r="O2240" s="1">
        <v>0.41265777777777779</v>
      </c>
      <c r="P2240" s="1">
        <v>0.16838435907772772</v>
      </c>
      <c r="Q2240" s="1">
        <v>0.19416791499648198</v>
      </c>
      <c r="R2240" s="2">
        <f t="shared" si="139"/>
        <v>8.6265214578476517</v>
      </c>
      <c r="S2240" s="2">
        <f t="shared" si="138"/>
        <v>2.1553567980761272</v>
      </c>
      <c r="T2240" s="2">
        <f t="shared" si="140"/>
        <v>2.910836663288479</v>
      </c>
      <c r="U2240" s="2">
        <f t="shared" si="141"/>
        <v>13.692714919212257</v>
      </c>
    </row>
    <row r="2241" spans="1:21" x14ac:dyDescent="0.25">
      <c r="A2241">
        <v>3975725</v>
      </c>
      <c r="B2241">
        <v>64</v>
      </c>
      <c r="C2241" s="1">
        <f>1.3106663164863*(10.3/7.3)</f>
        <v>1.8492963095628576</v>
      </c>
      <c r="D2241" s="1">
        <f>1.64715619755932*(10.3/7.3)</f>
        <v>2.3240697034056113</v>
      </c>
      <c r="E2241" s="1">
        <f>5.76645397040488*(10.3/7.3)</f>
        <v>8.1362295746808559</v>
      </c>
      <c r="F2241" s="1">
        <f>14.3795283583832*(38.9/42.5)</f>
        <v>13.161497720967203</v>
      </c>
      <c r="G2241" s="1">
        <v>0.66385894748283736</v>
      </c>
      <c r="H2241" s="1">
        <v>2.8147723592047393</v>
      </c>
      <c r="I2241" s="1">
        <v>11.12383655234764</v>
      </c>
      <c r="J2241" s="1">
        <v>4.092304823602292E-2</v>
      </c>
      <c r="K2241" s="1">
        <v>5.1224790995353402</v>
      </c>
      <c r="L2241" s="1">
        <v>4.7351546564178397</v>
      </c>
      <c r="M2241" s="1">
        <v>0.2580874320330197</v>
      </c>
      <c r="N2241" s="1">
        <v>1.4460520113456732</v>
      </c>
      <c r="O2241" s="1">
        <v>1.7746083333333331</v>
      </c>
      <c r="P2241" s="1">
        <v>0.50909830848981585</v>
      </c>
      <c r="Q2241" s="1">
        <v>1.0609617882145816</v>
      </c>
      <c r="R2241" s="2">
        <f t="shared" si="139"/>
        <v>41.134522955866331</v>
      </c>
      <c r="S2241" s="2">
        <f t="shared" si="138"/>
        <v>5.6725004562611785</v>
      </c>
      <c r="T2241" s="2">
        <f t="shared" si="140"/>
        <v>8.2139024331298653</v>
      </c>
      <c r="U2241" s="2">
        <f t="shared" si="141"/>
        <v>55.020925845257374</v>
      </c>
    </row>
    <row r="2242" spans="1:21" x14ac:dyDescent="0.25">
      <c r="A2242">
        <v>3975733</v>
      </c>
      <c r="B2242">
        <v>15</v>
      </c>
      <c r="C2242" s="1">
        <f>1.05284456199725*(10.3/7.3)</f>
        <v>1.4855204093933758</v>
      </c>
      <c r="D2242" s="1">
        <f>1.32329424479868*(10.3/7.3)</f>
        <v>1.86711379745567</v>
      </c>
      <c r="E2242" s="1">
        <f>4.6293997737742*(10.3/7.3)</f>
        <v>6.5318928314896318</v>
      </c>
      <c r="F2242" s="1">
        <f>11.7090855885673*(38.9/42.5)</f>
        <v>10.717257162241621</v>
      </c>
      <c r="G2242" s="1">
        <v>0.54682509052595862</v>
      </c>
      <c r="H2242" s="1">
        <v>2.448191454727513</v>
      </c>
      <c r="I2242" s="1">
        <v>9.0779800998340168</v>
      </c>
      <c r="J2242" s="1">
        <v>4.2657210251566748E-2</v>
      </c>
      <c r="K2242" s="1">
        <v>4.679792841853172</v>
      </c>
      <c r="L2242" s="1">
        <v>4.1334087163241167</v>
      </c>
      <c r="M2242" s="1">
        <v>0.22034815095968632</v>
      </c>
      <c r="N2242" s="1">
        <v>1.3096679831171334</v>
      </c>
      <c r="O2242" s="1">
        <v>1.6682311111111108</v>
      </c>
      <c r="P2242" s="1">
        <v>0.49141729979119325</v>
      </c>
      <c r="Q2242" s="1">
        <v>0.87392137755290278</v>
      </c>
      <c r="R2242" s="2">
        <f t="shared" si="139"/>
        <v>33.548702223220694</v>
      </c>
      <c r="S2242" s="2">
        <f t="shared" si="138"/>
        <v>5.2138673518959315</v>
      </c>
      <c r="T2242" s="2">
        <f t="shared" si="140"/>
        <v>7.3316559615120473</v>
      </c>
      <c r="U2242" s="2">
        <f t="shared" si="141"/>
        <v>46.094225536628677</v>
      </c>
    </row>
    <row r="2243" spans="1:21" x14ac:dyDescent="0.25">
      <c r="A2243">
        <v>3976117</v>
      </c>
      <c r="B2243">
        <v>3</v>
      </c>
      <c r="C2243" s="1">
        <f>2.87367538579486*(10.3/7.3)</f>
        <v>4.0546378731078185</v>
      </c>
      <c r="D2243" s="1">
        <f>4.40513214751828*(10.3/7.3)</f>
        <v>6.21546042732031</v>
      </c>
      <c r="E2243" s="1">
        <f>15.2157608869948*(10.3/7.3)</f>
        <v>21.468813306307762</v>
      </c>
      <c r="F2243" s="1">
        <f>42.0845654944297*(38.9/42.5)</f>
        <v>38.519755240783873</v>
      </c>
      <c r="G2243" s="1">
        <v>2.1455411710500254</v>
      </c>
      <c r="H2243" s="1">
        <v>12.236030614166269</v>
      </c>
      <c r="I2243" s="1">
        <v>31.634456270748018</v>
      </c>
      <c r="J2243" s="1">
        <v>4.2703602612645671E-2</v>
      </c>
      <c r="K2243" s="1">
        <v>4.3591695078948272</v>
      </c>
      <c r="L2243" s="1">
        <v>5.4252738416189494</v>
      </c>
      <c r="M2243" s="1">
        <v>0.22378790370475501</v>
      </c>
      <c r="N2243" s="1">
        <v>2.2476793023482275</v>
      </c>
      <c r="O2243" s="1">
        <v>0.22588444444444444</v>
      </c>
      <c r="P2243" s="1">
        <v>0.18206274197005665</v>
      </c>
      <c r="Q2243" s="1">
        <v>3.4289470770205921</v>
      </c>
      <c r="R2243" s="2">
        <f t="shared" si="139"/>
        <v>119.70364198050467</v>
      </c>
      <c r="S2243" s="2">
        <f t="shared" si="138"/>
        <v>4.5839358524775289</v>
      </c>
      <c r="T2243" s="2">
        <f t="shared" si="140"/>
        <v>8.1226254921163772</v>
      </c>
      <c r="U2243" s="2">
        <f t="shared" si="141"/>
        <v>132.41020332509856</v>
      </c>
    </row>
    <row r="2244" spans="1:21" x14ac:dyDescent="0.25">
      <c r="A2244">
        <v>3976429</v>
      </c>
      <c r="B2244">
        <v>26</v>
      </c>
      <c r="C2244" s="1">
        <f>5.73754666557709*(10.3/7.3)</f>
        <v>8.0954425555402842</v>
      </c>
      <c r="D2244" s="1">
        <f>6.12172371257546*(10.3/7.3)</f>
        <v>8.6375005807571572</v>
      </c>
      <c r="E2244" s="1">
        <f>21.8567858479872*(10.3/7.3)</f>
        <v>30.839026607433972</v>
      </c>
      <c r="F2244" s="1">
        <f>41.5348513449634*(38.9/42.5)</f>
        <v>38.016605113389993</v>
      </c>
      <c r="G2244" s="1">
        <v>1.3638012352224327</v>
      </c>
      <c r="H2244" s="1">
        <v>7.0226860720615605</v>
      </c>
      <c r="I2244" s="1">
        <v>32.50139308334191</v>
      </c>
      <c r="J2244" s="1">
        <v>4.4668532352526803E-2</v>
      </c>
      <c r="K2244" s="1">
        <v>2.759956375967707</v>
      </c>
      <c r="L2244" s="1">
        <v>5.4403394773356428</v>
      </c>
      <c r="M2244" s="1">
        <v>0.13482800624645258</v>
      </c>
      <c r="N2244" s="1">
        <v>2.0522032098104863</v>
      </c>
      <c r="O2244" s="1">
        <v>0.11714461538461537</v>
      </c>
      <c r="P2244" s="1">
        <v>9.4383280775023462E-2</v>
      </c>
      <c r="Q2244" s="1">
        <v>2.1795910151956703</v>
      </c>
      <c r="R2244" s="2">
        <f t="shared" si="139"/>
        <v>128.65604626294299</v>
      </c>
      <c r="S2244" s="2">
        <f t="shared" si="138"/>
        <v>2.899008189095257</v>
      </c>
      <c r="T2244" s="2">
        <f t="shared" si="140"/>
        <v>7.7445153087771965</v>
      </c>
      <c r="U2244" s="2">
        <f t="shared" si="141"/>
        <v>139.29956976081547</v>
      </c>
    </row>
    <row r="2245" spans="1:21" x14ac:dyDescent="0.25">
      <c r="A2245">
        <v>3976437</v>
      </c>
      <c r="B2245">
        <v>32</v>
      </c>
      <c r="C2245" s="1">
        <f>5.59575095264057*(10.3/7.3)</f>
        <v>7.8953746318079228</v>
      </c>
      <c r="D2245" s="1">
        <f>6.17036174344018*(10.3/7.3)</f>
        <v>8.7061268434840962</v>
      </c>
      <c r="E2245" s="1">
        <f>21.9893030725122*(10.3/7.3)</f>
        <v>31.026002965325414</v>
      </c>
      <c r="F2245" s="1">
        <f>41.9732593882772*(38.9/42.5)</f>
        <v>38.417877416564345</v>
      </c>
      <c r="G2245" s="1">
        <v>1.4012384003482605</v>
      </c>
      <c r="H2245" s="1">
        <v>6.1970937900741205</v>
      </c>
      <c r="I2245" s="1">
        <v>32.445152604019924</v>
      </c>
      <c r="J2245" s="1">
        <v>3.6047076718509354E-2</v>
      </c>
      <c r="K2245" s="1">
        <v>4.0061218588817065</v>
      </c>
      <c r="L2245" s="1">
        <v>5.8337370946478311</v>
      </c>
      <c r="M2245" s="1">
        <v>0.12405483207528047</v>
      </c>
      <c r="N2245" s="1">
        <v>1.5326751056086843</v>
      </c>
      <c r="O2245" s="1">
        <v>0.10683166666666667</v>
      </c>
      <c r="P2245" s="1">
        <v>8.6151680438621481E-2</v>
      </c>
      <c r="Q2245" s="1">
        <v>2.2394221010132034</v>
      </c>
      <c r="R2245" s="2">
        <f t="shared" si="139"/>
        <v>128.32828875263729</v>
      </c>
      <c r="S2245" s="2">
        <f t="shared" si="138"/>
        <v>4.1283206160388373</v>
      </c>
      <c r="T2245" s="2">
        <f t="shared" si="140"/>
        <v>7.597298698998463</v>
      </c>
      <c r="U2245" s="2">
        <f t="shared" si="141"/>
        <v>140.0539080676746</v>
      </c>
    </row>
    <row r="2246" spans="1:21" x14ac:dyDescent="0.25">
      <c r="A2246">
        <v>3976445</v>
      </c>
      <c r="B2246">
        <v>55</v>
      </c>
      <c r="C2246" s="1">
        <f>4.756690423132*(10.3/7.3)</f>
        <v>6.7114947066108979</v>
      </c>
      <c r="D2246" s="1">
        <f>5.31345871551537*(10.3/7.3)</f>
        <v>7.4970718862751182</v>
      </c>
      <c r="E2246" s="1">
        <f>18.9265745461139*(10.3/7.3)</f>
        <v>26.704618880133243</v>
      </c>
      <c r="F2246" s="1">
        <f>35.9563250803373*(38.9/42.5)</f>
        <v>32.910612838238166</v>
      </c>
      <c r="G2246" s="1">
        <v>1.196202035428136</v>
      </c>
      <c r="H2246" s="1">
        <v>5.1594339522670936</v>
      </c>
      <c r="I2246" s="1">
        <v>27.633405717227305</v>
      </c>
      <c r="J2246" s="1">
        <v>3.7301927080547463E-2</v>
      </c>
      <c r="K2246" s="1">
        <v>2.6437453793041175</v>
      </c>
      <c r="L2246" s="1">
        <v>5.4729308311981661</v>
      </c>
      <c r="M2246" s="1">
        <v>0.12802020776845593</v>
      </c>
      <c r="N2246" s="1">
        <v>1.6277981212730905</v>
      </c>
      <c r="O2246" s="1">
        <v>0.10995878787878788</v>
      </c>
      <c r="P2246" s="1">
        <v>8.9824499327397722E-2</v>
      </c>
      <c r="Q2246" s="1">
        <v>1.9117384127846953</v>
      </c>
      <c r="R2246" s="2">
        <f t="shared" si="139"/>
        <v>109.72457842896465</v>
      </c>
      <c r="S2246" s="2">
        <f t="shared" si="138"/>
        <v>2.7708718057120625</v>
      </c>
      <c r="T2246" s="2">
        <f t="shared" si="140"/>
        <v>7.3387079481185005</v>
      </c>
      <c r="U2246" s="2">
        <f t="shared" si="141"/>
        <v>119.83415818279521</v>
      </c>
    </row>
    <row r="2247" spans="1:21" x14ac:dyDescent="0.25">
      <c r="A2247">
        <v>3976453</v>
      </c>
      <c r="B2247">
        <v>41</v>
      </c>
      <c r="C2247" s="1">
        <f>4.94445277576143*(10.3/7.3)</f>
        <v>6.9764196699099683</v>
      </c>
      <c r="D2247" s="1">
        <f>5.57595449909287*(10.3/7.3)</f>
        <v>7.8674426494050085</v>
      </c>
      <c r="E2247" s="1">
        <f>19.8301908495785*(10.3/7.3)</f>
        <v>27.979584349405211</v>
      </c>
      <c r="F2247" s="1">
        <f>38.779181474143*(38.9/42.5)</f>
        <v>35.494356690450843</v>
      </c>
      <c r="G2247" s="1">
        <v>1.3496133413299605</v>
      </c>
      <c r="H2247" s="1">
        <v>4.3292883555809247</v>
      </c>
      <c r="I2247" s="1">
        <v>29.839216972068261</v>
      </c>
      <c r="J2247" s="1">
        <v>3.6659624577973657E-2</v>
      </c>
      <c r="K2247" s="1">
        <v>2.4064193849772857</v>
      </c>
      <c r="L2247" s="1">
        <v>5.3496475551156442</v>
      </c>
      <c r="M2247" s="1">
        <v>0.12579803415346502</v>
      </c>
      <c r="N2247" s="1">
        <v>1.5701514400907362</v>
      </c>
      <c r="O2247" s="1">
        <v>0.10813268292682927</v>
      </c>
      <c r="P2247" s="1">
        <v>8.8064770741828349E-2</v>
      </c>
      <c r="Q2247" s="1">
        <v>2.156916298929163</v>
      </c>
      <c r="R2247" s="2">
        <f t="shared" si="139"/>
        <v>115.99283832707933</v>
      </c>
      <c r="S2247" s="2">
        <f t="shared" si="138"/>
        <v>2.5311437802970875</v>
      </c>
      <c r="T2247" s="2">
        <f t="shared" si="140"/>
        <v>7.1537297122866743</v>
      </c>
      <c r="U2247" s="2">
        <f t="shared" si="141"/>
        <v>125.67771181966309</v>
      </c>
    </row>
    <row r="2248" spans="1:21" x14ac:dyDescent="0.25">
      <c r="A2248">
        <v>3976461</v>
      </c>
      <c r="B2248">
        <v>9</v>
      </c>
      <c r="C2248" s="1">
        <f>4.91934635997469*(10.3/7.3)</f>
        <v>6.9409955490053896</v>
      </c>
      <c r="D2248" s="1">
        <f>5.59728686047217*(10.3/7.3)</f>
        <v>7.8975417346388186</v>
      </c>
      <c r="E2248" s="1">
        <f>19.866075058028*(10.3/7.3)</f>
        <v>28.030215492833989</v>
      </c>
      <c r="F2248" s="1">
        <f>40.4225331694953*(38.9/42.5)</f>
        <v>36.998506830432127</v>
      </c>
      <c r="G2248" s="1">
        <v>1.4873463160537932</v>
      </c>
      <c r="H2248" s="1">
        <v>6.2449141116468398</v>
      </c>
      <c r="I2248" s="1">
        <v>31.205854498747797</v>
      </c>
      <c r="J2248" s="1">
        <v>3.7950271470392823E-2</v>
      </c>
      <c r="K2248" s="1">
        <v>2.4872122010824458</v>
      </c>
      <c r="L2248" s="1">
        <v>5.3728930674138757</v>
      </c>
      <c r="M2248" s="1">
        <v>0.12764579370314466</v>
      </c>
      <c r="N2248" s="1">
        <v>1.7742630410793396</v>
      </c>
      <c r="O2248" s="1">
        <v>0.1101688888888889</v>
      </c>
      <c r="P2248" s="1">
        <v>8.9773412991623766E-2</v>
      </c>
      <c r="Q2248" s="1">
        <v>2.3770374914101744</v>
      </c>
      <c r="R2248" s="2">
        <f t="shared" si="139"/>
        <v>121.18241202476892</v>
      </c>
      <c r="S2248" s="2">
        <f t="shared" si="138"/>
        <v>2.6149358855444622</v>
      </c>
      <c r="T2248" s="2">
        <f t="shared" si="140"/>
        <v>7.384970791085248</v>
      </c>
      <c r="U2248" s="2">
        <f t="shared" si="141"/>
        <v>131.18231870139863</v>
      </c>
    </row>
    <row r="2249" spans="1:21" x14ac:dyDescent="0.25">
      <c r="A2249">
        <v>3976469</v>
      </c>
      <c r="B2249">
        <v>10</v>
      </c>
      <c r="C2249" s="1">
        <f>5.46695333962859*(10.3/7.3)</f>
        <v>7.7136464929006126</v>
      </c>
      <c r="D2249" s="1">
        <f>6.11977253239614*(10.3/7.3)</f>
        <v>8.6347475457096206</v>
      </c>
      <c r="E2249" s="1">
        <f>21.7457585851281*(10.3/7.3)</f>
        <v>30.68237170230401</v>
      </c>
      <c r="F2249" s="1">
        <f>43.8610409780284*(38.9/42.5)</f>
        <v>40.14575280106601</v>
      </c>
      <c r="G2249" s="1">
        <v>1.5892526667241027</v>
      </c>
      <c r="H2249" s="1">
        <v>6.7527705921463532</v>
      </c>
      <c r="I2249" s="1">
        <v>34.011160842189291</v>
      </c>
      <c r="J2249" s="1">
        <v>3.8967886024790621E-2</v>
      </c>
      <c r="K2249" s="1">
        <v>2.5401562048953221</v>
      </c>
      <c r="L2249" s="1">
        <v>5.2010448065501391</v>
      </c>
      <c r="M2249" s="1">
        <v>0.12724922791273668</v>
      </c>
      <c r="N2249" s="1">
        <v>1.6937604263969779</v>
      </c>
      <c r="O2249" s="1">
        <v>0.11122133333333332</v>
      </c>
      <c r="P2249" s="1">
        <v>9.0009920367245061E-2</v>
      </c>
      <c r="Q2249" s="1">
        <v>2.5399015221618106</v>
      </c>
      <c r="R2249" s="2">
        <f t="shared" si="139"/>
        <v>132.06960416520181</v>
      </c>
      <c r="S2249" s="2">
        <f t="shared" ref="S2249:S2312" si="142">J2249+K2249+P2249</f>
        <v>2.6691340112873574</v>
      </c>
      <c r="T2249" s="2">
        <f t="shared" si="140"/>
        <v>7.133275794193187</v>
      </c>
      <c r="U2249" s="2">
        <f t="shared" si="141"/>
        <v>141.87201397068236</v>
      </c>
    </row>
    <row r="2250" spans="1:21" x14ac:dyDescent="0.25">
      <c r="A2250">
        <v>3976717</v>
      </c>
      <c r="B2250">
        <v>46</v>
      </c>
      <c r="C2250" s="1">
        <f>4.04571829533522*(10.3/7.3)</f>
        <v>5.7083422523222982</v>
      </c>
      <c r="D2250" s="1">
        <f>4.43376650826228*(10.3/7.3)</f>
        <v>6.2558623335755419</v>
      </c>
      <c r="E2250" s="1">
        <f>15.7458135792508*(10.3/7.3)</f>
        <v>22.216695872093592</v>
      </c>
      <c r="F2250" s="1">
        <f>33.0660087516086*(38.9/42.5)</f>
        <v>30.265123304413549</v>
      </c>
      <c r="G2250" s="1">
        <v>1.2543594982440127</v>
      </c>
      <c r="H2250" s="1">
        <v>3.898613634150931</v>
      </c>
      <c r="I2250" s="1">
        <v>25.991088189367819</v>
      </c>
      <c r="J2250" s="1">
        <v>2.3293159268810183E-2</v>
      </c>
      <c r="K2250" s="1">
        <v>1.9243879133554034</v>
      </c>
      <c r="L2250" s="1">
        <v>2.0998858173846751</v>
      </c>
      <c r="M2250" s="1">
        <v>9.6278573409136342E-2</v>
      </c>
      <c r="N2250" s="1">
        <v>0.99611133740149183</v>
      </c>
      <c r="O2250" s="1">
        <v>8.7660289855072446E-2</v>
      </c>
      <c r="P2250" s="1">
        <v>6.8941072859844701E-2</v>
      </c>
      <c r="Q2250" s="1">
        <v>2.0046841296137208</v>
      </c>
      <c r="R2250" s="2">
        <f t="shared" ref="R2250:R2313" si="143">C2250+D2250+E2250+F2250+G2250+H2250+I2250+Q2250</f>
        <v>97.594769213781461</v>
      </c>
      <c r="S2250" s="2">
        <f t="shared" si="142"/>
        <v>2.016622145484058</v>
      </c>
      <c r="T2250" s="2">
        <f t="shared" ref="T2250:T2313" si="144">L2250+M2250+N2250+O2250</f>
        <v>3.279936018050376</v>
      </c>
      <c r="U2250" s="2">
        <f t="shared" ref="U2250:U2313" si="145">R2250+S2250+T2250</f>
        <v>102.8913273773159</v>
      </c>
    </row>
    <row r="2251" spans="1:21" x14ac:dyDescent="0.25">
      <c r="A2251">
        <v>3987953</v>
      </c>
      <c r="B2251">
        <v>44</v>
      </c>
      <c r="C2251" s="1">
        <f>0.373380464667254*(10.3/7.3)</f>
        <v>0.52682449124283792</v>
      </c>
      <c r="D2251" s="1">
        <f>0.464494437985471*(10.3/7.3)</f>
        <v>0.65538256318497967</v>
      </c>
      <c r="E2251" s="1">
        <f>1.63258532276529*(10.3/7.3)</f>
        <v>2.3035107978743157</v>
      </c>
      <c r="F2251" s="1">
        <f>3.77995773706778*(38.9/42.5)</f>
        <v>3.4597730816926306</v>
      </c>
      <c r="G2251" s="1">
        <v>0.16321633275770106</v>
      </c>
      <c r="H2251" s="1">
        <v>0.88824921924388101</v>
      </c>
      <c r="I2251" s="1">
        <v>2.8969617822106466</v>
      </c>
      <c r="J2251" s="1">
        <v>1.8651773606445567E-2</v>
      </c>
      <c r="K2251" s="1">
        <v>2.4733869009425762</v>
      </c>
      <c r="L2251" s="1">
        <v>2.0607381522526613</v>
      </c>
      <c r="M2251" s="1">
        <v>0.12036670462331517</v>
      </c>
      <c r="N2251" s="1">
        <v>0.76303353547177122</v>
      </c>
      <c r="O2251" s="1">
        <v>0.57144363636363649</v>
      </c>
      <c r="P2251" s="1">
        <v>0.24222400304922387</v>
      </c>
      <c r="Q2251" s="1">
        <v>0.26084802038902033</v>
      </c>
      <c r="R2251" s="2">
        <f t="shared" si="143"/>
        <v>11.154766288596011</v>
      </c>
      <c r="S2251" s="2">
        <f t="shared" si="142"/>
        <v>2.7342626775982457</v>
      </c>
      <c r="T2251" s="2">
        <f t="shared" si="144"/>
        <v>3.5155820287113841</v>
      </c>
      <c r="U2251" s="2">
        <f t="shared" si="145"/>
        <v>17.404610994905642</v>
      </c>
    </row>
    <row r="2252" spans="1:21" x14ac:dyDescent="0.25">
      <c r="A2252">
        <v>3987961</v>
      </c>
      <c r="B2252">
        <v>55</v>
      </c>
      <c r="C2252" s="1">
        <f>1.10872128165149*(10.3/7.3)</f>
        <v>1.5643601645219589</v>
      </c>
      <c r="D2252" s="1">
        <f>1.40356719281085*(10.3/7.3)</f>
        <v>1.9803756282125646</v>
      </c>
      <c r="E2252" s="1">
        <f>4.91199383764774*(10.3/7.3)</f>
        <v>6.9306214421605157</v>
      </c>
      <c r="F2252" s="1">
        <f>12.2532701847265*(38.9/42.5)</f>
        <v>11.215346122020225</v>
      </c>
      <c r="G2252" s="1">
        <v>0.56645486255780864</v>
      </c>
      <c r="H2252" s="1">
        <v>2.5345891825384084</v>
      </c>
      <c r="I2252" s="1">
        <v>9.461158188406106</v>
      </c>
      <c r="J2252" s="1">
        <v>3.9669789075393765E-2</v>
      </c>
      <c r="K2252" s="1">
        <v>5.122092260960688</v>
      </c>
      <c r="L2252" s="1">
        <v>4.3820131624013401</v>
      </c>
      <c r="M2252" s="1">
        <v>0.2372099897321446</v>
      </c>
      <c r="N2252" s="1">
        <v>1.4047326150439658</v>
      </c>
      <c r="O2252" s="1">
        <v>1.7922618181818182</v>
      </c>
      <c r="P2252" s="1">
        <v>0.54400697315747504</v>
      </c>
      <c r="Q2252" s="1">
        <v>0.90529315933896415</v>
      </c>
      <c r="R2252" s="2">
        <f t="shared" si="143"/>
        <v>35.158198749756551</v>
      </c>
      <c r="S2252" s="2">
        <f t="shared" si="142"/>
        <v>5.7057690231935565</v>
      </c>
      <c r="T2252" s="2">
        <f t="shared" si="144"/>
        <v>7.8162175853592686</v>
      </c>
      <c r="U2252" s="2">
        <f t="shared" si="145"/>
        <v>48.680185358309373</v>
      </c>
    </row>
    <row r="2253" spans="1:21" x14ac:dyDescent="0.25">
      <c r="A2253">
        <v>3987969</v>
      </c>
      <c r="B2253">
        <v>16</v>
      </c>
      <c r="C2253" s="1">
        <f>1.35192685834315*(10.3/7.3)</f>
        <v>1.9075132384841691</v>
      </c>
      <c r="D2253" s="1">
        <f>1.72346056003006*(10.3/7.3)</f>
        <v>2.4317320230561128</v>
      </c>
      <c r="E2253" s="1">
        <f>6.02031569026358*(10.3/7.3)</f>
        <v>8.4944180287280702</v>
      </c>
      <c r="F2253" s="1">
        <f>15.4930348709977*(38.9/42.5)</f>
        <v>14.180683681924972</v>
      </c>
      <c r="G2253" s="1">
        <v>0.73486305120128159</v>
      </c>
      <c r="H2253" s="1">
        <v>3.116329056566272</v>
      </c>
      <c r="I2253" s="1">
        <v>12.000128507582424</v>
      </c>
      <c r="J2253" s="1">
        <v>6.0076869996106626E-2</v>
      </c>
      <c r="K2253" s="1">
        <v>5.9902566765663776</v>
      </c>
      <c r="L2253" s="1">
        <v>5.2483091112393208</v>
      </c>
      <c r="M2253" s="1">
        <v>0.27161349651223288</v>
      </c>
      <c r="N2253" s="1">
        <v>1.6560934515230126</v>
      </c>
      <c r="O2253" s="1">
        <v>2.2801333333333336</v>
      </c>
      <c r="P2253" s="1">
        <v>0.6793243497403928</v>
      </c>
      <c r="Q2253" s="1">
        <v>1.174438666303419</v>
      </c>
      <c r="R2253" s="2">
        <f t="shared" si="143"/>
        <v>44.040106253846716</v>
      </c>
      <c r="S2253" s="2">
        <f t="shared" si="142"/>
        <v>6.7296578963028768</v>
      </c>
      <c r="T2253" s="2">
        <f t="shared" si="144"/>
        <v>9.4561493926078999</v>
      </c>
      <c r="U2253" s="2">
        <f t="shared" si="145"/>
        <v>60.225913542757489</v>
      </c>
    </row>
    <row r="2254" spans="1:21" x14ac:dyDescent="0.25">
      <c r="A2254">
        <v>3988353</v>
      </c>
      <c r="B2254">
        <v>24</v>
      </c>
      <c r="C2254" s="1">
        <f>3.26202649288071*(10.3/7.3)</f>
        <v>4.602585325571412</v>
      </c>
      <c r="D2254" s="1">
        <f>5.14097202650077*(10.3/7.3)</f>
        <v>7.2537002565695738</v>
      </c>
      <c r="E2254" s="1">
        <f>17.6943135380357*(10.3/7.3)</f>
        <v>24.96594923859838</v>
      </c>
      <c r="F2254" s="1">
        <f>51.251045049302*(38.9/42.5)</f>
        <v>46.909780056890561</v>
      </c>
      <c r="G2254" s="1">
        <v>2.6960536310498173</v>
      </c>
      <c r="H2254" s="1">
        <v>13.779110746866477</v>
      </c>
      <c r="I2254" s="1">
        <v>38.645467253682348</v>
      </c>
      <c r="J2254" s="1">
        <v>4.544754104231355E-2</v>
      </c>
      <c r="K2254" s="1">
        <v>4.2683867314957542</v>
      </c>
      <c r="L2254" s="1">
        <v>5.8896817156362147</v>
      </c>
      <c r="M2254" s="1">
        <v>0.24880022859038328</v>
      </c>
      <c r="N2254" s="1">
        <v>2.4241270060473368</v>
      </c>
      <c r="O2254" s="1">
        <v>0.24364</v>
      </c>
      <c r="P2254" s="1">
        <v>0.19018717365604695</v>
      </c>
      <c r="Q2254" s="1">
        <v>4.3087615108102133</v>
      </c>
      <c r="R2254" s="2">
        <f t="shared" si="143"/>
        <v>143.16140802003878</v>
      </c>
      <c r="S2254" s="2">
        <f t="shared" si="142"/>
        <v>4.5040214461941144</v>
      </c>
      <c r="T2254" s="2">
        <f t="shared" si="144"/>
        <v>8.8062489502739343</v>
      </c>
      <c r="U2254" s="2">
        <f t="shared" si="145"/>
        <v>156.47167841650682</v>
      </c>
    </row>
    <row r="2255" spans="1:21" x14ac:dyDescent="0.25">
      <c r="A2255">
        <v>3988657</v>
      </c>
      <c r="B2255">
        <v>25</v>
      </c>
      <c r="C2255" s="1">
        <f>6.42269435913702*(10.3/7.3)</f>
        <v>9.0621577943988125</v>
      </c>
      <c r="D2255" s="1">
        <f>6.73143534995394*(10.3/7.3)</f>
        <v>9.4977786444555559</v>
      </c>
      <c r="E2255" s="1">
        <f>24.0600594357315*(10.3/7.3)</f>
        <v>33.947755094251285</v>
      </c>
      <c r="F2255" s="1">
        <f>45.537087890498*(38.9/42.5)</f>
        <v>41.679828680949917</v>
      </c>
      <c r="G2255" s="1">
        <v>1.4775800920868867</v>
      </c>
      <c r="H2255" s="1">
        <v>7.0610675055160952</v>
      </c>
      <c r="I2255" s="1">
        <v>35.867207960230282</v>
      </c>
      <c r="J2255" s="1">
        <v>4.8026277405700382E-2</v>
      </c>
      <c r="K2255" s="1">
        <v>2.5307596831889767</v>
      </c>
      <c r="L2255" s="1">
        <v>5.2602776149420727</v>
      </c>
      <c r="M2255" s="1">
        <v>0.13664039128305974</v>
      </c>
      <c r="N2255" s="1">
        <v>2.1317394573352098</v>
      </c>
      <c r="O2255" s="1">
        <v>0.11948799999999997</v>
      </c>
      <c r="P2255" s="1">
        <v>9.4922933482468302E-2</v>
      </c>
      <c r="Q2255" s="1">
        <v>2.3614293709151188</v>
      </c>
      <c r="R2255" s="2">
        <f t="shared" si="143"/>
        <v>140.95480514280396</v>
      </c>
      <c r="S2255" s="2">
        <f t="shared" si="142"/>
        <v>2.6737088940771452</v>
      </c>
      <c r="T2255" s="2">
        <f t="shared" si="144"/>
        <v>7.6481454635603425</v>
      </c>
      <c r="U2255" s="2">
        <f t="shared" si="145"/>
        <v>151.27665950044147</v>
      </c>
    </row>
    <row r="2256" spans="1:21" x14ac:dyDescent="0.25">
      <c r="A2256">
        <v>3988665</v>
      </c>
      <c r="B2256">
        <v>33</v>
      </c>
      <c r="C2256" s="1">
        <f>5.08461734403351*(10.3/7.3)</f>
        <v>7.1741861155541349</v>
      </c>
      <c r="D2256" s="1">
        <f>5.58177706183536*(10.3/7.3)</f>
        <v>7.8756580461512629</v>
      </c>
      <c r="E2256" s="1">
        <f>19.9011221615114*(10.3/7.3)</f>
        <v>28.079665515557206</v>
      </c>
      <c r="F2256" s="1">
        <f>37.74374905222*(38.9/42.5)</f>
        <v>34.546631485443747</v>
      </c>
      <c r="G2256" s="1">
        <v>1.2460844289274309</v>
      </c>
      <c r="H2256" s="1">
        <v>7.6562731155591166</v>
      </c>
      <c r="I2256" s="1">
        <v>29.196325236475797</v>
      </c>
      <c r="J2256" s="1">
        <v>3.9388246077005709E-2</v>
      </c>
      <c r="K2256" s="1">
        <v>2.7639029663836565</v>
      </c>
      <c r="L2256" s="1">
        <v>5.6321937101965744</v>
      </c>
      <c r="M2256" s="1">
        <v>0.12903020113254782</v>
      </c>
      <c r="N2256" s="1">
        <v>1.7074317674803181</v>
      </c>
      <c r="O2256" s="1">
        <v>0.11154424242424245</v>
      </c>
      <c r="P2256" s="1">
        <v>9.0281672092266355E-2</v>
      </c>
      <c r="Q2256" s="1">
        <v>1.9914591329890463</v>
      </c>
      <c r="R2256" s="2">
        <f t="shared" si="143"/>
        <v>117.76628307665776</v>
      </c>
      <c r="S2256" s="2">
        <f t="shared" si="142"/>
        <v>2.8935728845529285</v>
      </c>
      <c r="T2256" s="2">
        <f t="shared" si="144"/>
        <v>7.5801999212336835</v>
      </c>
      <c r="U2256" s="2">
        <f t="shared" si="145"/>
        <v>128.24005588244435</v>
      </c>
    </row>
    <row r="2257" spans="1:21" x14ac:dyDescent="0.25">
      <c r="A2257">
        <v>3988673</v>
      </c>
      <c r="B2257">
        <v>15</v>
      </c>
      <c r="C2257" s="1">
        <f>5.64299831821782*(10.3/7.3)</f>
        <v>7.9620387229648726</v>
      </c>
      <c r="D2257" s="1">
        <f>6.23260148971586*(10.3/7.3)</f>
        <v>8.7939445676812813</v>
      </c>
      <c r="E2257" s="1">
        <f>22.2150169241666*(10.3/7.3)</f>
        <v>31.344475934098057</v>
      </c>
      <c r="F2257" s="1">
        <f>42.1145572213357*(38.9/42.5)</f>
        <v>38.547206491998999</v>
      </c>
      <c r="G2257" s="1">
        <v>1.391973035126971</v>
      </c>
      <c r="H2257" s="1">
        <v>5.5382370629382498</v>
      </c>
      <c r="I2257" s="1">
        <v>32.497586539501519</v>
      </c>
      <c r="J2257" s="1">
        <v>4.0625564292610591E-2</v>
      </c>
      <c r="K2257" s="1">
        <v>3.4493869844283296</v>
      </c>
      <c r="L2257" s="1">
        <v>5.9726046200255816</v>
      </c>
      <c r="M2257" s="1">
        <v>0.13590248134482147</v>
      </c>
      <c r="N2257" s="1">
        <v>1.7624117376491197</v>
      </c>
      <c r="O2257" s="1">
        <v>0.11791644444444443</v>
      </c>
      <c r="P2257" s="1">
        <v>9.4452123036420671E-2</v>
      </c>
      <c r="Q2257" s="1">
        <v>2.2246144397006407</v>
      </c>
      <c r="R2257" s="2">
        <f t="shared" si="143"/>
        <v>128.30007679401058</v>
      </c>
      <c r="S2257" s="2">
        <f t="shared" si="142"/>
        <v>3.5844646717573609</v>
      </c>
      <c r="T2257" s="2">
        <f t="shared" si="144"/>
        <v>7.9888352834639669</v>
      </c>
      <c r="U2257" s="2">
        <f t="shared" si="145"/>
        <v>139.87337674923191</v>
      </c>
    </row>
    <row r="2258" spans="1:21" x14ac:dyDescent="0.25">
      <c r="A2258">
        <v>3988681</v>
      </c>
      <c r="B2258">
        <v>40</v>
      </c>
      <c r="C2258" s="1">
        <f>4.88943021982227*(10.3/7.3)</f>
        <v>6.8987851046807442</v>
      </c>
      <c r="D2258" s="1">
        <f>5.49452782923403*(10.3/7.3)</f>
        <v>7.7525529645356936</v>
      </c>
      <c r="E2258" s="1">
        <f>19.5586803262876*(10.3/7.3)</f>
        <v>27.596494159008543</v>
      </c>
      <c r="F2258" s="1">
        <f>37.5097352252368*(38.9/42.5)</f>
        <v>34.332440006157888</v>
      </c>
      <c r="G2258" s="1">
        <v>1.2678774945660305</v>
      </c>
      <c r="H2258" s="1">
        <v>4.5214977145493709</v>
      </c>
      <c r="I2258" s="1">
        <v>28.806631823739782</v>
      </c>
      <c r="J2258" s="1">
        <v>3.5828339564824743E-2</v>
      </c>
      <c r="K2258" s="1">
        <v>2.3775989432073303</v>
      </c>
      <c r="L2258" s="1">
        <v>4.9820668167155944</v>
      </c>
      <c r="M2258" s="1">
        <v>0.1234349840894263</v>
      </c>
      <c r="N2258" s="1">
        <v>1.5185237733850006</v>
      </c>
      <c r="O2258" s="1">
        <v>0.10620533333333335</v>
      </c>
      <c r="P2258" s="1">
        <v>8.634251851002242E-2</v>
      </c>
      <c r="Q2258" s="1">
        <v>2.0262882333247072</v>
      </c>
      <c r="R2258" s="2">
        <f t="shared" si="143"/>
        <v>113.20256750056276</v>
      </c>
      <c r="S2258" s="2">
        <f t="shared" si="142"/>
        <v>2.4997698012821776</v>
      </c>
      <c r="T2258" s="2">
        <f t="shared" si="144"/>
        <v>6.7302309075233548</v>
      </c>
      <c r="U2258" s="2">
        <f t="shared" si="145"/>
        <v>122.4325682093683</v>
      </c>
    </row>
    <row r="2259" spans="1:21" x14ac:dyDescent="0.25">
      <c r="A2259">
        <v>3988953</v>
      </c>
      <c r="B2259">
        <v>1</v>
      </c>
      <c r="C2259" s="1">
        <f>3.46673188606493*(10.3/7.3)</f>
        <v>4.8914162228039437</v>
      </c>
      <c r="D2259" s="1">
        <f>3.80624128760225*(10.3/7.3)</f>
        <v>5.3704500359319436</v>
      </c>
      <c r="E2259" s="1">
        <f>13.5242147363598*(10.3/7.3)</f>
        <v>19.082111203356948</v>
      </c>
      <c r="F2259" s="1">
        <f>27.9846288545665*(38.9/42.5)</f>
        <v>25.61416617512085</v>
      </c>
      <c r="G2259" s="1">
        <v>1.0429068269348016</v>
      </c>
      <c r="H2259" s="1">
        <v>2.8837753337102146</v>
      </c>
      <c r="I2259" s="1">
        <v>21.936108470893977</v>
      </c>
      <c r="J2259" s="1">
        <v>2.1513043049097135E-2</v>
      </c>
      <c r="K2259" s="1">
        <v>1.8037484238489805</v>
      </c>
      <c r="L2259" s="1">
        <v>1.9128113624057119</v>
      </c>
      <c r="M2259" s="1">
        <v>9.025855244250347E-2</v>
      </c>
      <c r="N2259" s="1">
        <v>0.93734813629576375</v>
      </c>
      <c r="O2259" s="1">
        <v>8.1333333333333327E-2</v>
      </c>
      <c r="P2259" s="1">
        <v>6.5578862565655899E-2</v>
      </c>
      <c r="Q2259" s="1">
        <v>1.6667460704437485</v>
      </c>
      <c r="R2259" s="2">
        <f t="shared" si="143"/>
        <v>82.48768033919643</v>
      </c>
      <c r="S2259" s="2">
        <f t="shared" si="142"/>
        <v>1.8908403294637335</v>
      </c>
      <c r="T2259" s="2">
        <f t="shared" si="144"/>
        <v>3.0217513844773123</v>
      </c>
      <c r="U2259" s="2">
        <f t="shared" si="145"/>
        <v>87.400272053137471</v>
      </c>
    </row>
    <row r="2260" spans="1:21" x14ac:dyDescent="0.25">
      <c r="A2260">
        <v>4000165</v>
      </c>
      <c r="B2260">
        <v>8</v>
      </c>
      <c r="C2260" s="1">
        <f>0.394622543493171*(10.3/7.3)</f>
        <v>0.55679619150406279</v>
      </c>
      <c r="D2260" s="1">
        <f>0.49712733344348*(10.3/7.3)</f>
        <v>0.70142623759833456</v>
      </c>
      <c r="E2260" s="1">
        <f>1.74609430707474*(10.3/7.3)</f>
        <v>2.4636673099821658</v>
      </c>
      <c r="F2260" s="1">
        <f>4.05287759206526*(38.9/42.5)</f>
        <v>3.7095750195609112</v>
      </c>
      <c r="G2260" s="1">
        <v>0.17577593716316239</v>
      </c>
      <c r="H2260" s="1">
        <v>0.91220179273230051</v>
      </c>
      <c r="I2260" s="1">
        <v>3.0961507949229232</v>
      </c>
      <c r="J2260" s="1">
        <v>1.7235893661821017E-2</v>
      </c>
      <c r="K2260" s="1">
        <v>2.2123308150027556</v>
      </c>
      <c r="L2260" s="1">
        <v>1.9400762420057163</v>
      </c>
      <c r="M2260" s="1">
        <v>0.1207644103196113</v>
      </c>
      <c r="N2260" s="1">
        <v>0.70670022453752546</v>
      </c>
      <c r="O2260" s="1">
        <v>0.42446666666666666</v>
      </c>
      <c r="P2260" s="1">
        <v>0.19247509018391046</v>
      </c>
      <c r="Q2260" s="1">
        <v>0.28092044752103612</v>
      </c>
      <c r="R2260" s="2">
        <f t="shared" si="143"/>
        <v>11.896513730984896</v>
      </c>
      <c r="S2260" s="2">
        <f t="shared" si="142"/>
        <v>2.422041798848487</v>
      </c>
      <c r="T2260" s="2">
        <f t="shared" si="144"/>
        <v>3.1920075435295199</v>
      </c>
      <c r="U2260" s="2">
        <f t="shared" si="145"/>
        <v>17.510563073362903</v>
      </c>
    </row>
    <row r="2261" spans="1:21" x14ac:dyDescent="0.25">
      <c r="A2261">
        <v>4000173</v>
      </c>
      <c r="B2261">
        <v>3</v>
      </c>
      <c r="C2261" s="1">
        <f>0.279507913592697*(10.3/7.3)</f>
        <v>0.39437417945270919</v>
      </c>
      <c r="D2261" s="1">
        <f>0.34787876081117*(10.3/7.3)</f>
        <v>0.49084263511713055</v>
      </c>
      <c r="E2261" s="1">
        <f>1.22396785151831*(10.3/7.3)</f>
        <v>1.7269683384436438</v>
      </c>
      <c r="F2261" s="1">
        <f>2.7686413158185*(38.9/42.5)</f>
        <v>2.5341211102432837</v>
      </c>
      <c r="G2261" s="1">
        <v>0.11689426176795971</v>
      </c>
      <c r="H2261" s="1">
        <v>0.68502960557713422</v>
      </c>
      <c r="I2261" s="1">
        <v>2.1131110975579781</v>
      </c>
      <c r="J2261" s="1">
        <v>1.6078913437352807E-2</v>
      </c>
      <c r="K2261" s="1">
        <v>2.0052192179157573</v>
      </c>
      <c r="L2261" s="1">
        <v>1.7970322368475469</v>
      </c>
      <c r="M2261" s="1">
        <v>0.11145361936369169</v>
      </c>
      <c r="N2261" s="1">
        <v>0.68091277904002823</v>
      </c>
      <c r="O2261" s="1">
        <v>0.40003555555555553</v>
      </c>
      <c r="P2261" s="1">
        <v>0.1716961253326483</v>
      </c>
      <c r="Q2261" s="1">
        <v>0.1868173133277897</v>
      </c>
      <c r="R2261" s="2">
        <f t="shared" si="143"/>
        <v>8.2481585414876299</v>
      </c>
      <c r="S2261" s="2">
        <f t="shared" si="142"/>
        <v>2.1929942566857581</v>
      </c>
      <c r="T2261" s="2">
        <f t="shared" si="144"/>
        <v>2.9894341908068225</v>
      </c>
      <c r="U2261" s="2">
        <f t="shared" si="145"/>
        <v>13.43058698898021</v>
      </c>
    </row>
    <row r="2262" spans="1:21" x14ac:dyDescent="0.25">
      <c r="A2262">
        <v>4000181</v>
      </c>
      <c r="B2262">
        <v>1</v>
      </c>
      <c r="C2262" s="1">
        <f>0.241046201452952*(10.3/7.3)</f>
        <v>0.3401062842418367</v>
      </c>
      <c r="D2262" s="1">
        <f>0.296539199340724*(10.3/7.3)</f>
        <v>0.41840462372732329</v>
      </c>
      <c r="E2262" s="1">
        <f>1.04467928157051*(10.3/7.3)</f>
        <v>1.4739995342707233</v>
      </c>
      <c r="F2262" s="1">
        <f>2.32299186408823*(38.9/42.5)</f>
        <v>2.1262207885419317</v>
      </c>
      <c r="G2262" s="1">
        <v>9.6200644138862451E-2</v>
      </c>
      <c r="H2262" s="1">
        <v>0.59690958276098438</v>
      </c>
      <c r="I2262" s="1">
        <v>1.7739483448166431</v>
      </c>
      <c r="J2262" s="1">
        <v>1.5419802453731556E-2</v>
      </c>
      <c r="K2262" s="1">
        <v>1.887531130947488</v>
      </c>
      <c r="L2262" s="1">
        <v>1.6883889996557806</v>
      </c>
      <c r="M2262" s="1">
        <v>0.10457616030299546</v>
      </c>
      <c r="N2262" s="1">
        <v>0.65029924396324612</v>
      </c>
      <c r="O2262" s="1">
        <v>0.40538666666666667</v>
      </c>
      <c r="P2262" s="1">
        <v>0.16040336779579836</v>
      </c>
      <c r="Q2262" s="1">
        <v>0.15374532168311367</v>
      </c>
      <c r="R2262" s="2">
        <f t="shared" si="143"/>
        <v>6.9795351241814201</v>
      </c>
      <c r="S2262" s="2">
        <f t="shared" si="142"/>
        <v>2.0633543011970179</v>
      </c>
      <c r="T2262" s="2">
        <f t="shared" si="144"/>
        <v>2.8486510705886889</v>
      </c>
      <c r="U2262" s="2">
        <f t="shared" si="145"/>
        <v>11.891540495967126</v>
      </c>
    </row>
    <row r="2263" spans="1:21" x14ac:dyDescent="0.25">
      <c r="A2263">
        <v>4000189</v>
      </c>
      <c r="B2263">
        <v>56</v>
      </c>
      <c r="C2263" s="1">
        <f>0.828013104491763*(10.3/7.3)</f>
        <v>1.1682924625020767</v>
      </c>
      <c r="D2263" s="1">
        <f>1.04945739952607*(10.3/7.3)</f>
        <v>1.4807412623449974</v>
      </c>
      <c r="E2263" s="1">
        <f>3.67611565047236*(10.3/7.3)</f>
        <v>5.1868481095705965</v>
      </c>
      <c r="F2263" s="1">
        <f>8.9879990286031*(38.9/42.5)</f>
        <v>8.2266626402978993</v>
      </c>
      <c r="G2263" s="1">
        <v>0.40868834641263935</v>
      </c>
      <c r="H2263" s="1">
        <v>1.8988013420666643</v>
      </c>
      <c r="I2263" s="1">
        <v>6.9150849531015677</v>
      </c>
      <c r="J2263" s="1">
        <v>2.9688332802334964E-2</v>
      </c>
      <c r="K2263" s="1">
        <v>4.1063799415429809</v>
      </c>
      <c r="L2263" s="1">
        <v>3.3746711372792917</v>
      </c>
      <c r="M2263" s="1">
        <v>0.19045117250326604</v>
      </c>
      <c r="N2263" s="1">
        <v>1.1455451028269337</v>
      </c>
      <c r="O2263" s="1">
        <v>1.2863523809523809</v>
      </c>
      <c r="P2263" s="1">
        <v>0.43720929607040121</v>
      </c>
      <c r="Q2263" s="1">
        <v>0.65315489152704997</v>
      </c>
      <c r="R2263" s="2">
        <f t="shared" si="143"/>
        <v>25.938274007823491</v>
      </c>
      <c r="S2263" s="2">
        <f t="shared" si="142"/>
        <v>4.5732775704157174</v>
      </c>
      <c r="T2263" s="2">
        <f t="shared" si="144"/>
        <v>5.9970197935618721</v>
      </c>
      <c r="U2263" s="2">
        <f t="shared" si="145"/>
        <v>36.508571371801082</v>
      </c>
    </row>
    <row r="2264" spans="1:21" x14ac:dyDescent="0.25">
      <c r="A2264">
        <v>4000197</v>
      </c>
      <c r="B2264">
        <v>47</v>
      </c>
      <c r="C2264" s="1">
        <f>1.31465956259945*(10.3/7.3)</f>
        <v>1.8549306157225094</v>
      </c>
      <c r="D2264" s="1">
        <f>1.6692370351192*(10.3/7.3)</f>
        <v>2.3552248577709212</v>
      </c>
      <c r="E2264" s="1">
        <f>5.83587070906222*(10.3/7.3)</f>
        <v>8.234173740183687</v>
      </c>
      <c r="F2264" s="1">
        <f>14.8178723468317*(38.9/42.5)</f>
        <v>13.562711395100036</v>
      </c>
      <c r="G2264" s="1">
        <v>0.69512054846485716</v>
      </c>
      <c r="H2264" s="1">
        <v>2.9069601741234927</v>
      </c>
      <c r="I2264" s="1">
        <v>11.46473739913583</v>
      </c>
      <c r="J2264" s="1">
        <v>4.8589197066700562E-2</v>
      </c>
      <c r="K2264" s="1">
        <v>5.6508928782684871</v>
      </c>
      <c r="L2264" s="1">
        <v>5.0685006216799451</v>
      </c>
      <c r="M2264" s="1">
        <v>0.26646323626519758</v>
      </c>
      <c r="N2264" s="1">
        <v>1.5561399548762123</v>
      </c>
      <c r="O2264" s="1">
        <v>2.215148936170213</v>
      </c>
      <c r="P2264" s="1">
        <v>0.61065237894756685</v>
      </c>
      <c r="Q2264" s="1">
        <v>1.1109232509712346</v>
      </c>
      <c r="R2264" s="2">
        <f t="shared" si="143"/>
        <v>42.184781981472568</v>
      </c>
      <c r="S2264" s="2">
        <f t="shared" si="142"/>
        <v>6.3101344542827542</v>
      </c>
      <c r="T2264" s="2">
        <f t="shared" si="144"/>
        <v>9.106252748991567</v>
      </c>
      <c r="U2264" s="2">
        <f t="shared" si="145"/>
        <v>57.601169184746887</v>
      </c>
    </row>
    <row r="2265" spans="1:21" x14ac:dyDescent="0.25">
      <c r="A2265">
        <v>4000205</v>
      </c>
      <c r="B2265">
        <v>6</v>
      </c>
      <c r="C2265" s="1">
        <f>1.14017667882681*(10.3/7.3)</f>
        <v>1.6087424372487846</v>
      </c>
      <c r="D2265" s="1">
        <f>1.45777811775493*(10.3/7.3)</f>
        <v>2.0568650154624359</v>
      </c>
      <c r="E2265" s="1">
        <f>5.09025709746419*(10.3/7.3)</f>
        <v>7.1821435758741288</v>
      </c>
      <c r="F2265" s="1">
        <f>13.1674409364505*(38.9/42.5)</f>
        <v>12.052081233598191</v>
      </c>
      <c r="G2265" s="1">
        <v>0.62728199031582588</v>
      </c>
      <c r="H2265" s="1">
        <v>2.8257751153890385</v>
      </c>
      <c r="I2265" s="1">
        <v>10.1995207687213</v>
      </c>
      <c r="J2265" s="1">
        <v>5.2238081455115354E-2</v>
      </c>
      <c r="K2265" s="1">
        <v>5.2187548563297135</v>
      </c>
      <c r="L2265" s="1">
        <v>4.3827305306682076</v>
      </c>
      <c r="M2265" s="1">
        <v>0.22732323462997436</v>
      </c>
      <c r="N2265" s="1">
        <v>1.4552367456414224</v>
      </c>
      <c r="O2265" s="1">
        <v>1.8402666666666665</v>
      </c>
      <c r="P2265" s="1">
        <v>0.61592509527903594</v>
      </c>
      <c r="Q2265" s="1">
        <v>1.0025054639750652</v>
      </c>
      <c r="R2265" s="2">
        <f t="shared" si="143"/>
        <v>37.554915600584771</v>
      </c>
      <c r="S2265" s="2">
        <f t="shared" si="142"/>
        <v>5.8869180330638651</v>
      </c>
      <c r="T2265" s="2">
        <f t="shared" si="144"/>
        <v>7.905557177606271</v>
      </c>
      <c r="U2265" s="2">
        <f t="shared" si="145"/>
        <v>51.347390811254904</v>
      </c>
    </row>
    <row r="2266" spans="1:21" x14ac:dyDescent="0.25">
      <c r="A2266">
        <v>4000589</v>
      </c>
      <c r="B2266">
        <v>6</v>
      </c>
      <c r="C2266" s="1">
        <f>2.94550067494778*(10.3/7.3)</f>
        <v>4.1559804043783801</v>
      </c>
      <c r="D2266" s="1">
        <f>5.61916765246575*(10.3/7.3)</f>
        <v>7.928414632931128</v>
      </c>
      <c r="E2266" s="1">
        <f>18.9038625807912*(10.3/7.3)</f>
        <v>26.672573230431407</v>
      </c>
      <c r="F2266" s="1">
        <f>70.9287568710163*(38.9/42.5)</f>
        <v>64.920673936059671</v>
      </c>
      <c r="G2266" s="1">
        <v>4.2857175950479167</v>
      </c>
      <c r="H2266" s="1">
        <v>14.514610619641045</v>
      </c>
      <c r="I2266" s="1">
        <v>54.333912983309148</v>
      </c>
      <c r="J2266" s="1">
        <v>4.0461776627581963E-2</v>
      </c>
      <c r="K2266" s="1">
        <v>3.7513752758908403</v>
      </c>
      <c r="L2266" s="1">
        <v>5.2031519996744588</v>
      </c>
      <c r="M2266" s="1">
        <v>0.22373630547423776</v>
      </c>
      <c r="N2266" s="1">
        <v>2.2374251822391895</v>
      </c>
      <c r="O2266" s="1">
        <v>0.21849777777777779</v>
      </c>
      <c r="P2266" s="1">
        <v>0.17787970336900205</v>
      </c>
      <c r="Q2266" s="1">
        <v>6.8493203573825241</v>
      </c>
      <c r="R2266" s="2">
        <f t="shared" si="143"/>
        <v>183.66120375918121</v>
      </c>
      <c r="S2266" s="2">
        <f t="shared" si="142"/>
        <v>3.9697167558874242</v>
      </c>
      <c r="T2266" s="2">
        <f t="shared" si="144"/>
        <v>7.8828112651656639</v>
      </c>
      <c r="U2266" s="2">
        <f t="shared" si="145"/>
        <v>195.51373178023428</v>
      </c>
    </row>
    <row r="2267" spans="1:21" x14ac:dyDescent="0.25">
      <c r="A2267">
        <v>4000885</v>
      </c>
      <c r="B2267">
        <v>10</v>
      </c>
      <c r="C2267" s="1">
        <f>5.23116459002491*(10.3/7.3)</f>
        <v>7.380958257158432</v>
      </c>
      <c r="D2267" s="1">
        <f>5.55214653334223*(10.3/7.3)</f>
        <v>7.8338505881404119</v>
      </c>
      <c r="E2267" s="1">
        <f>19.8352093395142*(10.3/7.3)</f>
        <v>27.986665232465278</v>
      </c>
      <c r="F2267" s="1">
        <f>37.3638884344102*(38.9/42.5)</f>
        <v>34.198947296436636</v>
      </c>
      <c r="G2267" s="1">
        <v>1.2080337411994784</v>
      </c>
      <c r="H2267" s="1">
        <v>6.421228803634766</v>
      </c>
      <c r="I2267" s="1">
        <v>29.26118066984451</v>
      </c>
      <c r="J2267" s="1">
        <v>4.5905524167842653E-2</v>
      </c>
      <c r="K2267" s="1">
        <v>2.4713043350379218</v>
      </c>
      <c r="L2267" s="1">
        <v>5.1331309143695831</v>
      </c>
      <c r="M2267" s="1">
        <v>0.13416372528944093</v>
      </c>
      <c r="N2267" s="1">
        <v>2.1217269733987916</v>
      </c>
      <c r="O2267" s="1">
        <v>0.118032</v>
      </c>
      <c r="P2267" s="1">
        <v>9.5336866592926534E-2</v>
      </c>
      <c r="Q2267" s="1">
        <v>1.9306475315973419</v>
      </c>
      <c r="R2267" s="2">
        <f t="shared" si="143"/>
        <v>116.22151212047685</v>
      </c>
      <c r="S2267" s="2">
        <f t="shared" si="142"/>
        <v>2.612546725798691</v>
      </c>
      <c r="T2267" s="2">
        <f t="shared" si="144"/>
        <v>7.507053613057816</v>
      </c>
      <c r="U2267" s="2">
        <f t="shared" si="145"/>
        <v>126.34111245933336</v>
      </c>
    </row>
    <row r="2268" spans="1:21" x14ac:dyDescent="0.25">
      <c r="A2268">
        <v>4000893</v>
      </c>
      <c r="B2268">
        <v>44</v>
      </c>
      <c r="C2268" s="1">
        <f>5.47596921779986*(10.3/7.3)</f>
        <v>7.7263675264847347</v>
      </c>
      <c r="D2268" s="1">
        <f>5.94960348946688*(10.3/7.3)</f>
        <v>8.3946460193847727</v>
      </c>
      <c r="E2268" s="1">
        <f>21.2210070629323*(10.3/7.3)</f>
        <v>29.941968869616872</v>
      </c>
      <c r="F2268" s="1">
        <f>40.3880008975349*(38.9/42.5)</f>
        <v>36.966899645037827</v>
      </c>
      <c r="G2268" s="1">
        <v>1.3365048019697576</v>
      </c>
      <c r="H2268" s="1">
        <v>7.6409281999537857</v>
      </c>
      <c r="I2268" s="1">
        <v>31.385878314807027</v>
      </c>
      <c r="J2268" s="1">
        <v>4.3054824160004508E-2</v>
      </c>
      <c r="K2268" s="1">
        <v>2.5369857873757478</v>
      </c>
      <c r="L2268" s="1">
        <v>5.5061581351241369</v>
      </c>
      <c r="M2268" s="1">
        <v>0.13484692453255931</v>
      </c>
      <c r="N2268" s="1">
        <v>1.8428039369565434</v>
      </c>
      <c r="O2268" s="1">
        <v>0.11666060606060608</v>
      </c>
      <c r="P2268" s="1">
        <v>9.3633790022609506E-2</v>
      </c>
      <c r="Q2268" s="1">
        <v>2.1359665784904829</v>
      </c>
      <c r="R2268" s="2">
        <f t="shared" si="143"/>
        <v>125.52915995574527</v>
      </c>
      <c r="S2268" s="2">
        <f t="shared" si="142"/>
        <v>2.6736744015583618</v>
      </c>
      <c r="T2268" s="2">
        <f t="shared" si="144"/>
        <v>7.6004696026738454</v>
      </c>
      <c r="U2268" s="2">
        <f t="shared" si="145"/>
        <v>135.80330395997748</v>
      </c>
    </row>
    <row r="2269" spans="1:21" x14ac:dyDescent="0.25">
      <c r="A2269">
        <v>4000901</v>
      </c>
      <c r="B2269">
        <v>25</v>
      </c>
      <c r="C2269" s="1">
        <f>4.99999602537968*(10.3/7.3)</f>
        <v>7.0547889125220111</v>
      </c>
      <c r="D2269" s="1">
        <f>5.57756102523771*(10.3/7.3)</f>
        <v>7.8697093917737559</v>
      </c>
      <c r="E2269" s="1">
        <f>19.8650220506218*(10.3/7.3)</f>
        <v>28.028729742658168</v>
      </c>
      <c r="F2269" s="1">
        <f>37.9235574467522*(38.9/42.5)</f>
        <v>34.711209051262564</v>
      </c>
      <c r="G2269" s="1">
        <v>1.2705008558745239</v>
      </c>
      <c r="H2269" s="1">
        <v>4.9563985793780967</v>
      </c>
      <c r="I2269" s="1">
        <v>29.184544637282578</v>
      </c>
      <c r="J2269" s="1">
        <v>4.0793142552995681E-2</v>
      </c>
      <c r="K2269" s="1">
        <v>2.9115405776641436</v>
      </c>
      <c r="L2269" s="1">
        <v>5.6281154257984038</v>
      </c>
      <c r="M2269" s="1">
        <v>0.13055683159512321</v>
      </c>
      <c r="N2269" s="1">
        <v>1.7080170174679976</v>
      </c>
      <c r="O2269" s="1">
        <v>0.11368106666666666</v>
      </c>
      <c r="P2269" s="1">
        <v>9.1764659620275871E-2</v>
      </c>
      <c r="Q2269" s="1">
        <v>2.0304808198907933</v>
      </c>
      <c r="R2269" s="2">
        <f t="shared" si="143"/>
        <v>115.1063619906425</v>
      </c>
      <c r="S2269" s="2">
        <f t="shared" si="142"/>
        <v>3.0440983798374148</v>
      </c>
      <c r="T2269" s="2">
        <f t="shared" si="144"/>
        <v>7.5803703415281909</v>
      </c>
      <c r="U2269" s="2">
        <f t="shared" si="145"/>
        <v>125.73083071200811</v>
      </c>
    </row>
    <row r="2270" spans="1:21" x14ac:dyDescent="0.25">
      <c r="A2270">
        <v>4000909</v>
      </c>
      <c r="B2270">
        <v>6</v>
      </c>
      <c r="C2270" s="1">
        <f>4.75494035307198*(10.3/7.3)</f>
        <v>6.7090254296768999</v>
      </c>
      <c r="D2270" s="1">
        <f>5.34885266820317*(10.3/7.3)</f>
        <v>7.5470112989715945</v>
      </c>
      <c r="E2270" s="1">
        <f>19.0406440032769*(10.3/7.3)</f>
        <v>26.865566196404345</v>
      </c>
      <c r="F2270" s="1">
        <f>36.4412331352094*(38.9/42.5)</f>
        <v>33.354446328462288</v>
      </c>
      <c r="G2270" s="1">
        <v>1.2283482500368914</v>
      </c>
      <c r="H2270" s="1">
        <v>5.291680150306532</v>
      </c>
      <c r="I2270" s="1">
        <v>27.965395244222908</v>
      </c>
      <c r="J2270" s="1">
        <v>3.673624372874424E-2</v>
      </c>
      <c r="K2270" s="1">
        <v>2.5243724469941697</v>
      </c>
      <c r="L2270" s="1">
        <v>5.0827158300770918</v>
      </c>
      <c r="M2270" s="1">
        <v>0.12565709340094761</v>
      </c>
      <c r="N2270" s="1">
        <v>1.5757490154415619</v>
      </c>
      <c r="O2270" s="1">
        <v>0.10828444444444445</v>
      </c>
      <c r="P2270" s="1">
        <v>8.8115277730818953E-2</v>
      </c>
      <c r="Q2270" s="1">
        <v>1.9631136416114725</v>
      </c>
      <c r="R2270" s="2">
        <f t="shared" si="143"/>
        <v>110.92458653969292</v>
      </c>
      <c r="S2270" s="2">
        <f t="shared" si="142"/>
        <v>2.6492239684537329</v>
      </c>
      <c r="T2270" s="2">
        <f t="shared" si="144"/>
        <v>6.8924063833640457</v>
      </c>
      <c r="U2270" s="2">
        <f t="shared" si="145"/>
        <v>120.46621689151071</v>
      </c>
    </row>
    <row r="2271" spans="1:21" x14ac:dyDescent="0.25">
      <c r="A2271">
        <v>4012401</v>
      </c>
      <c r="B2271">
        <v>15</v>
      </c>
      <c r="C2271" s="1">
        <f>0.349628513812674*(10.3/7.3)</f>
        <v>0.49331146469459519</v>
      </c>
      <c r="D2271" s="1">
        <f>0.439942754205424*(10.3/7.3)</f>
        <v>0.62074114634463873</v>
      </c>
      <c r="E2271" s="1">
        <f>1.54569281270819*(10.3/7.3)</f>
        <v>2.1809090371088189</v>
      </c>
      <c r="F2271" s="1">
        <f>3.56879403858017*(38.9/42.5)</f>
        <v>3.2664961906063188</v>
      </c>
      <c r="G2271" s="1">
        <v>0.15398254638837774</v>
      </c>
      <c r="H2271" s="1">
        <v>0.83356838863673322</v>
      </c>
      <c r="I2271" s="1">
        <v>2.7247404266817261</v>
      </c>
      <c r="J2271" s="1">
        <v>1.7143108939663174E-2</v>
      </c>
      <c r="K2271" s="1">
        <v>2.2053880791942722</v>
      </c>
      <c r="L2271" s="1">
        <v>1.920862237815256</v>
      </c>
      <c r="M2271" s="1">
        <v>0.1189309999238867</v>
      </c>
      <c r="N2271" s="1">
        <v>0.71670154778110906</v>
      </c>
      <c r="O2271" s="1">
        <v>0.43431822222222216</v>
      </c>
      <c r="P2271" s="1">
        <v>0.19626793460083561</v>
      </c>
      <c r="Q2271" s="1">
        <v>0.24609082756133452</v>
      </c>
      <c r="R2271" s="2">
        <f t="shared" si="143"/>
        <v>10.519840028022543</v>
      </c>
      <c r="S2271" s="2">
        <f t="shared" si="142"/>
        <v>2.4187991227347707</v>
      </c>
      <c r="T2271" s="2">
        <f t="shared" si="144"/>
        <v>3.1908130077424737</v>
      </c>
      <c r="U2271" s="2">
        <f t="shared" si="145"/>
        <v>16.129452158499788</v>
      </c>
    </row>
    <row r="2272" spans="1:21" x14ac:dyDescent="0.25">
      <c r="A2272">
        <v>4012409</v>
      </c>
      <c r="B2272">
        <v>38</v>
      </c>
      <c r="C2272" s="1">
        <f>0.354302572978671*(10.3/7.3)</f>
        <v>0.49990637009319361</v>
      </c>
      <c r="D2272" s="1">
        <f>0.444424326848945*(10.3/7.3)</f>
        <v>0.62706446117042902</v>
      </c>
      <c r="E2272" s="1">
        <f>1.56160165371508*(10.3/7.3)</f>
        <v>2.2033557579815537</v>
      </c>
      <c r="F2272" s="1">
        <f>3.60842782803445*(38.9/42.5)</f>
        <v>3.3027727649538847</v>
      </c>
      <c r="G2272" s="1">
        <v>0.15573041862531059</v>
      </c>
      <c r="H2272" s="1">
        <v>0.84400571709320904</v>
      </c>
      <c r="I2272" s="1">
        <v>2.7579045226582615</v>
      </c>
      <c r="J2272" s="1">
        <v>1.7535821169502294E-2</v>
      </c>
      <c r="K2272" s="1">
        <v>2.2692483748785808</v>
      </c>
      <c r="L2272" s="1">
        <v>1.9518547373587207</v>
      </c>
      <c r="M2272" s="1">
        <v>0.11920216105243538</v>
      </c>
      <c r="N2272" s="1">
        <v>0.76531895315183662</v>
      </c>
      <c r="O2272" s="1">
        <v>0.49801684210526315</v>
      </c>
      <c r="P2272" s="1">
        <v>0.2084884136887622</v>
      </c>
      <c r="Q2272" s="1">
        <v>0.24888423067972046</v>
      </c>
      <c r="R2272" s="2">
        <f t="shared" si="143"/>
        <v>10.639624243255563</v>
      </c>
      <c r="S2272" s="2">
        <f t="shared" si="142"/>
        <v>2.4952726097368454</v>
      </c>
      <c r="T2272" s="2">
        <f t="shared" si="144"/>
        <v>3.334392693668256</v>
      </c>
      <c r="U2272" s="2">
        <f t="shared" si="145"/>
        <v>16.469289546660665</v>
      </c>
    </row>
    <row r="2273" spans="1:21" x14ac:dyDescent="0.25">
      <c r="A2273">
        <v>4012417</v>
      </c>
      <c r="B2273">
        <v>38</v>
      </c>
      <c r="C2273" s="1">
        <f>0.449309842800311*(10.3/7.3)</f>
        <v>0.63395772340317835</v>
      </c>
      <c r="D2273" s="1">
        <f>0.565187821299374*(10.3/7.3)</f>
        <v>0.79745678895665117</v>
      </c>
      <c r="E2273" s="1">
        <f>1.98391187320717*(10.3/7.3)</f>
        <v>2.7992181224703949</v>
      </c>
      <c r="F2273" s="1">
        <f>4.67430240995793*(38.9/42.5)</f>
        <v>4.2783614999379642</v>
      </c>
      <c r="G2273" s="1">
        <v>0.20550115351371154</v>
      </c>
      <c r="H2273" s="1">
        <v>1.07221141250768</v>
      </c>
      <c r="I2273" s="1">
        <v>3.5815619426975869</v>
      </c>
      <c r="J2273" s="1">
        <v>2.0489760964066895E-2</v>
      </c>
      <c r="K2273" s="1">
        <v>2.8177719036616016</v>
      </c>
      <c r="L2273" s="1">
        <v>2.3031037761674491</v>
      </c>
      <c r="M2273" s="1">
        <v>0.13391752396033096</v>
      </c>
      <c r="N2273" s="1">
        <v>0.85799083140369914</v>
      </c>
      <c r="O2273" s="1">
        <v>0.711678596491228</v>
      </c>
      <c r="P2273" s="1">
        <v>0.2888892283180009</v>
      </c>
      <c r="Q2273" s="1">
        <v>0.32842650104931093</v>
      </c>
      <c r="R2273" s="2">
        <f t="shared" si="143"/>
        <v>13.696695144536477</v>
      </c>
      <c r="S2273" s="2">
        <f t="shared" si="142"/>
        <v>3.1271508929436695</v>
      </c>
      <c r="T2273" s="2">
        <f t="shared" si="144"/>
        <v>4.0066907280227078</v>
      </c>
      <c r="U2273" s="2">
        <f t="shared" si="145"/>
        <v>20.830536765502853</v>
      </c>
    </row>
    <row r="2274" spans="1:21" x14ac:dyDescent="0.25">
      <c r="A2274">
        <v>4012425</v>
      </c>
      <c r="B2274">
        <v>43</v>
      </c>
      <c r="C2274" s="1">
        <f>0.926375798229814*(10.3/7.3)</f>
        <v>1.3070781810639838</v>
      </c>
      <c r="D2274" s="1">
        <f>1.18009691321124*(10.3/7.3)</f>
        <v>1.6650682474076461</v>
      </c>
      <c r="E2274" s="1">
        <f>4.13017716294518*(10.3/7.3)</f>
        <v>5.8275102436075814</v>
      </c>
      <c r="F2274" s="1">
        <f>10.2316224629983*(38.9/42.5)</f>
        <v>9.3649438543678567</v>
      </c>
      <c r="G2274" s="1">
        <v>0.47072286820371173</v>
      </c>
      <c r="H2274" s="1">
        <v>2.0939917197447087</v>
      </c>
      <c r="I2274" s="1">
        <v>7.8781450030733629</v>
      </c>
      <c r="J2274" s="1">
        <v>3.352525684831089E-2</v>
      </c>
      <c r="K2274" s="1">
        <v>4.6356263704310958</v>
      </c>
      <c r="L2274" s="1">
        <v>3.8939446053069831</v>
      </c>
      <c r="M2274" s="1">
        <v>0.21151843695793943</v>
      </c>
      <c r="N2274" s="1">
        <v>1.2600279131867103</v>
      </c>
      <c r="O2274" s="1">
        <v>1.669556589147287</v>
      </c>
      <c r="P2274" s="1">
        <v>0.51423872082283295</v>
      </c>
      <c r="Q2274" s="1">
        <v>0.75229682133013387</v>
      </c>
      <c r="R2274" s="2">
        <f t="shared" si="143"/>
        <v>29.359756938798984</v>
      </c>
      <c r="S2274" s="2">
        <f t="shared" si="142"/>
        <v>5.1833903481022396</v>
      </c>
      <c r="T2274" s="2">
        <f t="shared" si="144"/>
        <v>7.0350475445989193</v>
      </c>
      <c r="U2274" s="2">
        <f t="shared" si="145"/>
        <v>41.578194831500142</v>
      </c>
    </row>
    <row r="2275" spans="1:21" x14ac:dyDescent="0.25">
      <c r="A2275">
        <v>4012433</v>
      </c>
      <c r="B2275">
        <v>25</v>
      </c>
      <c r="C2275" s="1">
        <f>1.03928670889504*(10.3/7.3)</f>
        <v>1.4663908358382005</v>
      </c>
      <c r="D2275" s="1">
        <f>1.32826652190176*(10.3/7.3)</f>
        <v>1.8741294761079632</v>
      </c>
      <c r="E2275" s="1">
        <f>4.64314100379285*(10.3/7.3)</f>
        <v>6.5512811423378565</v>
      </c>
      <c r="F2275" s="1">
        <f>11.753941128541*(38.9/42.5)</f>
        <v>10.75831317412341</v>
      </c>
      <c r="G2275" s="1">
        <v>0.55056896866874105</v>
      </c>
      <c r="H2275" s="1">
        <v>2.6352567148526527</v>
      </c>
      <c r="I2275" s="1">
        <v>9.0743278867089003</v>
      </c>
      <c r="J2275" s="1">
        <v>4.4226064120735611E-2</v>
      </c>
      <c r="K2275" s="1">
        <v>5.5895449628108871</v>
      </c>
      <c r="L2275" s="1">
        <v>4.4691554205912709</v>
      </c>
      <c r="M2275" s="1">
        <v>0.22975035812743708</v>
      </c>
      <c r="N2275" s="1">
        <v>1.4820687670537211</v>
      </c>
      <c r="O2275" s="1">
        <v>2.1373653333333333</v>
      </c>
      <c r="P2275" s="1">
        <v>0.67703381113627814</v>
      </c>
      <c r="Q2275" s="1">
        <v>0.87990474444776057</v>
      </c>
      <c r="R2275" s="2">
        <f t="shared" si="143"/>
        <v>33.790172943085487</v>
      </c>
      <c r="S2275" s="2">
        <f t="shared" si="142"/>
        <v>6.3108048380679005</v>
      </c>
      <c r="T2275" s="2">
        <f t="shared" si="144"/>
        <v>8.3183398791057623</v>
      </c>
      <c r="U2275" s="2">
        <f t="shared" si="145"/>
        <v>48.419317660259154</v>
      </c>
    </row>
    <row r="2276" spans="1:21" x14ac:dyDescent="0.25">
      <c r="A2276">
        <v>4012817</v>
      </c>
      <c r="B2276">
        <v>2</v>
      </c>
      <c r="C2276" s="1">
        <f>3.28152619592015*(10.3/7.3)</f>
        <v>4.6300986052023996</v>
      </c>
      <c r="D2276" s="1">
        <f>5.17915476742407*(10.3/7.3)</f>
        <v>7.3075745348586221</v>
      </c>
      <c r="E2276" s="1">
        <f>17.8138882768891*(10.3/7.3)</f>
        <v>25.134664281090103</v>
      </c>
      <c r="F2276" s="1">
        <f>52.1581965898639*(38.9/42.5)</f>
        <v>47.740090525781355</v>
      </c>
      <c r="G2276" s="1">
        <v>2.7617717824384558</v>
      </c>
      <c r="H2276" s="1">
        <v>16.160562761187936</v>
      </c>
      <c r="I2276" s="1">
        <v>39.397299665394598</v>
      </c>
      <c r="J2276" s="1">
        <v>5.014618200280669E-2</v>
      </c>
      <c r="K2276" s="1">
        <v>4.7492265542367882</v>
      </c>
      <c r="L2276" s="1">
        <v>6.6111285596735438</v>
      </c>
      <c r="M2276" s="1">
        <v>0.27277777249489926</v>
      </c>
      <c r="N2276" s="1">
        <v>2.7388914435416387</v>
      </c>
      <c r="O2276" s="1">
        <v>0.26850666666666667</v>
      </c>
      <c r="P2276" s="1">
        <v>0.21073267253860894</v>
      </c>
      <c r="Q2276" s="1">
        <v>4.4137905198788152</v>
      </c>
      <c r="R2276" s="2">
        <f t="shared" si="143"/>
        <v>147.54585267583226</v>
      </c>
      <c r="S2276" s="2">
        <f t="shared" si="142"/>
        <v>5.0101054087782035</v>
      </c>
      <c r="T2276" s="2">
        <f t="shared" si="144"/>
        <v>9.8913044423767502</v>
      </c>
      <c r="U2276" s="2">
        <f t="shared" si="145"/>
        <v>162.44726252698723</v>
      </c>
    </row>
    <row r="2277" spans="1:21" x14ac:dyDescent="0.25">
      <c r="A2277">
        <v>4013121</v>
      </c>
      <c r="B2277">
        <v>55</v>
      </c>
      <c r="C2277" s="1">
        <f>5.55660520449633*(10.3/7.3)</f>
        <v>7.8401415899057767</v>
      </c>
      <c r="D2277" s="1">
        <f>6.11029108265784*(10.3/7.3)</f>
        <v>8.6213696097775063</v>
      </c>
      <c r="E2277" s="1">
        <f>21.7434825517762*(10.3/7.3)</f>
        <v>30.67916031278007</v>
      </c>
      <c r="F2277" s="1">
        <f>43.2577530074765*(38.9/42.5)</f>
        <v>39.593566870372584</v>
      </c>
      <c r="G2277" s="1">
        <v>1.5317230701541305</v>
      </c>
      <c r="H2277" s="1">
        <v>8.7304477450777309</v>
      </c>
      <c r="I2277" s="1">
        <v>33.691194255252562</v>
      </c>
      <c r="J2277" s="1">
        <v>4.4369715855207284E-2</v>
      </c>
      <c r="K2277" s="1">
        <v>2.4886141065195844</v>
      </c>
      <c r="L2277" s="1">
        <v>5.2224770851567905</v>
      </c>
      <c r="M2277" s="1">
        <v>0.13624740280058931</v>
      </c>
      <c r="N2277" s="1">
        <v>1.8944472419144927</v>
      </c>
      <c r="O2277" s="1">
        <v>0.11814399999999999</v>
      </c>
      <c r="P2277" s="1">
        <v>9.4718220243276086E-2</v>
      </c>
      <c r="Q2277" s="1">
        <v>2.4479592445385672</v>
      </c>
      <c r="R2277" s="2">
        <f t="shared" si="143"/>
        <v>133.13556269785892</v>
      </c>
      <c r="S2277" s="2">
        <f t="shared" si="142"/>
        <v>2.6277020426180675</v>
      </c>
      <c r="T2277" s="2">
        <f t="shared" si="144"/>
        <v>7.3713157298718723</v>
      </c>
      <c r="U2277" s="2">
        <f t="shared" si="145"/>
        <v>143.13458047034885</v>
      </c>
    </row>
    <row r="2278" spans="1:21" x14ac:dyDescent="0.25">
      <c r="A2278">
        <v>4013129</v>
      </c>
      <c r="B2278">
        <v>31</v>
      </c>
      <c r="C2278" s="1">
        <f>4.8956487112569*(10.3/7.3)</f>
        <v>6.907559140540557</v>
      </c>
      <c r="D2278" s="1">
        <f>5.51356308826174*(10.3/7.3)</f>
        <v>7.7794109327528673</v>
      </c>
      <c r="E2278" s="1">
        <f>19.6133769103449*(10.3/7.3)</f>
        <v>27.673668791308575</v>
      </c>
      <c r="F2278" s="1">
        <f>38.1649735669906*(38.9/42.5)</f>
        <v>34.932175806022016</v>
      </c>
      <c r="G2278" s="1">
        <v>1.3184125465153471</v>
      </c>
      <c r="H2278" s="1">
        <v>5.1749428818957446</v>
      </c>
      <c r="I2278" s="1">
        <v>29.3569553957932</v>
      </c>
      <c r="J2278" s="1">
        <v>4.0524238411922105E-2</v>
      </c>
      <c r="K2278" s="1">
        <v>2.4696987864571427</v>
      </c>
      <c r="L2278" s="1">
        <v>5.7191495158751353</v>
      </c>
      <c r="M2278" s="1">
        <v>0.12962745477449675</v>
      </c>
      <c r="N2278" s="1">
        <v>1.7324343326342124</v>
      </c>
      <c r="O2278" s="1">
        <v>0.11268817204301076</v>
      </c>
      <c r="P2278" s="1">
        <v>9.1110314015431737E-2</v>
      </c>
      <c r="Q2278" s="1">
        <v>2.1070520149788683</v>
      </c>
      <c r="R2278" s="2">
        <f t="shared" si="143"/>
        <v>115.25017750980716</v>
      </c>
      <c r="S2278" s="2">
        <f t="shared" si="142"/>
        <v>2.6013333388844968</v>
      </c>
      <c r="T2278" s="2">
        <f t="shared" si="144"/>
        <v>7.6938994753268544</v>
      </c>
      <c r="U2278" s="2">
        <f t="shared" si="145"/>
        <v>125.54541032401852</v>
      </c>
    </row>
    <row r="2279" spans="1:21" x14ac:dyDescent="0.25">
      <c r="A2279">
        <v>4024637</v>
      </c>
      <c r="B2279">
        <v>3</v>
      </c>
      <c r="C2279" s="1">
        <f>0.427433490624466*(10.3/7.3)</f>
        <v>0.60309108951123214</v>
      </c>
      <c r="D2279" s="1">
        <f>0.539996856518803*(10.3/7.3)</f>
        <v>0.76191337289639383</v>
      </c>
      <c r="E2279" s="1">
        <f>1.89591446736637*(10.3/7.3)</f>
        <v>2.6750573991607749</v>
      </c>
      <c r="F2279" s="1">
        <f>4.42662585388687*(38.9/42.5)</f>
        <v>4.0516646050870371</v>
      </c>
      <c r="G2279" s="1">
        <v>0.19313089387681506</v>
      </c>
      <c r="H2279" s="1">
        <v>0.99406551786757069</v>
      </c>
      <c r="I2279" s="1">
        <v>3.3823511268301387</v>
      </c>
      <c r="J2279" s="1">
        <v>1.8344784243707418E-2</v>
      </c>
      <c r="K2279" s="1">
        <v>2.4314457165579406</v>
      </c>
      <c r="L2279" s="1">
        <v>2.0659211592895161</v>
      </c>
      <c r="M2279" s="1">
        <v>0.12598016838840145</v>
      </c>
      <c r="N2279" s="1">
        <v>0.78486493939357471</v>
      </c>
      <c r="O2279" s="1">
        <v>0.51507555555555562</v>
      </c>
      <c r="P2279" s="1">
        <v>0.22867400593583767</v>
      </c>
      <c r="Q2279" s="1">
        <v>0.30865667971180527</v>
      </c>
      <c r="R2279" s="2">
        <f t="shared" si="143"/>
        <v>12.969930684941767</v>
      </c>
      <c r="S2279" s="2">
        <f t="shared" si="142"/>
        <v>2.6784645067374857</v>
      </c>
      <c r="T2279" s="2">
        <f t="shared" si="144"/>
        <v>3.4918418226270482</v>
      </c>
      <c r="U2279" s="2">
        <f t="shared" si="145"/>
        <v>19.140237014306301</v>
      </c>
    </row>
    <row r="2280" spans="1:21" x14ac:dyDescent="0.25">
      <c r="A2280">
        <v>4024645</v>
      </c>
      <c r="B2280">
        <v>50</v>
      </c>
      <c r="C2280" s="1">
        <f>0.500239374205639*(10.3/7.3)</f>
        <v>0.70581719922165498</v>
      </c>
      <c r="D2280" s="1">
        <f>0.632923610702183*(10.3/7.3)</f>
        <v>0.89302920414143561</v>
      </c>
      <c r="E2280" s="1">
        <f>2.22049058742987*(10.3/7.3)</f>
        <v>3.1330209658257022</v>
      </c>
      <c r="F2280" s="1">
        <f>5.26262793290938*(38.9/42.5)</f>
        <v>4.8168523903570595</v>
      </c>
      <c r="G2280" s="1">
        <v>0.23281671748991553</v>
      </c>
      <c r="H2280" s="1">
        <v>1.1696606189872645</v>
      </c>
      <c r="I2280" s="1">
        <v>4.0297639014668079</v>
      </c>
      <c r="J2280" s="1">
        <v>2.0596680765688258E-2</v>
      </c>
      <c r="K2280" s="1">
        <v>2.8405552886177539</v>
      </c>
      <c r="L2280" s="1">
        <v>2.3837129853666408</v>
      </c>
      <c r="M2280" s="1">
        <v>0.13796697699027885</v>
      </c>
      <c r="N2280" s="1">
        <v>1.0177995140312186</v>
      </c>
      <c r="O2280" s="1">
        <v>0.6935445333333331</v>
      </c>
      <c r="P2280" s="1">
        <v>0.28864634810324319</v>
      </c>
      <c r="Q2280" s="1">
        <v>0.37208151197018507</v>
      </c>
      <c r="R2280" s="2">
        <f t="shared" si="143"/>
        <v>15.353042509460026</v>
      </c>
      <c r="S2280" s="2">
        <f t="shared" si="142"/>
        <v>3.149798317486685</v>
      </c>
      <c r="T2280" s="2">
        <f t="shared" si="144"/>
        <v>4.2330240097214711</v>
      </c>
      <c r="U2280" s="2">
        <f t="shared" si="145"/>
        <v>22.735864836668185</v>
      </c>
    </row>
    <row r="2281" spans="1:21" x14ac:dyDescent="0.25">
      <c r="A2281">
        <v>4024661</v>
      </c>
      <c r="B2281">
        <v>17</v>
      </c>
      <c r="C2281" s="1">
        <f>0.516778933488998*(10.3/7.3)</f>
        <v>0.72915383766255837</v>
      </c>
      <c r="D2281" s="1">
        <f>0.653720505057644*(10.3/7.3)</f>
        <v>0.92237276741010066</v>
      </c>
      <c r="E2281" s="1">
        <f>2.2927504245278*(10.3/7.3)</f>
        <v>3.2349766263885433</v>
      </c>
      <c r="F2281" s="1">
        <f>5.47061136627975*(38.9/42.5)</f>
        <v>5.0072184034889986</v>
      </c>
      <c r="G2281" s="1">
        <v>0.2434711556271901</v>
      </c>
      <c r="H2281" s="1">
        <v>1.2335156583475115</v>
      </c>
      <c r="I2281" s="1">
        <v>4.1940470439355</v>
      </c>
      <c r="J2281" s="1">
        <v>2.2967213936717967E-2</v>
      </c>
      <c r="K2281" s="1">
        <v>3.3743954505949079</v>
      </c>
      <c r="L2281" s="1">
        <v>2.6449010384115796</v>
      </c>
      <c r="M2281" s="1">
        <v>0.14321192789810097</v>
      </c>
      <c r="N2281" s="1">
        <v>0.94733657159169937</v>
      </c>
      <c r="O2281" s="1">
        <v>1.1298509803921568</v>
      </c>
      <c r="P2281" s="1">
        <v>0.39442355497618559</v>
      </c>
      <c r="Q2281" s="1">
        <v>0.38910915282884306</v>
      </c>
      <c r="R2281" s="2">
        <f t="shared" si="143"/>
        <v>15.953864645689245</v>
      </c>
      <c r="S2281" s="2">
        <f t="shared" si="142"/>
        <v>3.7917862195078116</v>
      </c>
      <c r="T2281" s="2">
        <f t="shared" si="144"/>
        <v>4.8653005182935365</v>
      </c>
      <c r="U2281" s="2">
        <f t="shared" si="145"/>
        <v>24.610951383490594</v>
      </c>
    </row>
    <row r="2282" spans="1:21" x14ac:dyDescent="0.25">
      <c r="A2282">
        <v>4024669</v>
      </c>
      <c r="B2282">
        <v>3</v>
      </c>
      <c r="C2282" s="1">
        <f>0.808930659535601*(10.3/7.3)</f>
        <v>1.1413679168789992</v>
      </c>
      <c r="D2282" s="1">
        <f>1.03834655284438*(10.3/7.3)</f>
        <v>1.4650643142872803</v>
      </c>
      <c r="E2282" s="1">
        <f>3.63233888158081*(10.3/7.3)</f>
        <v>5.1250808877099043</v>
      </c>
      <c r="F2282" s="1">
        <f>9.02445237283661*(38.9/42.5)</f>
        <v>8.2600281718433877</v>
      </c>
      <c r="G2282" s="1">
        <v>0.41662625606870723</v>
      </c>
      <c r="H2282" s="1">
        <v>2.1682900150377908</v>
      </c>
      <c r="I2282" s="1">
        <v>6.9379634146620921</v>
      </c>
      <c r="J2282" s="1">
        <v>3.0734939214785057E-2</v>
      </c>
      <c r="K2282" s="1">
        <v>5.0701531228286383</v>
      </c>
      <c r="L2282" s="1">
        <v>3.550497742494175</v>
      </c>
      <c r="M2282" s="1">
        <v>0.17532832067763574</v>
      </c>
      <c r="N2282" s="1">
        <v>1.4291643983146105</v>
      </c>
      <c r="O2282" s="1">
        <v>1.9905777777777776</v>
      </c>
      <c r="P2282" s="1">
        <v>0.69537390941999</v>
      </c>
      <c r="Q2282" s="1">
        <v>0.66584104851163328</v>
      </c>
      <c r="R2282" s="2">
        <f t="shared" si="143"/>
        <v>26.180262024999795</v>
      </c>
      <c r="S2282" s="2">
        <f t="shared" si="142"/>
        <v>5.7962619714634132</v>
      </c>
      <c r="T2282" s="2">
        <f t="shared" si="144"/>
        <v>7.1455682392641986</v>
      </c>
      <c r="U2282" s="2">
        <f t="shared" si="145"/>
        <v>39.122092235727408</v>
      </c>
    </row>
    <row r="2283" spans="1:21" x14ac:dyDescent="0.25">
      <c r="A2283">
        <v>4025053</v>
      </c>
      <c r="B2283">
        <v>15</v>
      </c>
      <c r="C2283" s="1">
        <f>3.1824046416104*(10.3/7.3)</f>
        <v>4.4902421655598825</v>
      </c>
      <c r="D2283" s="1">
        <f>5.00878280246276*(10.3/7.3)</f>
        <v>7.0671866938858168</v>
      </c>
      <c r="E2283" s="1">
        <f>17.2303642996396*(10.3/7.3)</f>
        <v>24.311335929628424</v>
      </c>
      <c r="F2283" s="1">
        <f>50.4111980464772*(38.9/42.5)</f>
        <v>46.14107303548144</v>
      </c>
      <c r="G2283" s="1">
        <v>2.667423764281597</v>
      </c>
      <c r="H2283" s="1">
        <v>15.119917917409923</v>
      </c>
      <c r="I2283" s="1">
        <v>38.092543180937092</v>
      </c>
      <c r="J2283" s="1">
        <v>4.6877783588746627E-2</v>
      </c>
      <c r="K2283" s="1">
        <v>4.2209641976534211</v>
      </c>
      <c r="L2283" s="1">
        <v>6.1788153299427169</v>
      </c>
      <c r="M2283" s="1">
        <v>0.26405804601970312</v>
      </c>
      <c r="N2283" s="1">
        <v>2.7526229622086715</v>
      </c>
      <c r="O2283" s="1">
        <v>0.25297066666666662</v>
      </c>
      <c r="P2283" s="1">
        <v>0.19994015065783138</v>
      </c>
      <c r="Q2283" s="1">
        <v>4.2630060159751597</v>
      </c>
      <c r="R2283" s="2">
        <f t="shared" si="143"/>
        <v>142.15272870315931</v>
      </c>
      <c r="S2283" s="2">
        <f t="shared" si="142"/>
        <v>4.4677821319</v>
      </c>
      <c r="T2283" s="2">
        <f t="shared" si="144"/>
        <v>9.4484670048377577</v>
      </c>
      <c r="U2283" s="2">
        <f t="shared" si="145"/>
        <v>156.06897783989709</v>
      </c>
    </row>
    <row r="2284" spans="1:21" x14ac:dyDescent="0.25">
      <c r="A2284">
        <v>4025229</v>
      </c>
      <c r="B2284">
        <v>1</v>
      </c>
      <c r="C2284" s="1">
        <f>5.13796430724237*(10.3/7.3)</f>
        <v>7.2494564883008801</v>
      </c>
      <c r="D2284" s="1">
        <f>7.81334049927584*(10.3/7.3)</f>
        <v>11.024302348293315</v>
      </c>
      <c r="E2284" s="1">
        <f>27.4750698828659*(10.3/7.3)</f>
        <v>38.766194492262869</v>
      </c>
      <c r="F2284" s="1">
        <f>51.450115655807*(38.9/42.5)</f>
        <v>47.091988212021008</v>
      </c>
      <c r="G2284" s="1">
        <v>1.8079197565690746</v>
      </c>
      <c r="H2284" s="1">
        <v>6.6577084582570123</v>
      </c>
      <c r="I2284" s="1">
        <v>35.26464521582885</v>
      </c>
      <c r="J2284" s="1">
        <v>4.6284866583737976E-2</v>
      </c>
      <c r="K2284" s="1">
        <v>2.5977854154807565</v>
      </c>
      <c r="L2284" s="1">
        <v>5.7493271911316182</v>
      </c>
      <c r="M2284" s="1">
        <v>0.16245406100384652</v>
      </c>
      <c r="N2284" s="1">
        <v>2.3255503656658387</v>
      </c>
      <c r="O2284" s="1">
        <v>0.15359999999999999</v>
      </c>
      <c r="P2284" s="1">
        <v>0.11741579665040849</v>
      </c>
      <c r="Q2284" s="1">
        <v>2.8893694739688436</v>
      </c>
      <c r="R2284" s="2">
        <f t="shared" si="143"/>
        <v>150.75158444550189</v>
      </c>
      <c r="S2284" s="2">
        <f t="shared" si="142"/>
        <v>2.7614860787149031</v>
      </c>
      <c r="T2284" s="2">
        <f t="shared" si="144"/>
        <v>8.3909316178013036</v>
      </c>
      <c r="U2284" s="2">
        <f t="shared" si="145"/>
        <v>161.9040021420181</v>
      </c>
    </row>
    <row r="2285" spans="1:21" x14ac:dyDescent="0.25">
      <c r="A2285">
        <v>4025349</v>
      </c>
      <c r="B2285">
        <v>32</v>
      </c>
      <c r="C2285" s="1">
        <f>5.70192061238082*(10.3/7.3)</f>
        <v>8.0451756585647178</v>
      </c>
      <c r="D2285" s="1">
        <f>6.29756369749485*(10.3/7.3)</f>
        <v>8.8856035731776615</v>
      </c>
      <c r="E2285" s="1">
        <f>22.4362131698805*(10.3/7.3)</f>
        <v>31.65657474654369</v>
      </c>
      <c r="F2285" s="1">
        <f>43.0562734155804*(38.9/42.5)</f>
        <v>39.409153785084186</v>
      </c>
      <c r="G2285" s="1">
        <v>1.4496887721628431</v>
      </c>
      <c r="H2285" s="1">
        <v>7.2071289626483663</v>
      </c>
      <c r="I2285" s="1">
        <v>33.290318258785042</v>
      </c>
      <c r="J2285" s="1">
        <v>5.0663057260482834E-2</v>
      </c>
      <c r="K2285" s="1">
        <v>2.4560372702130437</v>
      </c>
      <c r="L2285" s="1">
        <v>4.9225802702160673</v>
      </c>
      <c r="M2285" s="1">
        <v>0.1366924268203342</v>
      </c>
      <c r="N2285" s="1">
        <v>1.9844456133642789</v>
      </c>
      <c r="O2285" s="1">
        <v>0.11838166666666669</v>
      </c>
      <c r="P2285" s="1">
        <v>9.4267268658359507E-2</v>
      </c>
      <c r="Q2285" s="1">
        <v>2.3168542020867386</v>
      </c>
      <c r="R2285" s="2">
        <f t="shared" si="143"/>
        <v>132.26049795905325</v>
      </c>
      <c r="S2285" s="2">
        <f t="shared" si="142"/>
        <v>2.6009675961318859</v>
      </c>
      <c r="T2285" s="2">
        <f t="shared" si="144"/>
        <v>7.1620999770673466</v>
      </c>
      <c r="U2285" s="2">
        <f t="shared" si="145"/>
        <v>142.02356553225249</v>
      </c>
    </row>
    <row r="2286" spans="1:21" x14ac:dyDescent="0.25">
      <c r="A2286">
        <v>4025357</v>
      </c>
      <c r="B2286">
        <v>40</v>
      </c>
      <c r="C2286" s="1">
        <f>4.60465157798675*(10.3/7.3)</f>
        <v>6.4969741442826736</v>
      </c>
      <c r="D2286" s="1">
        <f>5.26980617103448*(10.3/7.3)</f>
        <v>7.4354799399527636</v>
      </c>
      <c r="E2286" s="1">
        <f>18.7009395693108*(10.3/7.3)</f>
        <v>26.386257200534473</v>
      </c>
      <c r="F2286" s="1">
        <f>37.9242353071193*(38.9/42.5)</f>
        <v>34.711829492869228</v>
      </c>
      <c r="G2286" s="1">
        <v>1.3913471479708888</v>
      </c>
      <c r="H2286" s="1">
        <v>6.7777118057197923</v>
      </c>
      <c r="I2286" s="1">
        <v>29.200639637446216</v>
      </c>
      <c r="J2286" s="1">
        <v>4.0120976645814717E-2</v>
      </c>
      <c r="K2286" s="1">
        <v>2.3968580391717884</v>
      </c>
      <c r="L2286" s="1">
        <v>6.1187390512928834</v>
      </c>
      <c r="M2286" s="1">
        <v>0.12964911666004308</v>
      </c>
      <c r="N2286" s="1">
        <v>1.7576269035118954</v>
      </c>
      <c r="O2286" s="1">
        <v>0.11199466666666666</v>
      </c>
      <c r="P2286" s="1">
        <v>9.107637892965767E-2</v>
      </c>
      <c r="Q2286" s="1">
        <v>2.2236141634237971</v>
      </c>
      <c r="R2286" s="2">
        <f t="shared" si="143"/>
        <v>114.62385353219985</v>
      </c>
      <c r="S2286" s="2">
        <f t="shared" si="142"/>
        <v>2.5280553947472608</v>
      </c>
      <c r="T2286" s="2">
        <f t="shared" si="144"/>
        <v>8.1180097381314873</v>
      </c>
      <c r="U2286" s="2">
        <f t="shared" si="145"/>
        <v>125.26991866507859</v>
      </c>
    </row>
    <row r="2287" spans="1:21" x14ac:dyDescent="0.25">
      <c r="A2287">
        <v>4025365</v>
      </c>
      <c r="B2287">
        <v>3</v>
      </c>
      <c r="C2287" s="1">
        <f>7.42150399935009*(10.3/7.3)</f>
        <v>10.471437149767937</v>
      </c>
      <c r="D2287" s="1">
        <f>8.32861602823651*(10.3/7.3)</f>
        <v>11.751334943950148</v>
      </c>
      <c r="E2287" s="1">
        <f>29.6084057310621*(10.3/7.3)</f>
        <v>41.776243702731492</v>
      </c>
      <c r="F2287" s="1">
        <f>58.8338422615262*(38.9/42.5)</f>
        <v>53.850269740549834</v>
      </c>
      <c r="G2287" s="1">
        <v>2.0908207511182613</v>
      </c>
      <c r="H2287" s="1">
        <v>6.2210272778466136</v>
      </c>
      <c r="I2287" s="1">
        <v>45.471322446085786</v>
      </c>
      <c r="J2287" s="1">
        <v>4.714765134770571E-2</v>
      </c>
      <c r="K2287" s="1">
        <v>2.7139265628911518</v>
      </c>
      <c r="L2287" s="1">
        <v>5.6606932426146175</v>
      </c>
      <c r="M2287" s="1">
        <v>0.13974274592821923</v>
      </c>
      <c r="N2287" s="1">
        <v>1.7400316698436173</v>
      </c>
      <c r="O2287" s="1">
        <v>0.12442666666666669</v>
      </c>
      <c r="P2287" s="1">
        <v>9.5561952141756015E-2</v>
      </c>
      <c r="Q2287" s="1">
        <v>3.3414943511022472</v>
      </c>
      <c r="R2287" s="2">
        <f t="shared" si="143"/>
        <v>174.97395036315234</v>
      </c>
      <c r="S2287" s="2">
        <f t="shared" si="142"/>
        <v>2.8566361663806137</v>
      </c>
      <c r="T2287" s="2">
        <f t="shared" si="144"/>
        <v>7.6648943250531207</v>
      </c>
      <c r="U2287" s="2">
        <f t="shared" si="145"/>
        <v>185.49548085458608</v>
      </c>
    </row>
    <row r="2288" spans="1:21" x14ac:dyDescent="0.25">
      <c r="A2288">
        <v>4036881</v>
      </c>
      <c r="B2288">
        <v>3</v>
      </c>
      <c r="C2288" s="1">
        <f>0.482942092093665*(10.3/7.3)</f>
        <v>0.68141144500887041</v>
      </c>
      <c r="D2288" s="1">
        <f>0.611240506449364*(10.3/7.3)</f>
        <v>0.86243523512718467</v>
      </c>
      <c r="E2288" s="1">
        <f>2.14405191348484*(10.3/7.3)</f>
        <v>3.0251691382046442</v>
      </c>
      <c r="F2288" s="1">
        <f>5.09855195437166*(38.9/42.5)</f>
        <v>4.6666746123542993</v>
      </c>
      <c r="G2288" s="1">
        <v>0.22624926567865411</v>
      </c>
      <c r="H2288" s="1">
        <v>1.1710893502339403</v>
      </c>
      <c r="I2288" s="1">
        <v>3.9059929981244346</v>
      </c>
      <c r="J2288" s="1">
        <v>2.221458607029057E-2</v>
      </c>
      <c r="K2288" s="1">
        <v>3.0149688781395678</v>
      </c>
      <c r="L2288" s="1">
        <v>2.659224078461115</v>
      </c>
      <c r="M2288" s="1">
        <v>0.14934670165491104</v>
      </c>
      <c r="N2288" s="1">
        <v>1.0203864330050765</v>
      </c>
      <c r="O2288" s="1">
        <v>0.79786666666666672</v>
      </c>
      <c r="P2288" s="1">
        <v>0.30147329978374926</v>
      </c>
      <c r="Q2288" s="1">
        <v>0.36158558441794075</v>
      </c>
      <c r="R2288" s="2">
        <f t="shared" si="143"/>
        <v>14.900607629149967</v>
      </c>
      <c r="S2288" s="2">
        <f t="shared" si="142"/>
        <v>3.3386567639936073</v>
      </c>
      <c r="T2288" s="2">
        <f t="shared" si="144"/>
        <v>4.6268238797877697</v>
      </c>
      <c r="U2288" s="2">
        <f t="shared" si="145"/>
        <v>22.866088272931343</v>
      </c>
    </row>
    <row r="2289" spans="1:21" x14ac:dyDescent="0.25">
      <c r="A2289">
        <v>4036889</v>
      </c>
      <c r="B2289">
        <v>3</v>
      </c>
      <c r="C2289" s="1">
        <f>0.303418698392034*(10.3/7.3)</f>
        <v>0.42811131416958226</v>
      </c>
      <c r="D2289" s="1">
        <f>0.374865051438924*(10.3/7.3)</f>
        <v>0.52891918216724854</v>
      </c>
      <c r="E2289" s="1">
        <f>1.31912251704655*(10.3/7.3)</f>
        <v>1.8612276610382847</v>
      </c>
      <c r="F2289" s="1">
        <f>2.99581593974242*(38.9/42.5)</f>
        <v>2.7420527071995351</v>
      </c>
      <c r="G2289" s="1">
        <v>0.1268226203124419</v>
      </c>
      <c r="H2289" s="1">
        <v>0.72757802828378859</v>
      </c>
      <c r="I2289" s="1">
        <v>2.2931287834045198</v>
      </c>
      <c r="J2289" s="1">
        <v>1.7617781999970671E-2</v>
      </c>
      <c r="K2289" s="1">
        <v>2.2681997604656439</v>
      </c>
      <c r="L2289" s="1">
        <v>1.9733556718761296</v>
      </c>
      <c r="M2289" s="1">
        <v>0.11310591197949649</v>
      </c>
      <c r="N2289" s="1">
        <v>0.73001361558245714</v>
      </c>
      <c r="O2289" s="1">
        <v>0.72408888888888889</v>
      </c>
      <c r="P2289" s="1">
        <v>0.22068724408368876</v>
      </c>
      <c r="Q2289" s="1">
        <v>0.20268455301075214</v>
      </c>
      <c r="R2289" s="2">
        <f t="shared" si="143"/>
        <v>8.9105248495861531</v>
      </c>
      <c r="S2289" s="2">
        <f t="shared" si="142"/>
        <v>2.5065047865493031</v>
      </c>
      <c r="T2289" s="2">
        <f t="shared" si="144"/>
        <v>3.5405640883269718</v>
      </c>
      <c r="U2289" s="2">
        <f t="shared" si="145"/>
        <v>14.957593724462429</v>
      </c>
    </row>
    <row r="2290" spans="1:21" x14ac:dyDescent="0.25">
      <c r="A2290">
        <v>4036897</v>
      </c>
      <c r="B2290">
        <v>3</v>
      </c>
      <c r="C2290" s="1">
        <f>0.710552583265147*(10.3/7.3)</f>
        <v>1.0025604941960289</v>
      </c>
      <c r="D2290" s="1">
        <f>0.909871992871261*(10.3/7.3)</f>
        <v>1.2837919899416426</v>
      </c>
      <c r="E2290" s="1">
        <f>3.18483799788019*(10.3/7.3)</f>
        <v>4.4936755312556071</v>
      </c>
      <c r="F2290" s="1">
        <f>7.83161008026603*(38.9/42.5)</f>
        <v>7.1682266381729045</v>
      </c>
      <c r="G2290" s="1">
        <v>0.35836510308253472</v>
      </c>
      <c r="H2290" s="1">
        <v>1.7968870726220743</v>
      </c>
      <c r="I2290" s="1">
        <v>6.0144749920555114</v>
      </c>
      <c r="J2290" s="1">
        <v>2.8092837675290416E-2</v>
      </c>
      <c r="K2290" s="1">
        <v>4.7027943131577414</v>
      </c>
      <c r="L2290" s="1">
        <v>3.3685882406869241</v>
      </c>
      <c r="M2290" s="1">
        <v>0.16393151417131258</v>
      </c>
      <c r="N2290" s="1">
        <v>1.3042483527242095</v>
      </c>
      <c r="O2290" s="1">
        <v>1.8901333333333332</v>
      </c>
      <c r="P2290" s="1">
        <v>0.64768826232194232</v>
      </c>
      <c r="Q2290" s="1">
        <v>0.57272961679857193</v>
      </c>
      <c r="R2290" s="2">
        <f t="shared" si="143"/>
        <v>22.690711438124875</v>
      </c>
      <c r="S2290" s="2">
        <f t="shared" si="142"/>
        <v>5.3785754131549739</v>
      </c>
      <c r="T2290" s="2">
        <f t="shared" si="144"/>
        <v>6.7269014409157792</v>
      </c>
      <c r="U2290" s="2">
        <f t="shared" si="145"/>
        <v>34.79618829219563</v>
      </c>
    </row>
    <row r="2291" spans="1:21" x14ac:dyDescent="0.25">
      <c r="A2291">
        <v>4037465</v>
      </c>
      <c r="B2291">
        <v>18</v>
      </c>
      <c r="C2291" s="1">
        <f>5.52187335431668*(10.3/7.3)</f>
        <v>7.791136376638609</v>
      </c>
      <c r="D2291" s="1">
        <f>8.93409637061249*(10.3/7.3)</f>
        <v>12.605642824288854</v>
      </c>
      <c r="E2291" s="1">
        <f>31.3896488912004*(10.3/7.3)</f>
        <v>44.289504599912881</v>
      </c>
      <c r="F2291" s="1">
        <f>56.5606055259762*(38.9/42.5)</f>
        <v>51.76958952848176</v>
      </c>
      <c r="G2291" s="1">
        <v>1.9047236367097991</v>
      </c>
      <c r="H2291" s="1">
        <v>7.8485044463761415</v>
      </c>
      <c r="I2291" s="1">
        <v>37.497639845513433</v>
      </c>
      <c r="J2291" s="1">
        <v>4.746589162949709E-2</v>
      </c>
      <c r="K2291" s="1">
        <v>2.5330986822852446</v>
      </c>
      <c r="L2291" s="1">
        <v>5.6799460189541122</v>
      </c>
      <c r="M2291" s="1">
        <v>0.15701392777880002</v>
      </c>
      <c r="N2291" s="1">
        <v>1.9572990272228026</v>
      </c>
      <c r="O2291" s="1">
        <v>0.15039999999999998</v>
      </c>
      <c r="P2291" s="1">
        <v>0.11359313853527027</v>
      </c>
      <c r="Q2291" s="1">
        <v>3.0440788714540203</v>
      </c>
      <c r="R2291" s="2">
        <f t="shared" si="143"/>
        <v>166.75082012937548</v>
      </c>
      <c r="S2291" s="2">
        <f t="shared" si="142"/>
        <v>2.694157712450012</v>
      </c>
      <c r="T2291" s="2">
        <f t="shared" si="144"/>
        <v>7.9446589739557147</v>
      </c>
      <c r="U2291" s="2">
        <f t="shared" si="145"/>
        <v>177.38963681578122</v>
      </c>
    </row>
    <row r="2292" spans="1:21" x14ac:dyDescent="0.25">
      <c r="A2292">
        <v>4037585</v>
      </c>
      <c r="B2292">
        <v>31</v>
      </c>
      <c r="C2292" s="1">
        <f>5.7035386728458*(10.3/7.3)</f>
        <v>8.0474586753851653</v>
      </c>
      <c r="D2292" s="1">
        <f>7.20580305971832*(10.3/7.3)</f>
        <v>10.16709198836968</v>
      </c>
      <c r="E2292" s="1">
        <f>25.1845069180583*(10.3/7.3)</f>
        <v>35.534304281643941</v>
      </c>
      <c r="F2292" s="1">
        <f>64.6357756344818*(38.9/42.5)</f>
        <v>59.160745227796312</v>
      </c>
      <c r="G2292" s="1">
        <v>3.0556560870814735</v>
      </c>
      <c r="H2292" s="1">
        <v>8.7760997925059723</v>
      </c>
      <c r="I2292" s="1">
        <v>50.158102471947949</v>
      </c>
      <c r="J2292" s="1">
        <v>4.526102258038335E-2</v>
      </c>
      <c r="K2292" s="1">
        <v>2.5870834860205618</v>
      </c>
      <c r="L2292" s="1">
        <v>5.393904771182326</v>
      </c>
      <c r="M2292" s="1">
        <v>0.13761514714679021</v>
      </c>
      <c r="N2292" s="1">
        <v>1.8872903345860266</v>
      </c>
      <c r="O2292" s="1">
        <v>0.12032344086021507</v>
      </c>
      <c r="P2292" s="1">
        <v>9.5165496197640087E-2</v>
      </c>
      <c r="Q2292" s="1">
        <v>4.8834686323219954</v>
      </c>
      <c r="R2292" s="2">
        <f t="shared" si="143"/>
        <v>179.78292715705251</v>
      </c>
      <c r="S2292" s="2">
        <f t="shared" si="142"/>
        <v>2.7275100047985852</v>
      </c>
      <c r="T2292" s="2">
        <f t="shared" si="144"/>
        <v>7.5391336937753577</v>
      </c>
      <c r="U2292" s="2">
        <f t="shared" si="145"/>
        <v>190.04957085562646</v>
      </c>
    </row>
    <row r="2293" spans="1:21" x14ac:dyDescent="0.25">
      <c r="A2293">
        <v>404605</v>
      </c>
      <c r="B2293">
        <v>35</v>
      </c>
      <c r="C2293" s="1">
        <f>1.10818436360549*(10.3/7.3)</f>
        <v>1.5636025952241783</v>
      </c>
      <c r="D2293" s="1">
        <f>1.72532718405678*(10.3/7.3)</f>
        <v>2.4343657528472442</v>
      </c>
      <c r="E2293" s="1">
        <f>5.91286502742463*(10.3/7.3)</f>
        <v>8.3428095592429781</v>
      </c>
      <c r="F2293" s="1">
        <f>18.5666815189014*(38.9/42.5)</f>
        <v>16.993974378476803</v>
      </c>
      <c r="G2293" s="1">
        <v>1.0210431835200484</v>
      </c>
      <c r="H2293" s="1">
        <v>4.5759005117176406</v>
      </c>
      <c r="I2293" s="1">
        <v>14.232634140578767</v>
      </c>
      <c r="J2293" s="1">
        <v>2.5961132930592625E-2</v>
      </c>
      <c r="K2293" s="1">
        <v>3.4780645855879238</v>
      </c>
      <c r="L2293" s="1">
        <v>1.3898262052628285</v>
      </c>
      <c r="M2293" s="1">
        <v>7.4479413228873831E-2</v>
      </c>
      <c r="N2293" s="1">
        <v>0.99834097552493895</v>
      </c>
      <c r="O2293" s="1">
        <v>7.3801142857142871E-2</v>
      </c>
      <c r="P2293" s="1">
        <v>6.2984292891646976E-2</v>
      </c>
      <c r="Q2293" s="1">
        <v>1.6318041745754215</v>
      </c>
      <c r="R2293" s="2">
        <f t="shared" si="143"/>
        <v>50.796134296183084</v>
      </c>
      <c r="S2293" s="2">
        <f t="shared" si="142"/>
        <v>3.5670100114101633</v>
      </c>
      <c r="T2293" s="2">
        <f t="shared" si="144"/>
        <v>2.5364477368737841</v>
      </c>
      <c r="U2293" s="2">
        <f t="shared" si="145"/>
        <v>56.899592044467028</v>
      </c>
    </row>
    <row r="2294" spans="1:21" x14ac:dyDescent="0.25">
      <c r="A2294">
        <v>404613</v>
      </c>
      <c r="B2294">
        <v>15</v>
      </c>
      <c r="C2294" s="1">
        <f>1.27750769379868*(10.3/7.3)</f>
        <v>1.802510855633757</v>
      </c>
      <c r="D2294" s="1">
        <f>1.80618160337037*(10.3/7.3)</f>
        <v>2.548448015714361</v>
      </c>
      <c r="E2294" s="1">
        <f>6.20301409376579*(10.3/7.3)</f>
        <v>8.7521979679161088</v>
      </c>
      <c r="F2294" s="1">
        <f>19.9853867495014*(38.9/42.5)</f>
        <v>18.292506930720123</v>
      </c>
      <c r="G2294" s="1">
        <v>1.1052237286923872</v>
      </c>
      <c r="H2294" s="1">
        <v>4.3765531535131492</v>
      </c>
      <c r="I2294" s="1">
        <v>15.653091733592644</v>
      </c>
      <c r="J2294" s="1">
        <v>2.4064622908437781E-2</v>
      </c>
      <c r="K2294" s="1">
        <v>2.9515262167028307</v>
      </c>
      <c r="L2294" s="1">
        <v>1.2418925626466473</v>
      </c>
      <c r="M2294" s="1">
        <v>6.5265203431373292E-2</v>
      </c>
      <c r="N2294" s="1">
        <v>0.96840215066986568</v>
      </c>
      <c r="O2294" s="1">
        <v>6.7235555555555548E-2</v>
      </c>
      <c r="P2294" s="1">
        <v>5.8110431930467152E-2</v>
      </c>
      <c r="Q2294" s="1">
        <v>1.7663392924307577</v>
      </c>
      <c r="R2294" s="2">
        <f t="shared" si="143"/>
        <v>54.296871678213293</v>
      </c>
      <c r="S2294" s="2">
        <f t="shared" si="142"/>
        <v>3.0337012715417355</v>
      </c>
      <c r="T2294" s="2">
        <f t="shared" si="144"/>
        <v>2.3427954723034414</v>
      </c>
      <c r="U2294" s="2">
        <f t="shared" si="145"/>
        <v>59.673368422058473</v>
      </c>
    </row>
    <row r="2295" spans="1:21" x14ac:dyDescent="0.25">
      <c r="A2295">
        <v>404621</v>
      </c>
      <c r="B2295">
        <v>2</v>
      </c>
      <c r="C2295" s="1">
        <f>1.52505932809543*(10.3/7.3)</f>
        <v>2.1517960382716339</v>
      </c>
      <c r="D2295" s="1">
        <f>1.49534494463764*(10.3/7.3)</f>
        <v>2.1098702643517417</v>
      </c>
      <c r="E2295" s="1">
        <f>5.31337591775785*(10.3/7.3)</f>
        <v>7.4969550620418923</v>
      </c>
      <c r="F2295" s="1">
        <f>12.6275405942528*(38.9/42.5)</f>
        <v>11.557913626268991</v>
      </c>
      <c r="G2295" s="1">
        <v>0.53507987097982057</v>
      </c>
      <c r="H2295" s="1">
        <v>3.0791061847937895</v>
      </c>
      <c r="I2295" s="1">
        <v>10.451037612608063</v>
      </c>
      <c r="J2295" s="1">
        <v>1.72316504580638E-2</v>
      </c>
      <c r="K2295" s="1">
        <v>2.2252604416515158</v>
      </c>
      <c r="L2295" s="1">
        <v>0.94174188747182219</v>
      </c>
      <c r="M2295" s="1">
        <v>5.4358740747268763E-2</v>
      </c>
      <c r="N2295" s="1">
        <v>0.68026806132968309</v>
      </c>
      <c r="O2295" s="1">
        <v>5.3274666666666665E-2</v>
      </c>
      <c r="P2295" s="1">
        <v>4.8405207745064072E-2</v>
      </c>
      <c r="Q2295" s="1">
        <v>0.85515047873487382</v>
      </c>
      <c r="R2295" s="2">
        <f t="shared" si="143"/>
        <v>38.236909138050805</v>
      </c>
      <c r="S2295" s="2">
        <f t="shared" si="142"/>
        <v>2.2908972998546435</v>
      </c>
      <c r="T2295" s="2">
        <f t="shared" si="144"/>
        <v>1.7296433562154407</v>
      </c>
      <c r="U2295" s="2">
        <f t="shared" si="145"/>
        <v>42.257449794120888</v>
      </c>
    </row>
    <row r="2296" spans="1:21" x14ac:dyDescent="0.25">
      <c r="A2296">
        <v>404653</v>
      </c>
      <c r="B2296">
        <v>32</v>
      </c>
      <c r="C2296" s="1">
        <f>1.05770123271596*(10.3/7.3)</f>
        <v>1.4923729721882766</v>
      </c>
      <c r="D2296" s="1">
        <f>1.99633161789161*(10.3/7.3)</f>
        <v>2.816741871819668</v>
      </c>
      <c r="E2296" s="1">
        <f>6.73816245162524*(10.3/7.3)</f>
        <v>9.507270308457537</v>
      </c>
      <c r="F2296" s="1">
        <f>24.2383317698103*(38.9/42.5)</f>
        <v>22.185202490485207</v>
      </c>
      <c r="G2296" s="1">
        <v>1.4389793958600208</v>
      </c>
      <c r="H2296" s="1">
        <v>7.0401194054289089</v>
      </c>
      <c r="I2296" s="1">
        <v>18.460990413711293</v>
      </c>
      <c r="J2296" s="1">
        <v>2.1366652519473103E-2</v>
      </c>
      <c r="K2296" s="1">
        <v>2.6438466210898262</v>
      </c>
      <c r="L2296" s="1">
        <v>1.2358811574248918</v>
      </c>
      <c r="M2296" s="1">
        <v>6.5657719282523064E-2</v>
      </c>
      <c r="N2296" s="1">
        <v>0.73734075195791271</v>
      </c>
      <c r="O2296" s="1">
        <v>6.7355000000000012E-2</v>
      </c>
      <c r="P2296" s="1">
        <v>5.8412348105389617E-2</v>
      </c>
      <c r="Q2296" s="1">
        <v>2.2997387605068864</v>
      </c>
      <c r="R2296" s="2">
        <f t="shared" si="143"/>
        <v>65.241415618457808</v>
      </c>
      <c r="S2296" s="2">
        <f t="shared" si="142"/>
        <v>2.7236256217146888</v>
      </c>
      <c r="T2296" s="2">
        <f t="shared" si="144"/>
        <v>2.1062346286653275</v>
      </c>
      <c r="U2296" s="2">
        <f t="shared" si="145"/>
        <v>70.07127586883783</v>
      </c>
    </row>
    <row r="2297" spans="1:21" x14ac:dyDescent="0.25">
      <c r="A2297">
        <v>404661</v>
      </c>
      <c r="B2297">
        <v>30</v>
      </c>
      <c r="C2297" s="1">
        <f>1.14923117923389*(10.3/7.3)</f>
        <v>1.6215179652204152</v>
      </c>
      <c r="D2297" s="1">
        <f>2.14180412646*(10.3/7.3)</f>
        <v>3.0219976030873985</v>
      </c>
      <c r="E2297" s="1">
        <f>7.2396482873788*(10.3/7.3)</f>
        <v>10.214846213698848</v>
      </c>
      <c r="F2297" s="1">
        <f>25.6422231065956*(38.9/42.5)</f>
        <v>23.470175972860485</v>
      </c>
      <c r="G2297" s="1">
        <v>1.5113565395271209</v>
      </c>
      <c r="H2297" s="1">
        <v>7.0798335993203985</v>
      </c>
      <c r="I2297" s="1">
        <v>19.510995976422855</v>
      </c>
      <c r="J2297" s="1">
        <v>2.3211173192735933E-2</v>
      </c>
      <c r="K2297" s="1">
        <v>2.7432985372901677</v>
      </c>
      <c r="L2297" s="1">
        <v>1.323721468721996</v>
      </c>
      <c r="M2297" s="1">
        <v>7.046563690895441E-2</v>
      </c>
      <c r="N2297" s="1">
        <v>0.77958969336372297</v>
      </c>
      <c r="O2297" s="1">
        <v>7.1548444444444456E-2</v>
      </c>
      <c r="P2297" s="1">
        <v>6.1537922667763582E-2</v>
      </c>
      <c r="Q2297" s="1">
        <v>2.4154099946780492</v>
      </c>
      <c r="R2297" s="2">
        <f t="shared" si="143"/>
        <v>68.846133864815556</v>
      </c>
      <c r="S2297" s="2">
        <f t="shared" si="142"/>
        <v>2.8280476331506672</v>
      </c>
      <c r="T2297" s="2">
        <f t="shared" si="144"/>
        <v>2.2453252434391175</v>
      </c>
      <c r="U2297" s="2">
        <f t="shared" si="145"/>
        <v>73.919506741405328</v>
      </c>
    </row>
    <row r="2298" spans="1:21" x14ac:dyDescent="0.25">
      <c r="A2298">
        <v>404669</v>
      </c>
      <c r="B2298">
        <v>5</v>
      </c>
      <c r="C2298" s="1">
        <f>0.816816837309508*(10.3/7.3)</f>
        <v>1.1524949896284842</v>
      </c>
      <c r="D2298" s="1">
        <f>1.31622530625428*(10.3/7.3)</f>
        <v>1.8571398156738528</v>
      </c>
      <c r="E2298" s="1">
        <f>4.52146772477898*(10.3/7.3)</f>
        <v>6.3796051459210297</v>
      </c>
      <c r="F2298" s="1">
        <f>13.360932583153*(38.9/42.5)</f>
        <v>12.229182999638869</v>
      </c>
      <c r="G2298" s="1">
        <v>0.71252424447619644</v>
      </c>
      <c r="H2298" s="1">
        <v>6.2116218370377734</v>
      </c>
      <c r="I2298" s="1">
        <v>10.069882483474272</v>
      </c>
      <c r="J2298" s="1">
        <v>1.9944754940429226E-2</v>
      </c>
      <c r="K2298" s="1">
        <v>2.1020936067247193</v>
      </c>
      <c r="L2298" s="1">
        <v>1.0029517079047026</v>
      </c>
      <c r="M2298" s="1">
        <v>5.4382987410071623E-2</v>
      </c>
      <c r="N2298" s="1">
        <v>0.62950718406323114</v>
      </c>
      <c r="O2298" s="1">
        <v>5.6384000000000004E-2</v>
      </c>
      <c r="P2298" s="1">
        <v>5.063187324175418E-2</v>
      </c>
      <c r="Q2298" s="1">
        <v>1.1387373770167535</v>
      </c>
      <c r="R2298" s="2">
        <f t="shared" si="143"/>
        <v>39.751188892867233</v>
      </c>
      <c r="S2298" s="2">
        <f t="shared" si="142"/>
        <v>2.1726702349069025</v>
      </c>
      <c r="T2298" s="2">
        <f t="shared" si="144"/>
        <v>1.7432258793780053</v>
      </c>
      <c r="U2298" s="2">
        <f t="shared" si="145"/>
        <v>43.667085007152139</v>
      </c>
    </row>
    <row r="2299" spans="1:21" x14ac:dyDescent="0.25">
      <c r="A2299">
        <v>404685</v>
      </c>
      <c r="B2299">
        <v>1</v>
      </c>
      <c r="C2299" s="1">
        <f>1.16102061671407*(10.3/7.3)</f>
        <v>1.6381523770075244</v>
      </c>
      <c r="D2299" s="1">
        <f>2.11700104198835*(10.3/7.3)</f>
        <v>2.9870014702027436</v>
      </c>
      <c r="E2299" s="1">
        <f>7.21616057838946*(10.3/7.3)</f>
        <v>10.18170602156321</v>
      </c>
      <c r="F2299" s="1">
        <f>22.6725050510779*(38.9/42.5)</f>
        <v>20.752010505574841</v>
      </c>
      <c r="G2299" s="1">
        <v>1.2617885066618586</v>
      </c>
      <c r="H2299" s="1">
        <v>4.0812894938356559</v>
      </c>
      <c r="I2299" s="1">
        <v>16.927890704054409</v>
      </c>
      <c r="J2299" s="1">
        <v>2.2658708063546095E-2</v>
      </c>
      <c r="K2299" s="1">
        <v>2.406102830955712</v>
      </c>
      <c r="L2299" s="1">
        <v>1.2526352628464963</v>
      </c>
      <c r="M2299" s="1">
        <v>6.5569597404186969E-2</v>
      </c>
      <c r="N2299" s="1">
        <v>0.73578251406771156</v>
      </c>
      <c r="O2299" s="1">
        <v>6.7199999999999996E-2</v>
      </c>
      <c r="P2299" s="1">
        <v>5.7878992592959762E-2</v>
      </c>
      <c r="Q2299" s="1">
        <v>2.0165569741171274</v>
      </c>
      <c r="R2299" s="2">
        <f t="shared" si="143"/>
        <v>59.846396053017365</v>
      </c>
      <c r="S2299" s="2">
        <f t="shared" si="142"/>
        <v>2.4866405316122182</v>
      </c>
      <c r="T2299" s="2">
        <f t="shared" si="144"/>
        <v>2.1211873743183949</v>
      </c>
      <c r="U2299" s="2">
        <f t="shared" si="145"/>
        <v>64.454223958947978</v>
      </c>
    </row>
    <row r="2300" spans="1:21" x14ac:dyDescent="0.25">
      <c r="A2300">
        <v>4049429</v>
      </c>
      <c r="B2300">
        <v>4</v>
      </c>
      <c r="C2300" s="1">
        <f>12.2315413856909*(10.3/7.3)</f>
        <v>17.258202229125587</v>
      </c>
      <c r="D2300" s="1">
        <f>8.42746341572938*(10.3/7.3)</f>
        <v>11.890804545481187</v>
      </c>
      <c r="E2300" s="1">
        <f>30.8717253622412*(10.3/7.3)</f>
        <v>43.558735785079989</v>
      </c>
      <c r="F2300" s="1">
        <f>62.8475454512701*(38.9/42.5)</f>
        <v>57.523988660103662</v>
      </c>
      <c r="G2300" s="1">
        <v>1.9651068451965936</v>
      </c>
      <c r="H2300" s="1">
        <v>9.351695432788862</v>
      </c>
      <c r="I2300" s="1">
        <v>59.393659818255941</v>
      </c>
      <c r="J2300" s="1">
        <v>3.3531917691418167E-2</v>
      </c>
      <c r="K2300" s="1">
        <v>2.7751975055825486</v>
      </c>
      <c r="L2300" s="1">
        <v>10.093216599014635</v>
      </c>
      <c r="M2300" s="1">
        <v>0.22787255262756151</v>
      </c>
      <c r="N2300" s="1">
        <v>1.619646060805221</v>
      </c>
      <c r="O2300" s="1">
        <v>0.23233333333333334</v>
      </c>
      <c r="P2300" s="1">
        <v>0.199542450929655</v>
      </c>
      <c r="Q2300" s="1">
        <v>3.1405817160676186</v>
      </c>
      <c r="R2300" s="2">
        <f t="shared" si="143"/>
        <v>204.08277503209945</v>
      </c>
      <c r="S2300" s="2">
        <f t="shared" si="142"/>
        <v>3.0082718742036216</v>
      </c>
      <c r="T2300" s="2">
        <f t="shared" si="144"/>
        <v>12.173068545780751</v>
      </c>
      <c r="U2300" s="2">
        <f t="shared" si="145"/>
        <v>219.26411545208381</v>
      </c>
    </row>
    <row r="2301" spans="1:21" x14ac:dyDescent="0.25">
      <c r="A2301">
        <v>4049685</v>
      </c>
      <c r="B2301">
        <v>4</v>
      </c>
      <c r="C2301" s="1">
        <f>4.30354297207394*(10.3/7.3)</f>
        <v>6.0721222756659703</v>
      </c>
      <c r="D2301" s="1">
        <f>6.4015784908519*(10.3/7.3)</f>
        <v>9.0323641720239216</v>
      </c>
      <c r="E2301" s="1">
        <f>22.4653088098965*(10.3/7.3)</f>
        <v>31.697627498895098</v>
      </c>
      <c r="F2301" s="1">
        <f>45.2996428354031*(38.9/42.5)</f>
        <v>41.462496618757164</v>
      </c>
      <c r="G2301" s="1">
        <v>1.7430063172382562</v>
      </c>
      <c r="H2301" s="1">
        <v>6.4116554085257675</v>
      </c>
      <c r="I2301" s="1">
        <v>31.938890003472839</v>
      </c>
      <c r="J2301" s="1">
        <v>4.1188778871318721E-2</v>
      </c>
      <c r="K2301" s="1">
        <v>2.5612647391109267</v>
      </c>
      <c r="L2301" s="1">
        <v>5.7750792025006117</v>
      </c>
      <c r="M2301" s="1">
        <v>0.16188414689214656</v>
      </c>
      <c r="N2301" s="1">
        <v>2.1281270916922645</v>
      </c>
      <c r="O2301" s="1">
        <v>0.15004000000000001</v>
      </c>
      <c r="P2301" s="1">
        <v>0.1172323976469328</v>
      </c>
      <c r="Q2301" s="1">
        <v>2.7856265343990425</v>
      </c>
      <c r="R2301" s="2">
        <f t="shared" si="143"/>
        <v>131.14378882897805</v>
      </c>
      <c r="S2301" s="2">
        <f t="shared" si="142"/>
        <v>2.7196859156291779</v>
      </c>
      <c r="T2301" s="2">
        <f t="shared" si="144"/>
        <v>8.215130441085023</v>
      </c>
      <c r="U2301" s="2">
        <f t="shared" si="145"/>
        <v>142.07860518569225</v>
      </c>
    </row>
    <row r="2302" spans="1:21" x14ac:dyDescent="0.25">
      <c r="A2302">
        <v>4049693</v>
      </c>
      <c r="B2302">
        <v>19</v>
      </c>
      <c r="C2302" s="1">
        <f>4.77887279935554*(10.3/7.3)</f>
        <v>6.7427931278578201</v>
      </c>
      <c r="D2302" s="1">
        <f>7.20454127416612*(10.3/7.3)</f>
        <v>10.165311660809733</v>
      </c>
      <c r="E2302" s="1">
        <f>25.3352987274221*(10.3/7.3)</f>
        <v>35.747065327732493</v>
      </c>
      <c r="F2302" s="1">
        <f>47.8064341400726*(38.9/42.5)</f>
        <v>43.756947954090009</v>
      </c>
      <c r="G2302" s="1">
        <v>1.6946388872366502</v>
      </c>
      <c r="H2302" s="1">
        <v>6.0010955416399172</v>
      </c>
      <c r="I2302" s="1">
        <v>32.937285498153159</v>
      </c>
      <c r="J2302" s="1">
        <v>3.8571168806142059E-2</v>
      </c>
      <c r="K2302" s="1">
        <v>2.3264957562151438</v>
      </c>
      <c r="L2302" s="1">
        <v>5.2381576135813255</v>
      </c>
      <c r="M2302" s="1">
        <v>0.14797815222388372</v>
      </c>
      <c r="N2302" s="1">
        <v>1.7582442868536636</v>
      </c>
      <c r="O2302" s="1">
        <v>0.13970807017543863</v>
      </c>
      <c r="P2302" s="1">
        <v>0.10674354003804243</v>
      </c>
      <c r="Q2302" s="1">
        <v>2.7083269887343762</v>
      </c>
      <c r="R2302" s="2">
        <f t="shared" si="143"/>
        <v>139.75346498625413</v>
      </c>
      <c r="S2302" s="2">
        <f t="shared" si="142"/>
        <v>2.4718104650593284</v>
      </c>
      <c r="T2302" s="2">
        <f t="shared" si="144"/>
        <v>7.2840881228343113</v>
      </c>
      <c r="U2302" s="2">
        <f t="shared" si="145"/>
        <v>149.50936357414776</v>
      </c>
    </row>
    <row r="2303" spans="1:21" x14ac:dyDescent="0.25">
      <c r="A2303">
        <v>4049701</v>
      </c>
      <c r="B2303">
        <v>20</v>
      </c>
      <c r="C2303" s="1">
        <f>4.57418225476938*(10.3/7.3)</f>
        <v>6.4539831813869357</v>
      </c>
      <c r="D2303" s="1">
        <f>8.30668332171847*(10.3/7.3)</f>
        <v>11.720388796397295</v>
      </c>
      <c r="E2303" s="1">
        <f>29.1029874265611*(10.3/7.3)</f>
        <v>41.063119245695816</v>
      </c>
      <c r="F2303" s="1">
        <f>50.9417221902889*(38.9/42.5)</f>
        <v>46.626658663582084</v>
      </c>
      <c r="G2303" s="1">
        <v>1.6810434887861114</v>
      </c>
      <c r="H2303" s="1">
        <v>8.5260320932128906</v>
      </c>
      <c r="I2303" s="1">
        <v>32.145898207126436</v>
      </c>
      <c r="J2303" s="1">
        <v>4.2385362330854291E-2</v>
      </c>
      <c r="K2303" s="1">
        <v>2.5795599271323453</v>
      </c>
      <c r="L2303" s="1">
        <v>5.5534560453374713</v>
      </c>
      <c r="M2303" s="1">
        <v>0.15493088301458419</v>
      </c>
      <c r="N2303" s="1">
        <v>1.9967220393780631</v>
      </c>
      <c r="O2303" s="1">
        <v>0.14698933333333333</v>
      </c>
      <c r="P2303" s="1">
        <v>0.11374059643650421</v>
      </c>
      <c r="Q2303" s="1">
        <v>2.6865991829915052</v>
      </c>
      <c r="R2303" s="2">
        <f t="shared" si="143"/>
        <v>150.90372285917906</v>
      </c>
      <c r="S2303" s="2">
        <f t="shared" si="142"/>
        <v>2.7356858858997035</v>
      </c>
      <c r="T2303" s="2">
        <f t="shared" si="144"/>
        <v>7.8520983010634522</v>
      </c>
      <c r="U2303" s="2">
        <f t="shared" si="145"/>
        <v>161.4915070461422</v>
      </c>
    </row>
    <row r="2304" spans="1:21" x14ac:dyDescent="0.25">
      <c r="A2304">
        <v>4049813</v>
      </c>
      <c r="B2304">
        <v>19</v>
      </c>
      <c r="C2304" s="1">
        <f>5.65301850156691*(10.3/7.3)</f>
        <v>7.9761767898820812</v>
      </c>
      <c r="D2304" s="1">
        <f>6.42747841352811*(10.3/7.3)</f>
        <v>9.0689078985396598</v>
      </c>
      <c r="E2304" s="1">
        <f>22.8730256620077*(10.3/7.3)</f>
        <v>32.272899221736829</v>
      </c>
      <c r="F2304" s="1">
        <f>43.5305223373273*(38.9/42.5)</f>
        <v>39.84323103345961</v>
      </c>
      <c r="G2304" s="1">
        <v>1.4593693170408644</v>
      </c>
      <c r="H2304" s="1">
        <v>6.2171378098429582</v>
      </c>
      <c r="I2304" s="1">
        <v>33.23700005428914</v>
      </c>
      <c r="J2304" s="1">
        <v>5.490080347602664E-2</v>
      </c>
      <c r="K2304" s="1">
        <v>2.5082112245579142</v>
      </c>
      <c r="L2304" s="1">
        <v>4.9532116181578205</v>
      </c>
      <c r="M2304" s="1">
        <v>0.1405078203425581</v>
      </c>
      <c r="N2304" s="1">
        <v>2.2340067630990963</v>
      </c>
      <c r="O2304" s="1">
        <v>0.12216421052631582</v>
      </c>
      <c r="P2304" s="1">
        <v>9.6049394416391237E-2</v>
      </c>
      <c r="Q2304" s="1">
        <v>2.3323253925310645</v>
      </c>
      <c r="R2304" s="2">
        <f t="shared" si="143"/>
        <v>132.40704751732221</v>
      </c>
      <c r="S2304" s="2">
        <f t="shared" si="142"/>
        <v>2.6591614224503322</v>
      </c>
      <c r="T2304" s="2">
        <f t="shared" si="144"/>
        <v>7.4498904121257912</v>
      </c>
      <c r="U2304" s="2">
        <f t="shared" si="145"/>
        <v>142.51609935189833</v>
      </c>
    </row>
    <row r="2305" spans="1:21" x14ac:dyDescent="0.25">
      <c r="A2305">
        <v>4049821</v>
      </c>
      <c r="B2305">
        <v>34</v>
      </c>
      <c r="C2305" s="1">
        <f>4.39034715701846*(10.3/7.3)</f>
        <v>6.1945994133274151</v>
      </c>
      <c r="D2305" s="1">
        <f>5.05387143538199*(10.3/7.3)</f>
        <v>7.1308049019773252</v>
      </c>
      <c r="E2305" s="1">
        <f>17.9522268152833*(10.3/7.3)</f>
        <v>25.329854273618935</v>
      </c>
      <c r="F2305" s="1">
        <f>35.2605400695386*(38.9/42.5)</f>
        <v>32.273764910707079</v>
      </c>
      <c r="G2305" s="1">
        <v>1.2413077958569478</v>
      </c>
      <c r="H2305" s="1">
        <v>6.3601329570361704</v>
      </c>
      <c r="I2305" s="1">
        <v>26.946125808014784</v>
      </c>
      <c r="J2305" s="1">
        <v>4.2180440549402759E-2</v>
      </c>
      <c r="K2305" s="1">
        <v>2.6022645437558785</v>
      </c>
      <c r="L2305" s="1">
        <v>6.2426794068908773</v>
      </c>
      <c r="M2305" s="1">
        <v>0.13264204858316944</v>
      </c>
      <c r="N2305" s="1">
        <v>1.8620881845268025</v>
      </c>
      <c r="O2305" s="1">
        <v>0.11528000000000001</v>
      </c>
      <c r="P2305" s="1">
        <v>9.3254868506738156E-2</v>
      </c>
      <c r="Q2305" s="1">
        <v>1.9838252445202387</v>
      </c>
      <c r="R2305" s="2">
        <f t="shared" si="143"/>
        <v>107.46041530505889</v>
      </c>
      <c r="S2305" s="2">
        <f t="shared" si="142"/>
        <v>2.7376998528120193</v>
      </c>
      <c r="T2305" s="2">
        <f t="shared" si="144"/>
        <v>8.3526896400008486</v>
      </c>
      <c r="U2305" s="2">
        <f t="shared" si="145"/>
        <v>118.55080479787175</v>
      </c>
    </row>
    <row r="2306" spans="1:21" x14ac:dyDescent="0.25">
      <c r="A2306">
        <v>4050093</v>
      </c>
      <c r="B2306">
        <v>3</v>
      </c>
      <c r="C2306" s="1">
        <f>6.4456890727808*(10.3/7.3)</f>
        <v>9.0946023903619579</v>
      </c>
      <c r="D2306" s="1">
        <f>7.01930949560734*(10.3/7.3)</f>
        <v>9.9039572335281587</v>
      </c>
      <c r="E2306" s="1">
        <f>24.7771807810523*(10.3/7.3)</f>
        <v>34.959583841758736</v>
      </c>
      <c r="F2306" s="1">
        <f>60.0665754162417*(38.9/42.5)</f>
        <v>54.978583145689441</v>
      </c>
      <c r="G2306" s="1">
        <v>2.6455355963088909</v>
      </c>
      <c r="H2306" s="1">
        <v>9.343857565448161</v>
      </c>
      <c r="I2306" s="1">
        <v>48.203607774770241</v>
      </c>
      <c r="J2306" s="1">
        <v>2.9068774539450642E-2</v>
      </c>
      <c r="K2306" s="1">
        <v>2.2202549237063169</v>
      </c>
      <c r="L2306" s="1">
        <v>2.4432307127796062</v>
      </c>
      <c r="M2306" s="1">
        <v>0.10753908682606134</v>
      </c>
      <c r="N2306" s="1">
        <v>1.2158279917713268</v>
      </c>
      <c r="O2306" s="1">
        <v>9.7795555555555566E-2</v>
      </c>
      <c r="P2306" s="1">
        <v>7.6091817166971457E-2</v>
      </c>
      <c r="Q2306" s="1">
        <v>4.2280249256078219</v>
      </c>
      <c r="R2306" s="2">
        <f t="shared" si="143"/>
        <v>173.3577524734734</v>
      </c>
      <c r="S2306" s="2">
        <f t="shared" si="142"/>
        <v>2.3254155154127387</v>
      </c>
      <c r="T2306" s="2">
        <f t="shared" si="144"/>
        <v>3.86439334693255</v>
      </c>
      <c r="U2306" s="2">
        <f t="shared" si="145"/>
        <v>179.5475613358187</v>
      </c>
    </row>
    <row r="2307" spans="1:21" x14ac:dyDescent="0.25">
      <c r="A2307">
        <v>4061665</v>
      </c>
      <c r="B2307">
        <v>15</v>
      </c>
      <c r="C2307" s="1">
        <f>4.13604799093655*(10.3/7.3)</f>
        <v>5.835793740636503</v>
      </c>
      <c r="D2307" s="1">
        <f>4.06536455549076*(10.3/7.3)</f>
        <v>5.7360623180212027</v>
      </c>
      <c r="E2307" s="1">
        <f>14.3172156967458*(10.3/7.3)</f>
        <v>20.201002969381072</v>
      </c>
      <c r="F2307" s="1">
        <f>40.4404958349712*(38.9/42.5)</f>
        <v>37.014947952479538</v>
      </c>
      <c r="G2307" s="1">
        <v>1.9808792015298666</v>
      </c>
      <c r="H2307" s="1">
        <v>8.852087374585988</v>
      </c>
      <c r="I2307" s="1">
        <v>33.90578720137789</v>
      </c>
      <c r="J2307" s="1">
        <v>3.5384359011694469E-2</v>
      </c>
      <c r="K2307" s="1">
        <v>2.9575010974073432</v>
      </c>
      <c r="L2307" s="1">
        <v>10.223257395604247</v>
      </c>
      <c r="M2307" s="1">
        <v>0.24032943317319846</v>
      </c>
      <c r="N2307" s="1">
        <v>1.780570737039846</v>
      </c>
      <c r="O2307" s="1">
        <v>0.24742044444444447</v>
      </c>
      <c r="P2307" s="1">
        <v>0.21279328963654906</v>
      </c>
      <c r="Q2307" s="1">
        <v>3.1657886782440827</v>
      </c>
      <c r="R2307" s="2">
        <f t="shared" si="143"/>
        <v>116.69234943625615</v>
      </c>
      <c r="S2307" s="2">
        <f t="shared" si="142"/>
        <v>3.2056787460555869</v>
      </c>
      <c r="T2307" s="2">
        <f t="shared" si="144"/>
        <v>12.491578010261733</v>
      </c>
      <c r="U2307" s="2">
        <f t="shared" si="145"/>
        <v>132.38960619257347</v>
      </c>
    </row>
    <row r="2308" spans="1:21" x14ac:dyDescent="0.25">
      <c r="A2308">
        <v>4061921</v>
      </c>
      <c r="B2308">
        <v>7</v>
      </c>
      <c r="C2308" s="1">
        <f>4.84265938194239*(10.3/7.3)</f>
        <v>6.8327933745214606</v>
      </c>
      <c r="D2308" s="1">
        <f>7.20477744938461*(10.3/7.3)</f>
        <v>10.165644894337193</v>
      </c>
      <c r="E2308" s="1">
        <f>25.301995429045*(10.3/7.3)</f>
        <v>35.700075742351224</v>
      </c>
      <c r="F2308" s="1">
        <f>50.1028643853021*(38.9/42.5)</f>
        <v>45.858857049135345</v>
      </c>
      <c r="G2308" s="1">
        <v>1.8860917850430237</v>
      </c>
      <c r="H2308" s="1">
        <v>6.6783428437049759</v>
      </c>
      <c r="I2308" s="1">
        <v>35.149671652834989</v>
      </c>
      <c r="J2308" s="1">
        <v>4.0038870653112534E-2</v>
      </c>
      <c r="K2308" s="1">
        <v>2.4975330084299907</v>
      </c>
      <c r="L2308" s="1">
        <v>5.7965337192554012</v>
      </c>
      <c r="M2308" s="1">
        <v>0.15867778302100591</v>
      </c>
      <c r="N2308" s="1">
        <v>1.9004588547958174</v>
      </c>
      <c r="O2308" s="1">
        <v>0.14843428571428571</v>
      </c>
      <c r="P2308" s="1">
        <v>0.11475702602004767</v>
      </c>
      <c r="Q2308" s="1">
        <v>3.0143019395664794</v>
      </c>
      <c r="R2308" s="2">
        <f t="shared" si="143"/>
        <v>145.28577928149468</v>
      </c>
      <c r="S2308" s="2">
        <f t="shared" si="142"/>
        <v>2.6523289051031513</v>
      </c>
      <c r="T2308" s="2">
        <f t="shared" si="144"/>
        <v>8.0041046427865101</v>
      </c>
      <c r="U2308" s="2">
        <f t="shared" si="145"/>
        <v>155.94221282938435</v>
      </c>
    </row>
    <row r="2309" spans="1:21" x14ac:dyDescent="0.25">
      <c r="A2309">
        <v>4061929</v>
      </c>
      <c r="B2309">
        <v>33</v>
      </c>
      <c r="C2309" s="1">
        <f>5.18093154457801*(10.3/7.3)</f>
        <v>7.3100814944045958</v>
      </c>
      <c r="D2309" s="1">
        <f>8.01779920313018*(10.3/7.3)</f>
        <v>11.312785177019297</v>
      </c>
      <c r="E2309" s="1">
        <f>28.1633731170553*(10.3/7.3)</f>
        <v>39.737362069269793</v>
      </c>
      <c r="F2309" s="1">
        <f>53.3620870395383*(38.9/42.5)</f>
        <v>48.842004372659744</v>
      </c>
      <c r="G2309" s="1">
        <v>1.9122884719469497</v>
      </c>
      <c r="H2309" s="1">
        <v>7.0136697841067006</v>
      </c>
      <c r="I2309" s="1">
        <v>36.49667387192374</v>
      </c>
      <c r="J2309" s="1">
        <v>3.8822228412179208E-2</v>
      </c>
      <c r="K2309" s="1">
        <v>2.3905583979690972</v>
      </c>
      <c r="L2309" s="1">
        <v>5.3664145876703113</v>
      </c>
      <c r="M2309" s="1">
        <v>0.15045828729400693</v>
      </c>
      <c r="N2309" s="1">
        <v>1.7601574449832005</v>
      </c>
      <c r="O2309" s="1">
        <v>0.14284606060606062</v>
      </c>
      <c r="P2309" s="1">
        <v>0.10834640759415724</v>
      </c>
      <c r="Q2309" s="1">
        <v>3.0561687907827988</v>
      </c>
      <c r="R2309" s="2">
        <f t="shared" si="143"/>
        <v>155.68103403211362</v>
      </c>
      <c r="S2309" s="2">
        <f t="shared" si="142"/>
        <v>2.5377270339754334</v>
      </c>
      <c r="T2309" s="2">
        <f t="shared" si="144"/>
        <v>7.4198763805535792</v>
      </c>
      <c r="U2309" s="2">
        <f t="shared" si="145"/>
        <v>165.63863744664263</v>
      </c>
    </row>
    <row r="2310" spans="1:21" x14ac:dyDescent="0.25">
      <c r="A2310">
        <v>4061937</v>
      </c>
      <c r="B2310">
        <v>12</v>
      </c>
      <c r="C2310" s="1">
        <f>4.28595175060858*(10.3/7.3)</f>
        <v>6.0473017851052502</v>
      </c>
      <c r="D2310" s="1">
        <f>7.57436793728286*(10.3/7.3)</f>
        <v>10.687121884111436</v>
      </c>
      <c r="E2310" s="1">
        <f>26.5390062960613*(10.3/7.3)</f>
        <v>37.445447239648118</v>
      </c>
      <c r="F2310" s="1">
        <f>47.5243171932454*(38.9/42.5)</f>
        <v>43.498727972170457</v>
      </c>
      <c r="G2310" s="1">
        <v>1.6145206253396527</v>
      </c>
      <c r="H2310" s="1">
        <v>8.209326267881913</v>
      </c>
      <c r="I2310" s="1">
        <v>30.534046126657117</v>
      </c>
      <c r="J2310" s="1">
        <v>4.1657652886491342E-2</v>
      </c>
      <c r="K2310" s="1">
        <v>2.6681063106308733</v>
      </c>
      <c r="L2310" s="1">
        <v>5.5203336477147253</v>
      </c>
      <c r="M2310" s="1">
        <v>0.15624088630945446</v>
      </c>
      <c r="N2310" s="1">
        <v>2.0110605935982249</v>
      </c>
      <c r="O2310" s="1">
        <v>0.14732444444444445</v>
      </c>
      <c r="P2310" s="1">
        <v>0.11415889943015767</v>
      </c>
      <c r="Q2310" s="1">
        <v>2.5802841044241052</v>
      </c>
      <c r="R2310" s="2">
        <f t="shared" si="143"/>
        <v>140.61677600533801</v>
      </c>
      <c r="S2310" s="2">
        <f t="shared" si="142"/>
        <v>2.8239228629475224</v>
      </c>
      <c r="T2310" s="2">
        <f t="shared" si="144"/>
        <v>7.8349595720668495</v>
      </c>
      <c r="U2310" s="2">
        <f t="shared" si="145"/>
        <v>151.27565844035237</v>
      </c>
    </row>
    <row r="2311" spans="1:21" x14ac:dyDescent="0.25">
      <c r="A2311">
        <v>4062041</v>
      </c>
      <c r="B2311">
        <v>12</v>
      </c>
      <c r="C2311" s="1">
        <f>4.62698911014937*(10.3/7.3)</f>
        <v>6.5284914841833617</v>
      </c>
      <c r="D2311" s="1">
        <f>5.38666442715722*(10.3/7.3)</f>
        <v>7.6003621369478607</v>
      </c>
      <c r="E2311" s="1">
        <f>19.1475799996199*(10.3/7.3)</f>
        <v>27.016448492614398</v>
      </c>
      <c r="F2311" s="1">
        <f>36.4139626622991*(38.9/42.5)</f>
        <v>33.329485825021962</v>
      </c>
      <c r="G2311" s="1">
        <v>1.2274451842831156</v>
      </c>
      <c r="H2311" s="1">
        <v>5.1539576241770995</v>
      </c>
      <c r="I2311" s="1">
        <v>27.550453523055698</v>
      </c>
      <c r="J2311" s="1">
        <v>6.3992463063236443E-2</v>
      </c>
      <c r="K2311" s="1">
        <v>2.4227961786185035</v>
      </c>
      <c r="L2311" s="1">
        <v>4.7833257605144412</v>
      </c>
      <c r="M2311" s="1">
        <v>0.13677319781180561</v>
      </c>
      <c r="N2311" s="1">
        <v>3.1567803704256083</v>
      </c>
      <c r="O2311" s="1">
        <v>0.12049777777777776</v>
      </c>
      <c r="P2311" s="1">
        <v>9.6150659092015311E-2</v>
      </c>
      <c r="Q2311" s="1">
        <v>1.9616703858405977</v>
      </c>
      <c r="R2311" s="2">
        <f t="shared" si="143"/>
        <v>110.36831465612407</v>
      </c>
      <c r="S2311" s="2">
        <f t="shared" si="142"/>
        <v>2.5829393007737553</v>
      </c>
      <c r="T2311" s="2">
        <f t="shared" si="144"/>
        <v>8.1973771065296344</v>
      </c>
      <c r="U2311" s="2">
        <f t="shared" si="145"/>
        <v>121.14863106342746</v>
      </c>
    </row>
    <row r="2312" spans="1:21" x14ac:dyDescent="0.25">
      <c r="A2312">
        <v>4062049</v>
      </c>
      <c r="B2312">
        <v>20</v>
      </c>
      <c r="C2312" s="1">
        <f>4.52758211337811*(10.3/7.3)</f>
        <v>6.3882322969581606</v>
      </c>
      <c r="D2312" s="1">
        <f>5.23506889322612*(10.3/7.3)</f>
        <v>7.3864670685245297</v>
      </c>
      <c r="E2312" s="1">
        <f>18.6081704098113*(10.3/7.3)</f>
        <v>26.255363728911842</v>
      </c>
      <c r="F2312" s="1">
        <f>35.7255860510115*(38.9/42.5)</f>
        <v>32.699418761984667</v>
      </c>
      <c r="G2312" s="1">
        <v>1.2189778251858312</v>
      </c>
      <c r="H2312" s="1">
        <v>6.6436002970437524</v>
      </c>
      <c r="I2312" s="1">
        <v>27.146539431625293</v>
      </c>
      <c r="J2312" s="1">
        <v>4.3518722054407322E-2</v>
      </c>
      <c r="K2312" s="1">
        <v>2.3706507449165306</v>
      </c>
      <c r="L2312" s="1">
        <v>5.4589897491873867</v>
      </c>
      <c r="M2312" s="1">
        <v>0.13051214407977746</v>
      </c>
      <c r="N2312" s="1">
        <v>1.8306000318787423</v>
      </c>
      <c r="O2312" s="1">
        <v>0.11348799999999999</v>
      </c>
      <c r="P2312" s="1">
        <v>9.1222954590226085E-2</v>
      </c>
      <c r="Q2312" s="1">
        <v>1.9481380767810113</v>
      </c>
      <c r="R2312" s="2">
        <f t="shared" si="143"/>
        <v>109.68673748701509</v>
      </c>
      <c r="S2312" s="2">
        <f t="shared" si="142"/>
        <v>2.5053924215611638</v>
      </c>
      <c r="T2312" s="2">
        <f t="shared" si="144"/>
        <v>7.5335899251459075</v>
      </c>
      <c r="U2312" s="2">
        <f t="shared" si="145"/>
        <v>119.72571983372217</v>
      </c>
    </row>
    <row r="2313" spans="1:21" x14ac:dyDescent="0.25">
      <c r="A2313">
        <v>4062321</v>
      </c>
      <c r="B2313">
        <v>10</v>
      </c>
      <c r="C2313" s="1">
        <f>7.90370261340447*(10.3/7.3)</f>
        <v>11.151799577817259</v>
      </c>
      <c r="D2313" s="1">
        <f>8.38078034724473*(10.3/7.3)</f>
        <v>11.824936654331601</v>
      </c>
      <c r="E2313" s="1">
        <f>29.7188900445801*(10.3/7.3)</f>
        <v>41.932132528654137</v>
      </c>
      <c r="F2313" s="1">
        <f>67.2205527803697*(38.9/42.5)</f>
        <v>61.526576544856056</v>
      </c>
      <c r="G2313" s="1">
        <v>2.7529735972729563</v>
      </c>
      <c r="H2313" s="1">
        <v>9.3563981531932789</v>
      </c>
      <c r="I2313" s="1">
        <v>53.951947061649932</v>
      </c>
      <c r="J2313" s="1">
        <v>3.5384076131443988E-2</v>
      </c>
      <c r="K2313" s="1">
        <v>2.6287134980263964</v>
      </c>
      <c r="L2313" s="1">
        <v>2.9665607066293291</v>
      </c>
      <c r="M2313" s="1">
        <v>0.12481604665110983</v>
      </c>
      <c r="N2313" s="1">
        <v>1.4389400137211825</v>
      </c>
      <c r="O2313" s="1">
        <v>0.11444799999999999</v>
      </c>
      <c r="P2313" s="1">
        <v>8.7300813250079642E-2</v>
      </c>
      <c r="Q2313" s="1">
        <v>4.3997294933586115</v>
      </c>
      <c r="R2313" s="2">
        <f t="shared" si="143"/>
        <v>196.89649361113385</v>
      </c>
      <c r="S2313" s="2">
        <f t="shared" ref="S2313:S2376" si="146">J2313+K2313+P2313</f>
        <v>2.75139838740792</v>
      </c>
      <c r="T2313" s="2">
        <f t="shared" si="144"/>
        <v>4.6447647670016217</v>
      </c>
      <c r="U2313" s="2">
        <f t="shared" si="145"/>
        <v>204.2926567655434</v>
      </c>
    </row>
    <row r="2314" spans="1:21" x14ac:dyDescent="0.25">
      <c r="A2314">
        <v>4073893</v>
      </c>
      <c r="B2314">
        <v>17</v>
      </c>
      <c r="C2314" s="1">
        <f>7.09263992125619*(10.3/7.3)</f>
        <v>10.007423450539561</v>
      </c>
      <c r="D2314" s="1">
        <f>5.75147170333542*(10.3/7.3)</f>
        <v>8.1150902115554562</v>
      </c>
      <c r="E2314" s="1">
        <f>20.6512692663925*(10.3/7.3)</f>
        <v>29.138092252581167</v>
      </c>
      <c r="F2314" s="1">
        <f>50.5083809162364*(38.9/42.5)</f>
        <v>46.230023944508126</v>
      </c>
      <c r="G2314" s="1">
        <v>2.1116275543910463</v>
      </c>
      <c r="H2314" s="1">
        <v>9.7225780461962454</v>
      </c>
      <c r="I2314" s="1">
        <v>44.647669773332304</v>
      </c>
      <c r="J2314" s="1">
        <v>3.7413575528499443E-2</v>
      </c>
      <c r="K2314" s="1">
        <v>3.108510489447283</v>
      </c>
      <c r="L2314" s="1">
        <v>10.44966659373129</v>
      </c>
      <c r="M2314" s="1">
        <v>0.24974902837692786</v>
      </c>
      <c r="N2314" s="1">
        <v>1.8608581733197433</v>
      </c>
      <c r="O2314" s="1">
        <v>0.26062117647058824</v>
      </c>
      <c r="P2314" s="1">
        <v>0.22539406304655216</v>
      </c>
      <c r="Q2314" s="1">
        <v>3.3747472330450554</v>
      </c>
      <c r="R2314" s="2">
        <f t="shared" ref="R2314:R2377" si="147">C2314+D2314+E2314+F2314+G2314+H2314+I2314+Q2314</f>
        <v>153.34725246614894</v>
      </c>
      <c r="S2314" s="2">
        <f t="shared" si="146"/>
        <v>3.3713181280223345</v>
      </c>
      <c r="T2314" s="2">
        <f t="shared" ref="T2314:T2377" si="148">L2314+M2314+N2314+O2314</f>
        <v>12.820894971898548</v>
      </c>
      <c r="U2314" s="2">
        <f t="shared" ref="U2314:U2377" si="149">R2314+S2314+T2314</f>
        <v>169.53946556606982</v>
      </c>
    </row>
    <row r="2315" spans="1:21" x14ac:dyDescent="0.25">
      <c r="A2315">
        <v>4073901</v>
      </c>
      <c r="B2315">
        <v>8</v>
      </c>
      <c r="C2315" s="1">
        <f>3.35844630110125*(10.3/7.3)</f>
        <v>4.7386297125127186</v>
      </c>
      <c r="D2315" s="1">
        <f>3.74869339473558*(10.3/7.3)</f>
        <v>5.2892523240789728</v>
      </c>
      <c r="E2315" s="1">
        <f>13.0460870726422*(10.3/7.3)</f>
        <v>18.407492718933568</v>
      </c>
      <c r="F2315" s="1">
        <f>40.2637195881925*(38.9/42.5)</f>
        <v>36.853145693663244</v>
      </c>
      <c r="G2315" s="1">
        <v>2.1241715952923594</v>
      </c>
      <c r="H2315" s="1">
        <v>8.4972279307358196</v>
      </c>
      <c r="I2315" s="1">
        <v>32.946246717875255</v>
      </c>
      <c r="J2315" s="1">
        <v>3.299939561988726E-2</v>
      </c>
      <c r="K2315" s="1">
        <v>2.7632183406354676</v>
      </c>
      <c r="L2315" s="1">
        <v>9.2020436937365382</v>
      </c>
      <c r="M2315" s="1">
        <v>0.22930674995590741</v>
      </c>
      <c r="N2315" s="1">
        <v>1.6477196958639562</v>
      </c>
      <c r="O2315" s="1">
        <v>0.23126000000000002</v>
      </c>
      <c r="P2315" s="1">
        <v>0.19639939491025454</v>
      </c>
      <c r="Q2315" s="1">
        <v>3.3947947869969246</v>
      </c>
      <c r="R2315" s="2">
        <f t="shared" si="147"/>
        <v>112.25096148008885</v>
      </c>
      <c r="S2315" s="2">
        <f t="shared" si="146"/>
        <v>2.9926171311656096</v>
      </c>
      <c r="T2315" s="2">
        <f t="shared" si="148"/>
        <v>11.310330139556404</v>
      </c>
      <c r="U2315" s="2">
        <f t="shared" si="149"/>
        <v>126.55390875081086</v>
      </c>
    </row>
    <row r="2316" spans="1:21" x14ac:dyDescent="0.25">
      <c r="A2316">
        <v>4073925</v>
      </c>
      <c r="B2316">
        <v>8</v>
      </c>
      <c r="C2316" s="1">
        <f>2.46418162196668*(10.3/7.3)</f>
        <v>3.4768590008570941</v>
      </c>
      <c r="D2316" s="1">
        <f>3.18545895520486*(10.3/7.3)</f>
        <v>4.4945516765219313</v>
      </c>
      <c r="E2316" s="1">
        <f>11.0071419786645*(10.3/7.3)</f>
        <v>15.530624983595184</v>
      </c>
      <c r="F2316" s="1">
        <f>34.1122187472468*(38.9/42.5)</f>
        <v>31.222713159244737</v>
      </c>
      <c r="G2316" s="1">
        <v>1.8321952369799799</v>
      </c>
      <c r="H2316" s="1">
        <v>10.276283855157804</v>
      </c>
      <c r="I2316" s="1">
        <v>27.04669569824998</v>
      </c>
      <c r="J2316" s="1">
        <v>3.815064498115036E-2</v>
      </c>
      <c r="K2316" s="1">
        <v>3.1617758331357528</v>
      </c>
      <c r="L2316" s="1">
        <v>5.4207850504893909</v>
      </c>
      <c r="M2316" s="1">
        <v>0.24714041715023072</v>
      </c>
      <c r="N2316" s="1">
        <v>2.1645656323814078</v>
      </c>
      <c r="O2316" s="1">
        <v>0.25158666666666663</v>
      </c>
      <c r="P2316" s="1">
        <v>0.21160562435750707</v>
      </c>
      <c r="Q2316" s="1">
        <v>2.928165903849286</v>
      </c>
      <c r="R2316" s="2">
        <f t="shared" si="147"/>
        <v>96.808089514456</v>
      </c>
      <c r="S2316" s="2">
        <f t="shared" si="146"/>
        <v>3.4115321024744101</v>
      </c>
      <c r="T2316" s="2">
        <f t="shared" si="148"/>
        <v>8.0840777666876953</v>
      </c>
      <c r="U2316" s="2">
        <f t="shared" si="149"/>
        <v>108.30369938361811</v>
      </c>
    </row>
    <row r="2317" spans="1:21" x14ac:dyDescent="0.25">
      <c r="A2317">
        <v>4074141</v>
      </c>
      <c r="B2317">
        <v>25</v>
      </c>
      <c r="C2317" s="1">
        <f>4.87193724366925*(10.3/7.3)</f>
        <v>6.8741032342182509</v>
      </c>
      <c r="D2317" s="1">
        <f>6.92583614451629*(10.3/7.3)</f>
        <v>9.7720701765092919</v>
      </c>
      <c r="E2317" s="1">
        <f>24.4328309282075*(10.3/7.3)</f>
        <v>34.473720350758548</v>
      </c>
      <c r="F2317" s="1">
        <f>44.9915808400811*(38.9/42.5)</f>
        <v>41.180529286568323</v>
      </c>
      <c r="G2317" s="1">
        <v>1.5204551505275397</v>
      </c>
      <c r="H2317" s="1">
        <v>7.3960355617509048</v>
      </c>
      <c r="I2317" s="1">
        <v>31.403264425061231</v>
      </c>
      <c r="J2317" s="1">
        <v>4.1547074996578226E-2</v>
      </c>
      <c r="K2317" s="1">
        <v>2.5213332945747964</v>
      </c>
      <c r="L2317" s="1">
        <v>5.5492393824988868</v>
      </c>
      <c r="M2317" s="1">
        <v>0.16414923898419459</v>
      </c>
      <c r="N2317" s="1">
        <v>2.9602680961645582</v>
      </c>
      <c r="O2317" s="1">
        <v>0.15201280000000003</v>
      </c>
      <c r="P2317" s="1">
        <v>0.11913922764294295</v>
      </c>
      <c r="Q2317" s="1">
        <v>2.4299511538111394</v>
      </c>
      <c r="R2317" s="2">
        <f t="shared" si="147"/>
        <v>135.05012933920523</v>
      </c>
      <c r="S2317" s="2">
        <f t="shared" si="146"/>
        <v>2.6820195972143175</v>
      </c>
      <c r="T2317" s="2">
        <f t="shared" si="148"/>
        <v>8.8256695176476381</v>
      </c>
      <c r="U2317" s="2">
        <f t="shared" si="149"/>
        <v>146.55781845406719</v>
      </c>
    </row>
    <row r="2318" spans="1:21" x14ac:dyDescent="0.25">
      <c r="A2318">
        <v>4074149</v>
      </c>
      <c r="B2318">
        <v>40</v>
      </c>
      <c r="C2318" s="1">
        <f>4.77502089832961*(10.3/7.3)</f>
        <v>6.7373582538075318</v>
      </c>
      <c r="D2318" s="1">
        <f>6.94806859542903*(10.3/7.3)</f>
        <v>9.8034392510847965</v>
      </c>
      <c r="E2318" s="1">
        <f>24.432711968937*(10.3/7.3)</f>
        <v>34.47355250411654</v>
      </c>
      <c r="F2318" s="1">
        <f>47.8108386182824*(38.9/42.5)</f>
        <v>43.760979347086675</v>
      </c>
      <c r="G2318" s="1">
        <v>1.7656455497982602</v>
      </c>
      <c r="H2318" s="1">
        <v>7.27712391723915</v>
      </c>
      <c r="I2318" s="1">
        <v>33.670649321316581</v>
      </c>
      <c r="J2318" s="1">
        <v>3.8026319111063862E-2</v>
      </c>
      <c r="K2318" s="1">
        <v>2.3857125718532681</v>
      </c>
      <c r="L2318" s="1">
        <v>5.3646361631876811</v>
      </c>
      <c r="M2318" s="1">
        <v>0.15558325292045622</v>
      </c>
      <c r="N2318" s="1">
        <v>1.81419144804646</v>
      </c>
      <c r="O2318" s="1">
        <v>0.14456266666666664</v>
      </c>
      <c r="P2318" s="1">
        <v>0.11131222048449767</v>
      </c>
      <c r="Q2318" s="1">
        <v>2.8218079562985934</v>
      </c>
      <c r="R2318" s="2">
        <f t="shared" si="147"/>
        <v>140.31055610074813</v>
      </c>
      <c r="S2318" s="2">
        <f t="shared" si="146"/>
        <v>2.5350511114488294</v>
      </c>
      <c r="T2318" s="2">
        <f t="shared" si="148"/>
        <v>7.4789735308212633</v>
      </c>
      <c r="U2318" s="2">
        <f t="shared" si="149"/>
        <v>150.32458074301823</v>
      </c>
    </row>
    <row r="2319" spans="1:21" x14ac:dyDescent="0.25">
      <c r="A2319">
        <v>4074157</v>
      </c>
      <c r="B2319">
        <v>39</v>
      </c>
      <c r="C2319" s="1">
        <f>5.5613791356627*(10.3/7.3)</f>
        <v>7.8468774105925805</v>
      </c>
      <c r="D2319" s="1">
        <f>8.14838741858452*(10.3/7.3)</f>
        <v>11.497039782386373</v>
      </c>
      <c r="E2319" s="1">
        <f>28.6488271154623*(10.3/7.3)</f>
        <v>40.422317710857754</v>
      </c>
      <c r="F2319" s="1">
        <f>55.9139817363106*(38.9/42.5)</f>
        <v>51.177738577470137</v>
      </c>
      <c r="G2319" s="1">
        <v>2.0607781676263119</v>
      </c>
      <c r="H2319" s="1">
        <v>6.6354006819796378</v>
      </c>
      <c r="I2319" s="1">
        <v>39.261400696551284</v>
      </c>
      <c r="J2319" s="1">
        <v>4.167522410205008E-2</v>
      </c>
      <c r="K2319" s="1">
        <v>2.5735407948762119</v>
      </c>
      <c r="L2319" s="1">
        <v>5.7528659950499179</v>
      </c>
      <c r="M2319" s="1">
        <v>0.162831239141464</v>
      </c>
      <c r="N2319" s="1">
        <v>1.970642542620638</v>
      </c>
      <c r="O2319" s="1">
        <v>0.15286290598290597</v>
      </c>
      <c r="P2319" s="1">
        <v>0.11675359079993984</v>
      </c>
      <c r="Q2319" s="1">
        <v>3.2934810898137448</v>
      </c>
      <c r="R2319" s="2">
        <f t="shared" si="147"/>
        <v>162.19503411727783</v>
      </c>
      <c r="S2319" s="2">
        <f t="shared" si="146"/>
        <v>2.7319696097782016</v>
      </c>
      <c r="T2319" s="2">
        <f t="shared" si="148"/>
        <v>8.0392026827949259</v>
      </c>
      <c r="U2319" s="2">
        <f t="shared" si="149"/>
        <v>172.96620640985094</v>
      </c>
    </row>
    <row r="2320" spans="1:21" x14ac:dyDescent="0.25">
      <c r="A2320">
        <v>4074165</v>
      </c>
      <c r="B2320">
        <v>24</v>
      </c>
      <c r="C2320" s="1">
        <f>4.23020749315371*(10.3/7.3)</f>
        <v>5.9686489286963269</v>
      </c>
      <c r="D2320" s="1">
        <f>6.84098809770284*(10.3/7.3)</f>
        <v>9.6523530693615474</v>
      </c>
      <c r="E2320" s="1">
        <f>24.0244078777204*(10.3/7.3)</f>
        <v>33.897452211030107</v>
      </c>
      <c r="F2320" s="1">
        <f>43.8713772234511*(38.9/42.5)</f>
        <v>40.155213505699976</v>
      </c>
      <c r="G2320" s="1">
        <v>1.5065997971408958</v>
      </c>
      <c r="H2320" s="1">
        <v>8.8097628909462102</v>
      </c>
      <c r="I2320" s="1">
        <v>29.224231702451124</v>
      </c>
      <c r="J2320" s="1">
        <v>3.9780035223922205E-2</v>
      </c>
      <c r="K2320" s="1">
        <v>2.5827458251826214</v>
      </c>
      <c r="L2320" s="1">
        <v>5.4861275767870659</v>
      </c>
      <c r="M2320" s="1">
        <v>0.15105150707693066</v>
      </c>
      <c r="N2320" s="1">
        <v>1.8825078903340067</v>
      </c>
      <c r="O2320" s="1">
        <v>0.14423111111111109</v>
      </c>
      <c r="P2320" s="1">
        <v>0.11177832260157748</v>
      </c>
      <c r="Q2320" s="1">
        <v>2.4078078949740367</v>
      </c>
      <c r="R2320" s="2">
        <f t="shared" si="147"/>
        <v>131.62207000030023</v>
      </c>
      <c r="S2320" s="2">
        <f t="shared" si="146"/>
        <v>2.7343041830081214</v>
      </c>
      <c r="T2320" s="2">
        <f t="shared" si="148"/>
        <v>7.6639180853091142</v>
      </c>
      <c r="U2320" s="2">
        <f t="shared" si="149"/>
        <v>142.02029226861748</v>
      </c>
    </row>
    <row r="2321" spans="1:21" x14ac:dyDescent="0.25">
      <c r="A2321">
        <v>4074173</v>
      </c>
      <c r="B2321">
        <v>2</v>
      </c>
      <c r="C2321" s="1">
        <f>6.21733510357003*(10.3/7.3)</f>
        <v>8.7724043242152518</v>
      </c>
      <c r="D2321" s="1">
        <f>9.20858692491553*(10.3/7.3)</f>
        <v>12.992937715976707</v>
      </c>
      <c r="E2321" s="1">
        <f>32.4005373670394*(10.3/7.3)</f>
        <v>45.715826695959741</v>
      </c>
      <c r="F2321" s="1">
        <f>61.33693102693*(38.9/42.5)</f>
        <v>56.141332163472413</v>
      </c>
      <c r="G2321" s="1">
        <v>2.1759414043454499</v>
      </c>
      <c r="H2321" s="1">
        <v>8.9570028274179236</v>
      </c>
      <c r="I2321" s="1">
        <v>42.549247080405067</v>
      </c>
      <c r="J2321" s="1">
        <v>4.0280733267273987E-2</v>
      </c>
      <c r="K2321" s="1">
        <v>2.6934369987051481</v>
      </c>
      <c r="L2321" s="1">
        <v>5.3368136199331584</v>
      </c>
      <c r="M2321" s="1">
        <v>0.15426969326880621</v>
      </c>
      <c r="N2321" s="1">
        <v>2.0192519191228224</v>
      </c>
      <c r="O2321" s="1">
        <v>0.14440000000000003</v>
      </c>
      <c r="P2321" s="1">
        <v>0.11130153381012427</v>
      </c>
      <c r="Q2321" s="1">
        <v>3.4775319247530061</v>
      </c>
      <c r="R2321" s="2">
        <f t="shared" si="147"/>
        <v>180.78222413654555</v>
      </c>
      <c r="S2321" s="2">
        <f t="shared" si="146"/>
        <v>2.8450192657825464</v>
      </c>
      <c r="T2321" s="2">
        <f t="shared" si="148"/>
        <v>7.6547352323247866</v>
      </c>
      <c r="U2321" s="2">
        <f t="shared" si="149"/>
        <v>191.28197863465289</v>
      </c>
    </row>
    <row r="2322" spans="1:21" x14ac:dyDescent="0.25">
      <c r="A2322">
        <v>4074277</v>
      </c>
      <c r="B2322">
        <v>48</v>
      </c>
      <c r="C2322" s="1">
        <f>4.25228779519113*(10.3/7.3)</f>
        <v>5.9998033274614562</v>
      </c>
      <c r="D2322" s="1">
        <f>4.9692638594131*(10.3/7.3)</f>
        <v>7.0114270893088984</v>
      </c>
      <c r="E2322" s="1">
        <f>17.6552440341302*(10.3/7.3)</f>
        <v>24.910823774183772</v>
      </c>
      <c r="F2322" s="1">
        <f>33.8480953184505*(38.9/42.5)</f>
        <v>30.980962538534662</v>
      </c>
      <c r="G2322" s="1">
        <v>1.1558101639582281</v>
      </c>
      <c r="H2322" s="1">
        <v>7.3887995306524381</v>
      </c>
      <c r="I2322" s="1">
        <v>25.610909932199945</v>
      </c>
      <c r="J2322" s="1">
        <v>5.2615019388881579E-2</v>
      </c>
      <c r="K2322" s="1">
        <v>2.441136867592927</v>
      </c>
      <c r="L2322" s="1">
        <v>5.0054760159716709</v>
      </c>
      <c r="M2322" s="1">
        <v>0.13756202077930582</v>
      </c>
      <c r="N2322" s="1">
        <v>2.2149152988113543</v>
      </c>
      <c r="O2322" s="1">
        <v>0.11974111111111109</v>
      </c>
      <c r="P2322" s="1">
        <v>9.6535868240921904E-2</v>
      </c>
      <c r="Q2322" s="1">
        <v>1.8471851935405492</v>
      </c>
      <c r="R2322" s="2">
        <f t="shared" si="147"/>
        <v>104.90572154983995</v>
      </c>
      <c r="S2322" s="2">
        <f t="shared" si="146"/>
        <v>2.5902877552227306</v>
      </c>
      <c r="T2322" s="2">
        <f t="shared" si="148"/>
        <v>7.4776944466734427</v>
      </c>
      <c r="U2322" s="2">
        <f t="shared" si="149"/>
        <v>114.97370375173612</v>
      </c>
    </row>
    <row r="2323" spans="1:21" x14ac:dyDescent="0.25">
      <c r="A2323">
        <v>4074285</v>
      </c>
      <c r="B2323">
        <v>6</v>
      </c>
      <c r="C2323" s="1">
        <f>4.12763075742029*(10.3/7.3)</f>
        <v>5.8239173700587692</v>
      </c>
      <c r="D2323" s="1">
        <f>4.78413708760379*(10.3/7.3)</f>
        <v>6.7502208222354882</v>
      </c>
      <c r="E2323" s="1">
        <f>17.0032801190667*(10.3/7.3)</f>
        <v>23.990929483066658</v>
      </c>
      <c r="F2323" s="1">
        <f>32.6470989584601*(38.9/42.5)</f>
        <v>29.881697634919995</v>
      </c>
      <c r="G2323" s="1">
        <v>1.1147944374333936</v>
      </c>
      <c r="H2323" s="1">
        <v>5.5234570845243596</v>
      </c>
      <c r="I2323" s="1">
        <v>24.785224146718011</v>
      </c>
      <c r="J2323" s="1">
        <v>4.3987878949830438E-2</v>
      </c>
      <c r="K2323" s="1">
        <v>2.4744910652798744</v>
      </c>
      <c r="L2323" s="1">
        <v>6.5219433942727898</v>
      </c>
      <c r="M2323" s="1">
        <v>0.13249610681728438</v>
      </c>
      <c r="N2323" s="1">
        <v>1.8941025899651291</v>
      </c>
      <c r="O2323" s="1">
        <v>0.11555555555555554</v>
      </c>
      <c r="P2323" s="1">
        <v>9.3675011300751468E-2</v>
      </c>
      <c r="Q2323" s="1">
        <v>1.7816349456698093</v>
      </c>
      <c r="R2323" s="2">
        <f t="shared" si="147"/>
        <v>99.651875924626481</v>
      </c>
      <c r="S2323" s="2">
        <f t="shared" si="146"/>
        <v>2.6121539555304563</v>
      </c>
      <c r="T2323" s="2">
        <f t="shared" si="148"/>
        <v>8.6640976466107595</v>
      </c>
      <c r="U2323" s="2">
        <f t="shared" si="149"/>
        <v>110.9281275267677</v>
      </c>
    </row>
    <row r="2324" spans="1:21" x14ac:dyDescent="0.25">
      <c r="A2324">
        <v>4074557</v>
      </c>
      <c r="B2324">
        <v>38</v>
      </c>
      <c r="C2324" s="1">
        <f>7.56911653299689*(10.3/7.3)</f>
        <v>10.679712368475071</v>
      </c>
      <c r="D2324" s="1">
        <f>8.06981219337112*(10.3/7.3)</f>
        <v>11.386173368729109</v>
      </c>
      <c r="E2324" s="1">
        <f>28.6071518227453*(10.3/7.3)</f>
        <v>40.363515585517327</v>
      </c>
      <c r="F2324" s="1">
        <f>64.7478118757413*(38.9/42.5)</f>
        <v>59.263291340384384</v>
      </c>
      <c r="G2324" s="1">
        <v>2.6564815626626306</v>
      </c>
      <c r="H2324" s="1">
        <v>8.233650175738104</v>
      </c>
      <c r="I2324" s="1">
        <v>51.878524368879802</v>
      </c>
      <c r="J2324" s="1">
        <v>3.3928880569231622E-2</v>
      </c>
      <c r="K2324" s="1">
        <v>2.552486021155405</v>
      </c>
      <c r="L2324" s="1">
        <v>2.8270713297030055</v>
      </c>
      <c r="M2324" s="1">
        <v>0.12051426059200683</v>
      </c>
      <c r="N2324" s="1">
        <v>1.3950089349278454</v>
      </c>
      <c r="O2324" s="1">
        <v>0.11011789473684212</v>
      </c>
      <c r="P2324" s="1">
        <v>8.4533487947170555E-2</v>
      </c>
      <c r="Q2324" s="1">
        <v>4.2455184791411948</v>
      </c>
      <c r="R2324" s="2">
        <f t="shared" si="147"/>
        <v>188.70686724952762</v>
      </c>
      <c r="S2324" s="2">
        <f t="shared" si="146"/>
        <v>2.6709483896718074</v>
      </c>
      <c r="T2324" s="2">
        <f t="shared" si="148"/>
        <v>4.452712419959699</v>
      </c>
      <c r="U2324" s="2">
        <f t="shared" si="149"/>
        <v>195.83052805915915</v>
      </c>
    </row>
    <row r="2325" spans="1:21" x14ac:dyDescent="0.25">
      <c r="A2325">
        <v>4086129</v>
      </c>
      <c r="B2325">
        <v>6</v>
      </c>
      <c r="C2325" s="1">
        <f>3.53357852763332*(10.3/7.3)</f>
        <v>4.9857340869346798</v>
      </c>
      <c r="D2325" s="1">
        <f>3.956628426034*(10.3/7.3)</f>
        <v>5.5826401079657764</v>
      </c>
      <c r="E2325" s="1">
        <f>13.744722360985*(10.3/7.3)</f>
        <v>19.393238399745943</v>
      </c>
      <c r="F2325" s="1">
        <f>43.5973002723804*(38.9/42.5)</f>
        <v>39.904352484602327</v>
      </c>
      <c r="G2325" s="1">
        <v>2.3375991155164138</v>
      </c>
      <c r="H2325" s="1">
        <v>9.7704614878490901</v>
      </c>
      <c r="I2325" s="1">
        <v>35.742205126146338</v>
      </c>
      <c r="J2325" s="1">
        <v>3.5823954920942286E-2</v>
      </c>
      <c r="K2325" s="1">
        <v>3.0036786690940733</v>
      </c>
      <c r="L2325" s="1">
        <v>9.3220355458222546</v>
      </c>
      <c r="M2325" s="1">
        <v>0.24451218901062099</v>
      </c>
      <c r="N2325" s="1">
        <v>1.8190757577715388</v>
      </c>
      <c r="O2325" s="1">
        <v>0.25187555555555557</v>
      </c>
      <c r="P2325" s="1">
        <v>0.2157041853341182</v>
      </c>
      <c r="Q2325" s="1">
        <v>3.7358889974006657</v>
      </c>
      <c r="R2325" s="2">
        <f t="shared" si="147"/>
        <v>121.45211980616124</v>
      </c>
      <c r="S2325" s="2">
        <f t="shared" si="146"/>
        <v>3.2552068093491342</v>
      </c>
      <c r="T2325" s="2">
        <f t="shared" si="148"/>
        <v>11.63749904815997</v>
      </c>
      <c r="U2325" s="2">
        <f t="shared" si="149"/>
        <v>136.34482566367035</v>
      </c>
    </row>
    <row r="2326" spans="1:21" x14ac:dyDescent="0.25">
      <c r="A2326">
        <v>4086153</v>
      </c>
      <c r="B2326">
        <v>19</v>
      </c>
      <c r="C2326" s="1">
        <f>3.19878631374681*(10.3/7.3)</f>
        <v>4.513356031724947</v>
      </c>
      <c r="D2326" s="1">
        <f>4.10210185258717*(10.3/7.3)</f>
        <v>5.7878971344723134</v>
      </c>
      <c r="E2326" s="1">
        <f>14.1946715376389*(10.3/7.3)</f>
        <v>20.028098196942548</v>
      </c>
      <c r="F2326" s="1">
        <f>43.2092790484246*(38.9/42.5)</f>
        <v>39.54919894079336</v>
      </c>
      <c r="G2326" s="1">
        <v>2.2952646729892252</v>
      </c>
      <c r="H2326" s="1">
        <v>15.546026816610388</v>
      </c>
      <c r="I2326" s="1">
        <v>34.236783942185411</v>
      </c>
      <c r="J2326" s="1">
        <v>4.3275318487302462E-2</v>
      </c>
      <c r="K2326" s="1">
        <v>3.4106468114778083</v>
      </c>
      <c r="L2326" s="1">
        <v>6.3826955853464797</v>
      </c>
      <c r="M2326" s="1">
        <v>0.28200884733914922</v>
      </c>
      <c r="N2326" s="1">
        <v>2.2652204893552499</v>
      </c>
      <c r="O2326" s="1">
        <v>0.27553122807017544</v>
      </c>
      <c r="P2326" s="1">
        <v>0.22342543422416189</v>
      </c>
      <c r="Q2326" s="1">
        <v>3.6682312125398608</v>
      </c>
      <c r="R2326" s="2">
        <f t="shared" si="147"/>
        <v>125.62485694825806</v>
      </c>
      <c r="S2326" s="2">
        <f t="shared" si="146"/>
        <v>3.6773475641892723</v>
      </c>
      <c r="T2326" s="2">
        <f t="shared" si="148"/>
        <v>9.2054561501110541</v>
      </c>
      <c r="U2326" s="2">
        <f t="shared" si="149"/>
        <v>138.50766066255838</v>
      </c>
    </row>
    <row r="2327" spans="1:21" x14ac:dyDescent="0.25">
      <c r="A2327">
        <v>4086369</v>
      </c>
      <c r="B2327">
        <v>15</v>
      </c>
      <c r="C2327" s="1">
        <f>7.19580530885107*(10.3/7.3)</f>
        <v>10.152985572762475</v>
      </c>
      <c r="D2327" s="1">
        <f>8.07611698292981*(10.3/7.3)</f>
        <v>11.395069167695485</v>
      </c>
      <c r="E2327" s="1">
        <f>28.7766069962495*(10.3/7.3)</f>
        <v>40.602609871420476</v>
      </c>
      <c r="F2327" s="1">
        <f>53.851678558627*(38.9/42.5)</f>
        <v>49.290124610131535</v>
      </c>
      <c r="G2327" s="1">
        <v>1.7525555669910544</v>
      </c>
      <c r="H2327" s="1">
        <v>8.2443167470814629</v>
      </c>
      <c r="I2327" s="1">
        <v>41.20433053956792</v>
      </c>
      <c r="J2327" s="1">
        <v>4.3789297013992617E-2</v>
      </c>
      <c r="K2327" s="1">
        <v>2.4268187989776306</v>
      </c>
      <c r="L2327" s="1">
        <v>5.3049256056590304</v>
      </c>
      <c r="M2327" s="1">
        <v>0.16172747799379719</v>
      </c>
      <c r="N2327" s="1">
        <v>1.9613711091683481</v>
      </c>
      <c r="O2327" s="1">
        <v>0.15055644444444441</v>
      </c>
      <c r="P2327" s="1">
        <v>0.11507445084225683</v>
      </c>
      <c r="Q2327" s="1">
        <v>2.8008878924514593</v>
      </c>
      <c r="R2327" s="2">
        <f t="shared" si="147"/>
        <v>165.44287996810189</v>
      </c>
      <c r="S2327" s="2">
        <f t="shared" si="146"/>
        <v>2.5856825468338802</v>
      </c>
      <c r="T2327" s="2">
        <f t="shared" si="148"/>
        <v>7.5785806372656204</v>
      </c>
      <c r="U2327" s="2">
        <f t="shared" si="149"/>
        <v>175.60714315220139</v>
      </c>
    </row>
    <row r="2328" spans="1:21" x14ac:dyDescent="0.25">
      <c r="A2328">
        <v>4086377</v>
      </c>
      <c r="B2328">
        <v>17</v>
      </c>
      <c r="C2328" s="1">
        <f>4.62533932300861*(10.3/7.3)</f>
        <v>6.5261637023272216</v>
      </c>
      <c r="D2328" s="1">
        <f>7.00368808266333*(10.3/7.3)</f>
        <v>9.8819160618400375</v>
      </c>
      <c r="E2328" s="1">
        <f>24.5232084644048*(10.3/7.3)</f>
        <v>34.601239340187533</v>
      </c>
      <c r="F2328" s="1">
        <f>51.3964842868047*(38.9/42.5)</f>
        <v>47.042899735451783</v>
      </c>
      <c r="G2328" s="1">
        <v>2.0724333435748692</v>
      </c>
      <c r="H2328" s="1">
        <v>8.1801647908643105</v>
      </c>
      <c r="I2328" s="1">
        <v>36.417601251719127</v>
      </c>
      <c r="J2328" s="1">
        <v>3.9108860229618674E-2</v>
      </c>
      <c r="K2328" s="1">
        <v>2.4210879449916014</v>
      </c>
      <c r="L2328" s="1">
        <v>5.4648422611623086</v>
      </c>
      <c r="M2328" s="1">
        <v>0.1587057753153932</v>
      </c>
      <c r="N2328" s="1">
        <v>1.9352618563717865</v>
      </c>
      <c r="O2328" s="1">
        <v>0.14771764705882354</v>
      </c>
      <c r="P2328" s="1">
        <v>0.11398838306698031</v>
      </c>
      <c r="Q2328" s="1">
        <v>3.3121080833388352</v>
      </c>
      <c r="R2328" s="2">
        <f t="shared" si="147"/>
        <v>148.03452630930371</v>
      </c>
      <c r="S2328" s="2">
        <f t="shared" si="146"/>
        <v>2.5741851882882005</v>
      </c>
      <c r="T2328" s="2">
        <f t="shared" si="148"/>
        <v>7.7065275399083122</v>
      </c>
      <c r="U2328" s="2">
        <f t="shared" si="149"/>
        <v>158.31523903750022</v>
      </c>
    </row>
    <row r="2329" spans="1:21" x14ac:dyDescent="0.25">
      <c r="A2329">
        <v>4086385</v>
      </c>
      <c r="B2329">
        <v>37</v>
      </c>
      <c r="C2329" s="1">
        <f>5.00232980007444*(10.3/7.3)</f>
        <v>7.058081772707772</v>
      </c>
      <c r="D2329" s="1">
        <f>7.1735794382121*(10.3/7.3)</f>
        <v>10.121625782682834</v>
      </c>
      <c r="E2329" s="1">
        <f>25.2566641912643*(10.3/7.3)</f>
        <v>35.636115228770173</v>
      </c>
      <c r="F2329" s="1">
        <f>48.590304583311*(38.9/42.5)</f>
        <v>44.474419959783461</v>
      </c>
      <c r="G2329" s="1">
        <v>1.7498934925078877</v>
      </c>
      <c r="H2329" s="1">
        <v>5.5550203881396074</v>
      </c>
      <c r="I2329" s="1">
        <v>34.225562726393264</v>
      </c>
      <c r="J2329" s="1">
        <v>3.7920479847616921E-2</v>
      </c>
      <c r="K2329" s="1">
        <v>2.3779615040669846</v>
      </c>
      <c r="L2329" s="1">
        <v>5.1054115092998895</v>
      </c>
      <c r="M2329" s="1">
        <v>0.15418769428929541</v>
      </c>
      <c r="N2329" s="1">
        <v>1.8706396629125075</v>
      </c>
      <c r="O2329" s="1">
        <v>0.14318846846846847</v>
      </c>
      <c r="P2329" s="1">
        <v>0.11068978779750754</v>
      </c>
      <c r="Q2329" s="1">
        <v>2.7966334355148916</v>
      </c>
      <c r="R2329" s="2">
        <f t="shared" si="147"/>
        <v>141.61735278649991</v>
      </c>
      <c r="S2329" s="2">
        <f t="shared" si="146"/>
        <v>2.526571771712109</v>
      </c>
      <c r="T2329" s="2">
        <f t="shared" si="148"/>
        <v>7.2734273349701617</v>
      </c>
      <c r="U2329" s="2">
        <f t="shared" si="149"/>
        <v>151.41735189318217</v>
      </c>
    </row>
    <row r="2330" spans="1:21" x14ac:dyDescent="0.25">
      <c r="A2330">
        <v>4086393</v>
      </c>
      <c r="B2330">
        <v>14</v>
      </c>
      <c r="C2330" s="1">
        <f>4.64408246685628*(10.3/7.3)</f>
        <v>6.5526095080300975</v>
      </c>
      <c r="D2330" s="1">
        <f>7.23093240638376*(10.3/7.3)</f>
        <v>10.202548463801742</v>
      </c>
      <c r="E2330" s="1">
        <f>25.3904943165578*(10.3/7.3)</f>
        <v>35.824944035691146</v>
      </c>
      <c r="F2330" s="1">
        <f>48.272047913625*(38.9/42.5)</f>
        <v>44.183121502117913</v>
      </c>
      <c r="G2330" s="1">
        <v>1.7398641082505777</v>
      </c>
      <c r="H2330" s="1">
        <v>7.4514124938600901</v>
      </c>
      <c r="I2330" s="1">
        <v>32.985018673050654</v>
      </c>
      <c r="J2330" s="1">
        <v>4.160340049559548E-2</v>
      </c>
      <c r="K2330" s="1">
        <v>2.6008613317166493</v>
      </c>
      <c r="L2330" s="1">
        <v>5.6863758148824388</v>
      </c>
      <c r="M2330" s="1">
        <v>0.16005974135615178</v>
      </c>
      <c r="N2330" s="1">
        <v>2.021900037393515</v>
      </c>
      <c r="O2330" s="1">
        <v>0.1504304761904762</v>
      </c>
      <c r="P2330" s="1">
        <v>0.116028649107355</v>
      </c>
      <c r="Q2330" s="1">
        <v>2.7806047392132549</v>
      </c>
      <c r="R2330" s="2">
        <f t="shared" si="147"/>
        <v>141.72012352401546</v>
      </c>
      <c r="S2330" s="2">
        <f t="shared" si="146"/>
        <v>2.7584933813196</v>
      </c>
      <c r="T2330" s="2">
        <f t="shared" si="148"/>
        <v>8.0187660698225809</v>
      </c>
      <c r="U2330" s="2">
        <f t="shared" si="149"/>
        <v>152.49738297515765</v>
      </c>
    </row>
    <row r="2331" spans="1:21" x14ac:dyDescent="0.25">
      <c r="A2331">
        <v>4086401</v>
      </c>
      <c r="B2331">
        <v>15</v>
      </c>
      <c r="C2331" s="1">
        <f>4.40643502215437*(10.3/7.3)</f>
        <v>6.2172987298890492</v>
      </c>
      <c r="D2331" s="1">
        <f>6.91661897949908*(10.3/7.3)</f>
        <v>9.7590651354576039</v>
      </c>
      <c r="E2331" s="1">
        <f>24.3108351332644*(10.3/7.3)</f>
        <v>34.301589297619564</v>
      </c>
      <c r="F2331" s="1">
        <f>44.6497873793054*(38.9/42.5)</f>
        <v>40.867687742470096</v>
      </c>
      <c r="G2331" s="1">
        <v>1.5365350856918019</v>
      </c>
      <c r="H2331" s="1">
        <v>8.871346134337422</v>
      </c>
      <c r="I2331" s="1">
        <v>30.096992537950484</v>
      </c>
      <c r="J2331" s="1">
        <v>3.9142140259087056E-2</v>
      </c>
      <c r="K2331" s="1">
        <v>2.6444339207747145</v>
      </c>
      <c r="L2331" s="1">
        <v>5.3954137819455639</v>
      </c>
      <c r="M2331" s="1">
        <v>0.1498831267062595</v>
      </c>
      <c r="N2331" s="1">
        <v>1.8079121354998224</v>
      </c>
      <c r="O2331" s="1">
        <v>0.14038044444444442</v>
      </c>
      <c r="P2331" s="1">
        <v>0.10859801145736392</v>
      </c>
      <c r="Q2331" s="1">
        <v>2.4556496803293664</v>
      </c>
      <c r="R2331" s="2">
        <f t="shared" si="147"/>
        <v>134.10616434374538</v>
      </c>
      <c r="S2331" s="2">
        <f t="shared" si="146"/>
        <v>2.7921740724911652</v>
      </c>
      <c r="T2331" s="2">
        <f t="shared" si="148"/>
        <v>7.4935894885960899</v>
      </c>
      <c r="U2331" s="2">
        <f t="shared" si="149"/>
        <v>144.39192790483264</v>
      </c>
    </row>
    <row r="2332" spans="1:21" x14ac:dyDescent="0.25">
      <c r="A2332">
        <v>4086409</v>
      </c>
      <c r="B2332">
        <v>8</v>
      </c>
      <c r="C2332" s="1">
        <f>4.40958816562458*(10.3/7.3)</f>
        <v>6.2217476857442735</v>
      </c>
      <c r="D2332" s="1">
        <f>7.22118570388878*(10.3/7.3)</f>
        <v>10.188796267130751</v>
      </c>
      <c r="E2332" s="1">
        <f>25.3065706203844*(10.3/7.3)</f>
        <v>35.706531149309448</v>
      </c>
      <c r="F2332" s="1">
        <f>48.3192522362105*(38.9/42.5)</f>
        <v>44.226327340907993</v>
      </c>
      <c r="G2332" s="1">
        <v>1.7682206283832849</v>
      </c>
      <c r="H2332" s="1">
        <v>8.5199017612571293</v>
      </c>
      <c r="I2332" s="1">
        <v>32.539682605321687</v>
      </c>
      <c r="J2332" s="1">
        <v>3.9643191902751923E-2</v>
      </c>
      <c r="K2332" s="1">
        <v>2.6524728531904529</v>
      </c>
      <c r="L2332" s="1">
        <v>5.2137941804279686</v>
      </c>
      <c r="M2332" s="1">
        <v>0.15000770562877586</v>
      </c>
      <c r="N2332" s="1">
        <v>1.883604390694529</v>
      </c>
      <c r="O2332" s="1">
        <v>0.13916000000000001</v>
      </c>
      <c r="P2332" s="1">
        <v>0.1090646436023774</v>
      </c>
      <c r="Q2332" s="1">
        <v>2.8259233786947506</v>
      </c>
      <c r="R2332" s="2">
        <f t="shared" si="147"/>
        <v>141.99713081674932</v>
      </c>
      <c r="S2332" s="2">
        <f t="shared" si="146"/>
        <v>2.8011806886955819</v>
      </c>
      <c r="T2332" s="2">
        <f t="shared" si="148"/>
        <v>7.3865662767512745</v>
      </c>
      <c r="U2332" s="2">
        <f t="shared" si="149"/>
        <v>152.18487778219617</v>
      </c>
    </row>
    <row r="2333" spans="1:21" x14ac:dyDescent="0.25">
      <c r="A2333">
        <v>4086505</v>
      </c>
      <c r="B2333">
        <v>47</v>
      </c>
      <c r="C2333" s="1">
        <f>4.60149914070769*(10.3/7.3)</f>
        <v>6.4925261848341336</v>
      </c>
      <c r="D2333" s="1">
        <f>5.47262973583517*(10.3/7.3)</f>
        <v>7.7216556546715429</v>
      </c>
      <c r="E2333" s="1">
        <f>19.4167095466714*(10.3/7.3)</f>
        <v>27.396179223385698</v>
      </c>
      <c r="F2333" s="1">
        <f>37.7620661307695*(38.9/42.5)</f>
        <v>34.56339699969255</v>
      </c>
      <c r="G2333" s="1">
        <v>1.3221247894652177</v>
      </c>
      <c r="H2333" s="1">
        <v>6.7271057456839349</v>
      </c>
      <c r="I2333" s="1">
        <v>28.463815241846664</v>
      </c>
      <c r="J2333" s="1">
        <v>5.7197844961717606E-2</v>
      </c>
      <c r="K2333" s="1">
        <v>2.4635596640695092</v>
      </c>
      <c r="L2333" s="1">
        <v>4.8524107187777732</v>
      </c>
      <c r="M2333" s="1">
        <v>0.14150595715094064</v>
      </c>
      <c r="N2333" s="1">
        <v>3.070604539918881</v>
      </c>
      <c r="O2333" s="1">
        <v>0.12247943262411348</v>
      </c>
      <c r="P2333" s="1">
        <v>9.7716488566839108E-2</v>
      </c>
      <c r="Q2333" s="1">
        <v>2.1129848233462414</v>
      </c>
      <c r="R2333" s="2">
        <f t="shared" si="147"/>
        <v>114.79978866292596</v>
      </c>
      <c r="S2333" s="2">
        <f t="shared" si="146"/>
        <v>2.6184739975980658</v>
      </c>
      <c r="T2333" s="2">
        <f t="shared" si="148"/>
        <v>8.1870006484717077</v>
      </c>
      <c r="U2333" s="2">
        <f t="shared" si="149"/>
        <v>125.60526330899573</v>
      </c>
    </row>
    <row r="2334" spans="1:21" x14ac:dyDescent="0.25">
      <c r="A2334">
        <v>4086513</v>
      </c>
      <c r="B2334">
        <v>15</v>
      </c>
      <c r="C2334" s="1">
        <f>4.07837533731727*(10.3/7.3)</f>
        <v>5.7544199964887541</v>
      </c>
      <c r="D2334" s="1">
        <f>4.78171797602707*(10.3/7.3)</f>
        <v>6.7468075552162805</v>
      </c>
      <c r="E2334" s="1">
        <f>16.9814056238434*(10.3/7.3)</f>
        <v>23.960065469258428</v>
      </c>
      <c r="F2334" s="1">
        <f>32.7994802507392*(38.9/42.5)</f>
        <v>30.021171335382462</v>
      </c>
      <c r="G2334" s="1">
        <v>1.1330989543752741</v>
      </c>
      <c r="H2334" s="1">
        <v>6.1260771134907115</v>
      </c>
      <c r="I2334" s="1">
        <v>24.821338061342701</v>
      </c>
      <c r="J2334" s="1">
        <v>4.3109818652336714E-2</v>
      </c>
      <c r="K2334" s="1">
        <v>2.2919370561618964</v>
      </c>
      <c r="L2334" s="1">
        <v>5.9571075270039895</v>
      </c>
      <c r="M2334" s="1">
        <v>0.12924290106894801</v>
      </c>
      <c r="N2334" s="1">
        <v>1.8597309130300801</v>
      </c>
      <c r="O2334" s="1">
        <v>0.11231999999999999</v>
      </c>
      <c r="P2334" s="1">
        <v>9.1022128445432698E-2</v>
      </c>
      <c r="Q2334" s="1">
        <v>1.8108887398691615</v>
      </c>
      <c r="R2334" s="2">
        <f t="shared" si="147"/>
        <v>100.37386722542377</v>
      </c>
      <c r="S2334" s="2">
        <f t="shared" si="146"/>
        <v>2.4260690032596659</v>
      </c>
      <c r="T2334" s="2">
        <f t="shared" si="148"/>
        <v>8.0584013411030178</v>
      </c>
      <c r="U2334" s="2">
        <f t="shared" si="149"/>
        <v>110.85833756978646</v>
      </c>
    </row>
    <row r="2335" spans="1:21" x14ac:dyDescent="0.25">
      <c r="A2335">
        <v>4086785</v>
      </c>
      <c r="B2335">
        <v>20</v>
      </c>
      <c r="C2335" s="1">
        <f>7.99331826992614*(10.3/7.3)</f>
        <v>11.278243586334138</v>
      </c>
      <c r="D2335" s="1">
        <f>8.43986442062106*(10.3/7.3)</f>
        <v>11.908301853753002</v>
      </c>
      <c r="E2335" s="1">
        <f>29.956539896736*(10.3/7.3)</f>
        <v>42.267446703613743</v>
      </c>
      <c r="F2335" s="1">
        <f>66.6718674962254*(38.9/42.5)</f>
        <v>61.024368131839211</v>
      </c>
      <c r="G2335" s="1">
        <v>2.681354224126971</v>
      </c>
      <c r="H2335" s="1">
        <v>7.826334478755304</v>
      </c>
      <c r="I2335" s="1">
        <v>53.483923081498254</v>
      </c>
      <c r="J2335" s="1">
        <v>3.5037406384479233E-2</v>
      </c>
      <c r="K2335" s="1">
        <v>2.6242451397916682</v>
      </c>
      <c r="L2335" s="1">
        <v>2.8793346823191808</v>
      </c>
      <c r="M2335" s="1">
        <v>0.12176517565535523</v>
      </c>
      <c r="N2335" s="1">
        <v>1.4096847267372938</v>
      </c>
      <c r="O2335" s="1">
        <v>0.11165333333333334</v>
      </c>
      <c r="P2335" s="1">
        <v>8.5537584038392872E-2</v>
      </c>
      <c r="Q2335" s="1">
        <v>4.2852693079654838</v>
      </c>
      <c r="R2335" s="2">
        <f t="shared" si="147"/>
        <v>194.75524136788613</v>
      </c>
      <c r="S2335" s="2">
        <f t="shared" si="146"/>
        <v>2.7448201302145403</v>
      </c>
      <c r="T2335" s="2">
        <f t="shared" si="148"/>
        <v>4.5224379180451626</v>
      </c>
      <c r="U2335" s="2">
        <f t="shared" si="149"/>
        <v>202.02249941614585</v>
      </c>
    </row>
    <row r="2336" spans="1:21" x14ac:dyDescent="0.25">
      <c r="A2336">
        <v>4098365</v>
      </c>
      <c r="B2336">
        <v>11</v>
      </c>
      <c r="C2336" s="1">
        <f>3.97817477429466*(10.3/7.3)</f>
        <v>5.6130411198952039</v>
      </c>
      <c r="D2336" s="1">
        <f>4.52262925967789*(10.3/7.3)</f>
        <v>6.3812440239290744</v>
      </c>
      <c r="E2336" s="1">
        <f>15.6468784553684*(10.3/7.3)</f>
        <v>22.077102478122502</v>
      </c>
      <c r="F2336" s="1">
        <f>52.3256039519548*(38.9/42.5)</f>
        <v>47.893317499553902</v>
      </c>
      <c r="G2336" s="1">
        <v>2.89179374281108</v>
      </c>
      <c r="H2336" s="1">
        <v>9.2335166797687034</v>
      </c>
      <c r="I2336" s="1">
        <v>42.970111818936914</v>
      </c>
      <c r="J2336" s="1">
        <v>3.555187555275216E-2</v>
      </c>
      <c r="K2336" s="1">
        <v>2.9737047277964139</v>
      </c>
      <c r="L2336" s="1">
        <v>9.3671909934393671</v>
      </c>
      <c r="M2336" s="1">
        <v>0.2437897088618721</v>
      </c>
      <c r="N2336" s="1">
        <v>1.8149432345539429</v>
      </c>
      <c r="O2336" s="1">
        <v>0.24946424242424248</v>
      </c>
      <c r="P2336" s="1">
        <v>0.21287674972253676</v>
      </c>
      <c r="Q2336" s="1">
        <v>4.6215881734423689</v>
      </c>
      <c r="R2336" s="2">
        <f t="shared" si="147"/>
        <v>141.68171553645976</v>
      </c>
      <c r="S2336" s="2">
        <f t="shared" si="146"/>
        <v>3.2221333530717025</v>
      </c>
      <c r="T2336" s="2">
        <f t="shared" si="148"/>
        <v>11.675388179279423</v>
      </c>
      <c r="U2336" s="2">
        <f t="shared" si="149"/>
        <v>156.5792370688109</v>
      </c>
    </row>
    <row r="2337" spans="1:21" x14ac:dyDescent="0.25">
      <c r="A2337">
        <v>4098389</v>
      </c>
      <c r="B2337">
        <v>12</v>
      </c>
      <c r="C2337" s="1">
        <f>2.39227335535401*(10.3/7.3)</f>
        <v>3.3753993918008676</v>
      </c>
      <c r="D2337" s="1">
        <f>3.03391947701728*(10.3/7.3)</f>
        <v>4.2807357004490418</v>
      </c>
      <c r="E2337" s="1">
        <f>10.5234718011411*(10.3/7.3)</f>
        <v>14.848186239966196</v>
      </c>
      <c r="F2337" s="1">
        <f>31.0083070261681*(38.9/42.5)</f>
        <v>28.381721019245624</v>
      </c>
      <c r="G2337" s="1">
        <v>1.6135370883800946</v>
      </c>
      <c r="H2337" s="1">
        <v>9.0087887366332584</v>
      </c>
      <c r="I2337" s="1">
        <v>24.522917933443953</v>
      </c>
      <c r="J2337" s="1">
        <v>3.3280154268489869E-2</v>
      </c>
      <c r="K2337" s="1">
        <v>2.7170185254958725</v>
      </c>
      <c r="L2337" s="1">
        <v>4.8081418365635313</v>
      </c>
      <c r="M2337" s="1">
        <v>0.22416986210379555</v>
      </c>
      <c r="N2337" s="1">
        <v>1.7341602711408994</v>
      </c>
      <c r="O2337" s="1">
        <v>0.22075111111111109</v>
      </c>
      <c r="P2337" s="1">
        <v>0.18177392416038626</v>
      </c>
      <c r="Q2337" s="1">
        <v>2.578712241703351</v>
      </c>
      <c r="R2337" s="2">
        <f t="shared" si="147"/>
        <v>88.609998351622394</v>
      </c>
      <c r="S2337" s="2">
        <f t="shared" si="146"/>
        <v>2.9320726039247487</v>
      </c>
      <c r="T2337" s="2">
        <f t="shared" si="148"/>
        <v>6.9872230809193372</v>
      </c>
      <c r="U2337" s="2">
        <f t="shared" si="149"/>
        <v>98.529294036466482</v>
      </c>
    </row>
    <row r="2338" spans="1:21" x14ac:dyDescent="0.25">
      <c r="A2338">
        <v>4098597</v>
      </c>
      <c r="B2338">
        <v>29</v>
      </c>
      <c r="C2338" s="1">
        <f>7.51453031559634*(10.3/7.3)</f>
        <v>10.602693458992098</v>
      </c>
      <c r="D2338" s="1">
        <f>8.04065559390709*(10.3/7.3)</f>
        <v>11.34503460510178</v>
      </c>
      <c r="E2338" s="1">
        <f>28.7019302742499*(10.3/7.3)</f>
        <v>40.497244085585464</v>
      </c>
      <c r="F2338" s="1">
        <f>54.6356071683304*(38.9/42.5)</f>
        <v>50.007649855248268</v>
      </c>
      <c r="G2338" s="1">
        <v>1.8002611176739596</v>
      </c>
      <c r="H2338" s="1">
        <v>7.1177874101376775</v>
      </c>
      <c r="I2338" s="1">
        <v>42.715233634779899</v>
      </c>
      <c r="J2338" s="1">
        <v>4.3943788648720956E-2</v>
      </c>
      <c r="K2338" s="1">
        <v>2.445327289359986</v>
      </c>
      <c r="L2338" s="1">
        <v>5.3595445692714927</v>
      </c>
      <c r="M2338" s="1">
        <v>0.16375744641776752</v>
      </c>
      <c r="N2338" s="1">
        <v>1.9336684167208107</v>
      </c>
      <c r="O2338" s="1">
        <v>0.15211218390804598</v>
      </c>
      <c r="P2338" s="1">
        <v>0.11665053012338959</v>
      </c>
      <c r="Q2338" s="1">
        <v>2.8771296401182034</v>
      </c>
      <c r="R2338" s="2">
        <f t="shared" si="147"/>
        <v>166.96303380763734</v>
      </c>
      <c r="S2338" s="2">
        <f t="shared" si="146"/>
        <v>2.6059216081320966</v>
      </c>
      <c r="T2338" s="2">
        <f t="shared" si="148"/>
        <v>7.6090826163181164</v>
      </c>
      <c r="U2338" s="2">
        <f t="shared" si="149"/>
        <v>177.17803803208756</v>
      </c>
    </row>
    <row r="2339" spans="1:21" x14ac:dyDescent="0.25">
      <c r="A2339">
        <v>4098605</v>
      </c>
      <c r="B2339">
        <v>17</v>
      </c>
      <c r="C2339" s="1">
        <f>5.34554462535531*(10.3/7.3)</f>
        <v>7.5423437864602327</v>
      </c>
      <c r="D2339" s="1">
        <f>7.26890368418813*(10.3/7.3)</f>
        <v>10.256124376320233</v>
      </c>
      <c r="E2339" s="1">
        <f>25.6553790099687*(10.3/7.3)</f>
        <v>36.19868545242155</v>
      </c>
      <c r="F2339" s="1">
        <f>48.9623911532773*(38.9/42.5)</f>
        <v>44.814988608529077</v>
      </c>
      <c r="G2339" s="1">
        <v>1.7241034732133849</v>
      </c>
      <c r="H2339" s="1">
        <v>8.9571016240650749</v>
      </c>
      <c r="I2339" s="1">
        <v>35.042367134614274</v>
      </c>
      <c r="J2339" s="1">
        <v>4.3436928061981413E-2</v>
      </c>
      <c r="K2339" s="1">
        <v>2.4189990832559869</v>
      </c>
      <c r="L2339" s="1">
        <v>5.4576428034760154</v>
      </c>
      <c r="M2339" s="1">
        <v>0.16120512870343312</v>
      </c>
      <c r="N2339" s="1">
        <v>3.234077429259389</v>
      </c>
      <c r="O2339" s="1">
        <v>0.14833882352941175</v>
      </c>
      <c r="P2339" s="1">
        <v>0.11427074549789339</v>
      </c>
      <c r="Q2339" s="1">
        <v>2.7554165097017598</v>
      </c>
      <c r="R2339" s="2">
        <f t="shared" si="147"/>
        <v>147.29113096532558</v>
      </c>
      <c r="S2339" s="2">
        <f t="shared" si="146"/>
        <v>2.5767067568158617</v>
      </c>
      <c r="T2339" s="2">
        <f t="shared" si="148"/>
        <v>9.0012641849682513</v>
      </c>
      <c r="U2339" s="2">
        <f t="shared" si="149"/>
        <v>158.86910190710969</v>
      </c>
    </row>
    <row r="2340" spans="1:21" x14ac:dyDescent="0.25">
      <c r="A2340">
        <v>4098629</v>
      </c>
      <c r="B2340">
        <v>10</v>
      </c>
      <c r="C2340" s="1">
        <f>5.46536017240154*(10.3/7.3)</f>
        <v>7.711398599415868</v>
      </c>
      <c r="D2340" s="1">
        <f>8.82337192048233*(10.3/7.3)</f>
        <v>12.449415175475064</v>
      </c>
      <c r="E2340" s="1">
        <f>30.9848132993162*(10.3/7.3)</f>
        <v>43.718298216843444</v>
      </c>
      <c r="F2340" s="1">
        <f>56.7458911070255*(38.9/42.5)</f>
        <v>51.939180330900946</v>
      </c>
      <c r="G2340" s="1">
        <v>1.9562013650900514</v>
      </c>
      <c r="H2340" s="1">
        <v>9.6745035976922402</v>
      </c>
      <c r="I2340" s="1">
        <v>37.859073651691645</v>
      </c>
      <c r="J2340" s="1">
        <v>4.4052941407441121E-2</v>
      </c>
      <c r="K2340" s="1">
        <v>2.7208262410852426</v>
      </c>
      <c r="L2340" s="1">
        <v>5.7394699637126916</v>
      </c>
      <c r="M2340" s="1">
        <v>0.16513769986092178</v>
      </c>
      <c r="N2340" s="1">
        <v>2.0844312039034554</v>
      </c>
      <c r="O2340" s="1">
        <v>0.15431999999999998</v>
      </c>
      <c r="P2340" s="1">
        <v>0.11664407732680367</v>
      </c>
      <c r="Q2340" s="1">
        <v>3.1263492136142412</v>
      </c>
      <c r="R2340" s="2">
        <f t="shared" si="147"/>
        <v>168.43442015072353</v>
      </c>
      <c r="S2340" s="2">
        <f t="shared" si="146"/>
        <v>2.8815232598194873</v>
      </c>
      <c r="T2340" s="2">
        <f t="shared" si="148"/>
        <v>8.1433588674770689</v>
      </c>
      <c r="U2340" s="2">
        <f t="shared" si="149"/>
        <v>179.45930227802009</v>
      </c>
    </row>
    <row r="2341" spans="1:21" x14ac:dyDescent="0.25">
      <c r="A2341">
        <v>4098637</v>
      </c>
      <c r="B2341">
        <v>57</v>
      </c>
      <c r="C2341" s="1">
        <f>4.71691396688945*(10.3/7.3)</f>
        <v>6.6553717615015549</v>
      </c>
      <c r="D2341" s="1">
        <f>7.37642040764584*(10.3/7.3)</f>
        <v>10.40782605462358</v>
      </c>
      <c r="E2341" s="1">
        <f>25.9246870485356*(10.3/7.3)</f>
        <v>36.578668027385838</v>
      </c>
      <c r="F2341" s="1">
        <f>47.9050373049571*(38.9/42.5)</f>
        <v>43.847198850890159</v>
      </c>
      <c r="G2341" s="1">
        <v>1.6617351053168967</v>
      </c>
      <c r="H2341" s="1">
        <v>7.0944485700007984</v>
      </c>
      <c r="I2341" s="1">
        <v>32.395456943887183</v>
      </c>
      <c r="J2341" s="1">
        <v>4.4240982331839936E-2</v>
      </c>
      <c r="K2341" s="1">
        <v>2.9566986098134085</v>
      </c>
      <c r="L2341" s="1">
        <v>5.5562926898514382</v>
      </c>
      <c r="M2341" s="1">
        <v>0.15874013429505315</v>
      </c>
      <c r="N2341" s="1">
        <v>1.9840351246027383</v>
      </c>
      <c r="O2341" s="1">
        <v>0.14793076023391813</v>
      </c>
      <c r="P2341" s="1">
        <v>0.11378480526412188</v>
      </c>
      <c r="Q2341" s="1">
        <v>2.6557410358945868</v>
      </c>
      <c r="R2341" s="2">
        <f t="shared" si="147"/>
        <v>141.29644634950057</v>
      </c>
      <c r="S2341" s="2">
        <f t="shared" si="146"/>
        <v>3.1147243974093706</v>
      </c>
      <c r="T2341" s="2">
        <f t="shared" si="148"/>
        <v>7.8469987089831479</v>
      </c>
      <c r="U2341" s="2">
        <f t="shared" si="149"/>
        <v>152.25816945589307</v>
      </c>
    </row>
    <row r="2342" spans="1:21" x14ac:dyDescent="0.25">
      <c r="A2342">
        <v>4098645</v>
      </c>
      <c r="B2342">
        <v>8</v>
      </c>
      <c r="C2342" s="1">
        <f>4.31648745579374*(10.3/7.3)</f>
        <v>6.0903864102295193</v>
      </c>
      <c r="D2342" s="1">
        <f>7.38420066577979*(10.3/7.3)</f>
        <v>10.418803679113953</v>
      </c>
      <c r="E2342" s="1">
        <f>25.8890755393868*(10.3/7.3)</f>
        <v>36.528421651463539</v>
      </c>
      <c r="F2342" s="1">
        <f>46.9275196659693*(38.9/42.5)</f>
        <v>42.952482706028341</v>
      </c>
      <c r="G2342" s="1">
        <v>1.6125088451951028</v>
      </c>
      <c r="H2342" s="1">
        <v>7.6440200859339633</v>
      </c>
      <c r="I2342" s="1">
        <v>30.609685799158118</v>
      </c>
      <c r="J2342" s="1">
        <v>3.9162649077246946E-2</v>
      </c>
      <c r="K2342" s="1">
        <v>2.5325645776353127</v>
      </c>
      <c r="L2342" s="1">
        <v>4.9924901897357739</v>
      </c>
      <c r="M2342" s="1">
        <v>0.14749986376977567</v>
      </c>
      <c r="N2342" s="1">
        <v>1.8733651512646632</v>
      </c>
      <c r="O2342" s="1">
        <v>0.13613999999999998</v>
      </c>
      <c r="P2342" s="1">
        <v>0.10679814889643563</v>
      </c>
      <c r="Q2342" s="1">
        <v>2.5770689306771075</v>
      </c>
      <c r="R2342" s="2">
        <f t="shared" si="147"/>
        <v>138.43337810779965</v>
      </c>
      <c r="S2342" s="2">
        <f t="shared" si="146"/>
        <v>2.6785253756089951</v>
      </c>
      <c r="T2342" s="2">
        <f t="shared" si="148"/>
        <v>7.1494952047702123</v>
      </c>
      <c r="U2342" s="2">
        <f t="shared" si="149"/>
        <v>148.26139868817884</v>
      </c>
    </row>
    <row r="2343" spans="1:21" x14ac:dyDescent="0.25">
      <c r="A2343">
        <v>4098653</v>
      </c>
      <c r="B2343">
        <v>16</v>
      </c>
      <c r="C2343" s="1">
        <f>4.51553378622353*(10.3/7.3)</f>
        <v>6.3712326024797798</v>
      </c>
      <c r="D2343" s="1">
        <f>8.1794867591083*(10.3/7.3)</f>
        <v>11.540919673810343</v>
      </c>
      <c r="E2343" s="1">
        <f>28.6582386929127*(10.3/7.3)</f>
        <v>40.435597059863191</v>
      </c>
      <c r="F2343" s="1">
        <f>50.233076129151*(38.9/42.5)</f>
        <v>45.978039092328764</v>
      </c>
      <c r="G2343" s="1">
        <v>1.6603892126353965</v>
      </c>
      <c r="H2343" s="1">
        <v>7.966492342237026</v>
      </c>
      <c r="I2343" s="1">
        <v>31.74317954208615</v>
      </c>
      <c r="J2343" s="1">
        <v>4.6205836913759783E-2</v>
      </c>
      <c r="K2343" s="1">
        <v>2.8448944763091171</v>
      </c>
      <c r="L2343" s="1">
        <v>5.1060740227355064</v>
      </c>
      <c r="M2343" s="1">
        <v>0.1557918358656564</v>
      </c>
      <c r="N2343" s="1">
        <v>2.0289693814060934</v>
      </c>
      <c r="O2343" s="1">
        <v>0.14313666666666663</v>
      </c>
      <c r="P2343" s="1">
        <v>0.11200697049553868</v>
      </c>
      <c r="Q2343" s="1">
        <v>2.653590065855659</v>
      </c>
      <c r="R2343" s="2">
        <f t="shared" si="147"/>
        <v>148.34943959129632</v>
      </c>
      <c r="S2343" s="2">
        <f t="shared" si="146"/>
        <v>3.0031072837184154</v>
      </c>
      <c r="T2343" s="2">
        <f t="shared" si="148"/>
        <v>7.4339719066739232</v>
      </c>
      <c r="U2343" s="2">
        <f t="shared" si="149"/>
        <v>158.78651878168864</v>
      </c>
    </row>
    <row r="2344" spans="1:21" x14ac:dyDescent="0.25">
      <c r="A2344">
        <v>4098661</v>
      </c>
      <c r="B2344">
        <v>2</v>
      </c>
      <c r="C2344" s="1">
        <f>4.18803834811268*(10.3/7.3)</f>
        <v>5.9091499980219968</v>
      </c>
      <c r="D2344" s="1">
        <f>6.57452091407479*(10.3/7.3)</f>
        <v>9.2763788239685354</v>
      </c>
      <c r="E2344" s="1">
        <f>23.110450738749*(10.3/7.3)</f>
        <v>32.607896247823987</v>
      </c>
      <c r="F2344" s="1">
        <f>42.3381049923256*(38.9/42.5)</f>
        <v>38.751818451799188</v>
      </c>
      <c r="G2344" s="1">
        <v>1.4517005523073934</v>
      </c>
      <c r="H2344" s="1">
        <v>9.0443390635000025</v>
      </c>
      <c r="I2344" s="1">
        <v>28.514161529540829</v>
      </c>
      <c r="J2344" s="1">
        <v>4.1990744381432986E-2</v>
      </c>
      <c r="K2344" s="1">
        <v>3.2121046775855722</v>
      </c>
      <c r="L2344" s="1">
        <v>4.9656942646806197</v>
      </c>
      <c r="M2344" s="1">
        <v>0.1538788474467559</v>
      </c>
      <c r="N2344" s="1">
        <v>2.0693082335528352</v>
      </c>
      <c r="O2344" s="1">
        <v>0.13930666666666666</v>
      </c>
      <c r="P2344" s="1">
        <v>0.11001629958732614</v>
      </c>
      <c r="Q2344" s="1">
        <v>2.3200693758337367</v>
      </c>
      <c r="R2344" s="2">
        <f t="shared" si="147"/>
        <v>127.87551404279567</v>
      </c>
      <c r="S2344" s="2">
        <f t="shared" si="146"/>
        <v>3.3641117215543312</v>
      </c>
      <c r="T2344" s="2">
        <f t="shared" si="148"/>
        <v>7.3281880123468772</v>
      </c>
      <c r="U2344" s="2">
        <f t="shared" si="149"/>
        <v>138.56781377669688</v>
      </c>
    </row>
    <row r="2345" spans="1:21" x14ac:dyDescent="0.25">
      <c r="A2345">
        <v>4098685</v>
      </c>
      <c r="B2345">
        <v>7</v>
      </c>
      <c r="C2345" s="1">
        <f>12.5160355333788*(10.3/7.3)</f>
        <v>17.65961177997281</v>
      </c>
      <c r="D2345" s="1">
        <f>11.3751380333567*(10.3/7.3)</f>
        <v>16.049852293640296</v>
      </c>
      <c r="E2345" s="1">
        <f>40.9370173071155*(10.3/7.3)</f>
        <v>57.760449077163024</v>
      </c>
      <c r="F2345" s="1">
        <f>80.1562819812852*(38.9/42.5)</f>
        <v>73.3665733899293</v>
      </c>
      <c r="G2345" s="1">
        <v>2.6190695108516979</v>
      </c>
      <c r="H2345" s="1">
        <v>8.6626029327126695</v>
      </c>
      <c r="I2345" s="1">
        <v>67.161789832654108</v>
      </c>
      <c r="J2345" s="1">
        <v>3.9052022693576605E-2</v>
      </c>
      <c r="K2345" s="1">
        <v>2.5609288276602125</v>
      </c>
      <c r="L2345" s="1">
        <v>4.5028964529584181</v>
      </c>
      <c r="M2345" s="1">
        <v>0.14099782969579741</v>
      </c>
      <c r="N2345" s="1">
        <v>2.092745037595225</v>
      </c>
      <c r="O2345" s="1">
        <v>0.12550857142857144</v>
      </c>
      <c r="P2345" s="1">
        <v>9.9854053529730175E-2</v>
      </c>
      <c r="Q2345" s="1">
        <v>4.1857275287584255</v>
      </c>
      <c r="R2345" s="2">
        <f t="shared" si="147"/>
        <v>247.46567634568234</v>
      </c>
      <c r="S2345" s="2">
        <f t="shared" si="146"/>
        <v>2.6998349038835192</v>
      </c>
      <c r="T2345" s="2">
        <f t="shared" si="148"/>
        <v>6.8621478916780108</v>
      </c>
      <c r="U2345" s="2">
        <f t="shared" si="149"/>
        <v>257.02765914124387</v>
      </c>
    </row>
    <row r="2346" spans="1:21" x14ac:dyDescent="0.25">
      <c r="A2346">
        <v>4098741</v>
      </c>
      <c r="B2346">
        <v>23</v>
      </c>
      <c r="C2346" s="1">
        <f>4.0663861766992*(10.3/7.3)</f>
        <v>5.7375037835618903</v>
      </c>
      <c r="D2346" s="1">
        <f>4.99217818896292*(10.3/7.3)</f>
        <v>7.0437582666189114</v>
      </c>
      <c r="E2346" s="1">
        <f>17.6324440254705*(10.3/7.3)</f>
        <v>24.878653898951502</v>
      </c>
      <c r="F2346" s="1">
        <f>36.9874807987936*(38.9/42.5)</f>
        <v>33.854423601719283</v>
      </c>
      <c r="G2346" s="1">
        <v>1.4365393106383197</v>
      </c>
      <c r="H2346" s="1">
        <v>8.6624986132715787</v>
      </c>
      <c r="I2346" s="1">
        <v>27.96946983479523</v>
      </c>
      <c r="J2346" s="1">
        <v>4.7088861452170908E-2</v>
      </c>
      <c r="K2346" s="1">
        <v>2.3224901144966701</v>
      </c>
      <c r="L2346" s="1">
        <v>5.0636700278787359</v>
      </c>
      <c r="M2346" s="1">
        <v>0.13314676368098147</v>
      </c>
      <c r="N2346" s="1">
        <v>2.3726363808607398</v>
      </c>
      <c r="O2346" s="1">
        <v>0.11550144927536232</v>
      </c>
      <c r="P2346" s="1">
        <v>9.3091601260293366E-2</v>
      </c>
      <c r="Q2346" s="1">
        <v>2.2958390809288245</v>
      </c>
      <c r="R2346" s="2">
        <f t="shared" si="147"/>
        <v>111.87868639048556</v>
      </c>
      <c r="S2346" s="2">
        <f t="shared" si="146"/>
        <v>2.4626705772091344</v>
      </c>
      <c r="T2346" s="2">
        <f t="shared" si="148"/>
        <v>7.6849546216958196</v>
      </c>
      <c r="U2346" s="2">
        <f t="shared" si="149"/>
        <v>122.02631158939052</v>
      </c>
    </row>
    <row r="2347" spans="1:21" x14ac:dyDescent="0.25">
      <c r="A2347">
        <v>4099021</v>
      </c>
      <c r="B2347">
        <v>7</v>
      </c>
      <c r="C2347" s="1">
        <f>7.1516138845769*(10.3/7.3)</f>
        <v>10.090633289197539</v>
      </c>
      <c r="D2347" s="1">
        <f>7.68129331203136*(10.3/7.3)</f>
        <v>10.837989193688086</v>
      </c>
      <c r="E2347" s="1">
        <f>27.2269626817313*(10.3/7.3)</f>
        <v>38.416125427648218</v>
      </c>
      <c r="F2347" s="1">
        <f>61.2371410573005*(38.9/42.5)</f>
        <v>56.049994991270367</v>
      </c>
      <c r="G2347" s="1">
        <v>2.4996655693199208</v>
      </c>
      <c r="H2347" s="1">
        <v>8.187052328551454</v>
      </c>
      <c r="I2347" s="1">
        <v>48.908949142801312</v>
      </c>
      <c r="J2347" s="1">
        <v>3.2529612346766656E-2</v>
      </c>
      <c r="K2347" s="1">
        <v>2.4790615072349418</v>
      </c>
      <c r="L2347" s="1">
        <v>2.6237507007021046</v>
      </c>
      <c r="M2347" s="1">
        <v>0.11377548353431866</v>
      </c>
      <c r="N2347" s="1">
        <v>1.3117716502426406</v>
      </c>
      <c r="O2347" s="1">
        <v>0.10443428571428572</v>
      </c>
      <c r="P2347" s="1">
        <v>8.0480185496432571E-2</v>
      </c>
      <c r="Q2347" s="1">
        <v>3.9948993116985081</v>
      </c>
      <c r="R2347" s="2">
        <f t="shared" si="147"/>
        <v>178.98530925417541</v>
      </c>
      <c r="S2347" s="2">
        <f t="shared" si="146"/>
        <v>2.5920713050781408</v>
      </c>
      <c r="T2347" s="2">
        <f t="shared" si="148"/>
        <v>4.1537321201933493</v>
      </c>
      <c r="U2347" s="2">
        <f t="shared" si="149"/>
        <v>185.73111267944691</v>
      </c>
    </row>
    <row r="2348" spans="1:21" x14ac:dyDescent="0.25">
      <c r="A2348">
        <v>4110601</v>
      </c>
      <c r="B2348">
        <v>11</v>
      </c>
      <c r="C2348" s="1">
        <f>4.05030179966483*(10.3/7.3)</f>
        <v>5.714809388568181</v>
      </c>
      <c r="D2348" s="1">
        <f>4.14690953976565*(10.3/7.3)</f>
        <v>5.8511189396693393</v>
      </c>
      <c r="E2348" s="1">
        <f>14.6537894988556*(10.3/7.3)</f>
        <v>20.675894772357871</v>
      </c>
      <c r="F2348" s="1">
        <f>37.1597589904701*(38.9/42.5)</f>
        <v>34.012108817159707</v>
      </c>
      <c r="G2348" s="1">
        <v>1.6844330335145052</v>
      </c>
      <c r="H2348" s="1">
        <v>9.833571588514463</v>
      </c>
      <c r="I2348" s="1">
        <v>30.521384791629661</v>
      </c>
      <c r="J2348" s="1">
        <v>3.6500038719592419E-2</v>
      </c>
      <c r="K2348" s="1">
        <v>2.9521965399357626</v>
      </c>
      <c r="L2348" s="1">
        <v>11.710406243454843</v>
      </c>
      <c r="M2348" s="1">
        <v>0.24769748546358841</v>
      </c>
      <c r="N2348" s="1">
        <v>1.8453399271259627</v>
      </c>
      <c r="O2348" s="1">
        <v>0.24827151515151513</v>
      </c>
      <c r="P2348" s="1">
        <v>0.20947553183989659</v>
      </c>
      <c r="Q2348" s="1">
        <v>2.6920162636076594</v>
      </c>
      <c r="R2348" s="2">
        <f t="shared" si="147"/>
        <v>110.98533759502138</v>
      </c>
      <c r="S2348" s="2">
        <f t="shared" si="146"/>
        <v>3.1981721104952516</v>
      </c>
      <c r="T2348" s="2">
        <f t="shared" si="148"/>
        <v>14.051715171195909</v>
      </c>
      <c r="U2348" s="2">
        <f t="shared" si="149"/>
        <v>128.23522487671255</v>
      </c>
    </row>
    <row r="2349" spans="1:21" x14ac:dyDescent="0.25">
      <c r="A2349">
        <v>4110617</v>
      </c>
      <c r="B2349">
        <v>8</v>
      </c>
      <c r="C2349" s="1">
        <f>2.96428677183344*(10.3/7.3)</f>
        <v>4.1824868150526591</v>
      </c>
      <c r="D2349" s="1">
        <f>3.74077428187538*(10.3/7.3)</f>
        <v>5.2780787812762275</v>
      </c>
      <c r="E2349" s="1">
        <f>12.9582142857015*(10.3/7.3)</f>
        <v>18.283507827770599</v>
      </c>
      <c r="F2349" s="1">
        <f>39.2070536412563*(38.9/42.5)</f>
        <v>35.885985568114549</v>
      </c>
      <c r="G2349" s="1">
        <v>2.0718653115340553</v>
      </c>
      <c r="H2349" s="1">
        <v>11.802988443592621</v>
      </c>
      <c r="I2349" s="1">
        <v>31.147994510799069</v>
      </c>
      <c r="J2349" s="1">
        <v>4.1946190741982192E-2</v>
      </c>
      <c r="K2349" s="1">
        <v>3.2475665966039924</v>
      </c>
      <c r="L2349" s="1">
        <v>7.4956804673324573</v>
      </c>
      <c r="M2349" s="1">
        <v>0.27014392304085061</v>
      </c>
      <c r="N2349" s="1">
        <v>2.139300071239727</v>
      </c>
      <c r="O2349" s="1">
        <v>0.26412666666666668</v>
      </c>
      <c r="P2349" s="1">
        <v>0.21602453236879554</v>
      </c>
      <c r="Q2349" s="1">
        <v>3.3112002695749778</v>
      </c>
      <c r="R2349" s="2">
        <f t="shared" si="147"/>
        <v>111.96410752771476</v>
      </c>
      <c r="S2349" s="2">
        <f t="shared" si="146"/>
        <v>3.5055373197147701</v>
      </c>
      <c r="T2349" s="2">
        <f t="shared" si="148"/>
        <v>10.169251128279701</v>
      </c>
      <c r="U2349" s="2">
        <f t="shared" si="149"/>
        <v>125.63889597570923</v>
      </c>
    </row>
    <row r="2350" spans="1:21" x14ac:dyDescent="0.25">
      <c r="A2350">
        <v>4110625</v>
      </c>
      <c r="B2350">
        <v>9</v>
      </c>
      <c r="C2350" s="1">
        <f>4.14927127892108*(10.3/7.3)</f>
        <v>5.8544512565598827</v>
      </c>
      <c r="D2350" s="1">
        <f>5.47240767180127*(10.3/7.3)</f>
        <v>7.7213423314456229</v>
      </c>
      <c r="E2350" s="1">
        <f>18.9530481379508*(10.3/7.3)</f>
        <v>26.741972030259408</v>
      </c>
      <c r="F2350" s="1">
        <f>55.6480618965444*(38.9/42.5)</f>
        <v>50.934343712366484</v>
      </c>
      <c r="G2350" s="1">
        <v>2.9013744223950919</v>
      </c>
      <c r="H2350" s="1">
        <v>20.981224407496242</v>
      </c>
      <c r="I2350" s="1">
        <v>43.61288976418566</v>
      </c>
      <c r="J2350" s="1">
        <v>5.5358722085007396E-2</v>
      </c>
      <c r="K2350" s="1">
        <v>4.1577688098639314</v>
      </c>
      <c r="L2350" s="1">
        <v>8.7534205626405441</v>
      </c>
      <c r="M2350" s="1">
        <v>0.37628215074766208</v>
      </c>
      <c r="N2350" s="1">
        <v>2.7993007301707173</v>
      </c>
      <c r="O2350" s="1">
        <v>0.34898370370370374</v>
      </c>
      <c r="P2350" s="1">
        <v>0.25645310031425267</v>
      </c>
      <c r="Q2350" s="1">
        <v>4.6368997618186452</v>
      </c>
      <c r="R2350" s="2">
        <f t="shared" si="147"/>
        <v>163.38449768652706</v>
      </c>
      <c r="S2350" s="2">
        <f t="shared" si="146"/>
        <v>4.4695806322631917</v>
      </c>
      <c r="T2350" s="2">
        <f t="shared" si="148"/>
        <v>12.277987147262627</v>
      </c>
      <c r="U2350" s="2">
        <f t="shared" si="149"/>
        <v>180.13206546605286</v>
      </c>
    </row>
    <row r="2351" spans="1:21" x14ac:dyDescent="0.25">
      <c r="A2351">
        <v>4110753</v>
      </c>
      <c r="B2351">
        <v>4</v>
      </c>
      <c r="C2351" s="1">
        <f>4.25076930767785*(10.3/7.3)</f>
        <v>5.99766080398381</v>
      </c>
      <c r="D2351" s="1">
        <f>6.03235753999284*(10.3/7.3)</f>
        <v>8.5114085838255136</v>
      </c>
      <c r="E2351" s="1">
        <f>21.1384471989712*(10.3/7.3)</f>
        <v>29.825480294438858</v>
      </c>
      <c r="F2351" s="1">
        <f>46.1630980215699*(38.9/42.5)</f>
        <v>42.252812071507542</v>
      </c>
      <c r="G2351" s="1">
        <v>1.9232618181899503</v>
      </c>
      <c r="H2351" s="1">
        <v>9.3894851503243775</v>
      </c>
      <c r="I2351" s="1">
        <v>33.664340427824499</v>
      </c>
      <c r="J2351" s="1">
        <v>4.4757313231139371E-2</v>
      </c>
      <c r="K2351" s="1">
        <v>2.8515598397356667</v>
      </c>
      <c r="L2351" s="1">
        <v>8.6938769749249651</v>
      </c>
      <c r="M2351" s="1">
        <v>0.2067508737743034</v>
      </c>
      <c r="N2351" s="1">
        <v>2.0148875518480813</v>
      </c>
      <c r="O2351" s="1">
        <v>0.18600000000000003</v>
      </c>
      <c r="P2351" s="1">
        <v>0.14570545395819495</v>
      </c>
      <c r="Q2351" s="1">
        <v>3.0737061021300605</v>
      </c>
      <c r="R2351" s="2">
        <f t="shared" si="147"/>
        <v>134.63815525222464</v>
      </c>
      <c r="S2351" s="2">
        <f t="shared" si="146"/>
        <v>3.0420226069250011</v>
      </c>
      <c r="T2351" s="2">
        <f t="shared" si="148"/>
        <v>11.101515400547351</v>
      </c>
      <c r="U2351" s="2">
        <f t="shared" si="149"/>
        <v>148.78169325969699</v>
      </c>
    </row>
    <row r="2352" spans="1:21" x14ac:dyDescent="0.25">
      <c r="A2352">
        <v>4110761</v>
      </c>
      <c r="B2352">
        <v>2</v>
      </c>
      <c r="C2352" s="1">
        <f>5.00453655197678*(10.3/7.3)</f>
        <v>7.0611954089535329</v>
      </c>
      <c r="D2352" s="1">
        <f>7.8657026145596*(10.3/7.3)</f>
        <v>11.098183141090942</v>
      </c>
      <c r="E2352" s="1">
        <f>27.2741949978994*(10.3/7.3)</f>
        <v>38.482768284707447</v>
      </c>
      <c r="F2352" s="1">
        <f>68.7676346067241*(38.9/42.5)</f>
        <v>62.942611440036885</v>
      </c>
      <c r="G2352" s="1">
        <v>3.2944911647153372</v>
      </c>
      <c r="H2352" s="1">
        <v>11.068188380402047</v>
      </c>
      <c r="I2352" s="1">
        <v>50.450831171630426</v>
      </c>
      <c r="J2352" s="1">
        <v>4.1205751686347589E-2</v>
      </c>
      <c r="K2352" s="1">
        <v>2.8311871230974845</v>
      </c>
      <c r="L2352" s="1">
        <v>5.9770908566584104</v>
      </c>
      <c r="M2352" s="1">
        <v>0.20590164187805571</v>
      </c>
      <c r="N2352" s="1">
        <v>1.9521055884650638</v>
      </c>
      <c r="O2352" s="1">
        <v>0.18397333333333332</v>
      </c>
      <c r="P2352" s="1">
        <v>0.14342090889127723</v>
      </c>
      <c r="Q2352" s="1">
        <v>5.265168528083878</v>
      </c>
      <c r="R2352" s="2">
        <f t="shared" si="147"/>
        <v>189.66343751962049</v>
      </c>
      <c r="S2352" s="2">
        <f t="shared" si="146"/>
        <v>3.0158137836751093</v>
      </c>
      <c r="T2352" s="2">
        <f t="shared" si="148"/>
        <v>8.3190714203348648</v>
      </c>
      <c r="U2352" s="2">
        <f t="shared" si="149"/>
        <v>200.99832272363045</v>
      </c>
    </row>
    <row r="2353" spans="1:21" x14ac:dyDescent="0.25">
      <c r="A2353">
        <v>4110769</v>
      </c>
      <c r="B2353">
        <v>1</v>
      </c>
      <c r="C2353" s="1">
        <f>9.86967097158651*(10.3/7.3)</f>
        <v>13.925700137991926</v>
      </c>
      <c r="D2353" s="1">
        <f>9.62574807738107*(10.3/7.3)</f>
        <v>13.581534958496581</v>
      </c>
      <c r="E2353" s="1">
        <f>34.5310529473115*(10.3/7.3)</f>
        <v>48.721896624288782</v>
      </c>
      <c r="F2353" s="1">
        <f>65.9115077029833*(38.9/42.5)</f>
        <v>60.328415285789404</v>
      </c>
      <c r="G2353" s="1">
        <v>2.1180021361824055</v>
      </c>
      <c r="H2353" s="1">
        <v>9.9395354833413219</v>
      </c>
      <c r="I2353" s="1">
        <v>53.51462452189444</v>
      </c>
      <c r="J2353" s="1">
        <v>4.0692324031724167E-2</v>
      </c>
      <c r="K2353" s="1">
        <v>2.8203488699411428</v>
      </c>
      <c r="L2353" s="1">
        <v>5.6797199623684538</v>
      </c>
      <c r="M2353" s="1">
        <v>0.20041994694871715</v>
      </c>
      <c r="N2353" s="1">
        <v>1.9877750007243955</v>
      </c>
      <c r="O2353" s="1">
        <v>0.18250666666666668</v>
      </c>
      <c r="P2353" s="1">
        <v>0.14396966181506279</v>
      </c>
      <c r="Q2353" s="1">
        <v>3.3849349208394646</v>
      </c>
      <c r="R2353" s="2">
        <f t="shared" si="147"/>
        <v>205.51464406882434</v>
      </c>
      <c r="S2353" s="2">
        <f t="shared" si="146"/>
        <v>3.0050108557879298</v>
      </c>
      <c r="T2353" s="2">
        <f t="shared" si="148"/>
        <v>8.0504215767082332</v>
      </c>
      <c r="U2353" s="2">
        <f t="shared" si="149"/>
        <v>216.5700765013205</v>
      </c>
    </row>
    <row r="2354" spans="1:21" x14ac:dyDescent="0.25">
      <c r="A2354">
        <v>4110825</v>
      </c>
      <c r="B2354">
        <v>14</v>
      </c>
      <c r="C2354" s="1">
        <f>4.57722634214964*(10.3/7.3)</f>
        <v>6.4582782635810014</v>
      </c>
      <c r="D2354" s="1">
        <f>6.15422753214849*(10.3/7.3)</f>
        <v>8.6833621344012926</v>
      </c>
      <c r="E2354" s="1">
        <f>21.6945658659224*(10.3/7.3)</f>
        <v>30.610140879315232</v>
      </c>
      <c r="F2354" s="1">
        <f>43.2606708493411*(38.9/42.5)</f>
        <v>39.596237553867468</v>
      </c>
      <c r="G2354" s="1">
        <v>1.6102671473197465</v>
      </c>
      <c r="H2354" s="1">
        <v>6.394020207009194</v>
      </c>
      <c r="I2354" s="1">
        <v>31.412392907397326</v>
      </c>
      <c r="J2354" s="1">
        <v>3.8979282057738582E-2</v>
      </c>
      <c r="K2354" s="1">
        <v>2.4395058001977823</v>
      </c>
      <c r="L2354" s="1">
        <v>5.1430114420469533</v>
      </c>
      <c r="M2354" s="1">
        <v>0.16546661353414313</v>
      </c>
      <c r="N2354" s="1">
        <v>1.8460303909051101</v>
      </c>
      <c r="O2354" s="1">
        <v>0.15460190476190477</v>
      </c>
      <c r="P2354" s="1">
        <v>0.11751028241417213</v>
      </c>
      <c r="Q2354" s="1">
        <v>2.5734863085018809</v>
      </c>
      <c r="R2354" s="2">
        <f t="shared" si="147"/>
        <v>127.33818540139313</v>
      </c>
      <c r="S2354" s="2">
        <f t="shared" si="146"/>
        <v>2.5959953646696929</v>
      </c>
      <c r="T2354" s="2">
        <f t="shared" si="148"/>
        <v>7.309110351248111</v>
      </c>
      <c r="U2354" s="2">
        <f t="shared" si="149"/>
        <v>137.24329111731095</v>
      </c>
    </row>
    <row r="2355" spans="1:21" x14ac:dyDescent="0.25">
      <c r="A2355">
        <v>4110833</v>
      </c>
      <c r="B2355">
        <v>2</v>
      </c>
      <c r="C2355" s="1">
        <f>12.2016695001837*(10.3/7.3)</f>
        <v>17.216054226286627</v>
      </c>
      <c r="D2355" s="1">
        <f>15.2287561110683*(10.3/7.3)</f>
        <v>21.48714903342513</v>
      </c>
      <c r="E2355" s="1">
        <f>53.9967858394612*(10.3/7.3)</f>
        <v>76.187245773486325</v>
      </c>
      <c r="F2355" s="1">
        <f>100.677498486889*(38.9/42.5)</f>
        <v>92.149522144469969</v>
      </c>
      <c r="G2355" s="1">
        <v>3.3561857558148755</v>
      </c>
      <c r="H2355" s="1">
        <v>12.272420712533801</v>
      </c>
      <c r="I2355" s="1">
        <v>73.905328567120847</v>
      </c>
      <c r="J2355" s="1">
        <v>6.3244952001339796E-2</v>
      </c>
      <c r="K2355" s="1">
        <v>2.9225899802507707</v>
      </c>
      <c r="L2355" s="1">
        <v>6.59254922773993</v>
      </c>
      <c r="M2355" s="1">
        <v>0.20413569537699799</v>
      </c>
      <c r="N2355" s="1">
        <v>2.3231886868136655</v>
      </c>
      <c r="O2355" s="1">
        <v>0.19178666666666666</v>
      </c>
      <c r="P2355" s="1">
        <v>0.13172380709479586</v>
      </c>
      <c r="Q2355" s="1">
        <v>5.3637671896584829</v>
      </c>
      <c r="R2355" s="2">
        <f t="shared" si="147"/>
        <v>301.93767340279601</v>
      </c>
      <c r="S2355" s="2">
        <f t="shared" si="146"/>
        <v>3.1175587393469062</v>
      </c>
      <c r="T2355" s="2">
        <f t="shared" si="148"/>
        <v>9.3116602765972605</v>
      </c>
      <c r="U2355" s="2">
        <f t="shared" si="149"/>
        <v>314.36689241874018</v>
      </c>
    </row>
    <row r="2356" spans="1:21" x14ac:dyDescent="0.25">
      <c r="A2356">
        <v>4110865</v>
      </c>
      <c r="B2356">
        <v>2</v>
      </c>
      <c r="C2356" s="1">
        <f>3.98490952666356*(10.3/7.3)</f>
        <v>5.622543578717079</v>
      </c>
      <c r="D2356" s="1">
        <f>6.11423258647686*(10.3/7.3)</f>
        <v>8.6269309096865232</v>
      </c>
      <c r="E2356" s="1">
        <f>21.5049957700031*(10.3/7.3)</f>
        <v>30.342665264524857</v>
      </c>
      <c r="F2356" s="1">
        <f>39.6731464454415*(38.9/42.5)</f>
        <v>36.312597570062934</v>
      </c>
      <c r="G2356" s="1">
        <v>1.3674740235888936</v>
      </c>
      <c r="H2356" s="1">
        <v>5.6197508832815242</v>
      </c>
      <c r="I2356" s="1">
        <v>26.986096252132604</v>
      </c>
      <c r="J2356" s="1">
        <v>4.404445499992668E-2</v>
      </c>
      <c r="K2356" s="1">
        <v>2.8736369735133036</v>
      </c>
      <c r="L2356" s="1">
        <v>5.5426433870164518</v>
      </c>
      <c r="M2356" s="1">
        <v>0.15684845882030166</v>
      </c>
      <c r="N2356" s="1">
        <v>2.0013999738301504</v>
      </c>
      <c r="O2356" s="1">
        <v>0.14672000000000002</v>
      </c>
      <c r="P2356" s="1">
        <v>0.11428213152643799</v>
      </c>
      <c r="Q2356" s="1">
        <v>2.1854607682927547</v>
      </c>
      <c r="R2356" s="2">
        <f t="shared" si="147"/>
        <v>117.06351925028719</v>
      </c>
      <c r="S2356" s="2">
        <f t="shared" si="146"/>
        <v>3.0319635600396682</v>
      </c>
      <c r="T2356" s="2">
        <f t="shared" si="148"/>
        <v>7.8476118196669038</v>
      </c>
      <c r="U2356" s="2">
        <f t="shared" si="149"/>
        <v>127.94309462999377</v>
      </c>
    </row>
    <row r="2357" spans="1:21" x14ac:dyDescent="0.25">
      <c r="A2357">
        <v>4110873</v>
      </c>
      <c r="B2357">
        <v>33</v>
      </c>
      <c r="C2357" s="1">
        <f>4.2983893174834*(10.3/7.3)</f>
        <v>6.0648506808327429</v>
      </c>
      <c r="D2357" s="1">
        <f>6.66125452770378*(10.3/7.3)</f>
        <v>9.3987563884039709</v>
      </c>
      <c r="E2357" s="1">
        <f>23.420121464672*(10.3/7.3)</f>
        <v>33.04482891590709</v>
      </c>
      <c r="F2357" s="1">
        <f>43.219014006405*(38.9/42.5)</f>
        <v>39.558109290568304</v>
      </c>
      <c r="G2357" s="1">
        <v>1.4934805520770413</v>
      </c>
      <c r="H2357" s="1">
        <v>5.2823154256916727</v>
      </c>
      <c r="I2357" s="1">
        <v>29.302538261202596</v>
      </c>
      <c r="J2357" s="1">
        <v>4.4988760708805822E-2</v>
      </c>
      <c r="K2357" s="1">
        <v>2.5905944400002223</v>
      </c>
      <c r="L2357" s="1">
        <v>5.0329102701408015</v>
      </c>
      <c r="M2357" s="1">
        <v>0.15050220221308239</v>
      </c>
      <c r="N2357" s="1">
        <v>1.8948366426214589</v>
      </c>
      <c r="O2357" s="1">
        <v>0.13957656565656568</v>
      </c>
      <c r="P2357" s="1">
        <v>0.10853895247969603</v>
      </c>
      <c r="Q2357" s="1">
        <v>2.3868410649633107</v>
      </c>
      <c r="R2357" s="2">
        <f t="shared" si="147"/>
        <v>126.53172057964674</v>
      </c>
      <c r="S2357" s="2">
        <f t="shared" si="146"/>
        <v>2.7441221531887239</v>
      </c>
      <c r="T2357" s="2">
        <f t="shared" si="148"/>
        <v>7.2178256806319085</v>
      </c>
      <c r="U2357" s="2">
        <f t="shared" si="149"/>
        <v>136.49366841346736</v>
      </c>
    </row>
    <row r="2358" spans="1:21" x14ac:dyDescent="0.25">
      <c r="A2358">
        <v>4110881</v>
      </c>
      <c r="B2358">
        <v>32</v>
      </c>
      <c r="C2358" s="1">
        <f>4.08583915982109*(10.3/7.3)</f>
        <v>5.7649511433092107</v>
      </c>
      <c r="D2358" s="1">
        <f>7.40748240770678*(10.3/7.3)</f>
        <v>10.451653260189016</v>
      </c>
      <c r="E2358" s="1">
        <f>25.9506556147987*(10.3/7.3)</f>
        <v>36.615308607181731</v>
      </c>
      <c r="F2358" s="1">
        <f>45.5891333638579*(38.9/42.5)</f>
        <v>41.727465596566368</v>
      </c>
      <c r="G2358" s="1">
        <v>1.5123557236655807</v>
      </c>
      <c r="H2358" s="1">
        <v>8.9593121990450957</v>
      </c>
      <c r="I2358" s="1">
        <v>28.827185944851482</v>
      </c>
      <c r="J2358" s="1">
        <v>4.0731838866713256E-2</v>
      </c>
      <c r="K2358" s="1">
        <v>2.6597291695977998</v>
      </c>
      <c r="L2358" s="1">
        <v>5.0982567100850487</v>
      </c>
      <c r="M2358" s="1">
        <v>0.15015865438872147</v>
      </c>
      <c r="N2358" s="1">
        <v>1.9201957218213834</v>
      </c>
      <c r="O2358" s="1">
        <v>0.13845833333333332</v>
      </c>
      <c r="P2358" s="1">
        <v>0.10834621158127576</v>
      </c>
      <c r="Q2358" s="1">
        <v>2.417006864305725</v>
      </c>
      <c r="R2358" s="2">
        <f t="shared" si="147"/>
        <v>136.27523933911422</v>
      </c>
      <c r="S2358" s="2">
        <f t="shared" si="146"/>
        <v>2.8088072200457885</v>
      </c>
      <c r="T2358" s="2">
        <f t="shared" si="148"/>
        <v>7.3070694196284869</v>
      </c>
      <c r="U2358" s="2">
        <f t="shared" si="149"/>
        <v>146.39111597878849</v>
      </c>
    </row>
    <row r="2359" spans="1:21" x14ac:dyDescent="0.25">
      <c r="A2359">
        <v>4110889</v>
      </c>
      <c r="B2359">
        <v>9</v>
      </c>
      <c r="C2359" s="1">
        <f>4.78127186696353*(10.3/7.3)</f>
        <v>6.7461781136608696</v>
      </c>
      <c r="D2359" s="1">
        <f>8.40446001648383*(10.3/7.3)</f>
        <v>11.858347694490879</v>
      </c>
      <c r="E2359" s="1">
        <f>29.5203209148373*(10.3/7.3)</f>
        <v>41.651959646962197</v>
      </c>
      <c r="F2359" s="1">
        <f>49.4594033018319*(38.9/42.5)</f>
        <v>45.269900904500282</v>
      </c>
      <c r="G2359" s="1">
        <v>1.5077323548519017</v>
      </c>
      <c r="H2359" s="1">
        <v>9.9690207938134776</v>
      </c>
      <c r="I2359" s="1">
        <v>30.982369216651769</v>
      </c>
      <c r="J2359" s="1">
        <v>4.2429208769678893E-2</v>
      </c>
      <c r="K2359" s="1">
        <v>3.2219867762926682</v>
      </c>
      <c r="L2359" s="1">
        <v>5.0939620019325211</v>
      </c>
      <c r="M2359" s="1">
        <v>0.15467041155664868</v>
      </c>
      <c r="N2359" s="1">
        <v>2.0385241968069576</v>
      </c>
      <c r="O2359" s="1">
        <v>0.14112000000000002</v>
      </c>
      <c r="P2359" s="1">
        <v>0.11077556472264455</v>
      </c>
      <c r="Q2359" s="1">
        <v>2.4096179187130868</v>
      </c>
      <c r="R2359" s="2">
        <f t="shared" si="147"/>
        <v>150.39512664364446</v>
      </c>
      <c r="S2359" s="2">
        <f t="shared" si="146"/>
        <v>3.3751915497849914</v>
      </c>
      <c r="T2359" s="2">
        <f t="shared" si="148"/>
        <v>7.4282766102961277</v>
      </c>
      <c r="U2359" s="2">
        <f t="shared" si="149"/>
        <v>161.1985948037256</v>
      </c>
    </row>
    <row r="2360" spans="1:21" x14ac:dyDescent="0.25">
      <c r="A2360">
        <v>4110897</v>
      </c>
      <c r="B2360">
        <v>15</v>
      </c>
      <c r="C2360" s="1">
        <f>4.86500165567415*(10.3/7.3)</f>
        <v>6.86431740458133</v>
      </c>
      <c r="D2360" s="1">
        <f>7.26013524437452*(10.3/7.3)</f>
        <v>10.243752468090081</v>
      </c>
      <c r="E2360" s="1">
        <f>25.5322967976023*(10.3/7.3)</f>
        <v>36.025021508945755</v>
      </c>
      <c r="F2360" s="1">
        <f>48.5983709477032*(38.9/42.5)</f>
        <v>44.481803055662454</v>
      </c>
      <c r="G2360" s="1">
        <v>1.7395371141445433</v>
      </c>
      <c r="H2360" s="1">
        <v>11.183740938910644</v>
      </c>
      <c r="I2360" s="1">
        <v>33.681647138099152</v>
      </c>
      <c r="J2360" s="1">
        <v>4.5465645378344341E-2</v>
      </c>
      <c r="K2360" s="1">
        <v>3.4713162316973447</v>
      </c>
      <c r="L2360" s="1">
        <v>5.038910463967329</v>
      </c>
      <c r="M2360" s="1">
        <v>0.15927180053705242</v>
      </c>
      <c r="N2360" s="1">
        <v>2.1289587660457592</v>
      </c>
      <c r="O2360" s="1">
        <v>0.14382222222222218</v>
      </c>
      <c r="P2360" s="1">
        <v>0.11142187513376554</v>
      </c>
      <c r="Q2360" s="1">
        <v>2.7800821458931084</v>
      </c>
      <c r="R2360" s="2">
        <f t="shared" si="147"/>
        <v>146.99990177432707</v>
      </c>
      <c r="S2360" s="2">
        <f t="shared" si="146"/>
        <v>3.6282037522094543</v>
      </c>
      <c r="T2360" s="2">
        <f t="shared" si="148"/>
        <v>7.4709632527723624</v>
      </c>
      <c r="U2360" s="2">
        <f t="shared" si="149"/>
        <v>158.09906877930888</v>
      </c>
    </row>
    <row r="2361" spans="1:21" x14ac:dyDescent="0.25">
      <c r="A2361">
        <v>4110905</v>
      </c>
      <c r="B2361">
        <v>8</v>
      </c>
      <c r="C2361" s="1">
        <f>4.87260239098654*(10.3/7.3)</f>
        <v>6.8750417297481334</v>
      </c>
      <c r="D2361" s="1">
        <f>6.76896940628042*(10.3/7.3)</f>
        <v>9.5507376554367625</v>
      </c>
      <c r="E2361" s="1">
        <f>23.8696389719561*(10.3/7.3)</f>
        <v>33.679079645362656</v>
      </c>
      <c r="F2361" s="1">
        <f>45.5647333670801*(38.9/42.5)</f>
        <v>41.70513242304505</v>
      </c>
      <c r="G2361" s="1">
        <v>1.6126429638714059</v>
      </c>
      <c r="H2361" s="1">
        <v>7.9996633165182018</v>
      </c>
      <c r="I2361" s="1">
        <v>32.373344223666322</v>
      </c>
      <c r="J2361" s="1">
        <v>4.715896655772496E-2</v>
      </c>
      <c r="K2361" s="1">
        <v>2.8542369884349261</v>
      </c>
      <c r="L2361" s="1">
        <v>4.8962960712972219</v>
      </c>
      <c r="M2361" s="1">
        <v>0.14928443970030256</v>
      </c>
      <c r="N2361" s="1">
        <v>2.2507361759237772</v>
      </c>
      <c r="O2361" s="1">
        <v>0.13472000000000001</v>
      </c>
      <c r="P2361" s="1">
        <v>0.10472660588710184</v>
      </c>
      <c r="Q2361" s="1">
        <v>2.5772832755935742</v>
      </c>
      <c r="R2361" s="2">
        <f t="shared" si="147"/>
        <v>136.37292523324211</v>
      </c>
      <c r="S2361" s="2">
        <f t="shared" si="146"/>
        <v>3.0061225608797528</v>
      </c>
      <c r="T2361" s="2">
        <f t="shared" si="148"/>
        <v>7.4310366869213009</v>
      </c>
      <c r="U2361" s="2">
        <f t="shared" si="149"/>
        <v>146.81008448104316</v>
      </c>
    </row>
    <row r="2362" spans="1:21" x14ac:dyDescent="0.25">
      <c r="A2362">
        <v>4110913</v>
      </c>
      <c r="B2362">
        <v>2</v>
      </c>
      <c r="C2362" s="1">
        <f>6.26513012038159*(10.3/7.3)</f>
        <v>8.8398411287575858</v>
      </c>
      <c r="D2362" s="1">
        <f>7.82036411294405*(10.3/7.3)</f>
        <v>11.034212378537491</v>
      </c>
      <c r="E2362" s="1">
        <f>27.4884467630844*(10.3/7.3)</f>
        <v>38.785068720516335</v>
      </c>
      <c r="F2362" s="1">
        <f>63.3415449895209*(38.9/42.5)</f>
        <v>57.976143531585024</v>
      </c>
      <c r="G2362" s="1">
        <v>2.7242185530735195</v>
      </c>
      <c r="H2362" s="1">
        <v>7.9694315424897901</v>
      </c>
      <c r="I2362" s="1">
        <v>48.457612842253084</v>
      </c>
      <c r="J2362" s="1">
        <v>3.8952610491264632E-2</v>
      </c>
      <c r="K2362" s="1">
        <v>2.7202414752408757</v>
      </c>
      <c r="L2362" s="1">
        <v>4.6934835139904347</v>
      </c>
      <c r="M2362" s="1">
        <v>0.14181060362087083</v>
      </c>
      <c r="N2362" s="1">
        <v>2.0834007435845177</v>
      </c>
      <c r="O2362" s="1">
        <v>0.12647999999999998</v>
      </c>
      <c r="P2362" s="1">
        <v>0.1012218090521687</v>
      </c>
      <c r="Q2362" s="1">
        <v>4.3537739432681866</v>
      </c>
      <c r="R2362" s="2">
        <f t="shared" si="147"/>
        <v>180.140302640481</v>
      </c>
      <c r="S2362" s="2">
        <f t="shared" si="146"/>
        <v>2.860415894784309</v>
      </c>
      <c r="T2362" s="2">
        <f t="shared" si="148"/>
        <v>7.0451748611958234</v>
      </c>
      <c r="U2362" s="2">
        <f t="shared" si="149"/>
        <v>190.04589339646111</v>
      </c>
    </row>
    <row r="2363" spans="1:21" x14ac:dyDescent="0.25">
      <c r="A2363">
        <v>4110969</v>
      </c>
      <c r="B2363">
        <v>28</v>
      </c>
      <c r="C2363" s="1">
        <f>4.41785272061491*(10.3/7.3)</f>
        <v>6.2334086331963867</v>
      </c>
      <c r="D2363" s="1">
        <f>5.34541541703553*(10.3/7.3)</f>
        <v>7.5421614788309599</v>
      </c>
      <c r="E2363" s="1">
        <f>18.9418483844276*(10.3/7.3)</f>
        <v>26.726169638301933</v>
      </c>
      <c r="F2363" s="1">
        <f>37.2521309965276*(38.9/42.5)</f>
        <v>34.096656370939414</v>
      </c>
      <c r="G2363" s="1">
        <v>1.3300855685977011</v>
      </c>
      <c r="H2363" s="1">
        <v>7.030087135178408</v>
      </c>
      <c r="I2363" s="1">
        <v>27.965453692399894</v>
      </c>
      <c r="J2363" s="1">
        <v>5.1592811398035503E-2</v>
      </c>
      <c r="K2363" s="1">
        <v>2.4006555006362271</v>
      </c>
      <c r="L2363" s="1">
        <v>4.8383694505202923</v>
      </c>
      <c r="M2363" s="1">
        <v>0.13721090999768343</v>
      </c>
      <c r="N2363" s="1">
        <v>5.3296584687628101</v>
      </c>
      <c r="O2363" s="1">
        <v>0.11923238095238095</v>
      </c>
      <c r="P2363" s="1">
        <v>9.5042149716831822E-2</v>
      </c>
      <c r="Q2363" s="1">
        <v>2.125707529722356</v>
      </c>
      <c r="R2363" s="2">
        <f t="shared" si="147"/>
        <v>113.04973004716705</v>
      </c>
      <c r="S2363" s="2">
        <f t="shared" si="146"/>
        <v>2.5472904617510941</v>
      </c>
      <c r="T2363" s="2">
        <f t="shared" si="148"/>
        <v>10.424471210233166</v>
      </c>
      <c r="U2363" s="2">
        <f t="shared" si="149"/>
        <v>126.0214917191513</v>
      </c>
    </row>
    <row r="2364" spans="1:21" x14ac:dyDescent="0.25">
      <c r="A2364">
        <v>4122837</v>
      </c>
      <c r="B2364">
        <v>1</v>
      </c>
      <c r="C2364" s="1">
        <f>3.73478227201641*(10.3/7.3)</f>
        <v>5.2696243016121986</v>
      </c>
      <c r="D2364" s="1">
        <f>4.08531809857998*(10.3/7.3)</f>
        <v>5.7642159473114747</v>
      </c>
      <c r="E2364" s="1">
        <f>14.3804381689286*(10.3/7.3)</f>
        <v>20.290207279447262</v>
      </c>
      <c r="F2364" s="1">
        <f>36.7383610176006*(38.9/42.5)</f>
        <v>33.626405731403857</v>
      </c>
      <c r="G2364" s="1">
        <v>1.6941871190638391</v>
      </c>
      <c r="H2364" s="1">
        <v>8.2902242557912746</v>
      </c>
      <c r="I2364" s="1">
        <v>29.623965590222319</v>
      </c>
      <c r="J2364" s="1">
        <v>3.4700920326531833E-2</v>
      </c>
      <c r="K2364" s="1">
        <v>2.7580122789764681</v>
      </c>
      <c r="L2364" s="1">
        <v>10.178842206560743</v>
      </c>
      <c r="M2364" s="1">
        <v>0.23894750725368893</v>
      </c>
      <c r="N2364" s="1">
        <v>1.6975647817752626</v>
      </c>
      <c r="O2364" s="1">
        <v>0.23306666666666667</v>
      </c>
      <c r="P2364" s="1">
        <v>0.19324189224809213</v>
      </c>
      <c r="Q2364" s="1">
        <v>2.7076049848052253</v>
      </c>
      <c r="R2364" s="2">
        <f t="shared" si="147"/>
        <v>107.26643520965744</v>
      </c>
      <c r="S2364" s="2">
        <f t="shared" si="146"/>
        <v>2.9859550915510922</v>
      </c>
      <c r="T2364" s="2">
        <f t="shared" si="148"/>
        <v>12.348421162256361</v>
      </c>
      <c r="U2364" s="2">
        <f t="shared" si="149"/>
        <v>122.60081146346489</v>
      </c>
    </row>
    <row r="2365" spans="1:21" x14ac:dyDescent="0.25">
      <c r="A2365">
        <v>4122845</v>
      </c>
      <c r="B2365">
        <v>2</v>
      </c>
      <c r="C2365" s="1">
        <f>2.50605204815264*(10.3/7.3)</f>
        <v>3.5359364515030345</v>
      </c>
      <c r="D2365" s="1">
        <f>3.05358617852781*(10.3/7.3)</f>
        <v>4.3084846080597829</v>
      </c>
      <c r="E2365" s="1">
        <f>10.6170168486524*(10.3/7.3)</f>
        <v>14.980174457687591</v>
      </c>
      <c r="F2365" s="1">
        <f>30.9704822135286*(38.9/42.5)</f>
        <v>28.347100190735592</v>
      </c>
      <c r="G2365" s="1">
        <v>1.5944028238941512</v>
      </c>
      <c r="H2365" s="1">
        <v>9.14511164359471</v>
      </c>
      <c r="I2365" s="1">
        <v>24.682556864881043</v>
      </c>
      <c r="J2365" s="1">
        <v>3.4760325179132884E-2</v>
      </c>
      <c r="K2365" s="1">
        <v>2.7339784129943858</v>
      </c>
      <c r="L2365" s="1">
        <v>9.5449720897596784</v>
      </c>
      <c r="M2365" s="1">
        <v>0.23276703241550573</v>
      </c>
      <c r="N2365" s="1">
        <v>1.7515416189317274</v>
      </c>
      <c r="O2365" s="1">
        <v>0.22442666666666666</v>
      </c>
      <c r="P2365" s="1">
        <v>0.18583373355333382</v>
      </c>
      <c r="Q2365" s="1">
        <v>2.5481323669541256</v>
      </c>
      <c r="R2365" s="2">
        <f t="shared" si="147"/>
        <v>89.141899407310035</v>
      </c>
      <c r="S2365" s="2">
        <f t="shared" si="146"/>
        <v>2.9545724717268524</v>
      </c>
      <c r="T2365" s="2">
        <f t="shared" si="148"/>
        <v>11.753707407773577</v>
      </c>
      <c r="U2365" s="2">
        <f t="shared" si="149"/>
        <v>103.85017928681046</v>
      </c>
    </row>
    <row r="2366" spans="1:21" x14ac:dyDescent="0.25">
      <c r="A2366">
        <v>4122853</v>
      </c>
      <c r="B2366">
        <v>3</v>
      </c>
      <c r="C2366" s="1">
        <f>3.45066744985882*(10.3/7.3)</f>
        <v>4.868749963499436</v>
      </c>
      <c r="D2366" s="1">
        <f>4.53047375096192*(10.3/7.3)</f>
        <v>6.3923122787544902</v>
      </c>
      <c r="E2366" s="1">
        <f>15.6782959836847*(10.3/7.3)</f>
        <v>22.121431319445545</v>
      </c>
      <c r="F2366" s="1">
        <f>46.8311466040136*(38.9/42.5)</f>
        <v>42.864273009320691</v>
      </c>
      <c r="G2366" s="1">
        <v>2.4659953949641484</v>
      </c>
      <c r="H2366" s="1">
        <v>21.175678163901214</v>
      </c>
      <c r="I2366" s="1">
        <v>36.827632491522678</v>
      </c>
      <c r="J2366" s="1">
        <v>4.8352721214755728E-2</v>
      </c>
      <c r="K2366" s="1">
        <v>3.7855297170157622</v>
      </c>
      <c r="L2366" s="1">
        <v>7.8796818109850504</v>
      </c>
      <c r="M2366" s="1">
        <v>0.32268054046450939</v>
      </c>
      <c r="N2366" s="1">
        <v>2.5264220038525624</v>
      </c>
      <c r="O2366" s="1">
        <v>0.3044088888888889</v>
      </c>
      <c r="P2366" s="1">
        <v>0.23971068647671645</v>
      </c>
      <c r="Q2366" s="1">
        <v>3.941088530764624</v>
      </c>
      <c r="R2366" s="2">
        <f t="shared" si="147"/>
        <v>140.65716115217285</v>
      </c>
      <c r="S2366" s="2">
        <f t="shared" si="146"/>
        <v>4.0735931247072346</v>
      </c>
      <c r="T2366" s="2">
        <f t="shared" si="148"/>
        <v>11.033193244191011</v>
      </c>
      <c r="U2366" s="2">
        <f t="shared" si="149"/>
        <v>155.76394752107109</v>
      </c>
    </row>
    <row r="2367" spans="1:21" x14ac:dyDescent="0.25">
      <c r="A2367">
        <v>4122981</v>
      </c>
      <c r="B2367">
        <v>7</v>
      </c>
      <c r="C2367" s="1">
        <f>3.40829678812985*(10.3/7.3)</f>
        <v>4.8089667010599237</v>
      </c>
      <c r="D2367" s="1">
        <f>4.74677669176708*(10.3/7.3)</f>
        <v>6.6975068390686223</v>
      </c>
      <c r="E2367" s="1">
        <f>16.6592672446356*(10.3/7.3)</f>
        <v>23.505541454759786</v>
      </c>
      <c r="F2367" s="1">
        <f>35.7165313459781*(38.9/42.5)</f>
        <v>32.691131043730522</v>
      </c>
      <c r="G2367" s="1">
        <v>1.4552259575130813</v>
      </c>
      <c r="H2367" s="1">
        <v>8.8511916183184809</v>
      </c>
      <c r="I2367" s="1">
        <v>26.080286718026894</v>
      </c>
      <c r="J2367" s="1">
        <v>3.6243021806298049E-2</v>
      </c>
      <c r="K2367" s="1">
        <v>2.50826627328706</v>
      </c>
      <c r="L2367" s="1">
        <v>7.5279355614332966</v>
      </c>
      <c r="M2367" s="1">
        <v>0.18324600986954104</v>
      </c>
      <c r="N2367" s="1">
        <v>1.6770627242899612</v>
      </c>
      <c r="O2367" s="1">
        <v>0.16643809523809525</v>
      </c>
      <c r="P2367" s="1">
        <v>0.13099928902211797</v>
      </c>
      <c r="Q2367" s="1">
        <v>2.3257035850665706</v>
      </c>
      <c r="R2367" s="2">
        <f t="shared" si="147"/>
        <v>106.41555391754389</v>
      </c>
      <c r="S2367" s="2">
        <f t="shared" si="146"/>
        <v>2.6755085841154758</v>
      </c>
      <c r="T2367" s="2">
        <f t="shared" si="148"/>
        <v>9.5546823908308944</v>
      </c>
      <c r="U2367" s="2">
        <f t="shared" si="149"/>
        <v>118.64574489249026</v>
      </c>
    </row>
    <row r="2368" spans="1:21" x14ac:dyDescent="0.25">
      <c r="A2368">
        <v>4122989</v>
      </c>
      <c r="B2368">
        <v>8</v>
      </c>
      <c r="C2368" s="1">
        <f>3.95344447392928*(10.3/7.3)</f>
        <v>5.5781476823933751</v>
      </c>
      <c r="D2368" s="1">
        <f>5.94767689600914*(10.3/7.3)</f>
        <v>8.3919276751909848</v>
      </c>
      <c r="E2368" s="1">
        <f>20.809983959086*(10.3/7.3)</f>
        <v>29.362032161450088</v>
      </c>
      <c r="F2368" s="1">
        <f>44.6614086718673*(38.9/42.5)</f>
        <v>40.878324643191455</v>
      </c>
      <c r="G2368" s="1">
        <v>1.8448023925524941</v>
      </c>
      <c r="H2368" s="1">
        <v>9.2664586254587533</v>
      </c>
      <c r="I2368" s="1">
        <v>31.898335790283241</v>
      </c>
      <c r="J2368" s="1">
        <v>4.0595791146247444E-2</v>
      </c>
      <c r="K2368" s="1">
        <v>2.7448408652966205</v>
      </c>
      <c r="L2368" s="1">
        <v>6.1238129028789503</v>
      </c>
      <c r="M2368" s="1">
        <v>0.1979104222459469</v>
      </c>
      <c r="N2368" s="1">
        <v>1.8870996126985693</v>
      </c>
      <c r="O2368" s="1">
        <v>0.17962666666666668</v>
      </c>
      <c r="P2368" s="1">
        <v>0.14126272068345103</v>
      </c>
      <c r="Q2368" s="1">
        <v>2.9483143259971394</v>
      </c>
      <c r="R2368" s="2">
        <f t="shared" si="147"/>
        <v>130.16834329651755</v>
      </c>
      <c r="S2368" s="2">
        <f t="shared" si="146"/>
        <v>2.9266993771263188</v>
      </c>
      <c r="T2368" s="2">
        <f t="shared" si="148"/>
        <v>8.388449604490134</v>
      </c>
      <c r="U2368" s="2">
        <f t="shared" si="149"/>
        <v>141.48349227813401</v>
      </c>
    </row>
    <row r="2369" spans="1:21" x14ac:dyDescent="0.25">
      <c r="A2369">
        <v>4122997</v>
      </c>
      <c r="B2369">
        <v>9</v>
      </c>
      <c r="C2369" s="1">
        <f>43.362471548737*(10.3/7.3)</f>
        <v>61.18266533588919</v>
      </c>
      <c r="D2369" s="1">
        <f>29.2004976183516*(10.3/7.3)</f>
        <v>41.200702119044067</v>
      </c>
      <c r="E2369" s="1">
        <f>108.143911448634*(10.3/7.3)</f>
        <v>152.58661478368867</v>
      </c>
      <c r="F2369" s="1">
        <f>170.641008343167*(38.9/42.5)</f>
        <v>156.18671116586353</v>
      </c>
      <c r="G2369" s="1">
        <v>2.6679483173266942</v>
      </c>
      <c r="H2369" s="1">
        <v>12.833574690950071</v>
      </c>
      <c r="I2369" s="1">
        <v>165.42304370895874</v>
      </c>
      <c r="J2369" s="1">
        <v>4.5651214822660026E-2</v>
      </c>
      <c r="K2369" s="1">
        <v>3.0891813866336011</v>
      </c>
      <c r="L2369" s="1">
        <v>6.6157839194291883</v>
      </c>
      <c r="M2369" s="1">
        <v>0.22610569345532211</v>
      </c>
      <c r="N2369" s="1">
        <v>2.1305932449955018</v>
      </c>
      <c r="O2369" s="1">
        <v>0.20538666666666663</v>
      </c>
      <c r="P2369" s="1">
        <v>0.15348137851886265</v>
      </c>
      <c r="Q2369" s="1">
        <v>4.2638443427595609</v>
      </c>
      <c r="R2369" s="2">
        <f t="shared" si="147"/>
        <v>596.34510446448053</v>
      </c>
      <c r="S2369" s="2">
        <f t="shared" si="146"/>
        <v>3.2883139799751238</v>
      </c>
      <c r="T2369" s="2">
        <f t="shared" si="148"/>
        <v>9.1778695245466793</v>
      </c>
      <c r="U2369" s="2">
        <f t="shared" si="149"/>
        <v>608.81128796900225</v>
      </c>
    </row>
    <row r="2370" spans="1:21" x14ac:dyDescent="0.25">
      <c r="A2370">
        <v>4123005</v>
      </c>
      <c r="B2370">
        <v>2</v>
      </c>
      <c r="C2370" s="1">
        <f>5.07622907719411*(10.3/7.3)</f>
        <v>7.1623506157670329</v>
      </c>
      <c r="D2370" s="1">
        <f>6.86555748991679*(10.3/7.3)</f>
        <v>9.6870194720743719</v>
      </c>
      <c r="E2370" s="1">
        <f>24.1832105532002*(10.3/7.3)</f>
        <v>34.121516259994834</v>
      </c>
      <c r="F2370" s="1">
        <f>48.8745774292703*(38.9/42.5)</f>
        <v>44.734613223496829</v>
      </c>
      <c r="G2370" s="1">
        <v>1.8519106823965714</v>
      </c>
      <c r="H2370" s="1">
        <v>9.7363107801503279</v>
      </c>
      <c r="I2370" s="1">
        <v>35.530919657588321</v>
      </c>
      <c r="J2370" s="1">
        <v>3.6207257660344348E-2</v>
      </c>
      <c r="K2370" s="1">
        <v>2.5085647233355779</v>
      </c>
      <c r="L2370" s="1">
        <v>4.9250030265849194</v>
      </c>
      <c r="M2370" s="1">
        <v>0.18022273639222677</v>
      </c>
      <c r="N2370" s="1">
        <v>1.7029449303960902</v>
      </c>
      <c r="O2370" s="1">
        <v>0.16357333333333335</v>
      </c>
      <c r="P2370" s="1">
        <v>0.12898003669952154</v>
      </c>
      <c r="Q2370" s="1">
        <v>2.959674606569866</v>
      </c>
      <c r="R2370" s="2">
        <f t="shared" si="147"/>
        <v>145.78431529803817</v>
      </c>
      <c r="S2370" s="2">
        <f t="shared" si="146"/>
        <v>2.6737520176954437</v>
      </c>
      <c r="T2370" s="2">
        <f t="shared" si="148"/>
        <v>6.9717440267065705</v>
      </c>
      <c r="U2370" s="2">
        <f t="shared" si="149"/>
        <v>155.42981134244019</v>
      </c>
    </row>
    <row r="2371" spans="1:21" x14ac:dyDescent="0.25">
      <c r="A2371">
        <v>4123053</v>
      </c>
      <c r="B2371">
        <v>19</v>
      </c>
      <c r="C2371" s="1">
        <f>4.56274708736995*(10.3/7.3)</f>
        <v>6.4378486301247237</v>
      </c>
      <c r="D2371" s="1">
        <f>6.14357759351037*(10.3/7.3)</f>
        <v>8.6683355086516158</v>
      </c>
      <c r="E2371" s="1">
        <f>21.6451756323599*(10.3/7.3)</f>
        <v>30.540453289494138</v>
      </c>
      <c r="F2371" s="1">
        <f>43.6940905388172*(38.9/42.5)</f>
        <v>39.992944046117394</v>
      </c>
      <c r="G2371" s="1">
        <v>1.6517773818411818</v>
      </c>
      <c r="H2371" s="1">
        <v>8.1537392876630062</v>
      </c>
      <c r="I2371" s="1">
        <v>31.802367643651653</v>
      </c>
      <c r="J2371" s="1">
        <v>4.118542897361565E-2</v>
      </c>
      <c r="K2371" s="1">
        <v>2.6367025698636426</v>
      </c>
      <c r="L2371" s="1">
        <v>5.3274436679365937</v>
      </c>
      <c r="M2371" s="1">
        <v>0.17901033623603857</v>
      </c>
      <c r="N2371" s="1">
        <v>2.0180030331802024</v>
      </c>
      <c r="O2371" s="1">
        <v>0.16636070175438597</v>
      </c>
      <c r="P2371" s="1">
        <v>0.12651931853466417</v>
      </c>
      <c r="Q2371" s="1">
        <v>2.6398268659562292</v>
      </c>
      <c r="R2371" s="2">
        <f t="shared" si="147"/>
        <v>129.88729265349994</v>
      </c>
      <c r="S2371" s="2">
        <f t="shared" si="146"/>
        <v>2.8044073173719224</v>
      </c>
      <c r="T2371" s="2">
        <f t="shared" si="148"/>
        <v>7.6908177391072217</v>
      </c>
      <c r="U2371" s="2">
        <f t="shared" si="149"/>
        <v>140.38251770997908</v>
      </c>
    </row>
    <row r="2372" spans="1:21" x14ac:dyDescent="0.25">
      <c r="A2372">
        <v>4123101</v>
      </c>
      <c r="B2372">
        <v>25</v>
      </c>
      <c r="C2372" s="1">
        <f>5.41834580753123*(10.3/7.3)</f>
        <v>7.6450632626810568</v>
      </c>
      <c r="D2372" s="1">
        <f>8.32561842742867*(10.3/7.3)</f>
        <v>11.747105452399355</v>
      </c>
      <c r="E2372" s="1">
        <f>29.2827097522455*(10.3/7.3)</f>
        <v>41.316700061387451</v>
      </c>
      <c r="F2372" s="1">
        <f>53.9520263962119*(38.9/42.5)</f>
        <v>49.38197239559161</v>
      </c>
      <c r="G2372" s="1">
        <v>1.8567604137317004</v>
      </c>
      <c r="H2372" s="1">
        <v>6.355525081413016</v>
      </c>
      <c r="I2372" s="1">
        <v>36.665961738662318</v>
      </c>
      <c r="J2372" s="1">
        <v>6.1145245054117864E-2</v>
      </c>
      <c r="K2372" s="1">
        <v>2.8458027448706447</v>
      </c>
      <c r="L2372" s="1">
        <v>5.3038919103106847</v>
      </c>
      <c r="M2372" s="1">
        <v>0.16453586291913747</v>
      </c>
      <c r="N2372" s="1">
        <v>2.0954479343061623</v>
      </c>
      <c r="O2372" s="1">
        <v>0.15441920000000001</v>
      </c>
      <c r="P2372" s="1">
        <v>0.1162974966483608</v>
      </c>
      <c r="Q2372" s="1">
        <v>2.9674253187492963</v>
      </c>
      <c r="R2372" s="2">
        <f t="shared" si="147"/>
        <v>157.93651372461579</v>
      </c>
      <c r="S2372" s="2">
        <f t="shared" si="146"/>
        <v>3.0232454865731233</v>
      </c>
      <c r="T2372" s="2">
        <f t="shared" si="148"/>
        <v>7.7182949075359852</v>
      </c>
      <c r="U2372" s="2">
        <f t="shared" si="149"/>
        <v>168.6780541187249</v>
      </c>
    </row>
    <row r="2373" spans="1:21" x14ac:dyDescent="0.25">
      <c r="A2373">
        <v>4123109</v>
      </c>
      <c r="B2373">
        <v>39</v>
      </c>
      <c r="C2373" s="1">
        <f>5.38776475835576*(10.3/7.3)</f>
        <v>7.6019146590499149</v>
      </c>
      <c r="D2373" s="1">
        <f>8.52904620725999*(10.3/7.3)</f>
        <v>12.034133689695597</v>
      </c>
      <c r="E2373" s="1">
        <f>29.9755443375459*(10.3/7.3)</f>
        <v>42.294261188592145</v>
      </c>
      <c r="F2373" s="1">
        <f>54.7285353300875*(38.9/42.5)</f>
        <v>50.092706455068345</v>
      </c>
      <c r="G2373" s="1">
        <v>1.8705910067473341</v>
      </c>
      <c r="H2373" s="1">
        <v>6.706975052969983</v>
      </c>
      <c r="I2373" s="1">
        <v>36.714275912566485</v>
      </c>
      <c r="J2373" s="1">
        <v>5.3127957443071472E-2</v>
      </c>
      <c r="K2373" s="1">
        <v>2.9875656901113756</v>
      </c>
      <c r="L2373" s="1">
        <v>5.9394524931785275</v>
      </c>
      <c r="M2373" s="1">
        <v>0.17486997701554038</v>
      </c>
      <c r="N2373" s="1">
        <v>2.277982521190105</v>
      </c>
      <c r="O2373" s="1">
        <v>0.16142495726495726</v>
      </c>
      <c r="P2373" s="1">
        <v>0.12060167409693481</v>
      </c>
      <c r="Q2373" s="1">
        <v>2.9895290062172051</v>
      </c>
      <c r="R2373" s="2">
        <f t="shared" si="147"/>
        <v>160.30438697090699</v>
      </c>
      <c r="S2373" s="2">
        <f t="shared" si="146"/>
        <v>3.1612953216513819</v>
      </c>
      <c r="T2373" s="2">
        <f t="shared" si="148"/>
        <v>8.5537299486491296</v>
      </c>
      <c r="U2373" s="2">
        <f t="shared" si="149"/>
        <v>172.0194122412075</v>
      </c>
    </row>
    <row r="2374" spans="1:21" x14ac:dyDescent="0.25">
      <c r="A2374">
        <v>4123117</v>
      </c>
      <c r="B2374">
        <v>24</v>
      </c>
      <c r="C2374" s="1">
        <f>4.62224279945211*(10.3/7.3)</f>
        <v>6.5217946348433946</v>
      </c>
      <c r="D2374" s="1">
        <f>7.45666989827675*(10.3/7.3)</f>
        <v>10.52105478797953</v>
      </c>
      <c r="E2374" s="1">
        <f>26.2082387747074*(10.3/7.3)</f>
        <v>36.978747860203612</v>
      </c>
      <c r="F2374" s="1">
        <f>46.8838107745749*(38.9/42.5)</f>
        <v>42.912476214846194</v>
      </c>
      <c r="G2374" s="1">
        <v>1.5606943299165776</v>
      </c>
      <c r="H2374" s="1">
        <v>10.015674766079547</v>
      </c>
      <c r="I2374" s="1">
        <v>31.034529159756307</v>
      </c>
      <c r="J2374" s="1">
        <v>4.3784912370110146E-2</v>
      </c>
      <c r="K2374" s="1">
        <v>2.9830163037561044</v>
      </c>
      <c r="L2374" s="1">
        <v>5.4135930631992615</v>
      </c>
      <c r="M2374" s="1">
        <v>0.15821929923348732</v>
      </c>
      <c r="N2374" s="1">
        <v>2.1122116172441392</v>
      </c>
      <c r="O2374" s="1">
        <v>0.14596666666666663</v>
      </c>
      <c r="P2374" s="1">
        <v>0.11228351224500986</v>
      </c>
      <c r="Q2374" s="1">
        <v>2.4942603446155376</v>
      </c>
      <c r="R2374" s="2">
        <f t="shared" si="147"/>
        <v>142.03923209824069</v>
      </c>
      <c r="S2374" s="2">
        <f t="shared" si="146"/>
        <v>3.1390847283712242</v>
      </c>
      <c r="T2374" s="2">
        <f t="shared" si="148"/>
        <v>7.8299906463435551</v>
      </c>
      <c r="U2374" s="2">
        <f t="shared" si="149"/>
        <v>153.00830747295547</v>
      </c>
    </row>
    <row r="2375" spans="1:21" x14ac:dyDescent="0.25">
      <c r="A2375">
        <v>4123125</v>
      </c>
      <c r="B2375">
        <v>37</v>
      </c>
      <c r="C2375" s="1">
        <f>4.6667958644852*(10.3/7.3)</f>
        <v>6.5846571786571984</v>
      </c>
      <c r="D2375" s="1">
        <f>7.13764150276396*(10.3/7.3)</f>
        <v>10.070918832666957</v>
      </c>
      <c r="E2375" s="1">
        <f>25.1229361796802*(10.3/7.3)</f>
        <v>35.44743050009675</v>
      </c>
      <c r="F2375" s="1">
        <f>45.5714300317067*(38.9/42.5)</f>
        <v>41.711261840785625</v>
      </c>
      <c r="G2375" s="1">
        <v>1.5311858045771161</v>
      </c>
      <c r="H2375" s="1">
        <v>10.869820733999401</v>
      </c>
      <c r="I2375" s="1">
        <v>30.865872053720043</v>
      </c>
      <c r="J2375" s="1">
        <v>4.2482726654905052E-2</v>
      </c>
      <c r="K2375" s="1">
        <v>3.8034539106772272</v>
      </c>
      <c r="L2375" s="1">
        <v>5.1167343501981142</v>
      </c>
      <c r="M2375" s="1">
        <v>0.15507862000367001</v>
      </c>
      <c r="N2375" s="1">
        <v>2.0420620200419779</v>
      </c>
      <c r="O2375" s="1">
        <v>0.14098306306306307</v>
      </c>
      <c r="P2375" s="1">
        <v>0.1099195038648009</v>
      </c>
      <c r="Q2375" s="1">
        <v>2.4471006009223335</v>
      </c>
      <c r="R2375" s="2">
        <f t="shared" si="147"/>
        <v>139.52824754542544</v>
      </c>
      <c r="S2375" s="2">
        <f t="shared" si="146"/>
        <v>3.9558561411969335</v>
      </c>
      <c r="T2375" s="2">
        <f t="shared" si="148"/>
        <v>7.4548580533068254</v>
      </c>
      <c r="U2375" s="2">
        <f t="shared" si="149"/>
        <v>150.9389617399292</v>
      </c>
    </row>
    <row r="2376" spans="1:21" x14ac:dyDescent="0.25">
      <c r="A2376">
        <v>4123133</v>
      </c>
      <c r="B2376">
        <v>29</v>
      </c>
      <c r="C2376" s="1">
        <f>4.98592671066078*(10.3/7.3)</f>
        <v>7.0349376876446614</v>
      </c>
      <c r="D2376" s="1">
        <f>7.03956108763693*(10.3/7.3)</f>
        <v>9.9325313976247109</v>
      </c>
      <c r="E2376" s="1">
        <f>24.8068391217028*(10.3/7.3)</f>
        <v>35.00143054158066</v>
      </c>
      <c r="F2376" s="1">
        <f>47.3902971608555*(38.9/42.5)</f>
        <v>43.376060224877108</v>
      </c>
      <c r="G2376" s="1">
        <v>1.684974553436382</v>
      </c>
      <c r="H2376" s="1">
        <v>8.8242030997413909</v>
      </c>
      <c r="I2376" s="1">
        <v>33.491934777978557</v>
      </c>
      <c r="J2376" s="1">
        <v>4.6117772146126126E-2</v>
      </c>
      <c r="K2376" s="1">
        <v>3.124433065616254</v>
      </c>
      <c r="L2376" s="1">
        <v>4.7722072033879135</v>
      </c>
      <c r="M2376" s="1">
        <v>0.14992279616433041</v>
      </c>
      <c r="N2376" s="1">
        <v>1.9853114699750547</v>
      </c>
      <c r="O2376" s="1">
        <v>0.13632919540229882</v>
      </c>
      <c r="P2376" s="1">
        <v>0.10501537526177432</v>
      </c>
      <c r="Q2376" s="1">
        <v>2.6928817064051791</v>
      </c>
      <c r="R2376" s="2">
        <f t="shared" si="147"/>
        <v>142.03895398928867</v>
      </c>
      <c r="S2376" s="2">
        <f t="shared" si="146"/>
        <v>3.2755662130241547</v>
      </c>
      <c r="T2376" s="2">
        <f t="shared" si="148"/>
        <v>7.043770664929597</v>
      </c>
      <c r="U2376" s="2">
        <f t="shared" si="149"/>
        <v>152.35829086724243</v>
      </c>
    </row>
    <row r="2377" spans="1:21" x14ac:dyDescent="0.25">
      <c r="A2377">
        <v>4123141</v>
      </c>
      <c r="B2377">
        <v>1</v>
      </c>
      <c r="C2377" s="1">
        <f>4.44095364540717*(10.3/7.3)</f>
        <v>6.2660030887251805</v>
      </c>
      <c r="D2377" s="1">
        <f>6.15148618526373*(10.3/7.3)</f>
        <v>8.6794942066049927</v>
      </c>
      <c r="E2377" s="1">
        <f>21.6953144231095*(10.3/7.3)</f>
        <v>30.611197062743511</v>
      </c>
      <c r="F2377" s="1">
        <f>41.3858759458384*(38.9/42.5)</f>
        <v>37.880248806896745</v>
      </c>
      <c r="G2377" s="1">
        <v>1.4624300464116611</v>
      </c>
      <c r="H2377" s="1">
        <v>6.3150816859350067</v>
      </c>
      <c r="I2377" s="1">
        <v>29.428274297878048</v>
      </c>
      <c r="J2377" s="1">
        <v>4.3501324919002729E-2</v>
      </c>
      <c r="K2377" s="1">
        <v>2.9097177722723604</v>
      </c>
      <c r="L2377" s="1">
        <v>5.1257506785659386</v>
      </c>
      <c r="M2377" s="1">
        <v>0.15113730456174365</v>
      </c>
      <c r="N2377" s="1">
        <v>3.0890665940066415</v>
      </c>
      <c r="O2377" s="1">
        <v>0.13493333333333332</v>
      </c>
      <c r="P2377" s="1">
        <v>0.10626167143114648</v>
      </c>
      <c r="Q2377" s="1">
        <v>2.3372169691510591</v>
      </c>
      <c r="R2377" s="2">
        <f t="shared" si="147"/>
        <v>122.9799461643462</v>
      </c>
      <c r="S2377" s="2">
        <f t="shared" ref="S2377:S2440" si="150">J2377+K2377+P2377</f>
        <v>3.0594807686225098</v>
      </c>
      <c r="T2377" s="2">
        <f t="shared" si="148"/>
        <v>8.5008879104676556</v>
      </c>
      <c r="U2377" s="2">
        <f t="shared" si="149"/>
        <v>134.54031484343636</v>
      </c>
    </row>
    <row r="2378" spans="1:21" x14ac:dyDescent="0.25">
      <c r="A2378">
        <v>4123149</v>
      </c>
      <c r="B2378">
        <v>1</v>
      </c>
      <c r="C2378" s="1">
        <f>7.85829734743349*(10.3/7.3)</f>
        <v>11.087734613502047</v>
      </c>
      <c r="D2378" s="1">
        <f>8.03560584738518*(10.3/7.3)</f>
        <v>11.337909620283197</v>
      </c>
      <c r="E2378" s="1">
        <f>28.7660001566905*(10.3/7.3)</f>
        <v>40.587644056700356</v>
      </c>
      <c r="F2378" s="1">
        <f>54.1288331982042*(38.9/42.5)</f>
        <v>49.543802621415118</v>
      </c>
      <c r="G2378" s="1">
        <v>1.7263756013766416</v>
      </c>
      <c r="H2378" s="1">
        <v>6.9365125965190364</v>
      </c>
      <c r="I2378" s="1">
        <v>43.028785189545509</v>
      </c>
      <c r="J2378" s="1">
        <v>3.7501434806295947E-2</v>
      </c>
      <c r="K2378" s="1">
        <v>2.417855387639035</v>
      </c>
      <c r="L2378" s="1">
        <v>4.371884305979437</v>
      </c>
      <c r="M2378" s="1">
        <v>0.13532014026748582</v>
      </c>
      <c r="N2378" s="1">
        <v>1.8920062655977945</v>
      </c>
      <c r="O2378" s="1">
        <v>0.12064000000000001</v>
      </c>
      <c r="P2378" s="1">
        <v>9.6424553228969798E-2</v>
      </c>
      <c r="Q2378" s="1">
        <v>2.7590477647571925</v>
      </c>
      <c r="R2378" s="2">
        <f t="shared" ref="R2378:R2441" si="151">C2378+D2378+E2378+F2378+G2378+H2378+I2378+Q2378</f>
        <v>167.00781206409908</v>
      </c>
      <c r="S2378" s="2">
        <f t="shared" si="150"/>
        <v>2.5517813756743006</v>
      </c>
      <c r="T2378" s="2">
        <f t="shared" ref="T2378:T2441" si="152">L2378+M2378+N2378+O2378</f>
        <v>6.5198507118447173</v>
      </c>
      <c r="U2378" s="2">
        <f t="shared" ref="U2378:U2441" si="153">R2378+S2378+T2378</f>
        <v>176.07944415161811</v>
      </c>
    </row>
    <row r="2379" spans="1:21" x14ac:dyDescent="0.25">
      <c r="A2379">
        <v>4123205</v>
      </c>
      <c r="B2379">
        <v>1</v>
      </c>
      <c r="C2379" s="1">
        <f>4.40112446473087*(10.3/7.3)</f>
        <v>6.2098057516065683</v>
      </c>
      <c r="D2379" s="1">
        <f>5.38460245530575*(10.3/7.3)</f>
        <v>7.5974527794040005</v>
      </c>
      <c r="E2379" s="1">
        <f>19.039088282918*(10.3/7.3)</f>
        <v>26.863371138911667</v>
      </c>
      <c r="F2379" s="1">
        <f>39.0484816730039*(38.9/42.5)</f>
        <v>35.740845578349422</v>
      </c>
      <c r="G2379" s="1">
        <v>1.4753054393367819</v>
      </c>
      <c r="H2379" s="1">
        <v>12.663754231901583</v>
      </c>
      <c r="I2379" s="1">
        <v>29.437252840089073</v>
      </c>
      <c r="J2379" s="1">
        <v>4.8856248060612305E-2</v>
      </c>
      <c r="K2379" s="1">
        <v>2.4331813430147311</v>
      </c>
      <c r="L2379" s="1">
        <v>5.124323248250124</v>
      </c>
      <c r="M2379" s="1">
        <v>0.13916805773954041</v>
      </c>
      <c r="N2379" s="1">
        <v>7.6424984308533634</v>
      </c>
      <c r="O2379" s="1">
        <v>0.11962666666666666</v>
      </c>
      <c r="P2379" s="1">
        <v>9.5598535670008394E-2</v>
      </c>
      <c r="Q2379" s="1">
        <v>2.3577940811318459</v>
      </c>
      <c r="R2379" s="2">
        <f t="shared" si="151"/>
        <v>122.34558184073093</v>
      </c>
      <c r="S2379" s="2">
        <f t="shared" si="150"/>
        <v>2.5776361267453516</v>
      </c>
      <c r="T2379" s="2">
        <f t="shared" si="152"/>
        <v>13.025616403509694</v>
      </c>
      <c r="U2379" s="2">
        <f t="shared" si="153"/>
        <v>137.94883437098596</v>
      </c>
    </row>
    <row r="2380" spans="1:21" x14ac:dyDescent="0.25">
      <c r="A2380">
        <v>4135065</v>
      </c>
      <c r="B2380">
        <v>1</v>
      </c>
      <c r="C2380" s="1">
        <f>3.63481102851891*(10.3/7.3)</f>
        <v>5.1285689854444838</v>
      </c>
      <c r="D2380" s="1">
        <f>4.03301160252518*(10.3/7.3)</f>
        <v>5.6904136309601832</v>
      </c>
      <c r="E2380" s="1">
        <f>14.210537329939*(10.3/7.3)</f>
        <v>20.050484177859076</v>
      </c>
      <c r="F2380" s="1">
        <f>35.053902867024*(38.9/42.5)</f>
        <v>32.084631094758393</v>
      </c>
      <c r="G2380" s="1">
        <v>1.5729438356856162</v>
      </c>
      <c r="H2380" s="1">
        <v>7.5780980231220081</v>
      </c>
      <c r="I2380" s="1">
        <v>28.0341162751591</v>
      </c>
      <c r="J2380" s="1">
        <v>3.2070133997056438E-2</v>
      </c>
      <c r="K2380" s="1">
        <v>2.5765026371933306</v>
      </c>
      <c r="L2380" s="1">
        <v>9.0843518010284114</v>
      </c>
      <c r="M2380" s="1">
        <v>0.22619925741955607</v>
      </c>
      <c r="N2380" s="1">
        <v>1.566456366970014</v>
      </c>
      <c r="O2380" s="1">
        <v>0.21914666666666666</v>
      </c>
      <c r="P2380" s="1">
        <v>0.18046461364373814</v>
      </c>
      <c r="Q2380" s="1">
        <v>2.5138371803194803</v>
      </c>
      <c r="R2380" s="2">
        <f t="shared" si="151"/>
        <v>102.65309320330834</v>
      </c>
      <c r="S2380" s="2">
        <f t="shared" si="150"/>
        <v>2.7890373848341254</v>
      </c>
      <c r="T2380" s="2">
        <f t="shared" si="152"/>
        <v>11.096154092084648</v>
      </c>
      <c r="U2380" s="2">
        <f t="shared" si="153"/>
        <v>116.53828468022712</v>
      </c>
    </row>
    <row r="2381" spans="1:21" x14ac:dyDescent="0.25">
      <c r="A2381">
        <v>4135081</v>
      </c>
      <c r="B2381">
        <v>2</v>
      </c>
      <c r="C2381" s="1">
        <f>2.55444450267434*(10.3/7.3)</f>
        <v>3.6042162161021469</v>
      </c>
      <c r="D2381" s="1">
        <f>3.251361983776*(10.3/7.3)</f>
        <v>4.5875381414921677</v>
      </c>
      <c r="E2381" s="1">
        <f>11.2756152994332*(10.3/7.3)</f>
        <v>15.909429806049527</v>
      </c>
      <c r="F2381" s="1">
        <f>33.2380282040682*(38.9/42.5)</f>
        <v>30.422571697370625</v>
      </c>
      <c r="G2381" s="1">
        <v>1.7306673990183485</v>
      </c>
      <c r="H2381" s="1">
        <v>12.67719057591421</v>
      </c>
      <c r="I2381" s="1">
        <v>26.266683800140939</v>
      </c>
      <c r="J2381" s="1">
        <v>3.659338920225122E-2</v>
      </c>
      <c r="K2381" s="1">
        <v>2.8709748119302705</v>
      </c>
      <c r="L2381" s="1">
        <v>11.107250042170953</v>
      </c>
      <c r="M2381" s="1">
        <v>0.24900062861337591</v>
      </c>
      <c r="N2381" s="1">
        <v>1.8992932678889773</v>
      </c>
      <c r="O2381" s="1">
        <v>0.23629333333333333</v>
      </c>
      <c r="P2381" s="1">
        <v>0.19387440797343364</v>
      </c>
      <c r="Q2381" s="1">
        <v>2.7659068020841215</v>
      </c>
      <c r="R2381" s="2">
        <f t="shared" si="151"/>
        <v>97.964204438172075</v>
      </c>
      <c r="S2381" s="2">
        <f t="shared" si="150"/>
        <v>3.1014426091059555</v>
      </c>
      <c r="T2381" s="2">
        <f t="shared" si="152"/>
        <v>13.49183727200664</v>
      </c>
      <c r="U2381" s="2">
        <f t="shared" si="153"/>
        <v>114.55748431928467</v>
      </c>
    </row>
    <row r="2382" spans="1:21" x14ac:dyDescent="0.25">
      <c r="A2382">
        <v>4135089</v>
      </c>
      <c r="B2382">
        <v>2</v>
      </c>
      <c r="C2382" s="1">
        <f>4.20576233351363*(10.3/7.3)</f>
        <v>5.9341578130397785</v>
      </c>
      <c r="D2382" s="1">
        <f>5.57906600256871*(10.3/7.3)</f>
        <v>7.8718328529394164</v>
      </c>
      <c r="E2382" s="1">
        <f>19.314529952558*(10.3/7.3)</f>
        <v>27.252008015253033</v>
      </c>
      <c r="F2382" s="1">
        <f>56.8710730620926*(38.9/42.5)</f>
        <v>52.053758638009505</v>
      </c>
      <c r="G2382" s="1">
        <v>2.9720698668820988</v>
      </c>
      <c r="H2382" s="1">
        <v>24.454146102982367</v>
      </c>
      <c r="I2382" s="1">
        <v>44.534204154733956</v>
      </c>
      <c r="J2382" s="1">
        <v>5.8675021554815611E-2</v>
      </c>
      <c r="K2382" s="1">
        <v>4.3339706417078609</v>
      </c>
      <c r="L2382" s="1">
        <v>9.6139013943905525</v>
      </c>
      <c r="M2382" s="1">
        <v>0.40175992766518404</v>
      </c>
      <c r="N2382" s="1">
        <v>2.9085508008413168</v>
      </c>
      <c r="O2382" s="1">
        <v>0.36887999999999999</v>
      </c>
      <c r="P2382" s="1">
        <v>0.26618561979099298</v>
      </c>
      <c r="Q2382" s="1">
        <v>4.7498833488983365</v>
      </c>
      <c r="R2382" s="2">
        <f t="shared" si="151"/>
        <v>169.82206079273845</v>
      </c>
      <c r="S2382" s="2">
        <f t="shared" si="150"/>
        <v>4.6588312830536696</v>
      </c>
      <c r="T2382" s="2">
        <f t="shared" si="152"/>
        <v>13.293092122897054</v>
      </c>
      <c r="U2382" s="2">
        <f t="shared" si="153"/>
        <v>187.77398419868919</v>
      </c>
    </row>
    <row r="2383" spans="1:21" x14ac:dyDescent="0.25">
      <c r="A2383">
        <v>4135217</v>
      </c>
      <c r="B2383">
        <v>18</v>
      </c>
      <c r="C2383" s="1">
        <f>4.00143863664422*(10.3/7.3)</f>
        <v>5.6458654736213028</v>
      </c>
      <c r="D2383" s="1">
        <f>6.04618983767795*(10.3/7.3)</f>
        <v>8.5309253874086206</v>
      </c>
      <c r="E2383" s="1">
        <f>21.1875638484423*(10.3/7.3)</f>
        <v>29.894781868350126</v>
      </c>
      <c r="F2383" s="1">
        <f>43.6304943950321*(38.9/42.5)</f>
        <v>39.934734869805865</v>
      </c>
      <c r="G2383" s="1">
        <v>1.7247661772610017</v>
      </c>
      <c r="H2383" s="1">
        <v>10.154703603432427</v>
      </c>
      <c r="I2383" s="1">
        <v>30.790042295343376</v>
      </c>
      <c r="J2383" s="1">
        <v>4.336884266836067E-2</v>
      </c>
      <c r="K2383" s="1">
        <v>2.7693931460916987</v>
      </c>
      <c r="L2383" s="1">
        <v>6.8245788794136031</v>
      </c>
      <c r="M2383" s="1">
        <v>0.20350092243536935</v>
      </c>
      <c r="N2383" s="1">
        <v>1.8988709372003205</v>
      </c>
      <c r="O2383" s="1">
        <v>0.1821274074074074</v>
      </c>
      <c r="P2383" s="1">
        <v>0.14232821602402834</v>
      </c>
      <c r="Q2383" s="1">
        <v>2.7564756257595944</v>
      </c>
      <c r="R2383" s="2">
        <f t="shared" si="151"/>
        <v>129.43229530098233</v>
      </c>
      <c r="S2383" s="2">
        <f t="shared" si="150"/>
        <v>2.9550902047840877</v>
      </c>
      <c r="T2383" s="2">
        <f t="shared" si="152"/>
        <v>9.1090781464566994</v>
      </c>
      <c r="U2383" s="2">
        <f t="shared" si="153"/>
        <v>141.49646365222313</v>
      </c>
    </row>
    <row r="2384" spans="1:21" x14ac:dyDescent="0.25">
      <c r="A2384">
        <v>4135225</v>
      </c>
      <c r="B2384">
        <v>15</v>
      </c>
      <c r="C2384" s="1">
        <f>4.58749847750882*(10.3/7.3)</f>
        <v>6.4727718244302572</v>
      </c>
      <c r="D2384" s="1">
        <f>7.52878583046694*(10.3/7.3)</f>
        <v>10.622807404631438</v>
      </c>
      <c r="E2384" s="1">
        <f>26.3440336159151*(10.3/7.3)</f>
        <v>37.170348800537731</v>
      </c>
      <c r="F2384" s="1">
        <f>52.2416507531314*(38.9/42.5)</f>
        <v>47.816475630513253</v>
      </c>
      <c r="G2384" s="1">
        <v>2.0046986784413403</v>
      </c>
      <c r="H2384" s="1">
        <v>8.7858014107903575</v>
      </c>
      <c r="I2384" s="1">
        <v>35.586474939424093</v>
      </c>
      <c r="J2384" s="1">
        <v>3.7496908722288252E-2</v>
      </c>
      <c r="K2384" s="1">
        <v>2.5990567590494718</v>
      </c>
      <c r="L2384" s="1">
        <v>5.6836612841451757</v>
      </c>
      <c r="M2384" s="1">
        <v>0.19050567899355114</v>
      </c>
      <c r="N2384" s="1">
        <v>1.7450578546558466</v>
      </c>
      <c r="O2384" s="1">
        <v>0.17058133333333333</v>
      </c>
      <c r="P2384" s="1">
        <v>0.13374745576725738</v>
      </c>
      <c r="Q2384" s="1">
        <v>3.2038563354085383</v>
      </c>
      <c r="R2384" s="2">
        <f t="shared" si="151"/>
        <v>151.66323502417703</v>
      </c>
      <c r="S2384" s="2">
        <f t="shared" si="150"/>
        <v>2.7703011235390171</v>
      </c>
      <c r="T2384" s="2">
        <f t="shared" si="152"/>
        <v>7.7898061511279071</v>
      </c>
      <c r="U2384" s="2">
        <f t="shared" si="153"/>
        <v>162.22334229884396</v>
      </c>
    </row>
    <row r="2385" spans="1:21" x14ac:dyDescent="0.25">
      <c r="A2385">
        <v>4135233</v>
      </c>
      <c r="B2385">
        <v>11</v>
      </c>
      <c r="C2385" s="1">
        <f>14.7433143525225*(10.3/7.3)</f>
        <v>20.802210661778382</v>
      </c>
      <c r="D2385" s="1">
        <f>12.9161041280085*(10.3/7.3)</f>
        <v>18.22409212582015</v>
      </c>
      <c r="E2385" s="1">
        <f>46.7668985322526*(10.3/7.3)</f>
        <v>65.98617190167144</v>
      </c>
      <c r="F2385" s="1">
        <f>82.5888424109494*(38.9/42.5)</f>
        <v>75.593081642021914</v>
      </c>
      <c r="G2385" s="1">
        <v>2.2005216999297721</v>
      </c>
      <c r="H2385" s="1">
        <v>10.284605227301986</v>
      </c>
      <c r="I2385" s="1">
        <v>69.82497179530445</v>
      </c>
      <c r="J2385" s="1">
        <v>3.9079135112388967E-2</v>
      </c>
      <c r="K2385" s="1">
        <v>2.7060665508341391</v>
      </c>
      <c r="L2385" s="1">
        <v>5.5203120933510803</v>
      </c>
      <c r="M2385" s="1">
        <v>0.19578119630509583</v>
      </c>
      <c r="N2385" s="1">
        <v>1.8398832723416272</v>
      </c>
      <c r="O2385" s="1">
        <v>0.1765769696969697</v>
      </c>
      <c r="P2385" s="1">
        <v>0.1375264092565924</v>
      </c>
      <c r="Q2385" s="1">
        <v>3.5168155021708727</v>
      </c>
      <c r="R2385" s="2">
        <f t="shared" si="151"/>
        <v>266.43247055599898</v>
      </c>
      <c r="S2385" s="2">
        <f t="shared" si="150"/>
        <v>2.8826720952031204</v>
      </c>
      <c r="T2385" s="2">
        <f t="shared" si="152"/>
        <v>7.7325535316947729</v>
      </c>
      <c r="U2385" s="2">
        <f t="shared" si="153"/>
        <v>277.04769618289686</v>
      </c>
    </row>
    <row r="2386" spans="1:21" x14ac:dyDescent="0.25">
      <c r="A2386">
        <v>4135241</v>
      </c>
      <c r="B2386">
        <v>2</v>
      </c>
      <c r="C2386" s="1">
        <f>4.09185087677942*(10.3/7.3)</f>
        <v>5.7734334288805504</v>
      </c>
      <c r="D2386" s="1">
        <f>6.15655490431092*(10.3/7.3)</f>
        <v>8.6866459608770512</v>
      </c>
      <c r="E2386" s="1">
        <f>21.6180532272175*(10.3/7.3)</f>
        <v>30.502184690457579</v>
      </c>
      <c r="F2386" s="1">
        <f>42.4816008381646*(38.9/42.5)</f>
        <v>38.883159355402377</v>
      </c>
      <c r="G2386" s="1">
        <v>1.5874286527263775</v>
      </c>
      <c r="H2386" s="1">
        <v>8.8545507043216389</v>
      </c>
      <c r="I2386" s="1">
        <v>29.634501987281045</v>
      </c>
      <c r="J2386" s="1">
        <v>3.9504226979703017E-2</v>
      </c>
      <c r="K2386" s="1">
        <v>2.5304868497014015</v>
      </c>
      <c r="L2386" s="1">
        <v>4.8725165401937236</v>
      </c>
      <c r="M2386" s="1">
        <v>0.18132247999937917</v>
      </c>
      <c r="N2386" s="1">
        <v>1.7464819838786771</v>
      </c>
      <c r="O2386" s="1">
        <v>0.16498666666666667</v>
      </c>
      <c r="P2386" s="1">
        <v>0.12909268123390832</v>
      </c>
      <c r="Q2386" s="1">
        <v>2.5369864312978661</v>
      </c>
      <c r="R2386" s="2">
        <f t="shared" si="151"/>
        <v>126.45889121124448</v>
      </c>
      <c r="S2386" s="2">
        <f t="shared" si="150"/>
        <v>2.6990837579150129</v>
      </c>
      <c r="T2386" s="2">
        <f t="shared" si="152"/>
        <v>6.9653076707384471</v>
      </c>
      <c r="U2386" s="2">
        <f t="shared" si="153"/>
        <v>136.12328263989792</v>
      </c>
    </row>
    <row r="2387" spans="1:21" x14ac:dyDescent="0.25">
      <c r="A2387">
        <v>4135281</v>
      </c>
      <c r="B2387">
        <v>33</v>
      </c>
      <c r="C2387" s="1">
        <f>4.38393756979661*(10.3/7.3)</f>
        <v>6.1855557491650828</v>
      </c>
      <c r="D2387" s="1">
        <f>5.75599851566112*(10.3/7.3)</f>
        <v>8.1214773577136299</v>
      </c>
      <c r="E2387" s="1">
        <f>20.2945173042205*(10.3/7.3)</f>
        <v>28.634729894996109</v>
      </c>
      <c r="F2387" s="1">
        <f>41.3141706167769*(38.9/42.5)</f>
        <v>37.814617341002872</v>
      </c>
      <c r="G2387" s="1">
        <v>1.5698875555468248</v>
      </c>
      <c r="H2387" s="1">
        <v>7.9070848704614987</v>
      </c>
      <c r="I2387" s="1">
        <v>30.375902202443644</v>
      </c>
      <c r="J2387" s="1">
        <v>3.8989899251555347E-2</v>
      </c>
      <c r="K2387" s="1">
        <v>2.5286735158852096</v>
      </c>
      <c r="L2387" s="1">
        <v>5.0899661923067088</v>
      </c>
      <c r="M2387" s="1">
        <v>0.17293549755535378</v>
      </c>
      <c r="N2387" s="1">
        <v>1.8920382008274785</v>
      </c>
      <c r="O2387" s="1">
        <v>0.16124606060606059</v>
      </c>
      <c r="P2387" s="1">
        <v>0.12331344684454318</v>
      </c>
      <c r="Q2387" s="1">
        <v>2.5089527143442432</v>
      </c>
      <c r="R2387" s="2">
        <f t="shared" si="151"/>
        <v>123.11820768567391</v>
      </c>
      <c r="S2387" s="2">
        <f t="shared" si="150"/>
        <v>2.6909768619813081</v>
      </c>
      <c r="T2387" s="2">
        <f t="shared" si="152"/>
        <v>7.3161859512956022</v>
      </c>
      <c r="U2387" s="2">
        <f t="shared" si="153"/>
        <v>133.12537049895082</v>
      </c>
    </row>
    <row r="2388" spans="1:21" x14ac:dyDescent="0.25">
      <c r="A2388">
        <v>4135289</v>
      </c>
      <c r="B2388">
        <v>2</v>
      </c>
      <c r="C2388" s="1">
        <f>6.42046392501915*(10.3/7.3)</f>
        <v>9.0590107435201705</v>
      </c>
      <c r="D2388" s="1">
        <f>8.79763897945957*(10.3/7.3)</f>
        <v>12.413107053210076</v>
      </c>
      <c r="E2388" s="1">
        <f>31.0080811834338*(10.3/7.3)</f>
        <v>43.751128245118949</v>
      </c>
      <c r="F2388" s="1">
        <f>60.8441236201452*(38.9/42.5)</f>
        <v>55.690268442909407</v>
      </c>
      <c r="G2388" s="1">
        <v>2.2274429760459338</v>
      </c>
      <c r="H2388" s="1">
        <v>7.8300294733587776</v>
      </c>
      <c r="I2388" s="1">
        <v>43.733700309124131</v>
      </c>
      <c r="J2388" s="1">
        <v>3.856223574560054E-2</v>
      </c>
      <c r="K2388" s="1">
        <v>2.4633344498296585</v>
      </c>
      <c r="L2388" s="1">
        <v>5.0390459715974565</v>
      </c>
      <c r="M2388" s="1">
        <v>0.16819622023558267</v>
      </c>
      <c r="N2388" s="1">
        <v>1.7571595136205269</v>
      </c>
      <c r="O2388" s="1">
        <v>0.15949333333333335</v>
      </c>
      <c r="P2388" s="1">
        <v>0.11723673279503069</v>
      </c>
      <c r="Q2388" s="1">
        <v>3.5598403726761538</v>
      </c>
      <c r="R2388" s="2">
        <f t="shared" si="151"/>
        <v>178.26452761596357</v>
      </c>
      <c r="S2388" s="2">
        <f t="shared" si="150"/>
        <v>2.6191334183702897</v>
      </c>
      <c r="T2388" s="2">
        <f t="shared" si="152"/>
        <v>7.1238950387869</v>
      </c>
      <c r="U2388" s="2">
        <f t="shared" si="153"/>
        <v>188.00755607312078</v>
      </c>
    </row>
    <row r="2389" spans="1:21" x14ac:dyDescent="0.25">
      <c r="A2389">
        <v>4135337</v>
      </c>
      <c r="B2389">
        <v>15</v>
      </c>
      <c r="C2389" s="1">
        <f>6.08069446106321*(10.3/7.3)</f>
        <v>8.5796099930070024</v>
      </c>
      <c r="D2389" s="1">
        <f>9.36506397341627*(10.3/7.3)</f>
        <v>13.213720400847622</v>
      </c>
      <c r="E2389" s="1">
        <f>32.9450828241308*(10.3/7.3)</f>
        <v>46.484157957335313</v>
      </c>
      <c r="F2389" s="1">
        <f>60.232857449106*(38.9/42.5)</f>
        <v>55.130780112240551</v>
      </c>
      <c r="G2389" s="1">
        <v>2.0507639731289959</v>
      </c>
      <c r="H2389" s="1">
        <v>6.0700923467714292</v>
      </c>
      <c r="I2389" s="1">
        <v>40.801889034162222</v>
      </c>
      <c r="J2389" s="1">
        <v>6.1249797594695725E-2</v>
      </c>
      <c r="K2389" s="1">
        <v>2.8766386965575106</v>
      </c>
      <c r="L2389" s="1">
        <v>5.4517795242643512</v>
      </c>
      <c r="M2389" s="1">
        <v>0.1703711120974479</v>
      </c>
      <c r="N2389" s="1">
        <v>2.159388972783796</v>
      </c>
      <c r="O2389" s="1">
        <v>0.159552</v>
      </c>
      <c r="P2389" s="1">
        <v>0.11853409657543822</v>
      </c>
      <c r="Q2389" s="1">
        <v>3.2774766693842441</v>
      </c>
      <c r="R2389" s="2">
        <f t="shared" si="151"/>
        <v>175.60849048687737</v>
      </c>
      <c r="S2389" s="2">
        <f t="shared" si="150"/>
        <v>3.0564225907276446</v>
      </c>
      <c r="T2389" s="2">
        <f t="shared" si="152"/>
        <v>7.9410916091455945</v>
      </c>
      <c r="U2389" s="2">
        <f t="shared" si="153"/>
        <v>186.60600468675059</v>
      </c>
    </row>
    <row r="2390" spans="1:21" x14ac:dyDescent="0.25">
      <c r="A2390">
        <v>4135345</v>
      </c>
      <c r="B2390">
        <v>49</v>
      </c>
      <c r="C2390" s="1">
        <f>8.23513016705658*(10.3/7.3)</f>
        <v>11.61943023570997</v>
      </c>
      <c r="D2390" s="1">
        <f>12.8893993651591*(10.3/7.3)</f>
        <v>18.18641280289571</v>
      </c>
      <c r="E2390" s="1">
        <f>45.3419709532904*(10.3/7.3)</f>
        <v>63.975657646423407</v>
      </c>
      <c r="F2390" s="1">
        <f>81.6141494160926*(38.9/42.5)</f>
        <v>74.700950877317723</v>
      </c>
      <c r="G2390" s="1">
        <v>2.7243280377072363</v>
      </c>
      <c r="H2390" s="1">
        <v>10.691696536946175</v>
      </c>
      <c r="I2390" s="1">
        <v>54.701416087585535</v>
      </c>
      <c r="J2390" s="1">
        <v>7.0144141522591713E-2</v>
      </c>
      <c r="K2390" s="1">
        <v>3.7928736614135845</v>
      </c>
      <c r="L2390" s="1">
        <v>7.583707792875451</v>
      </c>
      <c r="M2390" s="1">
        <v>0.22172684008628718</v>
      </c>
      <c r="N2390" s="1">
        <v>3.2337858580089258</v>
      </c>
      <c r="O2390" s="1">
        <v>0.19933278911564628</v>
      </c>
      <c r="P2390" s="1">
        <v>0.13920028676635404</v>
      </c>
      <c r="Q2390" s="1">
        <v>4.3539489187102003</v>
      </c>
      <c r="R2390" s="2">
        <f t="shared" si="151"/>
        <v>240.95384114329593</v>
      </c>
      <c r="S2390" s="2">
        <f t="shared" si="150"/>
        <v>4.0022180897025308</v>
      </c>
      <c r="T2390" s="2">
        <f t="shared" si="152"/>
        <v>11.238553280086309</v>
      </c>
      <c r="U2390" s="2">
        <f t="shared" si="153"/>
        <v>256.19461251308479</v>
      </c>
    </row>
    <row r="2391" spans="1:21" x14ac:dyDescent="0.25">
      <c r="A2391">
        <v>4135353</v>
      </c>
      <c r="B2391">
        <v>3</v>
      </c>
      <c r="C2391" s="1">
        <f>4.6998433198031*(10.3/7.3)</f>
        <v>6.631285779996154</v>
      </c>
      <c r="D2391" s="1">
        <f>7.2612750001131*(10.3/7.3)</f>
        <v>10.245360616597942</v>
      </c>
      <c r="E2391" s="1">
        <f>25.5545061179826*(10.3/7.3)</f>
        <v>36.056357947290479</v>
      </c>
      <c r="F2391" s="1">
        <f>46.0540477545378*(38.9/42.5)</f>
        <v>42.152999003565164</v>
      </c>
      <c r="G2391" s="1">
        <v>1.5357482561241556</v>
      </c>
      <c r="H2391" s="1">
        <v>12.077033876683506</v>
      </c>
      <c r="I2391" s="1">
        <v>31.018500542627049</v>
      </c>
      <c r="J2391" s="1">
        <v>3.8927151268721323E-2</v>
      </c>
      <c r="K2391" s="1">
        <v>3.0052974309673886</v>
      </c>
      <c r="L2391" s="1">
        <v>4.918580291948575</v>
      </c>
      <c r="M2391" s="1">
        <v>0.14630071321191415</v>
      </c>
      <c r="N2391" s="1">
        <v>1.8438435827677637</v>
      </c>
      <c r="O2391" s="1">
        <v>0.13242666666666666</v>
      </c>
      <c r="P2391" s="1">
        <v>0.10309045331542493</v>
      </c>
      <c r="Q2391" s="1">
        <v>2.4543921901527628</v>
      </c>
      <c r="R2391" s="2">
        <f t="shared" si="151"/>
        <v>142.17167821303721</v>
      </c>
      <c r="S2391" s="2">
        <f t="shared" si="150"/>
        <v>3.1473150355515349</v>
      </c>
      <c r="T2391" s="2">
        <f t="shared" si="152"/>
        <v>7.0411512545949195</v>
      </c>
      <c r="U2391" s="2">
        <f t="shared" si="153"/>
        <v>152.36014450318368</v>
      </c>
    </row>
    <row r="2392" spans="1:21" x14ac:dyDescent="0.25">
      <c r="A2392">
        <v>4135361</v>
      </c>
      <c r="B2392">
        <v>33</v>
      </c>
      <c r="C2392" s="1">
        <f>5.78223147830321*(10.3/7.3)</f>
        <v>8.1584909899346609</v>
      </c>
      <c r="D2392" s="1">
        <f>7.5478747399305*(10.3/7.3)</f>
        <v>10.649741071408791</v>
      </c>
      <c r="E2392" s="1">
        <f>26.685588688854*(10.3/7.3)</f>
        <v>37.65226897194475</v>
      </c>
      <c r="F2392" s="1">
        <f>50.9616234516341*(38.9/42.5)</f>
        <v>46.644874171025116</v>
      </c>
      <c r="G2392" s="1">
        <v>1.7792427450540325</v>
      </c>
      <c r="H2392" s="1">
        <v>11.111143965048477</v>
      </c>
      <c r="I2392" s="1">
        <v>37.005128836550092</v>
      </c>
      <c r="J2392" s="1">
        <v>4.3618591641020416E-2</v>
      </c>
      <c r="K2392" s="1">
        <v>4.3936450710895016</v>
      </c>
      <c r="L2392" s="1">
        <v>4.9982189094304745</v>
      </c>
      <c r="M2392" s="1">
        <v>0.15473043744274634</v>
      </c>
      <c r="N2392" s="1">
        <v>2.0437988130120632</v>
      </c>
      <c r="O2392" s="1">
        <v>0.14072888888888888</v>
      </c>
      <c r="P2392" s="1">
        <v>0.10896622673470555</v>
      </c>
      <c r="Q2392" s="1">
        <v>2.8435386336480004</v>
      </c>
      <c r="R2392" s="2">
        <f t="shared" si="151"/>
        <v>155.8444293846139</v>
      </c>
      <c r="S2392" s="2">
        <f t="shared" si="150"/>
        <v>4.5462298894652271</v>
      </c>
      <c r="T2392" s="2">
        <f t="shared" si="152"/>
        <v>7.3374770487741738</v>
      </c>
      <c r="U2392" s="2">
        <f t="shared" si="153"/>
        <v>167.72813632285329</v>
      </c>
    </row>
    <row r="2393" spans="1:21" x14ac:dyDescent="0.25">
      <c r="A2393">
        <v>4135369</v>
      </c>
      <c r="B2393">
        <v>46</v>
      </c>
      <c r="C2393" s="1">
        <f>4.71097817335739*(10.3/7.3)</f>
        <v>6.6469966007645311</v>
      </c>
      <c r="D2393" s="1">
        <f>6.58222913810201*(10.3/7.3)</f>
        <v>9.2872548112946127</v>
      </c>
      <c r="E2393" s="1">
        <f>23.1934434651579*(10.3/7.3)</f>
        <v>32.724995574126964</v>
      </c>
      <c r="F2393" s="1">
        <f>44.8913212893741*(38.9/42.5)</f>
        <v>41.088762309568338</v>
      </c>
      <c r="G2393" s="1">
        <v>1.6208300343727056</v>
      </c>
      <c r="H2393" s="1">
        <v>8.1679097111111059</v>
      </c>
      <c r="I2393" s="1">
        <v>31.94714400236391</v>
      </c>
      <c r="J2393" s="1">
        <v>4.4613782251873464E-2</v>
      </c>
      <c r="K2393" s="1">
        <v>3.1092419022059499</v>
      </c>
      <c r="L2393" s="1">
        <v>5.1797982669729734</v>
      </c>
      <c r="M2393" s="1">
        <v>0.15535272400451361</v>
      </c>
      <c r="N2393" s="1">
        <v>2.4592864590034655</v>
      </c>
      <c r="O2393" s="1">
        <v>0.14006840579710145</v>
      </c>
      <c r="P2393" s="1">
        <v>0.10824710220413807</v>
      </c>
      <c r="Q2393" s="1">
        <v>2.5903676348422273</v>
      </c>
      <c r="R2393" s="2">
        <f t="shared" si="151"/>
        <v>134.0742606784444</v>
      </c>
      <c r="S2393" s="2">
        <f t="shared" si="150"/>
        <v>3.2621027866619614</v>
      </c>
      <c r="T2393" s="2">
        <f t="shared" si="152"/>
        <v>7.9345058557780535</v>
      </c>
      <c r="U2393" s="2">
        <f t="shared" si="153"/>
        <v>145.2708693208844</v>
      </c>
    </row>
    <row r="2394" spans="1:21" x14ac:dyDescent="0.25">
      <c r="A2394">
        <v>4135377</v>
      </c>
      <c r="B2394">
        <v>12</v>
      </c>
      <c r="C2394" s="1">
        <f>7.77299651881842*(10.3/7.3)</f>
        <v>10.967378649839686</v>
      </c>
      <c r="D2394" s="1">
        <f>10.5777227302625*(10.3/7.3)</f>
        <v>14.924732071466316</v>
      </c>
      <c r="E2394" s="1">
        <f>37.3217079229555*(10.3/7.3)</f>
        <v>52.659396110471526</v>
      </c>
      <c r="F2394" s="1">
        <f>71.7753511961854*(38.9/42.5)</f>
        <v>65.695556741920271</v>
      </c>
      <c r="G2394" s="1">
        <v>2.5546031337752244</v>
      </c>
      <c r="H2394" s="1">
        <v>12.120701994724547</v>
      </c>
      <c r="I2394" s="1">
        <v>51.454867925895577</v>
      </c>
      <c r="J2394" s="1">
        <v>6.2915396509529167E-2</v>
      </c>
      <c r="K2394" s="1">
        <v>4.2187553139262581</v>
      </c>
      <c r="L2394" s="1">
        <v>7.1088346319188966</v>
      </c>
      <c r="M2394" s="1">
        <v>0.21165242203662563</v>
      </c>
      <c r="N2394" s="1">
        <v>3.0193416184029149</v>
      </c>
      <c r="O2394" s="1">
        <v>0.18778666666666666</v>
      </c>
      <c r="P2394" s="1">
        <v>0.13519731442310454</v>
      </c>
      <c r="Q2394" s="1">
        <v>4.0826990722435132</v>
      </c>
      <c r="R2394" s="2">
        <f t="shared" si="151"/>
        <v>214.45993570033667</v>
      </c>
      <c r="S2394" s="2">
        <f t="shared" si="150"/>
        <v>4.4168680248588919</v>
      </c>
      <c r="T2394" s="2">
        <f t="shared" si="152"/>
        <v>10.527615339025104</v>
      </c>
      <c r="U2394" s="2">
        <f t="shared" si="153"/>
        <v>229.40441906422069</v>
      </c>
    </row>
    <row r="2395" spans="1:21" x14ac:dyDescent="0.25">
      <c r="A2395">
        <v>4135385</v>
      </c>
      <c r="B2395">
        <v>10</v>
      </c>
      <c r="C2395" s="1">
        <f>7.57152724656415*(10.3/7.3)</f>
        <v>10.683113786248043</v>
      </c>
      <c r="D2395" s="1">
        <f>9.88933914513624*(10.3/7.3)</f>
        <v>13.953451122589486</v>
      </c>
      <c r="E2395" s="1">
        <f>34.9708891655303*(10.3/7.3)</f>
        <v>49.342487452734602</v>
      </c>
      <c r="F2395" s="1">
        <f>66.385298756445*(38.9/42.5)</f>
        <v>60.76207345001675</v>
      </c>
      <c r="G2395" s="1">
        <v>2.2984722270161853</v>
      </c>
      <c r="H2395" s="1">
        <v>12.839434429866689</v>
      </c>
      <c r="I2395" s="1">
        <v>48.12706555754098</v>
      </c>
      <c r="J2395" s="1">
        <v>6.1469595549319633E-2</v>
      </c>
      <c r="K2395" s="1">
        <v>3.5259336341316585</v>
      </c>
      <c r="L2395" s="1">
        <v>7.9057711176812502</v>
      </c>
      <c r="M2395" s="1">
        <v>0.19738039930610324</v>
      </c>
      <c r="N2395" s="1">
        <v>2.6919553047844351</v>
      </c>
      <c r="O2395" s="1">
        <v>0.17567466666666665</v>
      </c>
      <c r="P2395" s="1">
        <v>0.12860053650647116</v>
      </c>
      <c r="Q2395" s="1">
        <v>3.673357440436829</v>
      </c>
      <c r="R2395" s="2">
        <f t="shared" si="151"/>
        <v>201.67945546644958</v>
      </c>
      <c r="S2395" s="2">
        <f t="shared" si="150"/>
        <v>3.7160037661874497</v>
      </c>
      <c r="T2395" s="2">
        <f t="shared" si="152"/>
        <v>10.970781488438455</v>
      </c>
      <c r="U2395" s="2">
        <f t="shared" si="153"/>
        <v>216.36624072107548</v>
      </c>
    </row>
    <row r="2396" spans="1:21" x14ac:dyDescent="0.25">
      <c r="A2396">
        <v>4135433</v>
      </c>
      <c r="B2396">
        <v>2</v>
      </c>
      <c r="C2396" s="1">
        <f>3.83455436961054*(10.3/7.3)</f>
        <v>5.4103986310943206</v>
      </c>
      <c r="D2396" s="1">
        <f>4.65217773479411*(10.3/7.3)</f>
        <v>6.5640315984081337</v>
      </c>
      <c r="E2396" s="1">
        <f>16.50131102058*(10.3/7.3)</f>
        <v>23.282671713969009</v>
      </c>
      <c r="F2396" s="1">
        <f>31.5412971447647*(38.9/42.5)</f>
        <v>28.86956373956108</v>
      </c>
      <c r="G2396" s="1">
        <v>1.0829278399437192</v>
      </c>
      <c r="H2396" s="1">
        <v>5.043667633740113</v>
      </c>
      <c r="I2396" s="1">
        <v>23.521906933635428</v>
      </c>
      <c r="J2396" s="1">
        <v>5.0668096064944552E-2</v>
      </c>
      <c r="K2396" s="1">
        <v>2.3353513766973228</v>
      </c>
      <c r="L2396" s="1">
        <v>4.6264477651501821</v>
      </c>
      <c r="M2396" s="1">
        <v>0.13177654265537264</v>
      </c>
      <c r="N2396" s="1">
        <v>2.5474419495385008</v>
      </c>
      <c r="O2396" s="1">
        <v>0.11506666666666668</v>
      </c>
      <c r="P2396" s="1">
        <v>9.2854773939253926E-2</v>
      </c>
      <c r="Q2396" s="1">
        <v>1.7307065935173616</v>
      </c>
      <c r="R2396" s="2">
        <f t="shared" si="151"/>
        <v>95.505874683869166</v>
      </c>
      <c r="S2396" s="2">
        <f t="shared" si="150"/>
        <v>2.4788742467015212</v>
      </c>
      <c r="T2396" s="2">
        <f t="shared" si="152"/>
        <v>7.4207329240107223</v>
      </c>
      <c r="U2396" s="2">
        <f t="shared" si="153"/>
        <v>105.40548185458141</v>
      </c>
    </row>
    <row r="2397" spans="1:21" x14ac:dyDescent="0.25">
      <c r="A2397">
        <v>4135441</v>
      </c>
      <c r="B2397">
        <v>14</v>
      </c>
      <c r="C2397" s="1">
        <f>4.06840855900994*(10.3/7.3)</f>
        <v>5.7403572818907378</v>
      </c>
      <c r="D2397" s="1">
        <f>4.91997481762601*(10.3/7.3)</f>
        <v>6.9418822769243649</v>
      </c>
      <c r="E2397" s="1">
        <f>17.4298145941485*(10.3/7.3)</f>
        <v>24.592752098593024</v>
      </c>
      <c r="F2397" s="1">
        <f>34.5250733960186*(38.9/42.5)</f>
        <v>31.600596590708779</v>
      </c>
      <c r="G2397" s="1">
        <v>1.244468037607827</v>
      </c>
      <c r="H2397" s="1">
        <v>7.2160365389245928</v>
      </c>
      <c r="I2397" s="1">
        <v>25.959130113674654</v>
      </c>
      <c r="J2397" s="1">
        <v>4.6000571932004353E-2</v>
      </c>
      <c r="K2397" s="1">
        <v>2.3457377056021547</v>
      </c>
      <c r="L2397" s="1">
        <v>5.6513320998642973</v>
      </c>
      <c r="M2397" s="1">
        <v>0.13148802926606357</v>
      </c>
      <c r="N2397" s="1">
        <v>3.6276410383824107</v>
      </c>
      <c r="O2397" s="1">
        <v>0.11334476190476192</v>
      </c>
      <c r="P2397" s="1">
        <v>9.1427187431679283E-2</v>
      </c>
      <c r="Q2397" s="1">
        <v>1.9888758591905928</v>
      </c>
      <c r="R2397" s="2">
        <f t="shared" si="151"/>
        <v>105.28409879751457</v>
      </c>
      <c r="S2397" s="2">
        <f t="shared" si="150"/>
        <v>2.4831654649658383</v>
      </c>
      <c r="T2397" s="2">
        <f t="shared" si="152"/>
        <v>9.5238059294175326</v>
      </c>
      <c r="U2397" s="2">
        <f t="shared" si="153"/>
        <v>117.29107019189794</v>
      </c>
    </row>
    <row r="2398" spans="1:21" x14ac:dyDescent="0.25">
      <c r="A2398">
        <v>4135449</v>
      </c>
      <c r="B2398">
        <v>2</v>
      </c>
      <c r="C2398" s="1">
        <f>4.35731236598694*(10.3/7.3)</f>
        <v>6.1479886807760957</v>
      </c>
      <c r="D2398" s="1">
        <f>5.20297588572315*(10.3/7.3)</f>
        <v>7.3411851538285502</v>
      </c>
      <c r="E2398" s="1">
        <f>18.4550797706951*(10.3/7.3)</f>
        <v>26.039359128515027</v>
      </c>
      <c r="F2398" s="1">
        <f>35.9635875552058*(38.9/42.5)</f>
        <v>32.917260138764817</v>
      </c>
      <c r="G2398" s="1">
        <v>1.2639344054827122</v>
      </c>
      <c r="H2398" s="1">
        <v>5.6046349962673183</v>
      </c>
      <c r="I2398" s="1">
        <v>27.079022592768325</v>
      </c>
      <c r="J2398" s="1">
        <v>4.8410711666104375E-2</v>
      </c>
      <c r="K2398" s="1">
        <v>2.4731473951403711</v>
      </c>
      <c r="L2398" s="1">
        <v>4.9569790446749771</v>
      </c>
      <c r="M2398" s="1">
        <v>0.13886643140909632</v>
      </c>
      <c r="N2398" s="1">
        <v>2.3793767061523194</v>
      </c>
      <c r="O2398" s="1">
        <v>0.12005333333333333</v>
      </c>
      <c r="P2398" s="1">
        <v>9.6150176767077017E-2</v>
      </c>
      <c r="Q2398" s="1">
        <v>2.0199864927805922</v>
      </c>
      <c r="R2398" s="2">
        <f t="shared" si="151"/>
        <v>108.41337158918344</v>
      </c>
      <c r="S2398" s="2">
        <f t="shared" si="150"/>
        <v>2.6177082835735526</v>
      </c>
      <c r="T2398" s="2">
        <f t="shared" si="152"/>
        <v>7.5952755155697256</v>
      </c>
      <c r="U2398" s="2">
        <f t="shared" si="153"/>
        <v>118.62635538832672</v>
      </c>
    </row>
    <row r="2399" spans="1:21" x14ac:dyDescent="0.25">
      <c r="A2399">
        <v>4135745</v>
      </c>
      <c r="B2399">
        <v>3</v>
      </c>
      <c r="C2399" s="1">
        <f>4.95740535484316*(10.3/7.3)</f>
        <v>6.9946952266965088</v>
      </c>
      <c r="D2399" s="1">
        <f>5.58997629499928*(10.3/7.3)</f>
        <v>7.8872268271907648</v>
      </c>
      <c r="E2399" s="1">
        <f>19.7427348114733*(10.3/7.3)</f>
        <v>27.856187473722585</v>
      </c>
      <c r="F2399" s="1">
        <f>45.5382621076611*(38.9/42.5)</f>
        <v>41.680903435012148</v>
      </c>
      <c r="G2399" s="1">
        <v>1.9255865419125417</v>
      </c>
      <c r="H2399" s="1">
        <v>7.7662068392987953</v>
      </c>
      <c r="I2399" s="1">
        <v>35.927980483389497</v>
      </c>
      <c r="J2399" s="1">
        <v>2.7306430578952615E-2</v>
      </c>
      <c r="K2399" s="1">
        <v>2.0696749760416462</v>
      </c>
      <c r="L2399" s="1">
        <v>2.231942323040236</v>
      </c>
      <c r="M2399" s="1">
        <v>0.10149335212799031</v>
      </c>
      <c r="N2399" s="1">
        <v>1.1227914863484922</v>
      </c>
      <c r="O2399" s="1">
        <v>9.2888888888888896E-2</v>
      </c>
      <c r="P2399" s="1">
        <v>7.2637556144059034E-2</v>
      </c>
      <c r="Q2399" s="1">
        <v>3.0774214140154807</v>
      </c>
      <c r="R2399" s="2">
        <f t="shared" si="151"/>
        <v>133.1162082412383</v>
      </c>
      <c r="S2399" s="2">
        <f t="shared" si="150"/>
        <v>2.169618962764658</v>
      </c>
      <c r="T2399" s="2">
        <f t="shared" si="152"/>
        <v>3.5491160504056074</v>
      </c>
      <c r="U2399" s="2">
        <f t="shared" si="153"/>
        <v>138.83494325440856</v>
      </c>
    </row>
    <row r="2400" spans="1:21" x14ac:dyDescent="0.25">
      <c r="A2400">
        <v>4147453</v>
      </c>
      <c r="B2400">
        <v>25</v>
      </c>
      <c r="C2400" s="1">
        <f>4.1858079139948*(10.3/7.3)</f>
        <v>5.9060029471433539</v>
      </c>
      <c r="D2400" s="1">
        <f>8.11884270118392*(10.3/7.3)</f>
        <v>11.455353400300604</v>
      </c>
      <c r="E2400" s="1">
        <f>28.3417525867115*(10.3/7.3)</f>
        <v>39.989048170291518</v>
      </c>
      <c r="F2400" s="1">
        <f>51.921005220407*(38.9/42.5)</f>
        <v>47.522990660560758</v>
      </c>
      <c r="G2400" s="1">
        <v>1.8525115340664107</v>
      </c>
      <c r="H2400" s="1">
        <v>8.8732272224991906</v>
      </c>
      <c r="I2400" s="1">
        <v>32.715608905334349</v>
      </c>
      <c r="J2400" s="1">
        <v>3.9534099134153851E-2</v>
      </c>
      <c r="K2400" s="1">
        <v>2.6115114572302445</v>
      </c>
      <c r="L2400" s="1">
        <v>5.7770462035811567</v>
      </c>
      <c r="M2400" s="1">
        <v>0.19467724940286765</v>
      </c>
      <c r="N2400" s="1">
        <v>1.7410894154188628</v>
      </c>
      <c r="O2400" s="1">
        <v>0.17415466666666671</v>
      </c>
      <c r="P2400" s="1">
        <v>0.13480329436247218</v>
      </c>
      <c r="Q2400" s="1">
        <v>2.9606348717956359</v>
      </c>
      <c r="R2400" s="2">
        <f t="shared" si="151"/>
        <v>151.27537771199181</v>
      </c>
      <c r="S2400" s="2">
        <f t="shared" si="150"/>
        <v>2.7858488507268708</v>
      </c>
      <c r="T2400" s="2">
        <f t="shared" si="152"/>
        <v>7.8869675350695534</v>
      </c>
      <c r="U2400" s="2">
        <f t="shared" si="153"/>
        <v>161.94819409778822</v>
      </c>
    </row>
    <row r="2401" spans="1:21" x14ac:dyDescent="0.25">
      <c r="A2401">
        <v>4147461</v>
      </c>
      <c r="B2401">
        <v>15</v>
      </c>
      <c r="C2401" s="1">
        <f>10.0419985599793*(10.3/7.3)</f>
        <v>14.168847283258449</v>
      </c>
      <c r="D2401" s="1">
        <f>11.0515176886489*(10.3/7.3)</f>
        <v>15.593237286723774</v>
      </c>
      <c r="E2401" s="1">
        <f>39.4979369497832*(10.3/7.3)</f>
        <v>55.729965833255783</v>
      </c>
      <c r="F2401" s="1">
        <f>69.8646742499544*(38.9/42.5)</f>
        <v>63.946725372311171</v>
      </c>
      <c r="G2401" s="1">
        <v>2.0512646828538617</v>
      </c>
      <c r="H2401" s="1">
        <v>9.6990249255152872</v>
      </c>
      <c r="I2401" s="1">
        <v>53.359963203233264</v>
      </c>
      <c r="J2401" s="1">
        <v>3.7539340759860436E-2</v>
      </c>
      <c r="K2401" s="1">
        <v>2.6117265425779292</v>
      </c>
      <c r="L2401" s="1">
        <v>5.6017263769822891</v>
      </c>
      <c r="M2401" s="1">
        <v>0.19238189500085931</v>
      </c>
      <c r="N2401" s="1">
        <v>1.7432547761035058</v>
      </c>
      <c r="O2401" s="1">
        <v>0.17161244444444446</v>
      </c>
      <c r="P2401" s="1">
        <v>0.13344785245955107</v>
      </c>
      <c r="Q2401" s="1">
        <v>3.2782768904057185</v>
      </c>
      <c r="R2401" s="2">
        <f t="shared" si="151"/>
        <v>217.8273054775573</v>
      </c>
      <c r="S2401" s="2">
        <f t="shared" si="150"/>
        <v>2.782713735797341</v>
      </c>
      <c r="T2401" s="2">
        <f t="shared" si="152"/>
        <v>7.7089754925310983</v>
      </c>
      <c r="U2401" s="2">
        <f t="shared" si="153"/>
        <v>228.31899470588573</v>
      </c>
    </row>
    <row r="2402" spans="1:21" x14ac:dyDescent="0.25">
      <c r="A2402">
        <v>4147469</v>
      </c>
      <c r="B2402">
        <v>5</v>
      </c>
      <c r="C2402" s="1">
        <f>5.32834779087507*(10.3/7.3)</f>
        <v>7.5180797597278435</v>
      </c>
      <c r="D2402" s="1">
        <f>7.10658742290991*(10.3/7.3)</f>
        <v>10.027102802187954</v>
      </c>
      <c r="E2402" s="1">
        <f>25.0951036805681*(10.3/7.3)</f>
        <v>35.408159987650905</v>
      </c>
      <c r="F2402" s="1">
        <f>48.2857300388199*(38.9/42.5)</f>
        <v>44.195644670825736</v>
      </c>
      <c r="G2402" s="1">
        <v>1.7119980792769229</v>
      </c>
      <c r="H2402" s="1">
        <v>6.7000329418967892</v>
      </c>
      <c r="I2402" s="1">
        <v>34.860766143404362</v>
      </c>
      <c r="J2402" s="1">
        <v>3.690059715427383E-2</v>
      </c>
      <c r="K2402" s="1">
        <v>2.5745451179416898</v>
      </c>
      <c r="L2402" s="1">
        <v>5.4196160945391707</v>
      </c>
      <c r="M2402" s="1">
        <v>0.18671261745350776</v>
      </c>
      <c r="N2402" s="1">
        <v>1.7472480380858868</v>
      </c>
      <c r="O2402" s="1">
        <v>0.16809599999999997</v>
      </c>
      <c r="P2402" s="1">
        <v>0.13276239420739205</v>
      </c>
      <c r="Q2402" s="1">
        <v>2.73606998971198</v>
      </c>
      <c r="R2402" s="2">
        <f t="shared" si="151"/>
        <v>143.1578543746825</v>
      </c>
      <c r="S2402" s="2">
        <f t="shared" si="150"/>
        <v>2.7442081093033557</v>
      </c>
      <c r="T2402" s="2">
        <f t="shared" si="152"/>
        <v>7.5216727500785652</v>
      </c>
      <c r="U2402" s="2">
        <f t="shared" si="153"/>
        <v>153.4237352340644</v>
      </c>
    </row>
    <row r="2403" spans="1:21" x14ac:dyDescent="0.25">
      <c r="A2403">
        <v>4147509</v>
      </c>
      <c r="B2403">
        <v>29</v>
      </c>
      <c r="C2403" s="1">
        <f>5.0922294204658*(10.3/7.3)</f>
        <v>7.184926442575029</v>
      </c>
      <c r="D2403" s="1">
        <f>6.04872515535962*(10.3/7.3)</f>
        <v>8.5345026164663125</v>
      </c>
      <c r="E2403" s="1">
        <f>21.461795069093*(10.3/7.3)</f>
        <v>30.281710850912024</v>
      </c>
      <c r="F2403" s="1">
        <f>41.746804516117*(38.9/42.5)</f>
        <v>38.210604604163571</v>
      </c>
      <c r="G2403" s="1">
        <v>1.4615420882788943</v>
      </c>
      <c r="H2403" s="1">
        <v>7.8230796402487988</v>
      </c>
      <c r="I2403" s="1">
        <v>31.482752261518463</v>
      </c>
      <c r="J2403" s="1">
        <v>3.7829185717198337E-2</v>
      </c>
      <c r="K2403" s="1">
        <v>2.4538704416989194</v>
      </c>
      <c r="L2403" s="1">
        <v>4.9806902325246627</v>
      </c>
      <c r="M2403" s="1">
        <v>0.17143820502711762</v>
      </c>
      <c r="N2403" s="1">
        <v>1.8080813593054748</v>
      </c>
      <c r="O2403" s="1">
        <v>0.15885793103448273</v>
      </c>
      <c r="P2403" s="1">
        <v>0.12058243007322102</v>
      </c>
      <c r="Q2403" s="1">
        <v>2.3357978579799692</v>
      </c>
      <c r="R2403" s="2">
        <f t="shared" si="151"/>
        <v>127.31491636214304</v>
      </c>
      <c r="S2403" s="2">
        <f t="shared" si="150"/>
        <v>2.6122820574893391</v>
      </c>
      <c r="T2403" s="2">
        <f t="shared" si="152"/>
        <v>7.1190677278917374</v>
      </c>
      <c r="U2403" s="2">
        <f t="shared" si="153"/>
        <v>137.04626614752414</v>
      </c>
    </row>
    <row r="2404" spans="1:21" x14ac:dyDescent="0.25">
      <c r="A2404">
        <v>4147517</v>
      </c>
      <c r="B2404">
        <v>7</v>
      </c>
      <c r="C2404" s="1">
        <f>4.29153731904151*(10.3/7.3)</f>
        <v>6.0551827926202177</v>
      </c>
      <c r="D2404" s="1">
        <f>5.75104497472131*(10.3/7.3)</f>
        <v>8.1144881150177426</v>
      </c>
      <c r="E2404" s="1">
        <f>20.2819964389742*(10.3/7.3)</f>
        <v>28.617063468689565</v>
      </c>
      <c r="F2404" s="1">
        <f>40.1470765913252*(38.9/42.5)</f>
        <v>36.746383044765857</v>
      </c>
      <c r="G2404" s="1">
        <v>1.4794439584912848</v>
      </c>
      <c r="H2404" s="1">
        <v>6.840058841285531</v>
      </c>
      <c r="I2404" s="1">
        <v>29.133441007173815</v>
      </c>
      <c r="J2404" s="1">
        <v>3.879621812421287E-2</v>
      </c>
      <c r="K2404" s="1">
        <v>2.5327068338604302</v>
      </c>
      <c r="L2404" s="1">
        <v>5.2983166875109919</v>
      </c>
      <c r="M2404" s="1">
        <v>0.17092517139490812</v>
      </c>
      <c r="N2404" s="1">
        <v>1.9548002684446055</v>
      </c>
      <c r="O2404" s="1">
        <v>0.15956571428571428</v>
      </c>
      <c r="P2404" s="1">
        <v>0.12199148749798432</v>
      </c>
      <c r="Q2404" s="1">
        <v>2.3644081528399559</v>
      </c>
      <c r="R2404" s="2">
        <f t="shared" si="151"/>
        <v>119.35046938088396</v>
      </c>
      <c r="S2404" s="2">
        <f t="shared" si="150"/>
        <v>2.6934945394826273</v>
      </c>
      <c r="T2404" s="2">
        <f t="shared" si="152"/>
        <v>7.58360784163622</v>
      </c>
      <c r="U2404" s="2">
        <f t="shared" si="153"/>
        <v>129.62757176200282</v>
      </c>
    </row>
    <row r="2405" spans="1:21" x14ac:dyDescent="0.25">
      <c r="A2405">
        <v>4147573</v>
      </c>
      <c r="B2405">
        <v>1</v>
      </c>
      <c r="C2405" s="1">
        <f>10.1524581543882*(10.3/7.3)</f>
        <v>14.324701231534066</v>
      </c>
      <c r="D2405" s="1">
        <f>15.6009217595375*(10.3/7.3)</f>
        <v>22.012259468936413</v>
      </c>
      <c r="E2405" s="1">
        <f>54.9099573254397*(10.3/7.3)</f>
        <v>77.475693212606714</v>
      </c>
      <c r="F2405" s="1">
        <f>99.2156518379795*(38.9/42.5)</f>
        <v>90.811502505821252</v>
      </c>
      <c r="G2405" s="1">
        <v>3.3175595770395123</v>
      </c>
      <c r="H2405" s="1">
        <v>8.8982188223626757</v>
      </c>
      <c r="I2405" s="1">
        <v>67.00609054376352</v>
      </c>
      <c r="J2405" s="1">
        <v>6.9011465907399566E-2</v>
      </c>
      <c r="K2405" s="1">
        <v>3.3275320992540935</v>
      </c>
      <c r="L2405" s="1">
        <v>6.6234453042658332</v>
      </c>
      <c r="M2405" s="1">
        <v>0.20799376010926823</v>
      </c>
      <c r="N2405" s="1">
        <v>2.5761844050484948</v>
      </c>
      <c r="O2405" s="1">
        <v>0.19050666666666669</v>
      </c>
      <c r="P2405" s="1">
        <v>0.13155051669781095</v>
      </c>
      <c r="Q2405" s="1">
        <v>5.302035853716121</v>
      </c>
      <c r="R2405" s="2">
        <f t="shared" si="151"/>
        <v>289.14806121578027</v>
      </c>
      <c r="S2405" s="2">
        <f t="shared" si="150"/>
        <v>3.5280940818593041</v>
      </c>
      <c r="T2405" s="2">
        <f t="shared" si="152"/>
        <v>9.598130136090262</v>
      </c>
      <c r="U2405" s="2">
        <f t="shared" si="153"/>
        <v>302.27428543372986</v>
      </c>
    </row>
    <row r="2406" spans="1:21" x14ac:dyDescent="0.25">
      <c r="A2406">
        <v>4147581</v>
      </c>
      <c r="B2406">
        <v>61</v>
      </c>
      <c r="C2406" s="1">
        <f>9.61293599057143*(10.3/7.3)</f>
        <v>13.563457630532287</v>
      </c>
      <c r="D2406" s="1">
        <f>14.5489668955507*(10.3/7.3)</f>
        <v>20.527994386872933</v>
      </c>
      <c r="E2406" s="1">
        <f>51.2380755382981*(10.3/7.3)</f>
        <v>72.294818910201485</v>
      </c>
      <c r="F2406" s="1">
        <f>92.4999606654923*(38.9/42.5)</f>
        <v>84.664669879709422</v>
      </c>
      <c r="G2406" s="1">
        <v>3.0782742691797504</v>
      </c>
      <c r="H2406" s="1">
        <v>11.311198979286168</v>
      </c>
      <c r="I2406" s="1">
        <v>62.783924796509574</v>
      </c>
      <c r="J2406" s="1">
        <v>7.9039756282205206E-2</v>
      </c>
      <c r="K2406" s="1">
        <v>4.6416875489245104</v>
      </c>
      <c r="L2406" s="1">
        <v>8.8007423196675294</v>
      </c>
      <c r="M2406" s="1">
        <v>0.25891861933138677</v>
      </c>
      <c r="N2406" s="1">
        <v>3.8474432680113058</v>
      </c>
      <c r="O2406" s="1">
        <v>0.22551606557377044</v>
      </c>
      <c r="P2406" s="1">
        <v>0.15412428912180118</v>
      </c>
      <c r="Q2406" s="1">
        <v>4.9196164119311119</v>
      </c>
      <c r="R2406" s="2">
        <f t="shared" si="151"/>
        <v>273.14395526422271</v>
      </c>
      <c r="S2406" s="2">
        <f t="shared" si="150"/>
        <v>4.8748515943285176</v>
      </c>
      <c r="T2406" s="2">
        <f t="shared" si="152"/>
        <v>13.132620272583994</v>
      </c>
      <c r="U2406" s="2">
        <f t="shared" si="153"/>
        <v>291.15142713113522</v>
      </c>
    </row>
    <row r="2407" spans="1:21" x14ac:dyDescent="0.25">
      <c r="A2407">
        <v>4147589</v>
      </c>
      <c r="B2407">
        <v>10</v>
      </c>
      <c r="C2407" s="1">
        <f>6.5447309687292*(10.3/7.3)</f>
        <v>9.2343464353302362</v>
      </c>
      <c r="D2407" s="1">
        <f>8.55513820559683*(10.3/7.3)</f>
        <v>12.070948427074979</v>
      </c>
      <c r="E2407" s="1">
        <f>30.2413679377622*(10.3/7.3)</f>
        <v>42.669327364239834</v>
      </c>
      <c r="F2407" s="1">
        <f>57.9327690801632*(38.9/42.5)</f>
        <v>53.025522758078743</v>
      </c>
      <c r="G2407" s="1">
        <v>2.0321661833482652</v>
      </c>
      <c r="H2407" s="1">
        <v>8.7195154469947305</v>
      </c>
      <c r="I2407" s="1">
        <v>42.077078806327165</v>
      </c>
      <c r="J2407" s="1">
        <v>4.9473209886911861E-2</v>
      </c>
      <c r="K2407" s="1">
        <v>5.0472685706216343</v>
      </c>
      <c r="L2407" s="1">
        <v>5.1487975726384274</v>
      </c>
      <c r="M2407" s="1">
        <v>0.15713856957754543</v>
      </c>
      <c r="N2407" s="1">
        <v>2.2685287681080788</v>
      </c>
      <c r="O2407" s="1">
        <v>0.14234666666666668</v>
      </c>
      <c r="P2407" s="1">
        <v>0.10842318089383958</v>
      </c>
      <c r="Q2407" s="1">
        <v>3.2477541743008844</v>
      </c>
      <c r="R2407" s="2">
        <f t="shared" si="151"/>
        <v>173.07665959569485</v>
      </c>
      <c r="S2407" s="2">
        <f t="shared" si="150"/>
        <v>5.205164961402386</v>
      </c>
      <c r="T2407" s="2">
        <f t="shared" si="152"/>
        <v>7.7168115769907182</v>
      </c>
      <c r="U2407" s="2">
        <f t="shared" si="153"/>
        <v>185.99863613408795</v>
      </c>
    </row>
    <row r="2408" spans="1:21" x14ac:dyDescent="0.25">
      <c r="A2408">
        <v>4147597</v>
      </c>
      <c r="B2408">
        <v>52</v>
      </c>
      <c r="C2408" s="1">
        <f>5.44449580929341*(10.3/7.3)</f>
        <v>7.6819598405098839</v>
      </c>
      <c r="D2408" s="1">
        <f>7.67638349203089*(10.3/7.3)</f>
        <v>10.831061639440849</v>
      </c>
      <c r="E2408" s="1">
        <f>27.0536122796257*(10.3/7.3)</f>
        <v>38.171535134266428</v>
      </c>
      <c r="F2408" s="1">
        <f>51.6240335817443*(38.9/42.5)</f>
        <v>47.251174266584826</v>
      </c>
      <c r="G2408" s="1">
        <v>1.8321230192312017</v>
      </c>
      <c r="H2408" s="1">
        <v>8.908037689141139</v>
      </c>
      <c r="I2408" s="1">
        <v>36.49013478181574</v>
      </c>
      <c r="J2408" s="1">
        <v>5.0990416350348629E-2</v>
      </c>
      <c r="K2408" s="1">
        <v>4.495195077694758</v>
      </c>
      <c r="L2408" s="1">
        <v>5.801015424286299</v>
      </c>
      <c r="M2408" s="1">
        <v>0.17295801026211016</v>
      </c>
      <c r="N2408" s="1">
        <v>2.4528213439002391</v>
      </c>
      <c r="O2408" s="1">
        <v>0.15570974358974357</v>
      </c>
      <c r="P2408" s="1">
        <v>0.11692380699565995</v>
      </c>
      <c r="Q2408" s="1">
        <v>2.9280504873558044</v>
      </c>
      <c r="R2408" s="2">
        <f t="shared" si="151"/>
        <v>154.09407685834589</v>
      </c>
      <c r="S2408" s="2">
        <f t="shared" si="150"/>
        <v>4.663109301040766</v>
      </c>
      <c r="T2408" s="2">
        <f t="shared" si="152"/>
        <v>8.5825045220383931</v>
      </c>
      <c r="U2408" s="2">
        <f t="shared" si="153"/>
        <v>167.33969068142505</v>
      </c>
    </row>
    <row r="2409" spans="1:21" x14ac:dyDescent="0.25">
      <c r="A2409">
        <v>4147605</v>
      </c>
      <c r="B2409">
        <v>29</v>
      </c>
      <c r="C2409" s="1">
        <f>7.75432945166812*(10.3/7.3)</f>
        <v>10.941040185230358</v>
      </c>
      <c r="D2409" s="1">
        <f>11.8156072271857*(10.3/7.3)</f>
        <v>16.671336224659214</v>
      </c>
      <c r="E2409" s="1">
        <f>41.0903283984409*(10.3/7.3)</f>
        <v>57.976764726567303</v>
      </c>
      <c r="F2409" s="1">
        <f>99.8702412810705*(38.9/42.5)</f>
        <v>91.41064437255632</v>
      </c>
      <c r="G2409" s="1">
        <v>4.6321815926010075</v>
      </c>
      <c r="H2409" s="1">
        <v>11.9684234292481</v>
      </c>
      <c r="I2409" s="1">
        <v>73.21028842770626</v>
      </c>
      <c r="J2409" s="1">
        <v>6.4472115791401552E-2</v>
      </c>
      <c r="K2409" s="1">
        <v>4.0894660385184158</v>
      </c>
      <c r="L2409" s="1">
        <v>7.1986829367818235</v>
      </c>
      <c r="M2409" s="1">
        <v>0.21497086512567989</v>
      </c>
      <c r="N2409" s="1">
        <v>3.4267275642055646</v>
      </c>
      <c r="O2409" s="1">
        <v>0.19034114942528732</v>
      </c>
      <c r="P2409" s="1">
        <v>0.13603475548753924</v>
      </c>
      <c r="Q2409" s="1">
        <v>7.403029942513033</v>
      </c>
      <c r="R2409" s="2">
        <f t="shared" si="151"/>
        <v>274.21370890108159</v>
      </c>
      <c r="S2409" s="2">
        <f t="shared" si="150"/>
        <v>4.2899729097973571</v>
      </c>
      <c r="T2409" s="2">
        <f t="shared" si="152"/>
        <v>11.030722515538354</v>
      </c>
      <c r="U2409" s="2">
        <f t="shared" si="153"/>
        <v>289.5344043264173</v>
      </c>
    </row>
    <row r="2410" spans="1:21" x14ac:dyDescent="0.25">
      <c r="A2410">
        <v>4147613</v>
      </c>
      <c r="B2410">
        <v>44</v>
      </c>
      <c r="C2410" s="1">
        <f>9.92443609501642*(10.3/7.3)</f>
        <v>14.002971476530018</v>
      </c>
      <c r="D2410" s="1">
        <f>13.1913761053638*(10.3/7.3)</f>
        <v>18.612489573321511</v>
      </c>
      <c r="E2410" s="1">
        <f>46.6179397015157*(10.3/7.3)</f>
        <v>65.775997113097446</v>
      </c>
      <c r="F2410" s="1">
        <f>88.2268024998757*(38.9/42.5)</f>
        <v>80.753473346945057</v>
      </c>
      <c r="G2410" s="1">
        <v>3.0541992672074922</v>
      </c>
      <c r="H2410" s="1">
        <v>11.127277756912127</v>
      </c>
      <c r="I2410" s="1">
        <v>63.518237387474144</v>
      </c>
      <c r="J2410" s="1">
        <v>8.0853861847999919E-2</v>
      </c>
      <c r="K2410" s="1">
        <v>4.5297938239134243</v>
      </c>
      <c r="L2410" s="1">
        <v>8.7022730279811711</v>
      </c>
      <c r="M2410" s="1">
        <v>0.24629065990442828</v>
      </c>
      <c r="N2410" s="1">
        <v>3.4049130970514878</v>
      </c>
      <c r="O2410" s="1">
        <v>0.21301090909090903</v>
      </c>
      <c r="P2410" s="1">
        <v>0.14947452022389734</v>
      </c>
      <c r="Q2410" s="1">
        <v>4.8811403813818419</v>
      </c>
      <c r="R2410" s="2">
        <f t="shared" si="151"/>
        <v>261.72578630286961</v>
      </c>
      <c r="S2410" s="2">
        <f t="shared" si="150"/>
        <v>4.7601222059853221</v>
      </c>
      <c r="T2410" s="2">
        <f t="shared" si="152"/>
        <v>12.566487694027996</v>
      </c>
      <c r="U2410" s="2">
        <f t="shared" si="153"/>
        <v>279.05239620288296</v>
      </c>
    </row>
    <row r="2411" spans="1:21" x14ac:dyDescent="0.25">
      <c r="A2411">
        <v>4147621</v>
      </c>
      <c r="B2411">
        <v>15</v>
      </c>
      <c r="C2411" s="1">
        <f>8.62009680983547*(10.3/7.3)</f>
        <v>12.162602348124022</v>
      </c>
      <c r="D2411" s="1">
        <f>11.3470466931756*(10.3/7.3)</f>
        <v>16.01021656708339</v>
      </c>
      <c r="E2411" s="1">
        <f>40.121001558387*(10.3/7.3)</f>
        <v>56.609084390600842</v>
      </c>
      <c r="F2411" s="1">
        <f>75.717533483396*(38.9/42.5)</f>
        <v>69.303813000096554</v>
      </c>
      <c r="G2411" s="1">
        <v>2.6045489288305896</v>
      </c>
      <c r="H2411" s="1">
        <v>10.428170527267214</v>
      </c>
      <c r="I2411" s="1">
        <v>54.663640704941052</v>
      </c>
      <c r="J2411" s="1">
        <v>6.5141664080816397E-2</v>
      </c>
      <c r="K2411" s="1">
        <v>3.2369741083038464</v>
      </c>
      <c r="L2411" s="1">
        <v>7.1315095379317972</v>
      </c>
      <c r="M2411" s="1">
        <v>0.19216409522623515</v>
      </c>
      <c r="N2411" s="1">
        <v>2.4861099008660772</v>
      </c>
      <c r="O2411" s="1">
        <v>0.16953244444444443</v>
      </c>
      <c r="P2411" s="1">
        <v>0.1230642934125744</v>
      </c>
      <c r="Q2411" s="1">
        <v>4.1625211191356488</v>
      </c>
      <c r="R2411" s="2">
        <f t="shared" si="151"/>
        <v>225.94459758607931</v>
      </c>
      <c r="S2411" s="2">
        <f t="shared" si="150"/>
        <v>3.4251800657972371</v>
      </c>
      <c r="T2411" s="2">
        <f t="shared" si="152"/>
        <v>9.9793159784685539</v>
      </c>
      <c r="U2411" s="2">
        <f t="shared" si="153"/>
        <v>239.3490936303451</v>
      </c>
    </row>
    <row r="2412" spans="1:21" x14ac:dyDescent="0.25">
      <c r="A2412">
        <v>4147677</v>
      </c>
      <c r="B2412">
        <v>32</v>
      </c>
      <c r="C2412" s="1">
        <f>4.26187169179136*(10.3/7.3)</f>
        <v>6.0133258117056236</v>
      </c>
      <c r="D2412" s="1">
        <f>5.144574511854*(10.3/7.3)</f>
        <v>7.2587832153556411</v>
      </c>
      <c r="E2412" s="1">
        <f>18.2235572708333*(10.3/7.3)</f>
        <v>25.712690395833299</v>
      </c>
      <c r="F2412" s="1">
        <f>36.2729915106907*(38.9/42.5)</f>
        <v>33.200455759196899</v>
      </c>
      <c r="G2412" s="1">
        <v>1.3153353881759688</v>
      </c>
      <c r="H2412" s="1">
        <v>6.3909760353188334</v>
      </c>
      <c r="I2412" s="1">
        <v>27.316294809704075</v>
      </c>
      <c r="J2412" s="1">
        <v>4.8164605848185729E-2</v>
      </c>
      <c r="K2412" s="1">
        <v>2.4257144723176562</v>
      </c>
      <c r="L2412" s="1">
        <v>5.6310986567331343</v>
      </c>
      <c r="M2412" s="1">
        <v>0.13542157736402591</v>
      </c>
      <c r="N2412" s="1">
        <v>2.5984369209805593</v>
      </c>
      <c r="O2412" s="1">
        <v>0.11755833333333332</v>
      </c>
      <c r="P2412" s="1">
        <v>9.4014734367941721E-2</v>
      </c>
      <c r="Q2412" s="1">
        <v>2.1021341820163908</v>
      </c>
      <c r="R2412" s="2">
        <f t="shared" si="151"/>
        <v>109.30999559730672</v>
      </c>
      <c r="S2412" s="2">
        <f t="shared" si="150"/>
        <v>2.5678938125337836</v>
      </c>
      <c r="T2412" s="2">
        <f t="shared" si="152"/>
        <v>8.4825154884110532</v>
      </c>
      <c r="U2412" s="2">
        <f t="shared" si="153"/>
        <v>120.36040489825156</v>
      </c>
    </row>
    <row r="2413" spans="1:21" x14ac:dyDescent="0.25">
      <c r="A2413">
        <v>4147973</v>
      </c>
      <c r="B2413">
        <v>4</v>
      </c>
      <c r="C2413" s="1">
        <f>6.33682264559892*(10.3/7.3)</f>
        <v>8.9409963355710858</v>
      </c>
      <c r="D2413" s="1">
        <f>7.1785728919353*(10.3/7.3)</f>
        <v>10.128671340675837</v>
      </c>
      <c r="E2413" s="1">
        <f>25.3371342329279*(10.3/7.3)</f>
        <v>35.749655150569502</v>
      </c>
      <c r="F2413" s="1">
        <f>58.9699796986759*(38.9/42.5)</f>
        <v>53.974875535964493</v>
      </c>
      <c r="G2413" s="1">
        <v>2.5176757915663703</v>
      </c>
      <c r="H2413" s="1">
        <v>10.35690191923357</v>
      </c>
      <c r="I2413" s="1">
        <v>46.516097396732945</v>
      </c>
      <c r="J2413" s="1">
        <v>3.3063043676245539E-2</v>
      </c>
      <c r="K2413" s="1">
        <v>2.4103167531865783</v>
      </c>
      <c r="L2413" s="1">
        <v>2.6783087130068948</v>
      </c>
      <c r="M2413" s="1">
        <v>0.11676862236331056</v>
      </c>
      <c r="N2413" s="1">
        <v>1.3152438293459974</v>
      </c>
      <c r="O2413" s="1">
        <v>0.10710666666666667</v>
      </c>
      <c r="P2413" s="1">
        <v>8.2169973990319445E-2</v>
      </c>
      <c r="Q2413" s="1">
        <v>4.0236827719097281</v>
      </c>
      <c r="R2413" s="2">
        <f t="shared" si="151"/>
        <v>172.20855624222352</v>
      </c>
      <c r="S2413" s="2">
        <f t="shared" si="150"/>
        <v>2.5255497708531434</v>
      </c>
      <c r="T2413" s="2">
        <f t="shared" si="152"/>
        <v>4.217427831382869</v>
      </c>
      <c r="U2413" s="2">
        <f t="shared" si="153"/>
        <v>178.95153384445953</v>
      </c>
    </row>
    <row r="2414" spans="1:21" x14ac:dyDescent="0.25">
      <c r="A2414">
        <v>4147981</v>
      </c>
      <c r="B2414">
        <v>16</v>
      </c>
      <c r="C2414" s="1">
        <f>5.17679775840176*(10.3/7.3)</f>
        <v>7.3042488919915272</v>
      </c>
      <c r="D2414" s="1">
        <f>5.86926967721427*(10.3/7.3)</f>
        <v>8.2812983116858945</v>
      </c>
      <c r="E2414" s="1">
        <f>20.697685990958*(10.3/7.3)</f>
        <v>29.203584343406543</v>
      </c>
      <c r="F2414" s="1">
        <f>49.0536932965408*(38.9/42.5)</f>
        <v>44.898556923186788</v>
      </c>
      <c r="G2414" s="1">
        <v>2.1310116477838297</v>
      </c>
      <c r="H2414" s="1">
        <v>7.8273002159812108</v>
      </c>
      <c r="I2414" s="1">
        <v>38.780167829998959</v>
      </c>
      <c r="J2414" s="1">
        <v>2.8184950556853366E-2</v>
      </c>
      <c r="K2414" s="1">
        <v>2.1387318725450832</v>
      </c>
      <c r="L2414" s="1">
        <v>2.3316235948781201</v>
      </c>
      <c r="M2414" s="1">
        <v>0.1052088214086687</v>
      </c>
      <c r="N2414" s="1">
        <v>1.1557544622355573</v>
      </c>
      <c r="O2414" s="1">
        <v>9.6103333333333346E-2</v>
      </c>
      <c r="P2414" s="1">
        <v>7.4958385091251009E-2</v>
      </c>
      <c r="Q2414" s="1">
        <v>3.4057263777367179</v>
      </c>
      <c r="R2414" s="2">
        <f t="shared" si="151"/>
        <v>141.8318945417715</v>
      </c>
      <c r="S2414" s="2">
        <f t="shared" si="150"/>
        <v>2.2418752081931874</v>
      </c>
      <c r="T2414" s="2">
        <f t="shared" si="152"/>
        <v>3.6886902118556795</v>
      </c>
      <c r="U2414" s="2">
        <f t="shared" si="153"/>
        <v>147.76245996182038</v>
      </c>
    </row>
    <row r="2415" spans="1:21" x14ac:dyDescent="0.25">
      <c r="A2415">
        <v>4159249</v>
      </c>
      <c r="B2415">
        <v>16</v>
      </c>
      <c r="C2415" s="1">
        <f>1.10361681006436*(10.3/7.3)</f>
        <v>1.5571579648853258</v>
      </c>
      <c r="D2415" s="1">
        <f>1.47544201239283*(10.3/7.3)</f>
        <v>2.0817880448830395</v>
      </c>
      <c r="E2415" s="1">
        <f>5.13520813227149*(10.3/7.3)</f>
        <v>7.2455676386844345</v>
      </c>
      <c r="F2415" s="1">
        <f>13.630877141766*(38.9/42.5)</f>
        <v>12.476261666228156</v>
      </c>
      <c r="G2415" s="1">
        <v>0.66565110829494079</v>
      </c>
      <c r="H2415" s="1">
        <v>18.624662287378733</v>
      </c>
      <c r="I2415" s="1">
        <v>10.486543414603448</v>
      </c>
      <c r="J2415" s="1">
        <v>5.1882182739978654E-2</v>
      </c>
      <c r="K2415" s="1">
        <v>6.6331595251694431</v>
      </c>
      <c r="L2415" s="1">
        <v>4.882765655657928</v>
      </c>
      <c r="M2415" s="1">
        <v>0.29427162121613809</v>
      </c>
      <c r="N2415" s="1">
        <v>1.823148960109122</v>
      </c>
      <c r="O2415" s="1">
        <v>4.8646000000000003</v>
      </c>
      <c r="P2415" s="1">
        <v>0.76691253680977378</v>
      </c>
      <c r="Q2415" s="1">
        <v>1.0638259721608654</v>
      </c>
      <c r="R2415" s="2">
        <f t="shared" si="151"/>
        <v>54.201458097118937</v>
      </c>
      <c r="S2415" s="2">
        <f t="shared" si="150"/>
        <v>7.4519542447191958</v>
      </c>
      <c r="T2415" s="2">
        <f t="shared" si="152"/>
        <v>11.864786236983189</v>
      </c>
      <c r="U2415" s="2">
        <f t="shared" si="153"/>
        <v>73.518198578821327</v>
      </c>
    </row>
    <row r="2416" spans="1:21" x14ac:dyDescent="0.25">
      <c r="A2416">
        <v>4159553</v>
      </c>
      <c r="B2416">
        <v>8</v>
      </c>
      <c r="C2416" s="1">
        <f>2.12598209154907*(10.3/7.3)</f>
        <v>2.9996733620486844</v>
      </c>
      <c r="D2416" s="1">
        <f>3.08095387761262*(10.3/7.3)</f>
        <v>4.3470993067684889</v>
      </c>
      <c r="E2416" s="1">
        <f>10.5911154982525*(10.3/7.3)</f>
        <v>14.943628716712423</v>
      </c>
      <c r="F2416" s="1">
        <f>33.0651700873025*(38.9/42.5)</f>
        <v>30.26435567990745</v>
      </c>
      <c r="G2416" s="1">
        <v>1.8020185348117277</v>
      </c>
      <c r="H2416" s="1">
        <v>9.8899889647947568</v>
      </c>
      <c r="I2416" s="1">
        <v>25.658133480190688</v>
      </c>
      <c r="J2416" s="1">
        <v>3.4240532718873631E-2</v>
      </c>
      <c r="K2416" s="1">
        <v>2.7117993847138466</v>
      </c>
      <c r="L2416" s="1">
        <v>9.4806504849231281</v>
      </c>
      <c r="M2416" s="1">
        <v>0.2401075002183716</v>
      </c>
      <c r="N2416" s="1">
        <v>1.8825451068416172</v>
      </c>
      <c r="O2416" s="1">
        <v>0.22398000000000001</v>
      </c>
      <c r="P2416" s="1">
        <v>0.18135490027868134</v>
      </c>
      <c r="Q2416" s="1">
        <v>2.879938297644316</v>
      </c>
      <c r="R2416" s="2">
        <f t="shared" si="151"/>
        <v>92.784836342878535</v>
      </c>
      <c r="S2416" s="2">
        <f t="shared" si="150"/>
        <v>2.9273948177114013</v>
      </c>
      <c r="T2416" s="2">
        <f t="shared" si="152"/>
        <v>11.827283091983116</v>
      </c>
      <c r="U2416" s="2">
        <f t="shared" si="153"/>
        <v>107.53951425257306</v>
      </c>
    </row>
    <row r="2417" spans="1:21" x14ac:dyDescent="0.25">
      <c r="A2417">
        <v>4159681</v>
      </c>
      <c r="B2417">
        <v>14</v>
      </c>
      <c r="C2417" s="1">
        <f>3.96604756467186*(10.3/7.3)</f>
        <v>5.5959301254959071</v>
      </c>
      <c r="D2417" s="1">
        <f>6.95940087332535*(10.3/7.3)</f>
        <v>9.8194286294864561</v>
      </c>
      <c r="E2417" s="1">
        <f>24.3186105265135*(10.3/7.3)</f>
        <v>34.312560057957434</v>
      </c>
      <c r="F2417" s="1">
        <f>47.1319372312139*(38.9/42.5)</f>
        <v>43.1395849010405</v>
      </c>
      <c r="G2417" s="1">
        <v>1.7787968440003485</v>
      </c>
      <c r="H2417" s="1">
        <v>8.6834772528751447</v>
      </c>
      <c r="I2417" s="1">
        <v>31.245214956194079</v>
      </c>
      <c r="J2417" s="1">
        <v>5.2894565693553566E-2</v>
      </c>
      <c r="K2417" s="1">
        <v>2.8791075355969258</v>
      </c>
      <c r="L2417" s="1">
        <v>6.1297424532230789</v>
      </c>
      <c r="M2417" s="1">
        <v>0.21308050035974135</v>
      </c>
      <c r="N2417" s="1">
        <v>2.1258740579472049</v>
      </c>
      <c r="O2417" s="1">
        <v>0.18981333333333333</v>
      </c>
      <c r="P2417" s="1">
        <v>0.14791449351097311</v>
      </c>
      <c r="Q2417" s="1">
        <v>2.8428260063932536</v>
      </c>
      <c r="R2417" s="2">
        <f t="shared" si="151"/>
        <v>137.41781877344314</v>
      </c>
      <c r="S2417" s="2">
        <f t="shared" si="150"/>
        <v>3.0799165948014524</v>
      </c>
      <c r="T2417" s="2">
        <f t="shared" si="152"/>
        <v>8.6585103448633589</v>
      </c>
      <c r="U2417" s="2">
        <f t="shared" si="153"/>
        <v>149.15624571310798</v>
      </c>
    </row>
    <row r="2418" spans="1:21" x14ac:dyDescent="0.25">
      <c r="A2418">
        <v>4159689</v>
      </c>
      <c r="B2418">
        <v>34</v>
      </c>
      <c r="C2418" s="1">
        <f>3.88213852605381*(10.3/7.3)</f>
        <v>5.4775379203224963</v>
      </c>
      <c r="D2418" s="1">
        <f>16.7516234195334*(10.3/7.3)</f>
        <v>23.635852222081422</v>
      </c>
      <c r="E2418" s="1">
        <f>58.0840884316642*(10.3/7.3)</f>
        <v>81.954261759745449</v>
      </c>
      <c r="F2418" s="1">
        <f>78.357720873771*(38.9/42.5)</f>
        <v>71.720360987992791</v>
      </c>
      <c r="G2418" s="1">
        <v>1.7876599471133694</v>
      </c>
      <c r="H2418" s="1">
        <v>6.9562719259493715</v>
      </c>
      <c r="I2418" s="1">
        <v>31.072381572207377</v>
      </c>
      <c r="J2418" s="1">
        <v>3.8536027722394187E-2</v>
      </c>
      <c r="K2418" s="1">
        <v>2.6411430998835899</v>
      </c>
      <c r="L2418" s="1">
        <v>5.6032188185793874</v>
      </c>
      <c r="M2418" s="1">
        <v>0.19463178669837491</v>
      </c>
      <c r="N2418" s="1">
        <v>1.8190070743109548</v>
      </c>
      <c r="O2418" s="1">
        <v>0.17453019607843137</v>
      </c>
      <c r="P2418" s="1">
        <v>0.1373844563274125</v>
      </c>
      <c r="Q2418" s="1">
        <v>2.8569907830579</v>
      </c>
      <c r="R2418" s="2">
        <f t="shared" si="151"/>
        <v>225.46131711847022</v>
      </c>
      <c r="S2418" s="2">
        <f t="shared" si="150"/>
        <v>2.8170635839333968</v>
      </c>
      <c r="T2418" s="2">
        <f t="shared" si="152"/>
        <v>7.7913878756671489</v>
      </c>
      <c r="U2418" s="2">
        <f t="shared" si="153"/>
        <v>236.06976857807075</v>
      </c>
    </row>
    <row r="2419" spans="1:21" x14ac:dyDescent="0.25">
      <c r="A2419">
        <v>4159697</v>
      </c>
      <c r="B2419">
        <v>29</v>
      </c>
      <c r="C2419" s="1">
        <f>5.57265174462334*(10.3/7.3)</f>
        <v>7.8627825985781437</v>
      </c>
      <c r="D2419" s="1">
        <f>7.96140563871582*(10.3/7.3)</f>
        <v>11.233216175174373</v>
      </c>
      <c r="E2419" s="1">
        <f>28.028361180198*(10.3/7.3)</f>
        <v>39.546865774799905</v>
      </c>
      <c r="F2419" s="1">
        <f>54.2379713036726*(38.9/42.5)</f>
        <v>49.643696087361491</v>
      </c>
      <c r="G2419" s="1">
        <v>1.9669012605898932</v>
      </c>
      <c r="H2419" s="1">
        <v>6.9147364527744344</v>
      </c>
      <c r="I2419" s="1">
        <v>38.31141448834461</v>
      </c>
      <c r="J2419" s="1">
        <v>3.6204770265038391E-2</v>
      </c>
      <c r="K2419" s="1">
        <v>2.5362830980672202</v>
      </c>
      <c r="L2419" s="1">
        <v>5.4506979809368525</v>
      </c>
      <c r="M2419" s="1">
        <v>0.18525163921840143</v>
      </c>
      <c r="N2419" s="1">
        <v>1.7188505534981657</v>
      </c>
      <c r="O2419" s="1">
        <v>0.16715586206896552</v>
      </c>
      <c r="P2419" s="1">
        <v>0.13195227195907458</v>
      </c>
      <c r="Q2419" s="1">
        <v>3.1434495032258609</v>
      </c>
      <c r="R2419" s="2">
        <f t="shared" si="151"/>
        <v>158.62306234084872</v>
      </c>
      <c r="S2419" s="2">
        <f t="shared" si="150"/>
        <v>2.7044401402913332</v>
      </c>
      <c r="T2419" s="2">
        <f t="shared" si="152"/>
        <v>7.5219560357223854</v>
      </c>
      <c r="U2419" s="2">
        <f t="shared" si="153"/>
        <v>168.84945851686243</v>
      </c>
    </row>
    <row r="2420" spans="1:21" x14ac:dyDescent="0.25">
      <c r="A2420">
        <v>4159705</v>
      </c>
      <c r="B2420">
        <v>12</v>
      </c>
      <c r="C2420" s="1">
        <f>4.12743161151691*(10.3/7.3)</f>
        <v>5.8236363833731764</v>
      </c>
      <c r="D2420" s="1">
        <f>6.06031673671085*(10.3/7.3)</f>
        <v>8.5508578613865467</v>
      </c>
      <c r="E2420" s="1">
        <f>21.2704850850968*(10.3/7.3)</f>
        <v>30.011780325547573</v>
      </c>
      <c r="F2420" s="1">
        <f>43.2864694007758*(38.9/42.5)</f>
        <v>39.619850816239477</v>
      </c>
      <c r="G2420" s="1">
        <v>1.6797023020230781</v>
      </c>
      <c r="H2420" s="1">
        <v>7.5095166838908893</v>
      </c>
      <c r="I2420" s="1">
        <v>30.716125659492178</v>
      </c>
      <c r="J2420" s="1">
        <v>3.6678253277395594E-2</v>
      </c>
      <c r="K2420" s="1">
        <v>2.5273057310037337</v>
      </c>
      <c r="L2420" s="1">
        <v>6.3993336216539616</v>
      </c>
      <c r="M2420" s="1">
        <v>0.18466249371420063</v>
      </c>
      <c r="N2420" s="1">
        <v>1.7264011522428115</v>
      </c>
      <c r="O2420" s="1">
        <v>0.16589333333333331</v>
      </c>
      <c r="P2420" s="1">
        <v>0.13020847884560557</v>
      </c>
      <c r="Q2420" s="1">
        <v>2.6844557338268396</v>
      </c>
      <c r="R2420" s="2">
        <f t="shared" si="151"/>
        <v>126.59592576577975</v>
      </c>
      <c r="S2420" s="2">
        <f t="shared" si="150"/>
        <v>2.6941924631267349</v>
      </c>
      <c r="T2420" s="2">
        <f t="shared" si="152"/>
        <v>8.4762906009443064</v>
      </c>
      <c r="U2420" s="2">
        <f t="shared" si="153"/>
        <v>137.7664088298508</v>
      </c>
    </row>
    <row r="2421" spans="1:21" x14ac:dyDescent="0.25">
      <c r="A2421">
        <v>4159729</v>
      </c>
      <c r="B2421">
        <v>4</v>
      </c>
      <c r="C2421" s="1">
        <f>16.1188694196976*(10.3/7.3)</f>
        <v>22.74306233190207</v>
      </c>
      <c r="D2421" s="1">
        <f>18.7816915719829*(10.3/7.3)</f>
        <v>26.500194957729253</v>
      </c>
      <c r="E2421" s="1">
        <f>67.4127183918711*(10.3/7.3)</f>
        <v>95.116575265242801</v>
      </c>
      <c r="F2421" s="1">
        <f>95.2764209489039*(38.9/42.5)</f>
        <v>87.205947644996769</v>
      </c>
      <c r="G2421" s="1">
        <v>1.5571178318818215</v>
      </c>
      <c r="H2421" s="1">
        <v>9.7934152422039951</v>
      </c>
      <c r="I2421" s="1">
        <v>67.428172128318351</v>
      </c>
      <c r="J2421" s="1">
        <v>4.0836592959469585E-2</v>
      </c>
      <c r="K2421" s="1">
        <v>2.6160258730579575</v>
      </c>
      <c r="L2421" s="1">
        <v>4.9353174211954789</v>
      </c>
      <c r="M2421" s="1">
        <v>0.1871641014808012</v>
      </c>
      <c r="N2421" s="1">
        <v>1.8944327042924054</v>
      </c>
      <c r="O2421" s="1">
        <v>0.16909333333333335</v>
      </c>
      <c r="P2421" s="1">
        <v>0.12969197719014777</v>
      </c>
      <c r="Q2421" s="1">
        <v>2.4885444801764298</v>
      </c>
      <c r="R2421" s="2">
        <f t="shared" si="151"/>
        <v>312.83302988245146</v>
      </c>
      <c r="S2421" s="2">
        <f t="shared" si="150"/>
        <v>2.7865544432075748</v>
      </c>
      <c r="T2421" s="2">
        <f t="shared" si="152"/>
        <v>7.186007560302019</v>
      </c>
      <c r="U2421" s="2">
        <f t="shared" si="153"/>
        <v>322.80559188596106</v>
      </c>
    </row>
    <row r="2422" spans="1:21" x14ac:dyDescent="0.25">
      <c r="A2422">
        <v>4159737</v>
      </c>
      <c r="B2422">
        <v>27</v>
      </c>
      <c r="C2422" s="1">
        <f>5.8970789878358*(10.3/7.3)</f>
        <v>8.3205361061244929</v>
      </c>
      <c r="D2422" s="1">
        <f>6.40205713820556*(10.3/7.3)</f>
        <v>9.0330395237694887</v>
      </c>
      <c r="E2422" s="1">
        <f>22.8627958806661*(10.3/7.3)</f>
        <v>32.258465420665914</v>
      </c>
      <c r="F2422" s="1">
        <f>42.1502031851667*(38.9/42.5)</f>
        <v>38.579833033011383</v>
      </c>
      <c r="G2422" s="1">
        <v>1.3251719996111424</v>
      </c>
      <c r="H2422" s="1">
        <v>8.5185176934132372</v>
      </c>
      <c r="I2422" s="1">
        <v>32.601321648159846</v>
      </c>
      <c r="J2422" s="1">
        <v>3.783869092714745E-2</v>
      </c>
      <c r="K2422" s="1">
        <v>2.4217856227024392</v>
      </c>
      <c r="L2422" s="1">
        <v>4.9104240318524894</v>
      </c>
      <c r="M2422" s="1">
        <v>0.17105512627710853</v>
      </c>
      <c r="N2422" s="1">
        <v>1.7666764295922552</v>
      </c>
      <c r="O2422" s="1">
        <v>0.15945086419753085</v>
      </c>
      <c r="P2422" s="1">
        <v>0.12046934459629198</v>
      </c>
      <c r="Q2422" s="1">
        <v>2.1178547938990882</v>
      </c>
      <c r="R2422" s="2">
        <f t="shared" si="151"/>
        <v>132.7547402186546</v>
      </c>
      <c r="S2422" s="2">
        <f t="shared" si="150"/>
        <v>2.5800936582258784</v>
      </c>
      <c r="T2422" s="2">
        <f t="shared" si="152"/>
        <v>7.0076064519193846</v>
      </c>
      <c r="U2422" s="2">
        <f t="shared" si="153"/>
        <v>142.34244032879985</v>
      </c>
    </row>
    <row r="2423" spans="1:21" x14ac:dyDescent="0.25">
      <c r="A2423">
        <v>4159745</v>
      </c>
      <c r="B2423">
        <v>26</v>
      </c>
      <c r="C2423" s="1">
        <f>5.23217563845746*(10.3/7.3)</f>
        <v>7.3823848049468266</v>
      </c>
      <c r="D2423" s="1">
        <f>6.83712797685721*(10.3/7.3)</f>
        <v>9.6469065974834649</v>
      </c>
      <c r="E2423" s="1">
        <f>24.1570462826356*(10.3/7.3)</f>
        <v>34.084599549472145</v>
      </c>
      <c r="F2423" s="1">
        <f>46.8672764346946*(38.9/42.5)</f>
        <v>42.897342430814604</v>
      </c>
      <c r="G2423" s="1">
        <v>1.6727693981403204</v>
      </c>
      <c r="H2423" s="1">
        <v>9.0274144378687122</v>
      </c>
      <c r="I2423" s="1">
        <v>34.144108938304569</v>
      </c>
      <c r="J2423" s="1">
        <v>4.1663691291838154E-2</v>
      </c>
      <c r="K2423" s="1">
        <v>2.6960305236399558</v>
      </c>
      <c r="L2423" s="1">
        <v>5.4636430869930104</v>
      </c>
      <c r="M2423" s="1">
        <v>0.1853253586720818</v>
      </c>
      <c r="N2423" s="1">
        <v>2.1924796058605618</v>
      </c>
      <c r="O2423" s="1">
        <v>0.17130051282051278</v>
      </c>
      <c r="P2423" s="1">
        <v>0.12879297949133209</v>
      </c>
      <c r="Q2423" s="1">
        <v>2.6733757504525695</v>
      </c>
      <c r="R2423" s="2">
        <f t="shared" si="151"/>
        <v>141.5289019074832</v>
      </c>
      <c r="S2423" s="2">
        <f t="shared" si="150"/>
        <v>2.8664871944231263</v>
      </c>
      <c r="T2423" s="2">
        <f t="shared" si="152"/>
        <v>8.0127485643461682</v>
      </c>
      <c r="U2423" s="2">
        <f t="shared" si="153"/>
        <v>152.40813766625249</v>
      </c>
    </row>
    <row r="2424" spans="1:21" x14ac:dyDescent="0.25">
      <c r="A2424">
        <v>4159809</v>
      </c>
      <c r="B2424">
        <v>34</v>
      </c>
      <c r="C2424" s="1">
        <f>9.62378435323489*(10.3/7.3)</f>
        <v>13.578764224427317</v>
      </c>
      <c r="D2424" s="1">
        <f>14.3783757299715*(10.3/7.3)</f>
        <v>20.287297262836518</v>
      </c>
      <c r="E2424" s="1">
        <f>50.6533312650985*(10.3/7.3)</f>
        <v>71.469768771303436</v>
      </c>
      <c r="F2424" s="1">
        <f>91.8814064673739*(38.9/42.5)</f>
        <v>84.098510860725725</v>
      </c>
      <c r="G2424" s="1">
        <v>3.0708443273125612</v>
      </c>
      <c r="H2424" s="1">
        <v>8.3470323279034879</v>
      </c>
      <c r="I2424" s="1">
        <v>62.740287345607399</v>
      </c>
      <c r="J2424" s="1">
        <v>8.3243420909330998E-2</v>
      </c>
      <c r="K2424" s="1">
        <v>4.3334754212712285</v>
      </c>
      <c r="L2424" s="1">
        <v>8.667070561798937</v>
      </c>
      <c r="M2424" s="1">
        <v>0.26407121192466815</v>
      </c>
      <c r="N2424" s="1">
        <v>3.392867696888819</v>
      </c>
      <c r="O2424" s="1">
        <v>0.23002509803921564</v>
      </c>
      <c r="P2424" s="1">
        <v>0.1561047464254037</v>
      </c>
      <c r="Q2424" s="1">
        <v>4.9077420756136885</v>
      </c>
      <c r="R2424" s="2">
        <f t="shared" si="151"/>
        <v>268.50024719573008</v>
      </c>
      <c r="S2424" s="2">
        <f t="shared" si="150"/>
        <v>4.5728235886059627</v>
      </c>
      <c r="T2424" s="2">
        <f t="shared" si="152"/>
        <v>12.554034568651639</v>
      </c>
      <c r="U2424" s="2">
        <f t="shared" si="153"/>
        <v>285.62710535298766</v>
      </c>
    </row>
    <row r="2425" spans="1:21" x14ac:dyDescent="0.25">
      <c r="A2425">
        <v>4159817</v>
      </c>
      <c r="B2425">
        <v>20</v>
      </c>
      <c r="C2425" s="1">
        <f>7.99291997811937*(10.3/7.3)</f>
        <v>11.277681612962954</v>
      </c>
      <c r="D2425" s="1">
        <f>11.8508828308606*(10.3/7.3)</f>
        <v>16.721108651762247</v>
      </c>
      <c r="E2425" s="1">
        <f>41.7543633272663*(10.3/7.3)</f>
        <v>58.913690722033294</v>
      </c>
      <c r="F2425" s="1">
        <f>76.0955277543534*(38.9/42.5)</f>
        <v>69.649788932808207</v>
      </c>
      <c r="G2425" s="1">
        <v>2.5568384450469468</v>
      </c>
      <c r="H2425" s="1">
        <v>7.9754778972954714</v>
      </c>
      <c r="I2425" s="1">
        <v>52.175245270322968</v>
      </c>
      <c r="J2425" s="1">
        <v>6.9855014814334565E-2</v>
      </c>
      <c r="K2425" s="1">
        <v>4.2736537058376509</v>
      </c>
      <c r="L2425" s="1">
        <v>7.2437824974241183</v>
      </c>
      <c r="M2425" s="1">
        <v>0.22830119209658867</v>
      </c>
      <c r="N2425" s="1">
        <v>2.931113070172001</v>
      </c>
      <c r="O2425" s="1">
        <v>0.20235466666666668</v>
      </c>
      <c r="P2425" s="1">
        <v>0.14137232902567393</v>
      </c>
      <c r="Q2425" s="1">
        <v>4.0862714875179549</v>
      </c>
      <c r="R2425" s="2">
        <f t="shared" si="151"/>
        <v>223.35610301975001</v>
      </c>
      <c r="S2425" s="2">
        <f t="shared" si="150"/>
        <v>4.484881049677659</v>
      </c>
      <c r="T2425" s="2">
        <f t="shared" si="152"/>
        <v>10.605551426359375</v>
      </c>
      <c r="U2425" s="2">
        <f t="shared" si="153"/>
        <v>238.44653549578703</v>
      </c>
    </row>
    <row r="2426" spans="1:21" x14ac:dyDescent="0.25">
      <c r="A2426">
        <v>4159825</v>
      </c>
      <c r="B2426">
        <v>30</v>
      </c>
      <c r="C2426" s="1">
        <f>5.2279782555708*(10.3/7.3)</f>
        <v>7.376462470188943</v>
      </c>
      <c r="D2426" s="1">
        <f>7.30004260574499*(10.3/7.3)</f>
        <v>10.300060114955258</v>
      </c>
      <c r="E2426" s="1">
        <f>25.7555648963573*(10.3/7.3)</f>
        <v>36.340043620887641</v>
      </c>
      <c r="F2426" s="1">
        <f>48.2296558645957*(38.9/42.5)</f>
        <v>44.144320309006424</v>
      </c>
      <c r="G2426" s="1">
        <v>1.6634292359649392</v>
      </c>
      <c r="H2426" s="1">
        <v>6.2670467560898624</v>
      </c>
      <c r="I2426" s="1">
        <v>34.032736318201621</v>
      </c>
      <c r="J2426" s="1">
        <v>5.0801615543171703E-2</v>
      </c>
      <c r="K2426" s="1">
        <v>4.4788602722252158</v>
      </c>
      <c r="L2426" s="1">
        <v>5.0600370010870686</v>
      </c>
      <c r="M2426" s="1">
        <v>0.15942515672060834</v>
      </c>
      <c r="N2426" s="1">
        <v>2.7060162589507537</v>
      </c>
      <c r="O2426" s="1">
        <v>0.14267199999999999</v>
      </c>
      <c r="P2426" s="1">
        <v>0.10917545337654987</v>
      </c>
      <c r="Q2426" s="1">
        <v>2.6584485506289011</v>
      </c>
      <c r="R2426" s="2">
        <f t="shared" si="151"/>
        <v>142.7825473759236</v>
      </c>
      <c r="S2426" s="2">
        <f t="shared" si="150"/>
        <v>4.6388373411449377</v>
      </c>
      <c r="T2426" s="2">
        <f t="shared" si="152"/>
        <v>8.0681504167584297</v>
      </c>
      <c r="U2426" s="2">
        <f t="shared" si="153"/>
        <v>155.48953513382699</v>
      </c>
    </row>
    <row r="2427" spans="1:21" x14ac:dyDescent="0.25">
      <c r="A2427">
        <v>4159833</v>
      </c>
      <c r="B2427">
        <v>33</v>
      </c>
      <c r="C2427" s="1">
        <f>5.88904609920782*(10.3/7.3)</f>
        <v>8.3092020303891179</v>
      </c>
      <c r="D2427" s="1">
        <f>8.41551886697998*(10.3/7.3)</f>
        <v>11.873951278067645</v>
      </c>
      <c r="E2427" s="1">
        <f>29.5931547558707*(10.3/7.3)</f>
        <v>41.754725203488803</v>
      </c>
      <c r="F2427" s="1">
        <f>58.9613518604389*(38.9/42.5)</f>
        <v>53.966978526378192</v>
      </c>
      <c r="G2427" s="1">
        <v>2.2193145714214881</v>
      </c>
      <c r="H2427" s="1">
        <v>9.5985373587784242</v>
      </c>
      <c r="I2427" s="1">
        <v>41.964363555529374</v>
      </c>
      <c r="J2427" s="1">
        <v>5.2919179949114908E-2</v>
      </c>
      <c r="K2427" s="1">
        <v>3.7854303031363234</v>
      </c>
      <c r="L2427" s="1">
        <v>5.5086949197627249</v>
      </c>
      <c r="M2427" s="1">
        <v>0.17717383730493053</v>
      </c>
      <c r="N2427" s="1">
        <v>3.6291627502355222</v>
      </c>
      <c r="O2427" s="1">
        <v>0.16011151515151514</v>
      </c>
      <c r="P2427" s="1">
        <v>0.11874575686210724</v>
      </c>
      <c r="Q2427" s="1">
        <v>3.5468497716781822</v>
      </c>
      <c r="R2427" s="2">
        <f t="shared" si="151"/>
        <v>173.23392229573125</v>
      </c>
      <c r="S2427" s="2">
        <f t="shared" si="150"/>
        <v>3.9570952399475456</v>
      </c>
      <c r="T2427" s="2">
        <f t="shared" si="152"/>
        <v>9.4751430224546933</v>
      </c>
      <c r="U2427" s="2">
        <f t="shared" si="153"/>
        <v>186.66616055813347</v>
      </c>
    </row>
    <row r="2428" spans="1:21" x14ac:dyDescent="0.25">
      <c r="A2428">
        <v>4159841</v>
      </c>
      <c r="B2428">
        <v>68</v>
      </c>
      <c r="C2428" s="1">
        <f>8.63233061601771*(10.3/7.3)</f>
        <v>12.179863745888005</v>
      </c>
      <c r="D2428" s="1">
        <f>11.9660375623561*(10.3/7.3)</f>
        <v>16.88358724551615</v>
      </c>
      <c r="E2428" s="1">
        <f>42.1211387584907*(10.3/7.3)</f>
        <v>59.431195782527922</v>
      </c>
      <c r="F2428" s="1">
        <f>84.3759105128137*(38.9/42.5)</f>
        <v>77.228774563492976</v>
      </c>
      <c r="G2428" s="1">
        <v>3.1780919323518355</v>
      </c>
      <c r="H2428" s="1">
        <v>10.238345942651558</v>
      </c>
      <c r="I2428" s="1">
        <v>60.724609456680191</v>
      </c>
      <c r="J2428" s="1">
        <v>7.5748425472757286E-2</v>
      </c>
      <c r="K2428" s="1">
        <v>4.263341705865737</v>
      </c>
      <c r="L2428" s="1">
        <v>7.7395549444427392</v>
      </c>
      <c r="M2428" s="1">
        <v>0.23111583768904584</v>
      </c>
      <c r="N2428" s="1">
        <v>3.3145630166662312</v>
      </c>
      <c r="O2428" s="1">
        <v>0.20169725490196078</v>
      </c>
      <c r="P2428" s="1">
        <v>0.14275459049550826</v>
      </c>
      <c r="Q2428" s="1">
        <v>5.0791423576399248</v>
      </c>
      <c r="R2428" s="2">
        <f t="shared" si="151"/>
        <v>244.94361102674858</v>
      </c>
      <c r="S2428" s="2">
        <f t="shared" si="150"/>
        <v>4.481844721834003</v>
      </c>
      <c r="T2428" s="2">
        <f t="shared" si="152"/>
        <v>11.486931053699976</v>
      </c>
      <c r="U2428" s="2">
        <f t="shared" si="153"/>
        <v>260.91238680228253</v>
      </c>
    </row>
    <row r="2429" spans="1:21" x14ac:dyDescent="0.25">
      <c r="A2429">
        <v>4159849</v>
      </c>
      <c r="B2429">
        <v>64</v>
      </c>
      <c r="C2429" s="1">
        <f>10.2489816844334*(10.3/7.3)</f>
        <v>14.460891965707445</v>
      </c>
      <c r="D2429" s="1">
        <f>13.5144741138605*(10.3/7.3)</f>
        <v>19.068367585309968</v>
      </c>
      <c r="E2429" s="1">
        <f>47.7862549690998*(10.3/7.3)</f>
        <v>67.424441942702501</v>
      </c>
      <c r="F2429" s="1">
        <f>89.9232181879602*(38.9/42.5)</f>
        <v>82.306192647332992</v>
      </c>
      <c r="G2429" s="1">
        <v>3.0815610012492409</v>
      </c>
      <c r="H2429" s="1">
        <v>9.2442046806878384</v>
      </c>
      <c r="I2429" s="1">
        <v>64.833975017516849</v>
      </c>
      <c r="J2429" s="1">
        <v>8.4989249655205296E-2</v>
      </c>
      <c r="K2429" s="1">
        <v>4.0200076328815237</v>
      </c>
      <c r="L2429" s="1">
        <v>8.3213177513172898</v>
      </c>
      <c r="M2429" s="1">
        <v>0.23424825563152629</v>
      </c>
      <c r="N2429" s="1">
        <v>3.1375923749432699</v>
      </c>
      <c r="O2429" s="1">
        <v>0.20353166666666669</v>
      </c>
      <c r="P2429" s="1">
        <v>0.14279607092333174</v>
      </c>
      <c r="Q2429" s="1">
        <v>4.9248691800787014</v>
      </c>
      <c r="R2429" s="2">
        <f t="shared" si="151"/>
        <v>265.34450402058548</v>
      </c>
      <c r="S2429" s="2">
        <f t="shared" si="150"/>
        <v>4.2477929534600607</v>
      </c>
      <c r="T2429" s="2">
        <f t="shared" si="152"/>
        <v>11.896690048558753</v>
      </c>
      <c r="U2429" s="2">
        <f t="shared" si="153"/>
        <v>281.48898702260431</v>
      </c>
    </row>
    <row r="2430" spans="1:21" x14ac:dyDescent="0.25">
      <c r="A2430">
        <v>4159857</v>
      </c>
      <c r="B2430">
        <v>13</v>
      </c>
      <c r="C2430" s="1">
        <f>6.49889677312017*(10.3/7.3)</f>
        <v>9.1696762689229754</v>
      </c>
      <c r="D2430" s="1">
        <f>8.64710975063033*(10.3/7.3)</f>
        <v>12.200716497464718</v>
      </c>
      <c r="E2430" s="1">
        <f>30.554903014456*(10.3/7.3)</f>
        <v>43.111712472451664</v>
      </c>
      <c r="F2430" s="1">
        <f>57.9472725991687*(38.9/42.5)</f>
        <v>53.038797743709743</v>
      </c>
      <c r="G2430" s="1">
        <v>2.0124404211104201</v>
      </c>
      <c r="H2430" s="1">
        <v>9.519132950484682</v>
      </c>
      <c r="I2430" s="1">
        <v>41.724716169814322</v>
      </c>
      <c r="J2430" s="1">
        <v>5.8090765037475553E-2</v>
      </c>
      <c r="K2430" s="1">
        <v>3.083768636194792</v>
      </c>
      <c r="L2430" s="1">
        <v>6.295298460116272</v>
      </c>
      <c r="M2430" s="1">
        <v>0.18307635798141894</v>
      </c>
      <c r="N2430" s="1">
        <v>2.53251174077851</v>
      </c>
      <c r="O2430" s="1">
        <v>0.16128000000000003</v>
      </c>
      <c r="P2430" s="1">
        <v>0.12028753089549736</v>
      </c>
      <c r="Q2430" s="1">
        <v>3.216228983509807</v>
      </c>
      <c r="R2430" s="2">
        <f t="shared" si="151"/>
        <v>173.99342150746833</v>
      </c>
      <c r="S2430" s="2">
        <f t="shared" si="150"/>
        <v>3.2621469321277647</v>
      </c>
      <c r="T2430" s="2">
        <f t="shared" si="152"/>
        <v>9.1721665588762011</v>
      </c>
      <c r="U2430" s="2">
        <f t="shared" si="153"/>
        <v>186.42773499847229</v>
      </c>
    </row>
    <row r="2431" spans="1:21" x14ac:dyDescent="0.25">
      <c r="A2431">
        <v>4159905</v>
      </c>
      <c r="B2431">
        <v>21</v>
      </c>
      <c r="C2431" s="1">
        <f>4.09859338807962*(10.3/7.3)</f>
        <v>5.7829468352356317</v>
      </c>
      <c r="D2431" s="1">
        <f>5.18510129703617*(10.3/7.3)</f>
        <v>7.315964843763358</v>
      </c>
      <c r="E2431" s="1">
        <f>18.2468264598351*(10.3/7.3)</f>
        <v>25.745522265246759</v>
      </c>
      <c r="F2431" s="1">
        <f>40.4084195384873*(38.9/42.5)</f>
        <v>36.985588706991891</v>
      </c>
      <c r="G2431" s="1">
        <v>1.6747718440180217</v>
      </c>
      <c r="H2431" s="1">
        <v>9.1944582165458488</v>
      </c>
      <c r="I2431" s="1">
        <v>30.572971567836269</v>
      </c>
      <c r="J2431" s="1">
        <v>5.1314881551937697E-2</v>
      </c>
      <c r="K2431" s="1">
        <v>2.5624205424965498</v>
      </c>
      <c r="L2431" s="1">
        <v>5.542721631010691</v>
      </c>
      <c r="M2431" s="1">
        <v>0.13849128524932255</v>
      </c>
      <c r="N2431" s="1">
        <v>4.8884763020067803</v>
      </c>
      <c r="O2431" s="1">
        <v>0.11989333333333334</v>
      </c>
      <c r="P2431" s="1">
        <v>9.5931362982804178E-2</v>
      </c>
      <c r="Q2431" s="1">
        <v>2.6765760064214987</v>
      </c>
      <c r="R2431" s="2">
        <f t="shared" si="151"/>
        <v>119.94880028605928</v>
      </c>
      <c r="S2431" s="2">
        <f t="shared" si="150"/>
        <v>2.7096667870312916</v>
      </c>
      <c r="T2431" s="2">
        <f t="shared" si="152"/>
        <v>10.689582551600129</v>
      </c>
      <c r="U2431" s="2">
        <f t="shared" si="153"/>
        <v>133.3480496246907</v>
      </c>
    </row>
    <row r="2432" spans="1:21" x14ac:dyDescent="0.25">
      <c r="A2432">
        <v>4159913</v>
      </c>
      <c r="B2432">
        <v>31</v>
      </c>
      <c r="C2432" s="1">
        <f>4.04669614920302*(10.3/7.3)</f>
        <v>5.7097219639439833</v>
      </c>
      <c r="D2432" s="1">
        <f>4.86190043734883*(10.3/7.3)</f>
        <v>6.8599417129716356</v>
      </c>
      <c r="E2432" s="1">
        <f>17.2387762642672*(10.3/7.3)</f>
        <v>24.323204866020898</v>
      </c>
      <c r="F2432" s="1">
        <f>33.6697871354062*(38.9/42.5)</f>
        <v>30.817758107465931</v>
      </c>
      <c r="G2432" s="1">
        <v>1.1888625580241436</v>
      </c>
      <c r="H2432" s="1">
        <v>6.982239509207175</v>
      </c>
      <c r="I2432" s="1">
        <v>25.306468998723599</v>
      </c>
      <c r="J2432" s="1">
        <v>4.5258285029572236E-2</v>
      </c>
      <c r="K2432" s="1">
        <v>2.3707701095096434</v>
      </c>
      <c r="L2432" s="1">
        <v>5.5219271101308127</v>
      </c>
      <c r="M2432" s="1">
        <v>0.13380106388074481</v>
      </c>
      <c r="N2432" s="1">
        <v>2.5423406518413043</v>
      </c>
      <c r="O2432" s="1">
        <v>0.11528086021505375</v>
      </c>
      <c r="P2432" s="1">
        <v>9.2657070558842189E-2</v>
      </c>
      <c r="Q2432" s="1">
        <v>1.9000086543764874</v>
      </c>
      <c r="R2432" s="2">
        <f t="shared" si="151"/>
        <v>103.08820637073386</v>
      </c>
      <c r="S2432" s="2">
        <f t="shared" si="150"/>
        <v>2.5086854650980581</v>
      </c>
      <c r="T2432" s="2">
        <f t="shared" si="152"/>
        <v>8.3133496860679159</v>
      </c>
      <c r="U2432" s="2">
        <f t="shared" si="153"/>
        <v>113.91024152189982</v>
      </c>
    </row>
    <row r="2433" spans="1:21" x14ac:dyDescent="0.25">
      <c r="A2433">
        <v>4159921</v>
      </c>
      <c r="B2433">
        <v>1</v>
      </c>
      <c r="C2433" s="1">
        <f>4.00681557603552*(10.3/7.3)</f>
        <v>5.6534521141323149</v>
      </c>
      <c r="D2433" s="1">
        <f>4.82893046933502*(10.3/7.3)</f>
        <v>6.8134224430343489</v>
      </c>
      <c r="E2433" s="1">
        <f>17.1212465819673*(10.3/7.3)</f>
        <v>24.157375314282699</v>
      </c>
      <c r="F2433" s="1">
        <f>33.3467537592566*(38.9/42.5)</f>
        <v>30.522087558472506</v>
      </c>
      <c r="G2433" s="1">
        <v>1.1738066550068651</v>
      </c>
      <c r="H2433" s="1">
        <v>5.9926094296319432</v>
      </c>
      <c r="I2433" s="1">
        <v>25.022006077947811</v>
      </c>
      <c r="J2433" s="1">
        <v>3.8171860999936455E-2</v>
      </c>
      <c r="K2433" s="1">
        <v>2.1781477965689735</v>
      </c>
      <c r="L2433" s="1">
        <v>5.5730627060275824</v>
      </c>
      <c r="M2433" s="1">
        <v>0.12569904879586422</v>
      </c>
      <c r="N2433" s="1">
        <v>2.1879555134029394</v>
      </c>
      <c r="O2433" s="1">
        <v>0.10693333333333334</v>
      </c>
      <c r="P2433" s="1">
        <v>8.6327493654969167E-2</v>
      </c>
      <c r="Q2433" s="1">
        <v>1.8759467089150832</v>
      </c>
      <c r="R2433" s="2">
        <f t="shared" si="151"/>
        <v>101.21070630142357</v>
      </c>
      <c r="S2433" s="2">
        <f t="shared" si="150"/>
        <v>2.3026471512238791</v>
      </c>
      <c r="T2433" s="2">
        <f t="shared" si="152"/>
        <v>7.9936506015597191</v>
      </c>
      <c r="U2433" s="2">
        <f t="shared" si="153"/>
        <v>111.50700405420717</v>
      </c>
    </row>
    <row r="2434" spans="1:21" x14ac:dyDescent="0.25">
      <c r="A2434">
        <v>4160209</v>
      </c>
      <c r="B2434">
        <v>22</v>
      </c>
      <c r="C2434" s="1">
        <f>5.09035033216116*(10.3/7.3)</f>
        <v>7.182275126199996</v>
      </c>
      <c r="D2434" s="1">
        <f>5.74766531540332*(10.3/7.3)</f>
        <v>8.1097195546101624</v>
      </c>
      <c r="E2434" s="1">
        <f>20.3011503337953*(10.3/7.3)</f>
        <v>28.644088827135878</v>
      </c>
      <c r="F2434" s="1">
        <f>46.6813100115301*(38.9/42.5)</f>
        <v>42.727128457612295</v>
      </c>
      <c r="G2434" s="1">
        <v>1.9683744638556211</v>
      </c>
      <c r="H2434" s="1">
        <v>7.1887494182106373</v>
      </c>
      <c r="I2434" s="1">
        <v>36.798537637968394</v>
      </c>
      <c r="J2434" s="1">
        <v>2.827285238014211E-2</v>
      </c>
      <c r="K2434" s="1">
        <v>2.132240072422408</v>
      </c>
      <c r="L2434" s="1">
        <v>2.3143295094635126</v>
      </c>
      <c r="M2434" s="1">
        <v>0.10451472423424618</v>
      </c>
      <c r="N2434" s="1">
        <v>1.1570551882412783</v>
      </c>
      <c r="O2434" s="1">
        <v>9.5510303030303015E-2</v>
      </c>
      <c r="P2434" s="1">
        <v>7.4539026597167143E-2</v>
      </c>
      <c r="Q2434" s="1">
        <v>3.1458039376688034</v>
      </c>
      <c r="R2434" s="2">
        <f t="shared" si="151"/>
        <v>135.76467742326179</v>
      </c>
      <c r="S2434" s="2">
        <f t="shared" si="150"/>
        <v>2.2350519513997176</v>
      </c>
      <c r="T2434" s="2">
        <f t="shared" si="152"/>
        <v>3.6714097249693403</v>
      </c>
      <c r="U2434" s="2">
        <f t="shared" si="153"/>
        <v>141.67113909963086</v>
      </c>
    </row>
    <row r="2435" spans="1:21" x14ac:dyDescent="0.25">
      <c r="A2435">
        <v>416833</v>
      </c>
      <c r="B2435">
        <v>3</v>
      </c>
      <c r="C2435" s="1">
        <f>0.883012935593515*(10.3/7.3)</f>
        <v>1.2458949639196166</v>
      </c>
      <c r="D2435" s="1">
        <f>1.59875682431523*(10.3/7.3)</f>
        <v>2.2557801767735386</v>
      </c>
      <c r="E2435" s="1">
        <f>5.38386574826496*(10.3/7.3)</f>
        <v>7.5964133160450764</v>
      </c>
      <c r="F2435" s="1">
        <f>20.3728080926914*(38.9/42.5)</f>
        <v>18.647111407192845</v>
      </c>
      <c r="G2435" s="1">
        <v>1.2317459231699095</v>
      </c>
      <c r="H2435" s="1">
        <v>3.5133800202352599</v>
      </c>
      <c r="I2435" s="1">
        <v>15.731476254539814</v>
      </c>
      <c r="J2435" s="1">
        <v>2.2927444301503258E-2</v>
      </c>
      <c r="K2435" s="1">
        <v>3.0845368996159119</v>
      </c>
      <c r="L2435" s="1">
        <v>1.2021890193081723</v>
      </c>
      <c r="M2435" s="1">
        <v>6.4471502563575381E-2</v>
      </c>
      <c r="N2435" s="1">
        <v>0.92162188754533336</v>
      </c>
      <c r="O2435" s="1">
        <v>6.5279999999999991E-2</v>
      </c>
      <c r="P2435" s="1">
        <v>5.6542731087320573E-2</v>
      </c>
      <c r="Q2435" s="1">
        <v>1.9685437128286247</v>
      </c>
      <c r="R2435" s="2">
        <f t="shared" si="151"/>
        <v>52.190345774704689</v>
      </c>
      <c r="S2435" s="2">
        <f t="shared" si="150"/>
        <v>3.164007075004736</v>
      </c>
      <c r="T2435" s="2">
        <f t="shared" si="152"/>
        <v>2.2535624094170812</v>
      </c>
      <c r="U2435" s="2">
        <f t="shared" si="153"/>
        <v>57.6079152591265</v>
      </c>
    </row>
    <row r="2436" spans="1:21" x14ac:dyDescent="0.25">
      <c r="A2436">
        <v>416841</v>
      </c>
      <c r="B2436">
        <v>19</v>
      </c>
      <c r="C2436" s="1">
        <f>1.1305198494067*(10.3/7.3)</f>
        <v>1.595117047793009</v>
      </c>
      <c r="D2436" s="1">
        <f>1.63553698219654*(10.3/7.3)</f>
        <v>2.3076754680307343</v>
      </c>
      <c r="E2436" s="1">
        <f>5.64175149762599*(10.3/7.3)</f>
        <v>7.9602795103489958</v>
      </c>
      <c r="F2436" s="1">
        <f>16.6311763550904*(38.9/42.5)</f>
        <v>15.222417887365085</v>
      </c>
      <c r="G2436" s="1">
        <v>0.87720955535195044</v>
      </c>
      <c r="H2436" s="1">
        <v>4.3848447921209415</v>
      </c>
      <c r="I2436" s="1">
        <v>12.79315906451275</v>
      </c>
      <c r="J2436" s="1">
        <v>2.3500649019583632E-2</v>
      </c>
      <c r="K2436" s="1">
        <v>3.128553657168812</v>
      </c>
      <c r="L2436" s="1">
        <v>1.2845313572493788</v>
      </c>
      <c r="M2436" s="1">
        <v>6.8273598931856083E-2</v>
      </c>
      <c r="N2436" s="1">
        <v>0.87705929923485582</v>
      </c>
      <c r="O2436" s="1">
        <v>6.9111578947368441E-2</v>
      </c>
      <c r="P2436" s="1">
        <v>5.9797043792773709E-2</v>
      </c>
      <c r="Q2436" s="1">
        <v>1.4019330793296025</v>
      </c>
      <c r="R2436" s="2">
        <f t="shared" si="151"/>
        <v>46.54263640485307</v>
      </c>
      <c r="S2436" s="2">
        <f t="shared" si="150"/>
        <v>3.2118513499811692</v>
      </c>
      <c r="T2436" s="2">
        <f t="shared" si="152"/>
        <v>2.2989758343634596</v>
      </c>
      <c r="U2436" s="2">
        <f t="shared" si="153"/>
        <v>52.053463589197698</v>
      </c>
    </row>
    <row r="2437" spans="1:21" x14ac:dyDescent="0.25">
      <c r="A2437">
        <v>416849</v>
      </c>
      <c r="B2437">
        <v>5</v>
      </c>
      <c r="C2437" s="1">
        <f>1.65800913319291*(10.3/7.3)</f>
        <v>2.3393827495735584</v>
      </c>
      <c r="D2437" s="1">
        <f>1.92974065733849*(10.3/7.3)</f>
        <v>2.7227847630940341</v>
      </c>
      <c r="E2437" s="1">
        <f>6.71606739379164*(10.3/7.3)</f>
        <v>9.4760950898703999</v>
      </c>
      <c r="F2437" s="1">
        <f>20.0021375814217*(38.9/42.5)</f>
        <v>18.30783886864247</v>
      </c>
      <c r="G2437" s="1">
        <v>1.0377137517883361</v>
      </c>
      <c r="H2437" s="1">
        <v>4.5973794673606854</v>
      </c>
      <c r="I2437" s="1">
        <v>16.149992633829623</v>
      </c>
      <c r="J2437" s="1">
        <v>2.2039200314992215E-2</v>
      </c>
      <c r="K2437" s="1">
        <v>2.7097513422580604</v>
      </c>
      <c r="L2437" s="1">
        <v>1.1526693577017242</v>
      </c>
      <c r="M2437" s="1">
        <v>6.1777351171035812E-2</v>
      </c>
      <c r="N2437" s="1">
        <v>0.76059767041337145</v>
      </c>
      <c r="O2437" s="1">
        <v>6.3221333333333324E-2</v>
      </c>
      <c r="P2437" s="1">
        <v>5.524728875083481E-2</v>
      </c>
      <c r="Q2437" s="1">
        <v>1.6584466352781644</v>
      </c>
      <c r="R2437" s="2">
        <f t="shared" si="151"/>
        <v>56.289633959437282</v>
      </c>
      <c r="S2437" s="2">
        <f t="shared" si="150"/>
        <v>2.7870378313238873</v>
      </c>
      <c r="T2437" s="2">
        <f t="shared" si="152"/>
        <v>2.0382657126194648</v>
      </c>
      <c r="U2437" s="2">
        <f t="shared" si="153"/>
        <v>61.114937503380631</v>
      </c>
    </row>
    <row r="2438" spans="1:21" x14ac:dyDescent="0.25">
      <c r="A2438">
        <v>416881</v>
      </c>
      <c r="B2438">
        <v>5</v>
      </c>
      <c r="C2438" s="1">
        <f>1.03316894674316*(10.3/7.3)</f>
        <v>1.4577589248567822</v>
      </c>
      <c r="D2438" s="1">
        <f>2.51640235945313*(10.3/7.3)</f>
        <v>3.5505403153927668</v>
      </c>
      <c r="E2438" s="1">
        <f>8.29613641445235*(10.3/7.3)</f>
        <v>11.705507543679342</v>
      </c>
      <c r="F2438" s="1">
        <f>37.1017205216415*(38.9/42.5)</f>
        <v>33.958986548043612</v>
      </c>
      <c r="G2438" s="1">
        <v>2.4044796287663481</v>
      </c>
      <c r="H2438" s="1">
        <v>9.5895187218123716</v>
      </c>
      <c r="I2438" s="1">
        <v>28.521003488107748</v>
      </c>
      <c r="J2438" s="1">
        <v>2.1889839542738126E-2</v>
      </c>
      <c r="K2438" s="1">
        <v>2.685858449716382</v>
      </c>
      <c r="L2438" s="1">
        <v>1.2295994555705316</v>
      </c>
      <c r="M2438" s="1">
        <v>6.6387504776711612E-2</v>
      </c>
      <c r="N2438" s="1">
        <v>0.76104453778764236</v>
      </c>
      <c r="O2438" s="1">
        <v>6.6826666666666659E-2</v>
      </c>
      <c r="P2438" s="1">
        <v>5.8105425378353379E-2</v>
      </c>
      <c r="Q2438" s="1">
        <v>3.8427756624119751</v>
      </c>
      <c r="R2438" s="2">
        <f t="shared" si="151"/>
        <v>95.030570833070954</v>
      </c>
      <c r="S2438" s="2">
        <f t="shared" si="150"/>
        <v>2.7658537146374735</v>
      </c>
      <c r="T2438" s="2">
        <f t="shared" si="152"/>
        <v>2.1238581648015522</v>
      </c>
      <c r="U2438" s="2">
        <f t="shared" si="153"/>
        <v>99.920282712509973</v>
      </c>
    </row>
    <row r="2439" spans="1:21" x14ac:dyDescent="0.25">
      <c r="A2439">
        <v>416897</v>
      </c>
      <c r="B2439">
        <v>53</v>
      </c>
      <c r="C2439" s="1">
        <f>1.18847269162171*(10.3/7.3)</f>
        <v>1.6768861265347486</v>
      </c>
      <c r="D2439" s="1">
        <f>1.98347115330163*(10.3/7.3)</f>
        <v>2.7985962847954533</v>
      </c>
      <c r="E2439" s="1">
        <f>6.79932314202871*(10.3/7.3)</f>
        <v>9.5935655291637936</v>
      </c>
      <c r="F2439" s="1">
        <f>20.3980791014625*(38.9/42.5)</f>
        <v>18.670241812867989</v>
      </c>
      <c r="G2439" s="1">
        <v>1.1003339135868311</v>
      </c>
      <c r="H2439" s="1">
        <v>4.8571432920931157</v>
      </c>
      <c r="I2439" s="1">
        <v>15.319609249226151</v>
      </c>
      <c r="J2439" s="1">
        <v>2.3854811160392172E-2</v>
      </c>
      <c r="K2439" s="1">
        <v>2.7231443525373855</v>
      </c>
      <c r="L2439" s="1">
        <v>1.3060519794442771</v>
      </c>
      <c r="M2439" s="1">
        <v>6.9328058187715244E-2</v>
      </c>
      <c r="N2439" s="1">
        <v>0.77649092131514841</v>
      </c>
      <c r="O2439" s="1">
        <v>7.0119245283018897E-2</v>
      </c>
      <c r="P2439" s="1">
        <v>6.074907420601363E-2</v>
      </c>
      <c r="Q2439" s="1">
        <v>1.7585245194310102</v>
      </c>
      <c r="R2439" s="2">
        <f t="shared" si="151"/>
        <v>55.774900727699098</v>
      </c>
      <c r="S2439" s="2">
        <f t="shared" si="150"/>
        <v>2.8077482379037915</v>
      </c>
      <c r="T2439" s="2">
        <f t="shared" si="152"/>
        <v>2.2219902042301594</v>
      </c>
      <c r="U2439" s="2">
        <f t="shared" si="153"/>
        <v>60.804639169833052</v>
      </c>
    </row>
    <row r="2440" spans="1:21" x14ac:dyDescent="0.25">
      <c r="A2440">
        <v>4171477</v>
      </c>
      <c r="B2440">
        <v>32</v>
      </c>
      <c r="C2440" s="1">
        <f>1.2250211314133*(10.3/7.3)</f>
        <v>1.7284544730899933</v>
      </c>
      <c r="D2440" s="1">
        <f>1.66007448730923*(10.3/7.3)</f>
        <v>2.3422968793541212</v>
      </c>
      <c r="E2440" s="1">
        <f>5.76735022013753*(10.3/7.3)</f>
        <v>8.1374941462214512</v>
      </c>
      <c r="F2440" s="1">
        <f>15.6757123480521*(38.9/42.5)</f>
        <v>14.347887302099455</v>
      </c>
      <c r="G2440" s="1">
        <v>0.77963857128515268</v>
      </c>
      <c r="H2440" s="1">
        <v>9.1276863849533338</v>
      </c>
      <c r="I2440" s="1">
        <v>12.068125031152464</v>
      </c>
      <c r="J2440" s="1">
        <v>5.6405172744938614E-2</v>
      </c>
      <c r="K2440" s="1">
        <v>7.1095678037231078</v>
      </c>
      <c r="L2440" s="1">
        <v>5.2556397317337016</v>
      </c>
      <c r="M2440" s="1">
        <v>0.31665070284489594</v>
      </c>
      <c r="N2440" s="1">
        <v>1.9159718126492651</v>
      </c>
      <c r="O2440" s="1">
        <v>5.7721833333333326</v>
      </c>
      <c r="P2440" s="1">
        <v>0.80495176546964764</v>
      </c>
      <c r="Q2440" s="1">
        <v>1.2459977166657703</v>
      </c>
      <c r="R2440" s="2">
        <f t="shared" si="151"/>
        <v>49.777580504821735</v>
      </c>
      <c r="S2440" s="2">
        <f t="shared" si="150"/>
        <v>7.9709247419376936</v>
      </c>
      <c r="T2440" s="2">
        <f t="shared" si="152"/>
        <v>13.260445580561196</v>
      </c>
      <c r="U2440" s="2">
        <f t="shared" si="153"/>
        <v>71.008950827320632</v>
      </c>
    </row>
    <row r="2441" spans="1:21" x14ac:dyDescent="0.25">
      <c r="A2441">
        <v>4171485</v>
      </c>
      <c r="B2441">
        <v>3</v>
      </c>
      <c r="C2441" s="1">
        <f>0.897218676701394*(10.3/7.3)</f>
        <v>1.2659386808252546</v>
      </c>
      <c r="D2441" s="1">
        <f>1.19489754466002*(10.3/7.3)</f>
        <v>1.6859513301367439</v>
      </c>
      <c r="E2441" s="1">
        <f>4.16151888054481*(10.3/7.3)</f>
        <v>5.8717321191248733</v>
      </c>
      <c r="F2441" s="1">
        <f>10.9412800777504*(38.9/42.5)</f>
        <v>10.014489294693927</v>
      </c>
      <c r="G2441" s="1">
        <v>0.53035889357394272</v>
      </c>
      <c r="H2441" s="1">
        <v>15.614151438007744</v>
      </c>
      <c r="I2441" s="1">
        <v>8.4119284435648076</v>
      </c>
      <c r="J2441" s="1">
        <v>4.5990671123237507E-2</v>
      </c>
      <c r="K2441" s="1">
        <v>5.5236168717497849</v>
      </c>
      <c r="L2441" s="1">
        <v>4.0564636114888035</v>
      </c>
      <c r="M2441" s="1">
        <v>0.25601471410105353</v>
      </c>
      <c r="N2441" s="1">
        <v>1.7082031888052456</v>
      </c>
      <c r="O2441" s="1">
        <v>3.6629333333333332</v>
      </c>
      <c r="P2441" s="1">
        <v>0.61761467664963898</v>
      </c>
      <c r="Q2441" s="1">
        <v>0.84760553767525193</v>
      </c>
      <c r="R2441" s="2">
        <f t="shared" si="151"/>
        <v>44.242155737602545</v>
      </c>
      <c r="S2441" s="2">
        <f t="shared" ref="S2441:S2504" si="154">J2441+K2441+P2441</f>
        <v>6.1872222195226616</v>
      </c>
      <c r="T2441" s="2">
        <f t="shared" si="152"/>
        <v>9.6836148477284354</v>
      </c>
      <c r="U2441" s="2">
        <f t="shared" si="153"/>
        <v>60.11299280485364</v>
      </c>
    </row>
    <row r="2442" spans="1:21" x14ac:dyDescent="0.25">
      <c r="A2442">
        <v>4171781</v>
      </c>
      <c r="B2442">
        <v>7</v>
      </c>
      <c r="C2442" s="1">
        <f>2.25785935370977*(10.3/7.3)</f>
        <v>3.1857467593439157</v>
      </c>
      <c r="D2442" s="1">
        <f>3.19910762867798*(10.3/7.3)</f>
        <v>4.5138093938881081</v>
      </c>
      <c r="E2442" s="1">
        <f>11.007957267993*(10.3/7.3)</f>
        <v>15.531775323332555</v>
      </c>
      <c r="F2442" s="1">
        <f>34.3223989389295*(38.9/42.5)</f>
        <v>31.415089852337839</v>
      </c>
      <c r="G2442" s="1">
        <v>1.8655524677577116</v>
      </c>
      <c r="H2442" s="1">
        <v>10.186668239287867</v>
      </c>
      <c r="I2442" s="1">
        <v>26.743140310821342</v>
      </c>
      <c r="J2442" s="1">
        <v>3.491792989011528E-2</v>
      </c>
      <c r="K2442" s="1">
        <v>2.7594119672122317</v>
      </c>
      <c r="L2442" s="1">
        <v>9.9896453712237907</v>
      </c>
      <c r="M2442" s="1">
        <v>0.24600515830722811</v>
      </c>
      <c r="N2442" s="1">
        <v>1.896419799701518</v>
      </c>
      <c r="O2442" s="1">
        <v>0.22842666666666664</v>
      </c>
      <c r="P2442" s="1">
        <v>0.18497677293100986</v>
      </c>
      <c r="Q2442" s="1">
        <v>2.9814765466447475</v>
      </c>
      <c r="R2442" s="2">
        <f t="shared" ref="R2442:R2505" si="155">C2442+D2442+E2442+F2442+G2442+H2442+I2442+Q2442</f>
        <v>96.423258893414086</v>
      </c>
      <c r="S2442" s="2">
        <f t="shared" si="154"/>
        <v>2.9793066700333566</v>
      </c>
      <c r="T2442" s="2">
        <f t="shared" ref="T2442:T2505" si="156">L2442+M2442+N2442+O2442</f>
        <v>12.360496995899204</v>
      </c>
      <c r="U2442" s="2">
        <f t="shared" ref="U2442:U2505" si="157">R2442+S2442+T2442</f>
        <v>111.76306255934665</v>
      </c>
    </row>
    <row r="2443" spans="1:21" x14ac:dyDescent="0.25">
      <c r="A2443">
        <v>4171789</v>
      </c>
      <c r="B2443">
        <v>2</v>
      </c>
      <c r="C2443" s="1">
        <f>1.98528551081005*(10.3/7.3)</f>
        <v>2.8011562686771891</v>
      </c>
      <c r="D2443" s="1">
        <f>3.0146691922519*(10.3/7.3)</f>
        <v>4.2535743397526842</v>
      </c>
      <c r="E2443" s="1">
        <f>10.3293854169381*(10.3/7.3)</f>
        <v>14.574338328008556</v>
      </c>
      <c r="F2443" s="1">
        <f>33.0399357140769*(38.9/42.5)</f>
        <v>30.241258806531594</v>
      </c>
      <c r="G2443" s="1">
        <v>1.8309881688932497</v>
      </c>
      <c r="H2443" s="1">
        <v>10.371178034746986</v>
      </c>
      <c r="I2443" s="1">
        <v>25.516466920573237</v>
      </c>
      <c r="J2443" s="1">
        <v>3.7929998385775002E-2</v>
      </c>
      <c r="K2443" s="1">
        <v>2.9513280375377464</v>
      </c>
      <c r="L2443" s="1">
        <v>10.538814446884636</v>
      </c>
      <c r="M2443" s="1">
        <v>0.25544474611876361</v>
      </c>
      <c r="N2443" s="1">
        <v>2.1220084241753687</v>
      </c>
      <c r="O2443" s="1">
        <v>0.23952000000000001</v>
      </c>
      <c r="P2443" s="1">
        <v>0.19806803846864171</v>
      </c>
      <c r="Q2443" s="1">
        <v>2.926236799601087</v>
      </c>
      <c r="R2443" s="2">
        <f t="shared" si="155"/>
        <v>92.515197666784573</v>
      </c>
      <c r="S2443" s="2">
        <f t="shared" si="154"/>
        <v>3.1873260743921632</v>
      </c>
      <c r="T2443" s="2">
        <f t="shared" si="156"/>
        <v>13.155787617178769</v>
      </c>
      <c r="U2443" s="2">
        <f t="shared" si="157"/>
        <v>108.85831135835551</v>
      </c>
    </row>
    <row r="2444" spans="1:21" x14ac:dyDescent="0.25">
      <c r="A2444">
        <v>4171917</v>
      </c>
      <c r="B2444">
        <v>9</v>
      </c>
      <c r="C2444" s="1">
        <f>4.07992424989913*(10.3/7.3)</f>
        <v>5.7566054484878117</v>
      </c>
      <c r="D2444" s="1">
        <f>9.77196496162525*(10.3/7.3)</f>
        <v>13.787840973252065</v>
      </c>
      <c r="E2444" s="1">
        <f>33.9049878987949*(10.3/7.3)</f>
        <v>47.838544569532495</v>
      </c>
      <c r="F2444" s="1">
        <f>62.9126835701744*(38.9/42.5)</f>
        <v>57.58360919717137</v>
      </c>
      <c r="G2444" s="1">
        <v>2.3541702230774493</v>
      </c>
      <c r="H2444" s="1">
        <v>10.541558341462668</v>
      </c>
      <c r="I2444" s="1">
        <v>37.647494669296201</v>
      </c>
      <c r="J2444" s="1">
        <v>4.7812419936336586E-2</v>
      </c>
      <c r="K2444" s="1">
        <v>2.9695034558289013</v>
      </c>
      <c r="L2444" s="1">
        <v>6.1129410630443939</v>
      </c>
      <c r="M2444" s="1">
        <v>0.22105217503442554</v>
      </c>
      <c r="N2444" s="1">
        <v>2.2208337542017333</v>
      </c>
      <c r="O2444" s="1">
        <v>0.19589333333333331</v>
      </c>
      <c r="P2444" s="1">
        <v>0.15227348027024934</v>
      </c>
      <c r="Q2444" s="1">
        <v>3.7623725026351971</v>
      </c>
      <c r="R2444" s="2">
        <f t="shared" si="155"/>
        <v>179.27219592491528</v>
      </c>
      <c r="S2444" s="2">
        <f t="shared" si="154"/>
        <v>3.1695893560354875</v>
      </c>
      <c r="T2444" s="2">
        <f t="shared" si="156"/>
        <v>8.7507203256138872</v>
      </c>
      <c r="U2444" s="2">
        <f t="shared" si="157"/>
        <v>191.19250560656465</v>
      </c>
    </row>
    <row r="2445" spans="1:21" x14ac:dyDescent="0.25">
      <c r="A2445">
        <v>4171925</v>
      </c>
      <c r="B2445">
        <v>10</v>
      </c>
      <c r="C2445" s="1">
        <f>4.41769340389221*(10.3/7.3)</f>
        <v>6.2331838438479119</v>
      </c>
      <c r="D2445" s="1">
        <f>11.9189088451466*(10.3/7.3)</f>
        <v>16.817090562330065</v>
      </c>
      <c r="E2445" s="1">
        <f>41.5147552342066*(10.3/7.3)</f>
        <v>58.575613549633957</v>
      </c>
      <c r="F2445" s="1">
        <f>63.3244091103063*(38.9/42.5)</f>
        <v>57.960459162139166</v>
      </c>
      <c r="G2445" s="1">
        <v>1.7701519373220527</v>
      </c>
      <c r="H2445" s="1">
        <v>7.7376546082719617</v>
      </c>
      <c r="I2445" s="1">
        <v>32.58564571167156</v>
      </c>
      <c r="J2445" s="1">
        <v>3.6345586102829668E-2</v>
      </c>
      <c r="K2445" s="1">
        <v>2.5391326551291415</v>
      </c>
      <c r="L2445" s="1">
        <v>5.0454714081053433</v>
      </c>
      <c r="M2445" s="1">
        <v>0.18683342176173301</v>
      </c>
      <c r="N2445" s="1">
        <v>1.7797348549891872</v>
      </c>
      <c r="O2445" s="1">
        <v>0.168016</v>
      </c>
      <c r="P2445" s="1">
        <v>0.13273120193593477</v>
      </c>
      <c r="Q2445" s="1">
        <v>2.829009945491868</v>
      </c>
      <c r="R2445" s="2">
        <f t="shared" si="155"/>
        <v>184.50880932070854</v>
      </c>
      <c r="S2445" s="2">
        <f t="shared" si="154"/>
        <v>2.708209443167906</v>
      </c>
      <c r="T2445" s="2">
        <f t="shared" si="156"/>
        <v>7.1800556848562636</v>
      </c>
      <c r="U2445" s="2">
        <f t="shared" si="157"/>
        <v>194.3970744487327</v>
      </c>
    </row>
    <row r="2446" spans="1:21" x14ac:dyDescent="0.25">
      <c r="A2446">
        <v>4171933</v>
      </c>
      <c r="B2446">
        <v>12</v>
      </c>
      <c r="C2446" s="1">
        <f>4.44327701427995*(10.3/7.3)</f>
        <v>6.2692812667237661</v>
      </c>
      <c r="D2446" s="1">
        <f>6.7977568261733*(10.3/7.3)</f>
        <v>9.5913555218609616</v>
      </c>
      <c r="E2446" s="1">
        <f>23.791496425504*(10.3/7.3)</f>
        <v>33.568823723656259</v>
      </c>
      <c r="F2446" s="1">
        <f>49.9379450227759*(38.9/42.5)</f>
        <v>45.707907326729014</v>
      </c>
      <c r="G2446" s="1">
        <v>2.0202743273827024</v>
      </c>
      <c r="H2446" s="1">
        <v>9.1389533192555898</v>
      </c>
      <c r="I2446" s="1">
        <v>35.293001677944979</v>
      </c>
      <c r="J2446" s="1">
        <v>3.8320373131439101E-2</v>
      </c>
      <c r="K2446" s="1">
        <v>2.6266286594106858</v>
      </c>
      <c r="L2446" s="1">
        <v>7.7192136424035445</v>
      </c>
      <c r="M2446" s="1">
        <v>0.19163614034569076</v>
      </c>
      <c r="N2446" s="1">
        <v>1.8339469845164551</v>
      </c>
      <c r="O2446" s="1">
        <v>0.17208888888888887</v>
      </c>
      <c r="P2446" s="1">
        <v>0.1354639910150246</v>
      </c>
      <c r="Q2446" s="1">
        <v>3.2287489250408519</v>
      </c>
      <c r="R2446" s="2">
        <f t="shared" si="155"/>
        <v>144.81834608859413</v>
      </c>
      <c r="S2446" s="2">
        <f t="shared" si="154"/>
        <v>2.8004130235571498</v>
      </c>
      <c r="T2446" s="2">
        <f t="shared" si="156"/>
        <v>9.9168856561545784</v>
      </c>
      <c r="U2446" s="2">
        <f t="shared" si="157"/>
        <v>157.53564476830587</v>
      </c>
    </row>
    <row r="2447" spans="1:21" x14ac:dyDescent="0.25">
      <c r="A2447">
        <v>4171941</v>
      </c>
      <c r="B2447">
        <v>9</v>
      </c>
      <c r="C2447" s="1">
        <f>4.2006509219935*(10.3/7.3)</f>
        <v>5.9269458214428896</v>
      </c>
      <c r="D2447" s="1">
        <f>5.75217655223643*(10.3/7.3)</f>
        <v>8.1160847243883918</v>
      </c>
      <c r="E2447" s="1">
        <f>20.2551871705653*(10.3/7.3)</f>
        <v>28.579236692715376</v>
      </c>
      <c r="F2447" s="1">
        <f>40.7248130359641*(38.9/42.5)</f>
        <v>37.275181814094182</v>
      </c>
      <c r="G2447" s="1">
        <v>1.5371788553380579</v>
      </c>
      <c r="H2447" s="1">
        <v>7.1522405642773368</v>
      </c>
      <c r="I2447" s="1">
        <v>29.451651187805346</v>
      </c>
      <c r="J2447" s="1">
        <v>3.5489213291206176E-2</v>
      </c>
      <c r="K2447" s="1">
        <v>2.4414845659920643</v>
      </c>
      <c r="L2447" s="1">
        <v>5.4398803931018218</v>
      </c>
      <c r="M2447" s="1">
        <v>0.17989115910206649</v>
      </c>
      <c r="N2447" s="1">
        <v>1.6500416268472482</v>
      </c>
      <c r="O2447" s="1">
        <v>0.16078814814814815</v>
      </c>
      <c r="P2447" s="1">
        <v>0.12594553315432797</v>
      </c>
      <c r="Q2447" s="1">
        <v>2.4566785359284058</v>
      </c>
      <c r="R2447" s="2">
        <f t="shared" si="155"/>
        <v>120.49519819598999</v>
      </c>
      <c r="S2447" s="2">
        <f t="shared" si="154"/>
        <v>2.6029193124375984</v>
      </c>
      <c r="T2447" s="2">
        <f t="shared" si="156"/>
        <v>7.4306013271992839</v>
      </c>
      <c r="U2447" s="2">
        <f t="shared" si="157"/>
        <v>130.52871883562688</v>
      </c>
    </row>
    <row r="2448" spans="1:21" x14ac:dyDescent="0.25">
      <c r="A2448">
        <v>4171957</v>
      </c>
      <c r="B2448">
        <v>22</v>
      </c>
      <c r="C2448" s="1">
        <f>4.42221582631627*(10.3/7.3)</f>
        <v>6.239564796035288</v>
      </c>
      <c r="D2448" s="1">
        <f>8.49980651076203*(10.3/7.3)</f>
        <v>11.992877679568346</v>
      </c>
      <c r="E2448" s="1">
        <f>29.8174690358649*(10.3/7.3)</f>
        <v>42.07122343416551</v>
      </c>
      <c r="F2448" s="1">
        <f>47.6913523389936*(38.9/42.5)</f>
        <v>43.651614258514101</v>
      </c>
      <c r="G2448" s="1">
        <v>1.3627432920974665</v>
      </c>
      <c r="H2448" s="1">
        <v>6.9685765992764432</v>
      </c>
      <c r="I2448" s="1">
        <v>28.3221858587493</v>
      </c>
      <c r="J2448" s="1">
        <v>3.8510931554717819E-2</v>
      </c>
      <c r="K2448" s="1">
        <v>2.5202411352935412</v>
      </c>
      <c r="L2448" s="1">
        <v>4.9646473006229561</v>
      </c>
      <c r="M2448" s="1">
        <v>0.1815781660694907</v>
      </c>
      <c r="N2448" s="1">
        <v>1.8040617039552707</v>
      </c>
      <c r="O2448" s="1">
        <v>0.16297696969696965</v>
      </c>
      <c r="P2448" s="1">
        <v>0.12719777726156029</v>
      </c>
      <c r="Q2448" s="1">
        <v>2.1779002385119353</v>
      </c>
      <c r="R2448" s="2">
        <f t="shared" si="155"/>
        <v>142.78668615691839</v>
      </c>
      <c r="S2448" s="2">
        <f t="shared" si="154"/>
        <v>2.6859498441098193</v>
      </c>
      <c r="T2448" s="2">
        <f t="shared" si="156"/>
        <v>7.113264140344687</v>
      </c>
      <c r="U2448" s="2">
        <f t="shared" si="157"/>
        <v>152.58590014137289</v>
      </c>
    </row>
    <row r="2449" spans="1:21" x14ac:dyDescent="0.25">
      <c r="A2449">
        <v>4171965</v>
      </c>
      <c r="B2449">
        <v>39</v>
      </c>
      <c r="C2449" s="1">
        <f>5.65870531305888*(10.3/7.3)</f>
        <v>7.9842006471926741</v>
      </c>
      <c r="D2449" s="1">
        <f>6.7943231375497*(10.3/7.3)</f>
        <v>9.5865107283235567</v>
      </c>
      <c r="E2449" s="1">
        <f>24.1595739604523*(10.3/7.3)</f>
        <v>34.088165998994363</v>
      </c>
      <c r="F2449" s="1">
        <f>43.7423498919639*(38.9/42.5)</f>
        <v>40.037115548174036</v>
      </c>
      <c r="G2449" s="1">
        <v>1.3765390705308322</v>
      </c>
      <c r="H2449" s="1">
        <v>7.5488136836073085</v>
      </c>
      <c r="I2449" s="1">
        <v>32.385303173402882</v>
      </c>
      <c r="J2449" s="1">
        <v>3.8272609889146304E-2</v>
      </c>
      <c r="K2449" s="1">
        <v>2.4307189650932606</v>
      </c>
      <c r="L2449" s="1">
        <v>4.7271467280459616</v>
      </c>
      <c r="M2449" s="1">
        <v>0.17361502194180575</v>
      </c>
      <c r="N2449" s="1">
        <v>1.7535846873313035</v>
      </c>
      <c r="O2449" s="1">
        <v>0.16053333333333336</v>
      </c>
      <c r="P2449" s="1">
        <v>0.12146886663911143</v>
      </c>
      <c r="Q2449" s="1">
        <v>2.1999482862364914</v>
      </c>
      <c r="R2449" s="2">
        <f t="shared" si="155"/>
        <v>135.20659713646216</v>
      </c>
      <c r="S2449" s="2">
        <f t="shared" si="154"/>
        <v>2.5904604416215182</v>
      </c>
      <c r="T2449" s="2">
        <f t="shared" si="156"/>
        <v>6.8148797706524036</v>
      </c>
      <c r="U2449" s="2">
        <f t="shared" si="157"/>
        <v>144.61193734873609</v>
      </c>
    </row>
    <row r="2450" spans="1:21" x14ac:dyDescent="0.25">
      <c r="A2450">
        <v>4171973</v>
      </c>
      <c r="B2450">
        <v>9</v>
      </c>
      <c r="C2450" s="1">
        <f>5.00077490713513*(10.3/7.3)</f>
        <v>7.0558878826701088</v>
      </c>
      <c r="D2450" s="1">
        <f>5.84476204974871*(10.3/7.3)</f>
        <v>8.2467190564947543</v>
      </c>
      <c r="E2450" s="1">
        <f>20.7792870987491*(10.3/7.3)</f>
        <v>29.318720153029545</v>
      </c>
      <c r="F2450" s="1">
        <f>39.1504448342972*(38.9/42.5)</f>
        <v>35.834171860097896</v>
      </c>
      <c r="G2450" s="1">
        <v>1.3026798008592335</v>
      </c>
      <c r="H2450" s="1">
        <v>8.0774821422580043</v>
      </c>
      <c r="I2450" s="1">
        <v>29.524891726588308</v>
      </c>
      <c r="J2450" s="1">
        <v>3.9476881888823173E-2</v>
      </c>
      <c r="K2450" s="1">
        <v>2.4972368087101873</v>
      </c>
      <c r="L2450" s="1">
        <v>5.2508188150917494</v>
      </c>
      <c r="M2450" s="1">
        <v>0.17462164246966896</v>
      </c>
      <c r="N2450" s="1">
        <v>1.8662730484900696</v>
      </c>
      <c r="O2450" s="1">
        <v>0.16295111111111107</v>
      </c>
      <c r="P2450" s="1">
        <v>0.12385321399025531</v>
      </c>
      <c r="Q2450" s="1">
        <v>2.0819083575375905</v>
      </c>
      <c r="R2450" s="2">
        <f t="shared" si="155"/>
        <v>121.44246097953544</v>
      </c>
      <c r="S2450" s="2">
        <f t="shared" si="154"/>
        <v>2.6605669045892659</v>
      </c>
      <c r="T2450" s="2">
        <f t="shared" si="156"/>
        <v>7.4546646171625985</v>
      </c>
      <c r="U2450" s="2">
        <f t="shared" si="157"/>
        <v>131.55769250128731</v>
      </c>
    </row>
    <row r="2451" spans="1:21" x14ac:dyDescent="0.25">
      <c r="A2451">
        <v>4172045</v>
      </c>
      <c r="B2451">
        <v>69</v>
      </c>
      <c r="C2451" s="1">
        <f>10.0083226991002*(10.3/7.3)</f>
        <v>14.121332027497589</v>
      </c>
      <c r="D2451" s="1">
        <f>14.7281605349144*(10.3/7.3)</f>
        <v>20.780829247892942</v>
      </c>
      <c r="E2451" s="1">
        <f>51.9102905857277*(10.3/7.3)</f>
        <v>73.243286716848687</v>
      </c>
      <c r="F2451" s="1">
        <f>94.4326419508112*(38.9/42.5)</f>
        <v>86.433641691448329</v>
      </c>
      <c r="G2451" s="1">
        <v>3.1588408142536313</v>
      </c>
      <c r="H2451" s="1">
        <v>8.2052247751896541</v>
      </c>
      <c r="I2451" s="1">
        <v>64.882798506241699</v>
      </c>
      <c r="J2451" s="1">
        <v>8.2506329752312993E-2</v>
      </c>
      <c r="K2451" s="1">
        <v>4.5194224966763077</v>
      </c>
      <c r="L2451" s="1">
        <v>8.7964930735811855</v>
      </c>
      <c r="M2451" s="1">
        <v>0.27078530548629182</v>
      </c>
      <c r="N2451" s="1">
        <v>3.3673126715286261</v>
      </c>
      <c r="O2451" s="1">
        <v>0.23517681159420289</v>
      </c>
      <c r="P2451" s="1">
        <v>0.15887950193895298</v>
      </c>
      <c r="Q2451" s="1">
        <v>5.0483757305423378</v>
      </c>
      <c r="R2451" s="2">
        <f t="shared" si="155"/>
        <v>275.87432950991484</v>
      </c>
      <c r="S2451" s="2">
        <f t="shared" si="154"/>
        <v>4.7608083283675739</v>
      </c>
      <c r="T2451" s="2">
        <f t="shared" si="156"/>
        <v>12.669767862190307</v>
      </c>
      <c r="U2451" s="2">
        <f t="shared" si="157"/>
        <v>293.30490570047272</v>
      </c>
    </row>
    <row r="2452" spans="1:21" x14ac:dyDescent="0.25">
      <c r="A2452">
        <v>4172053</v>
      </c>
      <c r="B2452">
        <v>12</v>
      </c>
      <c r="C2452" s="1">
        <f>8.55398036991282*(10.3/7.3)</f>
        <v>12.069314768507125</v>
      </c>
      <c r="D2452" s="1">
        <f>12.3330620352994*(10.3/7.3)</f>
        <v>17.401443693641585</v>
      </c>
      <c r="E2452" s="1">
        <f>43.4932730818683*(10.3/7.3)</f>
        <v>61.367220923732056</v>
      </c>
      <c r="F2452" s="1">
        <f>79.6241436967906*(38.9/42.5)</f>
        <v>72.879510348356547</v>
      </c>
      <c r="G2452" s="1">
        <v>2.6762934794077915</v>
      </c>
      <c r="H2452" s="1">
        <v>7.1584921965609887</v>
      </c>
      <c r="I2452" s="1">
        <v>55.207444767387109</v>
      </c>
      <c r="J2452" s="1">
        <v>7.8879036244810893E-2</v>
      </c>
      <c r="K2452" s="1">
        <v>4.2348281123543643</v>
      </c>
      <c r="L2452" s="1">
        <v>6.5088240885648849</v>
      </c>
      <c r="M2452" s="1">
        <v>0.21347536321373758</v>
      </c>
      <c r="N2452" s="1">
        <v>2.655384080111201</v>
      </c>
      <c r="O2452" s="1">
        <v>0.19079555555555558</v>
      </c>
      <c r="P2452" s="1">
        <v>0.13433712062832218</v>
      </c>
      <c r="Q2452" s="1">
        <v>4.2771813597841462</v>
      </c>
      <c r="R2452" s="2">
        <f t="shared" si="155"/>
        <v>233.03690153737736</v>
      </c>
      <c r="S2452" s="2">
        <f t="shared" si="154"/>
        <v>4.4480442692274975</v>
      </c>
      <c r="T2452" s="2">
        <f t="shared" si="156"/>
        <v>9.5684790874453771</v>
      </c>
      <c r="U2452" s="2">
        <f t="shared" si="157"/>
        <v>247.05342489405024</v>
      </c>
    </row>
    <row r="2453" spans="1:21" x14ac:dyDescent="0.25">
      <c r="A2453">
        <v>4172061</v>
      </c>
      <c r="B2453">
        <v>14</v>
      </c>
      <c r="C2453" s="1">
        <f>5.97323912485387*(10.3/7.3)</f>
        <v>8.4279949295883352</v>
      </c>
      <c r="D2453" s="1">
        <f>8.44166973196713*(10.3/7.3)</f>
        <v>11.910849073871436</v>
      </c>
      <c r="E2453" s="1">
        <f>29.7652426246503*(10.3/7.3)</f>
        <v>41.997534114232607</v>
      </c>
      <c r="F2453" s="1">
        <f>55.9236649855802*(38.9/42.5)</f>
        <v>51.186601598566384</v>
      </c>
      <c r="G2453" s="1">
        <v>1.943264660770049</v>
      </c>
      <c r="H2453" s="1">
        <v>7.1637307711611511</v>
      </c>
      <c r="I2453" s="1">
        <v>39.332635375396571</v>
      </c>
      <c r="J2453" s="1">
        <v>6.0503236202211416E-2</v>
      </c>
      <c r="K2453" s="1">
        <v>4.2888024704601886</v>
      </c>
      <c r="L2453" s="1">
        <v>5.3392661172532607</v>
      </c>
      <c r="M2453" s="1">
        <v>0.17488744143744281</v>
      </c>
      <c r="N2453" s="1">
        <v>3.221233899470564</v>
      </c>
      <c r="O2453" s="1">
        <v>0.15723809523809523</v>
      </c>
      <c r="P2453" s="1">
        <v>0.11668921435902557</v>
      </c>
      <c r="Q2453" s="1">
        <v>3.1056741153859266</v>
      </c>
      <c r="R2453" s="2">
        <f t="shared" si="155"/>
        <v>165.06828463897247</v>
      </c>
      <c r="S2453" s="2">
        <f t="shared" si="154"/>
        <v>4.4659949210214256</v>
      </c>
      <c r="T2453" s="2">
        <f t="shared" si="156"/>
        <v>8.8926255533993643</v>
      </c>
      <c r="U2453" s="2">
        <f t="shared" si="157"/>
        <v>178.42690511339327</v>
      </c>
    </row>
    <row r="2454" spans="1:21" x14ac:dyDescent="0.25">
      <c r="A2454">
        <v>4172069</v>
      </c>
      <c r="B2454">
        <v>42</v>
      </c>
      <c r="C2454" s="1">
        <f>8.5020127722685*(10.3/7.3)</f>
        <v>11.995990623885696</v>
      </c>
      <c r="D2454" s="1">
        <f>12.2218934794927*(10.3/7.3)</f>
        <v>17.244589429969128</v>
      </c>
      <c r="E2454" s="1">
        <f>42.8819141955397*(10.3/7.3)</f>
        <v>60.504618659460156</v>
      </c>
      <c r="F2454" s="1">
        <f>89.7901324172456*(38.9/42.5)</f>
        <v>82.184380024255375</v>
      </c>
      <c r="G2454" s="1">
        <v>3.5854137334281906</v>
      </c>
      <c r="H2454" s="1">
        <v>9.8920284098681037</v>
      </c>
      <c r="I2454" s="1">
        <v>64.588529411364405</v>
      </c>
      <c r="J2454" s="1">
        <v>6.6625168937268664E-2</v>
      </c>
      <c r="K2454" s="1">
        <v>3.9214560724797489</v>
      </c>
      <c r="L2454" s="1">
        <v>6.6392040778070793</v>
      </c>
      <c r="M2454" s="1">
        <v>0.2125365876695198</v>
      </c>
      <c r="N2454" s="1">
        <v>3.614377848176288</v>
      </c>
      <c r="O2454" s="1">
        <v>0.18777523809523811</v>
      </c>
      <c r="P2454" s="1">
        <v>0.13223157573943797</v>
      </c>
      <c r="Q2454" s="1">
        <v>5.7301132726021367</v>
      </c>
      <c r="R2454" s="2">
        <f t="shared" si="155"/>
        <v>255.72566356483316</v>
      </c>
      <c r="S2454" s="2">
        <f t="shared" si="154"/>
        <v>4.1203128171564556</v>
      </c>
      <c r="T2454" s="2">
        <f t="shared" si="156"/>
        <v>10.653893751748125</v>
      </c>
      <c r="U2454" s="2">
        <f t="shared" si="157"/>
        <v>270.49987013373772</v>
      </c>
    </row>
    <row r="2455" spans="1:21" x14ac:dyDescent="0.25">
      <c r="A2455">
        <v>4172077</v>
      </c>
      <c r="B2455">
        <v>20</v>
      </c>
      <c r="C2455" s="1">
        <f>10.0727997930356*(10.3/7.3)</f>
        <v>14.212306557296843</v>
      </c>
      <c r="D2455" s="1">
        <f>13.5844393577412*(10.3/7.3)</f>
        <v>19.167085669141652</v>
      </c>
      <c r="E2455" s="1">
        <f>47.9757860775858*(10.3/7.3)</f>
        <v>67.691862547826489</v>
      </c>
      <c r="F2455" s="1">
        <f>90.8865141201171*(38.9/42.5)</f>
        <v>83.187891747589504</v>
      </c>
      <c r="G2455" s="1">
        <v>3.1614454378224206</v>
      </c>
      <c r="H2455" s="1">
        <v>8.096908856309593</v>
      </c>
      <c r="I2455" s="1">
        <v>65.114465914978567</v>
      </c>
      <c r="J2455" s="1">
        <v>9.302333164912259E-2</v>
      </c>
      <c r="K2455" s="1">
        <v>3.9429578986078795</v>
      </c>
      <c r="L2455" s="1">
        <v>7.3959329369197828</v>
      </c>
      <c r="M2455" s="1">
        <v>0.22522308388569018</v>
      </c>
      <c r="N2455" s="1">
        <v>3.1005078202917051</v>
      </c>
      <c r="O2455" s="1">
        <v>0.19694400000000004</v>
      </c>
      <c r="P2455" s="1">
        <v>0.13796428281873344</v>
      </c>
      <c r="Q2455" s="1">
        <v>5.0525383709490788</v>
      </c>
      <c r="R2455" s="2">
        <f t="shared" si="155"/>
        <v>265.68450510191417</v>
      </c>
      <c r="S2455" s="2">
        <f t="shared" si="154"/>
        <v>4.1739455130757355</v>
      </c>
      <c r="T2455" s="2">
        <f t="shared" si="156"/>
        <v>10.918607841097179</v>
      </c>
      <c r="U2455" s="2">
        <f t="shared" si="157"/>
        <v>280.7770584560871</v>
      </c>
    </row>
    <row r="2456" spans="1:21" x14ac:dyDescent="0.25">
      <c r="A2456">
        <v>4172085</v>
      </c>
      <c r="B2456">
        <v>61</v>
      </c>
      <c r="C2456" s="1">
        <f>8.76699031050239*(10.3/7.3)</f>
        <v>12.369863040845841</v>
      </c>
      <c r="D2456" s="1">
        <f>11.6250504261408*(10.3/7.3)</f>
        <v>16.402468409486282</v>
      </c>
      <c r="E2456" s="1">
        <f>41.093865019093*(10.3/7.3)</f>
        <v>57.981754752966779</v>
      </c>
      <c r="F2456" s="1">
        <f>77.415367871644*(38.9/42.5)</f>
        <v>70.857830828398846</v>
      </c>
      <c r="G2456" s="1">
        <v>2.6607738231815645</v>
      </c>
      <c r="H2456" s="1">
        <v>8.6315844874891408</v>
      </c>
      <c r="I2456" s="1">
        <v>55.719486982608082</v>
      </c>
      <c r="J2456" s="1">
        <v>7.8030152030856573E-2</v>
      </c>
      <c r="K2456" s="1">
        <v>3.7869664437146957</v>
      </c>
      <c r="L2456" s="1">
        <v>7.7157099187214317</v>
      </c>
      <c r="M2456" s="1">
        <v>0.2269519489434923</v>
      </c>
      <c r="N2456" s="1">
        <v>3.0841154758918057</v>
      </c>
      <c r="O2456" s="1">
        <v>0.19709202185792352</v>
      </c>
      <c r="P2456" s="1">
        <v>0.13947528493629241</v>
      </c>
      <c r="Q2456" s="1">
        <v>4.2523782562262493</v>
      </c>
      <c r="R2456" s="2">
        <f t="shared" si="155"/>
        <v>228.87614058120278</v>
      </c>
      <c r="S2456" s="2">
        <f t="shared" si="154"/>
        <v>4.0044718806818445</v>
      </c>
      <c r="T2456" s="2">
        <f t="shared" si="156"/>
        <v>11.223869365414654</v>
      </c>
      <c r="U2456" s="2">
        <f t="shared" si="157"/>
        <v>244.10448182729928</v>
      </c>
    </row>
    <row r="2457" spans="1:21" x14ac:dyDescent="0.25">
      <c r="A2457">
        <v>4172141</v>
      </c>
      <c r="B2457">
        <v>4</v>
      </c>
      <c r="C2457" s="1">
        <f>4.25594710116576*(10.3/7.3)</f>
        <v>6.0049664578092301</v>
      </c>
      <c r="D2457" s="1">
        <f>5.21114542747929*(10.3/7.3)</f>
        <v>7.3527120415118761</v>
      </c>
      <c r="E2457" s="1">
        <f>18.4228124268159*(10.3/7.3)</f>
        <v>25.993831232356719</v>
      </c>
      <c r="F2457" s="1">
        <f>37.899824505228*(38.9/42.5)</f>
        <v>34.689486429490998</v>
      </c>
      <c r="G2457" s="1">
        <v>1.4374839726192388</v>
      </c>
      <c r="H2457" s="1">
        <v>7.1842451892518593</v>
      </c>
      <c r="I2457" s="1">
        <v>28.580080750187378</v>
      </c>
      <c r="J2457" s="1">
        <v>5.0810243390811374E-2</v>
      </c>
      <c r="K2457" s="1">
        <v>2.5267287504530476</v>
      </c>
      <c r="L2457" s="1">
        <v>5.9335709169601003</v>
      </c>
      <c r="M2457" s="1">
        <v>0.14007578452615027</v>
      </c>
      <c r="N2457" s="1">
        <v>2.9718538081852368</v>
      </c>
      <c r="O2457" s="1">
        <v>0.12188</v>
      </c>
      <c r="P2457" s="1">
        <v>9.689965628995012E-2</v>
      </c>
      <c r="Q2457" s="1">
        <v>2.2973488146882839</v>
      </c>
      <c r="R2457" s="2">
        <f t="shared" si="155"/>
        <v>113.54015488791556</v>
      </c>
      <c r="S2457" s="2">
        <f t="shared" si="154"/>
        <v>2.6744386501338089</v>
      </c>
      <c r="T2457" s="2">
        <f t="shared" si="156"/>
        <v>9.1673805096714887</v>
      </c>
      <c r="U2457" s="2">
        <f t="shared" si="157"/>
        <v>125.38197404772086</v>
      </c>
    </row>
    <row r="2458" spans="1:21" x14ac:dyDescent="0.25">
      <c r="A2458">
        <v>4172149</v>
      </c>
      <c r="B2458">
        <v>49</v>
      </c>
      <c r="C2458" s="1">
        <f>4.06762416800274*(10.3/7.3)</f>
        <v>5.7392505384148302</v>
      </c>
      <c r="D2458" s="1">
        <f>4.89084718381907*(10.3/7.3)</f>
        <v>6.9007843826488244</v>
      </c>
      <c r="E2458" s="1">
        <f>17.3415638522862*(10.3/7.3)</f>
        <v>24.468233928568207</v>
      </c>
      <c r="F2458" s="1">
        <f>33.8310552215724*(38.9/42.5)</f>
        <v>30.965365838098062</v>
      </c>
      <c r="G2458" s="1">
        <v>1.1928635503516485</v>
      </c>
      <c r="H2458" s="1">
        <v>8.0509065162602358</v>
      </c>
      <c r="I2458" s="1">
        <v>25.41479737247294</v>
      </c>
      <c r="J2458" s="1">
        <v>4.4516922748893691E-2</v>
      </c>
      <c r="K2458" s="1">
        <v>2.3913842578189923</v>
      </c>
      <c r="L2458" s="1">
        <v>5.3328764545844249</v>
      </c>
      <c r="M2458" s="1">
        <v>0.13469744701997072</v>
      </c>
      <c r="N2458" s="1">
        <v>3.3733255243175662</v>
      </c>
      <c r="O2458" s="1">
        <v>0.11616544217687073</v>
      </c>
      <c r="P2458" s="1">
        <v>9.3357313084452262E-2</v>
      </c>
      <c r="Q2458" s="1">
        <v>1.906402934351952</v>
      </c>
      <c r="R2458" s="2">
        <f t="shared" si="155"/>
        <v>104.63860506116669</v>
      </c>
      <c r="S2458" s="2">
        <f t="shared" si="154"/>
        <v>2.5292584936523381</v>
      </c>
      <c r="T2458" s="2">
        <f t="shared" si="156"/>
        <v>8.957064868098831</v>
      </c>
      <c r="U2458" s="2">
        <f t="shared" si="157"/>
        <v>116.12492842291785</v>
      </c>
    </row>
    <row r="2459" spans="1:21" x14ac:dyDescent="0.25">
      <c r="A2459">
        <v>4172445</v>
      </c>
      <c r="B2459">
        <v>3</v>
      </c>
      <c r="C2459" s="1">
        <f>4.84986656701715*(10.3/7.3)</f>
        <v>6.842962416476257</v>
      </c>
      <c r="D2459" s="1">
        <f>5.6197384715105*(10.3/7.3)</f>
        <v>7.9292200351449482</v>
      </c>
      <c r="E2459" s="1">
        <f>19.7701905874688*(10.3/7.3)</f>
        <v>27.894926445332764</v>
      </c>
      <c r="F2459" s="1">
        <f>48.197206158809*(38.9/42.5)</f>
        <v>44.114619284180442</v>
      </c>
      <c r="G2459" s="1">
        <v>2.1559130153508175</v>
      </c>
      <c r="H2459" s="1">
        <v>7.6777509078823307</v>
      </c>
      <c r="I2459" s="1">
        <v>38.005633129033988</v>
      </c>
      <c r="J2459" s="1">
        <v>2.6002352624234171E-2</v>
      </c>
      <c r="K2459" s="1">
        <v>2.0068885756801689</v>
      </c>
      <c r="L2459" s="1">
        <v>2.1581161043200372</v>
      </c>
      <c r="M2459" s="1">
        <v>9.9923507633879527E-2</v>
      </c>
      <c r="N2459" s="1">
        <v>1.0716261772705851</v>
      </c>
      <c r="O2459" s="1">
        <v>9.118222222222222E-2</v>
      </c>
      <c r="P2459" s="1">
        <v>7.115303700200383E-2</v>
      </c>
      <c r="Q2459" s="1">
        <v>3.4455230838940039</v>
      </c>
      <c r="R2459" s="2">
        <f t="shared" si="155"/>
        <v>138.06654831729557</v>
      </c>
      <c r="S2459" s="2">
        <f t="shared" si="154"/>
        <v>2.1040439653064071</v>
      </c>
      <c r="T2459" s="2">
        <f t="shared" si="156"/>
        <v>3.4208480114467239</v>
      </c>
      <c r="U2459" s="2">
        <f t="shared" si="157"/>
        <v>143.59144029404871</v>
      </c>
    </row>
    <row r="2460" spans="1:21" x14ac:dyDescent="0.25">
      <c r="A2460">
        <v>4183705</v>
      </c>
      <c r="B2460">
        <v>17</v>
      </c>
      <c r="C2460" s="1">
        <f>0.956931209142761*(10.3/7.3)</f>
        <v>1.3501906101603338</v>
      </c>
      <c r="D2460" s="1">
        <f>1.30750684442367*(10.3/7.3)</f>
        <v>1.8448384243238125</v>
      </c>
      <c r="E2460" s="1">
        <f>4.54025294814871*(10.3/7.3)</f>
        <v>6.4061103241002293</v>
      </c>
      <c r="F2460" s="1">
        <f>12.3745988795909*(38.9/42.5)</f>
        <v>11.326397562731394</v>
      </c>
      <c r="G2460" s="1">
        <v>0.61720468114730798</v>
      </c>
      <c r="H2460" s="1">
        <v>7.1577775674799256</v>
      </c>
      <c r="I2460" s="1">
        <v>9.5130298476855248</v>
      </c>
      <c r="J2460" s="1">
        <v>4.8920145717191596E-2</v>
      </c>
      <c r="K2460" s="1">
        <v>6.2373138814915876</v>
      </c>
      <c r="L2460" s="1">
        <v>4.3369930964683752</v>
      </c>
      <c r="M2460" s="1">
        <v>0.26506984288315172</v>
      </c>
      <c r="N2460" s="1">
        <v>1.8030683217993984</v>
      </c>
      <c r="O2460" s="1">
        <v>5.14553725490196</v>
      </c>
      <c r="P2460" s="1">
        <v>0.7012488214119863</v>
      </c>
      <c r="Q2460" s="1">
        <v>0.98640017534957991</v>
      </c>
      <c r="R2460" s="2">
        <f t="shared" si="155"/>
        <v>39.201949192978105</v>
      </c>
      <c r="S2460" s="2">
        <f t="shared" si="154"/>
        <v>6.9874828486207656</v>
      </c>
      <c r="T2460" s="2">
        <f t="shared" si="156"/>
        <v>11.550668516052884</v>
      </c>
      <c r="U2460" s="2">
        <f t="shared" si="157"/>
        <v>57.740100557651758</v>
      </c>
    </row>
    <row r="2461" spans="1:21" x14ac:dyDescent="0.25">
      <c r="A2461">
        <v>4183713</v>
      </c>
      <c r="B2461">
        <v>28</v>
      </c>
      <c r="C2461" s="1">
        <f>1.22673876482996*(10.3/7.3)</f>
        <v>1.7308779832532337</v>
      </c>
      <c r="D2461" s="1">
        <f>1.64289258693155*(10.3/7.3)</f>
        <v>2.3180539240267146</v>
      </c>
      <c r="E2461" s="1">
        <f>5.7164464035645*(10.3/7.3)</f>
        <v>8.0656709529745658</v>
      </c>
      <c r="F2461" s="1">
        <f>15.2323361570964*(38.9/42.5)</f>
        <v>13.942067682612912</v>
      </c>
      <c r="G2461" s="1">
        <v>0.74607537254024081</v>
      </c>
      <c r="H2461" s="1">
        <v>8.222322731584601</v>
      </c>
      <c r="I2461" s="1">
        <v>11.721154383556948</v>
      </c>
      <c r="J2461" s="1">
        <v>5.8518326101781197E-2</v>
      </c>
      <c r="K2461" s="1">
        <v>6.8462142119977312</v>
      </c>
      <c r="L2461" s="1">
        <v>5.2888037336667182</v>
      </c>
      <c r="M2461" s="1">
        <v>0.32556178722140594</v>
      </c>
      <c r="N2461" s="1">
        <v>1.9956905287210727</v>
      </c>
      <c r="O2461" s="1">
        <v>4.9778666666666656</v>
      </c>
      <c r="P2461" s="1">
        <v>0.76216911756806205</v>
      </c>
      <c r="Q2461" s="1">
        <v>1.192357901320021</v>
      </c>
      <c r="R2461" s="2">
        <f t="shared" si="155"/>
        <v>47.93858093186924</v>
      </c>
      <c r="S2461" s="2">
        <f t="shared" si="154"/>
        <v>7.6669016556675746</v>
      </c>
      <c r="T2461" s="2">
        <f t="shared" si="156"/>
        <v>12.587922716275862</v>
      </c>
      <c r="U2461" s="2">
        <f t="shared" si="157"/>
        <v>68.193405303812682</v>
      </c>
    </row>
    <row r="2462" spans="1:21" x14ac:dyDescent="0.25">
      <c r="A2462">
        <v>4184017</v>
      </c>
      <c r="B2462">
        <v>5</v>
      </c>
      <c r="C2462" s="1">
        <f>2.25711966892578*(10.3/7.3)</f>
        <v>3.184703094511713</v>
      </c>
      <c r="D2462" s="1">
        <f>3.34366442851472*(10.3/7.3)</f>
        <v>4.7177730977673429</v>
      </c>
      <c r="E2462" s="1">
        <f>11.4760815360127*(10.3/7.3)</f>
        <v>16.192279427524703</v>
      </c>
      <c r="F2462" s="1">
        <f>36.2588197677273*(38.9/42.5)</f>
        <v>33.18748444622566</v>
      </c>
      <c r="G2462" s="1">
        <v>1.9924670551624757</v>
      </c>
      <c r="H2462" s="1">
        <v>11.259656282581989</v>
      </c>
      <c r="I2462" s="1">
        <v>28.073399521306317</v>
      </c>
      <c r="J2462" s="1">
        <v>3.6214895427107346E-2</v>
      </c>
      <c r="K2462" s="1">
        <v>2.8336655040498284</v>
      </c>
      <c r="L2462" s="1">
        <v>10.150692649126565</v>
      </c>
      <c r="M2462" s="1">
        <v>0.2515542478632164</v>
      </c>
      <c r="N2462" s="1">
        <v>1.9890993875453276</v>
      </c>
      <c r="O2462" s="1">
        <v>0.23329066666666667</v>
      </c>
      <c r="P2462" s="1">
        <v>0.18911758657619787</v>
      </c>
      <c r="Q2462" s="1">
        <v>3.184308079026791</v>
      </c>
      <c r="R2462" s="2">
        <f t="shared" si="155"/>
        <v>101.79207100410699</v>
      </c>
      <c r="S2462" s="2">
        <f t="shared" si="154"/>
        <v>3.0589979860531336</v>
      </c>
      <c r="T2462" s="2">
        <f t="shared" si="156"/>
        <v>12.624636951201776</v>
      </c>
      <c r="U2462" s="2">
        <f t="shared" si="157"/>
        <v>117.47570594136189</v>
      </c>
    </row>
    <row r="2463" spans="1:21" x14ac:dyDescent="0.25">
      <c r="A2463">
        <v>4184169</v>
      </c>
      <c r="B2463">
        <v>19</v>
      </c>
      <c r="C2463" s="1">
        <f>5.15029039052535*(10.3/7.3)</f>
        <v>7.266848085261798</v>
      </c>
      <c r="D2463" s="1">
        <f>6.9006975107565*(10.3/7.3)</f>
        <v>9.736600597368767</v>
      </c>
      <c r="E2463" s="1">
        <f>24.3068088824134*(10.3/7.3)</f>
        <v>34.295908423131294</v>
      </c>
      <c r="F2463" s="1">
        <f>49.61723081547*(38.9/42.5)</f>
        <v>45.414359499336065</v>
      </c>
      <c r="G2463" s="1">
        <v>1.8992898695201528</v>
      </c>
      <c r="H2463" s="1">
        <v>9.7887302011995914</v>
      </c>
      <c r="I2463" s="1">
        <v>36.263091029762336</v>
      </c>
      <c r="J2463" s="1">
        <v>4.1314511698440505E-2</v>
      </c>
      <c r="K2463" s="1">
        <v>2.8029457501530231</v>
      </c>
      <c r="L2463" s="1">
        <v>6.2568197117342343</v>
      </c>
      <c r="M2463" s="1">
        <v>0.20615704079847413</v>
      </c>
      <c r="N2463" s="1">
        <v>1.9870057737473772</v>
      </c>
      <c r="O2463" s="1">
        <v>0.18285754385964914</v>
      </c>
      <c r="P2463" s="1">
        <v>0.14286273140204162</v>
      </c>
      <c r="Q2463" s="1">
        <v>3.0353947686395157</v>
      </c>
      <c r="R2463" s="2">
        <f t="shared" si="155"/>
        <v>147.70022247421952</v>
      </c>
      <c r="S2463" s="2">
        <f t="shared" si="154"/>
        <v>2.9871229932535051</v>
      </c>
      <c r="T2463" s="2">
        <f t="shared" si="156"/>
        <v>8.6328400701397339</v>
      </c>
      <c r="U2463" s="2">
        <f t="shared" si="157"/>
        <v>159.32018553761276</v>
      </c>
    </row>
    <row r="2464" spans="1:21" x14ac:dyDescent="0.25">
      <c r="A2464">
        <v>4184177</v>
      </c>
      <c r="B2464">
        <v>7</v>
      </c>
      <c r="C2464" s="1">
        <f>4.0669007400272*(10.3/7.3)</f>
        <v>5.7382298112712489</v>
      </c>
      <c r="D2464" s="1">
        <f>5.51500305811216*(10.3/7.3)</f>
        <v>7.7814426710349727</v>
      </c>
      <c r="E2464" s="1">
        <f>19.4340076758289*(10.3/7.3)</f>
        <v>27.420586172744954</v>
      </c>
      <c r="F2464" s="1">
        <f>38.764936795949*(38.9/42.5)</f>
        <v>35.481318620292107</v>
      </c>
      <c r="G2464" s="1">
        <v>1.4460292482808519</v>
      </c>
      <c r="H2464" s="1">
        <v>8.8305572328705164</v>
      </c>
      <c r="I2464" s="1">
        <v>28.070744759008814</v>
      </c>
      <c r="J2464" s="1">
        <v>3.5162823364103313E-2</v>
      </c>
      <c r="K2464" s="1">
        <v>2.4012732231692531</v>
      </c>
      <c r="L2464" s="1">
        <v>5.0507447796209801</v>
      </c>
      <c r="M2464" s="1">
        <v>0.17767179814872058</v>
      </c>
      <c r="N2464" s="1">
        <v>1.621670594524067</v>
      </c>
      <c r="O2464" s="1">
        <v>0.15805714285714287</v>
      </c>
      <c r="P2464" s="1">
        <v>0.12379618402891955</v>
      </c>
      <c r="Q2464" s="1">
        <v>2.3110056479374372</v>
      </c>
      <c r="R2464" s="2">
        <f t="shared" si="155"/>
        <v>117.0799141634409</v>
      </c>
      <c r="S2464" s="2">
        <f t="shared" si="154"/>
        <v>2.560232230562276</v>
      </c>
      <c r="T2464" s="2">
        <f t="shared" si="156"/>
        <v>7.0081443151509104</v>
      </c>
      <c r="U2464" s="2">
        <f t="shared" si="157"/>
        <v>126.6482907091541</v>
      </c>
    </row>
    <row r="2465" spans="1:21" x14ac:dyDescent="0.25">
      <c r="A2465">
        <v>4184185</v>
      </c>
      <c r="B2465">
        <v>21</v>
      </c>
      <c r="C2465" s="1">
        <f>3.8825864648785*(10.3/7.3)</f>
        <v>5.4781699435956943</v>
      </c>
      <c r="D2465" s="1">
        <f>5.57274981275556*(10.3/7.3)</f>
        <v>7.8629209686825012</v>
      </c>
      <c r="E2465" s="1">
        <f>19.608981381853*(10.3/7.3)</f>
        <v>27.667466881244675</v>
      </c>
      <c r="F2465" s="1">
        <f>38.2697903591693*(38.9/42.5)</f>
        <v>35.028113999333819</v>
      </c>
      <c r="G2465" s="1">
        <v>1.40464405673582</v>
      </c>
      <c r="H2465" s="1">
        <v>6.7456845202444553</v>
      </c>
      <c r="I2465" s="1">
        <v>27.052134178509952</v>
      </c>
      <c r="J2465" s="1">
        <v>3.8145189433462505E-2</v>
      </c>
      <c r="K2465" s="1">
        <v>2.490904026771092</v>
      </c>
      <c r="L2465" s="1">
        <v>4.9638182635358934</v>
      </c>
      <c r="M2465" s="1">
        <v>0.18102856952321658</v>
      </c>
      <c r="N2465" s="1">
        <v>1.7921361454356588</v>
      </c>
      <c r="O2465" s="1">
        <v>0.16204444444444444</v>
      </c>
      <c r="P2465" s="1">
        <v>0.12640929346486723</v>
      </c>
      <c r="Q2465" s="1">
        <v>2.2448649308563366</v>
      </c>
      <c r="R2465" s="2">
        <f t="shared" si="155"/>
        <v>113.48399947920323</v>
      </c>
      <c r="S2465" s="2">
        <f t="shared" si="154"/>
        <v>2.6554585096694217</v>
      </c>
      <c r="T2465" s="2">
        <f t="shared" si="156"/>
        <v>7.099027422939213</v>
      </c>
      <c r="U2465" s="2">
        <f t="shared" si="157"/>
        <v>123.23848541181187</v>
      </c>
    </row>
    <row r="2466" spans="1:21" x14ac:dyDescent="0.25">
      <c r="A2466">
        <v>4184193</v>
      </c>
      <c r="B2466">
        <v>17</v>
      </c>
      <c r="C2466" s="1">
        <f>5.27572641452274*(10.3/7.3)</f>
        <v>7.4438331602170198</v>
      </c>
      <c r="D2466" s="1">
        <f>8.63091023135314*(10.3/7.3)</f>
        <v>12.177859641498266</v>
      </c>
      <c r="E2466" s="1">
        <f>30.4382661499334*(10.3/7.3)</f>
        <v>42.947142649906048</v>
      </c>
      <c r="F2466" s="1">
        <f>48.5312439304578*(38.9/42.5)</f>
        <v>44.420362091642552</v>
      </c>
      <c r="G2466" s="1">
        <v>1.3202958068657171</v>
      </c>
      <c r="H2466" s="1">
        <v>7.0730495628826491</v>
      </c>
      <c r="I2466" s="1">
        <v>30.581142526882491</v>
      </c>
      <c r="J2466" s="1">
        <v>3.4529694574917009E-2</v>
      </c>
      <c r="K2466" s="1">
        <v>2.2607761236894506</v>
      </c>
      <c r="L2466" s="1">
        <v>4.3416262880801266</v>
      </c>
      <c r="M2466" s="1">
        <v>0.16426885747110009</v>
      </c>
      <c r="N2466" s="1">
        <v>1.5601648007905273</v>
      </c>
      <c r="O2466" s="1">
        <v>0.14850509803921569</v>
      </c>
      <c r="P2466" s="1">
        <v>0.11476343354169281</v>
      </c>
      <c r="Q2466" s="1">
        <v>2.1100617917945272</v>
      </c>
      <c r="R2466" s="2">
        <f t="shared" si="155"/>
        <v>148.07374723168925</v>
      </c>
      <c r="S2466" s="2">
        <f t="shared" si="154"/>
        <v>2.4100692518060605</v>
      </c>
      <c r="T2466" s="2">
        <f t="shared" si="156"/>
        <v>6.2145650443809703</v>
      </c>
      <c r="U2466" s="2">
        <f t="shared" si="157"/>
        <v>156.69838152787628</v>
      </c>
    </row>
    <row r="2467" spans="1:21" x14ac:dyDescent="0.25">
      <c r="A2467">
        <v>4184201</v>
      </c>
      <c r="B2467">
        <v>15</v>
      </c>
      <c r="C2467" s="1">
        <f>5.51262413347074*(10.3/7.3)</f>
        <v>7.7780861061299529</v>
      </c>
      <c r="D2467" s="1">
        <f>6.88386588201545*(10.3/7.3)</f>
        <v>9.7128518609259054</v>
      </c>
      <c r="E2467" s="1">
        <f>24.403673011434*(10.3/7.3)</f>
        <v>34.432579728461711</v>
      </c>
      <c r="F2467" s="1">
        <f>45.6998582798415*(38.9/42.5)</f>
        <v>41.828811460843184</v>
      </c>
      <c r="G2467" s="1">
        <v>1.5337454172246925</v>
      </c>
      <c r="H2467" s="1">
        <v>8.268726105371071</v>
      </c>
      <c r="I2467" s="1">
        <v>33.573059058195291</v>
      </c>
      <c r="J2467" s="1">
        <v>4.5374557937689394E-2</v>
      </c>
      <c r="K2467" s="1">
        <v>2.5841934579533699</v>
      </c>
      <c r="L2467" s="1">
        <v>5.2620154924033864</v>
      </c>
      <c r="M2467" s="1">
        <v>0.18282689033654356</v>
      </c>
      <c r="N2467" s="1">
        <v>2.0284649036421567</v>
      </c>
      <c r="O2467" s="1">
        <v>0.17070577777777776</v>
      </c>
      <c r="P2467" s="1">
        <v>0.12757484874593675</v>
      </c>
      <c r="Q2467" s="1">
        <v>2.4511913060668618</v>
      </c>
      <c r="R2467" s="2">
        <f t="shared" si="155"/>
        <v>139.5790510432187</v>
      </c>
      <c r="S2467" s="2">
        <f t="shared" si="154"/>
        <v>2.7571428646369958</v>
      </c>
      <c r="T2467" s="2">
        <f t="shared" si="156"/>
        <v>7.6440130641598643</v>
      </c>
      <c r="U2467" s="2">
        <f t="shared" si="157"/>
        <v>149.98020697201554</v>
      </c>
    </row>
    <row r="2468" spans="1:21" x14ac:dyDescent="0.25">
      <c r="A2468">
        <v>4184273</v>
      </c>
      <c r="B2468">
        <v>17</v>
      </c>
      <c r="C2468" s="1">
        <f>9.48379649762261*(10.3/7.3)</f>
        <v>13.381247113083962</v>
      </c>
      <c r="D2468" s="1">
        <f>14.0125389630228*(10.3/7.3)</f>
        <v>19.771116619059576</v>
      </c>
      <c r="E2468" s="1">
        <f>49.3799994958524*(10.3/7.3)</f>
        <v>69.673149973600033</v>
      </c>
      <c r="F2468" s="1">
        <f>89.8492187177377*(38.9/42.5)</f>
        <v>82.238461367529325</v>
      </c>
      <c r="G2468" s="1">
        <v>3.009307522891028</v>
      </c>
      <c r="H2468" s="1">
        <v>8.7020086811194517</v>
      </c>
      <c r="I2468" s="1">
        <v>61.650549032164292</v>
      </c>
      <c r="J2468" s="1">
        <v>8.3354992208123729E-2</v>
      </c>
      <c r="K2468" s="1">
        <v>4.1819951593574487</v>
      </c>
      <c r="L2468" s="1">
        <v>8.3297283305979342</v>
      </c>
      <c r="M2468" s="1">
        <v>0.26441841320632509</v>
      </c>
      <c r="N2468" s="1">
        <v>3.2606617420691077</v>
      </c>
      <c r="O2468" s="1">
        <v>0.23011764705882354</v>
      </c>
      <c r="P2468" s="1">
        <v>0.15536537389504221</v>
      </c>
      <c r="Q2468" s="1">
        <v>4.8093955845290433</v>
      </c>
      <c r="R2468" s="2">
        <f t="shared" si="155"/>
        <v>263.23523589397672</v>
      </c>
      <c r="S2468" s="2">
        <f t="shared" si="154"/>
        <v>4.4207155254606141</v>
      </c>
      <c r="T2468" s="2">
        <f t="shared" si="156"/>
        <v>12.084926132932191</v>
      </c>
      <c r="U2468" s="2">
        <f t="shared" si="157"/>
        <v>279.74087755236951</v>
      </c>
    </row>
    <row r="2469" spans="1:21" x14ac:dyDescent="0.25">
      <c r="A2469">
        <v>4184281</v>
      </c>
      <c r="B2469">
        <v>57</v>
      </c>
      <c r="C2469" s="1">
        <f>9.06805630365935*(10.3/7.3)</f>
        <v>12.794654784615242</v>
      </c>
      <c r="D2469" s="1">
        <f>13.199493522206*(10.3/7.3)</f>
        <v>18.623942914893394</v>
      </c>
      <c r="E2469" s="1">
        <f>46.534899200679*(10.3/7.3)</f>
        <v>65.658830379040253</v>
      </c>
      <c r="F2469" s="1">
        <f>85.0173816546098*(38.9/42.5)</f>
        <v>77.815909326219298</v>
      </c>
      <c r="G2469" s="1">
        <v>2.8550807337978488</v>
      </c>
      <c r="H2469" s="1">
        <v>7.6536479925263459</v>
      </c>
      <c r="I2469" s="1">
        <v>58.713745421517231</v>
      </c>
      <c r="J2469" s="1">
        <v>7.7522141569640754E-2</v>
      </c>
      <c r="K2469" s="1">
        <v>4.3027129431156004</v>
      </c>
      <c r="L2469" s="1">
        <v>7.9491979554663015</v>
      </c>
      <c r="M2469" s="1">
        <v>0.25333396954667287</v>
      </c>
      <c r="N2469" s="1">
        <v>3.1860808828774352</v>
      </c>
      <c r="O2469" s="1">
        <v>0.22082900584795317</v>
      </c>
      <c r="P2469" s="1">
        <v>0.15160589104147529</v>
      </c>
      <c r="Q2469" s="1">
        <v>4.5629144147454248</v>
      </c>
      <c r="R2469" s="2">
        <f t="shared" si="155"/>
        <v>248.67872596735504</v>
      </c>
      <c r="S2469" s="2">
        <f t="shared" si="154"/>
        <v>4.5318409757267162</v>
      </c>
      <c r="T2469" s="2">
        <f t="shared" si="156"/>
        <v>11.609441813738364</v>
      </c>
      <c r="U2469" s="2">
        <f t="shared" si="157"/>
        <v>264.82000875682013</v>
      </c>
    </row>
    <row r="2470" spans="1:21" x14ac:dyDescent="0.25">
      <c r="A2470">
        <v>4184289</v>
      </c>
      <c r="B2470">
        <v>4</v>
      </c>
      <c r="C2470" s="1">
        <f>7.62728809951096*(10.3/7.3)</f>
        <v>10.761790058214096</v>
      </c>
      <c r="D2470" s="1">
        <f>10.9092493240509*(10.3/7.3)</f>
        <v>15.39250247092107</v>
      </c>
      <c r="E2470" s="1">
        <f>38.4758314711711*(10.3/7.3)</f>
        <v>54.287817007268785</v>
      </c>
      <c r="F2470" s="1">
        <f>70.8637820766584*(38.9/42.5)</f>
        <v>64.861202888988501</v>
      </c>
      <c r="G2470" s="1">
        <v>2.3988466443616074</v>
      </c>
      <c r="H2470" s="1">
        <v>8.4539796984451741</v>
      </c>
      <c r="I2470" s="1">
        <v>49.357695256571745</v>
      </c>
      <c r="J2470" s="1">
        <v>6.8542591892226945E-2</v>
      </c>
      <c r="K2470" s="1">
        <v>3.8785680139472065</v>
      </c>
      <c r="L2470" s="1">
        <v>5.7549545404020899</v>
      </c>
      <c r="M2470" s="1">
        <v>0.19869599502118696</v>
      </c>
      <c r="N2470" s="1">
        <v>2.3855629322420961</v>
      </c>
      <c r="O2470" s="1">
        <v>0.17822666666666667</v>
      </c>
      <c r="P2470" s="1">
        <v>0.12776412152369068</v>
      </c>
      <c r="Q2470" s="1">
        <v>3.8337731759203812</v>
      </c>
      <c r="R2470" s="2">
        <f t="shared" si="155"/>
        <v>209.34760720069136</v>
      </c>
      <c r="S2470" s="2">
        <f t="shared" si="154"/>
        <v>4.0748747273631247</v>
      </c>
      <c r="T2470" s="2">
        <f t="shared" si="156"/>
        <v>8.5174401343320412</v>
      </c>
      <c r="U2470" s="2">
        <f t="shared" si="157"/>
        <v>221.93992206238653</v>
      </c>
    </row>
    <row r="2471" spans="1:21" x14ac:dyDescent="0.25">
      <c r="A2471">
        <v>4184297</v>
      </c>
      <c r="B2471">
        <v>16</v>
      </c>
      <c r="C2471" s="1">
        <f>8.01661834062177*(10.3/7.3)</f>
        <v>11.311119028548523</v>
      </c>
      <c r="D2471" s="1">
        <f>11.2304431760406*(10.3/7.3)</f>
        <v>15.845693796331194</v>
      </c>
      <c r="E2471" s="1">
        <f>39.5947442966817*(10.3/7.3)</f>
        <v>55.866557021345429</v>
      </c>
      <c r="F2471" s="1">
        <f>75.2822848521748*(38.9/42.5)</f>
        <v>68.905432488225912</v>
      </c>
      <c r="G2471" s="1">
        <v>2.6547450787483875</v>
      </c>
      <c r="H2471" s="1">
        <v>8.2201033354753754</v>
      </c>
      <c r="I2471" s="1">
        <v>53.278361708872225</v>
      </c>
      <c r="J2471" s="1">
        <v>6.4227253671135853E-2</v>
      </c>
      <c r="K2471" s="1">
        <v>3.86179151525935</v>
      </c>
      <c r="L2471" s="1">
        <v>6.1606548556448573</v>
      </c>
      <c r="M2471" s="1">
        <v>0.20414510497743082</v>
      </c>
      <c r="N2471" s="1">
        <v>3.3987574142267043</v>
      </c>
      <c r="O2471" s="1">
        <v>0.18093333333333333</v>
      </c>
      <c r="P2471" s="1">
        <v>0.12877173189476088</v>
      </c>
      <c r="Q2471" s="1">
        <v>4.2427432765385236</v>
      </c>
      <c r="R2471" s="2">
        <f t="shared" si="155"/>
        <v>220.32475573408561</v>
      </c>
      <c r="S2471" s="2">
        <f t="shared" si="154"/>
        <v>4.0547905008252467</v>
      </c>
      <c r="T2471" s="2">
        <f t="shared" si="156"/>
        <v>9.9444907081823271</v>
      </c>
      <c r="U2471" s="2">
        <f t="shared" si="157"/>
        <v>234.32403694309318</v>
      </c>
    </row>
    <row r="2472" spans="1:21" x14ac:dyDescent="0.25">
      <c r="A2472">
        <v>4184305</v>
      </c>
      <c r="B2472">
        <v>48</v>
      </c>
      <c r="C2472" s="1">
        <f>9.80884849359541*(10.3/7.3)</f>
        <v>13.839882121100377</v>
      </c>
      <c r="D2472" s="1">
        <f>13.4959759559893*(10.3/7.3)</f>
        <v>19.042267444752021</v>
      </c>
      <c r="E2472" s="1">
        <f>47.5866913028725*(10.3/7.3)</f>
        <v>67.142865810902279</v>
      </c>
      <c r="F2472" s="1">
        <f>92.0149695989548*(38.9/42.5)</f>
        <v>84.22076040939632</v>
      </c>
      <c r="G2472" s="1">
        <v>3.3070312609497008</v>
      </c>
      <c r="H2472" s="1">
        <v>8.2399779276607177</v>
      </c>
      <c r="I2472" s="1">
        <v>65.806692435685406</v>
      </c>
      <c r="J2472" s="1">
        <v>8.7899380232030935E-2</v>
      </c>
      <c r="K2472" s="1">
        <v>4.1461514580647867</v>
      </c>
      <c r="L2472" s="1">
        <v>7.7264130861573426</v>
      </c>
      <c r="M2472" s="1">
        <v>0.23842821364170422</v>
      </c>
      <c r="N2472" s="1">
        <v>3.6223101650181211</v>
      </c>
      <c r="O2472" s="1">
        <v>0.20709222222222221</v>
      </c>
      <c r="P2472" s="1">
        <v>0.14357735185145859</v>
      </c>
      <c r="Q2472" s="1">
        <v>5.2852097777734981</v>
      </c>
      <c r="R2472" s="2">
        <f t="shared" si="155"/>
        <v>266.88468718822037</v>
      </c>
      <c r="S2472" s="2">
        <f t="shared" si="154"/>
        <v>4.3776281901482763</v>
      </c>
      <c r="T2472" s="2">
        <f t="shared" si="156"/>
        <v>11.794243687039391</v>
      </c>
      <c r="U2472" s="2">
        <f t="shared" si="157"/>
        <v>283.05655906540807</v>
      </c>
    </row>
    <row r="2473" spans="1:21" x14ac:dyDescent="0.25">
      <c r="A2473">
        <v>4184313</v>
      </c>
      <c r="B2473">
        <v>57</v>
      </c>
      <c r="C2473" s="1">
        <f>9.35475652877312*(10.3/7.3)</f>
        <v>13.199177020049742</v>
      </c>
      <c r="D2473" s="1">
        <f>12.5194184239899*(10.3/7.3)</f>
        <v>17.664384899602144</v>
      </c>
      <c r="E2473" s="1">
        <f>44.239366246624*(10.3/7.3)</f>
        <v>62.419927717839307</v>
      </c>
      <c r="F2473" s="1">
        <f>83.2759556600538*(38.9/42.5)</f>
        <v>76.221992357084503</v>
      </c>
      <c r="G2473" s="1">
        <v>2.8652831650338362</v>
      </c>
      <c r="H2473" s="1">
        <v>7.8489464313765538</v>
      </c>
      <c r="I2473" s="1">
        <v>59.729383724252543</v>
      </c>
      <c r="J2473" s="1">
        <v>8.7341063948186387E-2</v>
      </c>
      <c r="K2473" s="1">
        <v>3.9442077921368823</v>
      </c>
      <c r="L2473" s="1">
        <v>7.6081502882694689</v>
      </c>
      <c r="M2473" s="1">
        <v>0.23355806463566087</v>
      </c>
      <c r="N2473" s="1">
        <v>3.2499489645084387</v>
      </c>
      <c r="O2473" s="1">
        <v>0.20166456140350872</v>
      </c>
      <c r="P2473" s="1">
        <v>0.14138064288581784</v>
      </c>
      <c r="Q2473" s="1">
        <v>4.579219670145406</v>
      </c>
      <c r="R2473" s="2">
        <f t="shared" si="155"/>
        <v>244.52831498538404</v>
      </c>
      <c r="S2473" s="2">
        <f t="shared" si="154"/>
        <v>4.1729294989708867</v>
      </c>
      <c r="T2473" s="2">
        <f t="shared" si="156"/>
        <v>11.293321878817078</v>
      </c>
      <c r="U2473" s="2">
        <f t="shared" si="157"/>
        <v>259.994566363172</v>
      </c>
    </row>
    <row r="2474" spans="1:21" x14ac:dyDescent="0.25">
      <c r="A2474">
        <v>4184321</v>
      </c>
      <c r="B2474">
        <v>61</v>
      </c>
      <c r="C2474" s="1">
        <f>7.54547504477752*(10.3/7.3)</f>
        <v>10.646355200165541</v>
      </c>
      <c r="D2474" s="1">
        <f>10.0470065942264*(10.3/7.3)</f>
        <v>14.175913413771491</v>
      </c>
      <c r="E2474" s="1">
        <f>35.5025894764111*(10.3/7.3)</f>
        <v>50.092694740689623</v>
      </c>
      <c r="F2474" s="1">
        <f>67.2195957166059*(38.9/42.5)</f>
        <v>61.52570055002279</v>
      </c>
      <c r="G2474" s="1">
        <v>2.3293907593710723</v>
      </c>
      <c r="H2474" s="1">
        <v>8.7264098333487521</v>
      </c>
      <c r="I2474" s="1">
        <v>48.369154376254869</v>
      </c>
      <c r="J2474" s="1">
        <v>7.3912853172008089E-2</v>
      </c>
      <c r="K2474" s="1">
        <v>3.4930648153575836</v>
      </c>
      <c r="L2474" s="1">
        <v>6.8363597857968337</v>
      </c>
      <c r="M2474" s="1">
        <v>0.21073099310623253</v>
      </c>
      <c r="N2474" s="1">
        <v>2.9174688439977388</v>
      </c>
      <c r="O2474" s="1">
        <v>0.18537879781420763</v>
      </c>
      <c r="P2474" s="1">
        <v>0.13290369718567191</v>
      </c>
      <c r="Q2474" s="1">
        <v>3.7227706199994346</v>
      </c>
      <c r="R2474" s="2">
        <f t="shared" si="155"/>
        <v>199.58838949362359</v>
      </c>
      <c r="S2474" s="2">
        <f t="shared" si="154"/>
        <v>3.6998813657152638</v>
      </c>
      <c r="T2474" s="2">
        <f t="shared" si="156"/>
        <v>10.149938420715012</v>
      </c>
      <c r="U2474" s="2">
        <f t="shared" si="157"/>
        <v>213.43820928005388</v>
      </c>
    </row>
    <row r="2475" spans="1:21" x14ac:dyDescent="0.25">
      <c r="A2475">
        <v>4184385</v>
      </c>
      <c r="B2475">
        <v>23</v>
      </c>
      <c r="C2475" s="1">
        <f>4.15645207613287*(10.3/7.3)</f>
        <v>5.864583066324454</v>
      </c>
      <c r="D2475" s="1">
        <f>5.09468258905108*(10.3/7.3)</f>
        <v>7.1883877626337167</v>
      </c>
      <c r="E2475" s="1">
        <f>18.0205009247188*(10.3/7.3)</f>
        <v>25.426186236247116</v>
      </c>
      <c r="F2475" s="1">
        <f>36.552309932714*(38.9/42.5)</f>
        <v>33.456114267825285</v>
      </c>
      <c r="G2475" s="1">
        <v>1.3627390511907058</v>
      </c>
      <c r="H2475" s="1">
        <v>7.271690960747085</v>
      </c>
      <c r="I2475" s="1">
        <v>27.479973305072573</v>
      </c>
      <c r="J2475" s="1">
        <v>4.1270137691185378E-2</v>
      </c>
      <c r="K2475" s="1">
        <v>2.3053178557263583</v>
      </c>
      <c r="L2475" s="1">
        <v>5.3843109700821072</v>
      </c>
      <c r="M2475" s="1">
        <v>0.13210961982862077</v>
      </c>
      <c r="N2475" s="1">
        <v>2.1580901413823002</v>
      </c>
      <c r="O2475" s="1">
        <v>0.11249623188405798</v>
      </c>
      <c r="P2475" s="1">
        <v>9.0504802831809061E-2</v>
      </c>
      <c r="Q2475" s="1">
        <v>2.1778934608070664</v>
      </c>
      <c r="R2475" s="2">
        <f t="shared" si="155"/>
        <v>110.227568110848</v>
      </c>
      <c r="S2475" s="2">
        <f t="shared" si="154"/>
        <v>2.4370927962493529</v>
      </c>
      <c r="T2475" s="2">
        <f t="shared" si="156"/>
        <v>7.7870069631770864</v>
      </c>
      <c r="U2475" s="2">
        <f t="shared" si="157"/>
        <v>120.45166787027445</v>
      </c>
    </row>
    <row r="2476" spans="1:21" x14ac:dyDescent="0.25">
      <c r="A2476">
        <v>4184625</v>
      </c>
      <c r="B2476">
        <v>32</v>
      </c>
      <c r="C2476" s="1">
        <f>15.1004870562805*(10.3/7.3)</f>
        <v>21.306166668450565</v>
      </c>
      <c r="D2476" s="1">
        <f>13.2064246409435*(10.3/7.3)</f>
        <v>18.633722438591498</v>
      </c>
      <c r="E2476" s="1">
        <f>47.4803954327658*(10.3/7.3)</f>
        <v>66.992886706505104</v>
      </c>
      <c r="F2476" s="1">
        <f>101.073816717678*(38.9/42.5)</f>
        <v>92.512269889827238</v>
      </c>
      <c r="G2476" s="1">
        <v>3.6769976295324747</v>
      </c>
      <c r="H2476" s="1">
        <v>9.3451872036577424</v>
      </c>
      <c r="I2476" s="1">
        <v>86.459799224839514</v>
      </c>
      <c r="J2476" s="1">
        <v>3.4886030090440487E-2</v>
      </c>
      <c r="K2476" s="1">
        <v>2.4699419665650617</v>
      </c>
      <c r="L2476" s="1">
        <v>2.805525416746367</v>
      </c>
      <c r="M2476" s="1">
        <v>0.11947115773779134</v>
      </c>
      <c r="N2476" s="1">
        <v>1.4553746812264612</v>
      </c>
      <c r="O2476" s="1">
        <v>0.10946833333333333</v>
      </c>
      <c r="P2476" s="1">
        <v>8.3831937203902834E-2</v>
      </c>
      <c r="Q2476" s="1">
        <v>5.8764802298464263</v>
      </c>
      <c r="R2476" s="2">
        <f t="shared" si="155"/>
        <v>304.80350999125056</v>
      </c>
      <c r="S2476" s="2">
        <f t="shared" si="154"/>
        <v>2.5886599338594052</v>
      </c>
      <c r="T2476" s="2">
        <f t="shared" si="156"/>
        <v>4.4898395890439522</v>
      </c>
      <c r="U2476" s="2">
        <f t="shared" si="157"/>
        <v>311.88200951415388</v>
      </c>
    </row>
    <row r="2477" spans="1:21" x14ac:dyDescent="0.25">
      <c r="A2477">
        <v>4195925</v>
      </c>
      <c r="B2477">
        <v>18</v>
      </c>
      <c r="C2477" s="1">
        <f>0.93286579340668*(10.3/7.3)</f>
        <v>1.3162352975464118</v>
      </c>
      <c r="D2477" s="1">
        <f>1.22345922114074*(10.3/7.3)</f>
        <v>1.7262506818835122</v>
      </c>
      <c r="E2477" s="1">
        <f>4.27090562316819*(10.3/7.3)</f>
        <v>6.0260723176208657</v>
      </c>
      <c r="F2477" s="1">
        <f>10.865171365339*(38.9/42.5)</f>
        <v>9.9448274379220578</v>
      </c>
      <c r="G2477" s="1">
        <v>0.51270291494236486</v>
      </c>
      <c r="H2477" s="1">
        <v>2.1013322340415299</v>
      </c>
      <c r="I2477" s="1">
        <v>8.3395013776681903</v>
      </c>
      <c r="J2477" s="1">
        <v>5.8732540539080134E-2</v>
      </c>
      <c r="K2477" s="1">
        <v>5.4321128228143074</v>
      </c>
      <c r="L2477" s="1">
        <v>4.1723165531132018</v>
      </c>
      <c r="M2477" s="1">
        <v>0.26005743850930679</v>
      </c>
      <c r="N2477" s="1">
        <v>1.5050866224084043</v>
      </c>
      <c r="O2477" s="1">
        <v>2.9187555555555553</v>
      </c>
      <c r="P2477" s="1">
        <v>0.53838951205775798</v>
      </c>
      <c r="Q2477" s="1">
        <v>0.81938822022752433</v>
      </c>
      <c r="R2477" s="2">
        <f t="shared" si="155"/>
        <v>30.786310481852453</v>
      </c>
      <c r="S2477" s="2">
        <f t="shared" si="154"/>
        <v>6.0292348754111451</v>
      </c>
      <c r="T2477" s="2">
        <f t="shared" si="156"/>
        <v>8.8562161695864674</v>
      </c>
      <c r="U2477" s="2">
        <f t="shared" si="157"/>
        <v>45.671761526850069</v>
      </c>
    </row>
    <row r="2478" spans="1:21" x14ac:dyDescent="0.25">
      <c r="A2478">
        <v>4195933</v>
      </c>
      <c r="B2478">
        <v>8</v>
      </c>
      <c r="C2478" s="1">
        <f>0.949228948467859*(10.3/7.3)</f>
        <v>1.3393230368793083</v>
      </c>
      <c r="D2478" s="1">
        <f>1.25291792401591*(10.3/7.3)</f>
        <v>1.7678157010087467</v>
      </c>
      <c r="E2478" s="1">
        <f>4.3701092308102*(10.3/7.3)</f>
        <v>6.1660445311431653</v>
      </c>
      <c r="F2478" s="1">
        <f>11.2414717095618*(38.9/42.5)</f>
        <v>10.289252929457719</v>
      </c>
      <c r="G2478" s="1">
        <v>0.53546881514110023</v>
      </c>
      <c r="H2478" s="1">
        <v>3.3025693811538033</v>
      </c>
      <c r="I2478" s="1">
        <v>8.6303958715606228</v>
      </c>
      <c r="J2478" s="1">
        <v>6.0861332290722381E-2</v>
      </c>
      <c r="K2478" s="1">
        <v>5.4123437901137788</v>
      </c>
      <c r="L2478" s="1">
        <v>4.1325660868044292</v>
      </c>
      <c r="M2478" s="1">
        <v>0.26322535010915044</v>
      </c>
      <c r="N2478" s="1">
        <v>1.4957522475725611</v>
      </c>
      <c r="O2478" s="1">
        <v>3.9156666666666662</v>
      </c>
      <c r="P2478" s="1">
        <v>0.55204617420223057</v>
      </c>
      <c r="Q2478" s="1">
        <v>0.85577207899262675</v>
      </c>
      <c r="R2478" s="2">
        <f t="shared" si="155"/>
        <v>32.886642345337094</v>
      </c>
      <c r="S2478" s="2">
        <f t="shared" si="154"/>
        <v>6.0252512966067311</v>
      </c>
      <c r="T2478" s="2">
        <f t="shared" si="156"/>
        <v>9.8072103511528077</v>
      </c>
      <c r="U2478" s="2">
        <f t="shared" si="157"/>
        <v>48.719103993096638</v>
      </c>
    </row>
    <row r="2479" spans="1:21" x14ac:dyDescent="0.25">
      <c r="A2479">
        <v>4195941</v>
      </c>
      <c r="B2479">
        <v>15</v>
      </c>
      <c r="C2479" s="1">
        <f>0.90640594104406*(10.3/7.3)</f>
        <v>1.2789015332539477</v>
      </c>
      <c r="D2479" s="1">
        <f>1.22589129383761*(10.3/7.3)</f>
        <v>1.729682236510605</v>
      </c>
      <c r="E2479" s="1">
        <f>4.26307154143568*(10.3/7.3)</f>
        <v>6.0150187502448684</v>
      </c>
      <c r="F2479" s="1">
        <f>11.3931016375961*(38.9/42.5)</f>
        <v>10.428038910646764</v>
      </c>
      <c r="G2479" s="1">
        <v>0.55985784936460881</v>
      </c>
      <c r="H2479" s="1">
        <v>5.9894966766023492</v>
      </c>
      <c r="I2479" s="1">
        <v>8.7507806306281015</v>
      </c>
      <c r="J2479" s="1">
        <v>4.5448106802814525E-2</v>
      </c>
      <c r="K2479" s="1">
        <v>5.7404204218251618</v>
      </c>
      <c r="L2479" s="1">
        <v>3.9604019444075047</v>
      </c>
      <c r="M2479" s="1">
        <v>0.24285232186338115</v>
      </c>
      <c r="N2479" s="1">
        <v>1.6275627095274174</v>
      </c>
      <c r="O2479" s="1">
        <v>4.3250133333333336</v>
      </c>
      <c r="P2479" s="1">
        <v>0.6571776386844892</v>
      </c>
      <c r="Q2479" s="1">
        <v>0.89474998756901059</v>
      </c>
      <c r="R2479" s="2">
        <f t="shared" si="155"/>
        <v>35.646526574820257</v>
      </c>
      <c r="S2479" s="2">
        <f t="shared" si="154"/>
        <v>6.443046167312465</v>
      </c>
      <c r="T2479" s="2">
        <f t="shared" si="156"/>
        <v>10.155830309131638</v>
      </c>
      <c r="U2479" s="2">
        <f t="shared" si="157"/>
        <v>52.245403051264361</v>
      </c>
    </row>
    <row r="2480" spans="1:21" x14ac:dyDescent="0.25">
      <c r="A2480">
        <v>4196389</v>
      </c>
      <c r="B2480">
        <v>15</v>
      </c>
      <c r="C2480" s="1">
        <f>7.65569958172672*(10.3/7.3)</f>
        <v>10.801877492025376</v>
      </c>
      <c r="D2480" s="1">
        <f>21.5553259113567*(10.3/7.3)</f>
        <v>30.413679025612904</v>
      </c>
      <c r="E2480" s="1">
        <f>75.0346551559366*(10.3/7.3)</f>
        <v>105.87081480906129</v>
      </c>
      <c r="F2480" s="1">
        <f>113.331151775432*(38.9/42.5)</f>
        <v>103.73133656621866</v>
      </c>
      <c r="G2480" s="1">
        <v>3.1297219002541357</v>
      </c>
      <c r="H2480" s="1">
        <v>16.188555144547575</v>
      </c>
      <c r="I2480" s="1">
        <v>57.121917443008584</v>
      </c>
      <c r="J2480" s="1">
        <v>6.147893059758551E-2</v>
      </c>
      <c r="K2480" s="1">
        <v>3.744623419469888</v>
      </c>
      <c r="L2480" s="1">
        <v>7.8127779976902128</v>
      </c>
      <c r="M2480" s="1">
        <v>0.30614612289340432</v>
      </c>
      <c r="N2480" s="1">
        <v>2.687199418960081</v>
      </c>
      <c r="O2480" s="1">
        <v>0.26476088888888888</v>
      </c>
      <c r="P2480" s="1">
        <v>0.1812806273406265</v>
      </c>
      <c r="Q2480" s="1">
        <v>5.001838653374195</v>
      </c>
      <c r="R2480" s="2">
        <f t="shared" si="155"/>
        <v>332.25974103410272</v>
      </c>
      <c r="S2480" s="2">
        <f t="shared" si="154"/>
        <v>3.9873829774081</v>
      </c>
      <c r="T2480" s="2">
        <f t="shared" si="156"/>
        <v>11.070884428432587</v>
      </c>
      <c r="U2480" s="2">
        <f t="shared" si="157"/>
        <v>347.31800843994341</v>
      </c>
    </row>
    <row r="2481" spans="1:21" x14ac:dyDescent="0.25">
      <c r="A2481">
        <v>4196397</v>
      </c>
      <c r="B2481">
        <v>10</v>
      </c>
      <c r="C2481" s="1">
        <f>5.9982746098504*(10.3/7.3)</f>
        <v>8.4633189700628879</v>
      </c>
      <c r="D2481" s="1">
        <f>9.7563975072299*(10.3/7.3)</f>
        <v>13.765875934858622</v>
      </c>
      <c r="E2481" s="1">
        <f>34.1021993935194*(10.3/7.3)</f>
        <v>48.116801884006783</v>
      </c>
      <c r="F2481" s="1">
        <f>70.0051948571879*(38.9/42.5)</f>
        <v>64.075343057520215</v>
      </c>
      <c r="G2481" s="1">
        <v>2.7911705962841484</v>
      </c>
      <c r="H2481" s="1">
        <v>16.30365982492242</v>
      </c>
      <c r="I2481" s="1">
        <v>48.314981636496327</v>
      </c>
      <c r="J2481" s="1">
        <v>4.8491332537491522E-2</v>
      </c>
      <c r="K2481" s="1">
        <v>3.2202334441132692</v>
      </c>
      <c r="L2481" s="1">
        <v>6.451168044683337</v>
      </c>
      <c r="M2481" s="1">
        <v>0.24263027904519957</v>
      </c>
      <c r="N2481" s="1">
        <v>2.2640951737952681</v>
      </c>
      <c r="O2481" s="1">
        <v>0.21246399999999999</v>
      </c>
      <c r="P2481" s="1">
        <v>0.16013014602558415</v>
      </c>
      <c r="Q2481" s="1">
        <v>4.4607749255682787</v>
      </c>
      <c r="R2481" s="2">
        <f t="shared" si="155"/>
        <v>206.2919268297197</v>
      </c>
      <c r="S2481" s="2">
        <f t="shared" si="154"/>
        <v>3.428854922676345</v>
      </c>
      <c r="T2481" s="2">
        <f t="shared" si="156"/>
        <v>9.1703574975238062</v>
      </c>
      <c r="U2481" s="2">
        <f t="shared" si="157"/>
        <v>218.89113924991986</v>
      </c>
    </row>
    <row r="2482" spans="1:21" x14ac:dyDescent="0.25">
      <c r="A2482">
        <v>4196405</v>
      </c>
      <c r="B2482">
        <v>44</v>
      </c>
      <c r="C2482" s="1">
        <f>7.25026869606374*(10.3/7.3)</f>
        <v>10.229831173898154</v>
      </c>
      <c r="D2482" s="1">
        <f>7.5660548722885*(10.3/7.3)</f>
        <v>10.675392491037197</v>
      </c>
      <c r="E2482" s="1">
        <f>27.0222161789151*(10.3/7.3)</f>
        <v>38.127236526414499</v>
      </c>
      <c r="F2482" s="1">
        <f>52.5158914200209*(38.9/42.5)</f>
        <v>48.067486499736788</v>
      </c>
      <c r="G2482" s="1">
        <v>1.7724636555972457</v>
      </c>
      <c r="H2482" s="1">
        <v>8.6746869174253263</v>
      </c>
      <c r="I2482" s="1">
        <v>41.585952300025674</v>
      </c>
      <c r="J2482" s="1">
        <v>3.8529640225829193E-2</v>
      </c>
      <c r="K2482" s="1">
        <v>2.6091729058516009</v>
      </c>
      <c r="L2482" s="1">
        <v>5.2019407047272956</v>
      </c>
      <c r="M2482" s="1">
        <v>0.19277788253327402</v>
      </c>
      <c r="N2482" s="1">
        <v>1.8304535904572787</v>
      </c>
      <c r="O2482" s="1">
        <v>0.1709830303030303</v>
      </c>
      <c r="P2482" s="1">
        <v>0.13413359398899691</v>
      </c>
      <c r="Q2482" s="1">
        <v>2.8327044724156911</v>
      </c>
      <c r="R2482" s="2">
        <f t="shared" si="155"/>
        <v>161.96575403655058</v>
      </c>
      <c r="S2482" s="2">
        <f t="shared" si="154"/>
        <v>2.7818361400664271</v>
      </c>
      <c r="T2482" s="2">
        <f t="shared" si="156"/>
        <v>7.396155208020879</v>
      </c>
      <c r="U2482" s="2">
        <f t="shared" si="157"/>
        <v>172.14374538463787</v>
      </c>
    </row>
    <row r="2483" spans="1:21" x14ac:dyDescent="0.25">
      <c r="A2483">
        <v>4196413</v>
      </c>
      <c r="B2483">
        <v>42</v>
      </c>
      <c r="C2483" s="1">
        <f>3.63187125565946*(10.3/7.3)</f>
        <v>5.1244210867523945</v>
      </c>
      <c r="D2483" s="1">
        <f>5.1164719002977*(10.3/7.3)</f>
        <v>7.2191315853515485</v>
      </c>
      <c r="E2483" s="1">
        <f>18.0027241068037*(10.3/7.3)</f>
        <v>25.401103876722978</v>
      </c>
      <c r="F2483" s="1">
        <f>35.8482915989173*(38.9/42.5)</f>
        <v>32.811730428185491</v>
      </c>
      <c r="G2483" s="1">
        <v>1.3446355289955241</v>
      </c>
      <c r="H2483" s="1">
        <v>8.1335468872154557</v>
      </c>
      <c r="I2483" s="1">
        <v>25.627563327321262</v>
      </c>
      <c r="J2483" s="1">
        <v>3.852364279714203E-2</v>
      </c>
      <c r="K2483" s="1">
        <v>2.5593079290292078</v>
      </c>
      <c r="L2483" s="1">
        <v>5.1545942550658843</v>
      </c>
      <c r="M2483" s="1">
        <v>0.1872872552463663</v>
      </c>
      <c r="N2483" s="1">
        <v>1.8181579502254557</v>
      </c>
      <c r="O2483" s="1">
        <v>0.16691682539682542</v>
      </c>
      <c r="P2483" s="1">
        <v>0.13107162951093554</v>
      </c>
      <c r="Q2483" s="1">
        <v>2.148960891088739</v>
      </c>
      <c r="R2483" s="2">
        <f t="shared" si="155"/>
        <v>107.8110936116334</v>
      </c>
      <c r="S2483" s="2">
        <f t="shared" si="154"/>
        <v>2.7289032013372854</v>
      </c>
      <c r="T2483" s="2">
        <f t="shared" si="156"/>
        <v>7.3269562859345321</v>
      </c>
      <c r="U2483" s="2">
        <f t="shared" si="157"/>
        <v>117.86695309890521</v>
      </c>
    </row>
    <row r="2484" spans="1:21" x14ac:dyDescent="0.25">
      <c r="A2484">
        <v>4196421</v>
      </c>
      <c r="B2484">
        <v>12</v>
      </c>
      <c r="C2484" s="1">
        <f>4.2910631621287*(10.3/7.3)</f>
        <v>6.0545137767021373</v>
      </c>
      <c r="D2484" s="1">
        <f>6.27150520090992*(10.3/7.3)</f>
        <v>8.8488361053934508</v>
      </c>
      <c r="E2484" s="1">
        <f>22.0851203486887*(10.3/7.3)</f>
        <v>31.161197204314178</v>
      </c>
      <c r="F2484" s="1">
        <f>41.4359790889835*(38.9/42.5)</f>
        <v>37.92610791909317</v>
      </c>
      <c r="G2484" s="1">
        <v>1.447676992018293</v>
      </c>
      <c r="H2484" s="1">
        <v>6.4259315240391857</v>
      </c>
      <c r="I2484" s="1">
        <v>28.798385322499033</v>
      </c>
      <c r="J2484" s="1">
        <v>4.2481541616017915E-2</v>
      </c>
      <c r="K2484" s="1">
        <v>2.7323392083367892</v>
      </c>
      <c r="L2484" s="1">
        <v>5.4520768634730565</v>
      </c>
      <c r="M2484" s="1">
        <v>0.1975466912875036</v>
      </c>
      <c r="N2484" s="1">
        <v>2.0165650841833647</v>
      </c>
      <c r="O2484" s="1">
        <v>0.17618666666666669</v>
      </c>
      <c r="P2484" s="1">
        <v>0.13689796760598807</v>
      </c>
      <c r="Q2484" s="1">
        <v>2.3136390283397406</v>
      </c>
      <c r="R2484" s="2">
        <f t="shared" si="155"/>
        <v>122.97628787239917</v>
      </c>
      <c r="S2484" s="2">
        <f t="shared" si="154"/>
        <v>2.9117187175587951</v>
      </c>
      <c r="T2484" s="2">
        <f t="shared" si="156"/>
        <v>7.8423753056105916</v>
      </c>
      <c r="U2484" s="2">
        <f t="shared" si="157"/>
        <v>133.73038189556857</v>
      </c>
    </row>
    <row r="2485" spans="1:21" x14ac:dyDescent="0.25">
      <c r="A2485">
        <v>4196429</v>
      </c>
      <c r="B2485">
        <v>10</v>
      </c>
      <c r="C2485" s="1">
        <f>5.92379404198572*(10.3/7.3)</f>
        <v>8.3582299496510863</v>
      </c>
      <c r="D2485" s="1">
        <f>7.8090497298865*(10.3/7.3)</f>
        <v>11.018248249017937</v>
      </c>
      <c r="E2485" s="1">
        <f>27.6430453712795*(10.3/7.3)</f>
        <v>39.003201003312228</v>
      </c>
      <c r="F2485" s="1">
        <f>50.4847140446914*(38.9/42.5)</f>
        <v>46.20836179619991</v>
      </c>
      <c r="G2485" s="1">
        <v>1.6536296313497079</v>
      </c>
      <c r="H2485" s="1">
        <v>7.5797775661235862</v>
      </c>
      <c r="I2485" s="1">
        <v>36.134783038534572</v>
      </c>
      <c r="J2485" s="1">
        <v>4.5046699727381657E-2</v>
      </c>
      <c r="K2485" s="1">
        <v>2.5817655604568079</v>
      </c>
      <c r="L2485" s="1">
        <v>5.2147248523617522</v>
      </c>
      <c r="M2485" s="1">
        <v>0.18476979029848489</v>
      </c>
      <c r="N2485" s="1">
        <v>1.9717619965746063</v>
      </c>
      <c r="O2485" s="1">
        <v>0.17021866666666663</v>
      </c>
      <c r="P2485" s="1">
        <v>0.12765379272664229</v>
      </c>
      <c r="Q2485" s="1">
        <v>2.642787082065746</v>
      </c>
      <c r="R2485" s="2">
        <f t="shared" si="155"/>
        <v>152.59901831625476</v>
      </c>
      <c r="S2485" s="2">
        <f t="shared" si="154"/>
        <v>2.7544660529108316</v>
      </c>
      <c r="T2485" s="2">
        <f t="shared" si="156"/>
        <v>7.5414753059015105</v>
      </c>
      <c r="U2485" s="2">
        <f t="shared" si="157"/>
        <v>162.8949596750671</v>
      </c>
    </row>
    <row r="2486" spans="1:21" x14ac:dyDescent="0.25">
      <c r="A2486">
        <v>4196509</v>
      </c>
      <c r="B2486">
        <v>54</v>
      </c>
      <c r="C2486" s="1">
        <f>9.71005921791335*(10.3/7.3)</f>
        <v>13.70049451294623</v>
      </c>
      <c r="D2486" s="1">
        <f>14.2227486989171*(10.3/7.3)</f>
        <v>20.06771391765022</v>
      </c>
      <c r="E2486" s="1">
        <f>50.1355438522477*(10.3/7.3)</f>
        <v>70.739192010705636</v>
      </c>
      <c r="F2486" s="1">
        <f>91.3264743959157*(38.9/42.5)</f>
        <v>83.590584800026349</v>
      </c>
      <c r="G2486" s="1">
        <v>3.0578263419821337</v>
      </c>
      <c r="H2486" s="1">
        <v>10.151717749207398</v>
      </c>
      <c r="I2486" s="1">
        <v>62.876991437050961</v>
      </c>
      <c r="J2486" s="1">
        <v>8.4006162206935728E-2</v>
      </c>
      <c r="K2486" s="1">
        <v>4.1290914184321599</v>
      </c>
      <c r="L2486" s="1">
        <v>8.1500949788570107</v>
      </c>
      <c r="M2486" s="1">
        <v>0.26440426149090307</v>
      </c>
      <c r="N2486" s="1">
        <v>3.2314210989913676</v>
      </c>
      <c r="O2486" s="1">
        <v>0.22826370370370375</v>
      </c>
      <c r="P2486" s="1">
        <v>0.15495552430520942</v>
      </c>
      <c r="Q2486" s="1">
        <v>4.8869370762271576</v>
      </c>
      <c r="R2486" s="2">
        <f t="shared" si="155"/>
        <v>269.07145784579609</v>
      </c>
      <c r="S2486" s="2">
        <f t="shared" si="154"/>
        <v>4.3680531049443045</v>
      </c>
      <c r="T2486" s="2">
        <f t="shared" si="156"/>
        <v>11.874184043042984</v>
      </c>
      <c r="U2486" s="2">
        <f t="shared" si="157"/>
        <v>285.31369499378337</v>
      </c>
    </row>
    <row r="2487" spans="1:21" x14ac:dyDescent="0.25">
      <c r="A2487">
        <v>4196517</v>
      </c>
      <c r="B2487">
        <v>53</v>
      </c>
      <c r="C2487" s="1">
        <f>6.73421265959187*(10.3/7.3)</f>
        <v>9.5016973142186725</v>
      </c>
      <c r="D2487" s="1">
        <f>9.71168172995418*(10.3/7.3)</f>
        <v>13.702783810757269</v>
      </c>
      <c r="E2487" s="1">
        <f>34.241428516648*(10.3/7.3)</f>
        <v>48.313248454996483</v>
      </c>
      <c r="F2487" s="1">
        <f>63.0420283270229*(38.9/42.5)</f>
        <v>57.701997692263276</v>
      </c>
      <c r="G2487" s="1">
        <v>2.1369913163141097</v>
      </c>
      <c r="H2487" s="1">
        <v>7.5691615867739879</v>
      </c>
      <c r="I2487" s="1">
        <v>43.778183586890805</v>
      </c>
      <c r="J2487" s="1">
        <v>6.5970609961990723E-2</v>
      </c>
      <c r="K2487" s="1">
        <v>3.9369361310919078</v>
      </c>
      <c r="L2487" s="1">
        <v>6.3287557476911287</v>
      </c>
      <c r="M2487" s="1">
        <v>0.21180234262561773</v>
      </c>
      <c r="N2487" s="1">
        <v>2.8108477214816627</v>
      </c>
      <c r="O2487" s="1">
        <v>0.19005383647798735</v>
      </c>
      <c r="P2487" s="1">
        <v>0.13625257179033923</v>
      </c>
      <c r="Q2487" s="1">
        <v>3.4152829256161601</v>
      </c>
      <c r="R2487" s="2">
        <f t="shared" si="155"/>
        <v>186.11934668783078</v>
      </c>
      <c r="S2487" s="2">
        <f t="shared" si="154"/>
        <v>4.1391593128442379</v>
      </c>
      <c r="T2487" s="2">
        <f t="shared" si="156"/>
        <v>9.5414596482763976</v>
      </c>
      <c r="U2487" s="2">
        <f t="shared" si="157"/>
        <v>199.79996564895143</v>
      </c>
    </row>
    <row r="2488" spans="1:21" x14ac:dyDescent="0.25">
      <c r="A2488">
        <v>4196533</v>
      </c>
      <c r="B2488">
        <v>27</v>
      </c>
      <c r="C2488" s="1">
        <f>6.38624033273433*(10.3/7.3)</f>
        <v>9.0107226612552882</v>
      </c>
      <c r="D2488" s="1">
        <f>9.1865126300199*(10.3/7.3)</f>
        <v>12.961791793041773</v>
      </c>
      <c r="E2488" s="1">
        <f>32.2431581455571*(10.3/7.3)</f>
        <v>45.49377108208737</v>
      </c>
      <c r="F2488" s="1">
        <f>66.9033510613222*(38.9/42.5)</f>
        <v>61.23624367730433</v>
      </c>
      <c r="G2488" s="1">
        <v>2.6448997744360461</v>
      </c>
      <c r="H2488" s="1">
        <v>7.7510287469882373</v>
      </c>
      <c r="I2488" s="1">
        <v>48.008546931580923</v>
      </c>
      <c r="J2488" s="1">
        <v>5.8224299022382194E-2</v>
      </c>
      <c r="K2488" s="1">
        <v>3.4995240955311622</v>
      </c>
      <c r="L2488" s="1">
        <v>5.5973592137387191</v>
      </c>
      <c r="M2488" s="1">
        <v>0.18960982490406256</v>
      </c>
      <c r="N2488" s="1">
        <v>3.492025466503561</v>
      </c>
      <c r="O2488" s="1">
        <v>0.17020641975308642</v>
      </c>
      <c r="P2488" s="1">
        <v>0.12377576837245513</v>
      </c>
      <c r="Q2488" s="1">
        <v>4.227008771929758</v>
      </c>
      <c r="R2488" s="2">
        <f t="shared" si="155"/>
        <v>191.33401343862371</v>
      </c>
      <c r="S2488" s="2">
        <f t="shared" si="154"/>
        <v>3.6815241629259994</v>
      </c>
      <c r="T2488" s="2">
        <f t="shared" si="156"/>
        <v>9.4492009248994293</v>
      </c>
      <c r="U2488" s="2">
        <f t="shared" si="157"/>
        <v>204.46473852644914</v>
      </c>
    </row>
    <row r="2489" spans="1:21" x14ac:dyDescent="0.25">
      <c r="A2489">
        <v>4196541</v>
      </c>
      <c r="B2489">
        <v>45</v>
      </c>
      <c r="C2489" s="1">
        <f>9.92534331524293*(10.3/7.3)</f>
        <v>14.004251526986604</v>
      </c>
      <c r="D2489" s="1">
        <f>13.4872719043869*(10.3/7.3)</f>
        <v>19.029986385641845</v>
      </c>
      <c r="E2489" s="1">
        <f>47.6256298530613*(10.3/7.3)</f>
        <v>67.197806505004365</v>
      </c>
      <c r="F2489" s="1">
        <f>89.8165268322742*(38.9/42.5)</f>
        <v>82.208538677069797</v>
      </c>
      <c r="G2489" s="1">
        <v>3.1096935112595037</v>
      </c>
      <c r="H2489" s="1">
        <v>7.5227104272477341</v>
      </c>
      <c r="I2489" s="1">
        <v>64.103801803588894</v>
      </c>
      <c r="J2489" s="1">
        <v>8.3367072858820779E-2</v>
      </c>
      <c r="K2489" s="1">
        <v>3.9687257703882426</v>
      </c>
      <c r="L2489" s="1">
        <v>7.4579031666990181</v>
      </c>
      <c r="M2489" s="1">
        <v>0.23635982475918865</v>
      </c>
      <c r="N2489" s="1">
        <v>3.6310348426611605</v>
      </c>
      <c r="O2489" s="1">
        <v>0.20458074074074076</v>
      </c>
      <c r="P2489" s="1">
        <v>0.14231852639520845</v>
      </c>
      <c r="Q2489" s="1">
        <v>4.9698298125151927</v>
      </c>
      <c r="R2489" s="2">
        <f t="shared" si="155"/>
        <v>262.14661864931395</v>
      </c>
      <c r="S2489" s="2">
        <f t="shared" si="154"/>
        <v>4.194411369642272</v>
      </c>
      <c r="T2489" s="2">
        <f t="shared" si="156"/>
        <v>11.529878574860108</v>
      </c>
      <c r="U2489" s="2">
        <f t="shared" si="157"/>
        <v>277.87090859381635</v>
      </c>
    </row>
    <row r="2490" spans="1:21" x14ac:dyDescent="0.25">
      <c r="A2490">
        <v>4196549</v>
      </c>
      <c r="B2490">
        <v>37</v>
      </c>
      <c r="C2490" s="1">
        <f>8.31105824993216*(10.3/7.3)</f>
        <v>11.726561640315234</v>
      </c>
      <c r="D2490" s="1">
        <f>11.1430571513252*(10.3/7.3)</f>
        <v>15.722395706664276</v>
      </c>
      <c r="E2490" s="1">
        <f>39.3607916113447*(10.3/7.3)</f>
        <v>55.536459396828789</v>
      </c>
      <c r="F2490" s="1">
        <f>74.6934642132806*(38.9/42.5)</f>
        <v>68.366488421096847</v>
      </c>
      <c r="G2490" s="1">
        <v>2.6009163667725854</v>
      </c>
      <c r="H2490" s="1">
        <v>7.8619861834428661</v>
      </c>
      <c r="I2490" s="1">
        <v>53.646198980831372</v>
      </c>
      <c r="J2490" s="1">
        <v>7.1475505797334513E-2</v>
      </c>
      <c r="K2490" s="1">
        <v>3.6053302827442915</v>
      </c>
      <c r="L2490" s="1">
        <v>6.8709893125514565</v>
      </c>
      <c r="M2490" s="1">
        <v>0.21828304464233922</v>
      </c>
      <c r="N2490" s="1">
        <v>3.276039066031565</v>
      </c>
      <c r="O2490" s="1">
        <v>0.1901275675675676</v>
      </c>
      <c r="P2490" s="1">
        <v>0.13485708481325268</v>
      </c>
      <c r="Q2490" s="1">
        <v>4.1567156546593891</v>
      </c>
      <c r="R2490" s="2">
        <f t="shared" si="155"/>
        <v>219.61772235061136</v>
      </c>
      <c r="S2490" s="2">
        <f t="shared" si="154"/>
        <v>3.8116628733548787</v>
      </c>
      <c r="T2490" s="2">
        <f t="shared" si="156"/>
        <v>10.555438990792929</v>
      </c>
      <c r="U2490" s="2">
        <f t="shared" si="157"/>
        <v>233.98482421475919</v>
      </c>
    </row>
    <row r="2491" spans="1:21" x14ac:dyDescent="0.25">
      <c r="A2491">
        <v>4196557</v>
      </c>
      <c r="B2491">
        <v>8</v>
      </c>
      <c r="C2491" s="1">
        <f>8.66135320281934*(10.3/7.3)</f>
        <v>12.22081342315605</v>
      </c>
      <c r="D2491" s="1">
        <f>11.4886390298877*(10.3/7.3)</f>
        <v>16.209997535321005</v>
      </c>
      <c r="E2491" s="1">
        <f>40.6081900230949*(10.3/7.3)</f>
        <v>57.29648729285995</v>
      </c>
      <c r="F2491" s="1">
        <f>76.6472913619824*(38.9/42.5)</f>
        <v>70.154814917202742</v>
      </c>
      <c r="G2491" s="1">
        <v>2.641869685823266</v>
      </c>
      <c r="H2491" s="1">
        <v>7.971530971241763</v>
      </c>
      <c r="I2491" s="1">
        <v>55.186244372359077</v>
      </c>
      <c r="J2491" s="1">
        <v>8.4330492271897192E-2</v>
      </c>
      <c r="K2491" s="1">
        <v>3.3873005398899481</v>
      </c>
      <c r="L2491" s="1">
        <v>6.618149285151631</v>
      </c>
      <c r="M2491" s="1">
        <v>0.20869907305147559</v>
      </c>
      <c r="N2491" s="1">
        <v>2.7229816731971366</v>
      </c>
      <c r="O2491" s="1">
        <v>0.18424666666666667</v>
      </c>
      <c r="P2491" s="1">
        <v>0.1304400147925093</v>
      </c>
      <c r="Q2491" s="1">
        <v>4.222166164557736</v>
      </c>
      <c r="R2491" s="2">
        <f t="shared" si="155"/>
        <v>225.90392436252159</v>
      </c>
      <c r="S2491" s="2">
        <f t="shared" si="154"/>
        <v>3.6020710469543542</v>
      </c>
      <c r="T2491" s="2">
        <f t="shared" si="156"/>
        <v>9.7340766980669091</v>
      </c>
      <c r="U2491" s="2">
        <f t="shared" si="157"/>
        <v>239.24007210754286</v>
      </c>
    </row>
    <row r="2492" spans="1:21" x14ac:dyDescent="0.25">
      <c r="A2492">
        <v>4196565</v>
      </c>
      <c r="B2492">
        <v>10</v>
      </c>
      <c r="C2492" s="1">
        <f>6.27548570735743*(10.3/7.3)</f>
        <v>8.8544524364084261</v>
      </c>
      <c r="D2492" s="1">
        <f>8.27781043490165*(10.3/7.3)</f>
        <v>11.679650339655753</v>
      </c>
      <c r="E2492" s="1">
        <f>29.2676108146194*(10.3/7.3)</f>
        <v>41.295396080901405</v>
      </c>
      <c r="F2492" s="1">
        <f>55.1621974290727*(38.9/42.5)</f>
        <v>50.489634823315917</v>
      </c>
      <c r="G2492" s="1">
        <v>1.8948286588136416</v>
      </c>
      <c r="H2492" s="1">
        <v>7.8075235971376262</v>
      </c>
      <c r="I2492" s="1">
        <v>39.781834354235073</v>
      </c>
      <c r="J2492" s="1">
        <v>6.9335646674451037E-2</v>
      </c>
      <c r="K2492" s="1">
        <v>2.9589647666905767</v>
      </c>
      <c r="L2492" s="1">
        <v>5.4396023506362754</v>
      </c>
      <c r="M2492" s="1">
        <v>0.18263080122588934</v>
      </c>
      <c r="N2492" s="1">
        <v>2.9477888464536015</v>
      </c>
      <c r="O2492" s="1">
        <v>0.15946133333333332</v>
      </c>
      <c r="P2492" s="1">
        <v>0.11694964606015375</v>
      </c>
      <c r="Q2492" s="1">
        <v>3.0282649798391561</v>
      </c>
      <c r="R2492" s="2">
        <f t="shared" si="155"/>
        <v>164.83158527030702</v>
      </c>
      <c r="S2492" s="2">
        <f t="shared" si="154"/>
        <v>3.1452500594251815</v>
      </c>
      <c r="T2492" s="2">
        <f t="shared" si="156"/>
        <v>8.7294833316490994</v>
      </c>
      <c r="U2492" s="2">
        <f t="shared" si="157"/>
        <v>176.70631866138132</v>
      </c>
    </row>
    <row r="2493" spans="1:21" x14ac:dyDescent="0.25">
      <c r="A2493">
        <v>4196613</v>
      </c>
      <c r="B2493">
        <v>18</v>
      </c>
      <c r="C2493" s="1">
        <f>4.47845945721068*(10.3/7.3)</f>
        <v>6.3189222478452054</v>
      </c>
      <c r="D2493" s="1">
        <f>5.39614299139903*(10.3/7.3)</f>
        <v>7.6137360015630149</v>
      </c>
      <c r="E2493" s="1">
        <f>19.1230173384604*(10.3/7.3)</f>
        <v>26.981791587142823</v>
      </c>
      <c r="F2493" s="1">
        <f>37.7251910721906*(38.9/42.5)</f>
        <v>34.529645475487392</v>
      </c>
      <c r="G2493" s="1">
        <v>1.3512605658313337</v>
      </c>
      <c r="H2493" s="1">
        <v>9.2195713833313544</v>
      </c>
      <c r="I2493" s="1">
        <v>28.379845405416354</v>
      </c>
      <c r="J2493" s="1">
        <v>4.9023618875480374E-2</v>
      </c>
      <c r="K2493" s="1">
        <v>2.5338510278537578</v>
      </c>
      <c r="L2493" s="1">
        <v>4.7050714901405115</v>
      </c>
      <c r="M2493" s="1">
        <v>0.13965663161359818</v>
      </c>
      <c r="N2493" s="1">
        <v>2.4521967853734434</v>
      </c>
      <c r="O2493" s="1">
        <v>0.12031703703703706</v>
      </c>
      <c r="P2493" s="1">
        <v>9.5759952786626579E-2</v>
      </c>
      <c r="Q2493" s="1">
        <v>2.1595488495021335</v>
      </c>
      <c r="R2493" s="2">
        <f t="shared" si="155"/>
        <v>116.55432151611961</v>
      </c>
      <c r="S2493" s="2">
        <f t="shared" si="154"/>
        <v>2.6786345995158647</v>
      </c>
      <c r="T2493" s="2">
        <f t="shared" si="156"/>
        <v>7.4172419441645907</v>
      </c>
      <c r="U2493" s="2">
        <f t="shared" si="157"/>
        <v>126.65019805980006</v>
      </c>
    </row>
    <row r="2494" spans="1:21" x14ac:dyDescent="0.25">
      <c r="A2494">
        <v>4196621</v>
      </c>
      <c r="B2494">
        <v>2</v>
      </c>
      <c r="C2494" s="1">
        <f>4.50667179352306*(10.3/7.3)</f>
        <v>6.358728694970889</v>
      </c>
      <c r="D2494" s="1">
        <f>5.61985067296827*(10.3/7.3)</f>
        <v>7.9293783467908421</v>
      </c>
      <c r="E2494" s="1">
        <f>19.8271380880207*(10.3/7.3)</f>
        <v>27.975277028303235</v>
      </c>
      <c r="F2494" s="1">
        <f>42.0023174268863*(38.9/42.5)</f>
        <v>38.444474068373609</v>
      </c>
      <c r="G2494" s="1">
        <v>1.6550244655832627</v>
      </c>
      <c r="H2494" s="1">
        <v>9.4155180668488434</v>
      </c>
      <c r="I2494" s="1">
        <v>31.658767286959385</v>
      </c>
      <c r="J2494" s="1">
        <v>4.3772889959464698E-2</v>
      </c>
      <c r="K2494" s="1">
        <v>2.4221618645757355</v>
      </c>
      <c r="L2494" s="1">
        <v>5.6452879430469629</v>
      </c>
      <c r="M2494" s="1">
        <v>0.13886820424123825</v>
      </c>
      <c r="N2494" s="1">
        <v>2.0229895399706241</v>
      </c>
      <c r="O2494" s="1">
        <v>0.11869333333333332</v>
      </c>
      <c r="P2494" s="1">
        <v>9.4752300898065411E-2</v>
      </c>
      <c r="Q2494" s="1">
        <v>2.6450162691969981</v>
      </c>
      <c r="R2494" s="2">
        <f t="shared" si="155"/>
        <v>126.08218422702708</v>
      </c>
      <c r="S2494" s="2">
        <f t="shared" si="154"/>
        <v>2.5606870554332652</v>
      </c>
      <c r="T2494" s="2">
        <f t="shared" si="156"/>
        <v>7.9258390205921589</v>
      </c>
      <c r="U2494" s="2">
        <f t="shared" si="157"/>
        <v>136.56871030305251</v>
      </c>
    </row>
    <row r="2495" spans="1:21" x14ac:dyDescent="0.25">
      <c r="A2495">
        <v>4196853</v>
      </c>
      <c r="B2495">
        <v>2</v>
      </c>
      <c r="C2495" s="1">
        <f>17.3256935941894*(10.3/7.3)</f>
        <v>24.445841646595994</v>
      </c>
      <c r="D2495" s="1">
        <f>15.1349233614995*(10.3/7.3)</f>
        <v>21.354754879923977</v>
      </c>
      <c r="E2495" s="1">
        <f>54.5089610001484*(10.3/7.3)</f>
        <v>76.909903876921689</v>
      </c>
      <c r="F2495" s="1">
        <f>111.424647885272*(38.9/42.5)</f>
        <v>101.98632477028464</v>
      </c>
      <c r="G2495" s="1">
        <v>3.8331117687495664</v>
      </c>
      <c r="H2495" s="1">
        <v>12.228752594492761</v>
      </c>
      <c r="I2495" s="1">
        <v>95.150364895562717</v>
      </c>
      <c r="J2495" s="1">
        <v>3.917750029039721E-2</v>
      </c>
      <c r="K2495" s="1">
        <v>2.7198531645534523</v>
      </c>
      <c r="L2495" s="1">
        <v>3.1803283231686206</v>
      </c>
      <c r="M2495" s="1">
        <v>0.13154938506954189</v>
      </c>
      <c r="N2495" s="1">
        <v>1.600672085978859</v>
      </c>
      <c r="O2495" s="1">
        <v>0.12133333333333335</v>
      </c>
      <c r="P2495" s="1">
        <v>9.1503105954598374E-2</v>
      </c>
      <c r="Q2495" s="1">
        <v>6.1259777126134685</v>
      </c>
      <c r="R2495" s="2">
        <f t="shared" si="155"/>
        <v>342.03503214514478</v>
      </c>
      <c r="S2495" s="2">
        <f t="shared" si="154"/>
        <v>2.8505337707984477</v>
      </c>
      <c r="T2495" s="2">
        <f t="shared" si="156"/>
        <v>5.0338831275503546</v>
      </c>
      <c r="U2495" s="2">
        <f t="shared" si="157"/>
        <v>349.91944904349361</v>
      </c>
    </row>
    <row r="2496" spans="1:21" x14ac:dyDescent="0.25">
      <c r="A2496">
        <v>4196861</v>
      </c>
      <c r="B2496">
        <v>20</v>
      </c>
      <c r="C2496" s="1">
        <f>12.8263901990915*(10.3/7.3)</f>
        <v>18.09750945899205</v>
      </c>
      <c r="D2496" s="1">
        <f>11.9838964904111*(10.3/7.3)</f>
        <v>16.908785459073169</v>
      </c>
      <c r="E2496" s="1">
        <f>42.9446302189267*(10.3/7.3)</f>
        <v>60.593108391088407</v>
      </c>
      <c r="F2496" s="1">
        <f>89.7085710784878*(38.9/42.5)</f>
        <v>82.109727410662913</v>
      </c>
      <c r="G2496" s="1">
        <v>3.2447599595420575</v>
      </c>
      <c r="H2496" s="1">
        <v>8.027543730344405</v>
      </c>
      <c r="I2496" s="1">
        <v>74.715009920996749</v>
      </c>
      <c r="J2496" s="1">
        <v>3.6521679058754239E-2</v>
      </c>
      <c r="K2496" s="1">
        <v>2.5661992030486602</v>
      </c>
      <c r="L2496" s="1">
        <v>2.917942182693575</v>
      </c>
      <c r="M2496" s="1">
        <v>0.12387939698962333</v>
      </c>
      <c r="N2496" s="1">
        <v>1.4958174675906188</v>
      </c>
      <c r="O2496" s="1">
        <v>0.11326666666666665</v>
      </c>
      <c r="P2496" s="1">
        <v>8.6319989891962393E-2</v>
      </c>
      <c r="Q2496" s="1">
        <v>5.185689433058088</v>
      </c>
      <c r="R2496" s="2">
        <f t="shared" si="155"/>
        <v>268.88213376375779</v>
      </c>
      <c r="S2496" s="2">
        <f t="shared" si="154"/>
        <v>2.6890408719993766</v>
      </c>
      <c r="T2496" s="2">
        <f t="shared" si="156"/>
        <v>4.6509057139404844</v>
      </c>
      <c r="U2496" s="2">
        <f t="shared" si="157"/>
        <v>276.22208034969765</v>
      </c>
    </row>
    <row r="2497" spans="1:21" x14ac:dyDescent="0.25">
      <c r="A2497">
        <v>4208153</v>
      </c>
      <c r="B2497">
        <v>31</v>
      </c>
      <c r="C2497" s="1">
        <f>0.849299461369449*(10.3/7.3)</f>
        <v>1.1983266372747015</v>
      </c>
      <c r="D2497" s="1">
        <f>1.11165366067683*(10.3/7.3)</f>
        <v>1.5684976308179954</v>
      </c>
      <c r="E2497" s="1">
        <f>3.88487669177058*(10.3/7.3)</f>
        <v>5.4814013596214979</v>
      </c>
      <c r="F2497" s="1">
        <f>9.68237582583904*(38.9/42.5)</f>
        <v>8.862221638238557</v>
      </c>
      <c r="G2497" s="1">
        <v>0.44937197984950566</v>
      </c>
      <c r="H2497" s="1">
        <v>1.9140938906892164</v>
      </c>
      <c r="I2497" s="1">
        <v>7.4097165815751875</v>
      </c>
      <c r="J2497" s="1">
        <v>4.6319085968876836E-2</v>
      </c>
      <c r="K2497" s="1">
        <v>4.7895785793185528</v>
      </c>
      <c r="L2497" s="1">
        <v>3.6199980600001713</v>
      </c>
      <c r="M2497" s="1">
        <v>0.2311396380702066</v>
      </c>
      <c r="N2497" s="1">
        <v>1.3461414453053508</v>
      </c>
      <c r="O2497" s="1">
        <v>2.0092903225806449</v>
      </c>
      <c r="P2497" s="1">
        <v>0.48548534480872957</v>
      </c>
      <c r="Q2497" s="1">
        <v>0.71817439701975871</v>
      </c>
      <c r="R2497" s="2">
        <f t="shared" si="155"/>
        <v>27.601804115086416</v>
      </c>
      <c r="S2497" s="2">
        <f t="shared" si="154"/>
        <v>5.3213830100961594</v>
      </c>
      <c r="T2497" s="2">
        <f t="shared" si="156"/>
        <v>7.2065694659563739</v>
      </c>
      <c r="U2497" s="2">
        <f t="shared" si="157"/>
        <v>40.129756591138957</v>
      </c>
    </row>
    <row r="2498" spans="1:21" x14ac:dyDescent="0.25">
      <c r="A2498">
        <v>4208161</v>
      </c>
      <c r="B2498">
        <v>15</v>
      </c>
      <c r="C2498" s="1">
        <f>1.0074924016005*(10.3/7.3)</f>
        <v>1.4215303748609833</v>
      </c>
      <c r="D2498" s="1">
        <f>1.3277357734186*(10.3/7.3)</f>
        <v>1.8733806118098024</v>
      </c>
      <c r="E2498" s="1">
        <f>4.63152358524464*(10.3/7.3)</f>
        <v>6.5348894421944896</v>
      </c>
      <c r="F2498" s="1">
        <f>11.9066623445095*(38.9/42.5)</f>
        <v>10.898098004739252</v>
      </c>
      <c r="G2498" s="1">
        <v>0.56677479656382668</v>
      </c>
      <c r="H2498" s="1">
        <v>2.3133577425607945</v>
      </c>
      <c r="I2498" s="1">
        <v>9.143737382149844</v>
      </c>
      <c r="J2498" s="1">
        <v>6.6554933812220593E-2</v>
      </c>
      <c r="K2498" s="1">
        <v>5.4617950709788827</v>
      </c>
      <c r="L2498" s="1">
        <v>4.3404703403306923</v>
      </c>
      <c r="M2498" s="1">
        <v>0.27697497740401106</v>
      </c>
      <c r="N2498" s="1">
        <v>1.568718731164958</v>
      </c>
      <c r="O2498" s="1">
        <v>3.5576533333333331</v>
      </c>
      <c r="P2498" s="1">
        <v>0.54777980771038015</v>
      </c>
      <c r="Q2498" s="1">
        <v>0.90580446939424453</v>
      </c>
      <c r="R2498" s="2">
        <f t="shared" si="155"/>
        <v>33.657572824273238</v>
      </c>
      <c r="S2498" s="2">
        <f t="shared" si="154"/>
        <v>6.0761298125014829</v>
      </c>
      <c r="T2498" s="2">
        <f t="shared" si="156"/>
        <v>9.7438173822329937</v>
      </c>
      <c r="U2498" s="2">
        <f t="shared" si="157"/>
        <v>49.477520019007713</v>
      </c>
    </row>
    <row r="2499" spans="1:21" x14ac:dyDescent="0.25">
      <c r="A2499">
        <v>4208617</v>
      </c>
      <c r="B2499">
        <v>12</v>
      </c>
      <c r="C2499" s="1">
        <f>7.09689617683827*(10.3/7.3)</f>
        <v>10.013428852251256</v>
      </c>
      <c r="D2499" s="1">
        <f>16.4426516267558*(10.3/7.3)</f>
        <v>23.199905719943128</v>
      </c>
      <c r="E2499" s="1">
        <f>57.3760025780547*(10.3/7.3)</f>
        <v>80.955181719720954</v>
      </c>
      <c r="F2499" s="1">
        <f>92.377023617846*(38.9/42.5)</f>
        <v>84.552146323157842</v>
      </c>
      <c r="G2499" s="1">
        <v>2.7809060469243998</v>
      </c>
      <c r="H2499" s="1">
        <v>14.635257791921099</v>
      </c>
      <c r="I2499" s="1">
        <v>51.688581421502896</v>
      </c>
      <c r="J2499" s="1">
        <v>5.656544208685188E-2</v>
      </c>
      <c r="K2499" s="1">
        <v>3.5334618904639625</v>
      </c>
      <c r="L2499" s="1">
        <v>7.1120452974522523</v>
      </c>
      <c r="M2499" s="1">
        <v>0.28218051830325191</v>
      </c>
      <c r="N2499" s="1">
        <v>2.5436813898980515</v>
      </c>
      <c r="O2499" s="1">
        <v>0.24665333333333331</v>
      </c>
      <c r="P2499" s="1">
        <v>0.17428778093608702</v>
      </c>
      <c r="Q2499" s="1">
        <v>4.4443703946280406</v>
      </c>
      <c r="R2499" s="2">
        <f t="shared" si="155"/>
        <v>272.26977827004964</v>
      </c>
      <c r="S2499" s="2">
        <f t="shared" si="154"/>
        <v>3.7643151134869015</v>
      </c>
      <c r="T2499" s="2">
        <f t="shared" si="156"/>
        <v>10.184560538986888</v>
      </c>
      <c r="U2499" s="2">
        <f t="shared" si="157"/>
        <v>286.2186539225234</v>
      </c>
    </row>
    <row r="2500" spans="1:21" x14ac:dyDescent="0.25">
      <c r="A2500">
        <v>4208633</v>
      </c>
      <c r="B2500">
        <v>11</v>
      </c>
      <c r="C2500" s="1">
        <f>8.29352166718721*(10.3/7.3)</f>
        <v>11.701818242743599</v>
      </c>
      <c r="D2500" s="1">
        <f>11.0730900413281*(10.3/7.3)</f>
        <v>15.623674989819127</v>
      </c>
      <c r="E2500" s="1">
        <f>39.0501811835251*(10.3/7.3)</f>
        <v>55.098200847987457</v>
      </c>
      <c r="F2500" s="1">
        <f>77.6494060842145*(38.9/42.5)</f>
        <v>71.072044627669285</v>
      </c>
      <c r="G2500" s="1">
        <v>2.8757970425101713</v>
      </c>
      <c r="H2500" s="1">
        <v>16.798483730332915</v>
      </c>
      <c r="I2500" s="1">
        <v>56.476875106632065</v>
      </c>
      <c r="J2500" s="1">
        <v>5.4419473932121695E-2</v>
      </c>
      <c r="K2500" s="1">
        <v>3.4676029907319648</v>
      </c>
      <c r="L2500" s="1">
        <v>7.1639068061855973</v>
      </c>
      <c r="M2500" s="1">
        <v>0.26827950655520905</v>
      </c>
      <c r="N2500" s="1">
        <v>2.4709304530949776</v>
      </c>
      <c r="O2500" s="1">
        <v>0.23652848484848488</v>
      </c>
      <c r="P2500" s="1">
        <v>0.16919601908969689</v>
      </c>
      <c r="Q2500" s="1">
        <v>4.5960226706783613</v>
      </c>
      <c r="R2500" s="2">
        <f t="shared" si="155"/>
        <v>234.24291725837296</v>
      </c>
      <c r="S2500" s="2">
        <f t="shared" si="154"/>
        <v>3.6912184837537834</v>
      </c>
      <c r="T2500" s="2">
        <f t="shared" si="156"/>
        <v>10.139645250684268</v>
      </c>
      <c r="U2500" s="2">
        <f t="shared" si="157"/>
        <v>248.07378099281101</v>
      </c>
    </row>
    <row r="2501" spans="1:21" x14ac:dyDescent="0.25">
      <c r="A2501">
        <v>4208641</v>
      </c>
      <c r="B2501">
        <v>49</v>
      </c>
      <c r="C2501" s="1">
        <f>4.17780468720013*(10.3/7.3)</f>
        <v>5.8947107230358053</v>
      </c>
      <c r="D2501" s="1">
        <f>5.6694832970354*(10.3/7.3)</f>
        <v>7.9994079396526834</v>
      </c>
      <c r="E2501" s="1">
        <f>19.9529070965044*(10.3/7.3)</f>
        <v>28.15273193068429</v>
      </c>
      <c r="F2501" s="1">
        <f>41.0547848097959*(38.9/42.5)</f>
        <v>37.577203037672056</v>
      </c>
      <c r="G2501" s="1">
        <v>1.590308098593135</v>
      </c>
      <c r="H2501" s="1">
        <v>9.0144843297372521</v>
      </c>
      <c r="I2501" s="1">
        <v>29.93711173041255</v>
      </c>
      <c r="J2501" s="1">
        <v>3.9401004553609044E-2</v>
      </c>
      <c r="K2501" s="1">
        <v>2.6291110995420759</v>
      </c>
      <c r="L2501" s="1">
        <v>5.0558923282801747</v>
      </c>
      <c r="M2501" s="1">
        <v>0.19424400673490597</v>
      </c>
      <c r="N2501" s="1">
        <v>1.9082486546920159</v>
      </c>
      <c r="O2501" s="1">
        <v>0.1725714285714286</v>
      </c>
      <c r="P2501" s="1">
        <v>0.13520611746721048</v>
      </c>
      <c r="Q2501" s="1">
        <v>2.5415882854228204</v>
      </c>
      <c r="R2501" s="2">
        <f t="shared" si="155"/>
        <v>122.7075460752106</v>
      </c>
      <c r="S2501" s="2">
        <f t="shared" si="154"/>
        <v>2.8037182215628951</v>
      </c>
      <c r="T2501" s="2">
        <f t="shared" si="156"/>
        <v>7.3309564182785252</v>
      </c>
      <c r="U2501" s="2">
        <f t="shared" si="157"/>
        <v>132.84222071505201</v>
      </c>
    </row>
    <row r="2502" spans="1:21" x14ac:dyDescent="0.25">
      <c r="A2502">
        <v>4208649</v>
      </c>
      <c r="B2502">
        <v>21</v>
      </c>
      <c r="C2502" s="1">
        <f>3.5814968252422*(10.3/7.3)</f>
        <v>5.0533448356157136</v>
      </c>
      <c r="D2502" s="1">
        <f>5.09073830384744*(10.3/7.3)</f>
        <v>7.1828225383052944</v>
      </c>
      <c r="E2502" s="1">
        <f>17.9098423025834*(10.3/7.3)</f>
        <v>25.270051468028612</v>
      </c>
      <c r="F2502" s="1">
        <f>35.4581173299064*(38.9/42.5)</f>
        <v>32.454606214902554</v>
      </c>
      <c r="G2502" s="1">
        <v>1.3227933445689795</v>
      </c>
      <c r="H2502" s="1">
        <v>9.2675583262335959</v>
      </c>
      <c r="I2502" s="1">
        <v>25.238590890945744</v>
      </c>
      <c r="J2502" s="1">
        <v>4.0748900081820416E-2</v>
      </c>
      <c r="K2502" s="1">
        <v>2.6446337158932232</v>
      </c>
      <c r="L2502" s="1">
        <v>5.0294059696377378</v>
      </c>
      <c r="M2502" s="1">
        <v>0.19269169053808202</v>
      </c>
      <c r="N2502" s="1">
        <v>1.9781359068121489</v>
      </c>
      <c r="O2502" s="1">
        <v>0.17191619047619047</v>
      </c>
      <c r="P2502" s="1">
        <v>0.13489227016826946</v>
      </c>
      <c r="Q2502" s="1">
        <v>2.114053290407047</v>
      </c>
      <c r="R2502" s="2">
        <f t="shared" si="155"/>
        <v>107.90382090900754</v>
      </c>
      <c r="S2502" s="2">
        <f t="shared" si="154"/>
        <v>2.8202748861433129</v>
      </c>
      <c r="T2502" s="2">
        <f t="shared" si="156"/>
        <v>7.3721497574641592</v>
      </c>
      <c r="U2502" s="2">
        <f t="shared" si="157"/>
        <v>118.096245552615</v>
      </c>
    </row>
    <row r="2503" spans="1:21" x14ac:dyDescent="0.25">
      <c r="A2503">
        <v>4208657</v>
      </c>
      <c r="B2503">
        <v>9</v>
      </c>
      <c r="C2503" s="1">
        <f>7.76403495316625*(10.3/7.3)</f>
        <v>10.954734248987997</v>
      </c>
      <c r="D2503" s="1">
        <f>11.345413177959*(10.3/7.3)</f>
        <v>16.007911744243575</v>
      </c>
      <c r="E2503" s="1">
        <f>39.951475038961*(10.3/7.3)</f>
        <v>56.369889438534067</v>
      </c>
      <c r="F2503" s="1">
        <f>75.0417602524792*(38.9/42.5)</f>
        <v>68.685281736975028</v>
      </c>
      <c r="G2503" s="1">
        <v>2.6258648571177345</v>
      </c>
      <c r="H2503" s="1">
        <v>8.251034919087779</v>
      </c>
      <c r="I2503" s="1">
        <v>52.174718077203821</v>
      </c>
      <c r="J2503" s="1">
        <v>5.6832528190014574E-2</v>
      </c>
      <c r="K2503" s="1">
        <v>3.3001066277174105</v>
      </c>
      <c r="L2503" s="1">
        <v>6.544952777946861</v>
      </c>
      <c r="M2503" s="1">
        <v>0.25148868996715729</v>
      </c>
      <c r="N2503" s="1">
        <v>2.9385316907038277</v>
      </c>
      <c r="O2503" s="1">
        <v>0.2256711111111111</v>
      </c>
      <c r="P2503" s="1">
        <v>0.15641447894190352</v>
      </c>
      <c r="Q2503" s="1">
        <v>4.1965876711927299</v>
      </c>
      <c r="R2503" s="2">
        <f t="shared" si="155"/>
        <v>219.26602269334273</v>
      </c>
      <c r="S2503" s="2">
        <f t="shared" si="154"/>
        <v>3.5133536348493282</v>
      </c>
      <c r="T2503" s="2">
        <f t="shared" si="156"/>
        <v>9.9606442697289577</v>
      </c>
      <c r="U2503" s="2">
        <f t="shared" si="157"/>
        <v>232.74002059792102</v>
      </c>
    </row>
    <row r="2504" spans="1:21" x14ac:dyDescent="0.25">
      <c r="A2504">
        <v>4208737</v>
      </c>
      <c r="B2504">
        <v>6</v>
      </c>
      <c r="C2504" s="1">
        <f>10.1504666953544*(10.3/7.3)</f>
        <v>14.321891364678136</v>
      </c>
      <c r="D2504" s="1">
        <f>14.9919944076235*(10.3/7.3)</f>
        <v>21.153087999797535</v>
      </c>
      <c r="E2504" s="1">
        <f>52.8411916746547*(10.3/7.3)</f>
        <v>74.556749897115537</v>
      </c>
      <c r="F2504" s="1">
        <f>95.701910181576*(38.9/42.5)</f>
        <v>87.595395436783676</v>
      </c>
      <c r="G2504" s="1">
        <v>3.1825467762274795</v>
      </c>
      <c r="H2504" s="1">
        <v>8.8741453726733859</v>
      </c>
      <c r="I2504" s="1">
        <v>65.582145481062042</v>
      </c>
      <c r="J2504" s="1">
        <v>8.5948920904962867E-2</v>
      </c>
      <c r="K2504" s="1">
        <v>3.8457900365949063</v>
      </c>
      <c r="L2504" s="1">
        <v>7.6091266057651303</v>
      </c>
      <c r="M2504" s="1">
        <v>0.25678333314866014</v>
      </c>
      <c r="N2504" s="1">
        <v>3.7312749582895379</v>
      </c>
      <c r="O2504" s="1">
        <v>0.22329777777777779</v>
      </c>
      <c r="P2504" s="1">
        <v>0.15114388232478917</v>
      </c>
      <c r="Q2504" s="1">
        <v>5.0862619711398116</v>
      </c>
      <c r="R2504" s="2">
        <f t="shared" si="155"/>
        <v>280.3522242994776</v>
      </c>
      <c r="S2504" s="2">
        <f t="shared" si="154"/>
        <v>4.0828828398246584</v>
      </c>
      <c r="T2504" s="2">
        <f t="shared" si="156"/>
        <v>11.820482674981106</v>
      </c>
      <c r="U2504" s="2">
        <f t="shared" si="157"/>
        <v>296.25558981428338</v>
      </c>
    </row>
    <row r="2505" spans="1:21" x14ac:dyDescent="0.25">
      <c r="A2505">
        <v>4208745</v>
      </c>
      <c r="B2505">
        <v>65</v>
      </c>
      <c r="C2505" s="1">
        <f>9.92445141393206*(10.3/7.3)</f>
        <v>14.002993090890442</v>
      </c>
      <c r="D2505" s="1">
        <f>14.3956553293857*(10.3/7.3)</f>
        <v>20.311678067489439</v>
      </c>
      <c r="E2505" s="1">
        <f>50.7607989183268*(10.3/7.3)</f>
        <v>71.621401213529595</v>
      </c>
      <c r="F2505" s="1">
        <f>92.6426151582817*(38.9/42.5)</f>
        <v>84.795240697815473</v>
      </c>
      <c r="G2505" s="1">
        <v>3.1038115475684984</v>
      </c>
      <c r="H2505" s="1">
        <v>8.3106371630412301</v>
      </c>
      <c r="I2505" s="1">
        <v>64.039214874758315</v>
      </c>
      <c r="J2505" s="1">
        <v>8.1993841562869249E-2</v>
      </c>
      <c r="K2505" s="1">
        <v>4.3572058254058161</v>
      </c>
      <c r="L2505" s="1">
        <v>8.4576434506389155</v>
      </c>
      <c r="M2505" s="1">
        <v>0.27394563316506443</v>
      </c>
      <c r="N2505" s="1">
        <v>3.6483793234431183</v>
      </c>
      <c r="O2505" s="1">
        <v>0.23543630769230772</v>
      </c>
      <c r="P2505" s="1">
        <v>0.15987967461848798</v>
      </c>
      <c r="Q2505" s="1">
        <v>4.9604294139222622</v>
      </c>
      <c r="R2505" s="2">
        <f t="shared" si="155"/>
        <v>271.14540606901528</v>
      </c>
      <c r="S2505" s="2">
        <f t="shared" ref="S2505:S2568" si="158">J2505+K2505+P2505</f>
        <v>4.5990793415871734</v>
      </c>
      <c r="T2505" s="2">
        <f t="shared" si="156"/>
        <v>12.615404714939405</v>
      </c>
      <c r="U2505" s="2">
        <f t="shared" si="157"/>
        <v>288.35989012554188</v>
      </c>
    </row>
    <row r="2506" spans="1:21" x14ac:dyDescent="0.25">
      <c r="A2506">
        <v>4208753</v>
      </c>
      <c r="B2506">
        <v>32</v>
      </c>
      <c r="C2506" s="1">
        <f>8.78270773769243*(10.3/7.3)</f>
        <v>12.392039684689317</v>
      </c>
      <c r="D2506" s="1">
        <f>12.5538346263982*(10.3/7.3)</f>
        <v>17.712944746835781</v>
      </c>
      <c r="E2506" s="1">
        <f>44.2793648831596*(10.3/7.3)</f>
        <v>62.476364150211438</v>
      </c>
      <c r="F2506" s="1">
        <f>81.4455856540074*(38.9/42.5)</f>
        <v>74.546665457432667</v>
      </c>
      <c r="G2506" s="1">
        <v>2.7512769960177197</v>
      </c>
      <c r="H2506" s="1">
        <v>8.8868819071020226</v>
      </c>
      <c r="I2506" s="1">
        <v>56.719576618198232</v>
      </c>
      <c r="J2506" s="1">
        <v>7.7972051441705464E-2</v>
      </c>
      <c r="K2506" s="1">
        <v>4.4265933134108408</v>
      </c>
      <c r="L2506" s="1">
        <v>7.5265926366614231</v>
      </c>
      <c r="M2506" s="1">
        <v>0.24755823775194866</v>
      </c>
      <c r="N2506" s="1">
        <v>3.392413341920498</v>
      </c>
      <c r="O2506" s="1">
        <v>0.2141716666666667</v>
      </c>
      <c r="P2506" s="1">
        <v>0.14830462849958426</v>
      </c>
      <c r="Q2506" s="1">
        <v>4.3970180301653095</v>
      </c>
      <c r="R2506" s="2">
        <f t="shared" ref="R2506:R2569" si="159">C2506+D2506+E2506+F2506+G2506+H2506+I2506+Q2506</f>
        <v>239.88276759065249</v>
      </c>
      <c r="S2506" s="2">
        <f t="shared" si="158"/>
        <v>4.6528699933521303</v>
      </c>
      <c r="T2506" s="2">
        <f t="shared" ref="T2506:T2569" si="160">L2506+M2506+N2506+O2506</f>
        <v>11.380735883000536</v>
      </c>
      <c r="U2506" s="2">
        <f t="shared" ref="U2506:U2569" si="161">R2506+S2506+T2506</f>
        <v>255.91637346700517</v>
      </c>
    </row>
    <row r="2507" spans="1:21" x14ac:dyDescent="0.25">
      <c r="A2507">
        <v>4208761</v>
      </c>
      <c r="B2507">
        <v>9</v>
      </c>
      <c r="C2507" s="1">
        <f>7.49319652456743*(10.3/7.3)</f>
        <v>10.57259235658144</v>
      </c>
      <c r="D2507" s="1">
        <f>10.4836094904485*(10.3/7.3)</f>
        <v>14.791942157756115</v>
      </c>
      <c r="E2507" s="1">
        <f>36.9790919017519*(10.3/7.3)</f>
        <v>52.175978984663686</v>
      </c>
      <c r="F2507" s="1">
        <f>69.5285630424169*(38.9/42.5)</f>
        <v>63.639084761176861</v>
      </c>
      <c r="G2507" s="1">
        <v>2.413063224049762</v>
      </c>
      <c r="H2507" s="1">
        <v>7.7195528670327276</v>
      </c>
      <c r="I2507" s="1">
        <v>49.082051962171469</v>
      </c>
      <c r="J2507" s="1">
        <v>6.4709800231748424E-2</v>
      </c>
      <c r="K2507" s="1">
        <v>3.8207883864907419</v>
      </c>
      <c r="L2507" s="1">
        <v>6.1599563882241313</v>
      </c>
      <c r="M2507" s="1">
        <v>0.20859578354124023</v>
      </c>
      <c r="N2507" s="1">
        <v>2.8743805387902812</v>
      </c>
      <c r="O2507" s="1">
        <v>0.18581925925925921</v>
      </c>
      <c r="P2507" s="1">
        <v>0.13255110956996008</v>
      </c>
      <c r="Q2507" s="1">
        <v>3.8564937370658336</v>
      </c>
      <c r="R2507" s="2">
        <f t="shared" si="159"/>
        <v>204.25076005049789</v>
      </c>
      <c r="S2507" s="2">
        <f t="shared" si="158"/>
        <v>4.0180492962924506</v>
      </c>
      <c r="T2507" s="2">
        <f t="shared" si="160"/>
        <v>9.4287519698149129</v>
      </c>
      <c r="U2507" s="2">
        <f t="shared" si="161"/>
        <v>217.69756131660526</v>
      </c>
    </row>
    <row r="2508" spans="1:21" x14ac:dyDescent="0.25">
      <c r="A2508">
        <v>4208769</v>
      </c>
      <c r="B2508">
        <v>67</v>
      </c>
      <c r="C2508" s="1">
        <f>6.09483956670201*(10.3/7.3)</f>
        <v>8.5995681557576269</v>
      </c>
      <c r="D2508" s="1">
        <f>8.51642275421211*(10.3/7.3)</f>
        <v>12.016322516217087</v>
      </c>
      <c r="E2508" s="1">
        <f>29.9869805277687*(10.3/7.3)</f>
        <v>42.310397183016086</v>
      </c>
      <c r="F2508" s="1">
        <f>59.1383865763762*(38.9/42.5)</f>
        <v>54.12901736049492</v>
      </c>
      <c r="G2508" s="1">
        <v>2.1879039895631935</v>
      </c>
      <c r="H2508" s="1">
        <v>6.63519756847466</v>
      </c>
      <c r="I2508" s="1">
        <v>42.286683061212635</v>
      </c>
      <c r="J2508" s="1">
        <v>5.801751496664484E-2</v>
      </c>
      <c r="K2508" s="1">
        <v>3.3965860838685225</v>
      </c>
      <c r="L2508" s="1">
        <v>5.7469412683512662</v>
      </c>
      <c r="M2508" s="1">
        <v>0.19345567702821501</v>
      </c>
      <c r="N2508" s="1">
        <v>3.3135400880395607</v>
      </c>
      <c r="O2508" s="1">
        <v>0.17181691542288557</v>
      </c>
      <c r="P2508" s="1">
        <v>0.12673011255371169</v>
      </c>
      <c r="Q2508" s="1">
        <v>3.4966502116306768</v>
      </c>
      <c r="R2508" s="2">
        <f t="shared" si="159"/>
        <v>171.6617400463669</v>
      </c>
      <c r="S2508" s="2">
        <f t="shared" si="158"/>
        <v>3.5813337113888792</v>
      </c>
      <c r="T2508" s="2">
        <f t="shared" si="160"/>
        <v>9.425753948841928</v>
      </c>
      <c r="U2508" s="2">
        <f t="shared" si="161"/>
        <v>184.66882770659771</v>
      </c>
    </row>
    <row r="2509" spans="1:21" x14ac:dyDescent="0.25">
      <c r="A2509">
        <v>4208777</v>
      </c>
      <c r="B2509">
        <v>63</v>
      </c>
      <c r="C2509" s="1">
        <f>8.75736207504877*(10.3/7.3)</f>
        <v>12.356277996301685</v>
      </c>
      <c r="D2509" s="1">
        <f>11.8144181923573*(10.3/7.3)</f>
        <v>16.669658545380802</v>
      </c>
      <c r="E2509" s="1">
        <f>41.7309642748855*(10.3/7.3)</f>
        <v>58.880675620728852</v>
      </c>
      <c r="F2509" s="1">
        <f>78.7082837958073*(38.9/42.5)</f>
        <v>72.041229168397706</v>
      </c>
      <c r="G2509" s="1">
        <v>2.7209145501271252</v>
      </c>
      <c r="H2509" s="1">
        <v>7.0149445887514785</v>
      </c>
      <c r="I2509" s="1">
        <v>56.320454088715231</v>
      </c>
      <c r="J2509" s="1">
        <v>7.5663597054787313E-2</v>
      </c>
      <c r="K2509" s="1">
        <v>3.8556771291821623</v>
      </c>
      <c r="L2509" s="1">
        <v>7.2671713020615254</v>
      </c>
      <c r="M2509" s="1">
        <v>0.23243488866793</v>
      </c>
      <c r="N2509" s="1">
        <v>3.6690895609290846</v>
      </c>
      <c r="O2509" s="1">
        <v>0.20097439153439156</v>
      </c>
      <c r="P2509" s="1">
        <v>0.14172128804696629</v>
      </c>
      <c r="Q2509" s="1">
        <v>4.3484935732625347</v>
      </c>
      <c r="R2509" s="2">
        <f t="shared" si="159"/>
        <v>230.35264813166543</v>
      </c>
      <c r="S2509" s="2">
        <f t="shared" si="158"/>
        <v>4.0730620142839165</v>
      </c>
      <c r="T2509" s="2">
        <f t="shared" si="160"/>
        <v>11.369670143192931</v>
      </c>
      <c r="U2509" s="2">
        <f t="shared" si="161"/>
        <v>245.79538028914229</v>
      </c>
    </row>
    <row r="2510" spans="1:21" x14ac:dyDescent="0.25">
      <c r="A2510">
        <v>4208785</v>
      </c>
      <c r="B2510">
        <v>12</v>
      </c>
      <c r="C2510" s="1">
        <f>7.7354907070149*(10.3/7.3)</f>
        <v>10.914459490719659</v>
      </c>
      <c r="D2510" s="1">
        <f>10.7293004344817*(10.3/7.3)</f>
        <v>15.138601982898876</v>
      </c>
      <c r="E2510" s="1">
        <f>37.6960654214905*(10.3/7.3)</f>
        <v>53.187599156349627</v>
      </c>
      <c r="F2510" s="1">
        <f>79.0833499252174*(38.9/42.5)</f>
        <v>72.384524990375468</v>
      </c>
      <c r="G2510" s="1">
        <v>3.144725309509937</v>
      </c>
      <c r="H2510" s="1">
        <v>8.2641913392668105</v>
      </c>
      <c r="I2510" s="1">
        <v>57.532300117478314</v>
      </c>
      <c r="J2510" s="1">
        <v>7.1915231678589334E-2</v>
      </c>
      <c r="K2510" s="1">
        <v>3.334360159560585</v>
      </c>
      <c r="L2510" s="1">
        <v>6.2640314214861981</v>
      </c>
      <c r="M2510" s="1">
        <v>0.20489513928367123</v>
      </c>
      <c r="N2510" s="1">
        <v>2.8838349317711445</v>
      </c>
      <c r="O2510" s="1">
        <v>0.17953333333333332</v>
      </c>
      <c r="P2510" s="1">
        <v>0.12892564950842783</v>
      </c>
      <c r="Q2510" s="1">
        <v>5.0258167046962514</v>
      </c>
      <c r="R2510" s="2">
        <f t="shared" si="159"/>
        <v>225.59221909129494</v>
      </c>
      <c r="S2510" s="2">
        <f t="shared" si="158"/>
        <v>3.535201040747602</v>
      </c>
      <c r="T2510" s="2">
        <f t="shared" si="160"/>
        <v>9.532294825874347</v>
      </c>
      <c r="U2510" s="2">
        <f t="shared" si="161"/>
        <v>238.65971495791689</v>
      </c>
    </row>
    <row r="2511" spans="1:21" x14ac:dyDescent="0.25">
      <c r="A2511">
        <v>4208793</v>
      </c>
      <c r="B2511">
        <v>11</v>
      </c>
      <c r="C2511" s="1">
        <f>6.9107249307983*(10.3/7.3)</f>
        <v>9.7507488749619871</v>
      </c>
      <c r="D2511" s="1">
        <f>9.10961825885963*(10.3/7.3)</f>
        <v>12.85329699537729</v>
      </c>
      <c r="E2511" s="1">
        <f>32.2072467018458*(10.3/7.3)</f>
        <v>45.443101510823595</v>
      </c>
      <c r="F2511" s="1">
        <f>60.8179698110456*(38.9/42.5)</f>
        <v>55.66633001528642</v>
      </c>
      <c r="G2511" s="1">
        <v>2.0944947900085107</v>
      </c>
      <c r="H2511" s="1">
        <v>6.5273148470435585</v>
      </c>
      <c r="I2511" s="1">
        <v>43.891312674483103</v>
      </c>
      <c r="J2511" s="1">
        <v>9.2366830878721676E-2</v>
      </c>
      <c r="K2511" s="1">
        <v>3.2156599844138554</v>
      </c>
      <c r="L2511" s="1">
        <v>6.0042881220825794</v>
      </c>
      <c r="M2511" s="1">
        <v>0.1985965053909946</v>
      </c>
      <c r="N2511" s="1">
        <v>2.7472403286104328</v>
      </c>
      <c r="O2511" s="1">
        <v>0.17295030303030301</v>
      </c>
      <c r="P2511" s="1">
        <v>0.12508993509964203</v>
      </c>
      <c r="Q2511" s="1">
        <v>3.3473661027533308</v>
      </c>
      <c r="R2511" s="2">
        <f t="shared" si="159"/>
        <v>179.5739658107378</v>
      </c>
      <c r="S2511" s="2">
        <f t="shared" si="158"/>
        <v>3.4331167503922191</v>
      </c>
      <c r="T2511" s="2">
        <f t="shared" si="160"/>
        <v>9.1230752591143105</v>
      </c>
      <c r="U2511" s="2">
        <f t="shared" si="161"/>
        <v>192.13015782024434</v>
      </c>
    </row>
    <row r="2512" spans="1:21" x14ac:dyDescent="0.25">
      <c r="A2512">
        <v>4208801</v>
      </c>
      <c r="B2512">
        <v>37</v>
      </c>
      <c r="C2512" s="1">
        <f>7.428357488998*(10.3/7.3)</f>
        <v>10.481107142010874</v>
      </c>
      <c r="D2512" s="1">
        <f>9.6986565913946*(10.3/7.3)</f>
        <v>13.684405875529364</v>
      </c>
      <c r="E2512" s="1">
        <f>34.3002285824624*(10.3/7.3)</f>
        <v>48.396212931419591</v>
      </c>
      <c r="F2512" s="1">
        <f>64.9574763933732*(38.9/42.5)</f>
        <v>59.455196040052158</v>
      </c>
      <c r="G2512" s="1">
        <v>2.2411883279524818</v>
      </c>
      <c r="H2512" s="1">
        <v>9.6491107232305389</v>
      </c>
      <c r="I2512" s="1">
        <v>47.071899749646036</v>
      </c>
      <c r="J2512" s="1">
        <v>8.2161498394567184E-2</v>
      </c>
      <c r="K2512" s="1">
        <v>3.4753889842554955</v>
      </c>
      <c r="L2512" s="1">
        <v>6.752321919507704</v>
      </c>
      <c r="M2512" s="1">
        <v>0.21493588395252783</v>
      </c>
      <c r="N2512" s="1">
        <v>3.1288765036791704</v>
      </c>
      <c r="O2512" s="1">
        <v>0.18482018018018018</v>
      </c>
      <c r="P2512" s="1">
        <v>0.13234733935228718</v>
      </c>
      <c r="Q2512" s="1">
        <v>3.5818078300610479</v>
      </c>
      <c r="R2512" s="2">
        <f t="shared" si="159"/>
        <v>194.56092861990209</v>
      </c>
      <c r="S2512" s="2">
        <f t="shared" si="158"/>
        <v>3.6898978220023499</v>
      </c>
      <c r="T2512" s="2">
        <f t="shared" si="160"/>
        <v>10.280954487319582</v>
      </c>
      <c r="U2512" s="2">
        <f t="shared" si="161"/>
        <v>208.531780929224</v>
      </c>
    </row>
    <row r="2513" spans="1:21" x14ac:dyDescent="0.25">
      <c r="A2513">
        <v>4208849</v>
      </c>
      <c r="B2513">
        <v>48</v>
      </c>
      <c r="C2513" s="1">
        <f>4.23443934360056*(10.3/7.3)</f>
        <v>5.9746198957651808</v>
      </c>
      <c r="D2513" s="1">
        <f>5.15892611695636*(10.3/7.3)</f>
        <v>7.2790327403630855</v>
      </c>
      <c r="E2513" s="1">
        <f>18.258092478719*(10.3/7.3)</f>
        <v>25.761418154904906</v>
      </c>
      <c r="F2513" s="1">
        <f>36.7686887214059*(38.9/42.5)</f>
        <v>33.654164500298577</v>
      </c>
      <c r="G2513" s="1">
        <v>1.3565433514701706</v>
      </c>
      <c r="H2513" s="1">
        <v>7.3711643291358593</v>
      </c>
      <c r="I2513" s="1">
        <v>27.662049163030684</v>
      </c>
      <c r="J2513" s="1">
        <v>4.7532014888047085E-2</v>
      </c>
      <c r="K2513" s="1">
        <v>2.5273274280380096</v>
      </c>
      <c r="L2513" s="1">
        <v>5.102955176973019</v>
      </c>
      <c r="M2513" s="1">
        <v>0.14017776053264511</v>
      </c>
      <c r="N2513" s="1">
        <v>2.1614775173433682</v>
      </c>
      <c r="O2513" s="1">
        <v>0.12069222222222221</v>
      </c>
      <c r="P2513" s="1">
        <v>9.6203246830813119E-2</v>
      </c>
      <c r="Q2513" s="1">
        <v>2.1679916576007323</v>
      </c>
      <c r="R2513" s="2">
        <f t="shared" si="159"/>
        <v>111.2269837925692</v>
      </c>
      <c r="S2513" s="2">
        <f t="shared" si="158"/>
        <v>2.6710626897568699</v>
      </c>
      <c r="T2513" s="2">
        <f t="shared" si="160"/>
        <v>7.525302677071255</v>
      </c>
      <c r="U2513" s="2">
        <f t="shared" si="161"/>
        <v>121.42334915939732</v>
      </c>
    </row>
    <row r="2514" spans="1:21" x14ac:dyDescent="0.25">
      <c r="A2514">
        <v>4208857</v>
      </c>
      <c r="B2514">
        <v>8</v>
      </c>
      <c r="C2514" s="1">
        <f>5.01449384714585*(10.3/7.3)</f>
        <v>7.0752447432331849</v>
      </c>
      <c r="D2514" s="1">
        <f>6.21475409257935*(10.3/7.3)</f>
        <v>8.7687626237763485</v>
      </c>
      <c r="E2514" s="1">
        <f>21.9400400582614*(10.3/7.3)</f>
        <v>30.956494876724996</v>
      </c>
      <c r="F2514" s="1">
        <f>46.0770365125735*(38.9/42.5)</f>
        <v>42.174040478567299</v>
      </c>
      <c r="G2514" s="1">
        <v>1.7954467196728638</v>
      </c>
      <c r="H2514" s="1">
        <v>8.4871506727263508</v>
      </c>
      <c r="I2514" s="1">
        <v>34.742417769560141</v>
      </c>
      <c r="J2514" s="1">
        <v>4.5171025597468162E-2</v>
      </c>
      <c r="K2514" s="1">
        <v>2.4731701377378843</v>
      </c>
      <c r="L2514" s="1">
        <v>4.7573092289036634</v>
      </c>
      <c r="M2514" s="1">
        <v>0.14372993805648376</v>
      </c>
      <c r="N2514" s="1">
        <v>1.9721889036439288</v>
      </c>
      <c r="O2514" s="1">
        <v>0.12125333333333334</v>
      </c>
      <c r="P2514" s="1">
        <v>9.5666409186247456E-2</v>
      </c>
      <c r="Q2514" s="1">
        <v>2.8694353967374564</v>
      </c>
      <c r="R2514" s="2">
        <f t="shared" si="159"/>
        <v>136.86899328099867</v>
      </c>
      <c r="S2514" s="2">
        <f t="shared" si="158"/>
        <v>2.6140075725215999</v>
      </c>
      <c r="T2514" s="2">
        <f t="shared" si="160"/>
        <v>6.9944814039374092</v>
      </c>
      <c r="U2514" s="2">
        <f t="shared" si="161"/>
        <v>146.47748225745767</v>
      </c>
    </row>
    <row r="2515" spans="1:21" x14ac:dyDescent="0.25">
      <c r="A2515">
        <v>4209089</v>
      </c>
      <c r="B2515">
        <v>67</v>
      </c>
      <c r="C2515" s="1">
        <f>14.7016044995429*(10.3/7.3)</f>
        <v>20.743359773327715</v>
      </c>
      <c r="D2515" s="1">
        <f>13.1853142002822*(10.3/7.3)</f>
        <v>18.603936474370734</v>
      </c>
      <c r="E2515" s="1">
        <f>47.4024875607154*(10.3/7.3)</f>
        <v>66.882961900735424</v>
      </c>
      <c r="F2515" s="1">
        <f>97.2385783164079*(38.9/42.5)</f>
        <v>89.001898741370979</v>
      </c>
      <c r="G2515" s="1">
        <v>3.3898955843066418</v>
      </c>
      <c r="H2515" s="1">
        <v>7.4061830096171564</v>
      </c>
      <c r="I2515" s="1">
        <v>82.181224911183705</v>
      </c>
      <c r="J2515" s="1">
        <v>3.6701179243964453E-2</v>
      </c>
      <c r="K2515" s="1">
        <v>2.5744935234053261</v>
      </c>
      <c r="L2515" s="1">
        <v>2.9726348994701874</v>
      </c>
      <c r="M2515" s="1">
        <v>0.12554982696933115</v>
      </c>
      <c r="N2515" s="1">
        <v>1.5101604224678209</v>
      </c>
      <c r="O2515" s="1">
        <v>0.11476059701492539</v>
      </c>
      <c r="P2515" s="1">
        <v>8.7289304155431777E-2</v>
      </c>
      <c r="Q2515" s="1">
        <v>5.4176413447823091</v>
      </c>
      <c r="R2515" s="2">
        <f t="shared" si="159"/>
        <v>293.62710173969464</v>
      </c>
      <c r="S2515" s="2">
        <f t="shared" si="158"/>
        <v>2.6984840068047222</v>
      </c>
      <c r="T2515" s="2">
        <f t="shared" si="160"/>
        <v>4.7231057459222647</v>
      </c>
      <c r="U2515" s="2">
        <f t="shared" si="161"/>
        <v>301.04869149242165</v>
      </c>
    </row>
    <row r="2516" spans="1:21" x14ac:dyDescent="0.25">
      <c r="A2516">
        <v>4209097</v>
      </c>
      <c r="B2516">
        <v>23</v>
      </c>
      <c r="C2516" s="1">
        <f>9.22824799234735*(10.3/7.3)</f>
        <v>13.020678674133938</v>
      </c>
      <c r="D2516" s="1">
        <f>8.81998795852197*(10.3/7.3)</f>
        <v>12.444640544215929</v>
      </c>
      <c r="E2516" s="1">
        <f>31.5740180847586*(10.3/7.3)</f>
        <v>44.549641955207306</v>
      </c>
      <c r="F2516" s="1">
        <f>65.4758370220776*(38.9/42.5)</f>
        <v>59.92964847432517</v>
      </c>
      <c r="G2516" s="1">
        <v>2.3604887029388513</v>
      </c>
      <c r="H2516" s="1">
        <v>5.9819479827523585</v>
      </c>
      <c r="I2516" s="1">
        <v>54.028154075906016</v>
      </c>
      <c r="J2516" s="1">
        <v>3.0892737197988279E-2</v>
      </c>
      <c r="K2516" s="1">
        <v>2.209064739130405</v>
      </c>
      <c r="L2516" s="1">
        <v>2.4172438575128314</v>
      </c>
      <c r="M2516" s="1">
        <v>0.10769318971703312</v>
      </c>
      <c r="N2516" s="1">
        <v>1.3062305135335637</v>
      </c>
      <c r="O2516" s="1">
        <v>9.7581449275362303E-2</v>
      </c>
      <c r="P2516" s="1">
        <v>7.6222911017429881E-2</v>
      </c>
      <c r="Q2516" s="1">
        <v>3.7724705298109535</v>
      </c>
      <c r="R2516" s="2">
        <f t="shared" si="159"/>
        <v>196.08767093929055</v>
      </c>
      <c r="S2516" s="2">
        <f t="shared" si="158"/>
        <v>2.3161803873458231</v>
      </c>
      <c r="T2516" s="2">
        <f t="shared" si="160"/>
        <v>3.9287490100387905</v>
      </c>
      <c r="U2516" s="2">
        <f t="shared" si="161"/>
        <v>202.33260033667514</v>
      </c>
    </row>
    <row r="2517" spans="1:21" x14ac:dyDescent="0.25">
      <c r="A2517">
        <v>4220381</v>
      </c>
      <c r="B2517">
        <v>18</v>
      </c>
      <c r="C2517" s="1">
        <f>0.597327073531472*(10.3/7.3)</f>
        <v>0.84280395306495359</v>
      </c>
      <c r="D2517" s="1">
        <f>0.775770392695911*(10.3/7.3)</f>
        <v>1.0945801431188886</v>
      </c>
      <c r="E2517" s="1">
        <f>2.71597976901162*(10.3/7.3)</f>
        <v>3.8321358384684467</v>
      </c>
      <c r="F2517" s="1">
        <f>6.56565163390382*(38.9/42.5)</f>
        <v>6.0095023190319647</v>
      </c>
      <c r="G2517" s="1">
        <v>0.29673012028357582</v>
      </c>
      <c r="H2517" s="1">
        <v>1.3777851089615294</v>
      </c>
      <c r="I2517" s="1">
        <v>5.0085119236200404</v>
      </c>
      <c r="J2517" s="1">
        <v>2.8305940797319611E-2</v>
      </c>
      <c r="K2517" s="1">
        <v>3.4906240189668307</v>
      </c>
      <c r="L2517" s="1">
        <v>2.5588150228728401</v>
      </c>
      <c r="M2517" s="1">
        <v>0.16620192881912582</v>
      </c>
      <c r="N2517" s="1">
        <v>1.0130303858877396</v>
      </c>
      <c r="O2517" s="1">
        <v>1.1251851851851853</v>
      </c>
      <c r="P2517" s="1">
        <v>0.37086615754923491</v>
      </c>
      <c r="Q2517" s="1">
        <v>0.47422621963128603</v>
      </c>
      <c r="R2517" s="2">
        <f t="shared" si="159"/>
        <v>18.936275626180684</v>
      </c>
      <c r="S2517" s="2">
        <f t="shared" si="158"/>
        <v>3.8897961173133853</v>
      </c>
      <c r="T2517" s="2">
        <f t="shared" si="160"/>
        <v>4.8632325227648909</v>
      </c>
      <c r="U2517" s="2">
        <f t="shared" si="161"/>
        <v>27.689304266258958</v>
      </c>
    </row>
    <row r="2518" spans="1:21" x14ac:dyDescent="0.25">
      <c r="A2518">
        <v>4220389</v>
      </c>
      <c r="B2518">
        <v>36</v>
      </c>
      <c r="C2518" s="1">
        <f>0.988969619853765*(10.3/7.3)</f>
        <v>1.3953954910265449</v>
      </c>
      <c r="D2518" s="1">
        <f>1.29692735800765*(10.3/7.3)</f>
        <v>1.829911203764214</v>
      </c>
      <c r="E2518" s="1">
        <f>4.52800461433474*(10.3/7.3)</f>
        <v>6.3888284284449099</v>
      </c>
      <c r="F2518" s="1">
        <f>11.4877909798504*(38.9/42.5)</f>
        <v>10.514707508615968</v>
      </c>
      <c r="G2518" s="1">
        <v>0.5409185040215595</v>
      </c>
      <c r="H2518" s="1">
        <v>2.1581194490837876</v>
      </c>
      <c r="I2518" s="1">
        <v>8.8135502147892897</v>
      </c>
      <c r="J2518" s="1">
        <v>6.2552602588286987E-2</v>
      </c>
      <c r="K2518" s="1">
        <v>5.0056586369836396</v>
      </c>
      <c r="L2518" s="1">
        <v>4.1368653346274868</v>
      </c>
      <c r="M2518" s="1">
        <v>0.27340467543306918</v>
      </c>
      <c r="N2518" s="1">
        <v>1.5401639791568247</v>
      </c>
      <c r="O2518" s="1">
        <v>2.485362962962963</v>
      </c>
      <c r="P2518" s="1">
        <v>0.48225001199972239</v>
      </c>
      <c r="Q2518" s="1">
        <v>0.86448162743171664</v>
      </c>
      <c r="R2518" s="2">
        <f t="shared" si="159"/>
        <v>32.505912427177989</v>
      </c>
      <c r="S2518" s="2">
        <f t="shared" si="158"/>
        <v>5.5504612515716492</v>
      </c>
      <c r="T2518" s="2">
        <f t="shared" si="160"/>
        <v>8.4357969521803433</v>
      </c>
      <c r="U2518" s="2">
        <f t="shared" si="161"/>
        <v>46.492170630929976</v>
      </c>
    </row>
    <row r="2519" spans="1:21" x14ac:dyDescent="0.25">
      <c r="A2519">
        <v>4220853</v>
      </c>
      <c r="B2519">
        <v>7</v>
      </c>
      <c r="C2519" s="1">
        <f>7.63070202928322*(10.3/7.3)</f>
        <v>10.766606972824265</v>
      </c>
      <c r="D2519" s="1">
        <f>15.5570167538759*(10.3/7.3)</f>
        <v>21.950311310263253</v>
      </c>
      <c r="E2519" s="1">
        <f>54.4466002281015*(10.3/7.3)</f>
        <v>76.821915390334951</v>
      </c>
      <c r="F2519" s="1">
        <f>88.8165177236028*(38.9/42.5)</f>
        <v>81.293236222309403</v>
      </c>
      <c r="G2519" s="1">
        <v>2.6682719052441248</v>
      </c>
      <c r="H2519" s="1">
        <v>12.958394061321345</v>
      </c>
      <c r="I2519" s="1">
        <v>52.197478760138416</v>
      </c>
      <c r="J2519" s="1">
        <v>5.0701435523036978E-2</v>
      </c>
      <c r="K2519" s="1">
        <v>3.2373153470467968</v>
      </c>
      <c r="L2519" s="1">
        <v>6.2039953270349333</v>
      </c>
      <c r="M2519" s="1">
        <v>0.25324695232995187</v>
      </c>
      <c r="N2519" s="1">
        <v>2.2932923260245492</v>
      </c>
      <c r="O2519" s="1">
        <v>0.22365714285714283</v>
      </c>
      <c r="P2519" s="1">
        <v>0.16156441345559727</v>
      </c>
      <c r="Q2519" s="1">
        <v>4.2643614923992912</v>
      </c>
      <c r="R2519" s="2">
        <f t="shared" si="159"/>
        <v>262.92057611483506</v>
      </c>
      <c r="S2519" s="2">
        <f t="shared" si="158"/>
        <v>3.4495811960254308</v>
      </c>
      <c r="T2519" s="2">
        <f t="shared" si="160"/>
        <v>8.9741917482465769</v>
      </c>
      <c r="U2519" s="2">
        <f t="shared" si="161"/>
        <v>275.34434905910706</v>
      </c>
    </row>
    <row r="2520" spans="1:21" x14ac:dyDescent="0.25">
      <c r="A2520">
        <v>4220869</v>
      </c>
      <c r="B2520">
        <v>37</v>
      </c>
      <c r="C2520" s="1">
        <f>9.80303782877941*(10.3/7.3)</f>
        <v>13.831683511839438</v>
      </c>
      <c r="D2520" s="1">
        <f>11.3461275571467*(10.3/7.3)</f>
        <v>16.008919703919258</v>
      </c>
      <c r="E2520" s="1">
        <f>40.2717576370399*(10.3/7.3)</f>
        <v>56.821795022124789</v>
      </c>
      <c r="F2520" s="1">
        <f>80.157587935283*(38.9/42.5)</f>
        <v>73.367768721941417</v>
      </c>
      <c r="G2520" s="1">
        <v>2.8773603324374024</v>
      </c>
      <c r="H2520" s="1">
        <v>15.077121346007537</v>
      </c>
      <c r="I2520" s="1">
        <v>61.276734505036231</v>
      </c>
      <c r="J2520" s="1">
        <v>5.3633866128874927E-2</v>
      </c>
      <c r="K2520" s="1">
        <v>3.3737584612368101</v>
      </c>
      <c r="L2520" s="1">
        <v>6.6452286840916601</v>
      </c>
      <c r="M2520" s="1">
        <v>0.26061189484274239</v>
      </c>
      <c r="N2520" s="1">
        <v>2.4444691087292378</v>
      </c>
      <c r="O2520" s="1">
        <v>0.23039279279279282</v>
      </c>
      <c r="P2520" s="1">
        <v>0.16475904690280999</v>
      </c>
      <c r="Q2520" s="1">
        <v>4.5985210792378624</v>
      </c>
      <c r="R2520" s="2">
        <f t="shared" si="159"/>
        <v>243.85990422254395</v>
      </c>
      <c r="S2520" s="2">
        <f t="shared" si="158"/>
        <v>3.5921513742684952</v>
      </c>
      <c r="T2520" s="2">
        <f t="shared" si="160"/>
        <v>9.5807024804564325</v>
      </c>
      <c r="U2520" s="2">
        <f t="shared" si="161"/>
        <v>257.03275807726885</v>
      </c>
    </row>
    <row r="2521" spans="1:21" x14ac:dyDescent="0.25">
      <c r="A2521">
        <v>4220877</v>
      </c>
      <c r="B2521">
        <v>20</v>
      </c>
      <c r="C2521" s="1">
        <f>3.56849544269287*(10.3/7.3)</f>
        <v>5.035000419141995</v>
      </c>
      <c r="D2521" s="1">
        <f>5.02018729757201*(10.3/7.3)</f>
        <v>7.0832779678070823</v>
      </c>
      <c r="E2521" s="1">
        <f>17.6602077927668*(10.3/7.3)</f>
        <v>24.917827433629835</v>
      </c>
      <c r="F2521" s="1">
        <f>35.4045539247942*(38.9/42.5)</f>
        <v>32.405579945282263</v>
      </c>
      <c r="G2521" s="1">
        <v>1.3387189793894567</v>
      </c>
      <c r="H2521" s="1">
        <v>8.2038957455101436</v>
      </c>
      <c r="I2521" s="1">
        <v>25.364610500017356</v>
      </c>
      <c r="J2521" s="1">
        <v>3.9396873924645401E-2</v>
      </c>
      <c r="K2521" s="1">
        <v>2.5911927555388288</v>
      </c>
      <c r="L2521" s="1">
        <v>4.8842243636457621</v>
      </c>
      <c r="M2521" s="1">
        <v>0.19026866431409153</v>
      </c>
      <c r="N2521" s="1">
        <v>1.8732749047728039</v>
      </c>
      <c r="O2521" s="1">
        <v>0.16929599999999997</v>
      </c>
      <c r="P2521" s="1">
        <v>0.13325309542582237</v>
      </c>
      <c r="Q2521" s="1">
        <v>2.1395052182023306</v>
      </c>
      <c r="R2521" s="2">
        <f t="shared" si="159"/>
        <v>106.48841620898044</v>
      </c>
      <c r="S2521" s="2">
        <f t="shared" si="158"/>
        <v>2.7638427248892965</v>
      </c>
      <c r="T2521" s="2">
        <f t="shared" si="160"/>
        <v>7.1170639327326572</v>
      </c>
      <c r="U2521" s="2">
        <f t="shared" si="161"/>
        <v>116.3693228666024</v>
      </c>
    </row>
    <row r="2522" spans="1:21" x14ac:dyDescent="0.25">
      <c r="A2522">
        <v>4220885</v>
      </c>
      <c r="B2522">
        <v>33</v>
      </c>
      <c r="C2522" s="1">
        <f>4.60019795142022*(10.3/7.3)</f>
        <v>6.4906902602230447</v>
      </c>
      <c r="D2522" s="1">
        <f>6.65371306133882*(10.3/7.3)</f>
        <v>9.388115689286284</v>
      </c>
      <c r="E2522" s="1">
        <f>23.4120861890829*(10.3/7.3)</f>
        <v>33.033491472267642</v>
      </c>
      <c r="F2522" s="1">
        <f>45.360470917503*(38.9/42.5)</f>
        <v>41.518172204491023</v>
      </c>
      <c r="G2522" s="1">
        <v>1.6517893605427334</v>
      </c>
      <c r="H2522" s="1">
        <v>8.8921113932660258</v>
      </c>
      <c r="I2522" s="1">
        <v>31.921169951931631</v>
      </c>
      <c r="J2522" s="1">
        <v>4.5261868732452235E-2</v>
      </c>
      <c r="K2522" s="1">
        <v>2.7425573698980474</v>
      </c>
      <c r="L2522" s="1">
        <v>5.0234490943448176</v>
      </c>
      <c r="M2522" s="1">
        <v>0.20286140022493526</v>
      </c>
      <c r="N2522" s="1">
        <v>2.382224930465878</v>
      </c>
      <c r="O2522" s="1">
        <v>0.17993535353535356</v>
      </c>
      <c r="P2522" s="1">
        <v>0.13702246677889585</v>
      </c>
      <c r="Q2522" s="1">
        <v>2.6398460099998058</v>
      </c>
      <c r="R2522" s="2">
        <f t="shared" si="159"/>
        <v>135.5353863420082</v>
      </c>
      <c r="S2522" s="2">
        <f t="shared" si="158"/>
        <v>2.9248417054093956</v>
      </c>
      <c r="T2522" s="2">
        <f t="shared" si="160"/>
        <v>7.7884707785709848</v>
      </c>
      <c r="U2522" s="2">
        <f t="shared" si="161"/>
        <v>146.24869882598858</v>
      </c>
    </row>
    <row r="2523" spans="1:21" x14ac:dyDescent="0.25">
      <c r="A2523">
        <v>4220965</v>
      </c>
      <c r="B2523">
        <v>12</v>
      </c>
      <c r="C2523" s="1">
        <f>11.3290785335338*(10.3/7.3)</f>
        <v>15.984864232246384</v>
      </c>
      <c r="D2523" s="1">
        <f>17.0116917077529*(10.3/7.3)</f>
        <v>24.002797889021195</v>
      </c>
      <c r="E2523" s="1">
        <f>59.9373180789965*(10.3/7.3)</f>
        <v>84.569092632008804</v>
      </c>
      <c r="F2523" s="1">
        <f>107.787583038834*(38.9/42.5)</f>
        <v>98.657340710838582</v>
      </c>
      <c r="G2523" s="1">
        <v>3.5593308441890077</v>
      </c>
      <c r="H2523" s="1">
        <v>8.6879960233317721</v>
      </c>
      <c r="I2523" s="1">
        <v>73.273233690643352</v>
      </c>
      <c r="J2523" s="1">
        <v>9.5723847960341599E-2</v>
      </c>
      <c r="K2523" s="1">
        <v>3.8299397408380482</v>
      </c>
      <c r="L2523" s="1">
        <v>7.6160214836810818</v>
      </c>
      <c r="M2523" s="1">
        <v>0.26198213973442486</v>
      </c>
      <c r="N2523" s="1">
        <v>4.5311451969706997</v>
      </c>
      <c r="O2523" s="1">
        <v>0.22708000000000003</v>
      </c>
      <c r="P2523" s="1">
        <v>0.15265969674981542</v>
      </c>
      <c r="Q2523" s="1">
        <v>5.6884282897997887</v>
      </c>
      <c r="R2523" s="2">
        <f t="shared" si="159"/>
        <v>314.42308431207891</v>
      </c>
      <c r="S2523" s="2">
        <f t="shared" si="158"/>
        <v>4.0783232855482048</v>
      </c>
      <c r="T2523" s="2">
        <f t="shared" si="160"/>
        <v>12.636228820386208</v>
      </c>
      <c r="U2523" s="2">
        <f t="shared" si="161"/>
        <v>331.13763641801336</v>
      </c>
    </row>
    <row r="2524" spans="1:21" x14ac:dyDescent="0.25">
      <c r="A2524">
        <v>4220973</v>
      </c>
      <c r="B2524">
        <v>53</v>
      </c>
      <c r="C2524" s="1">
        <f>8.48308943826884*(10.3/7.3)</f>
        <v>11.969290577283434</v>
      </c>
      <c r="D2524" s="1">
        <f>12.4836372610167*(10.3/7.3)</f>
        <v>17.613899149105805</v>
      </c>
      <c r="E2524" s="1">
        <f>43.9998895452931*(10.3/7.3)</f>
        <v>62.082035933769689</v>
      </c>
      <c r="F2524" s="1">
        <f>80.0144562882412*(38.9/42.5)</f>
        <v>73.236761167354899</v>
      </c>
      <c r="G2524" s="1">
        <v>2.6751260564643702</v>
      </c>
      <c r="H2524" s="1">
        <v>7.4330235351743417</v>
      </c>
      <c r="I2524" s="1">
        <v>54.97054341370589</v>
      </c>
      <c r="J2524" s="1">
        <v>7.3243781443656009E-2</v>
      </c>
      <c r="K2524" s="1">
        <v>3.747823756120487</v>
      </c>
      <c r="L2524" s="1">
        <v>7.1330694397977314</v>
      </c>
      <c r="M2524" s="1">
        <v>0.24532693135508279</v>
      </c>
      <c r="N2524" s="1">
        <v>3.2895702367604462</v>
      </c>
      <c r="O2524" s="1">
        <v>0.21491924528301884</v>
      </c>
      <c r="P2524" s="1">
        <v>0.14796972742728326</v>
      </c>
      <c r="Q2524" s="1">
        <v>4.2753156153540228</v>
      </c>
      <c r="R2524" s="2">
        <f t="shared" si="159"/>
        <v>234.25599544821245</v>
      </c>
      <c r="S2524" s="2">
        <f t="shared" si="158"/>
        <v>3.9690372649914263</v>
      </c>
      <c r="T2524" s="2">
        <f t="shared" si="160"/>
        <v>10.88288585319628</v>
      </c>
      <c r="U2524" s="2">
        <f t="shared" si="161"/>
        <v>249.10791856640014</v>
      </c>
    </row>
    <row r="2525" spans="1:21" x14ac:dyDescent="0.25">
      <c r="A2525">
        <v>4220981</v>
      </c>
      <c r="B2525">
        <v>61</v>
      </c>
      <c r="C2525" s="1">
        <f>7.03239684518023*(10.3/7.3)</f>
        <v>9.9224229459392301</v>
      </c>
      <c r="D2525" s="1">
        <f>10.1371439425323*(10.3/7.3)</f>
        <v>14.303093507956598</v>
      </c>
      <c r="E2525" s="1">
        <f>35.7448408298904*(10.3/7.3)</f>
        <v>50.434501444913813</v>
      </c>
      <c r="F2525" s="1">
        <f>65.6748319043667*(38.9/42.5)</f>
        <v>60.111787319526201</v>
      </c>
      <c r="G2525" s="1">
        <v>2.219228756789061</v>
      </c>
      <c r="H2525" s="1">
        <v>8.8941989325556214</v>
      </c>
      <c r="I2525" s="1">
        <v>45.586580545595304</v>
      </c>
      <c r="J2525" s="1">
        <v>6.2346575337004141E-2</v>
      </c>
      <c r="K2525" s="1">
        <v>3.7144238530205493</v>
      </c>
      <c r="L2525" s="1">
        <v>6.452297058263138</v>
      </c>
      <c r="M2525" s="1">
        <v>0.2208802676483835</v>
      </c>
      <c r="N2525" s="1">
        <v>2.9183329989346372</v>
      </c>
      <c r="O2525" s="1">
        <v>0.19591344262295082</v>
      </c>
      <c r="P2525" s="1">
        <v>0.13920805731878755</v>
      </c>
      <c r="Q2525" s="1">
        <v>3.5467126250053513</v>
      </c>
      <c r="R2525" s="2">
        <f t="shared" si="159"/>
        <v>195.01852607828113</v>
      </c>
      <c r="S2525" s="2">
        <f t="shared" si="158"/>
        <v>3.9159784856763409</v>
      </c>
      <c r="T2525" s="2">
        <f t="shared" si="160"/>
        <v>9.7874237674691091</v>
      </c>
      <c r="U2525" s="2">
        <f t="shared" si="161"/>
        <v>208.72192833142657</v>
      </c>
    </row>
    <row r="2526" spans="1:21" x14ac:dyDescent="0.25">
      <c r="A2526">
        <v>4220997</v>
      </c>
      <c r="B2526">
        <v>40</v>
      </c>
      <c r="C2526" s="1">
        <f>4.41345159615018*(10.3/7.3)</f>
        <v>6.2271988274447798</v>
      </c>
      <c r="D2526" s="1">
        <f>6.11372664477166*(10.3/7.3)</f>
        <v>8.6262170467326129</v>
      </c>
      <c r="E2526" s="1">
        <f>21.5619839121029*(10.3/7.3)</f>
        <v>30.423073191049333</v>
      </c>
      <c r="F2526" s="1">
        <f>41.137088442*(38.9/42.5)</f>
        <v>37.652535068089442</v>
      </c>
      <c r="G2526" s="1">
        <v>1.453926922334029</v>
      </c>
      <c r="H2526" s="1">
        <v>6.227157609802374</v>
      </c>
      <c r="I2526" s="1">
        <v>29.251841360904258</v>
      </c>
      <c r="J2526" s="1">
        <v>4.4007539127238884E-2</v>
      </c>
      <c r="K2526" s="1">
        <v>2.8732387608522436</v>
      </c>
      <c r="L2526" s="1">
        <v>4.5510587488410064</v>
      </c>
      <c r="M2526" s="1">
        <v>0.16373597205120161</v>
      </c>
      <c r="N2526" s="1">
        <v>2.7594415914011083</v>
      </c>
      <c r="O2526" s="1">
        <v>0.14546666666666666</v>
      </c>
      <c r="P2526" s="1">
        <v>0.11309768978573349</v>
      </c>
      <c r="Q2526" s="1">
        <v>2.3236275014470804</v>
      </c>
      <c r="R2526" s="2">
        <f t="shared" si="159"/>
        <v>122.18557752780393</v>
      </c>
      <c r="S2526" s="2">
        <f t="shared" si="158"/>
        <v>3.0303439897652162</v>
      </c>
      <c r="T2526" s="2">
        <f t="shared" si="160"/>
        <v>7.6197029789599826</v>
      </c>
      <c r="U2526" s="2">
        <f t="shared" si="161"/>
        <v>132.83562449652914</v>
      </c>
    </row>
    <row r="2527" spans="1:21" x14ac:dyDescent="0.25">
      <c r="A2527">
        <v>4221005</v>
      </c>
      <c r="B2527">
        <v>63</v>
      </c>
      <c r="C2527" s="1">
        <f>7.22387539808961*(10.3/7.3)</f>
        <v>10.192591315112738</v>
      </c>
      <c r="D2527" s="1">
        <f>9.89029577893101*(10.3/7.3)</f>
        <v>13.954800893560192</v>
      </c>
      <c r="E2527" s="1">
        <f>34.910223426104*(10.3/7.3)</f>
        <v>49.256890587516629</v>
      </c>
      <c r="F2527" s="1">
        <f>65.9904380337872*(38.9/42.5)</f>
        <v>60.400659753278156</v>
      </c>
      <c r="G2527" s="1">
        <v>2.2963331405725409</v>
      </c>
      <c r="H2527" s="1">
        <v>6.7243569900656821</v>
      </c>
      <c r="I2527" s="1">
        <v>47.002945235308772</v>
      </c>
      <c r="J2527" s="1">
        <v>6.6119352108431978E-2</v>
      </c>
      <c r="K2527" s="1">
        <v>3.7014922376620421</v>
      </c>
      <c r="L2527" s="1">
        <v>6.6419299955042588</v>
      </c>
      <c r="M2527" s="1">
        <v>0.21924363772978997</v>
      </c>
      <c r="N2527" s="1">
        <v>3.5642825303823864</v>
      </c>
      <c r="O2527" s="1">
        <v>0.19159365079365082</v>
      </c>
      <c r="P2527" s="1">
        <v>0.13733841614048301</v>
      </c>
      <c r="Q2527" s="1">
        <v>3.6699388091342007</v>
      </c>
      <c r="R2527" s="2">
        <f t="shared" si="159"/>
        <v>193.49851672454889</v>
      </c>
      <c r="S2527" s="2">
        <f t="shared" si="158"/>
        <v>3.904950005910957</v>
      </c>
      <c r="T2527" s="2">
        <f t="shared" si="160"/>
        <v>10.617049814410086</v>
      </c>
      <c r="U2527" s="2">
        <f t="shared" si="161"/>
        <v>208.02051654486993</v>
      </c>
    </row>
    <row r="2528" spans="1:21" x14ac:dyDescent="0.25">
      <c r="A2528">
        <v>4221013</v>
      </c>
      <c r="B2528">
        <v>54</v>
      </c>
      <c r="C2528" s="1">
        <f>8.88367747662217*(10.3/7.3)</f>
        <v>12.534503836877851</v>
      </c>
      <c r="D2528" s="1">
        <f>12.012972567503*(10.3/7.3)</f>
        <v>16.949810608942631</v>
      </c>
      <c r="E2528" s="1">
        <f>42.3915117195404*(10.3/7.3)</f>
        <v>59.81268091935155</v>
      </c>
      <c r="F2528" s="1">
        <f>81.7981932514227*(38.9/42.5)</f>
        <v>74.869405117184584</v>
      </c>
      <c r="G2528" s="1">
        <v>2.920468948013982</v>
      </c>
      <c r="H2528" s="1">
        <v>7.6912494571913141</v>
      </c>
      <c r="I2528" s="1">
        <v>58.816051045635916</v>
      </c>
      <c r="J2528" s="1">
        <v>7.9518424188745815E-2</v>
      </c>
      <c r="K2528" s="1">
        <v>3.9709199330393044</v>
      </c>
      <c r="L2528" s="1">
        <v>7.6824113974997585</v>
      </c>
      <c r="M2528" s="1">
        <v>0.24342113063038356</v>
      </c>
      <c r="N2528" s="1">
        <v>3.4647619746277654</v>
      </c>
      <c r="O2528" s="1">
        <v>0.20903209876543211</v>
      </c>
      <c r="P2528" s="1">
        <v>0.14675461028743589</v>
      </c>
      <c r="Q2528" s="1">
        <v>4.6674161269629906</v>
      </c>
      <c r="R2528" s="2">
        <f t="shared" si="159"/>
        <v>238.26158606016079</v>
      </c>
      <c r="S2528" s="2">
        <f t="shared" si="158"/>
        <v>4.1971929675154867</v>
      </c>
      <c r="T2528" s="2">
        <f t="shared" si="160"/>
        <v>11.599626601523338</v>
      </c>
      <c r="U2528" s="2">
        <f t="shared" si="161"/>
        <v>254.05840562919963</v>
      </c>
    </row>
    <row r="2529" spans="1:21" x14ac:dyDescent="0.25">
      <c r="A2529">
        <v>4221029</v>
      </c>
      <c r="B2529">
        <v>56</v>
      </c>
      <c r="C2529" s="1">
        <f>6.72295232754824*(10.3/7.3)</f>
        <v>9.4858094484584807</v>
      </c>
      <c r="D2529" s="1">
        <f>8.83959982358857*(10.3/7.3)</f>
        <v>12.472312079857851</v>
      </c>
      <c r="E2529" s="1">
        <f>31.2493272226593*(10.3/7.3)</f>
        <v>44.091516492245248</v>
      </c>
      <c r="F2529" s="1">
        <f>59.3452206380469*(38.9/42.5)</f>
        <v>54.31833136047117</v>
      </c>
      <c r="G2529" s="1">
        <v>2.0592006765288393</v>
      </c>
      <c r="H2529" s="1">
        <v>8.4635770870256195</v>
      </c>
      <c r="I2529" s="1">
        <v>42.925699457296687</v>
      </c>
      <c r="J2529" s="1">
        <v>7.5276556254932486E-2</v>
      </c>
      <c r="K2529" s="1">
        <v>3.2778076110418262</v>
      </c>
      <c r="L2529" s="1">
        <v>6.1683619736675492</v>
      </c>
      <c r="M2529" s="1">
        <v>0.20278650994984582</v>
      </c>
      <c r="N2529" s="1">
        <v>2.8618742929698464</v>
      </c>
      <c r="O2529" s="1">
        <v>0.17536095238095237</v>
      </c>
      <c r="P2529" s="1">
        <v>0.12735482580041249</v>
      </c>
      <c r="Q2529" s="1">
        <v>3.290959985320066</v>
      </c>
      <c r="R2529" s="2">
        <f t="shared" si="159"/>
        <v>177.10740658720397</v>
      </c>
      <c r="S2529" s="2">
        <f t="shared" si="158"/>
        <v>3.4804389930971711</v>
      </c>
      <c r="T2529" s="2">
        <f t="shared" si="160"/>
        <v>9.4083837289681931</v>
      </c>
      <c r="U2529" s="2">
        <f t="shared" si="161"/>
        <v>189.99622930926935</v>
      </c>
    </row>
    <row r="2530" spans="1:21" x14ac:dyDescent="0.25">
      <c r="A2530">
        <v>4221085</v>
      </c>
      <c r="B2530">
        <v>12</v>
      </c>
      <c r="C2530" s="1">
        <f>4.5374066446116*(10.3/7.3)</f>
        <v>6.4020943067807501</v>
      </c>
      <c r="D2530" s="1">
        <f>5.5553471111583*(10.3/7.3)</f>
        <v>7.8383664719082899</v>
      </c>
      <c r="E2530" s="1">
        <f>19.6461162897605*(10.3/7.3)</f>
        <v>27.719862710209991</v>
      </c>
      <c r="F2530" s="1">
        <f>40.0936552373929*(38.9/42.5)</f>
        <v>36.697486793754912</v>
      </c>
      <c r="G2530" s="1">
        <v>1.5057950850830757</v>
      </c>
      <c r="H2530" s="1">
        <v>8.667841507312831</v>
      </c>
      <c r="I2530" s="1">
        <v>30.189253221143701</v>
      </c>
      <c r="J2530" s="1">
        <v>4.420781834457959E-2</v>
      </c>
      <c r="K2530" s="1">
        <v>2.4173020866468078</v>
      </c>
      <c r="L2530" s="1">
        <v>5.6582292059470403</v>
      </c>
      <c r="M2530" s="1">
        <v>0.13979022632348972</v>
      </c>
      <c r="N2530" s="1">
        <v>1.9439215964018743</v>
      </c>
      <c r="O2530" s="1">
        <v>0.11902222222222221</v>
      </c>
      <c r="P2530" s="1">
        <v>9.4601153162917451E-2</v>
      </c>
      <c r="Q2530" s="1">
        <v>2.4065218254752376</v>
      </c>
      <c r="R2530" s="2">
        <f t="shared" si="159"/>
        <v>121.42722192166879</v>
      </c>
      <c r="S2530" s="2">
        <f t="shared" si="158"/>
        <v>2.5561110581543049</v>
      </c>
      <c r="T2530" s="2">
        <f t="shared" si="160"/>
        <v>7.8609632508946259</v>
      </c>
      <c r="U2530" s="2">
        <f t="shared" si="161"/>
        <v>131.8442962307177</v>
      </c>
    </row>
    <row r="2531" spans="1:21" x14ac:dyDescent="0.25">
      <c r="A2531">
        <v>4221093</v>
      </c>
      <c r="B2531">
        <v>4</v>
      </c>
      <c r="C2531" s="1">
        <f>4.57537713018967*(10.3/7.3)</f>
        <v>6.4556691015004937</v>
      </c>
      <c r="D2531" s="1">
        <f>5.63656751981241*(10.3/7.3)</f>
        <v>7.9529651306942295</v>
      </c>
      <c r="E2531" s="1">
        <f>19.9260087092444*(10.3/7.3)</f>
        <v>28.114779411673677</v>
      </c>
      <c r="F2531" s="1">
        <f>40.7500636008121*(38.9/42.5)</f>
        <v>37.298293507566868</v>
      </c>
      <c r="G2531" s="1">
        <v>1.5364635557311068</v>
      </c>
      <c r="H2531" s="1">
        <v>5.5559282492215427</v>
      </c>
      <c r="I2531" s="1">
        <v>30.631595302553976</v>
      </c>
      <c r="J2531" s="1">
        <v>4.0134342737649945E-2</v>
      </c>
      <c r="K2531" s="1">
        <v>2.2375752260095356</v>
      </c>
      <c r="L2531" s="1">
        <v>4.7820610390082248</v>
      </c>
      <c r="M2531" s="1">
        <v>0.13088612057145194</v>
      </c>
      <c r="N2531" s="1">
        <v>1.6892620089287556</v>
      </c>
      <c r="O2531" s="1">
        <v>0.11077333333333333</v>
      </c>
      <c r="P2531" s="1">
        <v>8.8632261711215021E-2</v>
      </c>
      <c r="Q2531" s="1">
        <v>2.4555353630405841</v>
      </c>
      <c r="R2531" s="2">
        <f t="shared" si="159"/>
        <v>120.00122962198247</v>
      </c>
      <c r="S2531" s="2">
        <f t="shared" si="158"/>
        <v>2.3663418304584005</v>
      </c>
      <c r="T2531" s="2">
        <f t="shared" si="160"/>
        <v>6.7129825018417657</v>
      </c>
      <c r="U2531" s="2">
        <f t="shared" si="161"/>
        <v>129.08055395428264</v>
      </c>
    </row>
    <row r="2532" spans="1:21" x14ac:dyDescent="0.25">
      <c r="A2532">
        <v>4221109</v>
      </c>
      <c r="B2532">
        <v>1</v>
      </c>
      <c r="C2532" s="1">
        <f>5.52430735980246*(10.3/7.3)</f>
        <v>7.7945706583514118</v>
      </c>
      <c r="D2532" s="1">
        <f>6.53246507639738*(10.3/7.3)</f>
        <v>9.2170397653278169</v>
      </c>
      <c r="E2532" s="1">
        <f>23.0581781742235*(10.3/7.3)</f>
        <v>32.53414180746605</v>
      </c>
      <c r="F2532" s="1">
        <f>51.1519997200354*(38.9/42.5)</f>
        <v>46.819124449632447</v>
      </c>
      <c r="G2532" s="1">
        <v>2.0976160973842974</v>
      </c>
      <c r="H2532" s="1">
        <v>9.5028543029309223</v>
      </c>
      <c r="I2532" s="1">
        <v>39.530723704365272</v>
      </c>
      <c r="J2532" s="1">
        <v>4.0335894916117825E-2</v>
      </c>
      <c r="K2532" s="1">
        <v>2.3291126477903537</v>
      </c>
      <c r="L2532" s="1">
        <v>4.7095094720493904</v>
      </c>
      <c r="M2532" s="1">
        <v>0.13363618480432865</v>
      </c>
      <c r="N2532" s="1">
        <v>1.9444728999194161</v>
      </c>
      <c r="O2532" s="1">
        <v>0.11402666666666667</v>
      </c>
      <c r="P2532" s="1">
        <v>9.0717522821600102E-2</v>
      </c>
      <c r="Q2532" s="1">
        <v>3.3523544935365517</v>
      </c>
      <c r="R2532" s="2">
        <f t="shared" si="159"/>
        <v>150.8484252789948</v>
      </c>
      <c r="S2532" s="2">
        <f t="shared" si="158"/>
        <v>2.4601660655280715</v>
      </c>
      <c r="T2532" s="2">
        <f t="shared" si="160"/>
        <v>6.9016452234398011</v>
      </c>
      <c r="U2532" s="2">
        <f t="shared" si="161"/>
        <v>160.21023656796268</v>
      </c>
    </row>
    <row r="2533" spans="1:21" x14ac:dyDescent="0.25">
      <c r="A2533">
        <v>4221117</v>
      </c>
      <c r="B2533">
        <v>16</v>
      </c>
      <c r="C2533" s="1">
        <f>5.67267105782167*(10.3/7.3)</f>
        <v>8.00390573911824</v>
      </c>
      <c r="D2533" s="1">
        <f>6.65746233334907*(10.3/7.3)</f>
        <v>9.3934057580130723</v>
      </c>
      <c r="E2533" s="1">
        <f>23.4115508559305*(10.3/7.3)</f>
        <v>33.032736139189538</v>
      </c>
      <c r="F2533" s="1">
        <f>56.8178700826966*(38.9/42.5)</f>
        <v>52.005062263926966</v>
      </c>
      <c r="G2533" s="1">
        <v>2.5367206436014444</v>
      </c>
      <c r="H2533" s="1">
        <v>10.102031268744037</v>
      </c>
      <c r="I2533" s="1">
        <v>44.611465175693027</v>
      </c>
      <c r="J2533" s="1">
        <v>3.6166947224650775E-2</v>
      </c>
      <c r="K2533" s="1">
        <v>2.273603454871139</v>
      </c>
      <c r="L2533" s="1">
        <v>4.8309983057123436</v>
      </c>
      <c r="M2533" s="1">
        <v>0.12817177927353435</v>
      </c>
      <c r="N2533" s="1">
        <v>2.3922664066509229</v>
      </c>
      <c r="O2533" s="1">
        <v>0.10920666666666663</v>
      </c>
      <c r="P2533" s="1">
        <v>8.8371242689734841E-2</v>
      </c>
      <c r="Q2533" s="1">
        <v>4.0541197500479749</v>
      </c>
      <c r="R2533" s="2">
        <f t="shared" si="159"/>
        <v>163.73944673833432</v>
      </c>
      <c r="S2533" s="2">
        <f t="shared" si="158"/>
        <v>2.3981416447855248</v>
      </c>
      <c r="T2533" s="2">
        <f t="shared" si="160"/>
        <v>7.4606431583034674</v>
      </c>
      <c r="U2533" s="2">
        <f t="shared" si="161"/>
        <v>173.5982315414233</v>
      </c>
    </row>
    <row r="2534" spans="1:21" x14ac:dyDescent="0.25">
      <c r="A2534">
        <v>4221317</v>
      </c>
      <c r="B2534">
        <v>24</v>
      </c>
      <c r="C2534" s="1">
        <f>16.120031104134*(10.3/7.3)</f>
        <v>22.744701420901357</v>
      </c>
      <c r="D2534" s="1">
        <f>13.8581396962016*(10.3/7.3)</f>
        <v>19.553265598750151</v>
      </c>
      <c r="E2534" s="1">
        <f>49.9938842760865*(10.3/7.3)</f>
        <v>70.539316170368636</v>
      </c>
      <c r="F2534" s="1">
        <f>100.562410493619*(38.9/42.5)</f>
        <v>92.044182781218439</v>
      </c>
      <c r="G2534" s="1">
        <v>3.3604328472311487</v>
      </c>
      <c r="H2534" s="1">
        <v>8.619834569851049</v>
      </c>
      <c r="I2534" s="1">
        <v>86.366661004421772</v>
      </c>
      <c r="J2534" s="1">
        <v>3.5283653642523144E-2</v>
      </c>
      <c r="K2534" s="1">
        <v>2.4610602837744575</v>
      </c>
      <c r="L2534" s="1">
        <v>2.8483971145204907</v>
      </c>
      <c r="M2534" s="1">
        <v>0.1209758942164857</v>
      </c>
      <c r="N2534" s="1">
        <v>1.4598104386983159</v>
      </c>
      <c r="O2534" s="1">
        <v>0.11077777777777777</v>
      </c>
      <c r="P2534" s="1">
        <v>8.4603742065573043E-2</v>
      </c>
      <c r="Q2534" s="1">
        <v>5.3705547786799235</v>
      </c>
      <c r="R2534" s="2">
        <f t="shared" si="159"/>
        <v>308.59894917142248</v>
      </c>
      <c r="S2534" s="2">
        <f t="shared" si="158"/>
        <v>2.5809476794825534</v>
      </c>
      <c r="T2534" s="2">
        <f t="shared" si="160"/>
        <v>4.5399612252130703</v>
      </c>
      <c r="U2534" s="2">
        <f t="shared" si="161"/>
        <v>315.7198580761181</v>
      </c>
    </row>
    <row r="2535" spans="1:21" x14ac:dyDescent="0.25">
      <c r="A2535">
        <v>4221325</v>
      </c>
      <c r="B2535">
        <v>58</v>
      </c>
      <c r="C2535" s="1">
        <f>12.4894696660706*(10.3/7.3)</f>
        <v>17.62212843294887</v>
      </c>
      <c r="D2535" s="1">
        <f>11.6444835603873*(10.3/7.3)</f>
        <v>16.429887763286242</v>
      </c>
      <c r="E2535" s="1">
        <f>41.7584044973861*(10.3/7.3)</f>
        <v>58.919392646996783</v>
      </c>
      <c r="F2535" s="1">
        <f>85.975448812003*(38.9/42.5)</f>
        <v>78.692822559692132</v>
      </c>
      <c r="G2535" s="1">
        <v>3.0479347898503772</v>
      </c>
      <c r="H2535" s="1">
        <v>6.2215485153298609</v>
      </c>
      <c r="I2535" s="1">
        <v>71.580691757183232</v>
      </c>
      <c r="J2535" s="1">
        <v>3.5298334152073979E-2</v>
      </c>
      <c r="K2535" s="1">
        <v>2.4729864839934432</v>
      </c>
      <c r="L2535" s="1">
        <v>2.8239457049188994</v>
      </c>
      <c r="M2535" s="1">
        <v>0.12082716607388817</v>
      </c>
      <c r="N2535" s="1">
        <v>1.4523339455581525</v>
      </c>
      <c r="O2535" s="1">
        <v>0.11073471264367815</v>
      </c>
      <c r="P2535" s="1">
        <v>8.4460146413898804E-2</v>
      </c>
      <c r="Q2535" s="1">
        <v>4.8711286595782326</v>
      </c>
      <c r="R2535" s="2">
        <f t="shared" si="159"/>
        <v>257.38553512486573</v>
      </c>
      <c r="S2535" s="2">
        <f t="shared" si="158"/>
        <v>2.5927449645594161</v>
      </c>
      <c r="T2535" s="2">
        <f t="shared" si="160"/>
        <v>4.5078415291946179</v>
      </c>
      <c r="U2535" s="2">
        <f t="shared" si="161"/>
        <v>264.48612161861973</v>
      </c>
    </row>
    <row r="2536" spans="1:21" x14ac:dyDescent="0.25">
      <c r="A2536">
        <v>4232617</v>
      </c>
      <c r="B2536">
        <v>52</v>
      </c>
      <c r="C2536" s="1">
        <f>0.648135661470695*(10.3/7.3)</f>
        <v>0.91449278262303568</v>
      </c>
      <c r="D2536" s="1">
        <f>0.846020112225973*(10.3/7.3)</f>
        <v>1.19369961040103</v>
      </c>
      <c r="E2536" s="1">
        <f>2.96010145611202*(10.3/7.3)</f>
        <v>4.1765815065690086</v>
      </c>
      <c r="F2536" s="1">
        <f>7.21555101347741*(38.9/42.5)</f>
        <v>6.6043513982181494</v>
      </c>
      <c r="G2536" s="1">
        <v>0.32866091132772035</v>
      </c>
      <c r="H2536" s="1">
        <v>1.5125189098522571</v>
      </c>
      <c r="I2536" s="1">
        <v>5.5047905137330657</v>
      </c>
      <c r="J2536" s="1">
        <v>3.4495614544740254E-2</v>
      </c>
      <c r="K2536" s="1">
        <v>3.7645999082972161</v>
      </c>
      <c r="L2536" s="1">
        <v>2.7291669486336168</v>
      </c>
      <c r="M2536" s="1">
        <v>0.17903833741327593</v>
      </c>
      <c r="N2536" s="1">
        <v>1.1008129246826599</v>
      </c>
      <c r="O2536" s="1">
        <v>1.3518769230769232</v>
      </c>
      <c r="P2536" s="1">
        <v>0.39959777178497585</v>
      </c>
      <c r="Q2536" s="1">
        <v>0.52525716422238466</v>
      </c>
      <c r="R2536" s="2">
        <f t="shared" si="159"/>
        <v>20.760352796946652</v>
      </c>
      <c r="S2536" s="2">
        <f t="shared" si="158"/>
        <v>4.1986932946269322</v>
      </c>
      <c r="T2536" s="2">
        <f t="shared" si="160"/>
        <v>5.3608951338064754</v>
      </c>
      <c r="U2536" s="2">
        <f t="shared" si="161"/>
        <v>30.31994122538006</v>
      </c>
    </row>
    <row r="2537" spans="1:21" x14ac:dyDescent="0.25">
      <c r="A2537">
        <v>4233105</v>
      </c>
      <c r="B2537">
        <v>11</v>
      </c>
      <c r="C2537" s="1">
        <f>7.82245108482482*(10.3/7.3)</f>
        <v>11.037157010095294</v>
      </c>
      <c r="D2537" s="1">
        <f>10.8243388704624*(10.3/7.3)</f>
        <v>15.272697310378517</v>
      </c>
      <c r="E2537" s="1">
        <f>38.0716584747658*(10.3/7.3)</f>
        <v>53.717545519190061</v>
      </c>
      <c r="F2537" s="1">
        <f>77.9487531673757*(38.9/42.5)</f>
        <v>71.346035252021551</v>
      </c>
      <c r="G2537" s="1">
        <v>3.0131345670447955</v>
      </c>
      <c r="H2537" s="1">
        <v>16.543803937002657</v>
      </c>
      <c r="I2537" s="1">
        <v>56.426162553908654</v>
      </c>
      <c r="J2537" s="1">
        <v>5.9013706363800857E-2</v>
      </c>
      <c r="K2537" s="1">
        <v>3.5743817115311174</v>
      </c>
      <c r="L2537" s="1">
        <v>7.0957372665562843</v>
      </c>
      <c r="M2537" s="1">
        <v>0.28012729478638543</v>
      </c>
      <c r="N2537" s="1">
        <v>2.6234063194157353</v>
      </c>
      <c r="O2537" s="1">
        <v>0.24870787878787876</v>
      </c>
      <c r="P2537" s="1">
        <v>0.17176701580844275</v>
      </c>
      <c r="Q2537" s="1">
        <v>4.8155118651400892</v>
      </c>
      <c r="R2537" s="2">
        <f t="shared" si="159"/>
        <v>232.17204801478161</v>
      </c>
      <c r="S2537" s="2">
        <f t="shared" si="158"/>
        <v>3.8051624337033609</v>
      </c>
      <c r="T2537" s="2">
        <f t="shared" si="160"/>
        <v>10.247978759546285</v>
      </c>
      <c r="U2537" s="2">
        <f t="shared" si="161"/>
        <v>246.22518920803128</v>
      </c>
    </row>
    <row r="2538" spans="1:21" x14ac:dyDescent="0.25">
      <c r="A2538">
        <v>4233113</v>
      </c>
      <c r="B2538">
        <v>6</v>
      </c>
      <c r="C2538" s="1">
        <f>5.24537033113279*(10.3/7.3)</f>
        <v>7.4010019740640702</v>
      </c>
      <c r="D2538" s="1">
        <f>7.61184501763079*(10.3/7.3)</f>
        <v>10.740000504328375</v>
      </c>
      <c r="E2538" s="1">
        <f>26.7727070655127*(10.3/7.3)</f>
        <v>37.775189421202903</v>
      </c>
      <c r="F2538" s="1">
        <f>52.2378622460227*(38.9/42.5)</f>
        <v>47.813008032241981</v>
      </c>
      <c r="G2538" s="1">
        <v>1.9209370944673589</v>
      </c>
      <c r="H2538" s="1">
        <v>12.344641061601676</v>
      </c>
      <c r="I2538" s="1">
        <v>36.791681878939897</v>
      </c>
      <c r="J2538" s="1">
        <v>5.0948147512920962E-2</v>
      </c>
      <c r="K2538" s="1">
        <v>2.809708025938344</v>
      </c>
      <c r="L2538" s="1">
        <v>5.1396929322383667</v>
      </c>
      <c r="M2538" s="1">
        <v>0.20979719482738216</v>
      </c>
      <c r="N2538" s="1">
        <v>2.1403105703547043</v>
      </c>
      <c r="O2538" s="1">
        <v>0.18666666666666668</v>
      </c>
      <c r="P2538" s="1">
        <v>0.14031323443868118</v>
      </c>
      <c r="Q2538" s="1">
        <v>3.0699907902446406</v>
      </c>
      <c r="R2538" s="2">
        <f t="shared" si="159"/>
        <v>157.85645075709093</v>
      </c>
      <c r="S2538" s="2">
        <f t="shared" si="158"/>
        <v>3.0009694078899463</v>
      </c>
      <c r="T2538" s="2">
        <f t="shared" si="160"/>
        <v>7.6764673640871193</v>
      </c>
      <c r="U2538" s="2">
        <f t="shared" si="161"/>
        <v>168.53388752906801</v>
      </c>
    </row>
    <row r="2539" spans="1:21" x14ac:dyDescent="0.25">
      <c r="A2539">
        <v>4233201</v>
      </c>
      <c r="B2539">
        <v>67</v>
      </c>
      <c r="C2539" s="1">
        <f>9.96514211213298*(10.3/7.3)</f>
        <v>14.060405993831466</v>
      </c>
      <c r="D2539" s="1">
        <f>14.8742779502442*(10.3/7.3)</f>
        <v>20.986994916097984</v>
      </c>
      <c r="E2539" s="1">
        <f>52.4130969216685*(10.3/7.3)</f>
        <v>73.952725793587049</v>
      </c>
      <c r="F2539" s="1">
        <f>94.5268094568831*(38.9/42.5)</f>
        <v>86.519832655829489</v>
      </c>
      <c r="G2539" s="1">
        <v>3.130882393795563</v>
      </c>
      <c r="H2539" s="1">
        <v>7.5428025522828666</v>
      </c>
      <c r="I2539" s="1">
        <v>64.452401871766028</v>
      </c>
      <c r="J2539" s="1">
        <v>8.9867889007916993E-2</v>
      </c>
      <c r="K2539" s="1">
        <v>4.0603793431705375</v>
      </c>
      <c r="L2539" s="1">
        <v>8.0767235122750751</v>
      </c>
      <c r="M2539" s="1">
        <v>0.27584270762152713</v>
      </c>
      <c r="N2539" s="1">
        <v>3.5164823889555548</v>
      </c>
      <c r="O2539" s="1">
        <v>0.23733014925373144</v>
      </c>
      <c r="P2539" s="1">
        <v>0.16008006498877719</v>
      </c>
      <c r="Q2539" s="1">
        <v>5.0036933234175711</v>
      </c>
      <c r="R2539" s="2">
        <f t="shared" si="159"/>
        <v>275.64973950060801</v>
      </c>
      <c r="S2539" s="2">
        <f t="shared" si="158"/>
        <v>4.3103272971672313</v>
      </c>
      <c r="T2539" s="2">
        <f t="shared" si="160"/>
        <v>12.106378758105889</v>
      </c>
      <c r="U2539" s="2">
        <f t="shared" si="161"/>
        <v>292.06644555588116</v>
      </c>
    </row>
    <row r="2540" spans="1:21" x14ac:dyDescent="0.25">
      <c r="A2540">
        <v>4233209</v>
      </c>
      <c r="B2540">
        <v>69</v>
      </c>
      <c r="C2540" s="1">
        <f>10.1457622341586*(10.3/7.3)</f>
        <v>14.315253563264852</v>
      </c>
      <c r="D2540" s="1">
        <f>14.7725880393104*(10.3/7.3)</f>
        <v>20.843514630807846</v>
      </c>
      <c r="E2540" s="1">
        <f>52.0853469854533*(10.3/7.3)</f>
        <v>73.490284102762871</v>
      </c>
      <c r="F2540" s="1">
        <f>94.9015380522525*(38.9/42.5)</f>
        <v>86.862819534885247</v>
      </c>
      <c r="G2540" s="1">
        <v>3.1742975057603577</v>
      </c>
      <c r="H2540" s="1">
        <v>8.0644352574921232</v>
      </c>
      <c r="I2540" s="1">
        <v>65.480620363902958</v>
      </c>
      <c r="J2540" s="1">
        <v>8.2424048496846924E-2</v>
      </c>
      <c r="K2540" s="1">
        <v>4.3045660104053622</v>
      </c>
      <c r="L2540" s="1">
        <v>8.4766400312932468</v>
      </c>
      <c r="M2540" s="1">
        <v>0.28209718298475367</v>
      </c>
      <c r="N2540" s="1">
        <v>3.4243309934326374</v>
      </c>
      <c r="O2540" s="1">
        <v>0.24172521739130434</v>
      </c>
      <c r="P2540" s="1">
        <v>0.1630639200403973</v>
      </c>
      <c r="Q2540" s="1">
        <v>5.0730782055530899</v>
      </c>
      <c r="R2540" s="2">
        <f t="shared" si="159"/>
        <v>277.30430316442937</v>
      </c>
      <c r="S2540" s="2">
        <f t="shared" si="158"/>
        <v>4.5500539789426062</v>
      </c>
      <c r="T2540" s="2">
        <f t="shared" si="160"/>
        <v>12.424793425101941</v>
      </c>
      <c r="U2540" s="2">
        <f t="shared" si="161"/>
        <v>294.27915056847394</v>
      </c>
    </row>
    <row r="2541" spans="1:21" x14ac:dyDescent="0.25">
      <c r="A2541">
        <v>4233217</v>
      </c>
      <c r="B2541">
        <v>43</v>
      </c>
      <c r="C2541" s="1">
        <f>7.51715578364092*(10.3/7.3)</f>
        <v>10.606397886507054</v>
      </c>
      <c r="D2541" s="1">
        <f>10.8130662936656*(10.3/7.3)</f>
        <v>15.256792167774696</v>
      </c>
      <c r="E2541" s="1">
        <f>38.1295157550338*(10.3/7.3)</f>
        <v>53.799179763951805</v>
      </c>
      <c r="F2541" s="1">
        <f>70.1509994200503*(38.9/42.5)</f>
        <v>64.208797116234294</v>
      </c>
      <c r="G2541" s="1">
        <v>2.3740877129082136</v>
      </c>
      <c r="H2541" s="1">
        <v>12.21762073971486</v>
      </c>
      <c r="I2541" s="1">
        <v>48.748732624486088</v>
      </c>
      <c r="J2541" s="1">
        <v>6.2599688992771158E-2</v>
      </c>
      <c r="K2541" s="1">
        <v>3.7255251453838949</v>
      </c>
      <c r="L2541" s="1">
        <v>6.4586830951454051</v>
      </c>
      <c r="M2541" s="1">
        <v>0.2278490158777709</v>
      </c>
      <c r="N2541" s="1">
        <v>2.7182779862777537</v>
      </c>
      <c r="O2541" s="1">
        <v>0.19931782945736429</v>
      </c>
      <c r="P2541" s="1">
        <v>0.13967071743942819</v>
      </c>
      <c r="Q2541" s="1">
        <v>3.7942041073875608</v>
      </c>
      <c r="R2541" s="2">
        <f t="shared" si="159"/>
        <v>211.0058121189646</v>
      </c>
      <c r="S2541" s="2">
        <f t="shared" si="158"/>
        <v>3.9277955518160943</v>
      </c>
      <c r="T2541" s="2">
        <f t="shared" si="160"/>
        <v>9.6041279267582933</v>
      </c>
      <c r="U2541" s="2">
        <f t="shared" si="161"/>
        <v>224.53773559753898</v>
      </c>
    </row>
    <row r="2542" spans="1:21" x14ac:dyDescent="0.25">
      <c r="A2542">
        <v>4233225</v>
      </c>
      <c r="B2542">
        <v>45</v>
      </c>
      <c r="C2542" s="1">
        <f>6.802912568802*(10.3/7.3)</f>
        <v>9.5986300628302175</v>
      </c>
      <c r="D2542" s="1">
        <f>9.56089505439645*(10.3/7.3)</f>
        <v>13.490030008258008</v>
      </c>
      <c r="E2542" s="1">
        <f>33.7273207555643*(10.3/7.3)</f>
        <v>47.587863531823587</v>
      </c>
      <c r="F2542" s="1">
        <f>62.9567523053352*(38.9/42.5)</f>
        <v>57.62394505123622</v>
      </c>
      <c r="G2542" s="1">
        <v>2.1646396705556219</v>
      </c>
      <c r="H2542" s="1">
        <v>10.553203172940275</v>
      </c>
      <c r="I2542" s="1">
        <v>44.286191676621065</v>
      </c>
      <c r="J2542" s="1">
        <v>5.9878394140362744E-2</v>
      </c>
      <c r="K2542" s="1">
        <v>3.6844212550691831</v>
      </c>
      <c r="L2542" s="1">
        <v>6.2040527938542347</v>
      </c>
      <c r="M2542" s="1">
        <v>0.21588826521826698</v>
      </c>
      <c r="N2542" s="1">
        <v>2.7293204441918881</v>
      </c>
      <c r="O2542" s="1">
        <v>0.19084562962962967</v>
      </c>
      <c r="P2542" s="1">
        <v>0.1362674818171932</v>
      </c>
      <c r="Q2542" s="1">
        <v>3.4594697931254252</v>
      </c>
      <c r="R2542" s="2">
        <f t="shared" si="159"/>
        <v>188.76397296739043</v>
      </c>
      <c r="S2542" s="2">
        <f t="shared" si="158"/>
        <v>3.8805671310267393</v>
      </c>
      <c r="T2542" s="2">
        <f t="shared" si="160"/>
        <v>9.3401071328940191</v>
      </c>
      <c r="U2542" s="2">
        <f t="shared" si="161"/>
        <v>201.98464723131119</v>
      </c>
    </row>
    <row r="2543" spans="1:21" x14ac:dyDescent="0.25">
      <c r="A2543">
        <v>4233233</v>
      </c>
      <c r="B2543">
        <v>64</v>
      </c>
      <c r="C2543" s="1">
        <f>6.45741793671538*(10.3/7.3)</f>
        <v>9.1111513353655358</v>
      </c>
      <c r="D2543" s="1">
        <f>8.93148780700279*(10.3/7.3)</f>
        <v>12.601962248236813</v>
      </c>
      <c r="E2543" s="1">
        <f>31.5151144135133*(10.3/7.3)</f>
        <v>44.466531295778978</v>
      </c>
      <c r="F2543" s="1">
        <f>59.4490428751516*(38.9/42.5)</f>
        <v>54.413359243374096</v>
      </c>
      <c r="G2543" s="1">
        <v>2.0674393952160446</v>
      </c>
      <c r="H2543" s="1">
        <v>6.8241931582884776</v>
      </c>
      <c r="I2543" s="1">
        <v>42.170764786947686</v>
      </c>
      <c r="J2543" s="1">
        <v>5.7637160435823488E-2</v>
      </c>
      <c r="K2543" s="1">
        <v>3.4115995631579921</v>
      </c>
      <c r="L2543" s="1">
        <v>5.8798257904667368</v>
      </c>
      <c r="M2543" s="1">
        <v>0.20349466917877937</v>
      </c>
      <c r="N2543" s="1">
        <v>3.4665158460431211</v>
      </c>
      <c r="O2543" s="1">
        <v>0.1791591666666667</v>
      </c>
      <c r="P2543" s="1">
        <v>0.13037683518964313</v>
      </c>
      <c r="Q2543" s="1">
        <v>3.3041268873315812</v>
      </c>
      <c r="R2543" s="2">
        <f t="shared" si="159"/>
        <v>174.95952835053922</v>
      </c>
      <c r="S2543" s="2">
        <f t="shared" si="158"/>
        <v>3.5996135587834588</v>
      </c>
      <c r="T2543" s="2">
        <f t="shared" si="160"/>
        <v>9.7289954723553027</v>
      </c>
      <c r="U2543" s="2">
        <f t="shared" si="161"/>
        <v>188.28813738167798</v>
      </c>
    </row>
    <row r="2544" spans="1:21" x14ac:dyDescent="0.25">
      <c r="A2544">
        <v>4233241</v>
      </c>
      <c r="B2544">
        <v>71</v>
      </c>
      <c r="C2544" s="1">
        <f>8.81481475547792*(10.3/7.3)</f>
        <v>12.437341367318162</v>
      </c>
      <c r="D2544" s="1">
        <f>11.9544997105859*(10.3/7.3)</f>
        <v>16.867307810826624</v>
      </c>
      <c r="E2544" s="1">
        <f>42.2189654829537*(10.3/7.3)</f>
        <v>59.569225270468934</v>
      </c>
      <c r="F2544" s="1">
        <f>79.5041640362282*(38.9/42.5)</f>
        <v>72.76969367080649</v>
      </c>
      <c r="G2544" s="1">
        <v>2.7456473173550004</v>
      </c>
      <c r="H2544" s="1">
        <v>7.4093867458366898</v>
      </c>
      <c r="I2544" s="1">
        <v>56.762207625353817</v>
      </c>
      <c r="J2544" s="1">
        <v>7.594521942729357E-2</v>
      </c>
      <c r="K2544" s="1">
        <v>4.0403945994540136</v>
      </c>
      <c r="L2544" s="1">
        <v>7.6866969823879012</v>
      </c>
      <c r="M2544" s="1">
        <v>0.24788231617254602</v>
      </c>
      <c r="N2544" s="1">
        <v>3.9101009532044455</v>
      </c>
      <c r="O2544" s="1">
        <v>0.21338666666666672</v>
      </c>
      <c r="P2544" s="1">
        <v>0.14869739833105403</v>
      </c>
      <c r="Q2544" s="1">
        <v>4.3880208268230625</v>
      </c>
      <c r="R2544" s="2">
        <f t="shared" si="159"/>
        <v>232.94883063478878</v>
      </c>
      <c r="S2544" s="2">
        <f t="shared" si="158"/>
        <v>4.2650372172123605</v>
      </c>
      <c r="T2544" s="2">
        <f t="shared" si="160"/>
        <v>12.058066918431559</v>
      </c>
      <c r="U2544" s="2">
        <f t="shared" si="161"/>
        <v>249.27193477043269</v>
      </c>
    </row>
    <row r="2545" spans="1:21" x14ac:dyDescent="0.25">
      <c r="A2545">
        <v>4233249</v>
      </c>
      <c r="B2545">
        <v>42</v>
      </c>
      <c r="C2545" s="1">
        <f>8.31642775659347*(10.3/7.3)</f>
        <v>11.73413779354969</v>
      </c>
      <c r="D2545" s="1">
        <f>11.1836144112512*(10.3/7.3)</f>
        <v>15.779620333683219</v>
      </c>
      <c r="E2545" s="1">
        <f>39.4806275453945*(10.3/7.3)</f>
        <v>55.705542975008697</v>
      </c>
      <c r="F2545" s="1">
        <f>75.8504176558529*(38.9/42.5)</f>
        <v>69.425441101474746</v>
      </c>
      <c r="G2545" s="1">
        <v>2.6887601297003689</v>
      </c>
      <c r="H2545" s="1">
        <v>7.0515213030080739</v>
      </c>
      <c r="I2545" s="1">
        <v>54.585573704567821</v>
      </c>
      <c r="J2545" s="1">
        <v>7.9262844127517385E-2</v>
      </c>
      <c r="K2545" s="1">
        <v>3.7370787461216075</v>
      </c>
      <c r="L2545" s="1">
        <v>7.1021463970483998</v>
      </c>
      <c r="M2545" s="1">
        <v>0.23307092714087801</v>
      </c>
      <c r="N2545" s="1">
        <v>3.1982271103452149</v>
      </c>
      <c r="O2545" s="1">
        <v>0.20148317460317453</v>
      </c>
      <c r="P2545" s="1">
        <v>0.14132382112389413</v>
      </c>
      <c r="Q2545" s="1">
        <v>4.2971052301147505</v>
      </c>
      <c r="R2545" s="2">
        <f t="shared" si="159"/>
        <v>221.26770257110738</v>
      </c>
      <c r="S2545" s="2">
        <f t="shared" si="158"/>
        <v>3.9576654113730187</v>
      </c>
      <c r="T2545" s="2">
        <f t="shared" si="160"/>
        <v>10.734927609137667</v>
      </c>
      <c r="U2545" s="2">
        <f t="shared" si="161"/>
        <v>235.96029559161806</v>
      </c>
    </row>
    <row r="2546" spans="1:21" x14ac:dyDescent="0.25">
      <c r="A2546">
        <v>4233257</v>
      </c>
      <c r="B2546">
        <v>39</v>
      </c>
      <c r="C2546" s="1">
        <f>7.67007893721191*(10.3/7.3)</f>
        <v>10.822166171682559</v>
      </c>
      <c r="D2546" s="1">
        <f>10.1141479201731*(10.3/7.3)</f>
        <v>14.270647065449726</v>
      </c>
      <c r="E2546" s="1">
        <f>35.7539083039968*(10.3/7.3)</f>
        <v>50.447295278242066</v>
      </c>
      <c r="F2546" s="1">
        <f>67.7335285778024*(38.9/42.5)</f>
        <v>61.996100274741522</v>
      </c>
      <c r="G2546" s="1">
        <v>2.3436791621754987</v>
      </c>
      <c r="H2546" s="1">
        <v>8.8388749696402371</v>
      </c>
      <c r="I2546" s="1">
        <v>48.914034852560299</v>
      </c>
      <c r="J2546" s="1">
        <v>7.7843640128001435E-2</v>
      </c>
      <c r="K2546" s="1">
        <v>3.5647765418669688</v>
      </c>
      <c r="L2546" s="1">
        <v>6.789079390503753</v>
      </c>
      <c r="M2546" s="1">
        <v>0.22299863740364684</v>
      </c>
      <c r="N2546" s="1">
        <v>3.24547765671924</v>
      </c>
      <c r="O2546" s="1">
        <v>0.1923213675213675</v>
      </c>
      <c r="P2546" s="1">
        <v>0.13642915976301259</v>
      </c>
      <c r="Q2546" s="1">
        <v>3.7456059669471484</v>
      </c>
      <c r="R2546" s="2">
        <f t="shared" si="159"/>
        <v>201.37840374143909</v>
      </c>
      <c r="S2546" s="2">
        <f t="shared" si="158"/>
        <v>3.7790493417579829</v>
      </c>
      <c r="T2546" s="2">
        <f t="shared" si="160"/>
        <v>10.449877052148008</v>
      </c>
      <c r="U2546" s="2">
        <f t="shared" si="161"/>
        <v>215.60733013534508</v>
      </c>
    </row>
    <row r="2547" spans="1:21" x14ac:dyDescent="0.25">
      <c r="A2547">
        <v>4233265</v>
      </c>
      <c r="B2547">
        <v>38</v>
      </c>
      <c r="C2547" s="1">
        <f>5.40492463140692*(10.3/7.3)</f>
        <v>7.6261265347248379</v>
      </c>
      <c r="D2547" s="1">
        <f>7.19177288754801*(10.3/7.3)</f>
        <v>10.147295992019796</v>
      </c>
      <c r="E2547" s="1">
        <f>25.3762650982907*(10.3/7.3)</f>
        <v>35.804867193478721</v>
      </c>
      <c r="F2547" s="1">
        <f>49.9448423534201*(38.9/42.5)</f>
        <v>45.714220412895131</v>
      </c>
      <c r="G2547" s="1">
        <v>1.8242116463010807</v>
      </c>
      <c r="H2547" s="1">
        <v>13.965930440125385</v>
      </c>
      <c r="I2547" s="1">
        <v>36.281669857176709</v>
      </c>
      <c r="J2547" s="1">
        <v>6.0089795018077631E-2</v>
      </c>
      <c r="K2547" s="1">
        <v>2.8045101449795111</v>
      </c>
      <c r="L2547" s="1">
        <v>4.942955245453728</v>
      </c>
      <c r="M2547" s="1">
        <v>0.17278798642219265</v>
      </c>
      <c r="N2547" s="1">
        <v>3.014186298917211</v>
      </c>
      <c r="O2547" s="1">
        <v>0.15097684210526321</v>
      </c>
      <c r="P2547" s="1">
        <v>0.11298077780051055</v>
      </c>
      <c r="Q2547" s="1">
        <v>2.9154067406638302</v>
      </c>
      <c r="R2547" s="2">
        <f t="shared" si="159"/>
        <v>154.27972881738549</v>
      </c>
      <c r="S2547" s="2">
        <f t="shared" si="158"/>
        <v>2.9775807177980993</v>
      </c>
      <c r="T2547" s="2">
        <f t="shared" si="160"/>
        <v>8.2809063728983947</v>
      </c>
      <c r="U2547" s="2">
        <f t="shared" si="161"/>
        <v>165.53821590808198</v>
      </c>
    </row>
    <row r="2548" spans="1:21" x14ac:dyDescent="0.25">
      <c r="A2548">
        <v>4233313</v>
      </c>
      <c r="B2548">
        <v>12</v>
      </c>
      <c r="C2548" s="1">
        <f>4.11754069831563*(10.3/7.3)</f>
        <v>5.8096807113220539</v>
      </c>
      <c r="D2548" s="1">
        <f>5.03869300373019*(10.3/7.3)</f>
        <v>7.1093887586878086</v>
      </c>
      <c r="E2548" s="1">
        <f>17.8244770116981*(10.3/7.3)</f>
        <v>25.149604550752102</v>
      </c>
      <c r="F2548" s="1">
        <f>36.1208931089811*(38.9/42.5)</f>
        <v>33.061240986808613</v>
      </c>
      <c r="G2548" s="1">
        <v>1.3445844361664563</v>
      </c>
      <c r="H2548" s="1">
        <v>8.0693643510837063</v>
      </c>
      <c r="I2548" s="1">
        <v>27.166045152261134</v>
      </c>
      <c r="J2548" s="1">
        <v>4.7109462513890747E-2</v>
      </c>
      <c r="K2548" s="1">
        <v>2.4698437986113784</v>
      </c>
      <c r="L2548" s="1">
        <v>4.7406034869826561</v>
      </c>
      <c r="M2548" s="1">
        <v>0.14110849230577058</v>
      </c>
      <c r="N2548" s="1">
        <v>2.0776622963570341</v>
      </c>
      <c r="O2548" s="1">
        <v>0.11989777777777777</v>
      </c>
      <c r="P2548" s="1">
        <v>9.5832959549514055E-2</v>
      </c>
      <c r="Q2548" s="1">
        <v>2.1488792358824664</v>
      </c>
      <c r="R2548" s="2">
        <f t="shared" si="159"/>
        <v>109.85878818296433</v>
      </c>
      <c r="S2548" s="2">
        <f t="shared" si="158"/>
        <v>2.6127862206747832</v>
      </c>
      <c r="T2548" s="2">
        <f t="shared" si="160"/>
        <v>7.0792720534232387</v>
      </c>
      <c r="U2548" s="2">
        <f t="shared" si="161"/>
        <v>119.55084645706235</v>
      </c>
    </row>
    <row r="2549" spans="1:21" x14ac:dyDescent="0.25">
      <c r="A2549">
        <v>4233321</v>
      </c>
      <c r="B2549">
        <v>19</v>
      </c>
      <c r="C2549" s="1">
        <f>4.14257019396168*(10.3/7.3)</f>
        <v>5.8449963010692221</v>
      </c>
      <c r="D2549" s="1">
        <f>5.06984238522058*(10.3/7.3)</f>
        <v>7.1533392558591791</v>
      </c>
      <c r="E2549" s="1">
        <f>17.9415608621456*(10.3/7.3)</f>
        <v>25.314805052068458</v>
      </c>
      <c r="F2549" s="1">
        <f>36.0058292877788*(38.9/42.5)</f>
        <v>32.95592374810812</v>
      </c>
      <c r="G2549" s="1">
        <v>1.3238501594018059</v>
      </c>
      <c r="H2549" s="1">
        <v>6.5473890021533308</v>
      </c>
      <c r="I2549" s="1">
        <v>27.027650205022979</v>
      </c>
      <c r="J2549" s="1">
        <v>3.9828050424332843E-2</v>
      </c>
      <c r="K2549" s="1">
        <v>2.207936220251363</v>
      </c>
      <c r="L2549" s="1">
        <v>5.0625657781426465</v>
      </c>
      <c r="M2549" s="1">
        <v>0.12984334189124405</v>
      </c>
      <c r="N2549" s="1">
        <v>1.6762545006524678</v>
      </c>
      <c r="O2549" s="1">
        <v>0.10970947368421055</v>
      </c>
      <c r="P2549" s="1">
        <v>8.7918122864692999E-2</v>
      </c>
      <c r="Q2549" s="1">
        <v>2.115742263884167</v>
      </c>
      <c r="R2549" s="2">
        <f t="shared" si="159"/>
        <v>108.28369598756727</v>
      </c>
      <c r="S2549" s="2">
        <f t="shared" si="158"/>
        <v>2.3356823935403885</v>
      </c>
      <c r="T2549" s="2">
        <f t="shared" si="160"/>
        <v>6.9783730943705695</v>
      </c>
      <c r="U2549" s="2">
        <f t="shared" si="161"/>
        <v>117.59775147547823</v>
      </c>
    </row>
    <row r="2550" spans="1:21" x14ac:dyDescent="0.25">
      <c r="A2550">
        <v>4233329</v>
      </c>
      <c r="B2550">
        <v>1</v>
      </c>
      <c r="C2550" s="1">
        <f>4.23384190589042*(10.3/7.3)</f>
        <v>5.9737769357084005</v>
      </c>
      <c r="D2550" s="1">
        <f>5.18548343942503*(10.3/7.3)</f>
        <v>7.3165040309695657</v>
      </c>
      <c r="E2550" s="1">
        <f>18.3525174912222*(10.3/7.3)</f>
        <v>25.89464796706697</v>
      </c>
      <c r="F2550" s="1">
        <f>36.711496767232*(38.9/42.5)</f>
        <v>33.601817041066496</v>
      </c>
      <c r="G2550" s="1">
        <v>1.3444056112647185</v>
      </c>
      <c r="H2550" s="1">
        <v>4.4272753521608186</v>
      </c>
      <c r="I2550" s="1">
        <v>27.532709694620891</v>
      </c>
      <c r="J2550" s="1">
        <v>4.3874726849637939E-2</v>
      </c>
      <c r="K2550" s="1">
        <v>2.3102870921735414</v>
      </c>
      <c r="L2550" s="1">
        <v>5.6278482394761058</v>
      </c>
      <c r="M2550" s="1">
        <v>0.13462752609252704</v>
      </c>
      <c r="N2550" s="1">
        <v>1.7758255983357358</v>
      </c>
      <c r="O2550" s="1">
        <v>0.11359999999999999</v>
      </c>
      <c r="P2550" s="1">
        <v>9.0913918604849681E-2</v>
      </c>
      <c r="Q2550" s="1">
        <v>2.1485934426605109</v>
      </c>
      <c r="R2550" s="2">
        <f t="shared" si="159"/>
        <v>108.23973007551837</v>
      </c>
      <c r="S2550" s="2">
        <f t="shared" si="158"/>
        <v>2.445075737628029</v>
      </c>
      <c r="T2550" s="2">
        <f t="shared" si="160"/>
        <v>7.6519013639043685</v>
      </c>
      <c r="U2550" s="2">
        <f t="shared" si="161"/>
        <v>118.33670717705077</v>
      </c>
    </row>
    <row r="2551" spans="1:21" x14ac:dyDescent="0.25">
      <c r="A2551">
        <v>4233337</v>
      </c>
      <c r="B2551">
        <v>1</v>
      </c>
      <c r="C2551" s="1">
        <f>4.96271591226666*(10.3/7.3)</f>
        <v>7.0021882049789896</v>
      </c>
      <c r="D2551" s="1">
        <f>5.95648570560755*(10.3/7.3)</f>
        <v>8.4043565435284684</v>
      </c>
      <c r="E2551" s="1">
        <f>21.0670606987206*(10.3/7.3)</f>
        <v>29.724756876277077</v>
      </c>
      <c r="F2551" s="1">
        <f>43.8579966685034*(38.9/42.5)</f>
        <v>40.142966362465451</v>
      </c>
      <c r="G2551" s="1">
        <v>1.6802387767282914</v>
      </c>
      <c r="H2551" s="1">
        <v>5.9523003975940592</v>
      </c>
      <c r="I2551" s="1">
        <v>33.368657360088562</v>
      </c>
      <c r="J2551" s="1">
        <v>4.4154778297614355E-2</v>
      </c>
      <c r="K2551" s="1">
        <v>2.3035675489802756</v>
      </c>
      <c r="L2551" s="1">
        <v>4.0611276733761672</v>
      </c>
      <c r="M2551" s="1">
        <v>0.13340097601396386</v>
      </c>
      <c r="N2551" s="1">
        <v>1.7483727886788332</v>
      </c>
      <c r="O2551" s="1">
        <v>0.11301333333333334</v>
      </c>
      <c r="P2551" s="1">
        <v>8.9284994649538083E-2</v>
      </c>
      <c r="Q2551" s="1">
        <v>2.6853131134927057</v>
      </c>
      <c r="R2551" s="2">
        <f t="shared" si="159"/>
        <v>128.96077763515359</v>
      </c>
      <c r="S2551" s="2">
        <f t="shared" si="158"/>
        <v>2.4370073219274277</v>
      </c>
      <c r="T2551" s="2">
        <f t="shared" si="160"/>
        <v>6.0559147714022972</v>
      </c>
      <c r="U2551" s="2">
        <f t="shared" si="161"/>
        <v>137.45369972848331</v>
      </c>
    </row>
    <row r="2552" spans="1:21" x14ac:dyDescent="0.25">
      <c r="A2552">
        <v>4233345</v>
      </c>
      <c r="B2552">
        <v>24</v>
      </c>
      <c r="C2552" s="1">
        <f>5.51169478592163*(10.3/7.3)</f>
        <v>7.776774834930519</v>
      </c>
      <c r="D2552" s="1">
        <f>6.44977178270422*(10.3/7.3)</f>
        <v>9.1003629262812957</v>
      </c>
      <c r="E2552" s="1">
        <f>22.7683904097812*(10.3/7.3)</f>
        <v>32.1252631809242</v>
      </c>
      <c r="F2552" s="1">
        <f>50.979418308247*(38.9/42.5)</f>
        <v>46.661161698607259</v>
      </c>
      <c r="G2552" s="1">
        <v>2.1066020486966206</v>
      </c>
      <c r="H2552" s="1">
        <v>9.9550712561059225</v>
      </c>
      <c r="I2552" s="1">
        <v>39.585108716702138</v>
      </c>
      <c r="J2552" s="1">
        <v>3.7072164026190686E-2</v>
      </c>
      <c r="K2552" s="1">
        <v>2.2660430637596196</v>
      </c>
      <c r="L2552" s="1">
        <v>5.0015094141514123</v>
      </c>
      <c r="M2552" s="1">
        <v>0.13005481023695933</v>
      </c>
      <c r="N2552" s="1">
        <v>1.7868758634998929</v>
      </c>
      <c r="O2552" s="1">
        <v>0.11026666666666668</v>
      </c>
      <c r="P2552" s="1">
        <v>8.8416370517623563E-2</v>
      </c>
      <c r="Q2552" s="1">
        <v>3.3667156029398093</v>
      </c>
      <c r="R2552" s="2">
        <f t="shared" si="159"/>
        <v>150.67706026518775</v>
      </c>
      <c r="S2552" s="2">
        <f t="shared" si="158"/>
        <v>2.391531598303434</v>
      </c>
      <c r="T2552" s="2">
        <f t="shared" si="160"/>
        <v>7.028706754554932</v>
      </c>
      <c r="U2552" s="2">
        <f t="shared" si="161"/>
        <v>160.09729861804612</v>
      </c>
    </row>
    <row r="2553" spans="1:21" x14ac:dyDescent="0.25">
      <c r="A2553">
        <v>4233353</v>
      </c>
      <c r="B2553">
        <v>21</v>
      </c>
      <c r="C2553" s="1">
        <f>5.96868721849086*(10.3/7.3)</f>
        <v>8.4215723767747779</v>
      </c>
      <c r="D2553" s="1">
        <f>6.8557274792049*(10.3/7.3)</f>
        <v>9.6731497309329484</v>
      </c>
      <c r="E2553" s="1">
        <f>24.1743949397325*(10.3/7.3)</f>
        <v>34.109077791677386</v>
      </c>
      <c r="F2553" s="1">
        <f>56.6076773913963*(38.9/42.5)</f>
        <v>51.812674130007451</v>
      </c>
      <c r="G2553" s="1">
        <v>2.437025760882626</v>
      </c>
      <c r="H2553" s="1">
        <v>9.4465496232589565</v>
      </c>
      <c r="I2553" s="1">
        <v>44.502702574178308</v>
      </c>
      <c r="J2553" s="1">
        <v>3.6243830035585137E-2</v>
      </c>
      <c r="K2553" s="1">
        <v>2.2381721139382487</v>
      </c>
      <c r="L2553" s="1">
        <v>5.1242053082990422</v>
      </c>
      <c r="M2553" s="1">
        <v>0.12733328077167552</v>
      </c>
      <c r="N2553" s="1">
        <v>1.8896268564190914</v>
      </c>
      <c r="O2553" s="1">
        <v>0.10755555555555556</v>
      </c>
      <c r="P2553" s="1">
        <v>8.6657301038767343E-2</v>
      </c>
      <c r="Q2553" s="1">
        <v>3.8947900288078539</v>
      </c>
      <c r="R2553" s="2">
        <f t="shared" si="159"/>
        <v>164.29754201652028</v>
      </c>
      <c r="S2553" s="2">
        <f t="shared" si="158"/>
        <v>2.3610732450126011</v>
      </c>
      <c r="T2553" s="2">
        <f t="shared" si="160"/>
        <v>7.2487210010453653</v>
      </c>
      <c r="U2553" s="2">
        <f t="shared" si="161"/>
        <v>173.90733626257824</v>
      </c>
    </row>
    <row r="2554" spans="1:21" x14ac:dyDescent="0.25">
      <c r="A2554">
        <v>4233553</v>
      </c>
      <c r="B2554">
        <v>36</v>
      </c>
      <c r="C2554" s="1">
        <f>14.16690765672*(10.3/7.3)</f>
        <v>19.988924501947448</v>
      </c>
      <c r="D2554" s="1">
        <f>12.7659511121078*(10.3/7.3)</f>
        <v>18.012232391056148</v>
      </c>
      <c r="E2554" s="1">
        <f>45.8963134761346*(10.3/7.3)</f>
        <v>64.757812164956988</v>
      </c>
      <c r="F2554" s="1">
        <f>93.3989620845143*(38.9/42.5)</f>
        <v>85.487520590296626</v>
      </c>
      <c r="G2554" s="1">
        <v>3.2240639575809369</v>
      </c>
      <c r="H2554" s="1">
        <v>6.9146785374985145</v>
      </c>
      <c r="I2554" s="1">
        <v>78.745613580828902</v>
      </c>
      <c r="J2554" s="1">
        <v>3.577539381127634E-2</v>
      </c>
      <c r="K2554" s="1">
        <v>2.4938490986417028</v>
      </c>
      <c r="L2554" s="1">
        <v>2.8855921162206735</v>
      </c>
      <c r="M2554" s="1">
        <v>0.12228525114589872</v>
      </c>
      <c r="N2554" s="1">
        <v>1.4772221693064271</v>
      </c>
      <c r="O2554" s="1">
        <v>0.1120725925925926</v>
      </c>
      <c r="P2554" s="1">
        <v>8.5490089312385137E-2</v>
      </c>
      <c r="Q2554" s="1">
        <v>5.1526136308371182</v>
      </c>
      <c r="R2554" s="2">
        <f t="shared" si="159"/>
        <v>282.28345935500266</v>
      </c>
      <c r="S2554" s="2">
        <f t="shared" si="158"/>
        <v>2.615114581765364</v>
      </c>
      <c r="T2554" s="2">
        <f t="shared" si="160"/>
        <v>4.5971721292655916</v>
      </c>
      <c r="U2554" s="2">
        <f t="shared" si="161"/>
        <v>289.49574606603358</v>
      </c>
    </row>
    <row r="2555" spans="1:21" x14ac:dyDescent="0.25">
      <c r="A2555">
        <v>4233561</v>
      </c>
      <c r="B2555">
        <v>11</v>
      </c>
      <c r="C2555" s="1">
        <f>10.6246149871327*(10.3/7.3)</f>
        <v>14.990895118831064</v>
      </c>
      <c r="D2555" s="1">
        <f>10.0862056074149*(10.3/7.3)</f>
        <v>14.231221610462098</v>
      </c>
      <c r="E2555" s="1">
        <f>36.1287443869447*(10.3/7.3)</f>
        <v>50.976173587058938</v>
      </c>
      <c r="F2555" s="1">
        <f>74.5346436304106*(38.9/42.5)</f>
        <v>68.221120875834629</v>
      </c>
      <c r="G2555" s="1">
        <v>2.6634506001011684</v>
      </c>
      <c r="H2555" s="1">
        <v>6.5114355313922694</v>
      </c>
      <c r="I2555" s="1">
        <v>61.634145021252493</v>
      </c>
      <c r="J2555" s="1">
        <v>3.3063043676245539E-2</v>
      </c>
      <c r="K2555" s="1">
        <v>2.2778813020369095</v>
      </c>
      <c r="L2555" s="1">
        <v>2.5505715617601217</v>
      </c>
      <c r="M2555" s="1">
        <v>0.11201970947972639</v>
      </c>
      <c r="N2555" s="1">
        <v>1.3621433941572929</v>
      </c>
      <c r="O2555" s="1">
        <v>0.10208969696969696</v>
      </c>
      <c r="P2555" s="1">
        <v>7.897898834144447E-2</v>
      </c>
      <c r="Q2555" s="1">
        <v>4.2566562102073506</v>
      </c>
      <c r="R2555" s="2">
        <f t="shared" si="159"/>
        <v>223.48509855513998</v>
      </c>
      <c r="S2555" s="2">
        <f t="shared" si="158"/>
        <v>2.3899233340545996</v>
      </c>
      <c r="T2555" s="2">
        <f t="shared" si="160"/>
        <v>4.1268243623668388</v>
      </c>
      <c r="U2555" s="2">
        <f t="shared" si="161"/>
        <v>230.00184625156143</v>
      </c>
    </row>
    <row r="2556" spans="1:21" x14ac:dyDescent="0.25">
      <c r="A2556">
        <v>4244853</v>
      </c>
      <c r="B2556">
        <v>53</v>
      </c>
      <c r="C2556" s="1">
        <f>0.601037366284829*(10.3/7.3)</f>
        <v>0.848039023662156</v>
      </c>
      <c r="D2556" s="1">
        <f>0.783926193699218*(10.3/7.3)</f>
        <v>1.1060876431646507</v>
      </c>
      <c r="E2556" s="1">
        <f>2.7434326006063*(10.3/7.3)</f>
        <v>3.8708706556499841</v>
      </c>
      <c r="F2556" s="1">
        <f>6.66217372122198*(38.9/42.5)</f>
        <v>6.0978484177772927</v>
      </c>
      <c r="G2556" s="1">
        <v>0.30245026776935191</v>
      </c>
      <c r="H2556" s="1">
        <v>1.4132498742036648</v>
      </c>
      <c r="I2556" s="1">
        <v>5.0803308692132347</v>
      </c>
      <c r="J2556" s="1">
        <v>3.676279711074696E-2</v>
      </c>
      <c r="K2556" s="1">
        <v>3.4155229399969569</v>
      </c>
      <c r="L2556" s="1">
        <v>2.5080356823356627</v>
      </c>
      <c r="M2556" s="1">
        <v>0.17173591551020922</v>
      </c>
      <c r="N2556" s="1">
        <v>1.0565391103099078</v>
      </c>
      <c r="O2556" s="1">
        <v>1.3007597484276734</v>
      </c>
      <c r="P2556" s="1">
        <v>0.35792608410905818</v>
      </c>
      <c r="Q2556" s="1">
        <v>0.48336800785056294</v>
      </c>
      <c r="R2556" s="2">
        <f t="shared" si="159"/>
        <v>19.202244759290895</v>
      </c>
      <c r="S2556" s="2">
        <f t="shared" si="158"/>
        <v>3.8102118212167624</v>
      </c>
      <c r="T2556" s="2">
        <f t="shared" si="160"/>
        <v>5.0370704565834536</v>
      </c>
      <c r="U2556" s="2">
        <f t="shared" si="161"/>
        <v>28.04952703709111</v>
      </c>
    </row>
    <row r="2557" spans="1:21" x14ac:dyDescent="0.25">
      <c r="A2557">
        <v>4245333</v>
      </c>
      <c r="B2557">
        <v>1</v>
      </c>
      <c r="C2557" s="1">
        <f>6.01022336405329*(10.3/7.3)</f>
        <v>8.4801781711984727</v>
      </c>
      <c r="D2557" s="1">
        <f>8.14338351358481*(10.3/7.3)</f>
        <v>11.489979478071723</v>
      </c>
      <c r="E2557" s="1">
        <f>28.6740393739858*(10.3/7.3)</f>
        <v>40.457891171514241</v>
      </c>
      <c r="F2557" s="1">
        <f>58.3559482078169*(38.9/42.5)</f>
        <v>53.412856124331192</v>
      </c>
      <c r="G2557" s="1">
        <v>2.2306618242772145</v>
      </c>
      <c r="H2557" s="1">
        <v>13.412830410605576</v>
      </c>
      <c r="I2557" s="1">
        <v>42.467503455474343</v>
      </c>
      <c r="J2557" s="1">
        <v>4.8788356800496813E-2</v>
      </c>
      <c r="K2557" s="1">
        <v>3.0917820267930498</v>
      </c>
      <c r="L2557" s="1">
        <v>5.7490913914334305</v>
      </c>
      <c r="M2557" s="1">
        <v>0.2356315618573688</v>
      </c>
      <c r="N2557" s="1">
        <v>2.2583982583245326</v>
      </c>
      <c r="O2557" s="1">
        <v>0.20234666666666667</v>
      </c>
      <c r="P2557" s="1">
        <v>0.15517577415342027</v>
      </c>
      <c r="Q2557" s="1">
        <v>3.564984650671351</v>
      </c>
      <c r="R2557" s="2">
        <f t="shared" si="159"/>
        <v>175.51688528614412</v>
      </c>
      <c r="S2557" s="2">
        <f t="shared" si="158"/>
        <v>3.2957461577469669</v>
      </c>
      <c r="T2557" s="2">
        <f t="shared" si="160"/>
        <v>8.445467878281999</v>
      </c>
      <c r="U2557" s="2">
        <f t="shared" si="161"/>
        <v>187.25809932217308</v>
      </c>
    </row>
    <row r="2558" spans="1:21" x14ac:dyDescent="0.25">
      <c r="A2558">
        <v>4245349</v>
      </c>
      <c r="B2558">
        <v>3</v>
      </c>
      <c r="C2558" s="1">
        <f>7.36707078575915*(10.3/7.3)</f>
        <v>10.394634122372505</v>
      </c>
      <c r="D2558" s="1">
        <f>10.778358718453*(10.3/7.3)</f>
        <v>15.20782120548853</v>
      </c>
      <c r="E2558" s="1">
        <f>37.9191940468457*(10.3/7.3)</f>
        <v>53.502424477056252</v>
      </c>
      <c r="F2558" s="1">
        <f>72.920675290562*(38.9/42.5)</f>
        <v>66.743865148302589</v>
      </c>
      <c r="G2558" s="1">
        <v>2.6355214018115749</v>
      </c>
      <c r="H2558" s="1">
        <v>10.802820586152649</v>
      </c>
      <c r="I2558" s="1">
        <v>51.018188064245173</v>
      </c>
      <c r="J2558" s="1">
        <v>6.0708930555775621E-2</v>
      </c>
      <c r="K2558" s="1">
        <v>3.1113480881991453</v>
      </c>
      <c r="L2558" s="1">
        <v>5.8260210429670947</v>
      </c>
      <c r="M2558" s="1">
        <v>0.23983519826194347</v>
      </c>
      <c r="N2558" s="1">
        <v>2.8932891576363766</v>
      </c>
      <c r="O2558" s="1">
        <v>0.21155555555555552</v>
      </c>
      <c r="P2558" s="1">
        <v>0.14907403058159377</v>
      </c>
      <c r="Q2558" s="1">
        <v>4.2120205051783204</v>
      </c>
      <c r="R2558" s="2">
        <f t="shared" si="159"/>
        <v>214.5172955106076</v>
      </c>
      <c r="S2558" s="2">
        <f t="shared" si="158"/>
        <v>3.3211310493365147</v>
      </c>
      <c r="T2558" s="2">
        <f t="shared" si="160"/>
        <v>9.1707009544209708</v>
      </c>
      <c r="U2558" s="2">
        <f t="shared" si="161"/>
        <v>227.00912751436508</v>
      </c>
    </row>
    <row r="2559" spans="1:21" x14ac:dyDescent="0.25">
      <c r="A2559">
        <v>4245429</v>
      </c>
      <c r="B2559">
        <v>24</v>
      </c>
      <c r="C2559" s="1">
        <f>11.1511748598464*(10.3/7.3)</f>
        <v>15.733849459783249</v>
      </c>
      <c r="D2559" s="1">
        <f>17.0824618047854*(10.3/7.3)</f>
        <v>24.102651587573856</v>
      </c>
      <c r="E2559" s="1">
        <f>60.165581667707*(10.3/7.3)</f>
        <v>84.891163174983831</v>
      </c>
      <c r="F2559" s="1">
        <f>106.99326333315*(38.9/42.5)</f>
        <v>97.930304556694566</v>
      </c>
      <c r="G2559" s="1">
        <v>3.4880691208464967</v>
      </c>
      <c r="H2559" s="1">
        <v>7.7716653540539262</v>
      </c>
      <c r="I2559" s="1">
        <v>71.96123382256809</v>
      </c>
      <c r="J2559" s="1">
        <v>9.8350391086059794E-2</v>
      </c>
      <c r="K2559" s="1">
        <v>3.9673936322504955</v>
      </c>
      <c r="L2559" s="1">
        <v>7.808512242547498</v>
      </c>
      <c r="M2559" s="1">
        <v>0.27387947952181102</v>
      </c>
      <c r="N2559" s="1">
        <v>3.3408000447437143</v>
      </c>
      <c r="O2559" s="1">
        <v>0.23394444444444448</v>
      </c>
      <c r="P2559" s="1">
        <v>0.15680157575273176</v>
      </c>
      <c r="Q2559" s="1">
        <v>5.574539690850572</v>
      </c>
      <c r="R2559" s="2">
        <f t="shared" si="159"/>
        <v>311.45347676735463</v>
      </c>
      <c r="S2559" s="2">
        <f t="shared" si="158"/>
        <v>4.2225455990892868</v>
      </c>
      <c r="T2559" s="2">
        <f t="shared" si="160"/>
        <v>11.657136211257468</v>
      </c>
      <c r="U2559" s="2">
        <f t="shared" si="161"/>
        <v>327.3331585777014</v>
      </c>
    </row>
    <row r="2560" spans="1:21" x14ac:dyDescent="0.25">
      <c r="A2560">
        <v>4245437</v>
      </c>
      <c r="B2560">
        <v>66</v>
      </c>
      <c r="C2560" s="1">
        <f>10.0602475663982*(10.3/7.3)</f>
        <v>14.194595881356435</v>
      </c>
      <c r="D2560" s="1">
        <f>14.9254647671308*(10.3/7.3)</f>
        <v>21.059217411157132</v>
      </c>
      <c r="E2560" s="1">
        <f>52.6008384127787*(10.3/7.3)</f>
        <v>74.217621322139834</v>
      </c>
      <c r="F2560" s="1">
        <f>95.1067141488899*(38.9/42.5)</f>
        <v>87.050616009219226</v>
      </c>
      <c r="G2560" s="1">
        <v>3.1579339670246611</v>
      </c>
      <c r="H2560" s="1">
        <v>7.4466865070591135</v>
      </c>
      <c r="I2560" s="1">
        <v>65.037819227104251</v>
      </c>
      <c r="J2560" s="1">
        <v>8.2557443865557092E-2</v>
      </c>
      <c r="K2560" s="1">
        <v>4.1197147599950181</v>
      </c>
      <c r="L2560" s="1">
        <v>8.1885419498712633</v>
      </c>
      <c r="M2560" s="1">
        <v>0.28060273895320897</v>
      </c>
      <c r="N2560" s="1">
        <v>3.3789982470885027</v>
      </c>
      <c r="O2560" s="1">
        <v>0.23987474747474746</v>
      </c>
      <c r="P2560" s="1">
        <v>0.16186469674431891</v>
      </c>
      <c r="Q2560" s="1">
        <v>5.0469264313179556</v>
      </c>
      <c r="R2560" s="2">
        <f t="shared" si="159"/>
        <v>277.21141675637864</v>
      </c>
      <c r="S2560" s="2">
        <f t="shared" si="158"/>
        <v>4.364136900604894</v>
      </c>
      <c r="T2560" s="2">
        <f t="shared" si="160"/>
        <v>12.088017683387722</v>
      </c>
      <c r="U2560" s="2">
        <f t="shared" si="161"/>
        <v>293.66357134037122</v>
      </c>
    </row>
    <row r="2561" spans="1:21" x14ac:dyDescent="0.25">
      <c r="A2561">
        <v>4245445</v>
      </c>
      <c r="B2561">
        <v>57</v>
      </c>
      <c r="C2561" s="1">
        <f>8.4406418943743*(10.3/7.3)</f>
        <v>11.909398837267849</v>
      </c>
      <c r="D2561" s="1">
        <f>12.2111305441055*(10.3/7.3)</f>
        <v>17.229403370450225</v>
      </c>
      <c r="E2561" s="1">
        <f>43.0577866405088*(10.3/7.3)</f>
        <v>60.752767451676817</v>
      </c>
      <c r="F2561" s="1">
        <f>78.8134331583832*(38.9/42.5)</f>
        <v>72.137471761437794</v>
      </c>
      <c r="G2561" s="1">
        <v>2.650467398862081</v>
      </c>
      <c r="H2561" s="1">
        <v>10.042842110771742</v>
      </c>
      <c r="I2561" s="1">
        <v>54.577117199830056</v>
      </c>
      <c r="J2561" s="1">
        <v>7.5208032236361952E-2</v>
      </c>
      <c r="K2561" s="1">
        <v>3.9233423837754118</v>
      </c>
      <c r="L2561" s="1">
        <v>7.2459627422848243</v>
      </c>
      <c r="M2561" s="1">
        <v>0.25087624966426592</v>
      </c>
      <c r="N2561" s="1">
        <v>3.0269011594385571</v>
      </c>
      <c r="O2561" s="1">
        <v>0.21839157894736846</v>
      </c>
      <c r="P2561" s="1">
        <v>0.15083662355404115</v>
      </c>
      <c r="Q2561" s="1">
        <v>4.2359068018343802</v>
      </c>
      <c r="R2561" s="2">
        <f t="shared" si="159"/>
        <v>233.53537493213096</v>
      </c>
      <c r="S2561" s="2">
        <f t="shared" si="158"/>
        <v>4.1493870395658146</v>
      </c>
      <c r="T2561" s="2">
        <f t="shared" si="160"/>
        <v>10.742131730335016</v>
      </c>
      <c r="U2561" s="2">
        <f t="shared" si="161"/>
        <v>248.4268937020318</v>
      </c>
    </row>
    <row r="2562" spans="1:21" x14ac:dyDescent="0.25">
      <c r="A2562">
        <v>4245453</v>
      </c>
      <c r="B2562">
        <v>12</v>
      </c>
      <c r="C2562" s="1">
        <f>6.0304698642304*(10.3/7.3)</f>
        <v>8.5087451509004328</v>
      </c>
      <c r="D2562" s="1">
        <f>8.55802490929478*(10.3/7.3)</f>
        <v>12.075021447361131</v>
      </c>
      <c r="E2562" s="1">
        <f>30.184121943106*(10.3/7.3)</f>
        <v>42.588555618354988</v>
      </c>
      <c r="F2562" s="1">
        <f>56.0244394538638*(38.9/42.5)</f>
        <v>51.27883987659537</v>
      </c>
      <c r="G2562" s="1">
        <v>1.914767635357405</v>
      </c>
      <c r="H2562" s="1">
        <v>11.069867923403626</v>
      </c>
      <c r="I2562" s="1">
        <v>39.214772789263584</v>
      </c>
      <c r="J2562" s="1">
        <v>5.4641149182953347E-2</v>
      </c>
      <c r="K2562" s="1">
        <v>3.4240273561857748</v>
      </c>
      <c r="L2562" s="1">
        <v>5.7135993963258009</v>
      </c>
      <c r="M2562" s="1">
        <v>0.20410983014783354</v>
      </c>
      <c r="N2562" s="1">
        <v>2.5433759596898824</v>
      </c>
      <c r="O2562" s="1">
        <v>0.18146666666666664</v>
      </c>
      <c r="P2562" s="1">
        <v>0.13212863319800336</v>
      </c>
      <c r="Q2562" s="1">
        <v>3.0601309240871806</v>
      </c>
      <c r="R2562" s="2">
        <f t="shared" si="159"/>
        <v>169.71070136532373</v>
      </c>
      <c r="S2562" s="2">
        <f t="shared" si="158"/>
        <v>3.6107971385667312</v>
      </c>
      <c r="T2562" s="2">
        <f t="shared" si="160"/>
        <v>8.6425518528301843</v>
      </c>
      <c r="U2562" s="2">
        <f t="shared" si="161"/>
        <v>181.96405035672066</v>
      </c>
    </row>
    <row r="2563" spans="1:21" x14ac:dyDescent="0.25">
      <c r="A2563">
        <v>4245461</v>
      </c>
      <c r="B2563">
        <v>23</v>
      </c>
      <c r="C2563" s="1">
        <f>5.70423135424886*(10.3/7.3)</f>
        <v>8.0484360203785315</v>
      </c>
      <c r="D2563" s="1">
        <f>7.97785839655882*(10.3/7.3)</f>
        <v>11.256430340350118</v>
      </c>
      <c r="E2563" s="1">
        <f>28.1452982754442*(10.3/7.3)</f>
        <v>39.711859210558231</v>
      </c>
      <c r="F2563" s="1">
        <f>52.6977065840744*(38.9/42.5)</f>
        <v>48.233900849894013</v>
      </c>
      <c r="G2563" s="1">
        <v>1.8178562011091135</v>
      </c>
      <c r="H2563" s="1">
        <v>9.4968663670122524</v>
      </c>
      <c r="I2563" s="1">
        <v>37.163398679386056</v>
      </c>
      <c r="J2563" s="1">
        <v>4.9470221195569819E-2</v>
      </c>
      <c r="K2563" s="1">
        <v>3.1609517517262562</v>
      </c>
      <c r="L2563" s="1">
        <v>5.1631197954945431</v>
      </c>
      <c r="M2563" s="1">
        <v>0.18849210254940643</v>
      </c>
      <c r="N2563" s="1">
        <v>2.3886644315583809</v>
      </c>
      <c r="O2563" s="1">
        <v>0.16842434782608692</v>
      </c>
      <c r="P2563" s="1">
        <v>0.12409174766360392</v>
      </c>
      <c r="Q2563" s="1">
        <v>2.9052496364757552</v>
      </c>
      <c r="R2563" s="2">
        <f t="shared" si="159"/>
        <v>158.63399730516409</v>
      </c>
      <c r="S2563" s="2">
        <f t="shared" si="158"/>
        <v>3.3345137205854298</v>
      </c>
      <c r="T2563" s="2">
        <f t="shared" si="160"/>
        <v>7.9087006774284179</v>
      </c>
      <c r="U2563" s="2">
        <f t="shared" si="161"/>
        <v>169.87721170317792</v>
      </c>
    </row>
    <row r="2564" spans="1:21" x14ac:dyDescent="0.25">
      <c r="A2564">
        <v>4245469</v>
      </c>
      <c r="B2564">
        <v>37</v>
      </c>
      <c r="C2564" s="1">
        <f>8.62710818092029*(10.3/7.3)</f>
        <v>12.172495104586163</v>
      </c>
      <c r="D2564" s="1">
        <f>11.8535745025243*(10.3/7.3)</f>
        <v>16.724906489863105</v>
      </c>
      <c r="E2564" s="1">
        <f>41.8478670013121*(10.3/7.3)</f>
        <v>59.04562056349512</v>
      </c>
      <c r="F2564" s="1">
        <f>78.4038656624956*(38.9/42.5)</f>
        <v>71.762597041672421</v>
      </c>
      <c r="G2564" s="1">
        <v>2.6960318820752818</v>
      </c>
      <c r="H2564" s="1">
        <v>8.1227238861743949</v>
      </c>
      <c r="I2564" s="1">
        <v>55.646429764926026</v>
      </c>
      <c r="J2564" s="1">
        <v>6.9536935086198903E-2</v>
      </c>
      <c r="K2564" s="1">
        <v>3.657575171696807</v>
      </c>
      <c r="L2564" s="1">
        <v>6.6314621810461141</v>
      </c>
      <c r="M2564" s="1">
        <v>0.22591127331966562</v>
      </c>
      <c r="N2564" s="1">
        <v>3.8941613726810531</v>
      </c>
      <c r="O2564" s="1">
        <v>0.19842450450450455</v>
      </c>
      <c r="P2564" s="1">
        <v>0.13871115784938684</v>
      </c>
      <c r="Q2564" s="1">
        <v>4.3087267521751125</v>
      </c>
      <c r="R2564" s="2">
        <f t="shared" si="159"/>
        <v>230.47953148496765</v>
      </c>
      <c r="S2564" s="2">
        <f t="shared" si="158"/>
        <v>3.8658232646323927</v>
      </c>
      <c r="T2564" s="2">
        <f t="shared" si="160"/>
        <v>10.949959331551337</v>
      </c>
      <c r="U2564" s="2">
        <f t="shared" si="161"/>
        <v>245.29531408115136</v>
      </c>
    </row>
    <row r="2565" spans="1:21" x14ac:dyDescent="0.25">
      <c r="A2565">
        <v>4245477</v>
      </c>
      <c r="B2565">
        <v>47</v>
      </c>
      <c r="C2565" s="1">
        <f>8.33794237430124*(10.3/7.3)</f>
        <v>11.764494034972984</v>
      </c>
      <c r="D2565" s="1">
        <f>11.2616349252463*(10.3/7.3)</f>
        <v>15.889704072607818</v>
      </c>
      <c r="E2565" s="1">
        <f>39.773588073061*(10.3/7.3)</f>
        <v>56.118898240072319</v>
      </c>
      <c r="F2565" s="1">
        <f>75.1624716955803*(38.9/42.5)</f>
        <v>68.795768210778206</v>
      </c>
      <c r="G2565" s="1">
        <v>2.606262604059157</v>
      </c>
      <c r="H2565" s="1">
        <v>6.9411581409914858</v>
      </c>
      <c r="I2565" s="1">
        <v>53.787526489255569</v>
      </c>
      <c r="J2565" s="1">
        <v>7.1178388813373072E-2</v>
      </c>
      <c r="K2565" s="1">
        <v>3.8255121414918642</v>
      </c>
      <c r="L2565" s="1">
        <v>7.198832856090907</v>
      </c>
      <c r="M2565" s="1">
        <v>0.23790270508378206</v>
      </c>
      <c r="N2565" s="1">
        <v>3.4247004462039619</v>
      </c>
      <c r="O2565" s="1">
        <v>0.20544226950354605</v>
      </c>
      <c r="P2565" s="1">
        <v>0.14377326627761519</v>
      </c>
      <c r="Q2565" s="1">
        <v>4.1652598695009404</v>
      </c>
      <c r="R2565" s="2">
        <f t="shared" si="159"/>
        <v>220.06907166223849</v>
      </c>
      <c r="S2565" s="2">
        <f t="shared" si="158"/>
        <v>4.0404637965828529</v>
      </c>
      <c r="T2565" s="2">
        <f t="shared" si="160"/>
        <v>11.066878276882196</v>
      </c>
      <c r="U2565" s="2">
        <f t="shared" si="161"/>
        <v>235.17641373570353</v>
      </c>
    </row>
    <row r="2566" spans="1:21" x14ac:dyDescent="0.25">
      <c r="A2566">
        <v>4245485</v>
      </c>
      <c r="B2566">
        <v>46</v>
      </c>
      <c r="C2566" s="1">
        <f>8.18905271739752*(10.3/7.3)</f>
        <v>11.554416847834862</v>
      </c>
      <c r="D2566" s="1">
        <f>10.8913883913041*(10.3/7.3)</f>
        <v>15.367301428826384</v>
      </c>
      <c r="E2566" s="1">
        <f>38.484016878488*(10.3/7.3)</f>
        <v>54.299366280606385</v>
      </c>
      <c r="F2566" s="1">
        <f>73.0763665758155*(38.9/42.5)</f>
        <v>66.886368465864024</v>
      </c>
      <c r="G2566" s="1">
        <v>2.5421203781343538</v>
      </c>
      <c r="H2566" s="1">
        <v>11.290910387133099</v>
      </c>
      <c r="I2566" s="1">
        <v>52.642222691111193</v>
      </c>
      <c r="J2566" s="1">
        <v>7.7835300364095111E-2</v>
      </c>
      <c r="K2566" s="1">
        <v>3.757756820607113</v>
      </c>
      <c r="L2566" s="1">
        <v>7.2092446181348624</v>
      </c>
      <c r="M2566" s="1">
        <v>0.23535677755977058</v>
      </c>
      <c r="N2566" s="1">
        <v>3.4528053358745616</v>
      </c>
      <c r="O2566" s="1">
        <v>0.20327999999999993</v>
      </c>
      <c r="P2566" s="1">
        <v>0.1427241069492734</v>
      </c>
      <c r="Q2566" s="1">
        <v>4.0627494627718033</v>
      </c>
      <c r="R2566" s="2">
        <f t="shared" si="159"/>
        <v>218.64545594228207</v>
      </c>
      <c r="S2566" s="2">
        <f t="shared" si="158"/>
        <v>3.9783162279204816</v>
      </c>
      <c r="T2566" s="2">
        <f t="shared" si="160"/>
        <v>11.100686731569194</v>
      </c>
      <c r="U2566" s="2">
        <f t="shared" si="161"/>
        <v>233.72445890177175</v>
      </c>
    </row>
    <row r="2567" spans="1:21" x14ac:dyDescent="0.25">
      <c r="A2567">
        <v>4245493</v>
      </c>
      <c r="B2567">
        <v>41</v>
      </c>
      <c r="C2567" s="1">
        <f>6.39627498358403*(10.3/7.3)</f>
        <v>9.0248811412213055</v>
      </c>
      <c r="D2567" s="1">
        <f>8.4209697405165*(10.3/7.3)</f>
        <v>11.881642236619172</v>
      </c>
      <c r="E2567" s="1">
        <f>29.7689465269863*(10.3/7.3)</f>
        <v>42.002760168213499</v>
      </c>
      <c r="F2567" s="1">
        <f>56.4735997457635*(38.9/42.5)</f>
        <v>51.689953649651763</v>
      </c>
      <c r="G2567" s="1">
        <v>1.9571905721074698</v>
      </c>
      <c r="H2567" s="1">
        <v>12.862759595356904</v>
      </c>
      <c r="I2567" s="1">
        <v>40.819398707301531</v>
      </c>
      <c r="J2567" s="1">
        <v>6.3750307219547081E-2</v>
      </c>
      <c r="K2567" s="1">
        <v>3.1883198022230133</v>
      </c>
      <c r="L2567" s="1">
        <v>5.8134653765900213</v>
      </c>
      <c r="M2567" s="1">
        <v>0.19971935180405115</v>
      </c>
      <c r="N2567" s="1">
        <v>3.2487781471278989</v>
      </c>
      <c r="O2567" s="1">
        <v>0.17249040650406502</v>
      </c>
      <c r="P2567" s="1">
        <v>0.12540138402571782</v>
      </c>
      <c r="Q2567" s="1">
        <v>3.1279301380713012</v>
      </c>
      <c r="R2567" s="2">
        <f t="shared" si="159"/>
        <v>173.36651620854292</v>
      </c>
      <c r="S2567" s="2">
        <f t="shared" si="158"/>
        <v>3.3774714934682781</v>
      </c>
      <c r="T2567" s="2">
        <f t="shared" si="160"/>
        <v>9.4344532820260358</v>
      </c>
      <c r="U2567" s="2">
        <f t="shared" si="161"/>
        <v>186.17844098403722</v>
      </c>
    </row>
    <row r="2568" spans="1:21" x14ac:dyDescent="0.25">
      <c r="A2568">
        <v>4245501</v>
      </c>
      <c r="B2568">
        <v>13</v>
      </c>
      <c r="C2568" s="1">
        <f>6.46917807676939*(10.3/7.3)</f>
        <v>9.1277444096883187</v>
      </c>
      <c r="D2568" s="1">
        <f>8.41253124404575*(10.3/7.3)</f>
        <v>11.86973586488647</v>
      </c>
      <c r="E2568" s="1">
        <f>29.7528715472508*(10.3/7.3)</f>
        <v>41.980079032422339</v>
      </c>
      <c r="F2568" s="1">
        <f>56.5483677419196*(38.9/42.5)</f>
        <v>51.75838835672171</v>
      </c>
      <c r="G2568" s="1">
        <v>1.9592056234392463</v>
      </c>
      <c r="H2568" s="1">
        <v>12.94410871754968</v>
      </c>
      <c r="I2568" s="1">
        <v>41.071576416576484</v>
      </c>
      <c r="J2568" s="1">
        <v>7.8132395583684955E-2</v>
      </c>
      <c r="K2568" s="1">
        <v>3.018808976540718</v>
      </c>
      <c r="L2568" s="1">
        <v>5.449945464710761</v>
      </c>
      <c r="M2568" s="1">
        <v>0.18778767032337174</v>
      </c>
      <c r="N2568" s="1">
        <v>3.0038575612585441</v>
      </c>
      <c r="O2568" s="1">
        <v>0.16397128205128203</v>
      </c>
      <c r="P2568" s="1">
        <v>0.12019288545701078</v>
      </c>
      <c r="Q2568" s="1">
        <v>3.131150539743091</v>
      </c>
      <c r="R2568" s="2">
        <f t="shared" si="159"/>
        <v>173.84198896102731</v>
      </c>
      <c r="S2568" s="2">
        <f t="shared" si="158"/>
        <v>3.2171342575814137</v>
      </c>
      <c r="T2568" s="2">
        <f t="shared" si="160"/>
        <v>8.8055619783439596</v>
      </c>
      <c r="U2568" s="2">
        <f t="shared" si="161"/>
        <v>185.86468519695268</v>
      </c>
    </row>
    <row r="2569" spans="1:21" x14ac:dyDescent="0.25">
      <c r="A2569">
        <v>4245525</v>
      </c>
      <c r="B2569">
        <v>6</v>
      </c>
      <c r="C2569" s="1">
        <f>8.24464039999357*(10.3/7.3)</f>
        <v>11.632848783552577</v>
      </c>
      <c r="D2569" s="1">
        <f>10.118907529199*(10.3/7.3)</f>
        <v>14.277362678184929</v>
      </c>
      <c r="E2569" s="1">
        <f>35.8423876734012*(10.3/7.3)</f>
        <v>50.572136032333198</v>
      </c>
      <c r="F2569" s="1">
        <f>70.0377808470495*(38.9/42.5)</f>
        <v>64.105168822358294</v>
      </c>
      <c r="G2569" s="1">
        <v>2.487454383172683</v>
      </c>
      <c r="H2569" s="1">
        <v>5.9231883189000323</v>
      </c>
      <c r="I2569" s="1">
        <v>52.24437930838053</v>
      </c>
      <c r="J2569" s="1">
        <v>0.11476451762023286</v>
      </c>
      <c r="K2569" s="1">
        <v>3.4574922621968871</v>
      </c>
      <c r="L2569" s="1">
        <v>6.619564539500888</v>
      </c>
      <c r="M2569" s="1">
        <v>0.21105575627969023</v>
      </c>
      <c r="N2569" s="1">
        <v>4.3894053863320366</v>
      </c>
      <c r="O2569" s="1">
        <v>0.18088888888888888</v>
      </c>
      <c r="P2569" s="1">
        <v>0.12831191172304851</v>
      </c>
      <c r="Q2569" s="1">
        <v>3.9753837173992697</v>
      </c>
      <c r="R2569" s="2">
        <f t="shared" si="159"/>
        <v>205.21792204428152</v>
      </c>
      <c r="S2569" s="2">
        <f t="shared" ref="S2569:S2632" si="162">J2569+K2569+P2569</f>
        <v>3.7005686915401688</v>
      </c>
      <c r="T2569" s="2">
        <f t="shared" si="160"/>
        <v>11.400914571001504</v>
      </c>
      <c r="U2569" s="2">
        <f t="shared" si="161"/>
        <v>220.31940530682317</v>
      </c>
    </row>
    <row r="2570" spans="1:21" x14ac:dyDescent="0.25">
      <c r="A2570">
        <v>4245533</v>
      </c>
      <c r="B2570">
        <v>6</v>
      </c>
      <c r="C2570" s="1">
        <f>7.90410090521123*(10.3/7.3)</f>
        <v>11.152361551188449</v>
      </c>
      <c r="D2570" s="1">
        <f>9.61213244166168*(10.3/7.3)</f>
        <v>13.562323856043195</v>
      </c>
      <c r="E2570" s="1">
        <f>34.0542864686017*(10.3/7.3)</f>
        <v>48.049198715972317</v>
      </c>
      <c r="F2570" s="1">
        <f>66.9211814076454*(38.9/42.5)</f>
        <v>61.252563688409523</v>
      </c>
      <c r="G2570" s="1">
        <v>2.3898159868238493</v>
      </c>
      <c r="H2570" s="1">
        <v>5.8218558911381324</v>
      </c>
      <c r="I2570" s="1">
        <v>50.140054282769334</v>
      </c>
      <c r="J2570" s="1">
        <v>9.6422562179030225E-2</v>
      </c>
      <c r="K2570" s="1">
        <v>3.0068863974826141</v>
      </c>
      <c r="L2570" s="1">
        <v>5.4081293087417164</v>
      </c>
      <c r="M2570" s="1">
        <v>0.18321241292808596</v>
      </c>
      <c r="N2570" s="1">
        <v>2.6101418031485104</v>
      </c>
      <c r="O2570" s="1">
        <v>0.15747555555555556</v>
      </c>
      <c r="P2570" s="1">
        <v>0.11322409449222907</v>
      </c>
      <c r="Q2570" s="1">
        <v>3.8193406182116352</v>
      </c>
      <c r="R2570" s="2">
        <f t="shared" ref="R2570:R2633" si="163">C2570+D2570+E2570+F2570+G2570+H2570+I2570+Q2570</f>
        <v>196.18751459055648</v>
      </c>
      <c r="S2570" s="2">
        <f t="shared" si="162"/>
        <v>3.2165330541538735</v>
      </c>
      <c r="T2570" s="2">
        <f t="shared" ref="T2570:T2633" si="164">L2570+M2570+N2570+O2570</f>
        <v>8.358959080373868</v>
      </c>
      <c r="U2570" s="2">
        <f t="shared" ref="U2570:U2633" si="165">R2570+S2570+T2570</f>
        <v>207.76300672508421</v>
      </c>
    </row>
    <row r="2571" spans="1:21" x14ac:dyDescent="0.25">
      <c r="A2571">
        <v>4245541</v>
      </c>
      <c r="B2571">
        <v>14</v>
      </c>
      <c r="C2571" s="1">
        <f>7.25943716655059*(10.3/7.3)</f>
        <v>10.242767508968635</v>
      </c>
      <c r="D2571" s="1">
        <f>8.91660557428379*(10.3/7.3)</f>
        <v>12.580964029468904</v>
      </c>
      <c r="E2571" s="1">
        <f>31.5022216810071*(10.3/7.3)</f>
        <v>44.448340180051069</v>
      </c>
      <c r="F2571" s="1">
        <f>65.6086821213227*(38.9/42.5)</f>
        <v>60.051240812222389</v>
      </c>
      <c r="G2571" s="1">
        <v>2.5270257792858035</v>
      </c>
      <c r="H2571" s="1">
        <v>8.3883575540263582</v>
      </c>
      <c r="I2571" s="1">
        <v>49.537908194925492</v>
      </c>
      <c r="J2571" s="1">
        <v>8.7345136998409498E-2</v>
      </c>
      <c r="K2571" s="1">
        <v>3.3514840042731961</v>
      </c>
      <c r="L2571" s="1">
        <v>6.3015714527670807</v>
      </c>
      <c r="M2571" s="1">
        <v>0.19884732590376689</v>
      </c>
      <c r="N2571" s="1">
        <v>3.0504842774725485</v>
      </c>
      <c r="O2571" s="1">
        <v>0.16855238095238095</v>
      </c>
      <c r="P2571" s="1">
        <v>0.12252332480344706</v>
      </c>
      <c r="Q2571" s="1">
        <v>4.0386256746576805</v>
      </c>
      <c r="R2571" s="2">
        <f t="shared" si="163"/>
        <v>191.81522973360632</v>
      </c>
      <c r="S2571" s="2">
        <f t="shared" si="162"/>
        <v>3.5613524660750526</v>
      </c>
      <c r="T2571" s="2">
        <f t="shared" si="164"/>
        <v>9.7194554370957764</v>
      </c>
      <c r="U2571" s="2">
        <f t="shared" si="165"/>
        <v>205.09603763677714</v>
      </c>
    </row>
    <row r="2572" spans="1:21" x14ac:dyDescent="0.25">
      <c r="A2572">
        <v>4245549</v>
      </c>
      <c r="B2572">
        <v>10</v>
      </c>
      <c r="C2572" s="1">
        <f>4.4158612615811*(10.3/7.3)</f>
        <v>6.2305987663404556</v>
      </c>
      <c r="D2572" s="1">
        <f>5.39965696054378*(10.3/7.3)</f>
        <v>7.6186940676165724</v>
      </c>
      <c r="E2572" s="1">
        <f>19.1028753598679*(10.3/7.3)</f>
        <v>26.953372083101321</v>
      </c>
      <c r="F2572" s="1">
        <f>38.6704182471251*(38.9/42.5)</f>
        <v>35.394806348545089</v>
      </c>
      <c r="G2572" s="1">
        <v>1.4373230302076749</v>
      </c>
      <c r="H2572" s="1">
        <v>6.9486053061304016</v>
      </c>
      <c r="I2572" s="1">
        <v>29.085136385129466</v>
      </c>
      <c r="J2572" s="1">
        <v>4.3654080254262588E-2</v>
      </c>
      <c r="K2572" s="1">
        <v>2.3744662015068818</v>
      </c>
      <c r="L2572" s="1">
        <v>5.3195792936887134</v>
      </c>
      <c r="M2572" s="1">
        <v>0.13877395127760034</v>
      </c>
      <c r="N2572" s="1">
        <v>1.8819417819167494</v>
      </c>
      <c r="O2572" s="1">
        <v>0.11765333333333332</v>
      </c>
      <c r="P2572" s="1">
        <v>9.3368865895469208E-2</v>
      </c>
      <c r="Q2572" s="1">
        <v>2.2970916007885243</v>
      </c>
      <c r="R2572" s="2">
        <f t="shared" si="163"/>
        <v>115.9656275878595</v>
      </c>
      <c r="S2572" s="2">
        <f t="shared" si="162"/>
        <v>2.5114891476566132</v>
      </c>
      <c r="T2572" s="2">
        <f t="shared" si="164"/>
        <v>7.4579483602163963</v>
      </c>
      <c r="U2572" s="2">
        <f t="shared" si="165"/>
        <v>125.93506509573251</v>
      </c>
    </row>
    <row r="2573" spans="1:21" x14ac:dyDescent="0.25">
      <c r="A2573">
        <v>4245557</v>
      </c>
      <c r="B2573">
        <v>5</v>
      </c>
      <c r="C2573" s="1">
        <f>4.54530609877906*(10.3/7.3)</f>
        <v>6.4132401119759415</v>
      </c>
      <c r="D2573" s="1">
        <f>5.56401137459897*(10.3/7.3)</f>
        <v>7.8505913915574501</v>
      </c>
      <c r="E2573" s="1">
        <f>19.6908678226149*(10.3/7.3)</f>
        <v>27.783005283963448</v>
      </c>
      <c r="F2573" s="1">
        <f>39.4804776781825*(38.9/42.5)</f>
        <v>36.13624898073644</v>
      </c>
      <c r="G2573" s="1">
        <v>1.4499838332507107</v>
      </c>
      <c r="H2573" s="1">
        <v>4.9264355322299362</v>
      </c>
      <c r="I2573" s="1">
        <v>29.628267338465246</v>
      </c>
      <c r="J2573" s="1">
        <v>4.349962763749983E-2</v>
      </c>
      <c r="K2573" s="1">
        <v>2.2474461368350784</v>
      </c>
      <c r="L2573" s="1">
        <v>5.4236110467115344</v>
      </c>
      <c r="M2573" s="1">
        <v>0.13232759961192772</v>
      </c>
      <c r="N2573" s="1">
        <v>1.6884477238065816</v>
      </c>
      <c r="O2573" s="1">
        <v>0.11135999999999999</v>
      </c>
      <c r="P2573" s="1">
        <v>8.864612378770452E-2</v>
      </c>
      <c r="Q2573" s="1">
        <v>2.3173257609029645</v>
      </c>
      <c r="R2573" s="2">
        <f t="shared" si="163"/>
        <v>116.50509823308214</v>
      </c>
      <c r="S2573" s="2">
        <f t="shared" si="162"/>
        <v>2.3795918882602827</v>
      </c>
      <c r="T2573" s="2">
        <f t="shared" si="164"/>
        <v>7.3557463701300438</v>
      </c>
      <c r="U2573" s="2">
        <f t="shared" si="165"/>
        <v>126.24043649147247</v>
      </c>
    </row>
    <row r="2574" spans="1:21" x14ac:dyDescent="0.25">
      <c r="A2574">
        <v>4245573</v>
      </c>
      <c r="B2574">
        <v>24</v>
      </c>
      <c r="C2574" s="1">
        <f>5.38341163316005*(10.3/7.3)</f>
        <v>7.5957725782943246</v>
      </c>
      <c r="D2574" s="1">
        <f>6.34668038727341*(10.3/7.3)</f>
        <v>8.9549052039611077</v>
      </c>
      <c r="E2574" s="1">
        <f>22.4336527593294*(10.3/7.3)</f>
        <v>31.652962112478459</v>
      </c>
      <c r="F2574" s="1">
        <f>48.345465024121*(38.9/42.5)</f>
        <v>44.250319751489556</v>
      </c>
      <c r="G2574" s="1">
        <v>1.9202665010858422</v>
      </c>
      <c r="H2574" s="1">
        <v>6.1833775222278957</v>
      </c>
      <c r="I2574" s="1">
        <v>37.222074160340554</v>
      </c>
      <c r="J2574" s="1">
        <v>4.1381491041959054E-2</v>
      </c>
      <c r="K2574" s="1">
        <v>2.2752646717226015</v>
      </c>
      <c r="L2574" s="1">
        <v>4.6730835767978229</v>
      </c>
      <c r="M2574" s="1">
        <v>0.13170015926020828</v>
      </c>
      <c r="N2574" s="1">
        <v>1.7082094850676015</v>
      </c>
      <c r="O2574" s="1">
        <v>0.11232888888888892</v>
      </c>
      <c r="P2574" s="1">
        <v>8.8789907595568804E-2</v>
      </c>
      <c r="Q2574" s="1">
        <v>3.0689190656623082</v>
      </c>
      <c r="R2574" s="2">
        <f t="shared" si="163"/>
        <v>140.84859689554006</v>
      </c>
      <c r="S2574" s="2">
        <f t="shared" si="162"/>
        <v>2.4054360703601292</v>
      </c>
      <c r="T2574" s="2">
        <f t="shared" si="164"/>
        <v>6.6253221100145208</v>
      </c>
      <c r="U2574" s="2">
        <f t="shared" si="165"/>
        <v>149.8793550759147</v>
      </c>
    </row>
    <row r="2575" spans="1:21" x14ac:dyDescent="0.25">
      <c r="A2575">
        <v>4245581</v>
      </c>
      <c r="B2575">
        <v>13</v>
      </c>
      <c r="C2575" s="1">
        <f>5.68699424394949*(10.3/7.3)</f>
        <v>8.0241151661205095</v>
      </c>
      <c r="D2575" s="1">
        <f>6.53777497667322*(10.3/7.3)</f>
        <v>9.2245318164019459</v>
      </c>
      <c r="E2575" s="1">
        <f>23.0895567407391*(10.3/7.3)</f>
        <v>32.578415675289477</v>
      </c>
      <c r="F2575" s="1">
        <f>52.1730571159744*(38.9/42.5)</f>
        <v>47.753692277915377</v>
      </c>
      <c r="G2575" s="1">
        <v>2.1689259658926594</v>
      </c>
      <c r="H2575" s="1">
        <v>9.1098412405615612</v>
      </c>
      <c r="I2575" s="1">
        <v>40.795009226318129</v>
      </c>
      <c r="J2575" s="1">
        <v>3.9726179176234444E-2</v>
      </c>
      <c r="K2575" s="1">
        <v>2.44496653738942</v>
      </c>
      <c r="L2575" s="1">
        <v>4.8152626082150753</v>
      </c>
      <c r="M2575" s="1">
        <v>0.13804489248071788</v>
      </c>
      <c r="N2575" s="1">
        <v>1.8327334628867975</v>
      </c>
      <c r="O2575" s="1">
        <v>0.11725948717948717</v>
      </c>
      <c r="P2575" s="1">
        <v>9.3384861043445275E-2</v>
      </c>
      <c r="Q2575" s="1">
        <v>3.4663200368147566</v>
      </c>
      <c r="R2575" s="2">
        <f t="shared" si="163"/>
        <v>153.1208514053144</v>
      </c>
      <c r="S2575" s="2">
        <f t="shared" si="162"/>
        <v>2.5780775776091001</v>
      </c>
      <c r="T2575" s="2">
        <f t="shared" si="164"/>
        <v>6.9033004507620772</v>
      </c>
      <c r="U2575" s="2">
        <f t="shared" si="165"/>
        <v>162.60222943368558</v>
      </c>
    </row>
    <row r="2576" spans="1:21" x14ac:dyDescent="0.25">
      <c r="A2576">
        <v>4245589</v>
      </c>
      <c r="B2576">
        <v>6</v>
      </c>
      <c r="C2576" s="1">
        <f>5.05498684750009*(10.3/7.3)</f>
        <v>7.1323787026371077</v>
      </c>
      <c r="D2576" s="1">
        <f>5.85912157448867*(10.3/7.3)</f>
        <v>8.2669797557853784</v>
      </c>
      <c r="E2576" s="1">
        <f>20.6555652452544*(10.3/7.3)</f>
        <v>29.144153702208211</v>
      </c>
      <c r="F2576" s="1">
        <f>48.140165979082*(38.9/42.5)</f>
        <v>44.062410743206783</v>
      </c>
      <c r="G2576" s="1">
        <v>2.0665005644819217</v>
      </c>
      <c r="H2576" s="1">
        <v>8.2583129387612839</v>
      </c>
      <c r="I2576" s="1">
        <v>37.716799774949699</v>
      </c>
      <c r="J2576" s="1">
        <v>3.846605646043693E-2</v>
      </c>
      <c r="K2576" s="1">
        <v>2.247534183906978</v>
      </c>
      <c r="L2576" s="1">
        <v>5.5213995535825591</v>
      </c>
      <c r="M2576" s="1">
        <v>0.1269610155224338</v>
      </c>
      <c r="N2576" s="1">
        <v>1.7634189378792369</v>
      </c>
      <c r="O2576" s="1">
        <v>0.10687999999999999</v>
      </c>
      <c r="P2576" s="1">
        <v>8.7275781067145411E-2</v>
      </c>
      <c r="Q2576" s="1">
        <v>3.3026264729163159</v>
      </c>
      <c r="R2576" s="2">
        <f t="shared" si="163"/>
        <v>139.95016265494672</v>
      </c>
      <c r="S2576" s="2">
        <f t="shared" si="162"/>
        <v>2.3732760214345605</v>
      </c>
      <c r="T2576" s="2">
        <f t="shared" si="164"/>
        <v>7.5186595069842301</v>
      </c>
      <c r="U2576" s="2">
        <f t="shared" si="165"/>
        <v>149.84209818336549</v>
      </c>
    </row>
    <row r="2577" spans="1:21" x14ac:dyDescent="0.25">
      <c r="A2577">
        <v>4245789</v>
      </c>
      <c r="B2577">
        <v>38</v>
      </c>
      <c r="C2577" s="1">
        <f>14.2345299191753*(10.3/7.3)</f>
        <v>20.084336735274707</v>
      </c>
      <c r="D2577" s="1">
        <f>13.2418472237021*(10.3/7.3)</f>
        <v>18.683702247141262</v>
      </c>
      <c r="E2577" s="1">
        <f>47.4986650401626*(10.3/7.3)</f>
        <v>67.018664371736335</v>
      </c>
      <c r="F2577" s="1">
        <f>97.5105464001386*(38.9/42.5)</f>
        <v>89.25082952859745</v>
      </c>
      <c r="G2577" s="1">
        <v>3.4408640527061869</v>
      </c>
      <c r="H2577" s="1">
        <v>7.0204013495978757</v>
      </c>
      <c r="I2577" s="1">
        <v>81.236300038520838</v>
      </c>
      <c r="J2577" s="1">
        <v>3.8437172898019373E-2</v>
      </c>
      <c r="K2577" s="1">
        <v>2.6377042931918275</v>
      </c>
      <c r="L2577" s="1">
        <v>3.0752900594665107</v>
      </c>
      <c r="M2577" s="1">
        <v>0.1289291042381171</v>
      </c>
      <c r="N2577" s="1">
        <v>1.5883140618892941</v>
      </c>
      <c r="O2577" s="1">
        <v>0.11859087719298242</v>
      </c>
      <c r="P2577" s="1">
        <v>8.9967965698071195E-2</v>
      </c>
      <c r="Q2577" s="1">
        <v>5.4990978011286149</v>
      </c>
      <c r="R2577" s="2">
        <f t="shared" si="163"/>
        <v>292.23419612470332</v>
      </c>
      <c r="S2577" s="2">
        <f t="shared" si="162"/>
        <v>2.7661094317879185</v>
      </c>
      <c r="T2577" s="2">
        <f t="shared" si="164"/>
        <v>4.9111241027869044</v>
      </c>
      <c r="U2577" s="2">
        <f t="shared" si="165"/>
        <v>299.91142965927816</v>
      </c>
    </row>
    <row r="2578" spans="1:21" x14ac:dyDescent="0.25">
      <c r="A2578">
        <v>4257081</v>
      </c>
      <c r="B2578">
        <v>2</v>
      </c>
      <c r="C2578" s="1">
        <f>0.398968902834472*(10.3/7.3)</f>
        <v>0.56292872591713117</v>
      </c>
      <c r="D2578" s="1">
        <f>0.509215803022364*(10.3/7.3)</f>
        <v>0.71848257138771865</v>
      </c>
      <c r="E2578" s="1">
        <f>1.78693828948653*(10.3/7.3)</f>
        <v>2.5212964906453768</v>
      </c>
      <c r="F2578" s="1">
        <f>4.17689397654852*(38.9/42.5)</f>
        <v>3.8230864867702907</v>
      </c>
      <c r="G2578" s="1">
        <v>0.18272328459567561</v>
      </c>
      <c r="H2578" s="1">
        <v>0.91871002186341721</v>
      </c>
      <c r="I2578" s="1">
        <v>3.1828709457015485</v>
      </c>
      <c r="J2578" s="1">
        <v>2.3367323091001563E-2</v>
      </c>
      <c r="K2578" s="1">
        <v>2.4769100940151887</v>
      </c>
      <c r="L2578" s="1">
        <v>1.9693065489338162</v>
      </c>
      <c r="M2578" s="1">
        <v>0.13823376540609675</v>
      </c>
      <c r="N2578" s="1">
        <v>0.79527854103631812</v>
      </c>
      <c r="O2578" s="1">
        <v>0.85759999999999992</v>
      </c>
      <c r="P2578" s="1">
        <v>0.24232352057347778</v>
      </c>
      <c r="Q2578" s="1">
        <v>0.29202351419400241</v>
      </c>
      <c r="R2578" s="2">
        <f t="shared" si="163"/>
        <v>12.20212204107516</v>
      </c>
      <c r="S2578" s="2">
        <f t="shared" si="162"/>
        <v>2.7426009376796681</v>
      </c>
      <c r="T2578" s="2">
        <f t="shared" si="164"/>
        <v>3.7604188553762308</v>
      </c>
      <c r="U2578" s="2">
        <f t="shared" si="165"/>
        <v>18.705141834131059</v>
      </c>
    </row>
    <row r="2579" spans="1:21" x14ac:dyDescent="0.25">
      <c r="A2579">
        <v>4257089</v>
      </c>
      <c r="B2579">
        <v>14</v>
      </c>
      <c r="C2579" s="1">
        <f>0.652202833574371*(10.3/7.3)</f>
        <v>0.92023139531726283</v>
      </c>
      <c r="D2579" s="1">
        <f>0.857820401314529*(10.3/7.3)</f>
        <v>1.2103493333615962</v>
      </c>
      <c r="E2579" s="1">
        <f>2.99931388715646*(10.3/7.3)</f>
        <v>4.2319086353029469</v>
      </c>
      <c r="F2579" s="1">
        <f>7.36673204268644*(38.9/42.5)</f>
        <v>6.7427265049530023</v>
      </c>
      <c r="G2579" s="1">
        <v>0.33804803960366814</v>
      </c>
      <c r="H2579" s="1">
        <v>1.6206630226374086</v>
      </c>
      <c r="I2579" s="1">
        <v>5.6162436581958968</v>
      </c>
      <c r="J2579" s="1">
        <v>3.5194950478265111E-2</v>
      </c>
      <c r="K2579" s="1">
        <v>3.5415266394392164</v>
      </c>
      <c r="L2579" s="1">
        <v>2.6016045298963753</v>
      </c>
      <c r="M2579" s="1">
        <v>0.18606417842161863</v>
      </c>
      <c r="N2579" s="1">
        <v>1.144365840751068</v>
      </c>
      <c r="O2579" s="1">
        <v>1.4344761904761902</v>
      </c>
      <c r="P2579" s="1">
        <v>0.36683843931437393</v>
      </c>
      <c r="Q2579" s="1">
        <v>0.54025942402412774</v>
      </c>
      <c r="R2579" s="2">
        <f t="shared" si="163"/>
        <v>21.220430013395912</v>
      </c>
      <c r="S2579" s="2">
        <f t="shared" si="162"/>
        <v>3.9435600292318553</v>
      </c>
      <c r="T2579" s="2">
        <f t="shared" si="164"/>
        <v>5.3665107395452525</v>
      </c>
      <c r="U2579" s="2">
        <f t="shared" si="165"/>
        <v>30.530500782173018</v>
      </c>
    </row>
    <row r="2580" spans="1:21" x14ac:dyDescent="0.25">
      <c r="A2580">
        <v>4257625</v>
      </c>
      <c r="B2580">
        <v>10</v>
      </c>
      <c r="C2580" s="1">
        <f>4.696656985349*(10.3/7.3)</f>
        <v>6.6267899930266658</v>
      </c>
      <c r="D2580" s="1">
        <f>8.33366377983821*(10.3/7.3)</f>
        <v>11.758457114018299</v>
      </c>
      <c r="E2580" s="1">
        <f>29.0697529048843*(10.3/7.3)</f>
        <v>41.016226701412094</v>
      </c>
      <c r="F2580" s="1">
        <f>58.3830808227853*(38.9/42.5)</f>
        <v>53.437690447208212</v>
      </c>
      <c r="G2580" s="1">
        <v>2.3020129600705932</v>
      </c>
      <c r="H2580" s="1">
        <v>7.5115881202595016</v>
      </c>
      <c r="I2580" s="1">
        <v>39.054182887384421</v>
      </c>
      <c r="J2580" s="1">
        <v>4.1723422544728231E-2</v>
      </c>
      <c r="K2580" s="1">
        <v>2.6358909289233865</v>
      </c>
      <c r="L2580" s="1">
        <v>4.4511750704195592</v>
      </c>
      <c r="M2580" s="1">
        <v>0.17565928182972534</v>
      </c>
      <c r="N2580" s="1">
        <v>2.122905579400574</v>
      </c>
      <c r="O2580" s="1">
        <v>0.15727466666666667</v>
      </c>
      <c r="P2580" s="1">
        <v>0.1216949130313532</v>
      </c>
      <c r="Q2580" s="1">
        <v>3.6790161462315454</v>
      </c>
      <c r="R2580" s="2">
        <f t="shared" si="163"/>
        <v>165.38596436961132</v>
      </c>
      <c r="S2580" s="2">
        <f t="shared" si="162"/>
        <v>2.7993092644994682</v>
      </c>
      <c r="T2580" s="2">
        <f t="shared" si="164"/>
        <v>6.9070145983165254</v>
      </c>
      <c r="U2580" s="2">
        <f t="shared" si="165"/>
        <v>175.09228823242731</v>
      </c>
    </row>
    <row r="2581" spans="1:21" x14ac:dyDescent="0.25">
      <c r="A2581">
        <v>4257665</v>
      </c>
      <c r="B2581">
        <v>59</v>
      </c>
      <c r="C2581" s="1">
        <f>10.1964052673039*(10.3/7.3)</f>
        <v>14.386708801812397</v>
      </c>
      <c r="D2581" s="1">
        <f>15.5482962870823*(10.3/7.3)</f>
        <v>21.938007089992809</v>
      </c>
      <c r="E2581" s="1">
        <f>54.7651250252508*(10.3/7.3)</f>
        <v>77.27134078905253</v>
      </c>
      <c r="F2581" s="1">
        <f>97.7099862903733*(38.9/42.5)</f>
        <v>89.433375686953482</v>
      </c>
      <c r="G2581" s="1">
        <v>3.1984985636485983</v>
      </c>
      <c r="H2581" s="1">
        <v>7.4781225142822896</v>
      </c>
      <c r="I2581" s="1">
        <v>65.895212135972983</v>
      </c>
      <c r="J2581" s="1">
        <v>8.633740179132289E-2</v>
      </c>
      <c r="K2581" s="1">
        <v>4.0074795056560948</v>
      </c>
      <c r="L2581" s="1">
        <v>7.8869257492343356</v>
      </c>
      <c r="M2581" s="1">
        <v>0.2782254329981762</v>
      </c>
      <c r="N2581" s="1">
        <v>3.4304741596564021</v>
      </c>
      <c r="O2581" s="1">
        <v>0.2369102824858757</v>
      </c>
      <c r="P2581" s="1">
        <v>0.15959732171032903</v>
      </c>
      <c r="Q2581" s="1">
        <v>5.1117556953288155</v>
      </c>
      <c r="R2581" s="2">
        <f t="shared" si="163"/>
        <v>284.71302127704394</v>
      </c>
      <c r="S2581" s="2">
        <f t="shared" si="162"/>
        <v>4.2534142291577473</v>
      </c>
      <c r="T2581" s="2">
        <f t="shared" si="164"/>
        <v>11.83253562437479</v>
      </c>
      <c r="U2581" s="2">
        <f t="shared" si="165"/>
        <v>300.79897113057643</v>
      </c>
    </row>
    <row r="2582" spans="1:21" x14ac:dyDescent="0.25">
      <c r="A2582">
        <v>4257673</v>
      </c>
      <c r="B2582">
        <v>55</v>
      </c>
      <c r="C2582" s="1">
        <f>9.32096969525141*(10.3/7.3)</f>
        <v>13.151505186450615</v>
      </c>
      <c r="D2582" s="1">
        <f>13.7301677451105*(10.3/7.3)</f>
        <v>19.372702434881873</v>
      </c>
      <c r="E2582" s="1">
        <f>48.39534333994*(10.3/7.3)</f>
        <v>68.283840602929018</v>
      </c>
      <c r="F2582" s="1">
        <f>87.8183702354672*(38.9/42.5)</f>
        <v>80.379637697874699</v>
      </c>
      <c r="G2582" s="1">
        <v>2.927123040670768</v>
      </c>
      <c r="H2582" s="1">
        <v>7.0977487246705673</v>
      </c>
      <c r="I2582" s="1">
        <v>60.271636685021754</v>
      </c>
      <c r="J2582" s="1">
        <v>7.7744905029665634E-2</v>
      </c>
      <c r="K2582" s="1">
        <v>3.8713607142839459</v>
      </c>
      <c r="L2582" s="1">
        <v>7.3833806443148591</v>
      </c>
      <c r="M2582" s="1">
        <v>0.25998545010714369</v>
      </c>
      <c r="N2582" s="1">
        <v>3.0881141626741804</v>
      </c>
      <c r="O2582" s="1">
        <v>0.22377987878787869</v>
      </c>
      <c r="P2582" s="1">
        <v>0.15276714244976411</v>
      </c>
      <c r="Q2582" s="1">
        <v>4.6780505216199524</v>
      </c>
      <c r="R2582" s="2">
        <f t="shared" si="163"/>
        <v>256.16224489411928</v>
      </c>
      <c r="S2582" s="2">
        <f t="shared" si="162"/>
        <v>4.1018727617633752</v>
      </c>
      <c r="T2582" s="2">
        <f t="shared" si="164"/>
        <v>10.955260135884062</v>
      </c>
      <c r="U2582" s="2">
        <f t="shared" si="165"/>
        <v>271.21937779176676</v>
      </c>
    </row>
    <row r="2583" spans="1:21" x14ac:dyDescent="0.25">
      <c r="A2583">
        <v>4257681</v>
      </c>
      <c r="B2583">
        <v>63</v>
      </c>
      <c r="C2583" s="1">
        <f>9.11829031708207*(10.3/7.3)</f>
        <v>12.865532913143198</v>
      </c>
      <c r="D2583" s="1">
        <f>13.0956360666921*(10.3/7.3)</f>
        <v>18.477404313277873</v>
      </c>
      <c r="E2583" s="1">
        <f>46.1853266814869*(10.3/7.3)</f>
        <v>65.165597920454118</v>
      </c>
      <c r="F2583" s="1">
        <f>84.7684120613144*(38.9/42.5)</f>
        <v>77.588028922003076</v>
      </c>
      <c r="G2583" s="1">
        <v>2.8575027131687532</v>
      </c>
      <c r="H2583" s="1">
        <v>9.8623298240941555</v>
      </c>
      <c r="I2583" s="1">
        <v>58.898360743060508</v>
      </c>
      <c r="J2583" s="1">
        <v>7.4013327555432329E-2</v>
      </c>
      <c r="K2583" s="1">
        <v>4.1000573988429023</v>
      </c>
      <c r="L2583" s="1">
        <v>7.6323941393128623</v>
      </c>
      <c r="M2583" s="1">
        <v>0.26372720205363692</v>
      </c>
      <c r="N2583" s="1">
        <v>3.1754985021932032</v>
      </c>
      <c r="O2583" s="1">
        <v>0.22577354497354499</v>
      </c>
      <c r="P2583" s="1">
        <v>0.15495553966295619</v>
      </c>
      <c r="Q2583" s="1">
        <v>4.5667851580322596</v>
      </c>
      <c r="R2583" s="2">
        <f t="shared" si="163"/>
        <v>250.28154250723389</v>
      </c>
      <c r="S2583" s="2">
        <f t="shared" si="162"/>
        <v>4.329026266061291</v>
      </c>
      <c r="T2583" s="2">
        <f t="shared" si="164"/>
        <v>11.297393388533248</v>
      </c>
      <c r="U2583" s="2">
        <f t="shared" si="165"/>
        <v>265.90796216182844</v>
      </c>
    </row>
    <row r="2584" spans="1:21" x14ac:dyDescent="0.25">
      <c r="A2584">
        <v>4257689</v>
      </c>
      <c r="B2584">
        <v>16</v>
      </c>
      <c r="C2584" s="1">
        <f>7.71242297320655*(10.3/7.3)</f>
        <v>10.881911866305133</v>
      </c>
      <c r="D2584" s="1">
        <f>10.9234559567857*(10.3/7.3)</f>
        <v>15.41254744587569</v>
      </c>
      <c r="E2584" s="1">
        <f>38.5335368857361*(10.3/7.3)</f>
        <v>54.369236975764622</v>
      </c>
      <c r="F2584" s="1">
        <f>71.3444487002754*(38.9/42.5)</f>
        <v>65.301154222134386</v>
      </c>
      <c r="G2584" s="1">
        <v>2.4284198124864953</v>
      </c>
      <c r="H2584" s="1">
        <v>9.5574394504822227</v>
      </c>
      <c r="I2584" s="1">
        <v>49.937993987870186</v>
      </c>
      <c r="J2584" s="1">
        <v>6.3502726629590805E-2</v>
      </c>
      <c r="K2584" s="1">
        <v>3.7836871236902212</v>
      </c>
      <c r="L2584" s="1">
        <v>6.7095743152189478</v>
      </c>
      <c r="M2584" s="1">
        <v>0.23717981454970138</v>
      </c>
      <c r="N2584" s="1">
        <v>2.9601810428816449</v>
      </c>
      <c r="O2584" s="1">
        <v>0.20537666666666665</v>
      </c>
      <c r="P2584" s="1">
        <v>0.14480217848595445</v>
      </c>
      <c r="Q2584" s="1">
        <v>3.8810362300012518</v>
      </c>
      <c r="R2584" s="2">
        <f t="shared" si="163"/>
        <v>211.76973999091999</v>
      </c>
      <c r="S2584" s="2">
        <f t="shared" si="162"/>
        <v>3.9919920288057664</v>
      </c>
      <c r="T2584" s="2">
        <f t="shared" si="164"/>
        <v>10.112311839316961</v>
      </c>
      <c r="U2584" s="2">
        <f t="shared" si="165"/>
        <v>225.8740438590427</v>
      </c>
    </row>
    <row r="2585" spans="1:21" x14ac:dyDescent="0.25">
      <c r="A2585">
        <v>4257697</v>
      </c>
      <c r="B2585">
        <v>13</v>
      </c>
      <c r="C2585" s="1">
        <f>7.2510555312764*(10.3/7.3)</f>
        <v>10.230941366047523</v>
      </c>
      <c r="D2585" s="1">
        <f>10.1346018695213*(10.3/7.3)</f>
        <v>14.299506747406738</v>
      </c>
      <c r="E2585" s="1">
        <f>35.75958010409*(10.3/7.3)</f>
        <v>50.455297955085861</v>
      </c>
      <c r="F2585" s="1">
        <f>66.7275811281377*(38.9/42.5)</f>
        <v>61.075362491401343</v>
      </c>
      <c r="G2585" s="1">
        <v>2.2902517838409158</v>
      </c>
      <c r="H2585" s="1">
        <v>10.514972754805203</v>
      </c>
      <c r="I2585" s="1">
        <v>47.025221016940122</v>
      </c>
      <c r="J2585" s="1">
        <v>5.8513127011463273E-2</v>
      </c>
      <c r="K2585" s="1">
        <v>3.4266023764695039</v>
      </c>
      <c r="L2585" s="1">
        <v>5.8653196214854448</v>
      </c>
      <c r="M2585" s="1">
        <v>0.21414487660608217</v>
      </c>
      <c r="N2585" s="1">
        <v>2.6640086951827824</v>
      </c>
      <c r="O2585" s="1">
        <v>0.18683487179487177</v>
      </c>
      <c r="P2585" s="1">
        <v>0.13290573513610013</v>
      </c>
      <c r="Q2585" s="1">
        <v>3.6602197458644801</v>
      </c>
      <c r="R2585" s="2">
        <f t="shared" si="163"/>
        <v>199.55177386139218</v>
      </c>
      <c r="S2585" s="2">
        <f t="shared" si="162"/>
        <v>3.6180212386170671</v>
      </c>
      <c r="T2585" s="2">
        <f t="shared" si="164"/>
        <v>8.9303080650691804</v>
      </c>
      <c r="U2585" s="2">
        <f t="shared" si="165"/>
        <v>212.10010316507842</v>
      </c>
    </row>
    <row r="2586" spans="1:21" x14ac:dyDescent="0.25">
      <c r="A2586">
        <v>4257705</v>
      </c>
      <c r="B2586">
        <v>65</v>
      </c>
      <c r="C2586" s="1">
        <f>7.65535235297211*(10.3/7.3)</f>
        <v>10.801387566522289</v>
      </c>
      <c r="D2586" s="1">
        <f>10.4410158540066*(10.3/7.3)</f>
        <v>14.731844287160023</v>
      </c>
      <c r="E2586" s="1">
        <f>36.8685617559708*(10.3/7.3)</f>
        <v>52.020025491301325</v>
      </c>
      <c r="F2586" s="1">
        <f>69.2593459066617*(38.9/42.5)</f>
        <v>63.392671900450402</v>
      </c>
      <c r="G2586" s="1">
        <v>2.3866356547252505</v>
      </c>
      <c r="H2586" s="1">
        <v>6.6087174808571252</v>
      </c>
      <c r="I2586" s="1">
        <v>49.31841154576577</v>
      </c>
      <c r="J2586" s="1">
        <v>6.6512414734571382E-2</v>
      </c>
      <c r="K2586" s="1">
        <v>3.6358529142629004</v>
      </c>
      <c r="L2586" s="1">
        <v>6.5969451430474324</v>
      </c>
      <c r="M2586" s="1">
        <v>0.22828132663845407</v>
      </c>
      <c r="N2586" s="1">
        <v>4.3961493303647154</v>
      </c>
      <c r="O2586" s="1">
        <v>0.19717169230769233</v>
      </c>
      <c r="P2586" s="1">
        <v>0.13936529091167049</v>
      </c>
      <c r="Q2586" s="1">
        <v>3.8142578956796291</v>
      </c>
      <c r="R2586" s="2">
        <f t="shared" si="163"/>
        <v>203.07395182246179</v>
      </c>
      <c r="S2586" s="2">
        <f t="shared" si="162"/>
        <v>3.8417306199091423</v>
      </c>
      <c r="T2586" s="2">
        <f t="shared" si="164"/>
        <v>11.418547492358295</v>
      </c>
      <c r="U2586" s="2">
        <f t="shared" si="165"/>
        <v>218.33422993472922</v>
      </c>
    </row>
    <row r="2587" spans="1:21" x14ac:dyDescent="0.25">
      <c r="A2587">
        <v>4257713</v>
      </c>
      <c r="B2587">
        <v>24</v>
      </c>
      <c r="C2587" s="1">
        <f>5.74618908715333*(10.3/7.3)</f>
        <v>8.107636657216343</v>
      </c>
      <c r="D2587" s="1">
        <f>7.73106919377574*(10.3/7.3)</f>
        <v>10.908220917245224</v>
      </c>
      <c r="E2587" s="1">
        <f>27.3051902916917*(10.3/7.3)</f>
        <v>38.526501370469077</v>
      </c>
      <c r="F2587" s="1">
        <f>51.7848432358293*(38.9/42.5)</f>
        <v>47.398362397029615</v>
      </c>
      <c r="G2587" s="1">
        <v>1.8031361904475889</v>
      </c>
      <c r="H2587" s="1">
        <v>10.503721969954885</v>
      </c>
      <c r="I2587" s="1">
        <v>37.141796734209684</v>
      </c>
      <c r="J2587" s="1">
        <v>5.4870635786156245E-2</v>
      </c>
      <c r="K2587" s="1">
        <v>3.1310903578879188</v>
      </c>
      <c r="L2587" s="1">
        <v>5.440218586128772</v>
      </c>
      <c r="M2587" s="1">
        <v>0.19194450131609933</v>
      </c>
      <c r="N2587" s="1">
        <v>2.7427552382677534</v>
      </c>
      <c r="O2587" s="1">
        <v>0.17011111111111113</v>
      </c>
      <c r="P2587" s="1">
        <v>0.12536982563133472</v>
      </c>
      <c r="Q2587" s="1">
        <v>2.8817245052815372</v>
      </c>
      <c r="R2587" s="2">
        <f t="shared" si="163"/>
        <v>157.27110074185396</v>
      </c>
      <c r="S2587" s="2">
        <f t="shared" si="162"/>
        <v>3.3113308193054101</v>
      </c>
      <c r="T2587" s="2">
        <f t="shared" si="164"/>
        <v>8.5450294368237358</v>
      </c>
      <c r="U2587" s="2">
        <f t="shared" si="165"/>
        <v>169.12746099798309</v>
      </c>
    </row>
    <row r="2588" spans="1:21" x14ac:dyDescent="0.25">
      <c r="A2588">
        <v>4257721</v>
      </c>
      <c r="B2588">
        <v>65</v>
      </c>
      <c r="C2588" s="1">
        <f>7.86693721585712*(10.3/7.3)</f>
        <v>11.099925112784698</v>
      </c>
      <c r="D2588" s="1">
        <f>10.4134005920628*(10.3/7.3)</f>
        <v>14.692880287431125</v>
      </c>
      <c r="E2588" s="1">
        <f>36.8069381992868*(10.3/7.3)</f>
        <v>51.933077185295041</v>
      </c>
      <c r="F2588" s="1">
        <f>69.6694966563944*(38.9/42.5)</f>
        <v>63.768080469029186</v>
      </c>
      <c r="G2588" s="1">
        <v>2.4099434173025212</v>
      </c>
      <c r="H2588" s="1">
        <v>9.8700282421990746</v>
      </c>
      <c r="I2588" s="1">
        <v>50.233625787188615</v>
      </c>
      <c r="J2588" s="1">
        <v>7.1412858113753933E-2</v>
      </c>
      <c r="K2588" s="1">
        <v>3.6154980056486083</v>
      </c>
      <c r="L2588" s="1">
        <v>6.8315575508864512</v>
      </c>
      <c r="M2588" s="1">
        <v>0.22825085652865784</v>
      </c>
      <c r="N2588" s="1">
        <v>3.9577855212024788</v>
      </c>
      <c r="O2588" s="1">
        <v>0.1962699487179487</v>
      </c>
      <c r="P2588" s="1">
        <v>0.13867204178986375</v>
      </c>
      <c r="Q2588" s="1">
        <v>3.8515077445474128</v>
      </c>
      <c r="R2588" s="2">
        <f t="shared" si="163"/>
        <v>207.85906824577768</v>
      </c>
      <c r="S2588" s="2">
        <f t="shared" si="162"/>
        <v>3.8255829055522259</v>
      </c>
      <c r="T2588" s="2">
        <f t="shared" si="164"/>
        <v>11.213863877335537</v>
      </c>
      <c r="U2588" s="2">
        <f t="shared" si="165"/>
        <v>222.89851502866546</v>
      </c>
    </row>
    <row r="2589" spans="1:21" x14ac:dyDescent="0.25">
      <c r="A2589">
        <v>4257729</v>
      </c>
      <c r="B2589">
        <v>38</v>
      </c>
      <c r="C2589" s="1">
        <f>6.30233896022392*(10.3/7.3)</f>
        <v>8.8923412726447122</v>
      </c>
      <c r="D2589" s="1">
        <f>8.26789780257076*(10.3/7.3)</f>
        <v>11.665664022805323</v>
      </c>
      <c r="E2589" s="1">
        <f>29.2319889320818*(10.3/7.3)</f>
        <v>41.245135068553715</v>
      </c>
      <c r="F2589" s="1">
        <f>55.4698211443324*(38.9/42.5)</f>
        <v>50.771201000341925</v>
      </c>
      <c r="G2589" s="1">
        <v>1.9215112165203063</v>
      </c>
      <c r="H2589" s="1">
        <v>13.53976850272487</v>
      </c>
      <c r="I2589" s="1">
        <v>40.147095399611374</v>
      </c>
      <c r="J2589" s="1">
        <v>6.3129715520354318E-2</v>
      </c>
      <c r="K2589" s="1">
        <v>3.0784514028263321</v>
      </c>
      <c r="L2589" s="1">
        <v>5.5275230360925329</v>
      </c>
      <c r="M2589" s="1">
        <v>0.19303505575620383</v>
      </c>
      <c r="N2589" s="1">
        <v>2.7104935728364192</v>
      </c>
      <c r="O2589" s="1">
        <v>0.16732631578947368</v>
      </c>
      <c r="P2589" s="1">
        <v>0.12256373720980333</v>
      </c>
      <c r="Q2589" s="1">
        <v>3.0709083369046026</v>
      </c>
      <c r="R2589" s="2">
        <f t="shared" si="163"/>
        <v>171.25362482010684</v>
      </c>
      <c r="S2589" s="2">
        <f t="shared" si="162"/>
        <v>3.26414485555649</v>
      </c>
      <c r="T2589" s="2">
        <f t="shared" si="164"/>
        <v>8.5983779804746305</v>
      </c>
      <c r="U2589" s="2">
        <f t="shared" si="165"/>
        <v>183.11614765613794</v>
      </c>
    </row>
    <row r="2590" spans="1:21" x14ac:dyDescent="0.25">
      <c r="A2590">
        <v>4257737</v>
      </c>
      <c r="B2590">
        <v>22</v>
      </c>
      <c r="C2590" s="1">
        <f>7.51884410303323*(10.3/7.3)</f>
        <v>10.608780035786607</v>
      </c>
      <c r="D2590" s="1">
        <f>9.69308665652087*(10.3/7.3)</f>
        <v>13.676546926323962</v>
      </c>
      <c r="E2590" s="1">
        <f>34.290547761551*(10.3/7.3)</f>
        <v>48.382553690955469</v>
      </c>
      <c r="F2590" s="1">
        <f>65.3881025040205*(38.9/42.5)</f>
        <v>59.849345586032918</v>
      </c>
      <c r="G2590" s="1">
        <v>2.2713851314456841</v>
      </c>
      <c r="H2590" s="1">
        <v>12.322807002581158</v>
      </c>
      <c r="I2590" s="1">
        <v>47.675705566326648</v>
      </c>
      <c r="J2590" s="1">
        <v>8.0524049192325198E-2</v>
      </c>
      <c r="K2590" s="1">
        <v>3.5359018869914265</v>
      </c>
      <c r="L2590" s="1">
        <v>6.6951513991574823</v>
      </c>
      <c r="M2590" s="1">
        <v>0.2209141409476576</v>
      </c>
      <c r="N2590" s="1">
        <v>3.7468627540618225</v>
      </c>
      <c r="O2590" s="1">
        <v>0.18916606060606062</v>
      </c>
      <c r="P2590" s="1">
        <v>0.13509561838475131</v>
      </c>
      <c r="Q2590" s="1">
        <v>3.6300675616711882</v>
      </c>
      <c r="R2590" s="2">
        <f t="shared" si="163"/>
        <v>198.41719150112365</v>
      </c>
      <c r="S2590" s="2">
        <f t="shared" si="162"/>
        <v>3.751521554568503</v>
      </c>
      <c r="T2590" s="2">
        <f t="shared" si="164"/>
        <v>10.852094354773023</v>
      </c>
      <c r="U2590" s="2">
        <f t="shared" si="165"/>
        <v>213.02080741046518</v>
      </c>
    </row>
    <row r="2591" spans="1:21" x14ac:dyDescent="0.25">
      <c r="A2591">
        <v>4257761</v>
      </c>
      <c r="B2591">
        <v>24</v>
      </c>
      <c r="C2591" s="1">
        <f>8.91758759850351*(10.3/7.3)</f>
        <v>12.582349625285781</v>
      </c>
      <c r="D2591" s="1">
        <f>10.9356896681789*(10.3/7.3)</f>
        <v>15.429808709896303</v>
      </c>
      <c r="E2591" s="1">
        <f>38.7294124989061*(10.3/7.3)</f>
        <v>54.645609416264783</v>
      </c>
      <c r="F2591" s="1">
        <f>76.0625640707154*(38.9/42.5)</f>
        <v>69.619617467078299</v>
      </c>
      <c r="G2591" s="1">
        <v>2.7194796931774685</v>
      </c>
      <c r="H2591" s="1">
        <v>6.2243863638497698</v>
      </c>
      <c r="I2591" s="1">
        <v>56.81312028677916</v>
      </c>
      <c r="J2591" s="1">
        <v>0.10583964571755022</v>
      </c>
      <c r="K2591" s="1">
        <v>3.6464728813343377</v>
      </c>
      <c r="L2591" s="1">
        <v>7.072085433174891</v>
      </c>
      <c r="M2591" s="1">
        <v>0.22241508354738884</v>
      </c>
      <c r="N2591" s="1">
        <v>4.0370813168517943</v>
      </c>
      <c r="O2591" s="1">
        <v>0.19007999999999994</v>
      </c>
      <c r="P2591" s="1">
        <v>0.13388873389225373</v>
      </c>
      <c r="Q2591" s="1">
        <v>4.3462004228863691</v>
      </c>
      <c r="R2591" s="2">
        <f t="shared" si="163"/>
        <v>222.38057198521795</v>
      </c>
      <c r="S2591" s="2">
        <f t="shared" si="162"/>
        <v>3.8862012609441416</v>
      </c>
      <c r="T2591" s="2">
        <f t="shared" si="164"/>
        <v>11.521661833574074</v>
      </c>
      <c r="U2591" s="2">
        <f t="shared" si="165"/>
        <v>237.78843507973619</v>
      </c>
    </row>
    <row r="2592" spans="1:21" x14ac:dyDescent="0.25">
      <c r="A2592">
        <v>4257769</v>
      </c>
      <c r="B2592">
        <v>14</v>
      </c>
      <c r="C2592" s="1">
        <f>8.95672925165623*(10.3/7.3)</f>
        <v>12.637576889323178</v>
      </c>
      <c r="D2592" s="1">
        <f>10.8469387459543*(10.3/7.3)</f>
        <v>15.304584805935587</v>
      </c>
      <c r="E2592" s="1">
        <f>38.3993996663755*(10.3/7.3)</f>
        <v>54.179974871735283</v>
      </c>
      <c r="F2592" s="1">
        <f>77.3282734012081*(38.9/42.5)</f>
        <v>70.778113771929313</v>
      </c>
      <c r="G2592" s="1">
        <v>2.8489872416574298</v>
      </c>
      <c r="H2592" s="1">
        <v>7.0089728803014211</v>
      </c>
      <c r="I2592" s="1">
        <v>58.29698395109439</v>
      </c>
      <c r="J2592" s="1">
        <v>0.10129557860821288</v>
      </c>
      <c r="K2592" s="1">
        <v>3.465363162470195</v>
      </c>
      <c r="L2592" s="1">
        <v>6.6380133494842184</v>
      </c>
      <c r="M2592" s="1">
        <v>0.20747718942531443</v>
      </c>
      <c r="N2592" s="1">
        <v>3.0893565463691823</v>
      </c>
      <c r="O2592" s="1">
        <v>0.17682666666666669</v>
      </c>
      <c r="P2592" s="1">
        <v>0.12613147677599809</v>
      </c>
      <c r="Q2592" s="1">
        <v>4.5531759569867649</v>
      </c>
      <c r="R2592" s="2">
        <f t="shared" si="163"/>
        <v>225.60837036896334</v>
      </c>
      <c r="S2592" s="2">
        <f t="shared" si="162"/>
        <v>3.6927902178544061</v>
      </c>
      <c r="T2592" s="2">
        <f t="shared" si="164"/>
        <v>10.111673751945382</v>
      </c>
      <c r="U2592" s="2">
        <f t="shared" si="165"/>
        <v>239.4128343387631</v>
      </c>
    </row>
    <row r="2593" spans="1:21" x14ac:dyDescent="0.25">
      <c r="A2593">
        <v>4257777</v>
      </c>
      <c r="B2593">
        <v>19</v>
      </c>
      <c r="C2593" s="1">
        <f>6.18358511362854*(10.3/7.3)</f>
        <v>8.7247844753936921</v>
      </c>
      <c r="D2593" s="1">
        <f>7.72298334486633*(10.3/7.3)</f>
        <v>10.896812116729205</v>
      </c>
      <c r="E2593" s="1">
        <f>27.2202899226945*(10.3/7.3)</f>
        <v>38.40671043887037</v>
      </c>
      <c r="F2593" s="1">
        <f>58.923793298392*(38.9/42.5)</f>
        <v>53.932601395469362</v>
      </c>
      <c r="G2593" s="1">
        <v>2.3786723718945044</v>
      </c>
      <c r="H2593" s="1">
        <v>9.3258835087646013</v>
      </c>
      <c r="I2593" s="1">
        <v>44.570973258386246</v>
      </c>
      <c r="J2593" s="1">
        <v>6.3864683076407219E-2</v>
      </c>
      <c r="K2593" s="1">
        <v>3.1049761978645303</v>
      </c>
      <c r="L2593" s="1">
        <v>5.6941842017402466</v>
      </c>
      <c r="M2593" s="1">
        <v>0.18297113321435524</v>
      </c>
      <c r="N2593" s="1">
        <v>2.7115572566870041</v>
      </c>
      <c r="O2593" s="1">
        <v>0.15660070175438598</v>
      </c>
      <c r="P2593" s="1">
        <v>0.11611642360331671</v>
      </c>
      <c r="Q2593" s="1">
        <v>3.8015311879592568</v>
      </c>
      <c r="R2593" s="2">
        <f t="shared" si="163"/>
        <v>172.03796875346723</v>
      </c>
      <c r="S2593" s="2">
        <f t="shared" si="162"/>
        <v>3.2849573045442542</v>
      </c>
      <c r="T2593" s="2">
        <f t="shared" si="164"/>
        <v>8.7453132933959914</v>
      </c>
      <c r="U2593" s="2">
        <f t="shared" si="165"/>
        <v>184.06823935140747</v>
      </c>
    </row>
    <row r="2594" spans="1:21" x14ac:dyDescent="0.25">
      <c r="A2594">
        <v>4257793</v>
      </c>
      <c r="B2594">
        <v>3</v>
      </c>
      <c r="C2594" s="1">
        <f>4.72905138563238*(10.3/7.3)</f>
        <v>6.6724971605498027</v>
      </c>
      <c r="D2594" s="1">
        <f>5.73764115005916*(10.3/7.3)</f>
        <v>8.0955758692615536</v>
      </c>
      <c r="E2594" s="1">
        <f>20.3098242952843*(10.3/7.3)</f>
        <v>28.656327430332599</v>
      </c>
      <c r="F2594" s="1">
        <f>40.916755226237*(38.9/42.5)</f>
        <v>37.450865371779251</v>
      </c>
      <c r="G2594" s="1">
        <v>1.5089245208634869</v>
      </c>
      <c r="H2594" s="1">
        <v>5.1752318355304254</v>
      </c>
      <c r="I2594" s="1">
        <v>30.829407583625372</v>
      </c>
      <c r="J2594" s="1">
        <v>4.5679502847708157E-2</v>
      </c>
      <c r="K2594" s="1">
        <v>2.4230662192810333</v>
      </c>
      <c r="L2594" s="1">
        <v>6.1460833422309777</v>
      </c>
      <c r="M2594" s="1">
        <v>0.14026368759255134</v>
      </c>
      <c r="N2594" s="1">
        <v>1.9018127967119167</v>
      </c>
      <c r="O2594" s="1">
        <v>0.11946666666666665</v>
      </c>
      <c r="P2594" s="1">
        <v>9.4010036513415676E-2</v>
      </c>
      <c r="Q2594" s="1">
        <v>2.4115232068594565</v>
      </c>
      <c r="R2594" s="2">
        <f t="shared" si="163"/>
        <v>120.80035297880194</v>
      </c>
      <c r="S2594" s="2">
        <f t="shared" si="162"/>
        <v>2.5627557586421572</v>
      </c>
      <c r="T2594" s="2">
        <f t="shared" si="164"/>
        <v>8.3076264932021111</v>
      </c>
      <c r="U2594" s="2">
        <f t="shared" si="165"/>
        <v>131.67073523064622</v>
      </c>
    </row>
    <row r="2595" spans="1:21" x14ac:dyDescent="0.25">
      <c r="A2595">
        <v>4257801</v>
      </c>
      <c r="B2595">
        <v>5</v>
      </c>
      <c r="C2595" s="1">
        <f>4.3620918676681*(10.3/7.3)</f>
        <v>6.1547323612303284</v>
      </c>
      <c r="D2595" s="1">
        <f>5.23238154008761*(10.3/7.3)</f>
        <v>7.3826753236852616</v>
      </c>
      <c r="E2595" s="1">
        <f>18.5166264947699*(10.3/7.3)</f>
        <v>26.126199026867077</v>
      </c>
      <c r="F2595" s="1">
        <f>38.0395917506288*(38.9/42.5)</f>
        <v>34.817414567046093</v>
      </c>
      <c r="G2595" s="1">
        <v>1.4338895920943096</v>
      </c>
      <c r="H2595" s="1">
        <v>4.6912995120089516</v>
      </c>
      <c r="I2595" s="1">
        <v>28.878697622210428</v>
      </c>
      <c r="J2595" s="1">
        <v>3.7406387042134261E-2</v>
      </c>
      <c r="K2595" s="1">
        <v>2.2102452983680334</v>
      </c>
      <c r="L2595" s="1">
        <v>3.9666201228056721</v>
      </c>
      <c r="M2595" s="1">
        <v>0.12905791533985894</v>
      </c>
      <c r="N2595" s="1">
        <v>1.6466859229310544</v>
      </c>
      <c r="O2595" s="1">
        <v>0.10894933333333331</v>
      </c>
      <c r="P2595" s="1">
        <v>8.6752633917508121E-2</v>
      </c>
      <c r="Q2595" s="1">
        <v>2.2916043709269807</v>
      </c>
      <c r="R2595" s="2">
        <f t="shared" si="163"/>
        <v>111.77651237606942</v>
      </c>
      <c r="S2595" s="2">
        <f t="shared" si="162"/>
        <v>2.3344043193276756</v>
      </c>
      <c r="T2595" s="2">
        <f t="shared" si="164"/>
        <v>5.851313294409918</v>
      </c>
      <c r="U2595" s="2">
        <f t="shared" si="165"/>
        <v>119.96222998980701</v>
      </c>
    </row>
    <row r="2596" spans="1:21" x14ac:dyDescent="0.25">
      <c r="A2596">
        <v>4257817</v>
      </c>
      <c r="B2596">
        <v>37</v>
      </c>
      <c r="C2596" s="1">
        <f>5.36359123345188*(10.3/7.3)</f>
        <v>7.5678068088430699</v>
      </c>
      <c r="D2596" s="1">
        <f>6.1989865993517*(10.3/7.3)</f>
        <v>8.7465153388113084</v>
      </c>
      <c r="E2596" s="1">
        <f>21.8805486424601*(10.3/7.3)</f>
        <v>30.872554933882007</v>
      </c>
      <c r="F2596" s="1">
        <f>49.7867110070782*(38.9/42.5)</f>
        <v>45.569483721772713</v>
      </c>
      <c r="G2596" s="1">
        <v>2.086451623789316</v>
      </c>
      <c r="H2596" s="1">
        <v>10.381119113594167</v>
      </c>
      <c r="I2596" s="1">
        <v>38.904209883862322</v>
      </c>
      <c r="J2596" s="1">
        <v>3.8791598110855592E-2</v>
      </c>
      <c r="K2596" s="1">
        <v>2.3665943325429013</v>
      </c>
      <c r="L2596" s="1">
        <v>4.8146398456824375</v>
      </c>
      <c r="M2596" s="1">
        <v>0.13392718578961629</v>
      </c>
      <c r="N2596" s="1">
        <v>1.7347114280452225</v>
      </c>
      <c r="O2596" s="1">
        <v>0.11326414414414415</v>
      </c>
      <c r="P2596" s="1">
        <v>9.0851158755525768E-2</v>
      </c>
      <c r="Q2596" s="1">
        <v>3.3345117275171754</v>
      </c>
      <c r="R2596" s="2">
        <f t="shared" si="163"/>
        <v>147.46265315207205</v>
      </c>
      <c r="S2596" s="2">
        <f t="shared" si="162"/>
        <v>2.4962370894092829</v>
      </c>
      <c r="T2596" s="2">
        <f t="shared" si="164"/>
        <v>6.79654260366142</v>
      </c>
      <c r="U2596" s="2">
        <f t="shared" si="165"/>
        <v>156.75543284514274</v>
      </c>
    </row>
    <row r="2597" spans="1:21" x14ac:dyDescent="0.25">
      <c r="A2597">
        <v>4258017</v>
      </c>
      <c r="B2597">
        <v>2</v>
      </c>
      <c r="C2597" s="1">
        <f>9.69043965854317*(10.3/7.3)</f>
        <v>13.672812120958174</v>
      </c>
      <c r="D2597" s="1">
        <f>8.85019966959894*(10.3/7.3)</f>
        <v>12.487268026968371</v>
      </c>
      <c r="E2597" s="1">
        <f>31.7823836774196*(10.3/7.3)</f>
        <v>44.843637243482412</v>
      </c>
      <c r="F2597" s="1">
        <f>65.1756002302078*(38.9/42.5)</f>
        <v>59.654843504825536</v>
      </c>
      <c r="G2597" s="1">
        <v>2.283772820093338</v>
      </c>
      <c r="H2597" s="1">
        <v>7.3883096639436419</v>
      </c>
      <c r="I2597" s="1">
        <v>54.687257827196902</v>
      </c>
      <c r="J2597" s="1">
        <v>2.7071639971053198E-2</v>
      </c>
      <c r="K2597" s="1">
        <v>1.9676838128411642</v>
      </c>
      <c r="L2597" s="1">
        <v>2.1443687713802628</v>
      </c>
      <c r="M2597" s="1">
        <v>9.9397465404144625E-2</v>
      </c>
      <c r="N2597" s="1">
        <v>1.187505231557878</v>
      </c>
      <c r="O2597" s="1">
        <v>8.7999999999999995E-2</v>
      </c>
      <c r="P2597" s="1">
        <v>7.065915937059683E-2</v>
      </c>
      <c r="Q2597" s="1">
        <v>3.6498652375920972</v>
      </c>
      <c r="R2597" s="2">
        <f t="shared" si="163"/>
        <v>198.66776644506047</v>
      </c>
      <c r="S2597" s="2">
        <f t="shared" si="162"/>
        <v>2.0654146121828143</v>
      </c>
      <c r="T2597" s="2">
        <f t="shared" si="164"/>
        <v>3.5192714683422857</v>
      </c>
      <c r="U2597" s="2">
        <f t="shared" si="165"/>
        <v>204.25245252558557</v>
      </c>
    </row>
    <row r="2598" spans="1:21" x14ac:dyDescent="0.25">
      <c r="A2598">
        <v>4269317</v>
      </c>
      <c r="B2598">
        <v>24</v>
      </c>
      <c r="C2598" s="1">
        <f>0.434635934130096*(10.3/7.3)</f>
        <v>0.61325344130684767</v>
      </c>
      <c r="D2598" s="1">
        <f>0.560233572756356*(10.3/7.3)</f>
        <v>0.79046654786170756</v>
      </c>
      <c r="E2598" s="1">
        <f>1.96404448783423*(10.3/7.3)</f>
        <v>2.7711860581770686</v>
      </c>
      <c r="F2598" s="1">
        <f>4.64536572059397*(38.9/42.5)</f>
        <v>4.2518759183789543</v>
      </c>
      <c r="G2598" s="1">
        <v>0.20572463758169912</v>
      </c>
      <c r="H2598" s="1">
        <v>1.012918388060289</v>
      </c>
      <c r="I2598" s="1">
        <v>3.5374089683315009</v>
      </c>
      <c r="J2598" s="1">
        <v>2.5864094901811473E-2</v>
      </c>
      <c r="K2598" s="1">
        <v>2.6495846071900089</v>
      </c>
      <c r="L2598" s="1">
        <v>2.0822341122489898</v>
      </c>
      <c r="M2598" s="1">
        <v>0.14937297825948972</v>
      </c>
      <c r="N2598" s="1">
        <v>0.87928854661886413</v>
      </c>
      <c r="O2598" s="1">
        <v>0.98373333333333324</v>
      </c>
      <c r="P2598" s="1">
        <v>0.26071901320244345</v>
      </c>
      <c r="Q2598" s="1">
        <v>0.32878366736801257</v>
      </c>
      <c r="R2598" s="2">
        <f t="shared" si="163"/>
        <v>13.511617627066082</v>
      </c>
      <c r="S2598" s="2">
        <f t="shared" si="162"/>
        <v>2.936167715294264</v>
      </c>
      <c r="T2598" s="2">
        <f t="shared" si="164"/>
        <v>4.0946289704606773</v>
      </c>
      <c r="U2598" s="2">
        <f t="shared" si="165"/>
        <v>20.542414312821023</v>
      </c>
    </row>
    <row r="2599" spans="1:21" x14ac:dyDescent="0.25">
      <c r="A2599">
        <v>4269853</v>
      </c>
      <c r="B2599">
        <v>19</v>
      </c>
      <c r="C2599" s="1">
        <f>5.44485862571658*(10.3/7.3)</f>
        <v>7.6824717595727092</v>
      </c>
      <c r="D2599" s="1">
        <f>8.84896750846097*(10.3/7.3)</f>
        <v>12.485529498239456</v>
      </c>
      <c r="E2599" s="1">
        <f>31.009367795947*(10.3/7.3)</f>
        <v>43.752943602500622</v>
      </c>
      <c r="F2599" s="1">
        <f>59.7112836988854*(38.9/42.5)</f>
        <v>54.653386726744536</v>
      </c>
      <c r="G2599" s="1">
        <v>2.2059839878373992</v>
      </c>
      <c r="H2599" s="1">
        <v>6.827253904416354</v>
      </c>
      <c r="I2599" s="1">
        <v>40.416824666504226</v>
      </c>
      <c r="J2599" s="1">
        <v>4.7905323765968323E-2</v>
      </c>
      <c r="K2599" s="1">
        <v>3.2003421684941125</v>
      </c>
      <c r="L2599" s="1">
        <v>4.7781650916828253</v>
      </c>
      <c r="M2599" s="1">
        <v>0.19388145564460743</v>
      </c>
      <c r="N2599" s="1">
        <v>2.8499093854725559</v>
      </c>
      <c r="O2599" s="1">
        <v>0.17324631578947369</v>
      </c>
      <c r="P2599" s="1">
        <v>0.13024567132239331</v>
      </c>
      <c r="Q2599" s="1">
        <v>3.5255451860415086</v>
      </c>
      <c r="R2599" s="2">
        <f t="shared" si="163"/>
        <v>171.54993933185679</v>
      </c>
      <c r="S2599" s="2">
        <f t="shared" si="162"/>
        <v>3.378493163582474</v>
      </c>
      <c r="T2599" s="2">
        <f t="shared" si="164"/>
        <v>7.9952022485894627</v>
      </c>
      <c r="U2599" s="2">
        <f t="shared" si="165"/>
        <v>182.92363474402873</v>
      </c>
    </row>
    <row r="2600" spans="1:21" x14ac:dyDescent="0.25">
      <c r="A2600">
        <v>4269861</v>
      </c>
      <c r="B2600">
        <v>12</v>
      </c>
      <c r="C2600" s="1">
        <f>5.21961412762878*(10.3/7.3)</f>
        <v>7.3646610293940347</v>
      </c>
      <c r="D2600" s="1">
        <f>9.5806771411896*(10.3/7.3)</f>
        <v>13.517941719760667</v>
      </c>
      <c r="E2600" s="1">
        <f>33.374415799515*(10.3/7.3)</f>
        <v>47.089929141781418</v>
      </c>
      <c r="F2600" s="1">
        <f>67.5009873273186*(38.9/42.5)</f>
        <v>61.783256636063385</v>
      </c>
      <c r="G2600" s="1">
        <v>2.6958748061480797</v>
      </c>
      <c r="H2600" s="1">
        <v>6.8732498101262474</v>
      </c>
      <c r="I2600" s="1">
        <v>44.846910057589021</v>
      </c>
      <c r="J2600" s="1">
        <v>4.220714777305113E-2</v>
      </c>
      <c r="K2600" s="1">
        <v>2.6222933155590149</v>
      </c>
      <c r="L2600" s="1">
        <v>4.4472360645327305</v>
      </c>
      <c r="M2600" s="1">
        <v>0.17869842968726413</v>
      </c>
      <c r="N2600" s="1">
        <v>2.1062299423464337</v>
      </c>
      <c r="O2600" s="1">
        <v>0.15818666666666667</v>
      </c>
      <c r="P2600" s="1">
        <v>0.12180774645227267</v>
      </c>
      <c r="Q2600" s="1">
        <v>4.3084757175882595</v>
      </c>
      <c r="R2600" s="2">
        <f t="shared" si="163"/>
        <v>188.48029891845113</v>
      </c>
      <c r="S2600" s="2">
        <f t="shared" si="162"/>
        <v>2.7863082097843388</v>
      </c>
      <c r="T2600" s="2">
        <f t="shared" si="164"/>
        <v>6.8903511032330949</v>
      </c>
      <c r="U2600" s="2">
        <f t="shared" si="165"/>
        <v>198.15695823146856</v>
      </c>
    </row>
    <row r="2601" spans="1:21" x14ac:dyDescent="0.25">
      <c r="A2601">
        <v>4269893</v>
      </c>
      <c r="B2601">
        <v>40</v>
      </c>
      <c r="C2601" s="1">
        <f>10.8016737994119*(10.3/7.3)</f>
        <v>15.240717826567435</v>
      </c>
      <c r="D2601" s="1">
        <f>17.2575511086983*(10.3/7.3)</f>
        <v>24.34969539994411</v>
      </c>
      <c r="E2601" s="1">
        <f>60.7343384134204*(10.3/7.3)</f>
        <v>85.693655569620518</v>
      </c>
      <c r="F2601" s="1">
        <f>105.745396247646*(38.9/42.5)</f>
        <v>96.788139153727613</v>
      </c>
      <c r="G2601" s="1">
        <v>3.3650644121861566</v>
      </c>
      <c r="H2601" s="1">
        <v>7.4979838219467139</v>
      </c>
      <c r="I2601" s="1">
        <v>69.562164573897945</v>
      </c>
      <c r="J2601" s="1">
        <v>9.8249897877076303E-2</v>
      </c>
      <c r="K2601" s="1">
        <v>4.0153881960825855</v>
      </c>
      <c r="L2601" s="1">
        <v>7.8727256953260492</v>
      </c>
      <c r="M2601" s="1">
        <v>0.28153666358277529</v>
      </c>
      <c r="N2601" s="1">
        <v>3.9166574950469282</v>
      </c>
      <c r="O2601" s="1">
        <v>0.23947999999999997</v>
      </c>
      <c r="P2601" s="1">
        <v>0.1601144067808693</v>
      </c>
      <c r="Q2601" s="1">
        <v>5.3779568231285682</v>
      </c>
      <c r="R2601" s="2">
        <f t="shared" si="163"/>
        <v>307.87537758101905</v>
      </c>
      <c r="S2601" s="2">
        <f t="shared" si="162"/>
        <v>4.2737525007405317</v>
      </c>
      <c r="T2601" s="2">
        <f t="shared" si="164"/>
        <v>12.310399853955753</v>
      </c>
      <c r="U2601" s="2">
        <f t="shared" si="165"/>
        <v>324.45952993571535</v>
      </c>
    </row>
    <row r="2602" spans="1:21" x14ac:dyDescent="0.25">
      <c r="A2602">
        <v>4269901</v>
      </c>
      <c r="B2602">
        <v>49</v>
      </c>
      <c r="C2602" s="1">
        <f>8.95132386285016*(10.3/7.3)</f>
        <v>12.629950107857081</v>
      </c>
      <c r="D2602" s="1">
        <f>13.4902018372757*(10.3/7.3)</f>
        <v>19.034120400539624</v>
      </c>
      <c r="E2602" s="1">
        <f>47.5249490901482*(10.3/7.3)</f>
        <v>67.05575008609955</v>
      </c>
      <c r="F2602" s="1">
        <f>85.394303466699*(38.9/42.5)</f>
        <v>78.160903643637482</v>
      </c>
      <c r="G2602" s="1">
        <v>2.8185943073375874</v>
      </c>
      <c r="H2602" s="1">
        <v>7.504609447706005</v>
      </c>
      <c r="I2602" s="1">
        <v>57.960729222260646</v>
      </c>
      <c r="J2602" s="1">
        <v>7.1709450729030094E-2</v>
      </c>
      <c r="K2602" s="1">
        <v>3.70710749734218</v>
      </c>
      <c r="L2602" s="1">
        <v>6.9766655869418273</v>
      </c>
      <c r="M2602" s="1">
        <v>0.2555820658006035</v>
      </c>
      <c r="N2602" s="1">
        <v>3.1227444340613162</v>
      </c>
      <c r="O2602" s="1">
        <v>0.21932517006802721</v>
      </c>
      <c r="P2602" s="1">
        <v>0.15019066941796652</v>
      </c>
      <c r="Q2602" s="1">
        <v>4.5046027742838195</v>
      </c>
      <c r="R2602" s="2">
        <f t="shared" si="163"/>
        <v>249.66925998972178</v>
      </c>
      <c r="S2602" s="2">
        <f t="shared" si="162"/>
        <v>3.9290076174891766</v>
      </c>
      <c r="T2602" s="2">
        <f t="shared" si="164"/>
        <v>10.574317256871774</v>
      </c>
      <c r="U2602" s="2">
        <f t="shared" si="165"/>
        <v>264.17258486408275</v>
      </c>
    </row>
    <row r="2603" spans="1:21" x14ac:dyDescent="0.25">
      <c r="A2603">
        <v>4269909</v>
      </c>
      <c r="B2603">
        <v>56</v>
      </c>
      <c r="C2603" s="1">
        <f>8.67899183997598*(10.3/7.3)</f>
        <v>12.245700815308577</v>
      </c>
      <c r="D2603" s="1">
        <f>12.6556852379759*(10.3/7.3)</f>
        <v>17.856651774130341</v>
      </c>
      <c r="E2603" s="1">
        <f>44.6177312759187*(10.3/7.3)</f>
        <v>62.953785224926428</v>
      </c>
      <c r="F2603" s="1">
        <f>81.3575425171875*(38.9/42.5)</f>
        <v>74.466080092202162</v>
      </c>
      <c r="G2603" s="1">
        <v>2.7253681417275479</v>
      </c>
      <c r="H2603" s="1">
        <v>7.0058537290127774</v>
      </c>
      <c r="I2603" s="1">
        <v>56.118872524905235</v>
      </c>
      <c r="J2603" s="1">
        <v>7.454187583296841E-2</v>
      </c>
      <c r="K2603" s="1">
        <v>3.7937087259447444</v>
      </c>
      <c r="L2603" s="1">
        <v>7.0324981577350503</v>
      </c>
      <c r="M2603" s="1">
        <v>0.25161345078453684</v>
      </c>
      <c r="N2603" s="1">
        <v>3.0376781614987811</v>
      </c>
      <c r="O2603" s="1">
        <v>0.21838476190476194</v>
      </c>
      <c r="P2603" s="1">
        <v>0.14952660953556568</v>
      </c>
      <c r="Q2603" s="1">
        <v>4.3556111854093267</v>
      </c>
      <c r="R2603" s="2">
        <f t="shared" si="163"/>
        <v>237.72792348762241</v>
      </c>
      <c r="S2603" s="2">
        <f t="shared" si="162"/>
        <v>4.0177772113132786</v>
      </c>
      <c r="T2603" s="2">
        <f t="shared" si="164"/>
        <v>10.54017453192313</v>
      </c>
      <c r="U2603" s="2">
        <f t="shared" si="165"/>
        <v>252.28587523085881</v>
      </c>
    </row>
    <row r="2604" spans="1:21" x14ac:dyDescent="0.25">
      <c r="A2604">
        <v>4269917</v>
      </c>
      <c r="B2604">
        <v>54</v>
      </c>
      <c r="C2604" s="1">
        <f>8.99896082735745*(10.3/7.3)</f>
        <v>12.697163907093392</v>
      </c>
      <c r="D2604" s="1">
        <f>12.8432635603794*(10.3/7.3)</f>
        <v>18.121317078343516</v>
      </c>
      <c r="E2604" s="1">
        <f>45.3007304931172*(10.3/7.3)</f>
        <v>63.917469051932535</v>
      </c>
      <c r="F2604" s="1">
        <f>83.4374372118105*(38.9/42.5)</f>
        <v>76.369795471515943</v>
      </c>
      <c r="G2604" s="1">
        <v>2.8232478097692026</v>
      </c>
      <c r="H2604" s="1">
        <v>10.750194905436526</v>
      </c>
      <c r="I2604" s="1">
        <v>58.160545852426459</v>
      </c>
      <c r="J2604" s="1">
        <v>7.1263507012619534E-2</v>
      </c>
      <c r="K2604" s="1">
        <v>4.0772546881870566</v>
      </c>
      <c r="L2604" s="1">
        <v>7.5423347661364968</v>
      </c>
      <c r="M2604" s="1">
        <v>0.26328413629973968</v>
      </c>
      <c r="N2604" s="1">
        <v>3.2265178720072134</v>
      </c>
      <c r="O2604" s="1">
        <v>0.22437629629629635</v>
      </c>
      <c r="P2604" s="1">
        <v>0.15427798003293591</v>
      </c>
      <c r="Q2604" s="1">
        <v>4.5120398786265845</v>
      </c>
      <c r="R2604" s="2">
        <f t="shared" si="163"/>
        <v>247.35177395514415</v>
      </c>
      <c r="S2604" s="2">
        <f t="shared" si="162"/>
        <v>4.3027961752326123</v>
      </c>
      <c r="T2604" s="2">
        <f t="shared" si="164"/>
        <v>11.256513070739748</v>
      </c>
      <c r="U2604" s="2">
        <f t="shared" si="165"/>
        <v>262.91108320111653</v>
      </c>
    </row>
    <row r="2605" spans="1:21" x14ac:dyDescent="0.25">
      <c r="A2605">
        <v>4269925</v>
      </c>
      <c r="B2605">
        <v>39</v>
      </c>
      <c r="C2605" s="1">
        <f>5.54775551334932*(10.3/7.3)</f>
        <v>7.827655039383294</v>
      </c>
      <c r="D2605" s="1">
        <f>7.77560592862887*(10.3/7.3)</f>
        <v>10.971060419846209</v>
      </c>
      <c r="E2605" s="1">
        <f>27.435805847719*(10.3/7.3)</f>
        <v>38.710794552261049</v>
      </c>
      <c r="F2605" s="1">
        <f>51.0465420300037*(38.9/42.5)</f>
        <v>46.722599646285758</v>
      </c>
      <c r="G2605" s="1">
        <v>1.7457712253343556</v>
      </c>
      <c r="H2605" s="1">
        <v>7.1705289214056327</v>
      </c>
      <c r="I2605" s="1">
        <v>35.910656455461989</v>
      </c>
      <c r="J2605" s="1">
        <v>4.8449118100112022E-2</v>
      </c>
      <c r="K2605" s="1">
        <v>3.0240691486771873</v>
      </c>
      <c r="L2605" s="1">
        <v>5.0361630530690498</v>
      </c>
      <c r="M2605" s="1">
        <v>0.18831619355119736</v>
      </c>
      <c r="N2605" s="1">
        <v>2.3501229021559813</v>
      </c>
      <c r="O2605" s="1">
        <v>0.16510769230769237</v>
      </c>
      <c r="P2605" s="1">
        <v>0.12233531803159017</v>
      </c>
      <c r="Q2605" s="1">
        <v>2.7900453372923528</v>
      </c>
      <c r="R2605" s="2">
        <f t="shared" si="163"/>
        <v>151.84911159727065</v>
      </c>
      <c r="S2605" s="2">
        <f t="shared" si="162"/>
        <v>3.1948535848088895</v>
      </c>
      <c r="T2605" s="2">
        <f t="shared" si="164"/>
        <v>7.7397098410839211</v>
      </c>
      <c r="U2605" s="2">
        <f t="shared" si="165"/>
        <v>162.78367502316345</v>
      </c>
    </row>
    <row r="2606" spans="1:21" x14ac:dyDescent="0.25">
      <c r="A2606">
        <v>4269933</v>
      </c>
      <c r="B2606">
        <v>1</v>
      </c>
      <c r="C2606" s="1">
        <f>6.46427602376308*(10.3/7.3)</f>
        <v>9.120827814350644</v>
      </c>
      <c r="D2606" s="1">
        <f>8.92783142881286*(10.3/7.3)</f>
        <v>12.596803248872945</v>
      </c>
      <c r="E2606" s="1">
        <f>31.511207427804*(10.3/7.3)</f>
        <v>44.461018699504251</v>
      </c>
      <c r="F2606" s="1">
        <f>59.0843296767257*(38.9/42.5)</f>
        <v>54.079539398226608</v>
      </c>
      <c r="G2606" s="1">
        <v>2.0364579809899728</v>
      </c>
      <c r="H2606" s="1">
        <v>6.2243863638497707</v>
      </c>
      <c r="I2606" s="1">
        <v>41.867192252889552</v>
      </c>
      <c r="J2606" s="1">
        <v>5.5933911927652548E-2</v>
      </c>
      <c r="K2606" s="1">
        <v>3.0291669028925425</v>
      </c>
      <c r="L2606" s="1">
        <v>4.9984628434526659</v>
      </c>
      <c r="M2606" s="1">
        <v>0.1905625105070155</v>
      </c>
      <c r="N2606" s="1">
        <v>2.470852993659538</v>
      </c>
      <c r="O2606" s="1">
        <v>0.16880000000000001</v>
      </c>
      <c r="P2606" s="1">
        <v>0.1217365038818989</v>
      </c>
      <c r="Q2606" s="1">
        <v>3.2546132116278135</v>
      </c>
      <c r="R2606" s="2">
        <f t="shared" si="163"/>
        <v>173.64083897031156</v>
      </c>
      <c r="S2606" s="2">
        <f t="shared" si="162"/>
        <v>3.2068373187020938</v>
      </c>
      <c r="T2606" s="2">
        <f t="shared" si="164"/>
        <v>7.8286783476192197</v>
      </c>
      <c r="U2606" s="2">
        <f t="shared" si="165"/>
        <v>184.67635463663288</v>
      </c>
    </row>
    <row r="2607" spans="1:21" x14ac:dyDescent="0.25">
      <c r="A2607">
        <v>4269941</v>
      </c>
      <c r="B2607">
        <v>25</v>
      </c>
      <c r="C2607" s="1">
        <f>7.35023631872664*(10.3/7.3)</f>
        <v>10.370881381217036</v>
      </c>
      <c r="D2607" s="1">
        <f>9.99781440822622*(10.3/7.3)</f>
        <v>14.106505260921931</v>
      </c>
      <c r="E2607" s="1">
        <f>35.3062384305066*(10.3/7.3)</f>
        <v>49.815651484139458</v>
      </c>
      <c r="F2607" s="1">
        <f>66.3892724304016*(38.9/42.5)</f>
        <v>60.765710530414609</v>
      </c>
      <c r="G2607" s="1">
        <v>2.289502369945017</v>
      </c>
      <c r="H2607" s="1">
        <v>6.3251589439444773</v>
      </c>
      <c r="I2607" s="1">
        <v>47.331642166352495</v>
      </c>
      <c r="J2607" s="1">
        <v>5.9503634384525224E-2</v>
      </c>
      <c r="K2607" s="1">
        <v>3.410188388495917</v>
      </c>
      <c r="L2607" s="1">
        <v>6.0608337425678851</v>
      </c>
      <c r="M2607" s="1">
        <v>0.21721872095601913</v>
      </c>
      <c r="N2607" s="1">
        <v>4.3793349448665193</v>
      </c>
      <c r="O2607" s="1">
        <v>0.18762666666666661</v>
      </c>
      <c r="P2607" s="1">
        <v>0.13354404988683308</v>
      </c>
      <c r="Q2607" s="1">
        <v>3.6590220524235479</v>
      </c>
      <c r="R2607" s="2">
        <f t="shared" si="163"/>
        <v>194.66407418935853</v>
      </c>
      <c r="S2607" s="2">
        <f t="shared" si="162"/>
        <v>3.6032360727672752</v>
      </c>
      <c r="T2607" s="2">
        <f t="shared" si="164"/>
        <v>10.84501407505709</v>
      </c>
      <c r="U2607" s="2">
        <f t="shared" si="165"/>
        <v>209.11232433718291</v>
      </c>
    </row>
    <row r="2608" spans="1:21" x14ac:dyDescent="0.25">
      <c r="A2608">
        <v>4269949</v>
      </c>
      <c r="B2608">
        <v>49</v>
      </c>
      <c r="C2608" s="1">
        <f>7.63492879947744*(10.3/7.3)</f>
        <v>10.772570771865427</v>
      </c>
      <c r="D2608" s="1">
        <f>10.214973065995*(10.3/7.3)</f>
        <v>14.41290720270527</v>
      </c>
      <c r="E2608" s="1">
        <f>36.0897877532461*(10.3/7.3)</f>
        <v>50.921207377867745</v>
      </c>
      <c r="F2608" s="1">
        <f>68.2812676561688*(38.9/42.5)</f>
        <v>62.49744263117563</v>
      </c>
      <c r="G2608" s="1">
        <v>2.3663789762328267</v>
      </c>
      <c r="H2608" s="1">
        <v>11.508228646815605</v>
      </c>
      <c r="I2608" s="1">
        <v>49.040997047034367</v>
      </c>
      <c r="J2608" s="1">
        <v>6.5921547612194112E-2</v>
      </c>
      <c r="K2608" s="1">
        <v>3.5516959233399361</v>
      </c>
      <c r="L2608" s="1">
        <v>6.5299030784743461</v>
      </c>
      <c r="M2608" s="1">
        <v>0.2254167112419786</v>
      </c>
      <c r="N2608" s="1">
        <v>3.7565898142843004</v>
      </c>
      <c r="O2608" s="1">
        <v>0.19365115646258507</v>
      </c>
      <c r="P2608" s="1">
        <v>0.1375838523332801</v>
      </c>
      <c r="Q2608" s="1">
        <v>3.7818842085912814</v>
      </c>
      <c r="R2608" s="2">
        <f t="shared" si="163"/>
        <v>205.30161686228814</v>
      </c>
      <c r="S2608" s="2">
        <f t="shared" si="162"/>
        <v>3.7552013232854105</v>
      </c>
      <c r="T2608" s="2">
        <f t="shared" si="164"/>
        <v>10.705560760463209</v>
      </c>
      <c r="U2608" s="2">
        <f t="shared" si="165"/>
        <v>219.76237894603676</v>
      </c>
    </row>
    <row r="2609" spans="1:21" x14ac:dyDescent="0.25">
      <c r="A2609">
        <v>4269957</v>
      </c>
      <c r="B2609">
        <v>55</v>
      </c>
      <c r="C2609" s="1">
        <f>7.88103618876505*(10.3/7.3)</f>
        <v>11.119818184147942</v>
      </c>
      <c r="D2609" s="1">
        <f>10.3857104253772*(10.3/7.3)</f>
        <v>14.653810600189811</v>
      </c>
      <c r="E2609" s="1">
        <f>36.7136478850173*(10.3/7.3)</f>
        <v>51.801448385709307</v>
      </c>
      <c r="F2609" s="1">
        <f>69.6145003865694*(38.9/42.5)</f>
        <v>63.71774270676589</v>
      </c>
      <c r="G2609" s="1">
        <v>2.4115025703618684</v>
      </c>
      <c r="H2609" s="1">
        <v>9.8503670185302425</v>
      </c>
      <c r="I2609" s="1">
        <v>50.294674560653768</v>
      </c>
      <c r="J2609" s="1">
        <v>7.2028615226259474E-2</v>
      </c>
      <c r="K2609" s="1">
        <v>3.6560269508401313</v>
      </c>
      <c r="L2609" s="1">
        <v>6.8883781202389667</v>
      </c>
      <c r="M2609" s="1">
        <v>0.23256263528749133</v>
      </c>
      <c r="N2609" s="1">
        <v>3.2712291637508644</v>
      </c>
      <c r="O2609" s="1">
        <v>0.19793454545454545</v>
      </c>
      <c r="P2609" s="1">
        <v>0.14016630497688559</v>
      </c>
      <c r="Q2609" s="1">
        <v>3.8539995416742232</v>
      </c>
      <c r="R2609" s="2">
        <f t="shared" si="163"/>
        <v>207.70336356803304</v>
      </c>
      <c r="S2609" s="2">
        <f t="shared" si="162"/>
        <v>3.8682218710432763</v>
      </c>
      <c r="T2609" s="2">
        <f t="shared" si="164"/>
        <v>10.590104464731867</v>
      </c>
      <c r="U2609" s="2">
        <f t="shared" si="165"/>
        <v>222.1616899038082</v>
      </c>
    </row>
    <row r="2610" spans="1:21" x14ac:dyDescent="0.25">
      <c r="A2610">
        <v>4269965</v>
      </c>
      <c r="B2610">
        <v>37</v>
      </c>
      <c r="C2610" s="1">
        <f>8.55929092733632*(10.3/7.3)</f>
        <v>12.076807746789601</v>
      </c>
      <c r="D2610" s="1">
        <f>11.0935870207238*(10.3/7.3)</f>
        <v>15.652595385404878</v>
      </c>
      <c r="E2610" s="1">
        <f>39.2373498495064*(10.3/7.3)</f>
        <v>55.362288143824102</v>
      </c>
      <c r="F2610" s="1">
        <f>74.7444411802883*(38.9/42.5)</f>
        <v>68.41314733913444</v>
      </c>
      <c r="G2610" s="1">
        <v>2.5959576005784517</v>
      </c>
      <c r="H2610" s="1">
        <v>13.360537612286157</v>
      </c>
      <c r="I2610" s="1">
        <v>54.380746450812751</v>
      </c>
      <c r="J2610" s="1">
        <v>8.801689021716326E-2</v>
      </c>
      <c r="K2610" s="1">
        <v>3.7572964988908435</v>
      </c>
      <c r="L2610" s="1">
        <v>7.2142593663479557</v>
      </c>
      <c r="M2610" s="1">
        <v>0.23740228589882986</v>
      </c>
      <c r="N2610" s="1">
        <v>3.4464560199623988</v>
      </c>
      <c r="O2610" s="1">
        <v>0.20131891891891893</v>
      </c>
      <c r="P2610" s="1">
        <v>0.1416801977987503</v>
      </c>
      <c r="Q2610" s="1">
        <v>4.1487906858559764</v>
      </c>
      <c r="R2610" s="2">
        <f t="shared" si="163"/>
        <v>225.99087096468634</v>
      </c>
      <c r="S2610" s="2">
        <f t="shared" si="162"/>
        <v>3.986993586906757</v>
      </c>
      <c r="T2610" s="2">
        <f t="shared" si="164"/>
        <v>11.099436591128104</v>
      </c>
      <c r="U2610" s="2">
        <f t="shared" si="165"/>
        <v>241.07730114272118</v>
      </c>
    </row>
    <row r="2611" spans="1:21" x14ac:dyDescent="0.25">
      <c r="A2611">
        <v>4269981</v>
      </c>
      <c r="B2611">
        <v>14</v>
      </c>
      <c r="C2611" s="1">
        <f>6.97181358323818*(10.3/7.3)</f>
        <v>9.8369424530620915</v>
      </c>
      <c r="D2611" s="1">
        <f>8.83005720520412*(10.3/7.3)</f>
        <v>12.45884783747978</v>
      </c>
      <c r="E2611" s="1">
        <f>31.2478793111453*(10.3/7.3)</f>
        <v>44.089473548602307</v>
      </c>
      <c r="F2611" s="1">
        <f>60.2935236320211*(38.9/42.5)</f>
        <v>55.186307512602809</v>
      </c>
      <c r="G2611" s="1">
        <v>2.1203779527340649</v>
      </c>
      <c r="H2611" s="1">
        <v>6.2802911523308813</v>
      </c>
      <c r="I2611" s="1">
        <v>44.356667248837446</v>
      </c>
      <c r="J2611" s="1">
        <v>7.4840415525886966E-2</v>
      </c>
      <c r="K2611" s="1">
        <v>3.2877391172003767</v>
      </c>
      <c r="L2611" s="1">
        <v>5.9999394263418884</v>
      </c>
      <c r="M2611" s="1">
        <v>0.20487681686992357</v>
      </c>
      <c r="N2611" s="1">
        <v>5.4178598265870281</v>
      </c>
      <c r="O2611" s="1">
        <v>0.17533714285714289</v>
      </c>
      <c r="P2611" s="1">
        <v>0.12591816537442571</v>
      </c>
      <c r="Q2611" s="1">
        <v>3.3887318879311579</v>
      </c>
      <c r="R2611" s="2">
        <f t="shared" si="163"/>
        <v>177.71763959358054</v>
      </c>
      <c r="S2611" s="2">
        <f t="shared" si="162"/>
        <v>3.4884976981006894</v>
      </c>
      <c r="T2611" s="2">
        <f t="shared" si="164"/>
        <v>11.798013212655983</v>
      </c>
      <c r="U2611" s="2">
        <f t="shared" si="165"/>
        <v>193.00415050433722</v>
      </c>
    </row>
    <row r="2612" spans="1:21" x14ac:dyDescent="0.25">
      <c r="A2612">
        <v>4269989</v>
      </c>
      <c r="B2612">
        <v>40</v>
      </c>
      <c r="C2612" s="1">
        <f>8.2497186205298*(10.3/7.3)</f>
        <v>11.640013944035198</v>
      </c>
      <c r="D2612" s="1">
        <f>10.3603225749116*(10.3/7.3)</f>
        <v>14.61798938651917</v>
      </c>
      <c r="E2612" s="1">
        <f>36.597409749746*(10.3/7.3)</f>
        <v>51.63744115375119</v>
      </c>
      <c r="F2612" s="1">
        <f>74.632433504929*(38.9/42.5)</f>
        <v>68.310627372746808</v>
      </c>
      <c r="G2612" s="1">
        <v>2.8157947852534426</v>
      </c>
      <c r="H2612" s="1">
        <v>6.6737480939220859</v>
      </c>
      <c r="I2612" s="1">
        <v>55.708045698375102</v>
      </c>
      <c r="J2612" s="1">
        <v>0.1041048825814741</v>
      </c>
      <c r="K2612" s="1">
        <v>3.674947558899329</v>
      </c>
      <c r="L2612" s="1">
        <v>7.071313676903773</v>
      </c>
      <c r="M2612" s="1">
        <v>0.22614807007472035</v>
      </c>
      <c r="N2612" s="1">
        <v>4.5425928190822509</v>
      </c>
      <c r="O2612" s="1">
        <v>0.19150666666666669</v>
      </c>
      <c r="P2612" s="1">
        <v>0.13537315844663383</v>
      </c>
      <c r="Q2612" s="1">
        <v>4.5001286522315329</v>
      </c>
      <c r="R2612" s="2">
        <f t="shared" si="163"/>
        <v>215.90378908683454</v>
      </c>
      <c r="S2612" s="2">
        <f t="shared" si="162"/>
        <v>3.9144255999274371</v>
      </c>
      <c r="T2612" s="2">
        <f t="shared" si="164"/>
        <v>12.031561232727411</v>
      </c>
      <c r="U2612" s="2">
        <f t="shared" si="165"/>
        <v>231.84977591948936</v>
      </c>
    </row>
    <row r="2613" spans="1:21" x14ac:dyDescent="0.25">
      <c r="A2613">
        <v>4269997</v>
      </c>
      <c r="B2613">
        <v>41</v>
      </c>
      <c r="C2613" s="1">
        <f>7.52752085913399*(10.3/7.3)</f>
        <v>10.621022582065772</v>
      </c>
      <c r="D2613" s="1">
        <f>9.20938948021055*(10.3/7.3)</f>
        <v>12.994070088516255</v>
      </c>
      <c r="E2613" s="1">
        <f>32.6147101902354*(10.3/7.3)</f>
        <v>46.018015747866357</v>
      </c>
      <c r="F2613" s="1">
        <f>64.2769291429406*(38.9/42.5)</f>
        <v>58.832295144950336</v>
      </c>
      <c r="G2613" s="1">
        <v>2.3076001478541577</v>
      </c>
      <c r="H2613" s="1">
        <v>5.6657949402028462</v>
      </c>
      <c r="I2613" s="1">
        <v>48.083458660908612</v>
      </c>
      <c r="J2613" s="1">
        <v>8.79996992281772E-2</v>
      </c>
      <c r="K2613" s="1">
        <v>3.3525182325093805</v>
      </c>
      <c r="L2613" s="1">
        <v>6.2189522528602827</v>
      </c>
      <c r="M2613" s="1">
        <v>0.2030857870823207</v>
      </c>
      <c r="N2613" s="1">
        <v>2.9510544663100098</v>
      </c>
      <c r="O2613" s="1">
        <v>0.17394341463414639</v>
      </c>
      <c r="P2613" s="1">
        <v>0.12474710725311004</v>
      </c>
      <c r="Q2613" s="1">
        <v>3.6879454417760535</v>
      </c>
      <c r="R2613" s="2">
        <f t="shared" si="163"/>
        <v>188.2102027541404</v>
      </c>
      <c r="S2613" s="2">
        <f t="shared" si="162"/>
        <v>3.5652650389906677</v>
      </c>
      <c r="T2613" s="2">
        <f t="shared" si="164"/>
        <v>9.5470359208867599</v>
      </c>
      <c r="U2613" s="2">
        <f t="shared" si="165"/>
        <v>201.32250371401784</v>
      </c>
    </row>
    <row r="2614" spans="1:21" x14ac:dyDescent="0.25">
      <c r="A2614">
        <v>4270005</v>
      </c>
      <c r="B2614">
        <v>55</v>
      </c>
      <c r="C2614" s="1">
        <f>7.99762706310839*(10.3/7.3)</f>
        <v>11.284323116440605</v>
      </c>
      <c r="D2614" s="1">
        <f>9.73193724031225*(10.3/7.3)</f>
        <v>13.73136350345427</v>
      </c>
      <c r="E2614" s="1">
        <f>34.4262445468743*(10.3/7.3)</f>
        <v>48.574016278466445</v>
      </c>
      <c r="F2614" s="1">
        <f>70.2494536992551*(38.9/42.5)</f>
        <v>64.298911738847607</v>
      </c>
      <c r="G2614" s="1">
        <v>2.6344614578485475</v>
      </c>
      <c r="H2614" s="1">
        <v>6.9169077491187938</v>
      </c>
      <c r="I2614" s="1">
        <v>53.005202996426462</v>
      </c>
      <c r="J2614" s="1">
        <v>8.245239242708291E-2</v>
      </c>
      <c r="K2614" s="1">
        <v>3.5724603834413942</v>
      </c>
      <c r="L2614" s="1">
        <v>6.8372914687086457</v>
      </c>
      <c r="M2614" s="1">
        <v>0.21301987804854827</v>
      </c>
      <c r="N2614" s="1">
        <v>3.0438637014764738</v>
      </c>
      <c r="O2614" s="1">
        <v>0.18052945454545463</v>
      </c>
      <c r="P2614" s="1">
        <v>0.12964715809704302</v>
      </c>
      <c r="Q2614" s="1">
        <v>4.2103265308081834</v>
      </c>
      <c r="R2614" s="2">
        <f t="shared" si="163"/>
        <v>204.6555133714109</v>
      </c>
      <c r="S2614" s="2">
        <f t="shared" si="162"/>
        <v>3.7845599339655198</v>
      </c>
      <c r="T2614" s="2">
        <f t="shared" si="164"/>
        <v>10.274704502779123</v>
      </c>
      <c r="U2614" s="2">
        <f t="shared" si="165"/>
        <v>218.71477780815553</v>
      </c>
    </row>
    <row r="2615" spans="1:21" x14ac:dyDescent="0.25">
      <c r="A2615">
        <v>4270013</v>
      </c>
      <c r="B2615">
        <v>19</v>
      </c>
      <c r="C2615" s="1">
        <f>8.49451610192066*(10.3/7.3)</f>
        <v>11.985413130107233</v>
      </c>
      <c r="D2615" s="1">
        <f>10.2233357856318*(10.3/7.3)</f>
        <v>14.424706656439438</v>
      </c>
      <c r="E2615" s="1">
        <f>36.1851254398352*(10.3/7.3)</f>
        <v>51.055724935657892</v>
      </c>
      <c r="F2615" s="1">
        <f>73.735384333184*(38.9/42.5)</f>
        <v>67.489563542608451</v>
      </c>
      <c r="G2615" s="1">
        <v>2.753639955327853</v>
      </c>
      <c r="H2615" s="1">
        <v>8.1514409656608446</v>
      </c>
      <c r="I2615" s="1">
        <v>55.831148845142799</v>
      </c>
      <c r="J2615" s="1">
        <v>7.3442710589016774E-2</v>
      </c>
      <c r="K2615" s="1">
        <v>3.5308516418970308</v>
      </c>
      <c r="L2615" s="1">
        <v>6.7711346223451132</v>
      </c>
      <c r="M2615" s="1">
        <v>0.2090355436012091</v>
      </c>
      <c r="N2615" s="1">
        <v>2.8267991415071538</v>
      </c>
      <c r="O2615" s="1">
        <v>0.17809964912280699</v>
      </c>
      <c r="P2615" s="1">
        <v>0.12744505438047019</v>
      </c>
      <c r="Q2615" s="1">
        <v>4.400794449154108</v>
      </c>
      <c r="R2615" s="2">
        <f t="shared" si="163"/>
        <v>216.09243248009861</v>
      </c>
      <c r="S2615" s="2">
        <f t="shared" si="162"/>
        <v>3.7317394068665179</v>
      </c>
      <c r="T2615" s="2">
        <f t="shared" si="164"/>
        <v>9.9850689565762831</v>
      </c>
      <c r="U2615" s="2">
        <f t="shared" si="165"/>
        <v>229.8092408435414</v>
      </c>
    </row>
    <row r="2616" spans="1:21" x14ac:dyDescent="0.25">
      <c r="A2616">
        <v>4270029</v>
      </c>
      <c r="B2616">
        <v>1</v>
      </c>
      <c r="C2616" s="1">
        <f>3.91799650312738*(10.3/7.3)</f>
        <v>5.5281320523578117</v>
      </c>
      <c r="D2616" s="1">
        <f>4.71434432902262*(10.3/7.3)</f>
        <v>6.6517461080730129</v>
      </c>
      <c r="E2616" s="1">
        <f>16.6940005204776*(10.3/7.3)</f>
        <v>23.554548679578051</v>
      </c>
      <c r="F2616" s="1">
        <f>33.6351275750143*(38.9/42.5)</f>
        <v>30.786034415718927</v>
      </c>
      <c r="G2616" s="1">
        <v>1.2381836196324703</v>
      </c>
      <c r="H2616" s="1">
        <v>4.2425256219871876</v>
      </c>
      <c r="I2616" s="1">
        <v>25.416509030305555</v>
      </c>
      <c r="J2616" s="1">
        <v>3.4828216439248376E-2</v>
      </c>
      <c r="K2616" s="1">
        <v>2.1243618089856411</v>
      </c>
      <c r="L2616" s="1">
        <v>4.3377186139956292</v>
      </c>
      <c r="M2616" s="1">
        <v>0.12531999573568611</v>
      </c>
      <c r="N2616" s="1">
        <v>1.5237276976899485</v>
      </c>
      <c r="O2616" s="1">
        <v>0.10437333333333333</v>
      </c>
      <c r="P2616" s="1">
        <v>8.369926174371127E-2</v>
      </c>
      <c r="Q2616" s="1">
        <v>1.9788322688190183</v>
      </c>
      <c r="R2616" s="2">
        <f t="shared" si="163"/>
        <v>99.396511796472026</v>
      </c>
      <c r="S2616" s="2">
        <f t="shared" si="162"/>
        <v>2.2428892871686008</v>
      </c>
      <c r="T2616" s="2">
        <f t="shared" si="164"/>
        <v>6.091139640754597</v>
      </c>
      <c r="U2616" s="2">
        <f t="shared" si="165"/>
        <v>107.73054072439521</v>
      </c>
    </row>
    <row r="2617" spans="1:21" x14ac:dyDescent="0.25">
      <c r="A2617">
        <v>4270037</v>
      </c>
      <c r="B2617">
        <v>24</v>
      </c>
      <c r="C2617" s="1">
        <f>5.50145536738943*(10.3/7.3)</f>
        <v>7.7623274361796106</v>
      </c>
      <c r="D2617" s="1">
        <f>6.53490932550471*(10.3/7.3)</f>
        <v>9.2204885003696582</v>
      </c>
      <c r="E2617" s="1">
        <f>23.0948398896929*(10.3/7.3)</f>
        <v>32.58586998134755</v>
      </c>
      <c r="F2617" s="1">
        <f>49.5615015038269*(38.9/42.5)</f>
        <v>45.363350788208585</v>
      </c>
      <c r="G2617" s="1">
        <v>1.962335059219658</v>
      </c>
      <c r="H2617" s="1">
        <v>6.8934043261451885</v>
      </c>
      <c r="I2617" s="1">
        <v>38.037858046976872</v>
      </c>
      <c r="J2617" s="1">
        <v>4.2642076158166002E-2</v>
      </c>
      <c r="K2617" s="1">
        <v>2.547597042771343</v>
      </c>
      <c r="L2617" s="1">
        <v>5.693843206344936</v>
      </c>
      <c r="M2617" s="1">
        <v>0.14765326333548098</v>
      </c>
      <c r="N2617" s="1">
        <v>1.8779317884694768</v>
      </c>
      <c r="O2617" s="1">
        <v>0.12458000000000001</v>
      </c>
      <c r="P2617" s="1">
        <v>9.6815900468146268E-2</v>
      </c>
      <c r="Q2617" s="1">
        <v>3.1361519211273112</v>
      </c>
      <c r="R2617" s="2">
        <f t="shared" si="163"/>
        <v>144.96178605957445</v>
      </c>
      <c r="S2617" s="2">
        <f t="shared" si="162"/>
        <v>2.687055019397655</v>
      </c>
      <c r="T2617" s="2">
        <f t="shared" si="164"/>
        <v>7.8440082581498931</v>
      </c>
      <c r="U2617" s="2">
        <f t="shared" si="165"/>
        <v>155.49284933712201</v>
      </c>
    </row>
    <row r="2618" spans="1:21" x14ac:dyDescent="0.25">
      <c r="A2618">
        <v>4270045</v>
      </c>
      <c r="B2618">
        <v>7</v>
      </c>
      <c r="C2618" s="1">
        <f>4.98490645578631*(10.3/7.3)</f>
        <v>7.0334981499450739</v>
      </c>
      <c r="D2618" s="1">
        <f>5.94697523101912*(10.3/7.3)</f>
        <v>8.3909376547256063</v>
      </c>
      <c r="E2618" s="1">
        <f>20.9323456105591*(10.3/7.3)</f>
        <v>29.534679423117705</v>
      </c>
      <c r="F2618" s="1">
        <f>48.9905008702167*(38.9/42.5)</f>
        <v>44.840717267092444</v>
      </c>
      <c r="G2618" s="1">
        <v>2.1219873768497051</v>
      </c>
      <c r="H2618" s="1">
        <v>10.411727001499381</v>
      </c>
      <c r="I2618" s="1">
        <v>38.077336379314936</v>
      </c>
      <c r="J2618" s="1">
        <v>3.8801067499935407E-2</v>
      </c>
      <c r="K2618" s="1">
        <v>2.4121739874395294</v>
      </c>
      <c r="L2618" s="1">
        <v>4.2924696745141846</v>
      </c>
      <c r="M2618" s="1">
        <v>0.13670848331696764</v>
      </c>
      <c r="N2618" s="1">
        <v>1.767819305721313</v>
      </c>
      <c r="O2618" s="1">
        <v>0.11578666666666666</v>
      </c>
      <c r="P2618" s="1">
        <v>9.2748321235789924E-2</v>
      </c>
      <c r="Q2618" s="1">
        <v>3.3913040269287551</v>
      </c>
      <c r="R2618" s="2">
        <f t="shared" si="163"/>
        <v>143.80218727947363</v>
      </c>
      <c r="S2618" s="2">
        <f t="shared" si="162"/>
        <v>2.5437233761752545</v>
      </c>
      <c r="T2618" s="2">
        <f t="shared" si="164"/>
        <v>6.3127841302191321</v>
      </c>
      <c r="U2618" s="2">
        <f t="shared" si="165"/>
        <v>152.65869478586802</v>
      </c>
    </row>
    <row r="2619" spans="1:21" x14ac:dyDescent="0.25">
      <c r="A2619">
        <v>4270053</v>
      </c>
      <c r="B2619">
        <v>24</v>
      </c>
      <c r="C2619" s="1">
        <f>5.26160072225838*(10.3/7.3)</f>
        <v>7.4239023889399061</v>
      </c>
      <c r="D2619" s="1">
        <f>6.33851834534828*(10.3/7.3)</f>
        <v>8.9433888982311363</v>
      </c>
      <c r="E2619" s="1">
        <f>22.2298664889857*(10.3/7.3)</f>
        <v>31.365428059801797</v>
      </c>
      <c r="F2619" s="1">
        <f>55.606682804098*(38.9/42.5)</f>
        <v>50.896469672456739</v>
      </c>
      <c r="G2619" s="1">
        <v>2.5579113944573728</v>
      </c>
      <c r="H2619" s="1">
        <v>8.5596509456278174</v>
      </c>
      <c r="I2619" s="1">
        <v>43.531343860362405</v>
      </c>
      <c r="J2619" s="1">
        <v>3.9578129445141226E-2</v>
      </c>
      <c r="K2619" s="1">
        <v>2.2380373947730026</v>
      </c>
      <c r="L2619" s="1">
        <v>5.076213855162707</v>
      </c>
      <c r="M2619" s="1">
        <v>0.12590021627070838</v>
      </c>
      <c r="N2619" s="1">
        <v>1.6308167058921119</v>
      </c>
      <c r="O2619" s="1">
        <v>0.10714222222222225</v>
      </c>
      <c r="P2619" s="1">
        <v>8.6710423313112087E-2</v>
      </c>
      <c r="Q2619" s="1">
        <v>4.0879862468496881</v>
      </c>
      <c r="R2619" s="2">
        <f t="shared" si="163"/>
        <v>157.36608146672688</v>
      </c>
      <c r="S2619" s="2">
        <f t="shared" si="162"/>
        <v>2.3643259475312561</v>
      </c>
      <c r="T2619" s="2">
        <f t="shared" si="164"/>
        <v>6.9400729995477501</v>
      </c>
      <c r="U2619" s="2">
        <f t="shared" si="165"/>
        <v>166.67048041380588</v>
      </c>
    </row>
    <row r="2620" spans="1:21" x14ac:dyDescent="0.25">
      <c r="A2620">
        <v>4281553</v>
      </c>
      <c r="B2620">
        <v>43</v>
      </c>
      <c r="C2620" s="1">
        <f>0.501959753983251*(10.3/7.3)</f>
        <v>0.70824458438732696</v>
      </c>
      <c r="D2620" s="1">
        <f>0.653168986219348*(10.3/7.3)</f>
        <v>0.9215945969944227</v>
      </c>
      <c r="E2620" s="1">
        <f>2.28715929837063*(10.3/7.3)</f>
        <v>3.2270877771530815</v>
      </c>
      <c r="F2620" s="1">
        <f>5.49850929867019*(38.9/42.5)</f>
        <v>5.0327532169004767</v>
      </c>
      <c r="G2620" s="1">
        <v>0.24738720080779011</v>
      </c>
      <c r="H2620" s="1">
        <v>1.2073961224370537</v>
      </c>
      <c r="I2620" s="1">
        <v>4.1882056183629324</v>
      </c>
      <c r="J2620" s="1">
        <v>2.9290934215235549E-2</v>
      </c>
      <c r="K2620" s="1">
        <v>3.0058225862866763</v>
      </c>
      <c r="L2620" s="1">
        <v>2.2722302494823059</v>
      </c>
      <c r="M2620" s="1">
        <v>0.16553131538297808</v>
      </c>
      <c r="N2620" s="1">
        <v>1.0117980210498432</v>
      </c>
      <c r="O2620" s="1">
        <v>1.1321054263565891</v>
      </c>
      <c r="P2620" s="1">
        <v>0.30701792399829048</v>
      </c>
      <c r="Q2620" s="1">
        <v>0.39536767252386579</v>
      </c>
      <c r="R2620" s="2">
        <f t="shared" si="163"/>
        <v>15.928036789566951</v>
      </c>
      <c r="S2620" s="2">
        <f t="shared" si="162"/>
        <v>3.3421314445002022</v>
      </c>
      <c r="T2620" s="2">
        <f t="shared" si="164"/>
        <v>4.5816650122717162</v>
      </c>
      <c r="U2620" s="2">
        <f t="shared" si="165"/>
        <v>23.85183324633887</v>
      </c>
    </row>
    <row r="2621" spans="1:21" x14ac:dyDescent="0.25">
      <c r="A2621">
        <v>4282081</v>
      </c>
      <c r="B2621">
        <v>8</v>
      </c>
      <c r="C2621" s="1">
        <f>5.76029525530952*(10.3/7.3)</f>
        <v>8.1275398807791834</v>
      </c>
      <c r="D2621" s="1">
        <f>8.90992119847893*(10.3/7.3)</f>
        <v>12.571532649908631</v>
      </c>
      <c r="E2621" s="1">
        <f>31.3110269690289*(10.3/7.3)</f>
        <v>44.178572298766866</v>
      </c>
      <c r="F2621" s="1">
        <f>58.6510199597955*(38.9/42.5)</f>
        <v>53.682933563201075</v>
      </c>
      <c r="G2621" s="1">
        <v>2.0690488193316847</v>
      </c>
      <c r="H2621" s="1">
        <v>6.5569358781623048</v>
      </c>
      <c r="I2621" s="1">
        <v>39.978579804566579</v>
      </c>
      <c r="J2621" s="1">
        <v>5.2109724541459498E-2</v>
      </c>
      <c r="K2621" s="1">
        <v>3.3282896321791173</v>
      </c>
      <c r="L2621" s="1">
        <v>4.7419451416493299</v>
      </c>
      <c r="M2621" s="1">
        <v>0.19928194542804906</v>
      </c>
      <c r="N2621" s="1">
        <v>4.4145352935054962</v>
      </c>
      <c r="O2621" s="1">
        <v>0.17825333333333335</v>
      </c>
      <c r="P2621" s="1">
        <v>0.13236859322433053</v>
      </c>
      <c r="Q2621" s="1">
        <v>3.3066990263291802</v>
      </c>
      <c r="R2621" s="2">
        <f t="shared" si="163"/>
        <v>170.4718419210455</v>
      </c>
      <c r="S2621" s="2">
        <f t="shared" si="162"/>
        <v>3.5127679499449074</v>
      </c>
      <c r="T2621" s="2">
        <f t="shared" si="164"/>
        <v>9.5340157139162081</v>
      </c>
      <c r="U2621" s="2">
        <f t="shared" si="165"/>
        <v>183.5186255849066</v>
      </c>
    </row>
    <row r="2622" spans="1:21" x14ac:dyDescent="0.25">
      <c r="A2622">
        <v>4282121</v>
      </c>
      <c r="B2622">
        <v>26</v>
      </c>
      <c r="C2622" s="1">
        <f>9.10617621585318*(10.3/7.3)</f>
        <v>12.848440414149003</v>
      </c>
      <c r="D2622" s="1">
        <f>17.698589596632*(10.3/7.3)</f>
        <v>24.971982581549209</v>
      </c>
      <c r="E2622" s="1">
        <f>62.0811839429005*(10.3/7.3)</f>
        <v>87.593999261900663</v>
      </c>
      <c r="F2622" s="1">
        <f>98.5589772372886*(38.9/42.5)</f>
        <v>90.210452106600641</v>
      </c>
      <c r="G2622" s="1">
        <v>2.7828593650818436</v>
      </c>
      <c r="H2622" s="1">
        <v>7.9736949978014886</v>
      </c>
      <c r="I2622" s="1">
        <v>58.076217701578308</v>
      </c>
      <c r="J2622" s="1">
        <v>7.7041239417501794E-2</v>
      </c>
      <c r="K2622" s="1">
        <v>3.4253391264087534</v>
      </c>
      <c r="L2622" s="1">
        <v>6.0975295202910464</v>
      </c>
      <c r="M2622" s="1">
        <v>0.23495841907529558</v>
      </c>
      <c r="N2622" s="1">
        <v>3.9033975347409391</v>
      </c>
      <c r="O2622" s="1">
        <v>0.20524717948717947</v>
      </c>
      <c r="P2622" s="1">
        <v>0.14288415299497526</v>
      </c>
      <c r="Q2622" s="1">
        <v>4.447492135975553</v>
      </c>
      <c r="R2622" s="2">
        <f t="shared" si="163"/>
        <v>288.90513856463667</v>
      </c>
      <c r="S2622" s="2">
        <f t="shared" si="162"/>
        <v>3.6452645188212305</v>
      </c>
      <c r="T2622" s="2">
        <f t="shared" si="164"/>
        <v>10.44113265359446</v>
      </c>
      <c r="U2622" s="2">
        <f t="shared" si="165"/>
        <v>302.9915357370524</v>
      </c>
    </row>
    <row r="2623" spans="1:21" x14ac:dyDescent="0.25">
      <c r="A2623">
        <v>4282129</v>
      </c>
      <c r="B2623">
        <v>62</v>
      </c>
      <c r="C2623" s="1">
        <f>9.7837170300625*(10.3/7.3)</f>
        <v>13.804422658855314</v>
      </c>
      <c r="D2623" s="1">
        <f>15.3463045317254*(10.3/7.3)</f>
        <v>21.65300502421529</v>
      </c>
      <c r="E2623" s="1">
        <f>54.0236844968508*(10.3/7.3)</f>
        <v>76.225198673638815</v>
      </c>
      <c r="F2623" s="1">
        <f>95.0735302152364*(38.9/42.5)</f>
        <v>87.020242949945796</v>
      </c>
      <c r="G2623" s="1">
        <v>3.0652780205040102</v>
      </c>
      <c r="H2623" s="1">
        <v>7.3712433398953419</v>
      </c>
      <c r="I2623" s="1">
        <v>63.188645330292779</v>
      </c>
      <c r="J2623" s="1">
        <v>7.9319029098926297E-2</v>
      </c>
      <c r="K2623" s="1">
        <v>3.8669459036595479</v>
      </c>
      <c r="L2623" s="1">
        <v>7.393770831963387</v>
      </c>
      <c r="M2623" s="1">
        <v>0.27227752245570874</v>
      </c>
      <c r="N2623" s="1">
        <v>4.0858054311225214</v>
      </c>
      <c r="O2623" s="1">
        <v>0.23200688172043013</v>
      </c>
      <c r="P2623" s="1">
        <v>0.15688072740707137</v>
      </c>
      <c r="Q2623" s="1">
        <v>4.8988461514904325</v>
      </c>
      <c r="R2623" s="2">
        <f t="shared" si="163"/>
        <v>277.22688214883777</v>
      </c>
      <c r="S2623" s="2">
        <f t="shared" si="162"/>
        <v>4.1031456601655458</v>
      </c>
      <c r="T2623" s="2">
        <f t="shared" si="164"/>
        <v>11.983860667262046</v>
      </c>
      <c r="U2623" s="2">
        <f t="shared" si="165"/>
        <v>293.31388847626533</v>
      </c>
    </row>
    <row r="2624" spans="1:21" x14ac:dyDescent="0.25">
      <c r="A2624">
        <v>4282137</v>
      </c>
      <c r="B2624">
        <v>41</v>
      </c>
      <c r="C2624" s="1">
        <f>7.51372636241196*(10.3/7.3)</f>
        <v>10.60155911408811</v>
      </c>
      <c r="D2624" s="1">
        <f>11.2053499257126*(10.3/7.3)</f>
        <v>15.810288251347972</v>
      </c>
      <c r="E2624" s="1">
        <f>39.4820048076131*(10.3/7.3)</f>
        <v>55.707486235399323</v>
      </c>
      <c r="F2624" s="1">
        <f>71.4100075181099*(38.9/42.5)</f>
        <v>65.361159822458234</v>
      </c>
      <c r="G2624" s="1">
        <v>2.3751436217154116</v>
      </c>
      <c r="H2624" s="1">
        <v>6.9981231495525495</v>
      </c>
      <c r="I2624" s="1">
        <v>48.748952312409365</v>
      </c>
      <c r="J2624" s="1">
        <v>6.311154981492384E-2</v>
      </c>
      <c r="K2624" s="1">
        <v>3.3925258931800997</v>
      </c>
      <c r="L2624" s="1">
        <v>6.0387331572561154</v>
      </c>
      <c r="M2624" s="1">
        <v>0.22701547019771356</v>
      </c>
      <c r="N2624" s="1">
        <v>2.7931964149157253</v>
      </c>
      <c r="O2624" s="1">
        <v>0.20056975609756098</v>
      </c>
      <c r="P2624" s="1">
        <v>0.14000680700210383</v>
      </c>
      <c r="Q2624" s="1">
        <v>3.7958916328785168</v>
      </c>
      <c r="R2624" s="2">
        <f t="shared" si="163"/>
        <v>209.39860413984948</v>
      </c>
      <c r="S2624" s="2">
        <f t="shared" si="162"/>
        <v>3.5956442499971275</v>
      </c>
      <c r="T2624" s="2">
        <f t="shared" si="164"/>
        <v>9.2595147984671158</v>
      </c>
      <c r="U2624" s="2">
        <f t="shared" si="165"/>
        <v>222.25376318831371</v>
      </c>
    </row>
    <row r="2625" spans="1:21" x14ac:dyDescent="0.25">
      <c r="A2625">
        <v>4282145</v>
      </c>
      <c r="B2625">
        <v>66</v>
      </c>
      <c r="C2625" s="1">
        <f>9.14471953603445*(10.3/7.3)</f>
        <v>12.902823454952713</v>
      </c>
      <c r="D2625" s="1">
        <f>13.2295278432986*(10.3/7.3)</f>
        <v>18.666320107667833</v>
      </c>
      <c r="E2625" s="1">
        <f>46.6489389302885*(10.3/7.3)</f>
        <v>65.819735750955033</v>
      </c>
      <c r="F2625" s="1">
        <f>85.3794489061404*(38.9/42.5)</f>
        <v>78.147307351737922</v>
      </c>
      <c r="G2625" s="1">
        <v>2.8709037429262554</v>
      </c>
      <c r="H2625" s="1">
        <v>7.7437620373686116</v>
      </c>
      <c r="I2625" s="1">
        <v>59.122822041010295</v>
      </c>
      <c r="J2625" s="1">
        <v>7.0738321254655415E-2</v>
      </c>
      <c r="K2625" s="1">
        <v>3.9462239459236272</v>
      </c>
      <c r="L2625" s="1">
        <v>7.3505132644484963</v>
      </c>
      <c r="M2625" s="1">
        <v>0.26287476984471625</v>
      </c>
      <c r="N2625" s="1">
        <v>3.218379683626639</v>
      </c>
      <c r="O2625" s="1">
        <v>0.22475232323232316</v>
      </c>
      <c r="P2625" s="1">
        <v>0.1536191365368029</v>
      </c>
      <c r="Q2625" s="1">
        <v>4.5882023288775819</v>
      </c>
      <c r="R2625" s="2">
        <f t="shared" si="163"/>
        <v>249.86187681549623</v>
      </c>
      <c r="S2625" s="2">
        <f t="shared" si="162"/>
        <v>4.1705814037150857</v>
      </c>
      <c r="T2625" s="2">
        <f t="shared" si="164"/>
        <v>11.056520041152174</v>
      </c>
      <c r="U2625" s="2">
        <f t="shared" si="165"/>
        <v>265.08897826036349</v>
      </c>
    </row>
    <row r="2626" spans="1:21" x14ac:dyDescent="0.25">
      <c r="A2626">
        <v>4282153</v>
      </c>
      <c r="B2626">
        <v>55</v>
      </c>
      <c r="C2626" s="1">
        <f>8.88516604196057*(10.3/7.3)</f>
        <v>12.536604141396426</v>
      </c>
      <c r="D2626" s="1">
        <f>12.6264995265041*(10.3/7.3)</f>
        <v>17.815471934656486</v>
      </c>
      <c r="E2626" s="1">
        <f>44.54114951512*(10.3/7.3)</f>
        <v>62.845731507635108</v>
      </c>
      <c r="F2626" s="1">
        <f>82.1706713214127*(38.9/42.5)</f>
        <v>75.210332103598944</v>
      </c>
      <c r="G2626" s="1">
        <v>2.7842451955441221</v>
      </c>
      <c r="H2626" s="1">
        <v>7.4566212583896609</v>
      </c>
      <c r="I2626" s="1">
        <v>57.390418699338362</v>
      </c>
      <c r="J2626" s="1">
        <v>6.8021179299624007E-2</v>
      </c>
      <c r="K2626" s="1">
        <v>3.932677214029852</v>
      </c>
      <c r="L2626" s="1">
        <v>7.181723035173869</v>
      </c>
      <c r="M2626" s="1">
        <v>0.25498438208123159</v>
      </c>
      <c r="N2626" s="1">
        <v>3.1927547564334797</v>
      </c>
      <c r="O2626" s="1">
        <v>0.2195471515151515</v>
      </c>
      <c r="P2626" s="1">
        <v>0.15114965965158386</v>
      </c>
      <c r="Q2626" s="1">
        <v>4.4497069335180068</v>
      </c>
      <c r="R2626" s="2">
        <f t="shared" si="163"/>
        <v>240.48913177407712</v>
      </c>
      <c r="S2626" s="2">
        <f t="shared" si="162"/>
        <v>4.1518480529810606</v>
      </c>
      <c r="T2626" s="2">
        <f t="shared" si="164"/>
        <v>10.849009325203731</v>
      </c>
      <c r="U2626" s="2">
        <f t="shared" si="165"/>
        <v>255.4899891522619</v>
      </c>
    </row>
    <row r="2627" spans="1:21" x14ac:dyDescent="0.25">
      <c r="A2627">
        <v>4282161</v>
      </c>
      <c r="B2627">
        <v>22</v>
      </c>
      <c r="C2627" s="1">
        <f>4.21246087753646*(10.3/7.3)</f>
        <v>5.943609183373364</v>
      </c>
      <c r="D2627" s="1">
        <f>5.85264728073098*(10.3/7.3)</f>
        <v>8.2578447933601549</v>
      </c>
      <c r="E2627" s="1">
        <f>20.6568219180041*(10.3/7.3)</f>
        <v>29.145926815813993</v>
      </c>
      <c r="F2627" s="1">
        <f>38.4974169045061*(38.9/42.5)</f>
        <v>35.236459237300906</v>
      </c>
      <c r="G2627" s="1">
        <v>1.3170941717265829</v>
      </c>
      <c r="H2627" s="1">
        <v>5.0632114068493896</v>
      </c>
      <c r="I2627" s="1">
        <v>27.17818610146286</v>
      </c>
      <c r="J2627" s="1">
        <v>4.2399634925310396E-2</v>
      </c>
      <c r="K2627" s="1">
        <v>2.6819705991869771</v>
      </c>
      <c r="L2627" s="1">
        <v>4.3142027713594127</v>
      </c>
      <c r="M2627" s="1">
        <v>0.16623283290243418</v>
      </c>
      <c r="N2627" s="1">
        <v>2.1561861818053845</v>
      </c>
      <c r="O2627" s="1">
        <v>0.14652121212121214</v>
      </c>
      <c r="P2627" s="1">
        <v>0.11349680780391277</v>
      </c>
      <c r="Q2627" s="1">
        <v>2.1049450233073261</v>
      </c>
      <c r="R2627" s="2">
        <f t="shared" si="163"/>
        <v>114.24727673319457</v>
      </c>
      <c r="S2627" s="2">
        <f t="shared" si="162"/>
        <v>2.8378670419162</v>
      </c>
      <c r="T2627" s="2">
        <f t="shared" si="164"/>
        <v>6.7831429981884428</v>
      </c>
      <c r="U2627" s="2">
        <f t="shared" si="165"/>
        <v>123.8682867732992</v>
      </c>
    </row>
    <row r="2628" spans="1:21" x14ac:dyDescent="0.25">
      <c r="A2628">
        <v>4282169</v>
      </c>
      <c r="B2628">
        <v>47</v>
      </c>
      <c r="C2628" s="1">
        <f>7.22242871508328*(10.3/7.3)</f>
        <v>10.190550104843531</v>
      </c>
      <c r="D2628" s="1">
        <f>9.89187634258393*(10.3/7.3)</f>
        <v>13.957031003919793</v>
      </c>
      <c r="E2628" s="1">
        <f>34.926408012226*(10.3/7.3)</f>
        <v>49.279726373414711</v>
      </c>
      <c r="F2628" s="1">
        <f>65.46073130669*(38.9/42.5)</f>
        <v>59.915822301888042</v>
      </c>
      <c r="G2628" s="1">
        <v>2.2504999740146792</v>
      </c>
      <c r="H2628" s="1">
        <v>7.9695387473622299</v>
      </c>
      <c r="I2628" s="1">
        <v>46.517112651047434</v>
      </c>
      <c r="J2628" s="1">
        <v>6.2435402893021144E-2</v>
      </c>
      <c r="K2628" s="1">
        <v>3.503619338176664</v>
      </c>
      <c r="L2628" s="1">
        <v>6.2927752303689157</v>
      </c>
      <c r="M2628" s="1">
        <v>0.22450374666275591</v>
      </c>
      <c r="N2628" s="1">
        <v>3.7553847115535532</v>
      </c>
      <c r="O2628" s="1">
        <v>0.19334468085106385</v>
      </c>
      <c r="P2628" s="1">
        <v>0.13766262852495476</v>
      </c>
      <c r="Q2628" s="1">
        <v>3.5966894561878462</v>
      </c>
      <c r="R2628" s="2">
        <f t="shared" si="163"/>
        <v>193.67697061267828</v>
      </c>
      <c r="S2628" s="2">
        <f t="shared" si="162"/>
        <v>3.7037173695946399</v>
      </c>
      <c r="T2628" s="2">
        <f t="shared" si="164"/>
        <v>10.46600836943629</v>
      </c>
      <c r="U2628" s="2">
        <f t="shared" si="165"/>
        <v>207.8466963517092</v>
      </c>
    </row>
    <row r="2629" spans="1:21" x14ac:dyDescent="0.25">
      <c r="A2629">
        <v>4282177</v>
      </c>
      <c r="B2629">
        <v>29</v>
      </c>
      <c r="C2629" s="1">
        <f>7.18614558802038*(10.3/7.3)</f>
        <v>10.1393561036452</v>
      </c>
      <c r="D2629" s="1">
        <f>9.71057144545814*(10.3/7.3)</f>
        <v>13.701217244961486</v>
      </c>
      <c r="E2629" s="1">
        <f>34.2986447612124*(10.3/7.3)</f>
        <v>48.39397822472435</v>
      </c>
      <c r="F2629" s="1">
        <f>64.6273105105351*(38.9/42.5)</f>
        <v>59.152997149642687</v>
      </c>
      <c r="G2629" s="1">
        <v>2.2318827667097683</v>
      </c>
      <c r="H2629" s="1">
        <v>7.9182923538555219</v>
      </c>
      <c r="I2629" s="1">
        <v>46.20665583705226</v>
      </c>
      <c r="J2629" s="1">
        <v>5.7249890361874008E-2</v>
      </c>
      <c r="K2629" s="1">
        <v>3.2767961821347664</v>
      </c>
      <c r="L2629" s="1">
        <v>5.8005408528219204</v>
      </c>
      <c r="M2629" s="1">
        <v>0.20998755151058013</v>
      </c>
      <c r="N2629" s="1">
        <v>3.573288639339836</v>
      </c>
      <c r="O2629" s="1">
        <v>0.18188689655172413</v>
      </c>
      <c r="P2629" s="1">
        <v>0.13019646178732519</v>
      </c>
      <c r="Q2629" s="1">
        <v>3.5669359285315969</v>
      </c>
      <c r="R2629" s="2">
        <f t="shared" si="163"/>
        <v>191.31131560912286</v>
      </c>
      <c r="S2629" s="2">
        <f t="shared" si="162"/>
        <v>3.4642425342839656</v>
      </c>
      <c r="T2629" s="2">
        <f t="shared" si="164"/>
        <v>9.7657039402240606</v>
      </c>
      <c r="U2629" s="2">
        <f t="shared" si="165"/>
        <v>204.54126208363087</v>
      </c>
    </row>
    <row r="2630" spans="1:21" x14ac:dyDescent="0.25">
      <c r="A2630">
        <v>4282185</v>
      </c>
      <c r="B2630">
        <v>69</v>
      </c>
      <c r="C2630" s="1">
        <f>7.71906838541722*(10.3/7.3)</f>
        <v>10.89128826983525</v>
      </c>
      <c r="D2630" s="1">
        <f>10.2701561667628*(10.3/7.3)</f>
        <v>14.49076829008999</v>
      </c>
      <c r="E2630" s="1">
        <f>36.2916988419777*(10.3/7.3)</f>
        <v>51.206095626352109</v>
      </c>
      <c r="F2630" s="1">
        <f>68.7450221095527*(38.9/42.5)</f>
        <v>62.921914354390637</v>
      </c>
      <c r="G2630" s="1">
        <v>2.383362740369833</v>
      </c>
      <c r="H2630" s="1">
        <v>7.4493330596676612</v>
      </c>
      <c r="I2630" s="1">
        <v>49.485953109251405</v>
      </c>
      <c r="J2630" s="1">
        <v>6.8418893278348047E-2</v>
      </c>
      <c r="K2630" s="1">
        <v>3.6520216096097475</v>
      </c>
      <c r="L2630" s="1">
        <v>6.7945551676911435</v>
      </c>
      <c r="M2630" s="1">
        <v>0.23222697748005522</v>
      </c>
      <c r="N2630" s="1">
        <v>3.3534356090742299</v>
      </c>
      <c r="O2630" s="1">
        <v>0.1990191304347825</v>
      </c>
      <c r="P2630" s="1">
        <v>0.14094888362274688</v>
      </c>
      <c r="Q2630" s="1">
        <v>3.8090272106367236</v>
      </c>
      <c r="R2630" s="2">
        <f t="shared" si="163"/>
        <v>202.63774266059357</v>
      </c>
      <c r="S2630" s="2">
        <f t="shared" si="162"/>
        <v>3.8613893865108424</v>
      </c>
      <c r="T2630" s="2">
        <f t="shared" si="164"/>
        <v>10.579236884680212</v>
      </c>
      <c r="U2630" s="2">
        <f t="shared" si="165"/>
        <v>217.07836893178461</v>
      </c>
    </row>
    <row r="2631" spans="1:21" x14ac:dyDescent="0.25">
      <c r="A2631">
        <v>4282193</v>
      </c>
      <c r="B2631">
        <v>52</v>
      </c>
      <c r="C2631" s="1">
        <f>7.87629707331604*(10.3/7.3)</f>
        <v>11.113131487007571</v>
      </c>
      <c r="D2631" s="1">
        <f>10.3491020016084*(10.3/7.3)</f>
        <v>14.60215761870772</v>
      </c>
      <c r="E2631" s="1">
        <f>36.5862686179172*(10.3/7.3)</f>
        <v>51.62172147459556</v>
      </c>
      <c r="F2631" s="1">
        <f>69.5024803082087*(38.9/42.5)</f>
        <v>63.615211387983969</v>
      </c>
      <c r="G2631" s="1">
        <v>2.4123410465619752</v>
      </c>
      <c r="H2631" s="1">
        <v>10.657152529669597</v>
      </c>
      <c r="I2631" s="1">
        <v>50.288460969036009</v>
      </c>
      <c r="J2631" s="1">
        <v>7.2900362150890227E-2</v>
      </c>
      <c r="K2631" s="1">
        <v>3.6179651100466397</v>
      </c>
      <c r="L2631" s="1">
        <v>6.7561432444118399</v>
      </c>
      <c r="M2631" s="1">
        <v>0.23024486159174529</v>
      </c>
      <c r="N2631" s="1">
        <v>3.1982908810846364</v>
      </c>
      <c r="O2631" s="1">
        <v>0.19606974358974355</v>
      </c>
      <c r="P2631" s="1">
        <v>0.1388659272617625</v>
      </c>
      <c r="Q2631" s="1">
        <v>3.8553395721310131</v>
      </c>
      <c r="R2631" s="2">
        <f t="shared" si="163"/>
        <v>208.16551608569341</v>
      </c>
      <c r="S2631" s="2">
        <f t="shared" si="162"/>
        <v>3.8297313994592925</v>
      </c>
      <c r="T2631" s="2">
        <f t="shared" si="164"/>
        <v>10.380748730677967</v>
      </c>
      <c r="U2631" s="2">
        <f t="shared" si="165"/>
        <v>222.37599621583067</v>
      </c>
    </row>
    <row r="2632" spans="1:21" x14ac:dyDescent="0.25">
      <c r="A2632">
        <v>4282201</v>
      </c>
      <c r="B2632">
        <v>57</v>
      </c>
      <c r="C2632" s="1">
        <f>8.70414336863801*(10.3/7.3)</f>
        <v>12.281188588626241</v>
      </c>
      <c r="D2632" s="1">
        <f>11.2322751751139*(10.3/7.3)</f>
        <v>15.848278671736024</v>
      </c>
      <c r="E2632" s="1">
        <f>39.7298289952649*(10.3/7.3)</f>
        <v>56.057155979620283</v>
      </c>
      <c r="F2632" s="1">
        <f>75.9653347295321*(38.9/42.5)</f>
        <v>69.530624023030541</v>
      </c>
      <c r="G2632" s="1">
        <v>2.6495450388425912</v>
      </c>
      <c r="H2632" s="1">
        <v>8.7781756962498587</v>
      </c>
      <c r="I2632" s="1">
        <v>55.402431608904074</v>
      </c>
      <c r="J2632" s="1">
        <v>8.3075229770929529E-2</v>
      </c>
      <c r="K2632" s="1">
        <v>3.8678447971797287</v>
      </c>
      <c r="L2632" s="1">
        <v>7.4639731113996994</v>
      </c>
      <c r="M2632" s="1">
        <v>0.24490219077417746</v>
      </c>
      <c r="N2632" s="1">
        <v>3.6714526944821007</v>
      </c>
      <c r="O2632" s="1">
        <v>0.20714947368421049</v>
      </c>
      <c r="P2632" s="1">
        <v>0.1453028836449958</v>
      </c>
      <c r="Q2632" s="1">
        <v>4.2344327104790302</v>
      </c>
      <c r="R2632" s="2">
        <f t="shared" si="163"/>
        <v>224.78183231748866</v>
      </c>
      <c r="S2632" s="2">
        <f t="shared" si="162"/>
        <v>4.096222910595654</v>
      </c>
      <c r="T2632" s="2">
        <f t="shared" si="164"/>
        <v>11.58747747034019</v>
      </c>
      <c r="U2632" s="2">
        <f t="shared" si="165"/>
        <v>240.46553269842451</v>
      </c>
    </row>
    <row r="2633" spans="1:21" x14ac:dyDescent="0.25">
      <c r="A2633">
        <v>4282209</v>
      </c>
      <c r="B2633">
        <v>41</v>
      </c>
      <c r="C2633" s="1">
        <f>8.26125208266588*(10.3/7.3)</f>
        <v>11.656287185131315</v>
      </c>
      <c r="D2633" s="1">
        <f>10.5239104609722*(10.3/7.3)</f>
        <v>14.848805170960771</v>
      </c>
      <c r="E2633" s="1">
        <f>37.2327027235727*(10.3/7.3)</f>
        <v>52.533813431890231</v>
      </c>
      <c r="F2633" s="1">
        <f>71.8325370932212*(38.9/42.5)</f>
        <v>65.74789865708955</v>
      </c>
      <c r="G2633" s="1">
        <v>2.5292296248518187</v>
      </c>
      <c r="H2633" s="1">
        <v>7.2071238420904375</v>
      </c>
      <c r="I2633" s="1">
        <v>52.735659436935769</v>
      </c>
      <c r="J2633" s="1">
        <v>8.406904365014907E-2</v>
      </c>
      <c r="K2633" s="1">
        <v>3.7317424014824594</v>
      </c>
      <c r="L2633" s="1">
        <v>7.1344609668927816</v>
      </c>
      <c r="M2633" s="1">
        <v>0.23480420813953287</v>
      </c>
      <c r="N2633" s="1">
        <v>4.279595916590619</v>
      </c>
      <c r="O2633" s="1">
        <v>0.19842731707317071</v>
      </c>
      <c r="P2633" s="1">
        <v>0.14022983019327187</v>
      </c>
      <c r="Q2633" s="1">
        <v>4.0421478022746005</v>
      </c>
      <c r="R2633" s="2">
        <f t="shared" si="163"/>
        <v>211.30096515122449</v>
      </c>
      <c r="S2633" s="2">
        <f t="shared" ref="S2633:S2696" si="166">J2633+K2633+P2633</f>
        <v>3.9560412753258807</v>
      </c>
      <c r="T2633" s="2">
        <f t="shared" si="164"/>
        <v>11.847288408696103</v>
      </c>
      <c r="U2633" s="2">
        <f t="shared" si="165"/>
        <v>227.10429483524646</v>
      </c>
    </row>
    <row r="2634" spans="1:21" x14ac:dyDescent="0.25">
      <c r="A2634">
        <v>4282217</v>
      </c>
      <c r="B2634">
        <v>29</v>
      </c>
      <c r="C2634" s="1">
        <f>6.44793232548556*(10.3/7.3)</f>
        <v>9.0977675277399008</v>
      </c>
      <c r="D2634" s="1">
        <f>8.21377772197289*(10.3/7.3)</f>
        <v>11.589302813194632</v>
      </c>
      <c r="E2634" s="1">
        <f>29.0223675816566*(10.3/7.3)</f>
        <v>40.94936795767989</v>
      </c>
      <c r="F2634" s="1">
        <f>57.87280532079*(38.9/42.5)</f>
        <v>52.970638281852509</v>
      </c>
      <c r="G2634" s="1">
        <v>2.1294715953973116</v>
      </c>
      <c r="H2634" s="1">
        <v>14.46932087387434</v>
      </c>
      <c r="I2634" s="1">
        <v>42.792044318177567</v>
      </c>
      <c r="J2634" s="1">
        <v>6.7481278842124043E-2</v>
      </c>
      <c r="K2634" s="1">
        <v>3.114062159180909</v>
      </c>
      <c r="L2634" s="1">
        <v>5.5362878845754588</v>
      </c>
      <c r="M2634" s="1">
        <v>0.19447263145425422</v>
      </c>
      <c r="N2634" s="1">
        <v>4.1894923425080499</v>
      </c>
      <c r="O2634" s="1">
        <v>0.16508321839080459</v>
      </c>
      <c r="P2634" s="1">
        <v>0.11988707825401099</v>
      </c>
      <c r="Q2634" s="1">
        <v>3.4032651067993616</v>
      </c>
      <c r="R2634" s="2">
        <f t="shared" ref="R2634:R2697" si="167">C2634+D2634+E2634+F2634+G2634+H2634+I2634+Q2634</f>
        <v>177.40117847471549</v>
      </c>
      <c r="S2634" s="2">
        <f t="shared" si="166"/>
        <v>3.3014305162770441</v>
      </c>
      <c r="T2634" s="2">
        <f t="shared" ref="T2634:T2697" si="168">L2634+M2634+N2634+O2634</f>
        <v>10.085336076928568</v>
      </c>
      <c r="U2634" s="2">
        <f t="shared" ref="U2634:U2697" si="169">R2634+S2634+T2634</f>
        <v>190.7879450679211</v>
      </c>
    </row>
    <row r="2635" spans="1:21" x14ac:dyDescent="0.25">
      <c r="A2635">
        <v>4282225</v>
      </c>
      <c r="B2635">
        <v>67</v>
      </c>
      <c r="C2635" s="1">
        <f>8.55548634888366*(10.3/7.3)</f>
        <v>12.071439642945444</v>
      </c>
      <c r="D2635" s="1">
        <f>10.5612916352237*(10.3/7.3)</f>
        <v>14.901548471616994</v>
      </c>
      <c r="E2635" s="1">
        <f>37.3829520541621*(10.3/7.3)</f>
        <v>52.745809062721918</v>
      </c>
      <c r="F2635" s="1">
        <f>73.8809316897054*(38.9/42.5)</f>
        <v>67.622782181871571</v>
      </c>
      <c r="G2635" s="1">
        <v>2.6679287444518773</v>
      </c>
      <c r="H2635" s="1">
        <v>6.3687769263735303</v>
      </c>
      <c r="I2635" s="1">
        <v>55.124387286343136</v>
      </c>
      <c r="J2635" s="1">
        <v>9.0022544285157755E-2</v>
      </c>
      <c r="K2635" s="1">
        <v>3.7431302300942133</v>
      </c>
      <c r="L2635" s="1">
        <v>7.1662788216286426</v>
      </c>
      <c r="M2635" s="1">
        <v>0.22920540847600979</v>
      </c>
      <c r="N2635" s="1">
        <v>3.6743906768856323</v>
      </c>
      <c r="O2635" s="1">
        <v>0.19420497512437815</v>
      </c>
      <c r="P2635" s="1">
        <v>0.13719159260765992</v>
      </c>
      <c r="Q2635" s="1">
        <v>4.2638130619093983</v>
      </c>
      <c r="R2635" s="2">
        <f t="shared" si="167"/>
        <v>215.76648537823385</v>
      </c>
      <c r="S2635" s="2">
        <f t="shared" si="166"/>
        <v>3.9703443669870309</v>
      </c>
      <c r="T2635" s="2">
        <f t="shared" si="168"/>
        <v>11.264079882114663</v>
      </c>
      <c r="U2635" s="2">
        <f t="shared" si="169"/>
        <v>231.00090962733555</v>
      </c>
    </row>
    <row r="2636" spans="1:21" x14ac:dyDescent="0.25">
      <c r="A2636">
        <v>4282233</v>
      </c>
      <c r="B2636">
        <v>60</v>
      </c>
      <c r="C2636" s="1">
        <f>8.27756585601931*(10.3/7.3)</f>
        <v>11.679305248903958</v>
      </c>
      <c r="D2636" s="1">
        <f>10.0907671624563*(10.3/7.3)</f>
        <v>14.237657777164303</v>
      </c>
      <c r="E2636" s="1">
        <f>35.7312773188298*(10.3/7.3)</f>
        <v>50.415363888211957</v>
      </c>
      <c r="F2636" s="1">
        <f>70.9592946126697*(38.9/42.5)</f>
        <v>64.948624951361182</v>
      </c>
      <c r="G2636" s="1">
        <v>2.5713411445778811</v>
      </c>
      <c r="H2636" s="1">
        <v>6.0412042071442809</v>
      </c>
      <c r="I2636" s="1">
        <v>53.229526452164059</v>
      </c>
      <c r="J2636" s="1">
        <v>8.2803433959736911E-2</v>
      </c>
      <c r="K2636" s="1">
        <v>3.5901467295938669</v>
      </c>
      <c r="L2636" s="1">
        <v>6.7795000007731625</v>
      </c>
      <c r="M2636" s="1">
        <v>0.21764812434266062</v>
      </c>
      <c r="N2636" s="1">
        <v>3.0324826390433066</v>
      </c>
      <c r="O2636" s="1">
        <v>0.18408088888888893</v>
      </c>
      <c r="P2636" s="1">
        <v>0.13124254211611602</v>
      </c>
      <c r="Q2636" s="1">
        <v>4.1094493178185356</v>
      </c>
      <c r="R2636" s="2">
        <f t="shared" si="167"/>
        <v>207.23247298734614</v>
      </c>
      <c r="S2636" s="2">
        <f t="shared" si="166"/>
        <v>3.8041927056697196</v>
      </c>
      <c r="T2636" s="2">
        <f t="shared" si="168"/>
        <v>10.213711653048019</v>
      </c>
      <c r="U2636" s="2">
        <f t="shared" si="169"/>
        <v>221.25037734606389</v>
      </c>
    </row>
    <row r="2637" spans="1:21" x14ac:dyDescent="0.25">
      <c r="A2637">
        <v>4282241</v>
      </c>
      <c r="B2637">
        <v>64</v>
      </c>
      <c r="C2637" s="1">
        <f>6.48468847885968*(10.3/7.3)</f>
        <v>9.1496289496239296</v>
      </c>
      <c r="D2637" s="1">
        <f>7.91907441803481*(10.3/7.3)</f>
        <v>11.173488562432679</v>
      </c>
      <c r="E2637" s="1">
        <f>28.0080813230276*(10.3/7.3)</f>
        <v>39.51825172975132</v>
      </c>
      <c r="F2637" s="1">
        <f>57.1850440755571*(38.9/42.5)</f>
        <v>52.341134459745206</v>
      </c>
      <c r="G2637" s="1">
        <v>2.1477094229835969</v>
      </c>
      <c r="H2637" s="1">
        <v>6.5349968477041873</v>
      </c>
      <c r="I2637" s="1">
        <v>43.100016599117744</v>
      </c>
      <c r="J2637" s="1">
        <v>6.1966819469595195E-2</v>
      </c>
      <c r="K2637" s="1">
        <v>3.145176536654489</v>
      </c>
      <c r="L2637" s="1">
        <v>5.7102638229640394</v>
      </c>
      <c r="M2637" s="1">
        <v>0.18712195906923426</v>
      </c>
      <c r="N2637" s="1">
        <v>2.5558614296450073</v>
      </c>
      <c r="O2637" s="1">
        <v>0.1598691666666667</v>
      </c>
      <c r="P2637" s="1">
        <v>0.11798584958139051</v>
      </c>
      <c r="Q2637" s="1">
        <v>3.4324123198368013</v>
      </c>
      <c r="R2637" s="2">
        <f t="shared" si="167"/>
        <v>167.39763889119547</v>
      </c>
      <c r="S2637" s="2">
        <f t="shared" si="166"/>
        <v>3.3251292057054749</v>
      </c>
      <c r="T2637" s="2">
        <f t="shared" si="168"/>
        <v>8.613116378344948</v>
      </c>
      <c r="U2637" s="2">
        <f t="shared" si="169"/>
        <v>179.3358844752459</v>
      </c>
    </row>
    <row r="2638" spans="1:21" x14ac:dyDescent="0.25">
      <c r="A2638">
        <v>4282249</v>
      </c>
      <c r="B2638">
        <v>18</v>
      </c>
      <c r="C2638" s="1">
        <f>6.74883339237262*(10.3/7.3)</f>
        <v>9.5223265673202775</v>
      </c>
      <c r="D2638" s="1">
        <f>8.14770816343281*(10.3/7.3)</f>
        <v>11.496081381281908</v>
      </c>
      <c r="E2638" s="1">
        <f>28.8446484510755*(10.3/7.3)</f>
        <v>40.698613567955853</v>
      </c>
      <c r="F2638" s="1">
        <f>58.2559203545176*(38.9/42.5)</f>
        <v>53.321301218605541</v>
      </c>
      <c r="G2638" s="1">
        <v>2.1527537754201163</v>
      </c>
      <c r="H2638" s="1">
        <v>7.1720218485181499</v>
      </c>
      <c r="I2638" s="1">
        <v>43.990020457653415</v>
      </c>
      <c r="J2638" s="1">
        <v>6.4036545235603093E-2</v>
      </c>
      <c r="K2638" s="1">
        <v>3.1378582965336963</v>
      </c>
      <c r="L2638" s="1">
        <v>5.7315504203136207</v>
      </c>
      <c r="M2638" s="1">
        <v>0.18556915628458526</v>
      </c>
      <c r="N2638" s="1">
        <v>2.4627644054131475</v>
      </c>
      <c r="O2638" s="1">
        <v>0.15830222222222223</v>
      </c>
      <c r="P2638" s="1">
        <v>0.11574803671259189</v>
      </c>
      <c r="Q2638" s="1">
        <v>3.4404740703061254</v>
      </c>
      <c r="R2638" s="2">
        <f t="shared" si="167"/>
        <v>171.79359288706138</v>
      </c>
      <c r="S2638" s="2">
        <f t="shared" si="166"/>
        <v>3.3176428784818914</v>
      </c>
      <c r="T2638" s="2">
        <f t="shared" si="168"/>
        <v>8.5381862042335754</v>
      </c>
      <c r="U2638" s="2">
        <f t="shared" si="169"/>
        <v>183.64942196977685</v>
      </c>
    </row>
    <row r="2639" spans="1:21" x14ac:dyDescent="0.25">
      <c r="A2639">
        <v>4282257</v>
      </c>
      <c r="B2639">
        <v>7</v>
      </c>
      <c r="C2639" s="1">
        <f>6.71121694395612*(10.3/7.3)</f>
        <v>9.4692513044860362</v>
      </c>
      <c r="D2639" s="1">
        <f>8.0160620759161*(10.3/7.3)</f>
        <v>11.310334161909015</v>
      </c>
      <c r="E2639" s="1">
        <f>28.3922745058205*(10.3/7.3)</f>
        <v>40.060332521911185</v>
      </c>
      <c r="F2639" s="1">
        <f>57.370261478284*(38.9/42.5)</f>
        <v>52.510662858946958</v>
      </c>
      <c r="G2639" s="1">
        <v>2.1161627943359598</v>
      </c>
      <c r="H2639" s="1">
        <v>6.6625071525472359</v>
      </c>
      <c r="I2639" s="1">
        <v>43.486613910739401</v>
      </c>
      <c r="J2639" s="1">
        <v>5.389111240453457E-2</v>
      </c>
      <c r="K2639" s="1">
        <v>3.0065060035067703</v>
      </c>
      <c r="L2639" s="1">
        <v>5.0060965879930563</v>
      </c>
      <c r="M2639" s="1">
        <v>0.16413405522959737</v>
      </c>
      <c r="N2639" s="1">
        <v>2.1585295162170337</v>
      </c>
      <c r="O2639" s="1">
        <v>0.14080761904761907</v>
      </c>
      <c r="P2639" s="1">
        <v>0.10429276161925891</v>
      </c>
      <c r="Q2639" s="1">
        <v>3.381995333413637</v>
      </c>
      <c r="R2639" s="2">
        <f t="shared" si="167"/>
        <v>168.99786003828945</v>
      </c>
      <c r="S2639" s="2">
        <f t="shared" si="166"/>
        <v>3.1646898775305639</v>
      </c>
      <c r="T2639" s="2">
        <f t="shared" si="168"/>
        <v>7.4695677784873062</v>
      </c>
      <c r="U2639" s="2">
        <f t="shared" si="169"/>
        <v>179.63211769430734</v>
      </c>
    </row>
    <row r="2640" spans="1:21" x14ac:dyDescent="0.25">
      <c r="A2640">
        <v>4282265</v>
      </c>
      <c r="B2640">
        <v>6</v>
      </c>
      <c r="C2640" s="1">
        <f>3.95563507886648*(10.3/7.3)</f>
        <v>5.581238535934899</v>
      </c>
      <c r="D2640" s="1">
        <f>4.74347851467955*(10.3/7.3)</f>
        <v>6.6928532467396407</v>
      </c>
      <c r="E2640" s="1">
        <f>16.7868593138059*(10.3/7.3)</f>
        <v>23.685568620849374</v>
      </c>
      <c r="F2640" s="1">
        <f>34.4777708507776*(38.9/42.5)</f>
        <v>31.557300849299939</v>
      </c>
      <c r="G2640" s="1">
        <v>1.2991629111250569</v>
      </c>
      <c r="H2640" s="1">
        <v>4.0689728451574139</v>
      </c>
      <c r="I2640" s="1">
        <v>26.176062954887808</v>
      </c>
      <c r="J2640" s="1">
        <v>3.6153510412752915E-2</v>
      </c>
      <c r="K2640" s="1">
        <v>2.2273317726975121</v>
      </c>
      <c r="L2640" s="1">
        <v>4.6820963184762237</v>
      </c>
      <c r="M2640" s="1">
        <v>0.12988871965810547</v>
      </c>
      <c r="N2640" s="1">
        <v>1.6320784608432284</v>
      </c>
      <c r="O2640" s="1">
        <v>0.10884444444444445</v>
      </c>
      <c r="P2640" s="1">
        <v>8.8112390520260306E-2</v>
      </c>
      <c r="Q2640" s="1">
        <v>2.0762877575058014</v>
      </c>
      <c r="R2640" s="2">
        <f t="shared" si="167"/>
        <v>101.13744772149992</v>
      </c>
      <c r="S2640" s="2">
        <f t="shared" si="166"/>
        <v>2.3515976736305255</v>
      </c>
      <c r="T2640" s="2">
        <f t="shared" si="168"/>
        <v>6.5529079434220021</v>
      </c>
      <c r="U2640" s="2">
        <f t="shared" si="169"/>
        <v>110.04195333855245</v>
      </c>
    </row>
    <row r="2641" spans="1:21" x14ac:dyDescent="0.25">
      <c r="A2641">
        <v>4282273</v>
      </c>
      <c r="B2641">
        <v>32</v>
      </c>
      <c r="C2641" s="1">
        <f>6.63330110925811*(10.3/7.3)</f>
        <v>9.3593152637477512</v>
      </c>
      <c r="D2641" s="1">
        <f>7.87230412354481*(10.3/7.3)</f>
        <v>11.107497598974184</v>
      </c>
      <c r="E2641" s="1">
        <f>27.7764100856198*(10.3/7.3)</f>
        <v>39.19137313450463</v>
      </c>
      <c r="F2641" s="1">
        <f>61.9397447935737*(38.9/42.5)</f>
        <v>56.693084058118011</v>
      </c>
      <c r="G2641" s="1">
        <v>2.5555307879529883</v>
      </c>
      <c r="H2641" s="1">
        <v>12.232846480559108</v>
      </c>
      <c r="I2641" s="1">
        <v>47.853073499115965</v>
      </c>
      <c r="J2641" s="1">
        <v>5.0655896854142547E-2</v>
      </c>
      <c r="K2641" s="1">
        <v>2.9960898135348986</v>
      </c>
      <c r="L2641" s="1">
        <v>5.99118717841489</v>
      </c>
      <c r="M2641" s="1">
        <v>0.17096244212549039</v>
      </c>
      <c r="N2641" s="1">
        <v>2.2070658624316031</v>
      </c>
      <c r="O2641" s="1">
        <v>0.14498166666666668</v>
      </c>
      <c r="P2641" s="1">
        <v>0.10914352719619325</v>
      </c>
      <c r="Q2641" s="1">
        <v>4.0841816245824054</v>
      </c>
      <c r="R2641" s="2">
        <f t="shared" si="167"/>
        <v>183.07690244755506</v>
      </c>
      <c r="S2641" s="2">
        <f t="shared" si="166"/>
        <v>3.1558892375852343</v>
      </c>
      <c r="T2641" s="2">
        <f t="shared" si="168"/>
        <v>8.5141971496386493</v>
      </c>
      <c r="U2641" s="2">
        <f t="shared" si="169"/>
        <v>194.74698883477893</v>
      </c>
    </row>
    <row r="2642" spans="1:21" x14ac:dyDescent="0.25">
      <c r="A2642">
        <v>4282281</v>
      </c>
      <c r="B2642">
        <v>9</v>
      </c>
      <c r="C2642" s="1">
        <f>4.31305772079105*(10.3/7.3)</f>
        <v>6.0855471950887488</v>
      </c>
      <c r="D2642" s="1">
        <f>5.08665365051773*(10.3/7.3)</f>
        <v>7.1770592603195418</v>
      </c>
      <c r="E2642" s="1">
        <f>17.9386943229197*(10.3/7.3)</f>
        <v>25.310760483023664</v>
      </c>
      <c r="F2642" s="1">
        <f>40.7253467799172*(38.9/42.5)</f>
        <v>37.275670346794762</v>
      </c>
      <c r="G2642" s="1">
        <v>1.7092084108098138</v>
      </c>
      <c r="H2642" s="1">
        <v>8.2028880197091958</v>
      </c>
      <c r="I2642" s="1">
        <v>31.614162889255397</v>
      </c>
      <c r="J2642" s="1">
        <v>3.7258157790882089E-2</v>
      </c>
      <c r="K2642" s="1">
        <v>2.3110888808872585</v>
      </c>
      <c r="L2642" s="1">
        <v>4.2508987558352498</v>
      </c>
      <c r="M2642" s="1">
        <v>0.12978312731618671</v>
      </c>
      <c r="N2642" s="1">
        <v>1.6873099263766578</v>
      </c>
      <c r="O2642" s="1">
        <v>0.10967703703703705</v>
      </c>
      <c r="P2642" s="1">
        <v>8.9779185487292204E-2</v>
      </c>
      <c r="Q2642" s="1">
        <v>2.7316116154494767</v>
      </c>
      <c r="R2642" s="2">
        <f t="shared" si="167"/>
        <v>120.10690822045059</v>
      </c>
      <c r="S2642" s="2">
        <f t="shared" si="166"/>
        <v>2.4381262241654329</v>
      </c>
      <c r="T2642" s="2">
        <f t="shared" si="168"/>
        <v>6.1776688465651315</v>
      </c>
      <c r="U2642" s="2">
        <f t="shared" si="169"/>
        <v>128.72270329118115</v>
      </c>
    </row>
    <row r="2643" spans="1:21" x14ac:dyDescent="0.25">
      <c r="A2643">
        <v>4282289</v>
      </c>
      <c r="B2643">
        <v>2</v>
      </c>
      <c r="C2643" s="1">
        <f>4.53654367903028*(10.3/7.3)</f>
        <v>6.4008766978098475</v>
      </c>
      <c r="D2643" s="1">
        <f>5.37249043198436*(10.3/7.3)</f>
        <v>7.5803632122519033</v>
      </c>
      <c r="E2643" s="1">
        <f>18.9142649055052*(10.3/7.3)</f>
        <v>26.687250483110102</v>
      </c>
      <c r="F2643" s="1">
        <f>44.3976082303946*(38.9/42.5)</f>
        <v>40.636869650878808</v>
      </c>
      <c r="G2643" s="1">
        <v>1.9259441917160172</v>
      </c>
      <c r="H2643" s="1">
        <v>8.4665762709570132</v>
      </c>
      <c r="I2643" s="1">
        <v>34.598084223980365</v>
      </c>
      <c r="J2643" s="1">
        <v>3.7934241589532222E-2</v>
      </c>
      <c r="K2643" s="1">
        <v>2.1100670898630161</v>
      </c>
      <c r="L2643" s="1">
        <v>4.5862242315451276</v>
      </c>
      <c r="M2643" s="1">
        <v>0.11751088563289577</v>
      </c>
      <c r="N2643" s="1">
        <v>1.4908873680877679</v>
      </c>
      <c r="O2643" s="1">
        <v>0.10002666666666667</v>
      </c>
      <c r="P2643" s="1">
        <v>8.2064558553660238E-2</v>
      </c>
      <c r="Q2643" s="1">
        <v>3.0779930004593914</v>
      </c>
      <c r="R2643" s="2">
        <f t="shared" si="167"/>
        <v>129.37395773116344</v>
      </c>
      <c r="S2643" s="2">
        <f t="shared" si="166"/>
        <v>2.2300658900062085</v>
      </c>
      <c r="T2643" s="2">
        <f t="shared" si="168"/>
        <v>6.2946491519324583</v>
      </c>
      <c r="U2643" s="2">
        <f t="shared" si="169"/>
        <v>137.89867277310211</v>
      </c>
    </row>
    <row r="2644" spans="1:21" x14ac:dyDescent="0.25">
      <c r="A2644">
        <v>429069</v>
      </c>
      <c r="B2644">
        <v>33</v>
      </c>
      <c r="C2644" s="1">
        <f>1.18275769380438*(10.3/7.3)</f>
        <v>1.668822499477409</v>
      </c>
      <c r="D2644" s="1">
        <f>1.82607259517927*(10.3/7.3)</f>
        <v>2.5765133877186943</v>
      </c>
      <c r="E2644" s="1">
        <f>6.27528043007764*(10.3/7.3)</f>
        <v>8.8541627986026921</v>
      </c>
      <c r="F2644" s="1">
        <f>18.9187451066391*(38.9/42.5)</f>
        <v>17.316216109370806</v>
      </c>
      <c r="G2644" s="1">
        <v>1.0168244021758821</v>
      </c>
      <c r="H2644" s="1">
        <v>4.9933627760807147</v>
      </c>
      <c r="I2644" s="1">
        <v>14.424649353433002</v>
      </c>
      <c r="J2644" s="1">
        <v>2.7456614275571743E-2</v>
      </c>
      <c r="K2644" s="1">
        <v>3.6242154770449941</v>
      </c>
      <c r="L2644" s="1">
        <v>1.4324839894911183</v>
      </c>
      <c r="M2644" s="1">
        <v>7.7469173971185676E-2</v>
      </c>
      <c r="N2644" s="1">
        <v>0.94780904410245237</v>
      </c>
      <c r="O2644" s="1">
        <v>7.5266262626262639E-2</v>
      </c>
      <c r="P2644" s="1">
        <v>6.3997019388186888E-2</v>
      </c>
      <c r="Q2644" s="1">
        <v>1.6250618299614568</v>
      </c>
      <c r="R2644" s="2">
        <f t="shared" si="167"/>
        <v>52.475613156820664</v>
      </c>
      <c r="S2644" s="2">
        <f t="shared" si="166"/>
        <v>3.7156691107087525</v>
      </c>
      <c r="T2644" s="2">
        <f t="shared" si="168"/>
        <v>2.5330284701910188</v>
      </c>
      <c r="U2644" s="2">
        <f t="shared" si="169"/>
        <v>58.724310737720437</v>
      </c>
    </row>
    <row r="2645" spans="1:21" x14ac:dyDescent="0.25">
      <c r="A2645">
        <v>429077</v>
      </c>
      <c r="B2645">
        <v>2</v>
      </c>
      <c r="C2645" s="1">
        <f>1.2500388355256*(10.3/7.3)</f>
        <v>1.7637534254676213</v>
      </c>
      <c r="D2645" s="1">
        <f>1.88745310598197*(10.3/7.3)</f>
        <v>2.663118765974557</v>
      </c>
      <c r="E2645" s="1">
        <f>6.43545162985757*(10.3/7.3)</f>
        <v>9.0801577791141135</v>
      </c>
      <c r="F2645" s="1">
        <f>22.292216788035*(38.9/42.5)</f>
        <v>20.403934895401481</v>
      </c>
      <c r="G2645" s="1">
        <v>1.283783969575607</v>
      </c>
      <c r="H2645" s="1">
        <v>4.6036273673265562</v>
      </c>
      <c r="I2645" s="1">
        <v>17.440929306277397</v>
      </c>
      <c r="J2645" s="1">
        <v>2.7996658390126807E-2</v>
      </c>
      <c r="K2645" s="1">
        <v>2.8836727451726825</v>
      </c>
      <c r="L2645" s="1">
        <v>1.2270952711971987</v>
      </c>
      <c r="M2645" s="1">
        <v>6.4364806146636366E-2</v>
      </c>
      <c r="N2645" s="1">
        <v>0.96257928454003117</v>
      </c>
      <c r="O2645" s="1">
        <v>6.637333333333334E-2</v>
      </c>
      <c r="P2645" s="1">
        <v>5.7255147163814087E-2</v>
      </c>
      <c r="Q2645" s="1">
        <v>2.0517095404176389</v>
      </c>
      <c r="R2645" s="2">
        <f t="shared" si="167"/>
        <v>59.291015049554979</v>
      </c>
      <c r="S2645" s="2">
        <f t="shared" si="166"/>
        <v>2.9689245507266233</v>
      </c>
      <c r="T2645" s="2">
        <f t="shared" si="168"/>
        <v>2.3204126952171999</v>
      </c>
      <c r="U2645" s="2">
        <f t="shared" si="169"/>
        <v>64.580352295498798</v>
      </c>
    </row>
    <row r="2646" spans="1:21" x14ac:dyDescent="0.25">
      <c r="A2646">
        <v>429117</v>
      </c>
      <c r="B2646">
        <v>8</v>
      </c>
      <c r="C2646" s="1">
        <f>1.05079335919242*(10.3/7.3)</f>
        <v>1.4826262465317674</v>
      </c>
      <c r="D2646" s="1">
        <f>2.31057712151667*(10.3/7.3)</f>
        <v>3.2601293632358428</v>
      </c>
      <c r="E2646" s="1">
        <f>7.69446794134647*(10.3/7.3)</f>
        <v>10.856578054228578</v>
      </c>
      <c r="F2646" s="1">
        <f>31.3672354859369*(38.9/42.5)</f>
        <v>28.710246127128102</v>
      </c>
      <c r="G2646" s="1">
        <v>1.9663139132833238</v>
      </c>
      <c r="H2646" s="1">
        <v>8.5131835892508168</v>
      </c>
      <c r="I2646" s="1">
        <v>23.976112764985956</v>
      </c>
      <c r="J2646" s="1">
        <v>2.1915086605093573E-2</v>
      </c>
      <c r="K2646" s="1">
        <v>2.7084011679060254</v>
      </c>
      <c r="L2646" s="1">
        <v>1.229673059288376</v>
      </c>
      <c r="M2646" s="1">
        <v>6.5771133708922527E-2</v>
      </c>
      <c r="N2646" s="1">
        <v>0.76143517842232944</v>
      </c>
      <c r="O2646" s="1">
        <v>6.6893333333333332E-2</v>
      </c>
      <c r="P2646" s="1">
        <v>5.8054450780606622E-2</v>
      </c>
      <c r="Q2646" s="1">
        <v>3.1425108203158176</v>
      </c>
      <c r="R2646" s="2">
        <f t="shared" si="167"/>
        <v>81.907700878960199</v>
      </c>
      <c r="S2646" s="2">
        <f t="shared" si="166"/>
        <v>2.7883707052917255</v>
      </c>
      <c r="T2646" s="2">
        <f t="shared" si="168"/>
        <v>2.1237727047529611</v>
      </c>
      <c r="U2646" s="2">
        <f t="shared" si="169"/>
        <v>86.819844289004891</v>
      </c>
    </row>
    <row r="2647" spans="1:21" x14ac:dyDescent="0.25">
      <c r="A2647">
        <v>429125</v>
      </c>
      <c r="B2647">
        <v>21</v>
      </c>
      <c r="C2647" s="1">
        <f>1.23130963746948*(10.3/7.3)</f>
        <v>1.737327296703512</v>
      </c>
      <c r="D2647" s="1">
        <f>2.28224085274437*(10.3/7.3)</f>
        <v>3.2201480525023274</v>
      </c>
      <c r="E2647" s="1">
        <f>7.73016433068373*(10.3/7.3)</f>
        <v>10.906944192608544</v>
      </c>
      <c r="F2647" s="1">
        <f>26.6245512078305*(38.9/42.5)</f>
        <v>24.369295105520191</v>
      </c>
      <c r="G2647" s="1">
        <v>1.5497476912887715</v>
      </c>
      <c r="H2647" s="1">
        <v>6.1874364178150429</v>
      </c>
      <c r="I2647" s="1">
        <v>20.174198184285167</v>
      </c>
      <c r="J2647" s="1">
        <v>2.4372154152175224E-2</v>
      </c>
      <c r="K2647" s="1">
        <v>2.8740951839209807</v>
      </c>
      <c r="L2647" s="1">
        <v>1.3557064067978308</v>
      </c>
      <c r="M2647" s="1">
        <v>7.2703187333071212E-2</v>
      </c>
      <c r="N2647" s="1">
        <v>0.81737816950963504</v>
      </c>
      <c r="O2647" s="1">
        <v>7.2787301587301581E-2</v>
      </c>
      <c r="P2647" s="1">
        <v>6.2303124346992901E-2</v>
      </c>
      <c r="Q2647" s="1">
        <v>2.4767657166715549</v>
      </c>
      <c r="R2647" s="2">
        <f t="shared" si="167"/>
        <v>70.621862657395113</v>
      </c>
      <c r="S2647" s="2">
        <f t="shared" si="166"/>
        <v>2.9607704624201485</v>
      </c>
      <c r="T2647" s="2">
        <f t="shared" si="168"/>
        <v>2.3185750652278387</v>
      </c>
      <c r="U2647" s="2">
        <f t="shared" si="169"/>
        <v>75.901208185043089</v>
      </c>
    </row>
    <row r="2648" spans="1:21" x14ac:dyDescent="0.25">
      <c r="A2648">
        <v>429133</v>
      </c>
      <c r="B2648">
        <v>22</v>
      </c>
      <c r="C2648" s="1">
        <f>1.09644303149937*(10.3/7.3)</f>
        <v>1.5470360581429401</v>
      </c>
      <c r="D2648" s="1">
        <f>1.78210169857859*(10.3/7.3)</f>
        <v>2.5144722596382789</v>
      </c>
      <c r="E2648" s="1">
        <f>6.12979017390042*(10.3/7.3)</f>
        <v>8.6488820261882591</v>
      </c>
      <c r="F2648" s="1">
        <f>17.6090057502184*(38.9/42.5)</f>
        <v>16.117419380788089</v>
      </c>
      <c r="G2648" s="1">
        <v>0.92424837622715228</v>
      </c>
      <c r="H2648" s="1">
        <v>5.695024946897723</v>
      </c>
      <c r="I2648" s="1">
        <v>13.179082030465322</v>
      </c>
      <c r="J2648" s="1">
        <v>2.2749744071428234E-2</v>
      </c>
      <c r="K2648" s="1">
        <v>2.5807225389385993</v>
      </c>
      <c r="L2648" s="1">
        <v>1.2207546527211712</v>
      </c>
      <c r="M2648" s="1">
        <v>6.5086015164648056E-2</v>
      </c>
      <c r="N2648" s="1">
        <v>0.75717056563373641</v>
      </c>
      <c r="O2648" s="1">
        <v>6.6249696969696958E-2</v>
      </c>
      <c r="P2648" s="1">
        <v>5.798309805924224E-2</v>
      </c>
      <c r="Q2648" s="1">
        <v>1.4771092770753591</v>
      </c>
      <c r="R2648" s="2">
        <f t="shared" si="167"/>
        <v>50.103274355423125</v>
      </c>
      <c r="S2648" s="2">
        <f t="shared" si="166"/>
        <v>2.6614553810692696</v>
      </c>
      <c r="T2648" s="2">
        <f t="shared" si="168"/>
        <v>2.1092609304892527</v>
      </c>
      <c r="U2648" s="2">
        <f t="shared" si="169"/>
        <v>54.873990666981641</v>
      </c>
    </row>
    <row r="2649" spans="1:21" x14ac:dyDescent="0.25">
      <c r="A2649">
        <v>429141</v>
      </c>
      <c r="B2649">
        <v>4</v>
      </c>
      <c r="C2649" s="1">
        <f>0.873254786327822*(10.3/7.3)</f>
        <v>1.2321266163255566</v>
      </c>
      <c r="D2649" s="1">
        <f>1.55870197129572*(10.3/7.3)</f>
        <v>2.1992644252528617</v>
      </c>
      <c r="E2649" s="1">
        <f>5.31699887866641*(10.3/7.3)</f>
        <v>7.5020669109950653</v>
      </c>
      <c r="F2649" s="1">
        <f>16.6897811068473*(38.9/42.5)</f>
        <v>15.27605847191438</v>
      </c>
      <c r="G2649" s="1">
        <v>0.9270282906087125</v>
      </c>
      <c r="H2649" s="1">
        <v>5.5466907627128617</v>
      </c>
      <c r="I2649" s="1">
        <v>12.501018907189072</v>
      </c>
      <c r="J2649" s="1">
        <v>2.5361628856894195E-2</v>
      </c>
      <c r="K2649" s="1">
        <v>2.1409643140257835</v>
      </c>
      <c r="L2649" s="1">
        <v>1.0227748906149967</v>
      </c>
      <c r="M2649" s="1">
        <v>5.5788671280024488E-2</v>
      </c>
      <c r="N2649" s="1">
        <v>0.70903460581874755</v>
      </c>
      <c r="O2649" s="1">
        <v>5.7439999999999998E-2</v>
      </c>
      <c r="P2649" s="1">
        <v>5.0885425396641273E-2</v>
      </c>
      <c r="Q2649" s="1">
        <v>1.4815520626166654</v>
      </c>
      <c r="R2649" s="2">
        <f t="shared" si="167"/>
        <v>46.665806447615175</v>
      </c>
      <c r="S2649" s="2">
        <f t="shared" si="166"/>
        <v>2.2172113682793189</v>
      </c>
      <c r="T2649" s="2">
        <f t="shared" si="168"/>
        <v>1.8450381677137686</v>
      </c>
      <c r="U2649" s="2">
        <f t="shared" si="169"/>
        <v>50.728055983608257</v>
      </c>
    </row>
    <row r="2650" spans="1:21" x14ac:dyDescent="0.25">
      <c r="A2650">
        <v>4293789</v>
      </c>
      <c r="B2650">
        <v>35</v>
      </c>
      <c r="C2650" s="1">
        <f>0.539617119568385*(10.3/7.3)</f>
        <v>0.76137757966498221</v>
      </c>
      <c r="D2650" s="1">
        <f>0.705464848750905*(10.3/7.3)</f>
        <v>0.99538190988141384</v>
      </c>
      <c r="E2650" s="1">
        <f>2.46899383813486*(10.3/7.3)</f>
        <v>3.4836488401080854</v>
      </c>
      <c r="F2650" s="1">
        <f>5.97562527417229*(38.9/42.5)</f>
        <v>5.4694546627129945</v>
      </c>
      <c r="G2650" s="1">
        <v>0.27059784130962655</v>
      </c>
      <c r="H2650" s="1">
        <v>1.3424635198559525</v>
      </c>
      <c r="I2650" s="1">
        <v>4.5512482499272124</v>
      </c>
      <c r="J2650" s="1">
        <v>3.1580831986652624E-2</v>
      </c>
      <c r="K2650" s="1">
        <v>3.142216478301417</v>
      </c>
      <c r="L2650" s="1">
        <v>2.3558477187558302</v>
      </c>
      <c r="M2650" s="1">
        <v>0.18030171767327072</v>
      </c>
      <c r="N2650" s="1">
        <v>1.094188699451158</v>
      </c>
      <c r="O2650" s="1">
        <v>1.142262857142857</v>
      </c>
      <c r="P2650" s="1">
        <v>0.32253023484404375</v>
      </c>
      <c r="Q2650" s="1">
        <v>0.43246230346287379</v>
      </c>
      <c r="R2650" s="2">
        <f t="shared" si="167"/>
        <v>17.30663490692314</v>
      </c>
      <c r="S2650" s="2">
        <f t="shared" si="166"/>
        <v>3.4963275451321132</v>
      </c>
      <c r="T2650" s="2">
        <f t="shared" si="168"/>
        <v>4.7726009930231159</v>
      </c>
      <c r="U2650" s="2">
        <f t="shared" si="169"/>
        <v>25.57556344507837</v>
      </c>
    </row>
    <row r="2651" spans="1:21" x14ac:dyDescent="0.25">
      <c r="A2651">
        <v>4294317</v>
      </c>
      <c r="B2651">
        <v>7</v>
      </c>
      <c r="C2651" s="1">
        <f>5.0600129107759*(10.3/7.3)</f>
        <v>7.1394702713687419</v>
      </c>
      <c r="D2651" s="1">
        <f>7.8019761154141*(10.3/7.3)</f>
        <v>11.008267669693867</v>
      </c>
      <c r="E2651" s="1">
        <f>27.4142683504328*(10.3/7.3)</f>
        <v>38.680406028692794</v>
      </c>
      <c r="F2651" s="1">
        <f>51.6761800962124*(38.9/42.5)</f>
        <v>47.298903664533213</v>
      </c>
      <c r="G2651" s="1">
        <v>1.837655783086616</v>
      </c>
      <c r="H2651" s="1">
        <v>5.3347084424422082</v>
      </c>
      <c r="I2651" s="1">
        <v>35.329856459407672</v>
      </c>
      <c r="J2651" s="1">
        <v>4.8630752089514416E-2</v>
      </c>
      <c r="K2651" s="1">
        <v>2.9432649653575353</v>
      </c>
      <c r="L2651" s="1">
        <v>4.4742982805831417</v>
      </c>
      <c r="M2651" s="1">
        <v>0.19008473644247686</v>
      </c>
      <c r="N2651" s="1">
        <v>3.6089003696172064</v>
      </c>
      <c r="O2651" s="1">
        <v>0.16825904761904761</v>
      </c>
      <c r="P2651" s="1">
        <v>0.12756071325570978</v>
      </c>
      <c r="Q2651" s="1">
        <v>2.9368928040197093</v>
      </c>
      <c r="R2651" s="2">
        <f t="shared" si="167"/>
        <v>149.56616112324483</v>
      </c>
      <c r="S2651" s="2">
        <f t="shared" si="166"/>
        <v>3.1194564307027597</v>
      </c>
      <c r="T2651" s="2">
        <f t="shared" si="168"/>
        <v>8.441542434261871</v>
      </c>
      <c r="U2651" s="2">
        <f t="shared" si="169"/>
        <v>161.12715998820946</v>
      </c>
    </row>
    <row r="2652" spans="1:21" x14ac:dyDescent="0.25">
      <c r="A2652">
        <v>4294349</v>
      </c>
      <c r="B2652">
        <v>2</v>
      </c>
      <c r="C2652" s="1">
        <f>8.94961689796404*(10.3/7.3)</f>
        <v>12.627541650551999</v>
      </c>
      <c r="D2652" s="1">
        <f>20.9148308867863*(10.3/7.3)</f>
        <v>29.509966867657358</v>
      </c>
      <c r="E2652" s="1">
        <f>73.1804072026848*(10.3/7.3)</f>
        <v>103.25454714899358</v>
      </c>
      <c r="F2652" s="1">
        <f>107.080592947059*(38.9/42.5)</f>
        <v>98.010236838601998</v>
      </c>
      <c r="G2652" s="1">
        <v>2.6485756196384336</v>
      </c>
      <c r="H2652" s="1">
        <v>8.7285849792032533</v>
      </c>
      <c r="I2652" s="1">
        <v>56.170123869269418</v>
      </c>
      <c r="J2652" s="1">
        <v>6.7479669351043742E-2</v>
      </c>
      <c r="K2652" s="1">
        <v>3.2185264716257809</v>
      </c>
      <c r="L2652" s="1">
        <v>5.3354206121625705</v>
      </c>
      <c r="M2652" s="1">
        <v>0.21532081168657391</v>
      </c>
      <c r="N2652" s="1">
        <v>4.4158316828421356</v>
      </c>
      <c r="O2652" s="1">
        <v>0.19202666666666668</v>
      </c>
      <c r="P2652" s="1">
        <v>0.1348690335764185</v>
      </c>
      <c r="Q2652" s="1">
        <v>4.2328834103810626</v>
      </c>
      <c r="R2652" s="2">
        <f t="shared" si="167"/>
        <v>315.18246038429709</v>
      </c>
      <c r="S2652" s="2">
        <f t="shared" si="166"/>
        <v>3.4208751745532431</v>
      </c>
      <c r="T2652" s="2">
        <f t="shared" si="168"/>
        <v>10.158599773357947</v>
      </c>
      <c r="U2652" s="2">
        <f t="shared" si="169"/>
        <v>328.76193533220828</v>
      </c>
    </row>
    <row r="2653" spans="1:21" x14ac:dyDescent="0.25">
      <c r="A2653">
        <v>4294357</v>
      </c>
      <c r="B2653">
        <v>63</v>
      </c>
      <c r="C2653" s="1">
        <f>10.799903613604*(10.3/7.3)</f>
        <v>15.238220167139936</v>
      </c>
      <c r="D2653" s="1">
        <f>18.4162346214522*(10.3/7.3)</f>
        <v>25.984550219309206</v>
      </c>
      <c r="E2653" s="1">
        <f>64.7363744534239*(10.3/7.3)</f>
        <v>91.340363954830963</v>
      </c>
      <c r="F2653" s="1">
        <f>109.198984205627*(38.9/42.5)</f>
        <v>99.949187896444755</v>
      </c>
      <c r="G2653" s="1">
        <v>3.3446217455024994</v>
      </c>
      <c r="H2653" s="1">
        <v>7.5902013964984612</v>
      </c>
      <c r="I2653" s="1">
        <v>69.34190710334164</v>
      </c>
      <c r="J2653" s="1">
        <v>8.6677202845070869E-2</v>
      </c>
      <c r="K2653" s="1">
        <v>4.0880189968722584</v>
      </c>
      <c r="L2653" s="1">
        <v>7.7264773600387242</v>
      </c>
      <c r="M2653" s="1">
        <v>0.28494755736890665</v>
      </c>
      <c r="N2653" s="1">
        <v>3.8515865528652284</v>
      </c>
      <c r="O2653" s="1">
        <v>0.24156444444444441</v>
      </c>
      <c r="P2653" s="1">
        <v>0.16186707604480821</v>
      </c>
      <c r="Q2653" s="1">
        <v>5.3452858946387005</v>
      </c>
      <c r="R2653" s="2">
        <f t="shared" si="167"/>
        <v>318.13433837770617</v>
      </c>
      <c r="S2653" s="2">
        <f t="shared" si="166"/>
        <v>4.3365632757621384</v>
      </c>
      <c r="T2653" s="2">
        <f t="shared" si="168"/>
        <v>12.104575914717303</v>
      </c>
      <c r="U2653" s="2">
        <f t="shared" si="169"/>
        <v>334.57547756818565</v>
      </c>
    </row>
    <row r="2654" spans="1:21" x14ac:dyDescent="0.25">
      <c r="A2654">
        <v>4294365</v>
      </c>
      <c r="B2654">
        <v>69</v>
      </c>
      <c r="C2654" s="1">
        <f>9.84837101844223*(10.3/7.3)</f>
        <v>13.895646779445888</v>
      </c>
      <c r="D2654" s="1">
        <f>15.0551808071026*(10.3/7.3)</f>
        <v>21.242241412761221</v>
      </c>
      <c r="E2654" s="1">
        <f>53.0257873187308*(10.3/7.3)</f>
        <v>74.817206764784558</v>
      </c>
      <c r="F2654" s="1">
        <f>94.4821153007202*(38.9/42.5)</f>
        <v>86.478924357600405</v>
      </c>
      <c r="G2654" s="1">
        <v>3.0882438530458418</v>
      </c>
      <c r="H2654" s="1">
        <v>7.7207861546474117</v>
      </c>
      <c r="I2654" s="1">
        <v>63.63466598691339</v>
      </c>
      <c r="J2654" s="1">
        <v>7.6026035179441148E-2</v>
      </c>
      <c r="K2654" s="1">
        <v>3.904585207010995</v>
      </c>
      <c r="L2654" s="1">
        <v>7.4496169844679834</v>
      </c>
      <c r="M2654" s="1">
        <v>0.27452371249509622</v>
      </c>
      <c r="N2654" s="1">
        <v>4.1498058621967528</v>
      </c>
      <c r="O2654" s="1">
        <v>0.23338125603864732</v>
      </c>
      <c r="P2654" s="1">
        <v>0.15817035016799069</v>
      </c>
      <c r="Q2654" s="1">
        <v>4.9355495368312585</v>
      </c>
      <c r="R2654" s="2">
        <f t="shared" si="167"/>
        <v>275.81326484602999</v>
      </c>
      <c r="S2654" s="2">
        <f t="shared" si="166"/>
        <v>4.138781592358427</v>
      </c>
      <c r="T2654" s="2">
        <f t="shared" si="168"/>
        <v>12.107327815198481</v>
      </c>
      <c r="U2654" s="2">
        <f t="shared" si="169"/>
        <v>292.0593742535869</v>
      </c>
    </row>
    <row r="2655" spans="1:21" x14ac:dyDescent="0.25">
      <c r="A2655">
        <v>4294373</v>
      </c>
      <c r="B2655">
        <v>57</v>
      </c>
      <c r="C2655" s="1">
        <f>7.73112347229162*(10.3/7.3)</f>
        <v>10.908297502000512</v>
      </c>
      <c r="D2655" s="1">
        <f>11.3913638444673*(10.3/7.3)</f>
        <v>16.072746246303151</v>
      </c>
      <c r="E2655" s="1">
        <f>40.1487974179921*(10.3/7.3)</f>
        <v>56.648303206208034</v>
      </c>
      <c r="F2655" s="1">
        <f>72.9766706321333*(38.9/42.5)</f>
        <v>66.795117355058508</v>
      </c>
      <c r="G2655" s="1">
        <v>2.4387951862261366</v>
      </c>
      <c r="H2655" s="1">
        <v>8.2490312537525607</v>
      </c>
      <c r="I2655" s="1">
        <v>50.10619466910557</v>
      </c>
      <c r="J2655" s="1">
        <v>6.1946606093802176E-2</v>
      </c>
      <c r="K2655" s="1">
        <v>3.4900648299147621</v>
      </c>
      <c r="L2655" s="1">
        <v>6.2542405454207861</v>
      </c>
      <c r="M2655" s="1">
        <v>0.23436982130995079</v>
      </c>
      <c r="N2655" s="1">
        <v>3.0905508895279135</v>
      </c>
      <c r="O2655" s="1">
        <v>0.2047990643274854</v>
      </c>
      <c r="P2655" s="1">
        <v>0.14279128650752893</v>
      </c>
      <c r="Q2655" s="1">
        <v>3.8976178775303603</v>
      </c>
      <c r="R2655" s="2">
        <f t="shared" si="167"/>
        <v>215.11610329618486</v>
      </c>
      <c r="S2655" s="2">
        <f t="shared" si="166"/>
        <v>3.6948027225160933</v>
      </c>
      <c r="T2655" s="2">
        <f t="shared" si="168"/>
        <v>9.7839603205861359</v>
      </c>
      <c r="U2655" s="2">
        <f t="shared" si="169"/>
        <v>228.59486633928711</v>
      </c>
    </row>
    <row r="2656" spans="1:21" x14ac:dyDescent="0.25">
      <c r="A2656">
        <v>4294381</v>
      </c>
      <c r="B2656">
        <v>65</v>
      </c>
      <c r="C2656" s="1">
        <f>9.69681232745138*(10.3/7.3)</f>
        <v>13.68180369489715</v>
      </c>
      <c r="D2656" s="1">
        <f>13.9261883307158*(10.3/7.3)</f>
        <v>19.649279425530501</v>
      </c>
      <c r="E2656" s="1">
        <f>49.1153264051598*(10.3/7.3)</f>
        <v>69.299707119609081</v>
      </c>
      <c r="F2656" s="1">
        <f>90.106545676635*(38.9/42.5)</f>
        <v>82.473991219320027</v>
      </c>
      <c r="G2656" s="1">
        <v>3.0354399097533036</v>
      </c>
      <c r="H2656" s="1">
        <v>7.2755735698530772</v>
      </c>
      <c r="I2656" s="1">
        <v>62.599956361986969</v>
      </c>
      <c r="J2656" s="1">
        <v>7.3499208761149321E-2</v>
      </c>
      <c r="K2656" s="1">
        <v>4.1400003586596394</v>
      </c>
      <c r="L2656" s="1">
        <v>7.7953929599175211</v>
      </c>
      <c r="M2656" s="1">
        <v>0.27535413813044834</v>
      </c>
      <c r="N2656" s="1">
        <v>3.7299872809737837</v>
      </c>
      <c r="O2656" s="1">
        <v>0.23463384615384622</v>
      </c>
      <c r="P2656" s="1">
        <v>0.15954375847101607</v>
      </c>
      <c r="Q2656" s="1">
        <v>4.8511596731217228</v>
      </c>
      <c r="R2656" s="2">
        <f t="shared" si="167"/>
        <v>262.86691097407186</v>
      </c>
      <c r="S2656" s="2">
        <f t="shared" si="166"/>
        <v>4.3730433258918051</v>
      </c>
      <c r="T2656" s="2">
        <f t="shared" si="168"/>
        <v>12.035368225175599</v>
      </c>
      <c r="U2656" s="2">
        <f t="shared" si="169"/>
        <v>279.27532252513925</v>
      </c>
    </row>
    <row r="2657" spans="1:21" x14ac:dyDescent="0.25">
      <c r="A2657">
        <v>4294389</v>
      </c>
      <c r="B2657">
        <v>41</v>
      </c>
      <c r="C2657" s="1">
        <f>4.64858024994241*(10.3/7.3)</f>
        <v>6.5589556951242223</v>
      </c>
      <c r="D2657" s="1">
        <f>6.53471601133603*(10.3/7.3)</f>
        <v>9.2202157420220772</v>
      </c>
      <c r="E2657" s="1">
        <f>23.0568391534678*(10.3/7.3)</f>
        <v>32.532252504208031</v>
      </c>
      <c r="F2657" s="1">
        <f>42.7878843394061*(38.9/42.5)</f>
        <v>39.16349884242112</v>
      </c>
      <c r="G2657" s="1">
        <v>1.4587924862153361</v>
      </c>
      <c r="H2657" s="1">
        <v>4.5143658014621799</v>
      </c>
      <c r="I2657" s="1">
        <v>30.048019485012741</v>
      </c>
      <c r="J2657" s="1">
        <v>4.3657185037499567E-2</v>
      </c>
      <c r="K2657" s="1">
        <v>2.79045706179769</v>
      </c>
      <c r="L2657" s="1">
        <v>4.5914782488380892</v>
      </c>
      <c r="M2657" s="1">
        <v>0.17721059699492134</v>
      </c>
      <c r="N2657" s="1">
        <v>2.3762045847135629</v>
      </c>
      <c r="O2657" s="1">
        <v>0.15553430894308948</v>
      </c>
      <c r="P2657" s="1">
        <v>0.11778111591263893</v>
      </c>
      <c r="Q2657" s="1">
        <v>2.3314035167825033</v>
      </c>
      <c r="R2657" s="2">
        <f t="shared" si="167"/>
        <v>125.82750407324821</v>
      </c>
      <c r="S2657" s="2">
        <f t="shared" si="166"/>
        <v>2.9518953627478286</v>
      </c>
      <c r="T2657" s="2">
        <f t="shared" si="168"/>
        <v>7.3004277394896633</v>
      </c>
      <c r="U2657" s="2">
        <f t="shared" si="169"/>
        <v>136.07982717548569</v>
      </c>
    </row>
    <row r="2658" spans="1:21" x14ac:dyDescent="0.25">
      <c r="A2658">
        <v>4294397</v>
      </c>
      <c r="B2658">
        <v>36</v>
      </c>
      <c r="C2658" s="1">
        <f>8.42309725674598*(10.3/7.3)</f>
        <v>11.884644074586799</v>
      </c>
      <c r="D2658" s="1">
        <f>11.6822600433523*(10.3/7.3)</f>
        <v>16.483188828291606</v>
      </c>
      <c r="E2658" s="1">
        <f>41.2345106885521*(10.3/7.3)</f>
        <v>58.180200012614598</v>
      </c>
      <c r="F2658" s="1">
        <f>76.8867672305865*(38.9/42.5)</f>
        <v>70.374005771054428</v>
      </c>
      <c r="G2658" s="1">
        <v>2.6313786249213162</v>
      </c>
      <c r="H2658" s="1">
        <v>11.513267275820336</v>
      </c>
      <c r="I2658" s="1">
        <v>54.321088579213189</v>
      </c>
      <c r="J2658" s="1">
        <v>7.0237751793235673E-2</v>
      </c>
      <c r="K2658" s="1">
        <v>3.8367540817648669</v>
      </c>
      <c r="L2658" s="1">
        <v>7.0135710158161304</v>
      </c>
      <c r="M2658" s="1">
        <v>0.24901839366474279</v>
      </c>
      <c r="N2658" s="1">
        <v>3.6525501156274154</v>
      </c>
      <c r="O2658" s="1">
        <v>0.21403111111111109</v>
      </c>
      <c r="P2658" s="1">
        <v>0.14861288205073878</v>
      </c>
      <c r="Q2658" s="1">
        <v>4.2053996288696887</v>
      </c>
      <c r="R2658" s="2">
        <f t="shared" si="167"/>
        <v>229.59317279537194</v>
      </c>
      <c r="S2658" s="2">
        <f t="shared" si="166"/>
        <v>4.0556047156088413</v>
      </c>
      <c r="T2658" s="2">
        <f t="shared" si="168"/>
        <v>11.129170636219401</v>
      </c>
      <c r="U2658" s="2">
        <f t="shared" si="169"/>
        <v>244.77794814720019</v>
      </c>
    </row>
    <row r="2659" spans="1:21" x14ac:dyDescent="0.25">
      <c r="A2659">
        <v>4294405</v>
      </c>
      <c r="B2659">
        <v>61</v>
      </c>
      <c r="C2659" s="1">
        <f>7.73580629341917*(10.3/7.3)</f>
        <v>10.914904770166769</v>
      </c>
      <c r="D2659" s="1">
        <f>10.5664091925768*(10.3/7.3)</f>
        <v>14.908769134731642</v>
      </c>
      <c r="E2659" s="1">
        <f>37.3104741574421*(10.3/7.3)</f>
        <v>52.643545728993651</v>
      </c>
      <c r="F2659" s="1">
        <f>70.017608697759*(38.9/42.5)</f>
        <v>64.0867053727724</v>
      </c>
      <c r="G2659" s="1">
        <v>2.4100378584990514</v>
      </c>
      <c r="H2659" s="1">
        <v>9.0583536108410456</v>
      </c>
      <c r="I2659" s="1">
        <v>49.819081930886298</v>
      </c>
      <c r="J2659" s="1">
        <v>6.1219969959104018E-2</v>
      </c>
      <c r="K2659" s="1">
        <v>3.4948433493195226</v>
      </c>
      <c r="L2659" s="1">
        <v>6.2592999062857304</v>
      </c>
      <c r="M2659" s="1">
        <v>0.22836898534782674</v>
      </c>
      <c r="N2659" s="1">
        <v>4.9764570629549043</v>
      </c>
      <c r="O2659" s="1">
        <v>0.19599387978142077</v>
      </c>
      <c r="P2659" s="1">
        <v>0.13736048046465918</v>
      </c>
      <c r="Q2659" s="1">
        <v>3.8516586779665234</v>
      </c>
      <c r="R2659" s="2">
        <f t="shared" si="167"/>
        <v>207.69305708485737</v>
      </c>
      <c r="S2659" s="2">
        <f t="shared" si="166"/>
        <v>3.6934237997432859</v>
      </c>
      <c r="T2659" s="2">
        <f t="shared" si="168"/>
        <v>11.660119834369882</v>
      </c>
      <c r="U2659" s="2">
        <f t="shared" si="169"/>
        <v>223.04660071897052</v>
      </c>
    </row>
    <row r="2660" spans="1:21" x14ac:dyDescent="0.25">
      <c r="A2660">
        <v>4294413</v>
      </c>
      <c r="B2660">
        <v>62</v>
      </c>
      <c r="C2660" s="1">
        <f>6.76209551023939*(10.3/7.3)</f>
        <v>9.5410388706117431</v>
      </c>
      <c r="D2660" s="1">
        <f>9.0886585129498*(10.3/7.3)</f>
        <v>12.823723655257936</v>
      </c>
      <c r="E2660" s="1">
        <f>32.1041403929391*(10.3/7.3)</f>
        <v>45.297622746201739</v>
      </c>
      <c r="F2660" s="1">
        <f>60.7481840321102*(38.9/42.5)</f>
        <v>55.602455502331424</v>
      </c>
      <c r="G2660" s="1">
        <v>2.1079475618685679</v>
      </c>
      <c r="H2660" s="1">
        <v>9.0899576185751307</v>
      </c>
      <c r="I2660" s="1">
        <v>43.561581005532084</v>
      </c>
      <c r="J2660" s="1">
        <v>5.9983160209903852E-2</v>
      </c>
      <c r="K2660" s="1">
        <v>3.3991317180378666</v>
      </c>
      <c r="L2660" s="1">
        <v>6.0346165089211397</v>
      </c>
      <c r="M2660" s="1">
        <v>0.21600871202693389</v>
      </c>
      <c r="N2660" s="1">
        <v>3.1600625389205765</v>
      </c>
      <c r="O2660" s="1">
        <v>0.1879733333333333</v>
      </c>
      <c r="P2660" s="1">
        <v>0.13432893920980191</v>
      </c>
      <c r="Q2660" s="1">
        <v>3.3688659664566201</v>
      </c>
      <c r="R2660" s="2">
        <f t="shared" si="167"/>
        <v>181.39319292683524</v>
      </c>
      <c r="S2660" s="2">
        <f t="shared" si="166"/>
        <v>3.5934438174575725</v>
      </c>
      <c r="T2660" s="2">
        <f t="shared" si="168"/>
        <v>9.5986610932019847</v>
      </c>
      <c r="U2660" s="2">
        <f t="shared" si="169"/>
        <v>194.58529783749481</v>
      </c>
    </row>
    <row r="2661" spans="1:21" x14ac:dyDescent="0.25">
      <c r="A2661">
        <v>4294421</v>
      </c>
      <c r="B2661">
        <v>61</v>
      </c>
      <c r="C2661" s="1">
        <f>7.55337558717396*(10.3/7.3)</f>
        <v>10.657502540807101</v>
      </c>
      <c r="D2661" s="1">
        <f>10.0181658191722*(10.3/7.3)</f>
        <v>14.135220265407314</v>
      </c>
      <c r="E2661" s="1">
        <f>35.4026038224337*(10.3/7.3)</f>
        <v>49.951619091926943</v>
      </c>
      <c r="F2661" s="1">
        <f>67.230678548889*(38.9/42.5)</f>
        <v>61.535844601218407</v>
      </c>
      <c r="G2661" s="1">
        <v>2.337517031954961</v>
      </c>
      <c r="H2661" s="1">
        <v>8.5895133119741907</v>
      </c>
      <c r="I2661" s="1">
        <v>48.479515948391949</v>
      </c>
      <c r="J2661" s="1">
        <v>6.6967215546462941E-2</v>
      </c>
      <c r="K2661" s="1">
        <v>3.5855503005831104</v>
      </c>
      <c r="L2661" s="1">
        <v>6.5916308238100587</v>
      </c>
      <c r="M2661" s="1">
        <v>0.22928877549366106</v>
      </c>
      <c r="N2661" s="1">
        <v>3.1759194647030964</v>
      </c>
      <c r="O2661" s="1">
        <v>0.1959930054644809</v>
      </c>
      <c r="P2661" s="1">
        <v>0.13891630551172968</v>
      </c>
      <c r="Q2661" s="1">
        <v>3.7357578136266532</v>
      </c>
      <c r="R2661" s="2">
        <f t="shared" si="167"/>
        <v>199.42249060530753</v>
      </c>
      <c r="S2661" s="2">
        <f t="shared" si="166"/>
        <v>3.791433821641303</v>
      </c>
      <c r="T2661" s="2">
        <f t="shared" si="168"/>
        <v>10.192832069471295</v>
      </c>
      <c r="U2661" s="2">
        <f t="shared" si="169"/>
        <v>213.40675649642014</v>
      </c>
    </row>
    <row r="2662" spans="1:21" x14ac:dyDescent="0.25">
      <c r="A2662">
        <v>4294429</v>
      </c>
      <c r="B2662">
        <v>62</v>
      </c>
      <c r="C2662" s="1">
        <f>8.75817986826183*(10.3/7.3)</f>
        <v>12.357431868917383</v>
      </c>
      <c r="D2662" s="1">
        <f>11.4172753567695*(10.3/7.3)</f>
        <v>16.109306325304978</v>
      </c>
      <c r="E2662" s="1">
        <f>40.3678680643095*(10.3/7.3)</f>
        <v>56.957402885258631</v>
      </c>
      <c r="F2662" s="1">
        <f>77.1090576108071*(38.9/42.5)</f>
        <v>70.577466848479887</v>
      </c>
      <c r="G2662" s="1">
        <v>2.6921858214815866</v>
      </c>
      <c r="H2662" s="1">
        <v>8.7352489724030615</v>
      </c>
      <c r="I2662" s="1">
        <v>56.02139390985127</v>
      </c>
      <c r="J2662" s="1">
        <v>8.2296663116169164E-2</v>
      </c>
      <c r="K2662" s="1">
        <v>3.938981705515419</v>
      </c>
      <c r="L2662" s="1">
        <v>7.5516446045179579</v>
      </c>
      <c r="M2662" s="1">
        <v>0.25074752759547375</v>
      </c>
      <c r="N2662" s="1">
        <v>3.7309410207961635</v>
      </c>
      <c r="O2662" s="1">
        <v>0.21159397849462366</v>
      </c>
      <c r="P2662" s="1">
        <v>0.14751270537786407</v>
      </c>
      <c r="Q2662" s="1">
        <v>4.3025800799934055</v>
      </c>
      <c r="R2662" s="2">
        <f t="shared" si="167"/>
        <v>227.75301671169024</v>
      </c>
      <c r="S2662" s="2">
        <f t="shared" si="166"/>
        <v>4.1687910740094525</v>
      </c>
      <c r="T2662" s="2">
        <f t="shared" si="168"/>
        <v>11.744927131404218</v>
      </c>
      <c r="U2662" s="2">
        <f t="shared" si="169"/>
        <v>243.66673491710389</v>
      </c>
    </row>
    <row r="2663" spans="1:21" x14ac:dyDescent="0.25">
      <c r="A2663">
        <v>4294437</v>
      </c>
      <c r="B2663">
        <v>56</v>
      </c>
      <c r="C2663" s="1">
        <f>8.5666877751762*(10.3/7.3)</f>
        <v>12.087244395111631</v>
      </c>
      <c r="D2663" s="1">
        <f>10.9916585111716*(10.3/7.3)</f>
        <v>15.508778447269469</v>
      </c>
      <c r="E2663" s="1">
        <f>38.8817744469886*(10.3/7.3)</f>
        <v>54.860585863559244</v>
      </c>
      <c r="F2663" s="1">
        <f>74.684090234834*(38.9/42.5)</f>
        <v>68.357908473765747</v>
      </c>
      <c r="G2663" s="1">
        <v>2.618015721252172</v>
      </c>
      <c r="H2663" s="1">
        <v>6.9766416775210365</v>
      </c>
      <c r="I2663" s="1">
        <v>54.635796290537314</v>
      </c>
      <c r="J2663" s="1">
        <v>7.8556552759262294E-2</v>
      </c>
      <c r="K2663" s="1">
        <v>3.7653438389080836</v>
      </c>
      <c r="L2663" s="1">
        <v>7.1718228004902418</v>
      </c>
      <c r="M2663" s="1">
        <v>0.23905439524937097</v>
      </c>
      <c r="N2663" s="1">
        <v>4.3487524644635958</v>
      </c>
      <c r="O2663" s="1">
        <v>0.20228476190476188</v>
      </c>
      <c r="P2663" s="1">
        <v>0.14223830508090105</v>
      </c>
      <c r="Q2663" s="1">
        <v>4.1840433901290455</v>
      </c>
      <c r="R2663" s="2">
        <f t="shared" si="167"/>
        <v>219.22901425914563</v>
      </c>
      <c r="S2663" s="2">
        <f t="shared" si="166"/>
        <v>3.9861386967482466</v>
      </c>
      <c r="T2663" s="2">
        <f t="shared" si="168"/>
        <v>11.961914422107972</v>
      </c>
      <c r="U2663" s="2">
        <f t="shared" si="169"/>
        <v>235.17706737800185</v>
      </c>
    </row>
    <row r="2664" spans="1:21" x14ac:dyDescent="0.25">
      <c r="A2664">
        <v>4294445</v>
      </c>
      <c r="B2664">
        <v>37</v>
      </c>
      <c r="C2664" s="1">
        <f>6.4393020510147*(10.3/7.3)</f>
        <v>9.0855905651303264</v>
      </c>
      <c r="D2664" s="1">
        <f>8.18637287511082*(10.3/7.3)</f>
        <v>11.550635700498834</v>
      </c>
      <c r="E2664" s="1">
        <f>28.9632492441865*(10.3/7.3)</f>
        <v>40.865954413030217</v>
      </c>
      <c r="F2664" s="1">
        <f>55.9813116766257*(38.9/42.5)</f>
        <v>51.23936527578212</v>
      </c>
      <c r="G2664" s="1">
        <v>1.9751838700647908</v>
      </c>
      <c r="H2664" s="1">
        <v>7.6316618269561305</v>
      </c>
      <c r="I2664" s="1">
        <v>41.144675073654504</v>
      </c>
      <c r="J2664" s="1">
        <v>6.4081551228607564E-2</v>
      </c>
      <c r="K2664" s="1">
        <v>3.1276071305213624</v>
      </c>
      <c r="L2664" s="1">
        <v>5.5461057419839328</v>
      </c>
      <c r="M2664" s="1">
        <v>0.19682740042728669</v>
      </c>
      <c r="N2664" s="1">
        <v>4.7517101101461918</v>
      </c>
      <c r="O2664" s="1">
        <v>0.16734846846846846</v>
      </c>
      <c r="P2664" s="1">
        <v>0.12127205470671938</v>
      </c>
      <c r="Q2664" s="1">
        <v>3.1566865503318606</v>
      </c>
      <c r="R2664" s="2">
        <f t="shared" si="167"/>
        <v>166.6497532754488</v>
      </c>
      <c r="S2664" s="2">
        <f t="shared" si="166"/>
        <v>3.3129607364566893</v>
      </c>
      <c r="T2664" s="2">
        <f t="shared" si="168"/>
        <v>10.661991721025879</v>
      </c>
      <c r="U2664" s="2">
        <f t="shared" si="169"/>
        <v>180.62470573293137</v>
      </c>
    </row>
    <row r="2665" spans="1:21" x14ac:dyDescent="0.25">
      <c r="A2665">
        <v>4294453</v>
      </c>
      <c r="B2665">
        <v>64</v>
      </c>
      <c r="C2665" s="1">
        <f>8.88402321603776*(10.3/7.3)</f>
        <v>12.534991660984787</v>
      </c>
      <c r="D2665" s="1">
        <f>11.1119699933183*(10.3/7.3)</f>
        <v>15.678533004271078</v>
      </c>
      <c r="E2665" s="1">
        <f>39.3008410445232*(10.3/7.3)</f>
        <v>55.451871610765622</v>
      </c>
      <c r="F2665" s="1">
        <f>78.0674929209936*(38.9/42.5)</f>
        <v>71.454717050038852</v>
      </c>
      <c r="G2665" s="1">
        <v>2.8466186100348585</v>
      </c>
      <c r="H2665" s="1">
        <v>7.4492455834696605</v>
      </c>
      <c r="I2665" s="1">
        <v>58.041718096538318</v>
      </c>
      <c r="J2665" s="1">
        <v>8.8561364218196117E-2</v>
      </c>
      <c r="K2665" s="1">
        <v>3.8931059447074481</v>
      </c>
      <c r="L2665" s="1">
        <v>7.5104180800538298</v>
      </c>
      <c r="M2665" s="1">
        <v>0.24144033000751589</v>
      </c>
      <c r="N2665" s="1">
        <v>3.9120533646143469</v>
      </c>
      <c r="O2665" s="1">
        <v>0.20297249999999994</v>
      </c>
      <c r="P2665" s="1">
        <v>0.14252205548309937</v>
      </c>
      <c r="Q2665" s="1">
        <v>4.5493904726584535</v>
      </c>
      <c r="R2665" s="2">
        <f t="shared" si="167"/>
        <v>228.00708608876161</v>
      </c>
      <c r="S2665" s="2">
        <f t="shared" si="166"/>
        <v>4.1241893644087435</v>
      </c>
      <c r="T2665" s="2">
        <f t="shared" si="168"/>
        <v>11.866884274675693</v>
      </c>
      <c r="U2665" s="2">
        <f t="shared" si="169"/>
        <v>243.99815972784606</v>
      </c>
    </row>
    <row r="2666" spans="1:21" x14ac:dyDescent="0.25">
      <c r="A2666">
        <v>4294461</v>
      </c>
      <c r="B2666">
        <v>65</v>
      </c>
      <c r="C2666" s="1">
        <f>9.14269651075021*(10.3/7.3)</f>
        <v>12.899969049414686</v>
      </c>
      <c r="D2666" s="1">
        <f>11.2208324798948*(10.3/7.3)</f>
        <v>15.832133499029627</v>
      </c>
      <c r="E2666" s="1">
        <f>39.7268417599132*(10.3/7.3)</f>
        <v>56.052941113302232</v>
      </c>
      <c r="F2666" s="1">
        <f>78.5733549032007*(38.9/42.5)</f>
        <v>71.917729546694261</v>
      </c>
      <c r="G2666" s="1">
        <v>2.8364160475761455</v>
      </c>
      <c r="H2666" s="1">
        <v>6.4955421216738376</v>
      </c>
      <c r="I2666" s="1">
        <v>58.754290556641735</v>
      </c>
      <c r="J2666" s="1">
        <v>8.6384317130492036E-2</v>
      </c>
      <c r="K2666" s="1">
        <v>3.8751026530109782</v>
      </c>
      <c r="L2666" s="1">
        <v>7.46850589185056</v>
      </c>
      <c r="M2666" s="1">
        <v>0.23720795914994924</v>
      </c>
      <c r="N2666" s="1">
        <v>3.3785520266265889</v>
      </c>
      <c r="O2666" s="1">
        <v>0.19998687179487182</v>
      </c>
      <c r="P2666" s="1">
        <v>0.1404185405246566</v>
      </c>
      <c r="Q2666" s="1">
        <v>4.5330850075417883</v>
      </c>
      <c r="R2666" s="2">
        <f t="shared" si="167"/>
        <v>229.32210694187432</v>
      </c>
      <c r="S2666" s="2">
        <f t="shared" si="166"/>
        <v>4.1019055106661266</v>
      </c>
      <c r="T2666" s="2">
        <f t="shared" si="168"/>
        <v>11.28425274942197</v>
      </c>
      <c r="U2666" s="2">
        <f t="shared" si="169"/>
        <v>244.7082652019624</v>
      </c>
    </row>
    <row r="2667" spans="1:21" x14ac:dyDescent="0.25">
      <c r="A2667">
        <v>4294469</v>
      </c>
      <c r="B2667">
        <v>64</v>
      </c>
      <c r="C2667" s="1">
        <f>8.24246224167534*(10.3/7.3)</f>
        <v>11.62977549167891</v>
      </c>
      <c r="D2667" s="1">
        <f>10.0127571711957*(10.3/7.3)</f>
        <v>14.127588885385659</v>
      </c>
      <c r="E2667" s="1">
        <f>35.4490257115236*(10.3/7.3)</f>
        <v>50.017118469683965</v>
      </c>
      <c r="F2667" s="1">
        <f>70.9931998565884*(38.9/42.5)</f>
        <v>64.979658221677383</v>
      </c>
      <c r="G2667" s="1">
        <v>2.5988678852335059</v>
      </c>
      <c r="H2667" s="1">
        <v>6.0771114368988588</v>
      </c>
      <c r="I2667" s="1">
        <v>53.407318802015133</v>
      </c>
      <c r="J2667" s="1">
        <v>7.5145149538576136E-2</v>
      </c>
      <c r="K2667" s="1">
        <v>3.6103637469597554</v>
      </c>
      <c r="L2667" s="1">
        <v>6.7833837130343371</v>
      </c>
      <c r="M2667" s="1">
        <v>0.21876055452986087</v>
      </c>
      <c r="N2667" s="1">
        <v>2.945181033054125</v>
      </c>
      <c r="O2667" s="1">
        <v>0.18467500000000001</v>
      </c>
      <c r="P2667" s="1">
        <v>0.1318320233374963</v>
      </c>
      <c r="Q2667" s="1">
        <v>4.153441825715654</v>
      </c>
      <c r="R2667" s="2">
        <f t="shared" si="167"/>
        <v>206.99088101828906</v>
      </c>
      <c r="S2667" s="2">
        <f t="shared" si="166"/>
        <v>3.8173409198358277</v>
      </c>
      <c r="T2667" s="2">
        <f t="shared" si="168"/>
        <v>10.132000300618323</v>
      </c>
      <c r="U2667" s="2">
        <f t="shared" si="169"/>
        <v>220.94022223874322</v>
      </c>
    </row>
    <row r="2668" spans="1:21" x14ac:dyDescent="0.25">
      <c r="A2668">
        <v>4294477</v>
      </c>
      <c r="B2668">
        <v>67</v>
      </c>
      <c r="C2668" s="1">
        <f>8.24987169536598*(10.3/7.3)</f>
        <v>11.640229926338305</v>
      </c>
      <c r="D2668" s="1">
        <f>9.94087013482702*(10.3/7.3)</f>
        <v>14.026159231331283</v>
      </c>
      <c r="E2668" s="1">
        <f>35.192014477873*(10.3/7.3)</f>
        <v>49.654486181108446</v>
      </c>
      <c r="F2668" s="1">
        <f>71.2749191915705*(38.9/42.5)</f>
        <v>65.23751427181395</v>
      </c>
      <c r="G2668" s="1">
        <v>2.6420978877501118</v>
      </c>
      <c r="H2668" s="1">
        <v>6.9058296019827408</v>
      </c>
      <c r="I2668" s="1">
        <v>53.884713347261794</v>
      </c>
      <c r="J2668" s="1">
        <v>7.0513306711857418E-2</v>
      </c>
      <c r="K2668" s="1">
        <v>3.5791203012184485</v>
      </c>
      <c r="L2668" s="1">
        <v>6.7399349523847123</v>
      </c>
      <c r="M2668" s="1">
        <v>0.21241148186865177</v>
      </c>
      <c r="N2668" s="1">
        <v>2.8348956676060011</v>
      </c>
      <c r="O2668" s="1">
        <v>0.18085412935323383</v>
      </c>
      <c r="P2668" s="1">
        <v>0.12919842320657679</v>
      </c>
      <c r="Q2668" s="1">
        <v>4.2225308708335181</v>
      </c>
      <c r="R2668" s="2">
        <f t="shared" si="167"/>
        <v>208.21356131842012</v>
      </c>
      <c r="S2668" s="2">
        <f t="shared" si="166"/>
        <v>3.7788320311368824</v>
      </c>
      <c r="T2668" s="2">
        <f t="shared" si="168"/>
        <v>9.9680962312126002</v>
      </c>
      <c r="U2668" s="2">
        <f t="shared" si="169"/>
        <v>221.9604895807696</v>
      </c>
    </row>
    <row r="2669" spans="1:21" x14ac:dyDescent="0.25">
      <c r="A2669">
        <v>4294485</v>
      </c>
      <c r="B2669">
        <v>33</v>
      </c>
      <c r="C2669" s="1">
        <f>8.07675436871863*(10.3/7.3)</f>
        <v>11.39596849284958</v>
      </c>
      <c r="D2669" s="1">
        <f>9.6226264855002*(10.3/7.3)</f>
        <v>13.577130520637272</v>
      </c>
      <c r="E2669" s="1">
        <f>34.0823341859922*(10.3/7.3)</f>
        <v>48.088772892564386</v>
      </c>
      <c r="F2669" s="1">
        <f>69.0874526148028*(38.9/42.5)</f>
        <v>63.235338981548942</v>
      </c>
      <c r="G2669" s="1">
        <v>2.5572286084689195</v>
      </c>
      <c r="H2669" s="1">
        <v>8.5187438944908873</v>
      </c>
      <c r="I2669" s="1">
        <v>52.445001403832485</v>
      </c>
      <c r="J2669" s="1">
        <v>6.7835455556989901E-2</v>
      </c>
      <c r="K2669" s="1">
        <v>3.4404550475437863</v>
      </c>
      <c r="L2669" s="1">
        <v>6.3409895862179448</v>
      </c>
      <c r="M2669" s="1">
        <v>0.19923315989530402</v>
      </c>
      <c r="N2669" s="1">
        <v>2.6174708204347472</v>
      </c>
      <c r="O2669" s="1">
        <v>0.16958707070707069</v>
      </c>
      <c r="P2669" s="1">
        <v>0.12217323069046189</v>
      </c>
      <c r="Q2669" s="1">
        <v>4.0868950363658572</v>
      </c>
      <c r="R2669" s="2">
        <f t="shared" si="167"/>
        <v>203.90507983075835</v>
      </c>
      <c r="S2669" s="2">
        <f t="shared" si="166"/>
        <v>3.6304637337912382</v>
      </c>
      <c r="T2669" s="2">
        <f t="shared" si="168"/>
        <v>9.3272806372550665</v>
      </c>
      <c r="U2669" s="2">
        <f t="shared" si="169"/>
        <v>216.86282420180464</v>
      </c>
    </row>
    <row r="2670" spans="1:21" x14ac:dyDescent="0.25">
      <c r="A2670">
        <v>4294493</v>
      </c>
      <c r="B2670">
        <v>22</v>
      </c>
      <c r="C2670" s="1">
        <f>4.5672483564971*(10.3/7.3)</f>
        <v>6.4441997358794687</v>
      </c>
      <c r="D2670" s="1">
        <f>5.49011594031785*(10.3/7.3)</f>
        <v>7.7463279705854635</v>
      </c>
      <c r="E2670" s="1">
        <f>19.437912423951*(10.3/7.3)</f>
        <v>27.426095611876086</v>
      </c>
      <c r="F2670" s="1">
        <f>39.3695837220842*(38.9/42.5)</f>
        <v>36.034748395037091</v>
      </c>
      <c r="G2670" s="1">
        <v>1.4586747234751676</v>
      </c>
      <c r="H2670" s="1">
        <v>5.2502514229342623</v>
      </c>
      <c r="I2670" s="1">
        <v>29.789053620915375</v>
      </c>
      <c r="J2670" s="1">
        <v>4.1334976528044694E-2</v>
      </c>
      <c r="K2670" s="1">
        <v>2.4132667491722919</v>
      </c>
      <c r="L2670" s="1">
        <v>5.0595635406849588</v>
      </c>
      <c r="M2670" s="1">
        <v>0.13959782127853038</v>
      </c>
      <c r="N2670" s="1">
        <v>1.8801980947724679</v>
      </c>
      <c r="O2670" s="1">
        <v>0.11767030303030303</v>
      </c>
      <c r="P2670" s="1">
        <v>9.1921102871900168E-2</v>
      </c>
      <c r="Q2670" s="1">
        <v>2.3312153114899958</v>
      </c>
      <c r="R2670" s="2">
        <f t="shared" si="167"/>
        <v>116.48056679219293</v>
      </c>
      <c r="S2670" s="2">
        <f t="shared" si="166"/>
        <v>2.5465228285722366</v>
      </c>
      <c r="T2670" s="2">
        <f t="shared" si="168"/>
        <v>7.1970297597662611</v>
      </c>
      <c r="U2670" s="2">
        <f t="shared" si="169"/>
        <v>126.22411938053143</v>
      </c>
    </row>
    <row r="2671" spans="1:21" x14ac:dyDescent="0.25">
      <c r="A2671">
        <v>4294501</v>
      </c>
      <c r="B2671">
        <v>5</v>
      </c>
      <c r="C2671" s="1">
        <f>6.24282577920286*(10.3/7.3)</f>
        <v>8.8083706199711624</v>
      </c>
      <c r="D2671" s="1">
        <f>7.37333483542672*(10.3/7.3)</f>
        <v>10.403472439026737</v>
      </c>
      <c r="E2671" s="1">
        <f>26.0650446894511*(10.3/7.3)</f>
        <v>36.776706890595356</v>
      </c>
      <c r="F2671" s="1">
        <f>55.9313141792287*(38.9/42.5)</f>
        <v>51.193602860517586</v>
      </c>
      <c r="G2671" s="1">
        <v>2.2117779146537031</v>
      </c>
      <c r="H2671" s="1">
        <v>10.394355728168767</v>
      </c>
      <c r="I2671" s="1">
        <v>43.006306812083487</v>
      </c>
      <c r="J2671" s="1">
        <v>4.8420046714370259E-2</v>
      </c>
      <c r="K2671" s="1">
        <v>2.8654661357355549</v>
      </c>
      <c r="L2671" s="1">
        <v>6.0141999394283872</v>
      </c>
      <c r="M2671" s="1">
        <v>0.16458574277578197</v>
      </c>
      <c r="N2671" s="1">
        <v>2.0994112128169955</v>
      </c>
      <c r="O2671" s="1">
        <v>0.13962666666666668</v>
      </c>
      <c r="P2671" s="1">
        <v>0.1056516892337596</v>
      </c>
      <c r="Q2671" s="1">
        <v>3.5348048864328634</v>
      </c>
      <c r="R2671" s="2">
        <f t="shared" si="167"/>
        <v>166.32939815144965</v>
      </c>
      <c r="S2671" s="2">
        <f t="shared" si="166"/>
        <v>3.0195378716836849</v>
      </c>
      <c r="T2671" s="2">
        <f t="shared" si="168"/>
        <v>8.4178235616878307</v>
      </c>
      <c r="U2671" s="2">
        <f t="shared" si="169"/>
        <v>177.76675958482119</v>
      </c>
    </row>
    <row r="2672" spans="1:21" x14ac:dyDescent="0.25">
      <c r="A2672">
        <v>4294509</v>
      </c>
      <c r="B2672">
        <v>9</v>
      </c>
      <c r="C2672" s="1">
        <f>4.76357000888518*(10.3/7.3)</f>
        <v>6.7212015193859331</v>
      </c>
      <c r="D2672" s="1">
        <f>5.76776249343253*(10.3/7.3)</f>
        <v>8.1380758468979586</v>
      </c>
      <c r="E2672" s="1">
        <f>20.2973711259152*(10.3/7.3)</f>
        <v>28.638756520126861</v>
      </c>
      <c r="F2672" s="1">
        <f>47.0009347805022*(38.9/42.5)</f>
        <v>43.019679128506695</v>
      </c>
      <c r="G2672" s="1">
        <v>2.02048295643473</v>
      </c>
      <c r="H2672" s="1">
        <v>10.947634516066525</v>
      </c>
      <c r="I2672" s="1">
        <v>36.310155829492466</v>
      </c>
      <c r="J2672" s="1">
        <v>3.9345814039433533E-2</v>
      </c>
      <c r="K2672" s="1">
        <v>2.464237453039773</v>
      </c>
      <c r="L2672" s="1">
        <v>4.2487784533705657</v>
      </c>
      <c r="M2672" s="1">
        <v>0.14219080020675376</v>
      </c>
      <c r="N2672" s="1">
        <v>1.8177745151425755</v>
      </c>
      <c r="O2672" s="1">
        <v>0.11889185185185186</v>
      </c>
      <c r="P2672" s="1">
        <v>9.4153166037713509E-2</v>
      </c>
      <c r="Q2672" s="1">
        <v>3.2290823504664661</v>
      </c>
      <c r="R2672" s="2">
        <f t="shared" si="167"/>
        <v>139.02506866737764</v>
      </c>
      <c r="S2672" s="2">
        <f t="shared" si="166"/>
        <v>2.5977364331169204</v>
      </c>
      <c r="T2672" s="2">
        <f t="shared" si="168"/>
        <v>6.3276356205717468</v>
      </c>
      <c r="U2672" s="2">
        <f t="shared" si="169"/>
        <v>147.95044072106631</v>
      </c>
    </row>
    <row r="2673" spans="1:21" x14ac:dyDescent="0.25">
      <c r="A2673">
        <v>4294517</v>
      </c>
      <c r="B2673">
        <v>2</v>
      </c>
      <c r="C2673" s="1">
        <f>4.24977357816094*(10.3/7.3)</f>
        <v>5.9962558705558457</v>
      </c>
      <c r="D2673" s="1">
        <f>5.2416268522334*(10.3/7.3)</f>
        <v>7.3957200791786288</v>
      </c>
      <c r="E2673" s="1">
        <f>18.3761218555112*(10.3/7.3)</f>
        <v>25.927952755036383</v>
      </c>
      <c r="F2673" s="1">
        <f>45.2954376550265*(38.9/42.5)</f>
        <v>41.458647641894807</v>
      </c>
      <c r="G2673" s="1">
        <v>2.0654276150714947</v>
      </c>
      <c r="H2673" s="1">
        <v>8.4262672389191309</v>
      </c>
      <c r="I2673" s="1">
        <v>35.153925967993139</v>
      </c>
      <c r="J2673" s="1">
        <v>3.6300608143003149E-2</v>
      </c>
      <c r="K2673" s="1">
        <v>2.2541731314232143</v>
      </c>
      <c r="L2673" s="1">
        <v>3.9925465943710075</v>
      </c>
      <c r="M2673" s="1">
        <v>0.12718335250668533</v>
      </c>
      <c r="N2673" s="1">
        <v>1.7447788164192775</v>
      </c>
      <c r="O2673" s="1">
        <v>0.10690666666666668</v>
      </c>
      <c r="P2673" s="1">
        <v>8.7179510549824868E-2</v>
      </c>
      <c r="Q2673" s="1">
        <v>3.3009117135845845</v>
      </c>
      <c r="R2673" s="2">
        <f t="shared" si="167"/>
        <v>129.725108882234</v>
      </c>
      <c r="S2673" s="2">
        <f t="shared" si="166"/>
        <v>2.3776532501160426</v>
      </c>
      <c r="T2673" s="2">
        <f t="shared" si="168"/>
        <v>5.9714154299636366</v>
      </c>
      <c r="U2673" s="2">
        <f t="shared" si="169"/>
        <v>138.07417756231368</v>
      </c>
    </row>
    <row r="2674" spans="1:21" x14ac:dyDescent="0.25">
      <c r="A2674">
        <v>4306017</v>
      </c>
      <c r="B2674">
        <v>3</v>
      </c>
      <c r="C2674" s="1">
        <f>0.365313245163*(10.3/7.3)</f>
        <v>0.51544197605190456</v>
      </c>
      <c r="D2674" s="1">
        <f>0.468092601315762*(10.3/7.3)</f>
        <v>0.66045942377429501</v>
      </c>
      <c r="E2674" s="1">
        <f>1.6422201823144*(10.3/7.3)</f>
        <v>2.3171051887449723</v>
      </c>
      <c r="F2674" s="1">
        <f>3.84493963715441*(38.9/42.5)</f>
        <v>3.5192506325954462</v>
      </c>
      <c r="G2674" s="1">
        <v>0.16856035237804248</v>
      </c>
      <c r="H2674" s="1">
        <v>0.86306116374445097</v>
      </c>
      <c r="I2674" s="1">
        <v>2.9275101018565857</v>
      </c>
      <c r="J2674" s="1">
        <v>2.4630383409400228E-2</v>
      </c>
      <c r="K2674" s="1">
        <v>2.4456402660375876</v>
      </c>
      <c r="L2674" s="1">
        <v>1.9359927535381931</v>
      </c>
      <c r="M2674" s="1">
        <v>0.14997016884656655</v>
      </c>
      <c r="N2674" s="1">
        <v>0.85075025784982161</v>
      </c>
      <c r="O2674" s="1">
        <v>0.82293333333333329</v>
      </c>
      <c r="P2674" s="1">
        <v>0.23915615143001814</v>
      </c>
      <c r="Q2674" s="1">
        <v>0.26938869101513668</v>
      </c>
      <c r="R2674" s="2">
        <f t="shared" si="167"/>
        <v>11.240777530160832</v>
      </c>
      <c r="S2674" s="2">
        <f t="shared" si="166"/>
        <v>2.7094268008770062</v>
      </c>
      <c r="T2674" s="2">
        <f t="shared" si="168"/>
        <v>3.7596465135679145</v>
      </c>
      <c r="U2674" s="2">
        <f t="shared" si="169"/>
        <v>17.709850844605754</v>
      </c>
    </row>
    <row r="2675" spans="1:21" x14ac:dyDescent="0.25">
      <c r="A2675">
        <v>4306585</v>
      </c>
      <c r="B2675">
        <v>22</v>
      </c>
      <c r="C2675" s="1">
        <f>11.3866196301624*(10.3/7.3)</f>
        <v>16.066052354886679</v>
      </c>
      <c r="D2675" s="1">
        <f>40.8512792031908*(10.3/7.3)</f>
        <v>57.639476136008881</v>
      </c>
      <c r="E2675" s="1">
        <f>142.22049743228*(10.3/7.3)</f>
        <v>200.66727719897065</v>
      </c>
      <c r="F2675" s="1">
        <f>182.581111550812*(38.9/42.5)</f>
        <v>167.11541739592005</v>
      </c>
      <c r="G2675" s="1">
        <v>3.4512880899208827</v>
      </c>
      <c r="H2675" s="1">
        <v>9.3078746290204055</v>
      </c>
      <c r="I2675" s="1">
        <v>72.321124430100568</v>
      </c>
      <c r="J2675" s="1">
        <v>8.2046973595370498E-2</v>
      </c>
      <c r="K2675" s="1">
        <v>3.8714600253299851</v>
      </c>
      <c r="L2675" s="1">
        <v>7.0331241018280588</v>
      </c>
      <c r="M2675" s="1">
        <v>0.26838926521095874</v>
      </c>
      <c r="N2675" s="1">
        <v>4.2029781184004511</v>
      </c>
      <c r="O2675" s="1">
        <v>0.22866909090909091</v>
      </c>
      <c r="P2675" s="1">
        <v>0.15404807271673573</v>
      </c>
      <c r="Q2675" s="1">
        <v>5.5157572213347494</v>
      </c>
      <c r="R2675" s="2">
        <f t="shared" si="167"/>
        <v>532.08426745616282</v>
      </c>
      <c r="S2675" s="2">
        <f t="shared" si="166"/>
        <v>4.1075550716420919</v>
      </c>
      <c r="T2675" s="2">
        <f t="shared" si="168"/>
        <v>11.73316057634856</v>
      </c>
      <c r="U2675" s="2">
        <f t="shared" si="169"/>
        <v>547.92498310415351</v>
      </c>
    </row>
    <row r="2676" spans="1:21" x14ac:dyDescent="0.25">
      <c r="A2676">
        <v>4306593</v>
      </c>
      <c r="B2676">
        <v>37</v>
      </c>
      <c r="C2676" s="1">
        <f>10.4725986498782*(10.3/7.3)</f>
        <v>14.776406314211769</v>
      </c>
      <c r="D2676" s="1">
        <f>16.6212827565522*(10.3/7.3)</f>
        <v>23.451946903080554</v>
      </c>
      <c r="E2676" s="1">
        <f>58.5005899011106*(10.3/7.3)</f>
        <v>82.541928216635569</v>
      </c>
      <c r="F2676" s="1">
        <f>102.277869625472*(38.9/42.5)</f>
        <v>93.614332433667741</v>
      </c>
      <c r="G2676" s="1">
        <v>3.2716837400855909</v>
      </c>
      <c r="H2676" s="1">
        <v>7.1952530048703132</v>
      </c>
      <c r="I2676" s="1">
        <v>67.538874553955878</v>
      </c>
      <c r="J2676" s="1">
        <v>8.1115376646638898E-2</v>
      </c>
      <c r="K2676" s="1">
        <v>3.9928974108526334</v>
      </c>
      <c r="L2676" s="1">
        <v>7.6053618953448821</v>
      </c>
      <c r="M2676" s="1">
        <v>0.28355783398561535</v>
      </c>
      <c r="N2676" s="1">
        <v>3.4726377484600808</v>
      </c>
      <c r="O2676" s="1">
        <v>0.23929657657657666</v>
      </c>
      <c r="P2676" s="1">
        <v>0.16127934279056585</v>
      </c>
      <c r="Q2676" s="1">
        <v>5.2287183060728673</v>
      </c>
      <c r="R2676" s="2">
        <f t="shared" si="167"/>
        <v>297.61914347258033</v>
      </c>
      <c r="S2676" s="2">
        <f t="shared" si="166"/>
        <v>4.2352921302898388</v>
      </c>
      <c r="T2676" s="2">
        <f t="shared" si="168"/>
        <v>11.600854054367154</v>
      </c>
      <c r="U2676" s="2">
        <f t="shared" si="169"/>
        <v>313.45528965723736</v>
      </c>
    </row>
    <row r="2677" spans="1:21" x14ac:dyDescent="0.25">
      <c r="A2677">
        <v>4306601</v>
      </c>
      <c r="B2677">
        <v>64</v>
      </c>
      <c r="C2677" s="1">
        <f>8.77138131443761*(10.3/7.3)</f>
        <v>12.376058566946215</v>
      </c>
      <c r="D2677" s="1">
        <f>13.2293552782737*(10.3/7.3)</f>
        <v>18.666076625509437</v>
      </c>
      <c r="E2677" s="1">
        <f>46.6045553432448*(10.3/7.3)</f>
        <v>65.757112333619403</v>
      </c>
      <c r="F2677" s="1">
        <f>83.7444346523114*(38.9/42.5)</f>
        <v>76.650788422939101</v>
      </c>
      <c r="G2677" s="1">
        <v>2.764839747158895</v>
      </c>
      <c r="H2677" s="1">
        <v>8.4804849864388334</v>
      </c>
      <c r="I2677" s="1">
        <v>56.826093659559504</v>
      </c>
      <c r="J2677" s="1">
        <v>6.7289918583025604E-2</v>
      </c>
      <c r="K2677" s="1">
        <v>3.6669706311518819</v>
      </c>
      <c r="L2677" s="1">
        <v>6.7486966300214561</v>
      </c>
      <c r="M2677" s="1">
        <v>0.25704957662775113</v>
      </c>
      <c r="N2677" s="1">
        <v>3.9056745032944455</v>
      </c>
      <c r="O2677" s="1">
        <v>0.21876749999999995</v>
      </c>
      <c r="P2677" s="1">
        <v>0.14999267615991838</v>
      </c>
      <c r="Q2677" s="1">
        <v>4.4186936598429867</v>
      </c>
      <c r="R2677" s="2">
        <f t="shared" si="167"/>
        <v>245.94014800201433</v>
      </c>
      <c r="S2677" s="2">
        <f t="shared" si="166"/>
        <v>3.8842532258948261</v>
      </c>
      <c r="T2677" s="2">
        <f t="shared" si="168"/>
        <v>11.130188209943652</v>
      </c>
      <c r="U2677" s="2">
        <f t="shared" si="169"/>
        <v>260.9545894378528</v>
      </c>
    </row>
    <row r="2678" spans="1:21" x14ac:dyDescent="0.25">
      <c r="A2678">
        <v>4306609</v>
      </c>
      <c r="B2678">
        <v>71</v>
      </c>
      <c r="C2678" s="1">
        <f>8.61982006247678*(10.3/7.3)</f>
        <v>12.16221186897409</v>
      </c>
      <c r="D2678" s="1">
        <f>12.5743811109918*(10.3/7.3)</f>
        <v>17.74193499222126</v>
      </c>
      <c r="E2678" s="1">
        <f>44.3301202369519*(10.3/7.3)</f>
        <v>62.547977868576019</v>
      </c>
      <c r="F2678" s="1">
        <f>80.8476529416254*(38.9/42.5)</f>
        <v>73.999381163040695</v>
      </c>
      <c r="G2678" s="1">
        <v>2.7092728211451806</v>
      </c>
      <c r="H2678" s="1">
        <v>6.8328067300553759</v>
      </c>
      <c r="I2678" s="1">
        <v>55.762364600706334</v>
      </c>
      <c r="J2678" s="1">
        <v>6.6650332188523745E-2</v>
      </c>
      <c r="K2678" s="1">
        <v>3.7616527945115297</v>
      </c>
      <c r="L2678" s="1">
        <v>6.9470127696016197</v>
      </c>
      <c r="M2678" s="1">
        <v>0.25593394484261495</v>
      </c>
      <c r="N2678" s="1">
        <v>4.1689863955278925</v>
      </c>
      <c r="O2678" s="1">
        <v>0.21817690140845067</v>
      </c>
      <c r="P2678" s="1">
        <v>0.15081560934939237</v>
      </c>
      <c r="Q2678" s="1">
        <v>4.3298880703233529</v>
      </c>
      <c r="R2678" s="2">
        <f t="shared" si="167"/>
        <v>236.08583811504235</v>
      </c>
      <c r="S2678" s="2">
        <f t="shared" si="166"/>
        <v>3.979118736049446</v>
      </c>
      <c r="T2678" s="2">
        <f t="shared" si="168"/>
        <v>11.590110011380576</v>
      </c>
      <c r="U2678" s="2">
        <f t="shared" si="169"/>
        <v>251.65506686247238</v>
      </c>
    </row>
    <row r="2679" spans="1:21" x14ac:dyDescent="0.25">
      <c r="A2679">
        <v>4306617</v>
      </c>
      <c r="B2679">
        <v>71</v>
      </c>
      <c r="C2679" s="1">
        <f>9.4221256146351*(10.3/7.3)</f>
        <v>13.294232031608427</v>
      </c>
      <c r="D2679" s="1">
        <f>13.4439953701159*(10.3/7.3)</f>
        <v>18.968924974273051</v>
      </c>
      <c r="E2679" s="1">
        <f>47.4222212700928*(10.3/7.3)</f>
        <v>66.910805353692652</v>
      </c>
      <c r="F2679" s="1">
        <f>87.2371695179524*(38.9/42.5)</f>
        <v>79.847668099961126</v>
      </c>
      <c r="G2679" s="1">
        <v>2.9462435212142206</v>
      </c>
      <c r="H2679" s="1">
        <v>6.9411963924952689</v>
      </c>
      <c r="I2679" s="1">
        <v>60.792950641932912</v>
      </c>
      <c r="J2679" s="1">
        <v>7.0574996846784727E-2</v>
      </c>
      <c r="K2679" s="1">
        <v>4.0162157941313792</v>
      </c>
      <c r="L2679" s="1">
        <v>7.4832116460940874</v>
      </c>
      <c r="M2679" s="1">
        <v>0.27042365116616596</v>
      </c>
      <c r="N2679" s="1">
        <v>4.200098192647638</v>
      </c>
      <c r="O2679" s="1">
        <v>0.22873539906103285</v>
      </c>
      <c r="P2679" s="1">
        <v>0.15640987741744811</v>
      </c>
      <c r="Q2679" s="1">
        <v>4.7086083672373444</v>
      </c>
      <c r="R2679" s="2">
        <f t="shared" si="167"/>
        <v>254.41062938241501</v>
      </c>
      <c r="S2679" s="2">
        <f t="shared" si="166"/>
        <v>4.2432006683956116</v>
      </c>
      <c r="T2679" s="2">
        <f t="shared" si="168"/>
        <v>12.182468888968923</v>
      </c>
      <c r="U2679" s="2">
        <f t="shared" si="169"/>
        <v>270.83629893977951</v>
      </c>
    </row>
    <row r="2680" spans="1:21" x14ac:dyDescent="0.25">
      <c r="A2680">
        <v>4306625</v>
      </c>
      <c r="B2680">
        <v>60</v>
      </c>
      <c r="C2680" s="1">
        <f>5.72833897601357*(10.3/7.3)</f>
        <v>8.0824508839643538</v>
      </c>
      <c r="D2680" s="1">
        <f>8.02426515732011*(10.3/7.3)</f>
        <v>11.321908372657148</v>
      </c>
      <c r="E2680" s="1">
        <f>28.3149657476308*(10.3/7.3)</f>
        <v>39.951253041177772</v>
      </c>
      <c r="F2680" s="1">
        <f>52.6246324803633*(38.9/42.5)</f>
        <v>48.167016552614847</v>
      </c>
      <c r="G2680" s="1">
        <v>1.7966359052694201</v>
      </c>
      <c r="H2680" s="1">
        <v>5.274100933556678</v>
      </c>
      <c r="I2680" s="1">
        <v>37.016979242915774</v>
      </c>
      <c r="J2680" s="1">
        <v>5.0135008232912691E-2</v>
      </c>
      <c r="K2680" s="1">
        <v>3.0944509736768988</v>
      </c>
      <c r="L2680" s="1">
        <v>5.2556564552658687</v>
      </c>
      <c r="M2680" s="1">
        <v>0.19947695329066531</v>
      </c>
      <c r="N2680" s="1">
        <v>3.1045936788650574</v>
      </c>
      <c r="O2680" s="1">
        <v>0.17362577777777774</v>
      </c>
      <c r="P2680" s="1">
        <v>0.1274652906097927</v>
      </c>
      <c r="Q2680" s="1">
        <v>2.8713359216634591</v>
      </c>
      <c r="R2680" s="2">
        <f t="shared" si="167"/>
        <v>154.48168085381948</v>
      </c>
      <c r="S2680" s="2">
        <f t="shared" si="166"/>
        <v>3.272051272519604</v>
      </c>
      <c r="T2680" s="2">
        <f t="shared" si="168"/>
        <v>8.7333528651993699</v>
      </c>
      <c r="U2680" s="2">
        <f t="shared" si="169"/>
        <v>166.48708499153847</v>
      </c>
    </row>
    <row r="2681" spans="1:21" x14ac:dyDescent="0.25">
      <c r="A2681">
        <v>4306633</v>
      </c>
      <c r="B2681">
        <v>65</v>
      </c>
      <c r="C2681" s="1">
        <f>8.61548070992119*(10.3/7.3)</f>
        <v>12.15608922084771</v>
      </c>
      <c r="D2681" s="1">
        <f>11.9028271245015*(10.3/7.3)</f>
        <v>16.794399915392582</v>
      </c>
      <c r="E2681" s="1">
        <f>42.0174441742262*(10.3/7.3)</f>
        <v>59.284886985552085</v>
      </c>
      <c r="F2681" s="1">
        <f>78.4605413427409*(38.9/42.5)</f>
        <v>71.814471958414572</v>
      </c>
      <c r="G2681" s="1">
        <v>2.6884810842493052</v>
      </c>
      <c r="H2681" s="1">
        <v>7.562542871015081</v>
      </c>
      <c r="I2681" s="1">
        <v>55.530300564082886</v>
      </c>
      <c r="J2681" s="1">
        <v>6.5423804490642556E-2</v>
      </c>
      <c r="K2681" s="1">
        <v>3.6550756417278611</v>
      </c>
      <c r="L2681" s="1">
        <v>6.6366192746922339</v>
      </c>
      <c r="M2681" s="1">
        <v>0.2392777976353116</v>
      </c>
      <c r="N2681" s="1">
        <v>4.7226085138546203</v>
      </c>
      <c r="O2681" s="1">
        <v>0.20642133333333332</v>
      </c>
      <c r="P2681" s="1">
        <v>0.14320158598870469</v>
      </c>
      <c r="Q2681" s="1">
        <v>4.2966592670651043</v>
      </c>
      <c r="R2681" s="2">
        <f t="shared" si="167"/>
        <v>230.12783186661932</v>
      </c>
      <c r="S2681" s="2">
        <f t="shared" si="166"/>
        <v>3.8637010322072083</v>
      </c>
      <c r="T2681" s="2">
        <f t="shared" si="168"/>
        <v>11.8049269195155</v>
      </c>
      <c r="U2681" s="2">
        <f t="shared" si="169"/>
        <v>245.79645981834204</v>
      </c>
    </row>
    <row r="2682" spans="1:21" x14ac:dyDescent="0.25">
      <c r="A2682">
        <v>4306641</v>
      </c>
      <c r="B2682">
        <v>65</v>
      </c>
      <c r="C2682" s="1">
        <f>6.43216757657172*(10.3/7.3)</f>
        <v>9.0755241148888715</v>
      </c>
      <c r="D2682" s="1">
        <f>8.73404626776753*(10.3/7.3)</f>
        <v>12.323380350411716</v>
      </c>
      <c r="E2682" s="1">
        <f>30.8427824910547*(10.3/7.3)</f>
        <v>43.517898583268966</v>
      </c>
      <c r="F2682" s="1">
        <f>58.1370368119135*(38.9/42.5)</f>
        <v>53.212487811374899</v>
      </c>
      <c r="G2682" s="1">
        <v>2.0110868541618814</v>
      </c>
      <c r="H2682" s="1">
        <v>11.806773875126954</v>
      </c>
      <c r="I2682" s="1">
        <v>41.499048258493922</v>
      </c>
      <c r="J2682" s="1">
        <v>5.5459325907422113E-2</v>
      </c>
      <c r="K2682" s="1">
        <v>3.2643014478364418</v>
      </c>
      <c r="L2682" s="1">
        <v>5.640976815221598</v>
      </c>
      <c r="M2682" s="1">
        <v>0.20953007263491416</v>
      </c>
      <c r="N2682" s="1">
        <v>3.6275157735996468</v>
      </c>
      <c r="O2682" s="1">
        <v>0.18253866666666668</v>
      </c>
      <c r="P2682" s="1">
        <v>0.13105046193025299</v>
      </c>
      <c r="Q2682" s="1">
        <v>3.2140657486605448</v>
      </c>
      <c r="R2682" s="2">
        <f t="shared" si="167"/>
        <v>176.66026559638777</v>
      </c>
      <c r="S2682" s="2">
        <f t="shared" si="166"/>
        <v>3.450811235674117</v>
      </c>
      <c r="T2682" s="2">
        <f t="shared" si="168"/>
        <v>9.6605613281228244</v>
      </c>
      <c r="U2682" s="2">
        <f t="shared" si="169"/>
        <v>189.77163816018469</v>
      </c>
    </row>
    <row r="2683" spans="1:21" x14ac:dyDescent="0.25">
      <c r="A2683">
        <v>4306649</v>
      </c>
      <c r="B2683">
        <v>65</v>
      </c>
      <c r="C2683" s="1">
        <f>7.06869915944154*(10.3/7.3)</f>
        <v>9.9736440194860041</v>
      </c>
      <c r="D2683" s="1">
        <f>9.47974509047466*(10.3/7.3)</f>
        <v>13.375530744094387</v>
      </c>
      <c r="E2683" s="1">
        <f>33.480768243521*(10.3/7.3)</f>
        <v>47.239988069625554</v>
      </c>
      <c r="F2683" s="1">
        <f>63.7530578682741*(38.9/42.5)</f>
        <v>58.35279884884384</v>
      </c>
      <c r="G2683" s="1">
        <v>2.2308103865032733</v>
      </c>
      <c r="H2683" s="1">
        <v>9.6375794907806149</v>
      </c>
      <c r="I2683" s="1">
        <v>45.823224596426975</v>
      </c>
      <c r="J2683" s="1">
        <v>6.1775040939781541E-2</v>
      </c>
      <c r="K2683" s="1">
        <v>3.4667882435644333</v>
      </c>
      <c r="L2683" s="1">
        <v>6.2469052653842114</v>
      </c>
      <c r="M2683" s="1">
        <v>0.22244580191395974</v>
      </c>
      <c r="N2683" s="1">
        <v>3.2269694219533984</v>
      </c>
      <c r="O2683" s="1">
        <v>0.19102441025641018</v>
      </c>
      <c r="P2683" s="1">
        <v>0.13640904622804631</v>
      </c>
      <c r="Q2683" s="1">
        <v>3.5652220788865128</v>
      </c>
      <c r="R2683" s="2">
        <f t="shared" si="167"/>
        <v>190.19879823464714</v>
      </c>
      <c r="S2683" s="2">
        <f t="shared" si="166"/>
        <v>3.6649723307322613</v>
      </c>
      <c r="T2683" s="2">
        <f t="shared" si="168"/>
        <v>9.8873448995079798</v>
      </c>
      <c r="U2683" s="2">
        <f t="shared" si="169"/>
        <v>203.75111546488739</v>
      </c>
    </row>
    <row r="2684" spans="1:21" x14ac:dyDescent="0.25">
      <c r="A2684">
        <v>4306657</v>
      </c>
      <c r="B2684">
        <v>65</v>
      </c>
      <c r="C2684" s="1">
        <f>7.36524885605847*(10.3/7.3)</f>
        <v>10.392063454438668</v>
      </c>
      <c r="D2684" s="1">
        <f>9.73919092823991*(10.3/7.3)</f>
        <v>13.741598159023436</v>
      </c>
      <c r="E2684" s="1">
        <f>34.4161482570564*(10.3/7.3)</f>
        <v>48.559770828449444</v>
      </c>
      <c r="F2684" s="1">
        <f>65.6112439084224*(38.9/42.5)</f>
        <v>60.053585600885448</v>
      </c>
      <c r="G2684" s="1">
        <v>2.292100558209651</v>
      </c>
      <c r="H2684" s="1">
        <v>8.6852010915163227</v>
      </c>
      <c r="I2684" s="1">
        <v>47.406495766912947</v>
      </c>
      <c r="J2684" s="1">
        <v>6.5747071336884746E-2</v>
      </c>
      <c r="K2684" s="1">
        <v>3.4487208463432175</v>
      </c>
      <c r="L2684" s="1">
        <v>6.2680288890172955</v>
      </c>
      <c r="M2684" s="1">
        <v>0.22151221705581617</v>
      </c>
      <c r="N2684" s="1">
        <v>3.2690696006355533</v>
      </c>
      <c r="O2684" s="1">
        <v>0.18984287179487178</v>
      </c>
      <c r="P2684" s="1">
        <v>0.13463028766408383</v>
      </c>
      <c r="Q2684" s="1">
        <v>3.663174408097619</v>
      </c>
      <c r="R2684" s="2">
        <f t="shared" si="167"/>
        <v>194.79398986753353</v>
      </c>
      <c r="S2684" s="2">
        <f t="shared" si="166"/>
        <v>3.6490982053441861</v>
      </c>
      <c r="T2684" s="2">
        <f t="shared" si="168"/>
        <v>9.9484535785035373</v>
      </c>
      <c r="U2684" s="2">
        <f t="shared" si="169"/>
        <v>208.39154165138126</v>
      </c>
    </row>
    <row r="2685" spans="1:21" x14ac:dyDescent="0.25">
      <c r="A2685">
        <v>4306665</v>
      </c>
      <c r="B2685">
        <v>66</v>
      </c>
      <c r="C2685" s="1">
        <f>8.51047000738614*(10.3/7.3)</f>
        <v>12.00792343507907</v>
      </c>
      <c r="D2685" s="1">
        <f>11.0356752358325*(10.3/7.3)</f>
        <v>15.570884236859536</v>
      </c>
      <c r="E2685" s="1">
        <f>39.0217156262917*(10.3/7.3)</f>
        <v>55.058037116548547</v>
      </c>
      <c r="F2685" s="1">
        <f>74.8362831169518*(38.9/42.5)</f>
        <v>68.49720972351588</v>
      </c>
      <c r="G2685" s="1">
        <v>2.624222919383596</v>
      </c>
      <c r="H2685" s="1">
        <v>6.7905450411091266</v>
      </c>
      <c r="I2685" s="1">
        <v>54.522825655003572</v>
      </c>
      <c r="J2685" s="1">
        <v>7.5562458180816597E-2</v>
      </c>
      <c r="K2685" s="1">
        <v>3.7793363463107639</v>
      </c>
      <c r="L2685" s="1">
        <v>7.1557862116445152</v>
      </c>
      <c r="M2685" s="1">
        <v>0.24268824339929301</v>
      </c>
      <c r="N2685" s="1">
        <v>4.6071736760786246</v>
      </c>
      <c r="O2685" s="1">
        <v>0.20520808080808089</v>
      </c>
      <c r="P2685" s="1">
        <v>0.14317270146733921</v>
      </c>
      <c r="Q2685" s="1">
        <v>4.1939635697911406</v>
      </c>
      <c r="R2685" s="2">
        <f t="shared" si="167"/>
        <v>219.2656116972905</v>
      </c>
      <c r="S2685" s="2">
        <f t="shared" si="166"/>
        <v>3.9980715059589196</v>
      </c>
      <c r="T2685" s="2">
        <f t="shared" si="168"/>
        <v>12.210856211930514</v>
      </c>
      <c r="U2685" s="2">
        <f t="shared" si="169"/>
        <v>235.47453941517995</v>
      </c>
    </row>
    <row r="2686" spans="1:21" x14ac:dyDescent="0.25">
      <c r="A2686">
        <v>4306673</v>
      </c>
      <c r="B2686">
        <v>69</v>
      </c>
      <c r="C2686" s="1">
        <f>8.25104770297193*(10.3/7.3)</f>
        <v>11.641889224741218</v>
      </c>
      <c r="D2686" s="1">
        <f>10.5370410510066*(10.3/7.3)</f>
        <v>14.867331893886089</v>
      </c>
      <c r="E2686" s="1">
        <f>37.2732874267362*(10.3/7.3)</f>
        <v>52.591076780189383</v>
      </c>
      <c r="F2686" s="1">
        <f>72.0002890084895*(38.9/42.5)</f>
        <v>65.901440998358666</v>
      </c>
      <c r="G2686" s="1">
        <v>2.5409930037538322</v>
      </c>
      <c r="H2686" s="1">
        <v>6.4201870001497277</v>
      </c>
      <c r="I2686" s="1">
        <v>52.826838668350426</v>
      </c>
      <c r="J2686" s="1">
        <v>7.5408372302086094E-2</v>
      </c>
      <c r="K2686" s="1">
        <v>3.7074665602460932</v>
      </c>
      <c r="L2686" s="1">
        <v>6.9674344472755996</v>
      </c>
      <c r="M2686" s="1">
        <v>0.23641223798051958</v>
      </c>
      <c r="N2686" s="1">
        <v>4.774594828165772</v>
      </c>
      <c r="O2686" s="1">
        <v>0.19889391304347823</v>
      </c>
      <c r="P2686" s="1">
        <v>0.13965029385882405</v>
      </c>
      <c r="Q2686" s="1">
        <v>4.0609477228942579</v>
      </c>
      <c r="R2686" s="2">
        <f t="shared" si="167"/>
        <v>210.85070529232362</v>
      </c>
      <c r="S2686" s="2">
        <f t="shared" si="166"/>
        <v>3.9225252264070032</v>
      </c>
      <c r="T2686" s="2">
        <f t="shared" si="168"/>
        <v>12.177335426465371</v>
      </c>
      <c r="U2686" s="2">
        <f t="shared" si="169"/>
        <v>226.95056594519599</v>
      </c>
    </row>
    <row r="2687" spans="1:21" x14ac:dyDescent="0.25">
      <c r="A2687">
        <v>4306681</v>
      </c>
      <c r="B2687">
        <v>63</v>
      </c>
      <c r="C2687" s="1">
        <f>7.73950523554339*(10.3/7.3)</f>
        <v>10.920123825492725</v>
      </c>
      <c r="D2687" s="1">
        <f>9.74549088247196*(10.3/7.3)</f>
        <v>13.750487135542633</v>
      </c>
      <c r="E2687" s="1">
        <f>34.4791610945253*(10.3/7.3)</f>
        <v>48.648679352549379</v>
      </c>
      <c r="F2687" s="1">
        <f>67.3967058468129*(38.9/42.5)</f>
        <v>61.687808410377016</v>
      </c>
      <c r="G2687" s="1">
        <v>2.4093334475278025</v>
      </c>
      <c r="H2687" s="1">
        <v>7.746585511534323</v>
      </c>
      <c r="I2687" s="1">
        <v>49.823407044130079</v>
      </c>
      <c r="J2687" s="1">
        <v>7.4132406670396819E-2</v>
      </c>
      <c r="K2687" s="1">
        <v>3.5839598306082894</v>
      </c>
      <c r="L2687" s="1">
        <v>6.6482892887932321</v>
      </c>
      <c r="M2687" s="1">
        <v>0.22399405883442206</v>
      </c>
      <c r="N2687" s="1">
        <v>3.7309026555091398</v>
      </c>
      <c r="O2687" s="1">
        <v>0.19000634920634918</v>
      </c>
      <c r="P2687" s="1">
        <v>0.13501082308000106</v>
      </c>
      <c r="Q2687" s="1">
        <v>3.850532907007906</v>
      </c>
      <c r="R2687" s="2">
        <f t="shared" si="167"/>
        <v>198.83695763416188</v>
      </c>
      <c r="S2687" s="2">
        <f t="shared" si="166"/>
        <v>3.7931030603586873</v>
      </c>
      <c r="T2687" s="2">
        <f t="shared" si="168"/>
        <v>10.793192352343144</v>
      </c>
      <c r="U2687" s="2">
        <f t="shared" si="169"/>
        <v>213.42325304686369</v>
      </c>
    </row>
    <row r="2688" spans="1:21" x14ac:dyDescent="0.25">
      <c r="A2688">
        <v>4306689</v>
      </c>
      <c r="B2688">
        <v>71</v>
      </c>
      <c r="C2688" s="1">
        <f>8.98148024250508*(10.3/7.3)</f>
        <v>12.672499520246895</v>
      </c>
      <c r="D2688" s="1">
        <f>11.1331860210763*(10.3/7.3)</f>
        <v>15.708467947546009</v>
      </c>
      <c r="E2688" s="1">
        <f>39.4020659584634*(10.3/7.3)</f>
        <v>55.594695804407237</v>
      </c>
      <c r="F2688" s="1">
        <f>77.7571907294691*(38.9/42.5)</f>
        <v>71.170699279443511</v>
      </c>
      <c r="G2688" s="1">
        <v>2.8051431177613413</v>
      </c>
      <c r="H2688" s="1">
        <v>6.5995158415826038</v>
      </c>
      <c r="I2688" s="1">
        <v>57.915053066362127</v>
      </c>
      <c r="J2688" s="1">
        <v>8.2990850094138438E-2</v>
      </c>
      <c r="K2688" s="1">
        <v>3.886661102777619</v>
      </c>
      <c r="L2688" s="1">
        <v>7.4274562737058289</v>
      </c>
      <c r="M2688" s="1">
        <v>0.24094456975980388</v>
      </c>
      <c r="N2688" s="1">
        <v>3.4834552378776622</v>
      </c>
      <c r="O2688" s="1">
        <v>0.20233990610328631</v>
      </c>
      <c r="P2688" s="1">
        <v>0.14209226871899266</v>
      </c>
      <c r="Q2688" s="1">
        <v>4.4831054393446133</v>
      </c>
      <c r="R2688" s="2">
        <f t="shared" si="167"/>
        <v>226.94918001669436</v>
      </c>
      <c r="S2688" s="2">
        <f t="shared" si="166"/>
        <v>4.11174422159075</v>
      </c>
      <c r="T2688" s="2">
        <f t="shared" si="168"/>
        <v>11.354195987446582</v>
      </c>
      <c r="U2688" s="2">
        <f t="shared" si="169"/>
        <v>242.4151202257317</v>
      </c>
    </row>
    <row r="2689" spans="1:21" x14ac:dyDescent="0.25">
      <c r="A2689">
        <v>4306697</v>
      </c>
      <c r="B2689">
        <v>71</v>
      </c>
      <c r="C2689" s="1">
        <f>8.77593923124035*(10.3/7.3)</f>
        <v>12.382489600243238</v>
      </c>
      <c r="D2689" s="1">
        <f>10.7408268956657*(10.3/7.3)</f>
        <v>15.154865345939299</v>
      </c>
      <c r="E2689" s="1">
        <f>38.0252331799797*(10.3/7.3)</f>
        <v>53.652041336135767</v>
      </c>
      <c r="F2689" s="1">
        <f>75.5624004275065*(38.9/42.5)</f>
        <v>69.161820626588323</v>
      </c>
      <c r="G2689" s="1">
        <v>2.7429422758836428</v>
      </c>
      <c r="H2689" s="1">
        <v>6.2998475212446357</v>
      </c>
      <c r="I2689" s="1">
        <v>56.610613609809626</v>
      </c>
      <c r="J2689" s="1">
        <v>7.8888688039272709E-2</v>
      </c>
      <c r="K2689" s="1">
        <v>3.7850357406476061</v>
      </c>
      <c r="L2689" s="1">
        <v>7.1662391264694945</v>
      </c>
      <c r="M2689" s="1">
        <v>0.23124658481520999</v>
      </c>
      <c r="N2689" s="1">
        <v>3.1494924025685185</v>
      </c>
      <c r="O2689" s="1">
        <v>0.19480638497652583</v>
      </c>
      <c r="P2689" s="1">
        <v>0.13754115799266481</v>
      </c>
      <c r="Q2689" s="1">
        <v>4.3836977011839062</v>
      </c>
      <c r="R2689" s="2">
        <f t="shared" si="167"/>
        <v>220.38831801702844</v>
      </c>
      <c r="S2689" s="2">
        <f t="shared" si="166"/>
        <v>4.0014655866795437</v>
      </c>
      <c r="T2689" s="2">
        <f t="shared" si="168"/>
        <v>10.741784498829748</v>
      </c>
      <c r="U2689" s="2">
        <f t="shared" si="169"/>
        <v>235.13156810253776</v>
      </c>
    </row>
    <row r="2690" spans="1:21" x14ac:dyDescent="0.25">
      <c r="A2690">
        <v>4306705</v>
      </c>
      <c r="B2690">
        <v>69</v>
      </c>
      <c r="C2690" s="1">
        <f>7.48898271269878*(10.3/7.3)</f>
        <v>10.566646841205124</v>
      </c>
      <c r="D2690" s="1">
        <f>9.11198048541213*(10.3/7.3)</f>
        <v>12.856629999965055</v>
      </c>
      <c r="E2690" s="1">
        <f>32.2540536120846*(10.3/7.3)</f>
        <v>45.509144137598796</v>
      </c>
      <c r="F2690" s="1">
        <f>64.7708216522094*(38.9/42.5)</f>
        <v>59.284352053434034</v>
      </c>
      <c r="G2690" s="1">
        <v>2.3802993920531073</v>
      </c>
      <c r="H2690" s="1">
        <v>5.8011415274519971</v>
      </c>
      <c r="I2690" s="1">
        <v>48.724678747807026</v>
      </c>
      <c r="J2690" s="1">
        <v>6.5429095013587985E-2</v>
      </c>
      <c r="K2690" s="1">
        <v>3.4100200863119232</v>
      </c>
      <c r="L2690" s="1">
        <v>6.2138827885642298</v>
      </c>
      <c r="M2690" s="1">
        <v>0.20484804229937162</v>
      </c>
      <c r="N2690" s="1">
        <v>2.7083476910953115</v>
      </c>
      <c r="O2690" s="1">
        <v>0.17430647342995165</v>
      </c>
      <c r="P2690" s="1">
        <v>0.12598638866758427</v>
      </c>
      <c r="Q2690" s="1">
        <v>3.8041314484867055</v>
      </c>
      <c r="R2690" s="2">
        <f t="shared" si="167"/>
        <v>188.92702414800183</v>
      </c>
      <c r="S2690" s="2">
        <f t="shared" si="166"/>
        <v>3.6014355699930958</v>
      </c>
      <c r="T2690" s="2">
        <f t="shared" si="168"/>
        <v>9.3013849953888634</v>
      </c>
      <c r="U2690" s="2">
        <f t="shared" si="169"/>
        <v>201.82984471338381</v>
      </c>
    </row>
    <row r="2691" spans="1:21" x14ac:dyDescent="0.25">
      <c r="A2691">
        <v>4306713</v>
      </c>
      <c r="B2691">
        <v>62</v>
      </c>
      <c r="C2691" s="1">
        <f>6.45532730623371*(10.3/7.3)</f>
        <v>9.1082015416722175</v>
      </c>
      <c r="D2691" s="1">
        <f>7.80098804744108*(10.3/7.3)</f>
        <v>11.006873546389471</v>
      </c>
      <c r="E2691" s="1">
        <f>27.6194377118476*(10.3/7.3)</f>
        <v>38.969891566031542</v>
      </c>
      <c r="F2691" s="1">
        <f>55.6041105384662*(38.9/42.5)</f>
        <v>50.89411529285492</v>
      </c>
      <c r="G2691" s="1">
        <v>2.0468759736525035</v>
      </c>
      <c r="H2691" s="1">
        <v>6.6073221682096586</v>
      </c>
      <c r="I2691" s="1">
        <v>41.948223945955917</v>
      </c>
      <c r="J2691" s="1">
        <v>5.6182070908679535E-2</v>
      </c>
      <c r="K2691" s="1">
        <v>3.0721844758056389</v>
      </c>
      <c r="L2691" s="1">
        <v>5.4377985148650296</v>
      </c>
      <c r="M2691" s="1">
        <v>0.18224169433384435</v>
      </c>
      <c r="N2691" s="1">
        <v>2.3964609388760807</v>
      </c>
      <c r="O2691" s="1">
        <v>0.1560421505376344</v>
      </c>
      <c r="P2691" s="1">
        <v>0.11480973258710077</v>
      </c>
      <c r="Q2691" s="1">
        <v>3.2712629715907622</v>
      </c>
      <c r="R2691" s="2">
        <f t="shared" si="167"/>
        <v>163.852767006357</v>
      </c>
      <c r="S2691" s="2">
        <f t="shared" si="166"/>
        <v>3.2431762793014194</v>
      </c>
      <c r="T2691" s="2">
        <f t="shared" si="168"/>
        <v>8.1725432986125899</v>
      </c>
      <c r="U2691" s="2">
        <f t="shared" si="169"/>
        <v>175.26848658427102</v>
      </c>
    </row>
    <row r="2692" spans="1:21" x14ac:dyDescent="0.25">
      <c r="A2692">
        <v>4306721</v>
      </c>
      <c r="B2692">
        <v>68</v>
      </c>
      <c r="C2692" s="1">
        <f>8.65476381631039*(10.3/7.3)</f>
        <v>12.21151606958863</v>
      </c>
      <c r="D2692" s="1">
        <f>10.2571136214663*(10.3/7.3)</f>
        <v>14.472365794671591</v>
      </c>
      <c r="E2692" s="1">
        <f>36.3296142746446*(10.3/7.3)</f>
        <v>51.259592743676606</v>
      </c>
      <c r="F2692" s="1">
        <f>74.1006004991435*(38.9/42.5)</f>
        <v>67.823843750980785</v>
      </c>
      <c r="G2692" s="1">
        <v>2.7609986277162371</v>
      </c>
      <c r="H2692" s="1">
        <v>7.3825300600852692</v>
      </c>
      <c r="I2692" s="1">
        <v>56.41621742121459</v>
      </c>
      <c r="J2692" s="1">
        <v>6.8208127596069743E-2</v>
      </c>
      <c r="K2692" s="1">
        <v>3.5799951489602755</v>
      </c>
      <c r="L2692" s="1">
        <v>6.6497291622256212</v>
      </c>
      <c r="M2692" s="1">
        <v>0.20488963279233022</v>
      </c>
      <c r="N2692" s="1">
        <v>2.6800772439948894</v>
      </c>
      <c r="O2692" s="1">
        <v>0.17414117647058827</v>
      </c>
      <c r="P2692" s="1">
        <v>0.12462654598298745</v>
      </c>
      <c r="Q2692" s="1">
        <v>4.4125548844780083</v>
      </c>
      <c r="R2692" s="2">
        <f t="shared" si="167"/>
        <v>216.73961935241169</v>
      </c>
      <c r="S2692" s="2">
        <f t="shared" si="166"/>
        <v>3.7728298225393324</v>
      </c>
      <c r="T2692" s="2">
        <f t="shared" si="168"/>
        <v>9.7088372154834293</v>
      </c>
      <c r="U2692" s="2">
        <f t="shared" si="169"/>
        <v>230.22128639043447</v>
      </c>
    </row>
    <row r="2693" spans="1:21" x14ac:dyDescent="0.25">
      <c r="A2693">
        <v>4306737</v>
      </c>
      <c r="B2693">
        <v>11</v>
      </c>
      <c r="C2693" s="1">
        <f>4.96344007918805*(10.3/7.3)</f>
        <v>7.0032099747447836</v>
      </c>
      <c r="D2693" s="1">
        <f>5.91074390761985*(10.3/7.3)</f>
        <v>8.3398167463677328</v>
      </c>
      <c r="E2693" s="1">
        <f>20.8749265745532*(10.3/7.3)</f>
        <v>29.453663522999697</v>
      </c>
      <c r="F2693" s="1">
        <f>45.3832873281674*(38.9/42.5)</f>
        <v>41.539055930957943</v>
      </c>
      <c r="G2693" s="1">
        <v>1.8238189160144893</v>
      </c>
      <c r="H2693" s="1">
        <v>10.475157015117434</v>
      </c>
      <c r="I2693" s="1">
        <v>34.878543605930062</v>
      </c>
      <c r="J2693" s="1">
        <v>4.130334537276361E-2</v>
      </c>
      <c r="K2693" s="1">
        <v>2.5508475562038191</v>
      </c>
      <c r="L2693" s="1">
        <v>4.5351726303384519</v>
      </c>
      <c r="M2693" s="1">
        <v>0.14706868907732565</v>
      </c>
      <c r="N2693" s="1">
        <v>1.8918308901414045</v>
      </c>
      <c r="O2693" s="1">
        <v>0.12334545454545456</v>
      </c>
      <c r="P2693" s="1">
        <v>9.6813669988808013E-2</v>
      </c>
      <c r="Q2693" s="1">
        <v>2.9147790895208767</v>
      </c>
      <c r="R2693" s="2">
        <f t="shared" si="167"/>
        <v>136.42804480165299</v>
      </c>
      <c r="S2693" s="2">
        <f t="shared" si="166"/>
        <v>2.6889645715653909</v>
      </c>
      <c r="T2693" s="2">
        <f t="shared" si="168"/>
        <v>6.6974176641026366</v>
      </c>
      <c r="U2693" s="2">
        <f t="shared" si="169"/>
        <v>145.814427037321</v>
      </c>
    </row>
    <row r="2694" spans="1:21" x14ac:dyDescent="0.25">
      <c r="A2694">
        <v>4306745</v>
      </c>
      <c r="B2694">
        <v>23</v>
      </c>
      <c r="C2694" s="1">
        <f>4.37935695163952*(10.3/7.3)</f>
        <v>6.1790926851900068</v>
      </c>
      <c r="D2694" s="1">
        <f>5.84275952988228*(10.3/7.3)</f>
        <v>8.2438935832585631</v>
      </c>
      <c r="E2694" s="1">
        <f>20.2765998714213*(10.3/7.3)</f>
        <v>28.609449133649296</v>
      </c>
      <c r="F2694" s="1">
        <f>56.9220955621681*(38.9/42.5)</f>
        <v>52.100459232196243</v>
      </c>
      <c r="G2694" s="1">
        <v>2.8881932129713475</v>
      </c>
      <c r="H2694" s="1">
        <v>9.8323368256753572</v>
      </c>
      <c r="I2694" s="1">
        <v>44.20359626935506</v>
      </c>
      <c r="J2694" s="1">
        <v>3.6983394973675553E-2</v>
      </c>
      <c r="K2694" s="1">
        <v>2.3414093780589953</v>
      </c>
      <c r="L2694" s="1">
        <v>3.9419115383740437</v>
      </c>
      <c r="M2694" s="1">
        <v>0.13348855554002159</v>
      </c>
      <c r="N2694" s="1">
        <v>1.7673303822945954</v>
      </c>
      <c r="O2694" s="1">
        <v>0.11174492753623187</v>
      </c>
      <c r="P2694" s="1">
        <v>9.0221259810206803E-2</v>
      </c>
      <c r="Q2694" s="1">
        <v>4.6158339020090065</v>
      </c>
      <c r="R2694" s="2">
        <f t="shared" si="167"/>
        <v>156.67285484430488</v>
      </c>
      <c r="S2694" s="2">
        <f t="shared" si="166"/>
        <v>2.4686140328428778</v>
      </c>
      <c r="T2694" s="2">
        <f t="shared" si="168"/>
        <v>5.9544754037448921</v>
      </c>
      <c r="U2694" s="2">
        <f t="shared" si="169"/>
        <v>165.09594428089264</v>
      </c>
    </row>
    <row r="2695" spans="1:21" x14ac:dyDescent="0.25">
      <c r="A2695">
        <v>4306753</v>
      </c>
      <c r="B2695">
        <v>6</v>
      </c>
      <c r="C2695" s="1">
        <f>5.03639989651781*(10.3/7.3)</f>
        <v>7.1061532786484216</v>
      </c>
      <c r="D2695" s="1">
        <f>6.934005783143*(10.3/7.3)</f>
        <v>9.7835972008729968</v>
      </c>
      <c r="E2695" s="1">
        <f>23.9099584171458*(10.3/7.3)</f>
        <v>33.735968725561818</v>
      </c>
      <c r="F2695" s="1">
        <f>73.3836366291001*(38.9/42.5)</f>
        <v>67.167610938164529</v>
      </c>
      <c r="G2695" s="1">
        <v>3.9436255580235215</v>
      </c>
      <c r="H2695" s="1">
        <v>9.5924299296817725</v>
      </c>
      <c r="I2695" s="1">
        <v>57.367712768168552</v>
      </c>
      <c r="J2695" s="1">
        <v>3.9617379079895515E-2</v>
      </c>
      <c r="K2695" s="1">
        <v>2.3694635182944364</v>
      </c>
      <c r="L2695" s="1">
        <v>4.7515969110365912</v>
      </c>
      <c r="M2695" s="1">
        <v>0.13238537418720461</v>
      </c>
      <c r="N2695" s="1">
        <v>2.7215730481550739</v>
      </c>
      <c r="O2695" s="1">
        <v>0.11179555555555554</v>
      </c>
      <c r="P2695" s="1">
        <v>8.951315263710613E-2</v>
      </c>
      <c r="Q2695" s="1">
        <v>6.3025979237818897</v>
      </c>
      <c r="R2695" s="2">
        <f t="shared" si="167"/>
        <v>194.99969632290353</v>
      </c>
      <c r="S2695" s="2">
        <f t="shared" si="166"/>
        <v>2.4985940500114383</v>
      </c>
      <c r="T2695" s="2">
        <f t="shared" si="168"/>
        <v>7.7173508889344253</v>
      </c>
      <c r="U2695" s="2">
        <f t="shared" si="169"/>
        <v>205.21564126184938</v>
      </c>
    </row>
    <row r="2696" spans="1:21" x14ac:dyDescent="0.25">
      <c r="A2696">
        <v>4306761</v>
      </c>
      <c r="B2696">
        <v>6</v>
      </c>
      <c r="C2696" s="1">
        <f>5.6013104424433*(10.3/7.3)</f>
        <v>7.9032188434473918</v>
      </c>
      <c r="D2696" s="1">
        <f>6.31044937033337*(10.3/7.3)</f>
        <v>8.9037847280046112</v>
      </c>
      <c r="E2696" s="1">
        <f>22.2987806291141*(10.3/7.3)</f>
        <v>31.462663079434993</v>
      </c>
      <c r="F2696" s="1">
        <f>50.9014071690207*(38.9/42.5)</f>
        <v>46.589758561762459</v>
      </c>
      <c r="G2696" s="1">
        <v>2.1298045796970997</v>
      </c>
      <c r="H2696" s="1">
        <v>7.350240022574531</v>
      </c>
      <c r="I2696" s="1">
        <v>40.112714730088328</v>
      </c>
      <c r="J2696" s="1">
        <v>3.9671126327486948E-2</v>
      </c>
      <c r="K2696" s="1">
        <v>2.4208746505921557</v>
      </c>
      <c r="L2696" s="1">
        <v>3.8246426121373509</v>
      </c>
      <c r="M2696" s="1">
        <v>0.13207330512452128</v>
      </c>
      <c r="N2696" s="1">
        <v>1.7019580769266609</v>
      </c>
      <c r="O2696" s="1">
        <v>0.11161777777777777</v>
      </c>
      <c r="P2696" s="1">
        <v>8.9538187323123866E-2</v>
      </c>
      <c r="Q2696" s="1">
        <v>3.4037972734885193</v>
      </c>
      <c r="R2696" s="2">
        <f t="shared" si="167"/>
        <v>147.85598181849792</v>
      </c>
      <c r="S2696" s="2">
        <f t="shared" si="166"/>
        <v>2.5500839642427664</v>
      </c>
      <c r="T2696" s="2">
        <f t="shared" si="168"/>
        <v>5.7702917719663107</v>
      </c>
      <c r="U2696" s="2">
        <f t="shared" si="169"/>
        <v>156.17635755470698</v>
      </c>
    </row>
    <row r="2697" spans="1:21" x14ac:dyDescent="0.25">
      <c r="A2697">
        <v>4318253</v>
      </c>
      <c r="B2697">
        <v>24</v>
      </c>
      <c r="C2697" s="1">
        <f>0.496912177215877*(10.3/7.3)</f>
        <v>0.7011226610032234</v>
      </c>
      <c r="D2697" s="1">
        <f>0.648771582309708*(10.3/7.3)</f>
        <v>0.91539004079314934</v>
      </c>
      <c r="E2697" s="1">
        <f>2.27104047046722*(10.3/7.3)</f>
        <v>3.2043447733989527</v>
      </c>
      <c r="F2697" s="1">
        <f>5.479639013267*(38.9/42.5)</f>
        <v>5.0154813556726152</v>
      </c>
      <c r="G2697" s="1">
        <v>0.24743554591203906</v>
      </c>
      <c r="H2697" s="1">
        <v>1.1688359633734893</v>
      </c>
      <c r="I2697" s="1">
        <v>4.1727181796135628</v>
      </c>
      <c r="J2697" s="1">
        <v>3.1070152311605304E-2</v>
      </c>
      <c r="K2697" s="1">
        <v>2.9726707642900769</v>
      </c>
      <c r="L2697" s="1">
        <v>2.2781426377341307</v>
      </c>
      <c r="M2697" s="1">
        <v>0.18282122980268267</v>
      </c>
      <c r="N2697" s="1">
        <v>1.0852623651510303</v>
      </c>
      <c r="O2697" s="1">
        <v>1.0101111111111112</v>
      </c>
      <c r="P2697" s="1">
        <v>0.29604787036305891</v>
      </c>
      <c r="Q2697" s="1">
        <v>0.39544493638910388</v>
      </c>
      <c r="R2697" s="2">
        <f t="shared" si="167"/>
        <v>15.820773456156136</v>
      </c>
      <c r="S2697" s="2">
        <f t="shared" ref="S2697:S2760" si="170">J2697+K2697+P2697</f>
        <v>3.2997887869647409</v>
      </c>
      <c r="T2697" s="2">
        <f t="shared" si="168"/>
        <v>4.5563373437989547</v>
      </c>
      <c r="U2697" s="2">
        <f t="shared" si="169"/>
        <v>23.676899586919831</v>
      </c>
    </row>
    <row r="2698" spans="1:21" x14ac:dyDescent="0.25">
      <c r="A2698">
        <v>4318821</v>
      </c>
      <c r="B2698">
        <v>36</v>
      </c>
      <c r="C2698" s="1">
        <f>10.7437002142053*(10.3/7.3)</f>
        <v>15.158919480317014</v>
      </c>
      <c r="D2698" s="1">
        <f>17.7213349311106*(10.3/7.3)</f>
        <v>25.004075313758836</v>
      </c>
      <c r="E2698" s="1">
        <f>62.326479177583*(10.3/7.3)</f>
        <v>87.940100757411585</v>
      </c>
      <c r="F2698" s="1">
        <f>107.023888573812*(38.9/42.5)</f>
        <v>97.958335659324817</v>
      </c>
      <c r="G2698" s="1">
        <v>3.3532351449362023</v>
      </c>
      <c r="H2698" s="1">
        <v>8.4985808959315321</v>
      </c>
      <c r="I2698" s="1">
        <v>69.254247112897247</v>
      </c>
      <c r="J2698" s="1">
        <v>8.2778069030610427E-2</v>
      </c>
      <c r="K2698" s="1">
        <v>4.0385468326484197</v>
      </c>
      <c r="L2698" s="1">
        <v>7.5075530259977494</v>
      </c>
      <c r="M2698" s="1">
        <v>0.28767274003559884</v>
      </c>
      <c r="N2698" s="1">
        <v>3.4087621832999684</v>
      </c>
      <c r="O2698" s="1">
        <v>0.2423392592592592</v>
      </c>
      <c r="P2698" s="1">
        <v>0.16243022169878782</v>
      </c>
      <c r="Q2698" s="1">
        <v>5.3590516014962182</v>
      </c>
      <c r="R2698" s="2">
        <f t="shared" ref="R2698:R2761" si="171">C2698+D2698+E2698+F2698+G2698+H2698+I2698+Q2698</f>
        <v>312.52654596607346</v>
      </c>
      <c r="S2698" s="2">
        <f t="shared" si="170"/>
        <v>4.2837551233778184</v>
      </c>
      <c r="T2698" s="2">
        <f t="shared" ref="T2698:T2761" si="172">L2698+M2698+N2698+O2698</f>
        <v>11.446327208592576</v>
      </c>
      <c r="U2698" s="2">
        <f t="shared" ref="U2698:U2761" si="173">R2698+S2698+T2698</f>
        <v>328.25662829804384</v>
      </c>
    </row>
    <row r="2699" spans="1:21" x14ac:dyDescent="0.25">
      <c r="A2699">
        <v>4318829</v>
      </c>
      <c r="B2699">
        <v>65</v>
      </c>
      <c r="C2699" s="1">
        <f>10.4816922894248*(10.3/7.3)</f>
        <v>14.789237065900686</v>
      </c>
      <c r="D2699" s="1">
        <f>16.0987898613135*(10.3/7.3)</f>
        <v>22.714730900209393</v>
      </c>
      <c r="E2699" s="1">
        <f>56.6932019225243*(10.3/7.3)</f>
        <v>79.991778055068565</v>
      </c>
      <c r="F2699" s="1">
        <f>100.935994920033*(38.9/42.5)</f>
        <v>92.38612240915991</v>
      </c>
      <c r="G2699" s="1">
        <v>3.2986591605019964</v>
      </c>
      <c r="H2699" s="1">
        <v>7.1631733843628256</v>
      </c>
      <c r="I2699" s="1">
        <v>67.850932935750734</v>
      </c>
      <c r="J2699" s="1">
        <v>8.0161038659982156E-2</v>
      </c>
      <c r="K2699" s="1">
        <v>4.0955277670751915</v>
      </c>
      <c r="L2699" s="1">
        <v>7.8806037640522444</v>
      </c>
      <c r="M2699" s="1">
        <v>0.29361658057217216</v>
      </c>
      <c r="N2699" s="1">
        <v>3.5522641977937357</v>
      </c>
      <c r="O2699" s="1">
        <v>0.24530215384615386</v>
      </c>
      <c r="P2699" s="1">
        <v>0.16502568962924705</v>
      </c>
      <c r="Q2699" s="1">
        <v>5.2718297085648373</v>
      </c>
      <c r="R2699" s="2">
        <f t="shared" si="171"/>
        <v>293.46646361951895</v>
      </c>
      <c r="S2699" s="2">
        <f t="shared" si="170"/>
        <v>4.3407144953644208</v>
      </c>
      <c r="T2699" s="2">
        <f t="shared" si="172"/>
        <v>11.971786696264306</v>
      </c>
      <c r="U2699" s="2">
        <f t="shared" si="173"/>
        <v>309.77896481114766</v>
      </c>
    </row>
    <row r="2700" spans="1:21" x14ac:dyDescent="0.25">
      <c r="A2700">
        <v>4318837</v>
      </c>
      <c r="B2700">
        <v>64</v>
      </c>
      <c r="C2700" s="1">
        <f>5.15694540115842*(10.3/7.3)</f>
        <v>7.2762380317714692</v>
      </c>
      <c r="D2700" s="1">
        <f>7.638402822698*(10.3/7.3)</f>
        <v>10.777472475861565</v>
      </c>
      <c r="E2700" s="1">
        <f>26.9173107806222*(10.3/7.3)</f>
        <v>37.979219320603988</v>
      </c>
      <c r="F2700" s="1">
        <f>48.8646536438933*(38.9/42.5)</f>
        <v>44.725530041116478</v>
      </c>
      <c r="G2700" s="1">
        <v>1.6318554642518599</v>
      </c>
      <c r="H2700" s="1">
        <v>5.2502514229342632</v>
      </c>
      <c r="I2700" s="1">
        <v>33.476118569104862</v>
      </c>
      <c r="J2700" s="1">
        <v>4.6107315026521878E-2</v>
      </c>
      <c r="K2700" s="1">
        <v>2.8147422191474116</v>
      </c>
      <c r="L2700" s="1">
        <v>4.7112756078412756</v>
      </c>
      <c r="M2700" s="1">
        <v>0.18911305326277669</v>
      </c>
      <c r="N2700" s="1">
        <v>2.9979427434374784</v>
      </c>
      <c r="O2700" s="1">
        <v>0.1650049999999999</v>
      </c>
      <c r="P2700" s="1">
        <v>0.12326317449901918</v>
      </c>
      <c r="Q2700" s="1">
        <v>2.6079881848774042</v>
      </c>
      <c r="R2700" s="2">
        <f t="shared" si="171"/>
        <v>143.72467351052188</v>
      </c>
      <c r="S2700" s="2">
        <f t="shared" si="170"/>
        <v>2.9841127086729529</v>
      </c>
      <c r="T2700" s="2">
        <f t="shared" si="172"/>
        <v>8.0633364045415306</v>
      </c>
      <c r="U2700" s="2">
        <f t="shared" si="173"/>
        <v>154.77212262373638</v>
      </c>
    </row>
    <row r="2701" spans="1:21" x14ac:dyDescent="0.25">
      <c r="A2701">
        <v>4318845</v>
      </c>
      <c r="B2701">
        <v>61</v>
      </c>
      <c r="C2701" s="1">
        <f>9.791383778749*(10.3/7.3)</f>
        <v>13.815240126180091</v>
      </c>
      <c r="D2701" s="1">
        <f>14.180628642209*(10.3/7.3)</f>
        <v>20.00828424859624</v>
      </c>
      <c r="E2701" s="1">
        <f>50.0011020792988*(10.3/7.3)</f>
        <v>70.549500194079144</v>
      </c>
      <c r="F2701" s="1">
        <f>91.4835915904239*(38.9/42.5)</f>
        <v>83.734393243940957</v>
      </c>
      <c r="G2701" s="1">
        <v>3.0753720289712194</v>
      </c>
      <c r="H2701" s="1">
        <v>7.0024828429416939</v>
      </c>
      <c r="I2701" s="1">
        <v>63.318927269751107</v>
      </c>
      <c r="J2701" s="1">
        <v>7.3134329623634517E-2</v>
      </c>
      <c r="K2701" s="1">
        <v>4.0916622358396282</v>
      </c>
      <c r="L2701" s="1">
        <v>7.7288638557843043</v>
      </c>
      <c r="M2701" s="1">
        <v>0.28208162182856722</v>
      </c>
      <c r="N2701" s="1">
        <v>4.0411176196120442</v>
      </c>
      <c r="O2701" s="1">
        <v>0.23642754098360655</v>
      </c>
      <c r="P2701" s="1">
        <v>0.1604604683073238</v>
      </c>
      <c r="Q2701" s="1">
        <v>4.9149781284928213</v>
      </c>
      <c r="R2701" s="2">
        <f t="shared" si="171"/>
        <v>266.41917808295329</v>
      </c>
      <c r="S2701" s="2">
        <f t="shared" si="170"/>
        <v>4.3252570337705869</v>
      </c>
      <c r="T2701" s="2">
        <f t="shared" si="172"/>
        <v>12.288490638208524</v>
      </c>
      <c r="U2701" s="2">
        <f t="shared" si="173"/>
        <v>283.03292575493242</v>
      </c>
    </row>
    <row r="2702" spans="1:21" x14ac:dyDescent="0.25">
      <c r="A2702">
        <v>4318853</v>
      </c>
      <c r="B2702">
        <v>52</v>
      </c>
      <c r="C2702" s="1">
        <f>8.18681149343472*(10.3/7.3)</f>
        <v>11.551254572928441</v>
      </c>
      <c r="D2702" s="1">
        <f>11.614224712714*(10.3/7.3)</f>
        <v>16.387193772733397</v>
      </c>
      <c r="E2702" s="1">
        <f>40.9707145530983*(10.3/7.3)</f>
        <v>57.807994506426368</v>
      </c>
      <c r="F2702" s="1">
        <f>75.7014068466971*(38.9/42.5)</f>
        <v>69.289052384388611</v>
      </c>
      <c r="G2702" s="1">
        <v>2.5699201743971498</v>
      </c>
      <c r="H2702" s="1">
        <v>6.2393730552484694</v>
      </c>
      <c r="I2702" s="1">
        <v>52.927018427690172</v>
      </c>
      <c r="J2702" s="1">
        <v>6.3695057999893973E-2</v>
      </c>
      <c r="K2702" s="1">
        <v>3.7197571238360441</v>
      </c>
      <c r="L2702" s="1">
        <v>6.7253315804530356</v>
      </c>
      <c r="M2702" s="1">
        <v>0.25007242025943827</v>
      </c>
      <c r="N2702" s="1">
        <v>3.6712799641761058</v>
      </c>
      <c r="O2702" s="1">
        <v>0.21264717948717951</v>
      </c>
      <c r="P2702" s="1">
        <v>0.14796167304347169</v>
      </c>
      <c r="Q2702" s="1">
        <v>4.1071783609086898</v>
      </c>
      <c r="R2702" s="2">
        <f t="shared" si="171"/>
        <v>220.8789852547213</v>
      </c>
      <c r="S2702" s="2">
        <f t="shared" si="170"/>
        <v>3.9314138548794095</v>
      </c>
      <c r="T2702" s="2">
        <f t="shared" si="172"/>
        <v>10.859331144375759</v>
      </c>
      <c r="U2702" s="2">
        <f t="shared" si="173"/>
        <v>235.66973025397647</v>
      </c>
    </row>
    <row r="2703" spans="1:21" x14ac:dyDescent="0.25">
      <c r="A2703">
        <v>4318861</v>
      </c>
      <c r="B2703">
        <v>59</v>
      </c>
      <c r="C2703" s="1">
        <f>8.64732016733953*(10.3/7.3)</f>
        <v>12.201013386794129</v>
      </c>
      <c r="D2703" s="1">
        <f>12.078656240717*(10.3/7.3)</f>
        <v>17.042487572518542</v>
      </c>
      <c r="E2703" s="1">
        <f>42.6246694429*(10.3/7.3)</f>
        <v>60.141656885187672</v>
      </c>
      <c r="F2703" s="1">
        <f>79.3116019139863*(38.9/42.5)</f>
        <v>72.593442693036891</v>
      </c>
      <c r="G2703" s="1">
        <v>2.7105248089031582</v>
      </c>
      <c r="H2703" s="1">
        <v>6.7746501980957294</v>
      </c>
      <c r="I2703" s="1">
        <v>55.862654444811291</v>
      </c>
      <c r="J2703" s="1">
        <v>6.6492297412351326E-2</v>
      </c>
      <c r="K2703" s="1">
        <v>3.8212971683153705</v>
      </c>
      <c r="L2703" s="1">
        <v>6.969131669118922</v>
      </c>
      <c r="M2703" s="1">
        <v>0.25205689166090806</v>
      </c>
      <c r="N2703" s="1">
        <v>4.4079744143384572</v>
      </c>
      <c r="O2703" s="1">
        <v>0.21582734463276829</v>
      </c>
      <c r="P2703" s="1">
        <v>0.14960101238990198</v>
      </c>
      <c r="Q2703" s="1">
        <v>4.331888964000485</v>
      </c>
      <c r="R2703" s="2">
        <f t="shared" si="171"/>
        <v>231.6583189533479</v>
      </c>
      <c r="S2703" s="2">
        <f t="shared" si="170"/>
        <v>4.037390478117624</v>
      </c>
      <c r="T2703" s="2">
        <f t="shared" si="172"/>
        <v>11.844990319751055</v>
      </c>
      <c r="U2703" s="2">
        <f t="shared" si="173"/>
        <v>247.54069975121658</v>
      </c>
    </row>
    <row r="2704" spans="1:21" x14ac:dyDescent="0.25">
      <c r="A2704">
        <v>4318869</v>
      </c>
      <c r="B2704">
        <v>44</v>
      </c>
      <c r="C2704" s="1">
        <f>7.83530504767944*(10.3/7.3)</f>
        <v>11.055293423438121</v>
      </c>
      <c r="D2704" s="1">
        <f>10.7768457411158*(10.3/7.3)</f>
        <v>15.205686456642804</v>
      </c>
      <c r="E2704" s="1">
        <f>38.0442884394937*(10.3/7.3)</f>
        <v>53.678927524217208</v>
      </c>
      <c r="F2704" s="1">
        <f>71.3111708123729*(38.9/42.5)</f>
        <v>65.270695167089556</v>
      </c>
      <c r="G2704" s="1">
        <v>2.4543961615650649</v>
      </c>
      <c r="H2704" s="1">
        <v>7.6312326562628519</v>
      </c>
      <c r="I2704" s="1">
        <v>50.600141700592822</v>
      </c>
      <c r="J2704" s="1">
        <v>6.2475774883894934E-2</v>
      </c>
      <c r="K2704" s="1">
        <v>3.5928247571005461</v>
      </c>
      <c r="L2704" s="1">
        <v>6.426915639008552</v>
      </c>
      <c r="M2704" s="1">
        <v>0.23758063953680517</v>
      </c>
      <c r="N2704" s="1">
        <v>4.916950779689973</v>
      </c>
      <c r="O2704" s="1">
        <v>0.20264363636363633</v>
      </c>
      <c r="P2704" s="1">
        <v>0.14180957076052517</v>
      </c>
      <c r="Q2704" s="1">
        <v>3.9225509431405197</v>
      </c>
      <c r="R2704" s="2">
        <f t="shared" si="171"/>
        <v>209.81892403294896</v>
      </c>
      <c r="S2704" s="2">
        <f t="shared" si="170"/>
        <v>3.7971101027449663</v>
      </c>
      <c r="T2704" s="2">
        <f t="shared" si="172"/>
        <v>11.784090694598966</v>
      </c>
      <c r="U2704" s="2">
        <f t="shared" si="173"/>
        <v>225.4001248302929</v>
      </c>
    </row>
    <row r="2705" spans="1:21" x14ac:dyDescent="0.25">
      <c r="A2705">
        <v>4318877</v>
      </c>
      <c r="B2705">
        <v>47</v>
      </c>
      <c r="C2705" s="1">
        <f>7.50500404054097*(10.3/7.3)</f>
        <v>10.589252276379721</v>
      </c>
      <c r="D2705" s="1">
        <f>10.1289708486218*(10.3/7.3)</f>
        <v>14.291561608329376</v>
      </c>
      <c r="E2705" s="1">
        <f>35.7748288526123*(10.3/7.3)</f>
        <v>50.476813312589954</v>
      </c>
      <c r="F2705" s="1">
        <f>67.5843553640958*(38.9/42.5)</f>
        <v>61.859562909725319</v>
      </c>
      <c r="G2705" s="1">
        <v>2.3420202758529953</v>
      </c>
      <c r="H2705" s="1">
        <v>11.771309403786255</v>
      </c>
      <c r="I2705" s="1">
        <v>48.373517367030345</v>
      </c>
      <c r="J2705" s="1">
        <v>6.2818916287928864E-2</v>
      </c>
      <c r="K2705" s="1">
        <v>3.549984571143475</v>
      </c>
      <c r="L2705" s="1">
        <v>6.3966884886680253</v>
      </c>
      <c r="M2705" s="1">
        <v>0.23263448700699144</v>
      </c>
      <c r="N2705" s="1">
        <v>3.8469340885959409</v>
      </c>
      <c r="O2705" s="1">
        <v>0.19723460992907801</v>
      </c>
      <c r="P2705" s="1">
        <v>0.1390746393598157</v>
      </c>
      <c r="Q2705" s="1">
        <v>3.7429547787604984</v>
      </c>
      <c r="R2705" s="2">
        <f t="shared" si="171"/>
        <v>203.44699193245449</v>
      </c>
      <c r="S2705" s="2">
        <f t="shared" si="170"/>
        <v>3.7518781267912193</v>
      </c>
      <c r="T2705" s="2">
        <f t="shared" si="172"/>
        <v>10.673491674200035</v>
      </c>
      <c r="U2705" s="2">
        <f t="shared" si="173"/>
        <v>217.87236173344573</v>
      </c>
    </row>
    <row r="2706" spans="1:21" x14ac:dyDescent="0.25">
      <c r="A2706">
        <v>4318885</v>
      </c>
      <c r="B2706">
        <v>42</v>
      </c>
      <c r="C2706" s="1">
        <f>8.86237202600643*(10.3/7.3)</f>
        <v>12.504442721625519</v>
      </c>
      <c r="D2706" s="1">
        <f>11.7979038368252*(10.3/7.3)</f>
        <v>16.646357468397181</v>
      </c>
      <c r="E2706" s="1">
        <f>41.6780381098324*(10.3/7.3)</f>
        <v>58.805998976886755</v>
      </c>
      <c r="F2706" s="1">
        <f>79.5161474024762*(38.9/42.5)</f>
        <v>72.780661975442911</v>
      </c>
      <c r="G2706" s="1">
        <v>2.7851978445661065</v>
      </c>
      <c r="H2706" s="1">
        <v>9.4075202430318008</v>
      </c>
      <c r="I2706" s="1">
        <v>57.328190476670656</v>
      </c>
      <c r="J2706" s="1">
        <v>7.2093850351036048E-2</v>
      </c>
      <c r="K2706" s="1">
        <v>3.8561898212323924</v>
      </c>
      <c r="L2706" s="1">
        <v>7.2659817567473564</v>
      </c>
      <c r="M2706" s="1">
        <v>0.25079486778503002</v>
      </c>
      <c r="N2706" s="1">
        <v>3.833858644587635</v>
      </c>
      <c r="O2706" s="1">
        <v>0.21244190476190475</v>
      </c>
      <c r="P2706" s="1">
        <v>0.14769856652466265</v>
      </c>
      <c r="Q2706" s="1">
        <v>4.4512294319549692</v>
      </c>
      <c r="R2706" s="2">
        <f t="shared" si="171"/>
        <v>234.70959913857592</v>
      </c>
      <c r="S2706" s="2">
        <f t="shared" si="170"/>
        <v>4.0759822381080912</v>
      </c>
      <c r="T2706" s="2">
        <f t="shared" si="172"/>
        <v>11.563077173881927</v>
      </c>
      <c r="U2706" s="2">
        <f t="shared" si="173"/>
        <v>250.34865855056594</v>
      </c>
    </row>
    <row r="2707" spans="1:21" x14ac:dyDescent="0.25">
      <c r="A2707">
        <v>4318893</v>
      </c>
      <c r="B2707">
        <v>60</v>
      </c>
      <c r="C2707" s="1">
        <f>8.36293306660218*(10.3/7.3)</f>
        <v>11.799754874794855</v>
      </c>
      <c r="D2707" s="1">
        <f>10.9854906502274*(10.3/7.3)</f>
        <v>15.500075848951006</v>
      </c>
      <c r="E2707" s="1">
        <f>38.8193015481144*(10.3/7.3)</f>
        <v>54.772439170627173</v>
      </c>
      <c r="F2707" s="1">
        <f>74.6107596768169*(38.9/42.5)</f>
        <v>68.290789445368887</v>
      </c>
      <c r="G2707" s="1">
        <v>2.6321952586392516</v>
      </c>
      <c r="H2707" s="1">
        <v>6.7388863699999719</v>
      </c>
      <c r="I2707" s="1">
        <v>54.139011358782646</v>
      </c>
      <c r="J2707" s="1">
        <v>7.303388162911735E-2</v>
      </c>
      <c r="K2707" s="1">
        <v>3.7825138577862236</v>
      </c>
      <c r="L2707" s="1">
        <v>7.091702689061262</v>
      </c>
      <c r="M2707" s="1">
        <v>0.24530284831226157</v>
      </c>
      <c r="N2707" s="1">
        <v>4.4829013996133744</v>
      </c>
      <c r="O2707" s="1">
        <v>0.20671911111111105</v>
      </c>
      <c r="P2707" s="1">
        <v>0.14392393230847483</v>
      </c>
      <c r="Q2707" s="1">
        <v>4.2067047512499505</v>
      </c>
      <c r="R2707" s="2">
        <f t="shared" si="171"/>
        <v>218.07985707841377</v>
      </c>
      <c r="S2707" s="2">
        <f t="shared" si="170"/>
        <v>3.9994716717238159</v>
      </c>
      <c r="T2707" s="2">
        <f t="shared" si="172"/>
        <v>12.026626048098009</v>
      </c>
      <c r="U2707" s="2">
        <f t="shared" si="173"/>
        <v>234.10595479823559</v>
      </c>
    </row>
    <row r="2708" spans="1:21" x14ac:dyDescent="0.25">
      <c r="A2708">
        <v>4318901</v>
      </c>
      <c r="B2708">
        <v>14</v>
      </c>
      <c r="C2708" s="1">
        <f>8.48105503672217*(10.3/7.3)</f>
        <v>11.966420120306624</v>
      </c>
      <c r="D2708" s="1">
        <f>10.9250754232932*(10.3/7.3)</f>
        <v>15.414832446564436</v>
      </c>
      <c r="E2708" s="1">
        <f>38.6336650621343*(10.3/7.3)</f>
        <v>54.510513717805964</v>
      </c>
      <c r="F2708" s="1">
        <f>74.501896160795*(38.9/42.5)</f>
        <v>68.191147309527693</v>
      </c>
      <c r="G2708" s="1">
        <v>2.6284961378147331</v>
      </c>
      <c r="H2708" s="1">
        <v>6.4540038856369959</v>
      </c>
      <c r="I2708" s="1">
        <v>54.474482534913321</v>
      </c>
      <c r="J2708" s="1">
        <v>7.0965764323581287E-2</v>
      </c>
      <c r="K2708" s="1">
        <v>3.6420590688286696</v>
      </c>
      <c r="L2708" s="1">
        <v>6.7837211411993836</v>
      </c>
      <c r="M2708" s="1">
        <v>0.23420193784477178</v>
      </c>
      <c r="N2708" s="1">
        <v>3.5802444513232148</v>
      </c>
      <c r="O2708" s="1">
        <v>0.19890285714285713</v>
      </c>
      <c r="P2708" s="1">
        <v>0.13902015634984238</v>
      </c>
      <c r="Q2708" s="1">
        <v>4.2007929143157874</v>
      </c>
      <c r="R2708" s="2">
        <f t="shared" si="171"/>
        <v>217.8406890668856</v>
      </c>
      <c r="S2708" s="2">
        <f t="shared" si="170"/>
        <v>3.8520449895020934</v>
      </c>
      <c r="T2708" s="2">
        <f t="shared" si="172"/>
        <v>10.797070387510226</v>
      </c>
      <c r="U2708" s="2">
        <f t="shared" si="173"/>
        <v>232.48980444389792</v>
      </c>
    </row>
    <row r="2709" spans="1:21" x14ac:dyDescent="0.25">
      <c r="A2709">
        <v>4318909</v>
      </c>
      <c r="B2709">
        <v>52</v>
      </c>
      <c r="C2709" s="1">
        <f>6.95999613402653*(10.3/7.3)</f>
        <v>9.8202685178730498</v>
      </c>
      <c r="D2709" s="1">
        <f>8.88389678708772*(10.3/7.3)</f>
        <v>12.534813274931995</v>
      </c>
      <c r="E2709" s="1">
        <f>31.4229023523051*(10.3/7.3)</f>
        <v>44.336423866951087</v>
      </c>
      <c r="F2709" s="1">
        <f>60.8660086050027*(38.9/42.5)</f>
        <v>55.710299640814199</v>
      </c>
      <c r="G2709" s="1">
        <v>2.1559267711124894</v>
      </c>
      <c r="H2709" s="1">
        <v>5.7493986834418296</v>
      </c>
      <c r="I2709" s="1">
        <v>44.692482003848561</v>
      </c>
      <c r="J2709" s="1">
        <v>6.343442736911406E-2</v>
      </c>
      <c r="K2709" s="1">
        <v>3.3244874118984575</v>
      </c>
      <c r="L2709" s="1">
        <v>5.8959480710221666</v>
      </c>
      <c r="M2709" s="1">
        <v>0.21042759606808575</v>
      </c>
      <c r="N2709" s="1">
        <v>4.2980154089205787</v>
      </c>
      <c r="O2709" s="1">
        <v>0.17923692307692313</v>
      </c>
      <c r="P2709" s="1">
        <v>0.12777967378140212</v>
      </c>
      <c r="Q2709" s="1">
        <v>3.4455450679880002</v>
      </c>
      <c r="R2709" s="2">
        <f t="shared" si="171"/>
        <v>178.44515782696124</v>
      </c>
      <c r="S2709" s="2">
        <f t="shared" si="170"/>
        <v>3.5157015130489735</v>
      </c>
      <c r="T2709" s="2">
        <f t="shared" si="172"/>
        <v>10.583627999087755</v>
      </c>
      <c r="U2709" s="2">
        <f t="shared" si="173"/>
        <v>192.54448733909797</v>
      </c>
    </row>
    <row r="2710" spans="1:21" x14ac:dyDescent="0.25">
      <c r="A2710">
        <v>4318917</v>
      </c>
      <c r="B2710">
        <v>60</v>
      </c>
      <c r="C2710" s="1">
        <f>8.59015854236045*(10.3/7.3)</f>
        <v>12.120360683056527</v>
      </c>
      <c r="D2710" s="1">
        <f>10.7547436744545*(10.3/7.3)</f>
        <v>15.174501348887867</v>
      </c>
      <c r="E2710" s="1">
        <f>38.0533255453491*(10.3/7.3)</f>
        <v>53.691678509191242</v>
      </c>
      <c r="F2710" s="1">
        <f>74.702803774569*(38.9/42.5)</f>
        <v>68.375036866605555</v>
      </c>
      <c r="G2710" s="1">
        <v>2.6823735260668773</v>
      </c>
      <c r="H2710" s="1">
        <v>6.5866637892902427</v>
      </c>
      <c r="I2710" s="1">
        <v>55.385928808155839</v>
      </c>
      <c r="J2710" s="1">
        <v>7.7952037663983911E-2</v>
      </c>
      <c r="K2710" s="1">
        <v>3.812905121334464</v>
      </c>
      <c r="L2710" s="1">
        <v>7.1675669610657033</v>
      </c>
      <c r="M2710" s="1">
        <v>0.23920856968287912</v>
      </c>
      <c r="N2710" s="1">
        <v>3.5344458123128173</v>
      </c>
      <c r="O2710" s="1">
        <v>0.20064355555555555</v>
      </c>
      <c r="P2710" s="1">
        <v>0.14081539159643883</v>
      </c>
      <c r="Q2710" s="1">
        <v>4.2868983293306275</v>
      </c>
      <c r="R2710" s="2">
        <f t="shared" si="171"/>
        <v>218.3034418605848</v>
      </c>
      <c r="S2710" s="2">
        <f t="shared" si="170"/>
        <v>4.0316725505948865</v>
      </c>
      <c r="T2710" s="2">
        <f t="shared" si="172"/>
        <v>11.141864898616955</v>
      </c>
      <c r="U2710" s="2">
        <f t="shared" si="173"/>
        <v>233.47697930979663</v>
      </c>
    </row>
    <row r="2711" spans="1:21" x14ac:dyDescent="0.25">
      <c r="A2711">
        <v>4318925</v>
      </c>
      <c r="B2711">
        <v>60</v>
      </c>
      <c r="C2711" s="1">
        <f>8.79103037690458*(10.3/7.3)</f>
        <v>12.403782586591397</v>
      </c>
      <c r="D2711" s="1">
        <f>10.8572607434233*(10.3/7.3)</f>
        <v>15.31914872017262</v>
      </c>
      <c r="E2711" s="1">
        <f>38.4289179636234*(10.3/7.3)</f>
        <v>54.221623976071335</v>
      </c>
      <c r="F2711" s="1">
        <f>75.9890353341626*(38.9/42.5)</f>
        <v>69.552317047033497</v>
      </c>
      <c r="G2711" s="1">
        <v>2.7463213109283098</v>
      </c>
      <c r="H2711" s="1">
        <v>6.3729699347227449</v>
      </c>
      <c r="I2711" s="1">
        <v>56.693915200333045</v>
      </c>
      <c r="J2711" s="1">
        <v>7.8041286383010708E-2</v>
      </c>
      <c r="K2711" s="1">
        <v>3.8229222133997061</v>
      </c>
      <c r="L2711" s="1">
        <v>7.2046801562947049</v>
      </c>
      <c r="M2711" s="1">
        <v>0.23598395346473861</v>
      </c>
      <c r="N2711" s="1">
        <v>3.2540092275285062</v>
      </c>
      <c r="O2711" s="1">
        <v>0.19871911111111118</v>
      </c>
      <c r="P2711" s="1">
        <v>0.13959571611526581</v>
      </c>
      <c r="Q2711" s="1">
        <v>4.3890979855018717</v>
      </c>
      <c r="R2711" s="2">
        <f t="shared" si="171"/>
        <v>221.69917676135481</v>
      </c>
      <c r="S2711" s="2">
        <f t="shared" si="170"/>
        <v>4.0405592158979831</v>
      </c>
      <c r="T2711" s="2">
        <f t="shared" si="172"/>
        <v>10.893392448399061</v>
      </c>
      <c r="U2711" s="2">
        <f t="shared" si="173"/>
        <v>236.63312842565185</v>
      </c>
    </row>
    <row r="2712" spans="1:21" x14ac:dyDescent="0.25">
      <c r="A2712">
        <v>4318933</v>
      </c>
      <c r="B2712">
        <v>61</v>
      </c>
      <c r="C2712" s="1">
        <f>7.02588053004663*(10.3/7.3)</f>
        <v>9.9132286930794944</v>
      </c>
      <c r="D2712" s="1">
        <f>8.62235499858769*(10.3/7.3)</f>
        <v>12.165788559651128</v>
      </c>
      <c r="E2712" s="1">
        <f>30.5202825543082*(10.3/7.3)</f>
        <v>43.062864425941676</v>
      </c>
      <c r="F2712" s="1">
        <f>60.7099241348233*(38.9/42.5)</f>
        <v>55.567436443403011</v>
      </c>
      <c r="G2712" s="1">
        <v>2.2080947079890585</v>
      </c>
      <c r="H2712" s="1">
        <v>5.4465652196761392</v>
      </c>
      <c r="I2712" s="1">
        <v>45.449023745107453</v>
      </c>
      <c r="J2712" s="1">
        <v>6.2600889319567934E-2</v>
      </c>
      <c r="K2712" s="1">
        <v>3.2966505557122519</v>
      </c>
      <c r="L2712" s="1">
        <v>5.8918072328797937</v>
      </c>
      <c r="M2712" s="1">
        <v>0.20071512639057199</v>
      </c>
      <c r="N2712" s="1">
        <v>2.6194805880770047</v>
      </c>
      <c r="O2712" s="1">
        <v>0.17031256830601094</v>
      </c>
      <c r="P2712" s="1">
        <v>0.12345738130880886</v>
      </c>
      <c r="Q2712" s="1">
        <v>3.5289184830875397</v>
      </c>
      <c r="R2712" s="2">
        <f t="shared" si="171"/>
        <v>177.34192027793549</v>
      </c>
      <c r="S2712" s="2">
        <f t="shared" si="170"/>
        <v>3.4827088263406285</v>
      </c>
      <c r="T2712" s="2">
        <f t="shared" si="172"/>
        <v>8.8823155156533815</v>
      </c>
      <c r="U2712" s="2">
        <f t="shared" si="173"/>
        <v>189.70694461992949</v>
      </c>
    </row>
    <row r="2713" spans="1:21" x14ac:dyDescent="0.25">
      <c r="A2713">
        <v>4318941</v>
      </c>
      <c r="B2713">
        <v>64</v>
      </c>
      <c r="C2713" s="1">
        <f>5.08476745780159*(10.3/7.3)</f>
        <v>7.1743979199118337</v>
      </c>
      <c r="D2713" s="1">
        <f>6.22665368978482*(10.3/7.3)</f>
        <v>8.7855524664087206</v>
      </c>
      <c r="E2713" s="1">
        <f>22.0401046434061*(10.3/7.3)</f>
        <v>31.09768189412096</v>
      </c>
      <c r="F2713" s="1">
        <f>43.9617508317182*(38.9/42.5)</f>
        <v>40.237931937737329</v>
      </c>
      <c r="G2713" s="1">
        <v>1.6038749554080749</v>
      </c>
      <c r="H2713" s="1">
        <v>4.5087856734561749</v>
      </c>
      <c r="I2713" s="1">
        <v>32.953601453985009</v>
      </c>
      <c r="J2713" s="1">
        <v>4.8259812732488298E-2</v>
      </c>
      <c r="K2713" s="1">
        <v>2.7593855421756759</v>
      </c>
      <c r="L2713" s="1">
        <v>4.7308155735341639</v>
      </c>
      <c r="M2713" s="1">
        <v>0.16468094967737801</v>
      </c>
      <c r="N2713" s="1">
        <v>2.197912788417502</v>
      </c>
      <c r="O2713" s="1">
        <v>0.14012749999999993</v>
      </c>
      <c r="P2713" s="1">
        <v>0.10711656982038459</v>
      </c>
      <c r="Q2713" s="1">
        <v>2.5632704766795746</v>
      </c>
      <c r="R2713" s="2">
        <f t="shared" si="171"/>
        <v>128.92509677770767</v>
      </c>
      <c r="S2713" s="2">
        <f t="shared" si="170"/>
        <v>2.9147619247285488</v>
      </c>
      <c r="T2713" s="2">
        <f t="shared" si="172"/>
        <v>7.2335368116290439</v>
      </c>
      <c r="U2713" s="2">
        <f t="shared" si="173"/>
        <v>139.07339551406525</v>
      </c>
    </row>
    <row r="2714" spans="1:21" x14ac:dyDescent="0.25">
      <c r="A2714">
        <v>4318949</v>
      </c>
      <c r="B2714">
        <v>64</v>
      </c>
      <c r="C2714" s="1">
        <f>6.38998215518282*(10.3/7.3)</f>
        <v>9.0160022189565847</v>
      </c>
      <c r="D2714" s="1">
        <f>7.68744158514611*(10.3/7.3)</f>
        <v>10.846664154384241</v>
      </c>
      <c r="E2714" s="1">
        <f>27.2197689443201*(10.3/7.3)</f>
        <v>38.405975359794169</v>
      </c>
      <c r="F2714" s="1">
        <f>54.9691528781523*(38.9/42.5)</f>
        <v>50.312942281414692</v>
      </c>
      <c r="G2714" s="1">
        <v>2.0294335153185852</v>
      </c>
      <c r="H2714" s="1">
        <v>5.2496740800274706</v>
      </c>
      <c r="I2714" s="1">
        <v>41.558008521018778</v>
      </c>
      <c r="J2714" s="1">
        <v>5.4892470605490247E-2</v>
      </c>
      <c r="K2714" s="1">
        <v>3.0606452451403552</v>
      </c>
      <c r="L2714" s="1">
        <v>5.4307988827251679</v>
      </c>
      <c r="M2714" s="1">
        <v>0.17995184912544374</v>
      </c>
      <c r="N2714" s="1">
        <v>2.3376295734323693</v>
      </c>
      <c r="O2714" s="1">
        <v>0.15291750000000001</v>
      </c>
      <c r="P2714" s="1">
        <v>0.11377832264043086</v>
      </c>
      <c r="Q2714" s="1">
        <v>3.24338689662788</v>
      </c>
      <c r="R2714" s="2">
        <f t="shared" si="171"/>
        <v>160.66208702754241</v>
      </c>
      <c r="S2714" s="2">
        <f t="shared" si="170"/>
        <v>3.2293160383862762</v>
      </c>
      <c r="T2714" s="2">
        <f t="shared" si="172"/>
        <v>8.1012978052829805</v>
      </c>
      <c r="U2714" s="2">
        <f t="shared" si="173"/>
        <v>171.99270087121167</v>
      </c>
    </row>
    <row r="2715" spans="1:21" x14ac:dyDescent="0.25">
      <c r="A2715">
        <v>4318957</v>
      </c>
      <c r="B2715">
        <v>50</v>
      </c>
      <c r="C2715" s="1">
        <f>8.50687572556632*(10.3/7.3)</f>
        <v>12.002852051141515</v>
      </c>
      <c r="D2715" s="1">
        <f>10.0647253407*(10.3/7.3)</f>
        <v>14.200913836878128</v>
      </c>
      <c r="E2715" s="1">
        <f>35.6398000211364*(10.3/7.3)</f>
        <v>50.286293180507521</v>
      </c>
      <c r="F2715" s="1">
        <f>73.2630332592825*(38.9/42.5)</f>
        <v>67.057223383202114</v>
      </c>
      <c r="G2715" s="1">
        <v>2.7553555449641034</v>
      </c>
      <c r="H2715" s="1">
        <v>7.5784339317223228</v>
      </c>
      <c r="I2715" s="1">
        <v>55.888328448972509</v>
      </c>
      <c r="J2715" s="1">
        <v>6.7440122692026427E-2</v>
      </c>
      <c r="K2715" s="1">
        <v>3.5721499285403762</v>
      </c>
      <c r="L2715" s="1">
        <v>6.6709824181527067</v>
      </c>
      <c r="M2715" s="1">
        <v>0.2065564057929449</v>
      </c>
      <c r="N2715" s="1">
        <v>2.6714337868138598</v>
      </c>
      <c r="O2715" s="1">
        <v>0.17470079999999996</v>
      </c>
      <c r="P2715" s="1">
        <v>0.1254594753483573</v>
      </c>
      <c r="Q2715" s="1">
        <v>4.4035362590750564</v>
      </c>
      <c r="R2715" s="2">
        <f t="shared" si="171"/>
        <v>214.17293663646325</v>
      </c>
      <c r="S2715" s="2">
        <f t="shared" si="170"/>
        <v>3.7650495265807598</v>
      </c>
      <c r="T2715" s="2">
        <f t="shared" si="172"/>
        <v>9.7236734107595115</v>
      </c>
      <c r="U2715" s="2">
        <f t="shared" si="173"/>
        <v>227.66165957380352</v>
      </c>
    </row>
    <row r="2716" spans="1:21" x14ac:dyDescent="0.25">
      <c r="A2716">
        <v>4318973</v>
      </c>
      <c r="B2716">
        <v>40</v>
      </c>
      <c r="C2716" s="1">
        <f>4.47679990801583*(10.3/7.3)</f>
        <v>6.3165806921319314</v>
      </c>
      <c r="D2716" s="1">
        <f>5.42039020949651*(10.3/7.3)</f>
        <v>7.6479478298375456</v>
      </c>
      <c r="E2716" s="1">
        <f>19.0912535678838*(10.3/7.3)</f>
        <v>26.936974212219642</v>
      </c>
      <c r="F2716" s="1">
        <f>43.3802813259621*(38.9/42.5)</f>
        <v>39.705716319527674</v>
      </c>
      <c r="G2716" s="1">
        <v>1.8308808739522067</v>
      </c>
      <c r="H2716" s="1">
        <v>10.574822623688373</v>
      </c>
      <c r="I2716" s="1">
        <v>33.410599762206239</v>
      </c>
      <c r="J2716" s="1">
        <v>3.7824766932595996E-2</v>
      </c>
      <c r="K2716" s="1">
        <v>2.381132248489032</v>
      </c>
      <c r="L2716" s="1">
        <v>3.9707465964704092</v>
      </c>
      <c r="M2716" s="1">
        <v>0.13787382428446737</v>
      </c>
      <c r="N2716" s="1">
        <v>2.0489596775373728</v>
      </c>
      <c r="O2716" s="1">
        <v>0.11454533333333332</v>
      </c>
      <c r="P2716" s="1">
        <v>9.1542096582737292E-2</v>
      </c>
      <c r="Q2716" s="1">
        <v>2.9260653236679142</v>
      </c>
      <c r="R2716" s="2">
        <f t="shared" si="171"/>
        <v>129.34958763723154</v>
      </c>
      <c r="S2716" s="2">
        <f t="shared" si="170"/>
        <v>2.5104991120043656</v>
      </c>
      <c r="T2716" s="2">
        <f t="shared" si="172"/>
        <v>6.2721254316255823</v>
      </c>
      <c r="U2716" s="2">
        <f t="shared" si="173"/>
        <v>138.13221218086147</v>
      </c>
    </row>
    <row r="2717" spans="1:21" x14ac:dyDescent="0.25">
      <c r="A2717">
        <v>4318981</v>
      </c>
      <c r="B2717">
        <v>38</v>
      </c>
      <c r="C2717" s="1">
        <f>4.57819661692702*(10.3/7.3)</f>
        <v>6.4596472814175749</v>
      </c>
      <c r="D2717" s="1">
        <f>5.81486644118886*(10.3/7.3)</f>
        <v>8.204537581403466</v>
      </c>
      <c r="E2717" s="1">
        <f>20.2991447318743*(10.3/7.3)</f>
        <v>28.641259005247345</v>
      </c>
      <c r="F2717" s="1">
        <f>53.0768123044637*(38.9/42.5)</f>
        <v>48.580894085732616</v>
      </c>
      <c r="G2717" s="1">
        <v>2.5469560162667007</v>
      </c>
      <c r="H2717" s="1">
        <v>10.05409799544899</v>
      </c>
      <c r="I2717" s="1">
        <v>41.250700695930931</v>
      </c>
      <c r="J2717" s="1">
        <v>3.6128646727579039E-2</v>
      </c>
      <c r="K2717" s="1">
        <v>2.2754430253768625</v>
      </c>
      <c r="L2717" s="1">
        <v>3.9214305633426116</v>
      </c>
      <c r="M2717" s="1">
        <v>0.12856294171417759</v>
      </c>
      <c r="N2717" s="1">
        <v>2.314888016639427</v>
      </c>
      <c r="O2717" s="1">
        <v>0.10842947368421053</v>
      </c>
      <c r="P2717" s="1">
        <v>8.7643442080541673E-2</v>
      </c>
      <c r="Q2717" s="1">
        <v>4.0704776515677894</v>
      </c>
      <c r="R2717" s="2">
        <f t="shared" si="171"/>
        <v>149.80857031301542</v>
      </c>
      <c r="S2717" s="2">
        <f t="shared" si="170"/>
        <v>2.3992151141849836</v>
      </c>
      <c r="T2717" s="2">
        <f t="shared" si="172"/>
        <v>6.4733109953804258</v>
      </c>
      <c r="U2717" s="2">
        <f t="shared" si="173"/>
        <v>158.68109642258082</v>
      </c>
    </row>
    <row r="2718" spans="1:21" x14ac:dyDescent="0.25">
      <c r="A2718">
        <v>4318989</v>
      </c>
      <c r="B2718">
        <v>14</v>
      </c>
      <c r="C2718" s="1">
        <f>4.70240376713229*(10.3/7.3)</f>
        <v>6.6348984659537802</v>
      </c>
      <c r="D2718" s="1">
        <f>5.75723582507848*(10.3/7.3)</f>
        <v>8.1232231504531924</v>
      </c>
      <c r="E2718" s="1">
        <f>20.1431482780057*(10.3/7.3)</f>
        <v>28.421154419651835</v>
      </c>
      <c r="F2718" s="1">
        <f>52.067011047314*(38.9/42.5)</f>
        <v>47.65662893507097</v>
      </c>
      <c r="G2718" s="1">
        <v>2.4644881565066439</v>
      </c>
      <c r="H2718" s="1">
        <v>7.3911888805177757</v>
      </c>
      <c r="I2718" s="1">
        <v>40.778383194868361</v>
      </c>
      <c r="J2718" s="1">
        <v>3.7271089459475534E-2</v>
      </c>
      <c r="K2718" s="1">
        <v>2.3508647485989123</v>
      </c>
      <c r="L2718" s="1">
        <v>3.8126370940727266</v>
      </c>
      <c r="M2718" s="1">
        <v>0.12655855300905419</v>
      </c>
      <c r="N2718" s="1">
        <v>1.643687763081332</v>
      </c>
      <c r="O2718" s="1">
        <v>0.10694095238095237</v>
      </c>
      <c r="P2718" s="1">
        <v>8.7302051203668032E-2</v>
      </c>
      <c r="Q2718" s="1">
        <v>3.9386797021795723</v>
      </c>
      <c r="R2718" s="2">
        <f t="shared" si="171"/>
        <v>145.40864490520212</v>
      </c>
      <c r="S2718" s="2">
        <f t="shared" si="170"/>
        <v>2.4754378892620559</v>
      </c>
      <c r="T2718" s="2">
        <f t="shared" si="172"/>
        <v>5.6898243625440657</v>
      </c>
      <c r="U2718" s="2">
        <f t="shared" si="173"/>
        <v>153.57390715700825</v>
      </c>
    </row>
    <row r="2719" spans="1:21" x14ac:dyDescent="0.25">
      <c r="A2719">
        <v>4318997</v>
      </c>
      <c r="B2719">
        <v>1</v>
      </c>
      <c r="C2719" s="1">
        <f>5.14593014337763*(10.3/7.3)</f>
        <v>7.2606959557246027</v>
      </c>
      <c r="D2719" s="1">
        <f>5.78634971654016*(10.3/7.3)</f>
        <v>8.1643016548443352</v>
      </c>
      <c r="E2719" s="1">
        <f>20.4419703527158*(10.3/7.3)</f>
        <v>28.842780086708604</v>
      </c>
      <c r="F2719" s="1">
        <f>47.0072282408438*(38.9/42.5)</f>
        <v>43.025439495736997</v>
      </c>
      <c r="G2719" s="1">
        <v>1.9806646116477815</v>
      </c>
      <c r="H2719" s="1">
        <v>7.7997976993303642</v>
      </c>
      <c r="I2719" s="1">
        <v>37.103708810855821</v>
      </c>
      <c r="J2719" s="1">
        <v>3.7662676549070247E-2</v>
      </c>
      <c r="K2719" s="1">
        <v>2.3752900354920268</v>
      </c>
      <c r="L2719" s="1">
        <v>3.6989182834157206</v>
      </c>
      <c r="M2719" s="1">
        <v>0.12985084536848795</v>
      </c>
      <c r="N2719" s="1">
        <v>1.6686309960517853</v>
      </c>
      <c r="O2719" s="1">
        <v>0.11045333333333333</v>
      </c>
      <c r="P2719" s="1">
        <v>8.930231791289002E-2</v>
      </c>
      <c r="Q2719" s="1">
        <v>3.1654457263777362</v>
      </c>
      <c r="R2719" s="2">
        <f t="shared" si="171"/>
        <v>137.34283404122621</v>
      </c>
      <c r="S2719" s="2">
        <f t="shared" si="170"/>
        <v>2.5022550299539872</v>
      </c>
      <c r="T2719" s="2">
        <f t="shared" si="172"/>
        <v>5.6078534581693269</v>
      </c>
      <c r="U2719" s="2">
        <f t="shared" si="173"/>
        <v>145.45294252934954</v>
      </c>
    </row>
    <row r="2720" spans="1:21" x14ac:dyDescent="0.25">
      <c r="A2720">
        <v>4330489</v>
      </c>
      <c r="B2720">
        <v>26</v>
      </c>
      <c r="C2720" s="1">
        <f>0.525103322361612*(10.3/7.3)</f>
        <v>0.74089920826364464</v>
      </c>
      <c r="D2720" s="1">
        <f>0.688324856855912*(10.3/7.3)</f>
        <v>0.97119808570080779</v>
      </c>
      <c r="E2720" s="1">
        <f>2.40848127014933*(10.3/7.3)</f>
        <v>3.398268093498372</v>
      </c>
      <c r="F2720" s="1">
        <f>5.84180837953414*(38.9/42.5)</f>
        <v>5.3469728462088995</v>
      </c>
      <c r="G2720" s="1">
        <v>0.26512992604495172</v>
      </c>
      <c r="H2720" s="1">
        <v>1.2334692999207708</v>
      </c>
      <c r="I2720" s="1">
        <v>4.4478429533240318</v>
      </c>
      <c r="J2720" s="1">
        <v>3.4563179404566741E-2</v>
      </c>
      <c r="K2720" s="1">
        <v>3.0402611626089611</v>
      </c>
      <c r="L2720" s="1">
        <v>2.328336545971978</v>
      </c>
      <c r="M2720" s="1">
        <v>0.19258539824923174</v>
      </c>
      <c r="N2720" s="1">
        <v>1.139354048455675</v>
      </c>
      <c r="O2720" s="1">
        <v>1.0067487179487176</v>
      </c>
      <c r="P2720" s="1">
        <v>0.30126557754760785</v>
      </c>
      <c r="Q2720" s="1">
        <v>0.42372362609923836</v>
      </c>
      <c r="R2720" s="2">
        <f t="shared" si="171"/>
        <v>16.827504039060717</v>
      </c>
      <c r="S2720" s="2">
        <f t="shared" si="170"/>
        <v>3.3760899195611356</v>
      </c>
      <c r="T2720" s="2">
        <f t="shared" si="172"/>
        <v>4.6670247106256024</v>
      </c>
      <c r="U2720" s="2">
        <f t="shared" si="173"/>
        <v>24.870618669247456</v>
      </c>
    </row>
    <row r="2721" spans="1:21" x14ac:dyDescent="0.25">
      <c r="A2721">
        <v>4331049</v>
      </c>
      <c r="B2721">
        <v>6</v>
      </c>
      <c r="C2721" s="1">
        <f>11.6580011839523*(10.3/7.3)</f>
        <v>16.44896057461758</v>
      </c>
      <c r="D2721" s="1">
        <f>19.2877296659144*(10.3/7.3)</f>
        <v>27.214193912180569</v>
      </c>
      <c r="E2721" s="1">
        <f>67.8346034859455*(10.3/7.3)</f>
        <v>95.711837795238168</v>
      </c>
      <c r="F2721" s="1">
        <f>116.173426469593*(38.9/42.5)</f>
        <v>106.33285387452136</v>
      </c>
      <c r="G2721" s="1">
        <v>3.6262113574389416</v>
      </c>
      <c r="H2721" s="1">
        <v>8.7767318785818365</v>
      </c>
      <c r="I2721" s="1">
        <v>75.017788794361124</v>
      </c>
      <c r="J2721" s="1">
        <v>8.3323792180497125E-2</v>
      </c>
      <c r="K2721" s="1">
        <v>3.7746893514383779</v>
      </c>
      <c r="L2721" s="1">
        <v>6.9958683300818789</v>
      </c>
      <c r="M2721" s="1">
        <v>0.27440580783702739</v>
      </c>
      <c r="N2721" s="1">
        <v>3.2150514540979738</v>
      </c>
      <c r="O2721" s="1">
        <v>0.23379555555555553</v>
      </c>
      <c r="P2721" s="1">
        <v>0.15619337194804392</v>
      </c>
      <c r="Q2721" s="1">
        <v>5.7953149548110998</v>
      </c>
      <c r="R2721" s="2">
        <f t="shared" si="171"/>
        <v>338.92389314175068</v>
      </c>
      <c r="S2721" s="2">
        <f t="shared" si="170"/>
        <v>4.0142065155669187</v>
      </c>
      <c r="T2721" s="2">
        <f t="shared" si="172"/>
        <v>10.719121147572436</v>
      </c>
      <c r="U2721" s="2">
        <f t="shared" si="173"/>
        <v>353.65722080489002</v>
      </c>
    </row>
    <row r="2722" spans="1:21" x14ac:dyDescent="0.25">
      <c r="A2722">
        <v>4331057</v>
      </c>
      <c r="B2722">
        <v>58</v>
      </c>
      <c r="C2722" s="1">
        <f>10.73677970331*(10.3/7.3)</f>
        <v>15.149154923848316</v>
      </c>
      <c r="D2722" s="1">
        <f>16.9315099238035*(10.3/7.3)</f>
        <v>23.889664687010459</v>
      </c>
      <c r="E2722" s="1">
        <f>59.5944588002794*(10.3/7.3)</f>
        <v>84.085332279846227</v>
      </c>
      <c r="F2722" s="1">
        <f>104.781999933908*(38.9/42.5)</f>
        <v>95.906348174800556</v>
      </c>
      <c r="G2722" s="1">
        <v>3.377570747512348</v>
      </c>
      <c r="H2722" s="1">
        <v>7.2380195229403279</v>
      </c>
      <c r="I2722" s="1">
        <v>69.48784081221936</v>
      </c>
      <c r="J2722" s="1">
        <v>8.2276159804577018E-2</v>
      </c>
      <c r="K2722" s="1">
        <v>4.0971672054420694</v>
      </c>
      <c r="L2722" s="1">
        <v>7.79994071389042</v>
      </c>
      <c r="M2722" s="1">
        <v>0.29593941364470439</v>
      </c>
      <c r="N2722" s="1">
        <v>3.449779778598276</v>
      </c>
      <c r="O2722" s="1">
        <v>0.24800367816091951</v>
      </c>
      <c r="P2722" s="1">
        <v>0.16630460246044881</v>
      </c>
      <c r="Q2722" s="1">
        <v>5.3979441170288691</v>
      </c>
      <c r="R2722" s="2">
        <f t="shared" si="171"/>
        <v>304.53187526520651</v>
      </c>
      <c r="S2722" s="2">
        <f t="shared" si="170"/>
        <v>4.3457479677070951</v>
      </c>
      <c r="T2722" s="2">
        <f t="shared" si="172"/>
        <v>11.793663584294322</v>
      </c>
      <c r="U2722" s="2">
        <f t="shared" si="173"/>
        <v>320.67128681720794</v>
      </c>
    </row>
    <row r="2723" spans="1:21" x14ac:dyDescent="0.25">
      <c r="A2723">
        <v>4331065</v>
      </c>
      <c r="B2723">
        <v>61</v>
      </c>
      <c r="C2723" s="1">
        <f>6.42816858619915*(10.3/7.3)</f>
        <v>9.0698817038152466</v>
      </c>
      <c r="D2723" s="1">
        <f>9.70634017361805*(10.3/7.3)</f>
        <v>13.695247094282999</v>
      </c>
      <c r="E2723" s="1">
        <f>34.1901799537191*(10.3/7.3)</f>
        <v>48.240938838809164</v>
      </c>
      <c r="F2723" s="1">
        <f>61.5360869488404*(38.9/42.5)</f>
        <v>56.323618407291562</v>
      </c>
      <c r="G2723" s="1">
        <v>2.0372319117122468</v>
      </c>
      <c r="H2723" s="1">
        <v>5.1570230196007438</v>
      </c>
      <c r="I2723" s="1">
        <v>41.760899123543894</v>
      </c>
      <c r="J2723" s="1">
        <v>5.4537828330810383E-2</v>
      </c>
      <c r="K2723" s="1">
        <v>3.1297066524265311</v>
      </c>
      <c r="L2723" s="1">
        <v>5.4890495583906702</v>
      </c>
      <c r="M2723" s="1">
        <v>0.21686846347796584</v>
      </c>
      <c r="N2723" s="1">
        <v>2.6292646080208386</v>
      </c>
      <c r="O2723" s="1">
        <v>0.1853753005464481</v>
      </c>
      <c r="P2723" s="1">
        <v>0.13483924618820148</v>
      </c>
      <c r="Q2723" s="1">
        <v>3.2558500872113587</v>
      </c>
      <c r="R2723" s="2">
        <f t="shared" si="171"/>
        <v>179.54069018626726</v>
      </c>
      <c r="S2723" s="2">
        <f t="shared" si="170"/>
        <v>3.3190837269455429</v>
      </c>
      <c r="T2723" s="2">
        <f t="shared" si="172"/>
        <v>8.520557930435924</v>
      </c>
      <c r="U2723" s="2">
        <f t="shared" si="173"/>
        <v>191.38033184364872</v>
      </c>
    </row>
    <row r="2724" spans="1:21" x14ac:dyDescent="0.25">
      <c r="A2724">
        <v>4331073</v>
      </c>
      <c r="B2724">
        <v>63</v>
      </c>
      <c r="C2724" s="1">
        <f>6.35802062064776*(10.3/7.3)</f>
        <v>8.9709058072153258</v>
      </c>
      <c r="D2724" s="1">
        <f>9.35316806315648*(10.3/7.3)</f>
        <v>13.196935760344072</v>
      </c>
      <c r="E2724" s="1">
        <f>32.9644581057462*(10.3/7.3)</f>
        <v>46.511495683450157</v>
      </c>
      <c r="F2724" s="1">
        <f>60.057221877382*(38.9/42.5)</f>
        <v>54.970021906592031</v>
      </c>
      <c r="G2724" s="1">
        <v>2.0133469913082407</v>
      </c>
      <c r="H2724" s="1">
        <v>5.5471306430227996</v>
      </c>
      <c r="I2724" s="1">
        <v>41.287818401797956</v>
      </c>
      <c r="J2724" s="1">
        <v>5.278747531301424E-2</v>
      </c>
      <c r="K2724" s="1">
        <v>3.1628470295563478</v>
      </c>
      <c r="L2724" s="1">
        <v>5.4650211156422701</v>
      </c>
      <c r="M2724" s="1">
        <v>0.21418884048483108</v>
      </c>
      <c r="N2724" s="1">
        <v>2.7021152611697854</v>
      </c>
      <c r="O2724" s="1">
        <v>0.18607322751322752</v>
      </c>
      <c r="P2724" s="1">
        <v>0.13436423938350583</v>
      </c>
      <c r="Q2724" s="1">
        <v>3.2176778399903423</v>
      </c>
      <c r="R2724" s="2">
        <f t="shared" si="171"/>
        <v>175.71533303372092</v>
      </c>
      <c r="S2724" s="2">
        <f t="shared" si="170"/>
        <v>3.3499987442528676</v>
      </c>
      <c r="T2724" s="2">
        <f t="shared" si="172"/>
        <v>8.5673984448101148</v>
      </c>
      <c r="U2724" s="2">
        <f t="shared" si="173"/>
        <v>187.63273022278392</v>
      </c>
    </row>
    <row r="2725" spans="1:21" x14ac:dyDescent="0.25">
      <c r="A2725">
        <v>4331081</v>
      </c>
      <c r="B2725">
        <v>65</v>
      </c>
      <c r="C2725" s="1">
        <f>9.83603063283068*(10.3/7.3)</f>
        <v>13.878235002487129</v>
      </c>
      <c r="D2725" s="1">
        <f>14.1302797321422*(10.3/7.3)</f>
        <v>19.937244005625228</v>
      </c>
      <c r="E2725" s="1">
        <f>49.8321060960459*(10.3/7.3)</f>
        <v>70.311053806749712</v>
      </c>
      <c r="F2725" s="1">
        <f>91.5441992673601*(38.9/42.5)</f>
        <v>83.789867094124858</v>
      </c>
      <c r="G2725" s="1">
        <v>3.0902593711691071</v>
      </c>
      <c r="H2725" s="1">
        <v>6.9604396245107534</v>
      </c>
      <c r="I2725" s="1">
        <v>63.616723977188656</v>
      </c>
      <c r="J2725" s="1">
        <v>7.3423875574444256E-2</v>
      </c>
      <c r="K2725" s="1">
        <v>4.1380938803227822</v>
      </c>
      <c r="L2725" s="1">
        <v>7.7959888594405076</v>
      </c>
      <c r="M2725" s="1">
        <v>0.28471820201728065</v>
      </c>
      <c r="N2725" s="1">
        <v>3.586247424445828</v>
      </c>
      <c r="O2725" s="1">
        <v>0.23886030769230765</v>
      </c>
      <c r="P2725" s="1">
        <v>0.1620052817323003</v>
      </c>
      <c r="Q2725" s="1">
        <v>4.9387706845168449</v>
      </c>
      <c r="R2725" s="2">
        <f t="shared" si="171"/>
        <v>266.52259356637228</v>
      </c>
      <c r="S2725" s="2">
        <f t="shared" si="170"/>
        <v>4.3735230376295267</v>
      </c>
      <c r="T2725" s="2">
        <f t="shared" si="172"/>
        <v>11.905814793595924</v>
      </c>
      <c r="U2725" s="2">
        <f t="shared" si="173"/>
        <v>282.80193139759774</v>
      </c>
    </row>
    <row r="2726" spans="1:21" x14ac:dyDescent="0.25">
      <c r="A2726">
        <v>4331089</v>
      </c>
      <c r="B2726">
        <v>66</v>
      </c>
      <c r="C2726" s="1">
        <f>9.25593950571083*(10.3/7.3)</f>
        <v>13.059750261482408</v>
      </c>
      <c r="D2726" s="1">
        <f>13.044704195739*(10.3/7.3)</f>
        <v>18.405541536453637</v>
      </c>
      <c r="E2726" s="1">
        <f>46.0239778509326*(10.3/7.3)</f>
        <v>64.937941351315828</v>
      </c>
      <c r="F2726" s="1">
        <f>85.2949001451106*(38.9/42.5)</f>
        <v>78.069920368113017</v>
      </c>
      <c r="G2726" s="1">
        <v>2.904018863366244</v>
      </c>
      <c r="H2726" s="1">
        <v>6.7290635882028589</v>
      </c>
      <c r="I2726" s="1">
        <v>59.822971279714338</v>
      </c>
      <c r="J2726" s="1">
        <v>7.010981277085894E-2</v>
      </c>
      <c r="K2726" s="1">
        <v>4.0020941497018345</v>
      </c>
      <c r="L2726" s="1">
        <v>7.4317784436877616</v>
      </c>
      <c r="M2726" s="1">
        <v>0.27147923075423547</v>
      </c>
      <c r="N2726" s="1">
        <v>3.779295677866306</v>
      </c>
      <c r="O2726" s="1">
        <v>0.22829333333333332</v>
      </c>
      <c r="P2726" s="1">
        <v>0.15632876828626913</v>
      </c>
      <c r="Q2726" s="1">
        <v>4.6411260373433194</v>
      </c>
      <c r="R2726" s="2">
        <f t="shared" si="171"/>
        <v>248.57033328599164</v>
      </c>
      <c r="S2726" s="2">
        <f t="shared" si="170"/>
        <v>4.2285327307589631</v>
      </c>
      <c r="T2726" s="2">
        <f t="shared" si="172"/>
        <v>11.710846685641636</v>
      </c>
      <c r="U2726" s="2">
        <f t="shared" si="173"/>
        <v>264.50971270239222</v>
      </c>
    </row>
    <row r="2727" spans="1:21" x14ac:dyDescent="0.25">
      <c r="A2727">
        <v>4331097</v>
      </c>
      <c r="B2727">
        <v>59</v>
      </c>
      <c r="C2727" s="1">
        <f>7.93903582216036*(10.3/7.3)</f>
        <v>11.201653283322146</v>
      </c>
      <c r="D2727" s="1">
        <f>11.0163995472703*(10.3/7.3)</f>
        <v>15.543687032449828</v>
      </c>
      <c r="E2727" s="1">
        <f>38.8788360781622*(10.3/7.3)</f>
        <v>54.856439945900057</v>
      </c>
      <c r="F2727" s="1">
        <f>72.7266169333295*(38.9/42.5)</f>
        <v>66.566244675447493</v>
      </c>
      <c r="G2727" s="1">
        <v>2.5008632198724805</v>
      </c>
      <c r="H2727" s="1">
        <v>6.3455411946076996</v>
      </c>
      <c r="I2727" s="1">
        <v>51.416754078445493</v>
      </c>
      <c r="J2727" s="1">
        <v>6.3206475492693828E-2</v>
      </c>
      <c r="K2727" s="1">
        <v>3.6860341858211521</v>
      </c>
      <c r="L2727" s="1">
        <v>6.6055589336910234</v>
      </c>
      <c r="M2727" s="1">
        <v>0.24401994448900596</v>
      </c>
      <c r="N2727" s="1">
        <v>3.5888251298221876</v>
      </c>
      <c r="O2727" s="1">
        <v>0.20837966101694919</v>
      </c>
      <c r="P2727" s="1">
        <v>0.14605913309886109</v>
      </c>
      <c r="Q2727" s="1">
        <v>3.9968133650930082</v>
      </c>
      <c r="R2727" s="2">
        <f t="shared" si="171"/>
        <v>212.42799679513823</v>
      </c>
      <c r="S2727" s="2">
        <f t="shared" si="170"/>
        <v>3.8952997944127068</v>
      </c>
      <c r="T2727" s="2">
        <f t="shared" si="172"/>
        <v>10.646783669019165</v>
      </c>
      <c r="U2727" s="2">
        <f t="shared" si="173"/>
        <v>226.97008025857008</v>
      </c>
    </row>
    <row r="2728" spans="1:21" x14ac:dyDescent="0.25">
      <c r="A2728">
        <v>4331105</v>
      </c>
      <c r="B2728">
        <v>54</v>
      </c>
      <c r="C2728" s="1">
        <f>6.92319669444442*(10.3/7.3)</f>
        <v>9.7683460209284245</v>
      </c>
      <c r="D2728" s="1">
        <f>9.47717222340108*(10.3/7.3)</f>
        <v>13.371900534387832</v>
      </c>
      <c r="E2728" s="1">
        <f>33.4583456625253*(10.3/7.3)</f>
        <v>47.208350729316557</v>
      </c>
      <c r="F2728" s="1">
        <f>62.9372502828805*(38.9/42.5)</f>
        <v>57.606094964801201</v>
      </c>
      <c r="G2728" s="1">
        <v>2.1748088466344444</v>
      </c>
      <c r="H2728" s="1">
        <v>7.897708835792753</v>
      </c>
      <c r="I2728" s="1">
        <v>44.774131537626971</v>
      </c>
      <c r="J2728" s="1">
        <v>5.5247770164540855E-2</v>
      </c>
      <c r="K2728" s="1">
        <v>3.2232008259298754</v>
      </c>
      <c r="L2728" s="1">
        <v>5.4895501764613579</v>
      </c>
      <c r="M2728" s="1">
        <v>0.21344923475328131</v>
      </c>
      <c r="N2728" s="1">
        <v>4.5227286925045647</v>
      </c>
      <c r="O2728" s="1">
        <v>0.18338172839506173</v>
      </c>
      <c r="P2728" s="1">
        <v>0.13029394684606174</v>
      </c>
      <c r="Q2728" s="1">
        <v>3.4757219010139546</v>
      </c>
      <c r="R2728" s="2">
        <f t="shared" si="171"/>
        <v>186.27706337050211</v>
      </c>
      <c r="S2728" s="2">
        <f t="shared" si="170"/>
        <v>3.4087425429404781</v>
      </c>
      <c r="T2728" s="2">
        <f t="shared" si="172"/>
        <v>10.409109832114266</v>
      </c>
      <c r="U2728" s="2">
        <f t="shared" si="173"/>
        <v>200.09491574555685</v>
      </c>
    </row>
    <row r="2729" spans="1:21" x14ac:dyDescent="0.25">
      <c r="A2729">
        <v>4331113</v>
      </c>
      <c r="B2729">
        <v>60</v>
      </c>
      <c r="C2729" s="1">
        <f>8.47757472498212*(10.3/7.3)</f>
        <v>11.961509543467923</v>
      </c>
      <c r="D2729" s="1">
        <f>11.4028805124431*(10.3/7.3)</f>
        <v>16.088995791529332</v>
      </c>
      <c r="E2729" s="1">
        <f>40.2733061940807*(10.3/7.3)</f>
        <v>56.823979972469985</v>
      </c>
      <c r="F2729" s="1">
        <f>76.4157743827194*(38.9/42.5)</f>
        <v>69.942908787947914</v>
      </c>
      <c r="G2729" s="1">
        <v>2.6624166670329399</v>
      </c>
      <c r="H2729" s="1">
        <v>7.951292478072741</v>
      </c>
      <c r="I2729" s="1">
        <v>54.819619472265074</v>
      </c>
      <c r="J2729" s="1">
        <v>6.7451381325995638E-2</v>
      </c>
      <c r="K2729" s="1">
        <v>3.7408496814915595</v>
      </c>
      <c r="L2729" s="1">
        <v>6.9136906158994131</v>
      </c>
      <c r="M2729" s="1">
        <v>0.24637727910866283</v>
      </c>
      <c r="N2729" s="1">
        <v>4.7605810584782366</v>
      </c>
      <c r="O2729" s="1">
        <v>0.20860977777777781</v>
      </c>
      <c r="P2729" s="1">
        <v>0.14510452233315277</v>
      </c>
      <c r="Q2729" s="1">
        <v>4.255003805760408</v>
      </c>
      <c r="R2729" s="2">
        <f t="shared" si="171"/>
        <v>224.50572651854628</v>
      </c>
      <c r="S2729" s="2">
        <f t="shared" si="170"/>
        <v>3.9534055851507079</v>
      </c>
      <c r="T2729" s="2">
        <f t="shared" si="172"/>
        <v>12.129258731264091</v>
      </c>
      <c r="U2729" s="2">
        <f t="shared" si="173"/>
        <v>240.58839083496107</v>
      </c>
    </row>
    <row r="2730" spans="1:21" x14ac:dyDescent="0.25">
      <c r="A2730">
        <v>4331121</v>
      </c>
      <c r="B2730">
        <v>66</v>
      </c>
      <c r="C2730" s="1">
        <f>7.60785628712041*(10.3/7.3)</f>
        <v>10.734372569498655</v>
      </c>
      <c r="D2730" s="1">
        <f>10.1797425005461*(10.3/7.3)</f>
        <v>14.36319832268839</v>
      </c>
      <c r="E2730" s="1">
        <f>35.9344244350365*(10.3/7.3)</f>
        <v>50.701996120667971</v>
      </c>
      <c r="F2730" s="1">
        <f>69.535761292164*(38.9/42.5)</f>
        <v>63.645673276827729</v>
      </c>
      <c r="G2730" s="1">
        <v>2.486365176953008</v>
      </c>
      <c r="H2730" s="1">
        <v>6.38312862512017</v>
      </c>
      <c r="I2730" s="1">
        <v>50.21506316258769</v>
      </c>
      <c r="J2730" s="1">
        <v>6.3989698551697644E-2</v>
      </c>
      <c r="K2730" s="1">
        <v>3.4527529898352114</v>
      </c>
      <c r="L2730" s="1">
        <v>6.1745053976053317</v>
      </c>
      <c r="M2730" s="1">
        <v>0.22626638789163012</v>
      </c>
      <c r="N2730" s="1">
        <v>3.9229228926801412</v>
      </c>
      <c r="O2730" s="1">
        <v>0.19183838383838386</v>
      </c>
      <c r="P2730" s="1">
        <v>0.13512668742748188</v>
      </c>
      <c r="Q2730" s="1">
        <v>3.9736429768655426</v>
      </c>
      <c r="R2730" s="2">
        <f t="shared" si="171"/>
        <v>202.50344023120914</v>
      </c>
      <c r="S2730" s="2">
        <f t="shared" si="170"/>
        <v>3.6518693758143908</v>
      </c>
      <c r="T2730" s="2">
        <f t="shared" si="172"/>
        <v>10.515533062015486</v>
      </c>
      <c r="U2730" s="2">
        <f t="shared" si="173"/>
        <v>216.67084266903902</v>
      </c>
    </row>
    <row r="2731" spans="1:21" x14ac:dyDescent="0.25">
      <c r="A2731">
        <v>4331129</v>
      </c>
      <c r="B2731">
        <v>23</v>
      </c>
      <c r="C2731" s="1">
        <f>8.86320489293155*(10.3/7.3)</f>
        <v>12.505617862629446</v>
      </c>
      <c r="D2731" s="1">
        <f>11.6000435894257*(10.3/7.3)</f>
        <v>16.367184790559492</v>
      </c>
      <c r="E2731" s="1">
        <f>40.9883999633171*(10.3/7.3)</f>
        <v>57.832947893447347</v>
      </c>
      <c r="F2731" s="1">
        <f>79.2341383725062*(38.9/42.5)</f>
        <v>72.522540769188055</v>
      </c>
      <c r="G2731" s="1">
        <v>2.8150927031392285</v>
      </c>
      <c r="H2731" s="1">
        <v>6.7520549607804625</v>
      </c>
      <c r="I2731" s="1">
        <v>57.644725730080516</v>
      </c>
      <c r="J2731" s="1">
        <v>7.3240279669267355E-2</v>
      </c>
      <c r="K2731" s="1">
        <v>3.8184451654262292</v>
      </c>
      <c r="L2731" s="1">
        <v>7.1717489327890664</v>
      </c>
      <c r="M2731" s="1">
        <v>0.24784914145286976</v>
      </c>
      <c r="N2731" s="1">
        <v>3.7826891226129193</v>
      </c>
      <c r="O2731" s="1">
        <v>0.20882086956521739</v>
      </c>
      <c r="P2731" s="1">
        <v>0.14557347649414226</v>
      </c>
      <c r="Q2731" s="1">
        <v>4.4990066031905522</v>
      </c>
      <c r="R2731" s="2">
        <f t="shared" si="171"/>
        <v>230.93917131301509</v>
      </c>
      <c r="S2731" s="2">
        <f t="shared" si="170"/>
        <v>4.0372589215896388</v>
      </c>
      <c r="T2731" s="2">
        <f t="shared" si="172"/>
        <v>11.411108066420072</v>
      </c>
      <c r="U2731" s="2">
        <f t="shared" si="173"/>
        <v>246.38753830102479</v>
      </c>
    </row>
    <row r="2732" spans="1:21" x14ac:dyDescent="0.25">
      <c r="A2732">
        <v>4331137</v>
      </c>
      <c r="B2732">
        <v>67</v>
      </c>
      <c r="C2732" s="1">
        <f>7.94526763299979*(10.3/7.3)</f>
        <v>11.210446112314772</v>
      </c>
      <c r="D2732" s="1">
        <f>10.2036997306451*(10.3/7.3)</f>
        <v>14.397000989814343</v>
      </c>
      <c r="E2732" s="1">
        <f>36.0814800592697*(10.3/7.3)</f>
        <v>50.909485563079109</v>
      </c>
      <c r="F2732" s="1">
        <f>69.885797728068*(38.9/42.5)</f>
        <v>63.966059567572785</v>
      </c>
      <c r="G2732" s="1">
        <v>2.4787693648106717</v>
      </c>
      <c r="H2732" s="1">
        <v>6.1659783758844302</v>
      </c>
      <c r="I2732" s="1">
        <v>51.204516334206602</v>
      </c>
      <c r="J2732" s="1">
        <v>7.0279867173811031E-2</v>
      </c>
      <c r="K2732" s="1">
        <v>3.669440625985926</v>
      </c>
      <c r="L2732" s="1">
        <v>6.7498791164876719</v>
      </c>
      <c r="M2732" s="1">
        <v>0.23466888922529761</v>
      </c>
      <c r="N2732" s="1">
        <v>3.5351122607739733</v>
      </c>
      <c r="O2732" s="1">
        <v>0.19815562189054725</v>
      </c>
      <c r="P2732" s="1">
        <v>0.13954273851941482</v>
      </c>
      <c r="Q2732" s="1">
        <v>3.9615035510672882</v>
      </c>
      <c r="R2732" s="2">
        <f t="shared" si="171"/>
        <v>204.29375985875001</v>
      </c>
      <c r="S2732" s="2">
        <f t="shared" si="170"/>
        <v>3.8792632316791522</v>
      </c>
      <c r="T2732" s="2">
        <f t="shared" si="172"/>
        <v>10.717815888377491</v>
      </c>
      <c r="U2732" s="2">
        <f t="shared" si="173"/>
        <v>218.89083897880664</v>
      </c>
    </row>
    <row r="2733" spans="1:21" x14ac:dyDescent="0.25">
      <c r="A2733">
        <v>4331145</v>
      </c>
      <c r="B2733">
        <v>66</v>
      </c>
      <c r="C2733" s="1">
        <f>7.50176583313718*(10.3/7.3)</f>
        <v>10.584683298809988</v>
      </c>
      <c r="D2733" s="1">
        <f>9.49262565149348*(10.3/7.3)</f>
        <v>13.393704686353811</v>
      </c>
      <c r="E2733" s="1">
        <f>33.5804914542457*(10.3/7.3)</f>
        <v>47.380693421743928</v>
      </c>
      <c r="F2733" s="1">
        <f>65.4723512938223*(38.9/42.5)</f>
        <v>59.926458007757326</v>
      </c>
      <c r="G2733" s="1">
        <v>2.3351280805105827</v>
      </c>
      <c r="H2733" s="1">
        <v>5.926140242963414</v>
      </c>
      <c r="I2733" s="1">
        <v>48.290887891157666</v>
      </c>
      <c r="J2733" s="1">
        <v>6.7527373247829425E-2</v>
      </c>
      <c r="K2733" s="1">
        <v>3.5171733215451577</v>
      </c>
      <c r="L2733" s="1">
        <v>6.3675065031622822</v>
      </c>
      <c r="M2733" s="1">
        <v>0.2216536046532096</v>
      </c>
      <c r="N2733" s="1">
        <v>3.5439719365352009</v>
      </c>
      <c r="O2733" s="1">
        <v>0.18769535353535352</v>
      </c>
      <c r="P2733" s="1">
        <v>0.13362352556448637</v>
      </c>
      <c r="Q2733" s="1">
        <v>3.7319398546972806</v>
      </c>
      <c r="R2733" s="2">
        <f t="shared" si="171"/>
        <v>191.56963548399401</v>
      </c>
      <c r="S2733" s="2">
        <f t="shared" si="170"/>
        <v>3.7183242203574736</v>
      </c>
      <c r="T2733" s="2">
        <f t="shared" si="172"/>
        <v>10.320827397886045</v>
      </c>
      <c r="U2733" s="2">
        <f t="shared" si="173"/>
        <v>205.6087871022375</v>
      </c>
    </row>
    <row r="2734" spans="1:21" x14ac:dyDescent="0.25">
      <c r="A2734">
        <v>4331153</v>
      </c>
      <c r="B2734">
        <v>66</v>
      </c>
      <c r="C2734" s="1">
        <f>8.94394425707983*(10.3/7.3)</f>
        <v>12.619537787386617</v>
      </c>
      <c r="D2734" s="1">
        <f>11.1443438809299*(10.3/7.3)</f>
        <v>15.72421122925723</v>
      </c>
      <c r="E2734" s="1">
        <f>39.4348546063647*(10.3/7.3)</f>
        <v>55.640959239117322</v>
      </c>
      <c r="F2734" s="1">
        <f>77.6916052367585*(38.9/42.5)</f>
        <v>71.110669263762532</v>
      </c>
      <c r="G2734" s="1">
        <v>2.7999102569363523</v>
      </c>
      <c r="H2734" s="1">
        <v>6.5257370945269253</v>
      </c>
      <c r="I2734" s="1">
        <v>57.741161758095636</v>
      </c>
      <c r="J2734" s="1">
        <v>7.7612439923281221E-2</v>
      </c>
      <c r="K2734" s="1">
        <v>3.8793612079155833</v>
      </c>
      <c r="L2734" s="1">
        <v>7.288169588279561</v>
      </c>
      <c r="M2734" s="1">
        <v>0.24226710865253989</v>
      </c>
      <c r="N2734" s="1">
        <v>3.3984708343866012</v>
      </c>
      <c r="O2734" s="1">
        <v>0.20347555555555558</v>
      </c>
      <c r="P2734" s="1">
        <v>0.14199441437576477</v>
      </c>
      <c r="Q2734" s="1">
        <v>4.4747424197612986</v>
      </c>
      <c r="R2734" s="2">
        <f t="shared" si="171"/>
        <v>226.63692904884394</v>
      </c>
      <c r="S2734" s="2">
        <f t="shared" si="170"/>
        <v>4.0989680622146292</v>
      </c>
      <c r="T2734" s="2">
        <f t="shared" si="172"/>
        <v>11.13238308687426</v>
      </c>
      <c r="U2734" s="2">
        <f t="shared" si="173"/>
        <v>241.86828019793282</v>
      </c>
    </row>
    <row r="2735" spans="1:21" x14ac:dyDescent="0.25">
      <c r="A2735">
        <v>4331161</v>
      </c>
      <c r="B2735">
        <v>65</v>
      </c>
      <c r="C2735" s="1">
        <f>4.19241343042081*(10.3/7.3)</f>
        <v>5.9153230593608708</v>
      </c>
      <c r="D2735" s="1">
        <f>5.24367260553379*(10.3/7.3)</f>
        <v>7.3986065530134333</v>
      </c>
      <c r="E2735" s="1">
        <f>18.5572177450584*(10.3/7.3)</f>
        <v>26.183471612890589</v>
      </c>
      <c r="F2735" s="1">
        <f>36.2887212421545*(38.9/42.5)</f>
        <v>33.214853089877877</v>
      </c>
      <c r="G2735" s="1">
        <v>1.2959413117414427</v>
      </c>
      <c r="H2735" s="1">
        <v>3.8087901016103261</v>
      </c>
      <c r="I2735" s="1">
        <v>26.892553525386184</v>
      </c>
      <c r="J2735" s="1">
        <v>4.318367215773157E-2</v>
      </c>
      <c r="K2735" s="1">
        <v>2.5249361934629038</v>
      </c>
      <c r="L2735" s="1">
        <v>4.119319385289117</v>
      </c>
      <c r="M2735" s="1">
        <v>0.15317052438173784</v>
      </c>
      <c r="N2735" s="1">
        <v>1.9866441311248186</v>
      </c>
      <c r="O2735" s="1">
        <v>0.13075528205128201</v>
      </c>
      <c r="P2735" s="1">
        <v>0.10224959875116284</v>
      </c>
      <c r="Q2735" s="1">
        <v>2.0711390826918041</v>
      </c>
      <c r="R2735" s="2">
        <f t="shared" si="171"/>
        <v>106.78067833657254</v>
      </c>
      <c r="S2735" s="2">
        <f t="shared" si="170"/>
        <v>2.6703694643717983</v>
      </c>
      <c r="T2735" s="2">
        <f t="shared" si="172"/>
        <v>6.3898893228469547</v>
      </c>
      <c r="U2735" s="2">
        <f t="shared" si="173"/>
        <v>115.84093712379129</v>
      </c>
    </row>
    <row r="2736" spans="1:21" x14ac:dyDescent="0.25">
      <c r="A2736">
        <v>4331169</v>
      </c>
      <c r="B2736">
        <v>64</v>
      </c>
      <c r="C2736" s="1">
        <f>6.42855422734402*(10.3/7.3)</f>
        <v>9.0704258276223921</v>
      </c>
      <c r="D2736" s="1">
        <f>7.88676286829612*(10.3/7.3)</f>
        <v>11.127898293623295</v>
      </c>
      <c r="E2736" s="1">
        <f>27.914078445895*(10.3/7.3)</f>
        <v>39.38561753324916</v>
      </c>
      <c r="F2736" s="1">
        <f>55.670255594211*(38.9/42.5)</f>
        <v>50.954657473289565</v>
      </c>
      <c r="G2736" s="1">
        <v>2.0315291196358243</v>
      </c>
      <c r="H2736" s="1">
        <v>5.1311088412597909</v>
      </c>
      <c r="I2736" s="1">
        <v>41.702241849404487</v>
      </c>
      <c r="J2736" s="1">
        <v>5.6802044896355937E-2</v>
      </c>
      <c r="K2736" s="1">
        <v>3.1377486573742441</v>
      </c>
      <c r="L2736" s="1">
        <v>5.5051462907113065</v>
      </c>
      <c r="M2736" s="1">
        <v>0.1900191631664809</v>
      </c>
      <c r="N2736" s="1">
        <v>2.4879179958621096</v>
      </c>
      <c r="O2736" s="1">
        <v>0.16124749999999996</v>
      </c>
      <c r="P2736" s="1">
        <v>0.1184968769149862</v>
      </c>
      <c r="Q2736" s="1">
        <v>3.2467360359476674</v>
      </c>
      <c r="R2736" s="2">
        <f t="shared" si="171"/>
        <v>162.65021497403217</v>
      </c>
      <c r="S2736" s="2">
        <f t="shared" si="170"/>
        <v>3.3130475791855862</v>
      </c>
      <c r="T2736" s="2">
        <f t="shared" si="172"/>
        <v>8.3443309497398968</v>
      </c>
      <c r="U2736" s="2">
        <f t="shared" si="173"/>
        <v>174.30759350295764</v>
      </c>
    </row>
    <row r="2737" spans="1:21" x14ac:dyDescent="0.25">
      <c r="A2737">
        <v>4331177</v>
      </c>
      <c r="B2737">
        <v>61</v>
      </c>
      <c r="C2737" s="1">
        <f>4.65334111902005*(10.3/7.3)</f>
        <v>6.5656730857406203</v>
      </c>
      <c r="D2737" s="1">
        <f>5.69767865379388*(10.3/7.3)</f>
        <v>8.0391904293256129</v>
      </c>
      <c r="E2737" s="1">
        <f>20.1676307498442*(10.3/7.3)</f>
        <v>28.455698181287044</v>
      </c>
      <c r="F2737" s="1">
        <f>40.2370293586071*(38.9/42.5)</f>
        <v>36.828716283525068</v>
      </c>
      <c r="G2737" s="1">
        <v>1.4684280095092923</v>
      </c>
      <c r="H2737" s="1">
        <v>4.0968734502109578</v>
      </c>
      <c r="I2737" s="1">
        <v>30.164279005514192</v>
      </c>
      <c r="J2737" s="1">
        <v>4.3951800124441193E-2</v>
      </c>
      <c r="K2737" s="1">
        <v>2.6211562365110557</v>
      </c>
      <c r="L2737" s="1">
        <v>4.3815113532708523</v>
      </c>
      <c r="M2737" s="1">
        <v>0.15556021848642423</v>
      </c>
      <c r="N2737" s="1">
        <v>2.0143455741709562</v>
      </c>
      <c r="O2737" s="1">
        <v>0.13239081967213115</v>
      </c>
      <c r="P2737" s="1">
        <v>0.10262049001131972</v>
      </c>
      <c r="Q2737" s="1">
        <v>2.3468027549235284</v>
      </c>
      <c r="R2737" s="2">
        <f t="shared" si="171"/>
        <v>117.96566120003632</v>
      </c>
      <c r="S2737" s="2">
        <f t="shared" si="170"/>
        <v>2.7677285266468168</v>
      </c>
      <c r="T2737" s="2">
        <f t="shared" si="172"/>
        <v>6.6838079656003631</v>
      </c>
      <c r="U2737" s="2">
        <f t="shared" si="173"/>
        <v>127.41719769228351</v>
      </c>
    </row>
    <row r="2738" spans="1:21" x14ac:dyDescent="0.25">
      <c r="A2738">
        <v>4331185</v>
      </c>
      <c r="B2738">
        <v>59</v>
      </c>
      <c r="C2738" s="1">
        <f>9.12635044882937*(10.3/7.3)</f>
        <v>12.876905427800345</v>
      </c>
      <c r="D2738" s="1">
        <f>10.8543901072933*(10.3/7.3)</f>
        <v>15.315098370564565</v>
      </c>
      <c r="E2738" s="1">
        <f>38.433848705305*(10.3/7.3)</f>
        <v>54.228581049950847</v>
      </c>
      <c r="F2738" s="1">
        <f>78.6352202147145*(38.9/42.5)</f>
        <v>71.974354502409298</v>
      </c>
      <c r="G2738" s="1">
        <v>2.9436458002974031</v>
      </c>
      <c r="H2738" s="1">
        <v>6.6915270529328659</v>
      </c>
      <c r="I2738" s="1">
        <v>59.828404584171956</v>
      </c>
      <c r="J2738" s="1">
        <v>6.9292668054699982E-2</v>
      </c>
      <c r="K2738" s="1">
        <v>3.7465635688226642</v>
      </c>
      <c r="L2738" s="1">
        <v>6.9804919369118474</v>
      </c>
      <c r="M2738" s="1">
        <v>0.21959912429425368</v>
      </c>
      <c r="N2738" s="1">
        <v>2.8241343055449852</v>
      </c>
      <c r="O2738" s="1">
        <v>0.18536677966101692</v>
      </c>
      <c r="P2738" s="1">
        <v>0.13185284607558756</v>
      </c>
      <c r="Q2738" s="1">
        <v>4.7044567584661738</v>
      </c>
      <c r="R2738" s="2">
        <f t="shared" si="171"/>
        <v>228.56297354659341</v>
      </c>
      <c r="S2738" s="2">
        <f t="shared" si="170"/>
        <v>3.9477090829529518</v>
      </c>
      <c r="T2738" s="2">
        <f t="shared" si="172"/>
        <v>10.209592146412103</v>
      </c>
      <c r="U2738" s="2">
        <f t="shared" si="173"/>
        <v>242.72027477595844</v>
      </c>
    </row>
    <row r="2739" spans="1:21" x14ac:dyDescent="0.25">
      <c r="A2739">
        <v>4331193</v>
      </c>
      <c r="B2739">
        <v>48</v>
      </c>
      <c r="C2739" s="1">
        <f>8.83319952194561*(10.3/7.3)</f>
        <v>12.463281517265724</v>
      </c>
      <c r="D2739" s="1">
        <f>10.401107901536*(10.3/7.3)</f>
        <v>14.675535806276834</v>
      </c>
      <c r="E2739" s="1">
        <f>36.8183599706625*(10.3/7.3)</f>
        <v>51.949192835318271</v>
      </c>
      <c r="F2739" s="1">
        <f>76.7446700287626*(38.9/42.5)</f>
        <v>70.243945038090914</v>
      </c>
      <c r="G2739" s="1">
        <v>2.9323707386963096</v>
      </c>
      <c r="H2739" s="1">
        <v>7.4717969473137726</v>
      </c>
      <c r="I2739" s="1">
        <v>58.781062294055552</v>
      </c>
      <c r="J2739" s="1">
        <v>6.6851498394818867E-2</v>
      </c>
      <c r="K2739" s="1">
        <v>3.6178416929611075</v>
      </c>
      <c r="L2739" s="1">
        <v>6.7273340677551579</v>
      </c>
      <c r="M2739" s="1">
        <v>0.20925910190992006</v>
      </c>
      <c r="N2739" s="1">
        <v>2.6808856930048726</v>
      </c>
      <c r="O2739" s="1">
        <v>0.17628111111111111</v>
      </c>
      <c r="P2739" s="1">
        <v>0.1267703492332036</v>
      </c>
      <c r="Q2739" s="1">
        <v>4.686437253624244</v>
      </c>
      <c r="R2739" s="2">
        <f t="shared" si="171"/>
        <v>223.20362243064162</v>
      </c>
      <c r="S2739" s="2">
        <f t="shared" si="170"/>
        <v>3.8114635405891302</v>
      </c>
      <c r="T2739" s="2">
        <f t="shared" si="172"/>
        <v>9.7937599737810608</v>
      </c>
      <c r="U2739" s="2">
        <f t="shared" si="173"/>
        <v>236.8088459450118</v>
      </c>
    </row>
    <row r="2740" spans="1:21" x14ac:dyDescent="0.25">
      <c r="A2740">
        <v>4331209</v>
      </c>
      <c r="B2740">
        <v>29</v>
      </c>
      <c r="C2740" s="1">
        <f>4.72847912728933*(10.3/7.3)</f>
        <v>6.6716897275452247</v>
      </c>
      <c r="D2740" s="1">
        <f>5.9527460501979*(10.3/7.3)</f>
        <v>8.3990800434299171</v>
      </c>
      <c r="E2740" s="1">
        <f>20.8275910360266*(10.3/7.3)</f>
        <v>29.386875023434769</v>
      </c>
      <c r="F2740" s="1">
        <f>52.4711520245455*(38.9/42.5)</f>
        <v>48.026536794231028</v>
      </c>
      <c r="G2740" s="1">
        <v>2.4432538005638387</v>
      </c>
      <c r="H2740" s="1">
        <v>11.317803219602153</v>
      </c>
      <c r="I2740" s="1">
        <v>40.638051614106899</v>
      </c>
      <c r="J2740" s="1">
        <v>3.6515548360911906E-2</v>
      </c>
      <c r="K2740" s="1">
        <v>2.3182903435303692</v>
      </c>
      <c r="L2740" s="1">
        <v>3.8251299992721388</v>
      </c>
      <c r="M2740" s="1">
        <v>0.13326779660110033</v>
      </c>
      <c r="N2740" s="1">
        <v>2.4615325065826394</v>
      </c>
      <c r="O2740" s="1">
        <v>0.11162114942528735</v>
      </c>
      <c r="P2740" s="1">
        <v>8.9255310203718935E-2</v>
      </c>
      <c r="Q2740" s="1">
        <v>3.904743516882851</v>
      </c>
      <c r="R2740" s="2">
        <f t="shared" si="171"/>
        <v>150.7880337397967</v>
      </c>
      <c r="S2740" s="2">
        <f t="shared" si="170"/>
        <v>2.4440612020949999</v>
      </c>
      <c r="T2740" s="2">
        <f t="shared" si="172"/>
        <v>6.5315514518811657</v>
      </c>
      <c r="U2740" s="2">
        <f t="shared" si="173"/>
        <v>159.76364639377289</v>
      </c>
    </row>
    <row r="2741" spans="1:21" x14ac:dyDescent="0.25">
      <c r="A2741">
        <v>4331225</v>
      </c>
      <c r="B2741">
        <v>26</v>
      </c>
      <c r="C2741" s="1">
        <f>4.67150332586035*(10.3/7.3)</f>
        <v>6.5912992132002204</v>
      </c>
      <c r="D2741" s="1">
        <f>5.44327885754335*(10.3/7.3)</f>
        <v>7.6802427716022565</v>
      </c>
      <c r="E2741" s="1">
        <f>19.1684024101725*(10.3/7.3)</f>
        <v>27.045828058188594</v>
      </c>
      <c r="F2741" s="1">
        <f>45.5006521418323*(38.9/42.5)</f>
        <v>41.646479254524159</v>
      </c>
      <c r="G2741" s="1">
        <v>1.9889180686510639</v>
      </c>
      <c r="H2741" s="1">
        <v>7.7132366369413194</v>
      </c>
      <c r="I2741" s="1">
        <v>35.686978110898025</v>
      </c>
      <c r="J2741" s="1">
        <v>3.5444133784623084E-2</v>
      </c>
      <c r="K2741" s="1">
        <v>2.2534305983911573</v>
      </c>
      <c r="L2741" s="1">
        <v>3.6050425610516252</v>
      </c>
      <c r="M2741" s="1">
        <v>0.12342628477083836</v>
      </c>
      <c r="N2741" s="1">
        <v>1.5543099024620974</v>
      </c>
      <c r="O2741" s="1">
        <v>0.1045271794871795</v>
      </c>
      <c r="P2741" s="1">
        <v>8.5322859463154516E-2</v>
      </c>
      <c r="Q2741" s="1">
        <v>3.1786361827756764</v>
      </c>
      <c r="R2741" s="2">
        <f t="shared" si="171"/>
        <v>131.53161829678129</v>
      </c>
      <c r="S2741" s="2">
        <f t="shared" si="170"/>
        <v>2.3741975916389348</v>
      </c>
      <c r="T2741" s="2">
        <f t="shared" si="172"/>
        <v>5.3873059277717408</v>
      </c>
      <c r="U2741" s="2">
        <f t="shared" si="173"/>
        <v>139.29312181619196</v>
      </c>
    </row>
    <row r="2742" spans="1:21" x14ac:dyDescent="0.25">
      <c r="A2742">
        <v>4342725</v>
      </c>
      <c r="B2742">
        <v>13</v>
      </c>
      <c r="C2742" s="1">
        <f>0.588430187745361*(10.3/7.3)</f>
        <v>0.83025081284619395</v>
      </c>
      <c r="D2742" s="1">
        <f>0.777906834015803*(10.3/7.3)</f>
        <v>1.0975945740222968</v>
      </c>
      <c r="E2742" s="1">
        <f>2.7181214538424*(10.3/7.3)</f>
        <v>3.8351576677502299</v>
      </c>
      <c r="F2742" s="1">
        <f>6.73639347330906*(38.9/42.5)</f>
        <v>6.1657813202758254</v>
      </c>
      <c r="G2742" s="1">
        <v>0.31164228298695129</v>
      </c>
      <c r="H2742" s="1">
        <v>1.3728584494902327</v>
      </c>
      <c r="I2742" s="1">
        <v>5.1368966496350197</v>
      </c>
      <c r="J2742" s="1">
        <v>4.1536395179121596E-2</v>
      </c>
      <c r="K2742" s="1">
        <v>3.1475708568532963</v>
      </c>
      <c r="L2742" s="1">
        <v>2.4241957632492155</v>
      </c>
      <c r="M2742" s="1">
        <v>0.20444627326659132</v>
      </c>
      <c r="N2742" s="1">
        <v>1.166159503623811</v>
      </c>
      <c r="O2742" s="1">
        <v>1.0361025641025641</v>
      </c>
      <c r="P2742" s="1">
        <v>0.3127620541643174</v>
      </c>
      <c r="Q2742" s="1">
        <v>0.49805844312983144</v>
      </c>
      <c r="R2742" s="2">
        <f t="shared" si="171"/>
        <v>19.248240200136582</v>
      </c>
      <c r="S2742" s="2">
        <f t="shared" si="170"/>
        <v>3.5018693061967352</v>
      </c>
      <c r="T2742" s="2">
        <f t="shared" si="172"/>
        <v>4.8309041042421823</v>
      </c>
      <c r="U2742" s="2">
        <f t="shared" si="173"/>
        <v>27.5810136105755</v>
      </c>
    </row>
    <row r="2743" spans="1:21" x14ac:dyDescent="0.25">
      <c r="A2743">
        <v>4343285</v>
      </c>
      <c r="B2743">
        <v>58</v>
      </c>
      <c r="C2743" s="1">
        <f>11.0987445504561*(10.3/7.3)</f>
        <v>15.659872447903833</v>
      </c>
      <c r="D2743" s="1">
        <f>17.8735826743849*(10.3/7.3)</f>
        <v>25.218890622762245</v>
      </c>
      <c r="E2743" s="1">
        <f>62.8863794256949*(10.3/7.3)</f>
        <v>88.730096997898343</v>
      </c>
      <c r="F2743" s="1">
        <f>109.40271459626*(38.9/42.5)</f>
        <v>100.13566112457634</v>
      </c>
      <c r="G2743" s="1">
        <v>3.483256264439381</v>
      </c>
      <c r="H2743" s="1">
        <v>7.4085800105144157</v>
      </c>
      <c r="I2743" s="1">
        <v>71.744554538475569</v>
      </c>
      <c r="J2743" s="1">
        <v>8.6997528730022589E-2</v>
      </c>
      <c r="K2743" s="1">
        <v>4.0307264647111953</v>
      </c>
      <c r="L2743" s="1">
        <v>7.5907977759215983</v>
      </c>
      <c r="M2743" s="1">
        <v>0.29463570298076364</v>
      </c>
      <c r="N2743" s="1">
        <v>3.445293442973385</v>
      </c>
      <c r="O2743" s="1">
        <v>0.24730482758620684</v>
      </c>
      <c r="P2743" s="1">
        <v>0.16484249132700127</v>
      </c>
      <c r="Q2743" s="1">
        <v>5.5668479112044968</v>
      </c>
      <c r="R2743" s="2">
        <f t="shared" si="171"/>
        <v>317.94775991777465</v>
      </c>
      <c r="S2743" s="2">
        <f t="shared" si="170"/>
        <v>4.2825664847682194</v>
      </c>
      <c r="T2743" s="2">
        <f t="shared" si="172"/>
        <v>11.578031749461955</v>
      </c>
      <c r="U2743" s="2">
        <f t="shared" si="173"/>
        <v>333.80835815200481</v>
      </c>
    </row>
    <row r="2744" spans="1:21" x14ac:dyDescent="0.25">
      <c r="A2744">
        <v>4343293</v>
      </c>
      <c r="B2744">
        <v>60</v>
      </c>
      <c r="C2744" s="1">
        <f>10.2046343810742*(10.3/7.3)</f>
        <v>14.398319743159444</v>
      </c>
      <c r="D2744" s="1">
        <f>15.6978553343524*(10.3/7.3)</f>
        <v>22.149028759428738</v>
      </c>
      <c r="E2744" s="1">
        <f>55.275153838328*(10.3/7.3)</f>
        <v>77.99097048421622</v>
      </c>
      <c r="F2744" s="1">
        <f>98.5579218508804*(38.9/42.5)</f>
        <v>90.209486117629325</v>
      </c>
      <c r="G2744" s="1">
        <v>3.2296492553452141</v>
      </c>
      <c r="H2744" s="1">
        <v>6.9117113448623977</v>
      </c>
      <c r="I2744" s="1">
        <v>66.248371305361971</v>
      </c>
      <c r="J2744" s="1">
        <v>7.6103556667214356E-2</v>
      </c>
      <c r="K2744" s="1">
        <v>3.9707701464874545</v>
      </c>
      <c r="L2744" s="1">
        <v>7.4627748422670743</v>
      </c>
      <c r="M2744" s="1">
        <v>0.2872809718021288</v>
      </c>
      <c r="N2744" s="1">
        <v>3.3028659589833751</v>
      </c>
      <c r="O2744" s="1">
        <v>0.24057333333333333</v>
      </c>
      <c r="P2744" s="1">
        <v>0.16290269620117234</v>
      </c>
      <c r="Q2744" s="1">
        <v>5.1615399058028588</v>
      </c>
      <c r="R2744" s="2">
        <f t="shared" si="171"/>
        <v>286.29907691580615</v>
      </c>
      <c r="S2744" s="2">
        <f t="shared" si="170"/>
        <v>4.2097763993558406</v>
      </c>
      <c r="T2744" s="2">
        <f t="shared" si="172"/>
        <v>11.293495106385912</v>
      </c>
      <c r="U2744" s="2">
        <f t="shared" si="173"/>
        <v>301.80234842154795</v>
      </c>
    </row>
    <row r="2745" spans="1:21" x14ac:dyDescent="0.25">
      <c r="A2745">
        <v>4343301</v>
      </c>
      <c r="B2745">
        <v>57</v>
      </c>
      <c r="C2745" s="1">
        <f>4.14614783264699*(10.3/7.3)</f>
        <v>5.8500442022279486</v>
      </c>
      <c r="D2745" s="1">
        <f>6.16317589171786*(10.3/7.3)</f>
        <v>8.6959879020128739</v>
      </c>
      <c r="E2745" s="1">
        <f>21.7155938671069*(10.3/7.3)</f>
        <v>30.639810524822018</v>
      </c>
      <c r="F2745" s="1">
        <f>39.4283170250755*(38.9/42.5)</f>
        <v>36.088506641774963</v>
      </c>
      <c r="G2745" s="1">
        <v>1.3181465862200634</v>
      </c>
      <c r="H2745" s="1">
        <v>3.8943593043266427</v>
      </c>
      <c r="I2745" s="1">
        <v>26.979099721483699</v>
      </c>
      <c r="J2745" s="1">
        <v>4.034974115995716E-2</v>
      </c>
      <c r="K2745" s="1">
        <v>2.543470363260544</v>
      </c>
      <c r="L2745" s="1">
        <v>4.1107206751156236</v>
      </c>
      <c r="M2745" s="1">
        <v>0.17150642355970597</v>
      </c>
      <c r="N2745" s="1">
        <v>2.081604697619742</v>
      </c>
      <c r="O2745" s="1">
        <v>0.14892818713450293</v>
      </c>
      <c r="P2745" s="1">
        <v>0.11598944389952279</v>
      </c>
      <c r="Q2745" s="1">
        <v>2.1066269642786426</v>
      </c>
      <c r="R2745" s="2">
        <f t="shared" si="171"/>
        <v>115.57258184714685</v>
      </c>
      <c r="S2745" s="2">
        <f t="shared" si="170"/>
        <v>2.6998095483200242</v>
      </c>
      <c r="T2745" s="2">
        <f t="shared" si="172"/>
        <v>6.5127599834295751</v>
      </c>
      <c r="U2745" s="2">
        <f t="shared" si="173"/>
        <v>124.78515137889644</v>
      </c>
    </row>
    <row r="2746" spans="1:21" x14ac:dyDescent="0.25">
      <c r="A2746">
        <v>4343309</v>
      </c>
      <c r="B2746">
        <v>55</v>
      </c>
      <c r="C2746" s="1">
        <f>9.78950569338894*(10.3/7.3)</f>
        <v>13.812590224918646</v>
      </c>
      <c r="D2746" s="1">
        <f>14.2970789953518*(10.3/7.3)</f>
        <v>20.172590911249795</v>
      </c>
      <c r="E2746" s="1">
        <f>50.399030304348*(10.3/7.3)</f>
        <v>71.110960566408806</v>
      </c>
      <c r="F2746" s="1">
        <f>92.0213077024965*(38.9/42.5)</f>
        <v>84.226561638285048</v>
      </c>
      <c r="G2746" s="1">
        <v>3.0898602039758578</v>
      </c>
      <c r="H2746" s="1">
        <v>7.6909022385371149</v>
      </c>
      <c r="I2746" s="1">
        <v>63.465101718384723</v>
      </c>
      <c r="J2746" s="1">
        <v>7.1297549793470361E-2</v>
      </c>
      <c r="K2746" s="1">
        <v>4.0084274977261121</v>
      </c>
      <c r="L2746" s="1">
        <v>7.4756765353492955</v>
      </c>
      <c r="M2746" s="1">
        <v>0.28113193516500173</v>
      </c>
      <c r="N2746" s="1">
        <v>3.5184502274265061</v>
      </c>
      <c r="O2746" s="1">
        <v>0.23683296969696971</v>
      </c>
      <c r="P2746" s="1">
        <v>0.16049873076155294</v>
      </c>
      <c r="Q2746" s="1">
        <v>4.9381327460801447</v>
      </c>
      <c r="R2746" s="2">
        <f t="shared" si="171"/>
        <v>268.50670024784017</v>
      </c>
      <c r="S2746" s="2">
        <f t="shared" si="170"/>
        <v>4.2402237782811358</v>
      </c>
      <c r="T2746" s="2">
        <f t="shared" si="172"/>
        <v>11.512091667637772</v>
      </c>
      <c r="U2746" s="2">
        <f t="shared" si="173"/>
        <v>284.25901569375907</v>
      </c>
    </row>
    <row r="2747" spans="1:21" x14ac:dyDescent="0.25">
      <c r="A2747">
        <v>4343317</v>
      </c>
      <c r="B2747">
        <v>54</v>
      </c>
      <c r="C2747" s="1">
        <f>9.39592499476455*(10.3/7.3)</f>
        <v>13.257264033708886</v>
      </c>
      <c r="D2747" s="1">
        <f>13.4218870916201*(10.3/7.3)</f>
        <v>18.93773110187492</v>
      </c>
      <c r="E2747" s="1">
        <f>47.3378941766329*(10.3/7.3)</f>
        <v>66.791823290317623</v>
      </c>
      <c r="F2747" s="1">
        <f>87.2934099125853*(38.9/42.5)</f>
        <v>79.899144602342773</v>
      </c>
      <c r="G2747" s="1">
        <v>2.9595521237604538</v>
      </c>
      <c r="H2747" s="1">
        <v>6.6912371129922255</v>
      </c>
      <c r="I2747" s="1">
        <v>60.849664881578569</v>
      </c>
      <c r="J2747" s="1">
        <v>6.8983649349435572E-2</v>
      </c>
      <c r="K2747" s="1">
        <v>3.9551719742391267</v>
      </c>
      <c r="L2747" s="1">
        <v>7.2978903110377091</v>
      </c>
      <c r="M2747" s="1">
        <v>0.27268472483583117</v>
      </c>
      <c r="N2747" s="1">
        <v>3.7601213883580735</v>
      </c>
      <c r="O2747" s="1">
        <v>0.22996543209876538</v>
      </c>
      <c r="P2747" s="1">
        <v>0.15689209765529807</v>
      </c>
      <c r="Q2747" s="1">
        <v>4.7298778233614591</v>
      </c>
      <c r="R2747" s="2">
        <f t="shared" si="171"/>
        <v>254.11629496993689</v>
      </c>
      <c r="S2747" s="2">
        <f t="shared" si="170"/>
        <v>4.1810477212438606</v>
      </c>
      <c r="T2747" s="2">
        <f t="shared" si="172"/>
        <v>11.56066185633038</v>
      </c>
      <c r="U2747" s="2">
        <f t="shared" si="173"/>
        <v>269.85800454751114</v>
      </c>
    </row>
    <row r="2748" spans="1:21" x14ac:dyDescent="0.25">
      <c r="A2748">
        <v>4343325</v>
      </c>
      <c r="B2748">
        <v>54</v>
      </c>
      <c r="C2748" s="1">
        <f>8.08930659535601*(10.3/7.3)</f>
        <v>11.41367916878999</v>
      </c>
      <c r="D2748" s="1">
        <f>11.3737194375787*(10.3/7.3)</f>
        <v>16.04785071329604</v>
      </c>
      <c r="E2748" s="1">
        <f>40.1263031725918*(10.3/7.3)</f>
        <v>56.616564750369292</v>
      </c>
      <c r="F2748" s="1">
        <f>74.6645842826721*(38.9/42.5)</f>
        <v>68.340054790492786</v>
      </c>
      <c r="G2748" s="1">
        <v>2.5556860179024148</v>
      </c>
      <c r="H2748" s="1">
        <v>6.2692363825215489</v>
      </c>
      <c r="I2748" s="1">
        <v>52.46858044738201</v>
      </c>
      <c r="J2748" s="1">
        <v>6.196491886791225E-2</v>
      </c>
      <c r="K2748" s="1">
        <v>3.6715529342483468</v>
      </c>
      <c r="L2748" s="1">
        <v>6.4993573194021401</v>
      </c>
      <c r="M2748" s="1">
        <v>0.2464590258788075</v>
      </c>
      <c r="N2748" s="1">
        <v>3.2035283732364834</v>
      </c>
      <c r="O2748" s="1">
        <v>0.21146864197530865</v>
      </c>
      <c r="P2748" s="1">
        <v>0.14717350035044538</v>
      </c>
      <c r="Q2748" s="1">
        <v>4.0844297089764643</v>
      </c>
      <c r="R2748" s="2">
        <f t="shared" si="171"/>
        <v>217.79608197973053</v>
      </c>
      <c r="S2748" s="2">
        <f t="shared" si="170"/>
        <v>3.8806913534667045</v>
      </c>
      <c r="T2748" s="2">
        <f t="shared" si="172"/>
        <v>10.160813360492739</v>
      </c>
      <c r="U2748" s="2">
        <f t="shared" si="173"/>
        <v>231.83758669368999</v>
      </c>
    </row>
    <row r="2749" spans="1:21" x14ac:dyDescent="0.25">
      <c r="A2749">
        <v>4343333</v>
      </c>
      <c r="B2749">
        <v>55</v>
      </c>
      <c r="C2749" s="1">
        <f>8.01442773568458*(10.3/7.3)</f>
        <v>11.308028175007008</v>
      </c>
      <c r="D2749" s="1">
        <f>11.0816653231879*(10.3/7.3)</f>
        <v>15.635774360114404</v>
      </c>
      <c r="E2749" s="1">
        <f>39.1112799797124*(10.3/7.3)</f>
        <v>55.184408738498391</v>
      </c>
      <c r="F2749" s="1">
        <f>73.3406044070691*(38.9/42.5)</f>
        <v>67.128223798470302</v>
      </c>
      <c r="G2749" s="1">
        <v>2.5288052031781598</v>
      </c>
      <c r="H2749" s="1">
        <v>6.3578336896115504</v>
      </c>
      <c r="I2749" s="1">
        <v>51.949051295792195</v>
      </c>
      <c r="J2749" s="1">
        <v>6.3090576533736287E-2</v>
      </c>
      <c r="K2749" s="1">
        <v>3.6560199928597354</v>
      </c>
      <c r="L2749" s="1">
        <v>6.5371273260280098</v>
      </c>
      <c r="M2749" s="1">
        <v>0.24391995316734449</v>
      </c>
      <c r="N2749" s="1">
        <v>3.452649969872406</v>
      </c>
      <c r="O2749" s="1">
        <v>0.20833551515151519</v>
      </c>
      <c r="P2749" s="1">
        <v>0.14537887969809379</v>
      </c>
      <c r="Q2749" s="1">
        <v>4.0414695027961525</v>
      </c>
      <c r="R2749" s="2">
        <f t="shared" si="171"/>
        <v>214.13359476346815</v>
      </c>
      <c r="S2749" s="2">
        <f t="shared" si="170"/>
        <v>3.8644894490915656</v>
      </c>
      <c r="T2749" s="2">
        <f t="shared" si="172"/>
        <v>10.442032764219276</v>
      </c>
      <c r="U2749" s="2">
        <f t="shared" si="173"/>
        <v>228.440116976779</v>
      </c>
    </row>
    <row r="2750" spans="1:21" x14ac:dyDescent="0.25">
      <c r="A2750">
        <v>4343341</v>
      </c>
      <c r="B2750">
        <v>55</v>
      </c>
      <c r="C2750" s="1">
        <f>8.50280590746812*(10.3/7.3)</f>
        <v>11.997109705057758</v>
      </c>
      <c r="D2750" s="1">
        <f>11.5501310855576*(10.3/7.3)</f>
        <v>16.296760298800432</v>
      </c>
      <c r="E2750" s="1">
        <f>40.7828540585319*(10.3/7.3)</f>
        <v>57.542931068887505</v>
      </c>
      <c r="F2750" s="1">
        <f>77.0647153482223*(38.9/42.5)</f>
        <v>70.536880636372885</v>
      </c>
      <c r="G2750" s="1">
        <v>2.6755261580112442</v>
      </c>
      <c r="H2750" s="1">
        <v>9.9403294491238849</v>
      </c>
      <c r="I2750" s="1">
        <v>55.037223203616819</v>
      </c>
      <c r="J2750" s="1">
        <v>6.7535293894842904E-2</v>
      </c>
      <c r="K2750" s="1">
        <v>3.7854131163300475</v>
      </c>
      <c r="L2750" s="1">
        <v>6.9334564193752781</v>
      </c>
      <c r="M2750" s="1">
        <v>0.25229956020819261</v>
      </c>
      <c r="N2750" s="1">
        <v>4.2677085929641665</v>
      </c>
      <c r="O2750" s="1">
        <v>0.21305309090909089</v>
      </c>
      <c r="P2750" s="1">
        <v>0.14752694471415412</v>
      </c>
      <c r="Q2750" s="1">
        <v>4.275955047049937</v>
      </c>
      <c r="R2750" s="2">
        <f t="shared" si="171"/>
        <v>228.30271556692043</v>
      </c>
      <c r="S2750" s="2">
        <f t="shared" si="170"/>
        <v>4.000475354939045</v>
      </c>
      <c r="T2750" s="2">
        <f t="shared" si="172"/>
        <v>11.666517663456728</v>
      </c>
      <c r="U2750" s="2">
        <f t="shared" si="173"/>
        <v>243.9697085853162</v>
      </c>
    </row>
    <row r="2751" spans="1:21" x14ac:dyDescent="0.25">
      <c r="A2751">
        <v>4343349</v>
      </c>
      <c r="B2751">
        <v>47</v>
      </c>
      <c r="C2751" s="1">
        <f>7.71330218118424*(10.3/7.3)</f>
        <v>10.883152392629823</v>
      </c>
      <c r="D2751" s="1">
        <f>10.3682232791567*(10.3/7.3)</f>
        <v>14.629136955522409</v>
      </c>
      <c r="E2751" s="1">
        <f>36.6085355296537*(10.3/7.3)</f>
        <v>51.653139171977124</v>
      </c>
      <c r="F2751" s="1">
        <f>70.0414877106274*(38.9/42.5)</f>
        <v>64.108561692786026</v>
      </c>
      <c r="G2751" s="1">
        <v>2.4684685053073308</v>
      </c>
      <c r="H2751" s="1">
        <v>6.3945562313713999</v>
      </c>
      <c r="I2751" s="1">
        <v>50.361291349172667</v>
      </c>
      <c r="J2751" s="1">
        <v>6.2545184505122794E-2</v>
      </c>
      <c r="K2751" s="1">
        <v>3.5276078298766982</v>
      </c>
      <c r="L2751" s="1">
        <v>6.3117009871782725</v>
      </c>
      <c r="M2751" s="1">
        <v>0.23234204003751721</v>
      </c>
      <c r="N2751" s="1">
        <v>3.7622632441320829</v>
      </c>
      <c r="O2751" s="1">
        <v>0.19719716312056731</v>
      </c>
      <c r="P2751" s="1">
        <v>0.13863096666023705</v>
      </c>
      <c r="Q2751" s="1">
        <v>3.9450409902172003</v>
      </c>
      <c r="R2751" s="2">
        <f t="shared" si="171"/>
        <v>204.44334728898397</v>
      </c>
      <c r="S2751" s="2">
        <f t="shared" si="170"/>
        <v>3.7287839810420582</v>
      </c>
      <c r="T2751" s="2">
        <f t="shared" si="172"/>
        <v>10.50350343446844</v>
      </c>
      <c r="U2751" s="2">
        <f t="shared" si="173"/>
        <v>218.67563470449446</v>
      </c>
    </row>
    <row r="2752" spans="1:21" x14ac:dyDescent="0.25">
      <c r="A2752">
        <v>4343357</v>
      </c>
      <c r="B2752">
        <v>50</v>
      </c>
      <c r="C2752" s="1">
        <f>8.2469504924728*(10.3/7.3)</f>
        <v>11.636108229105458</v>
      </c>
      <c r="D2752" s="1">
        <f>11.238820058778*(10.3/7.3)</f>
        <v>15.857513233618267</v>
      </c>
      <c r="E2752" s="1">
        <f>39.5192735259523*(10.3/7.3)</f>
        <v>55.760070865384733</v>
      </c>
      <c r="F2752" s="1">
        <f>82.6859598894054*(38.9/42.5)</f>
        <v>75.681972698773365</v>
      </c>
      <c r="G2752" s="1">
        <v>3.2676245114782518</v>
      </c>
      <c r="H2752" s="1">
        <v>7.3713126887676674</v>
      </c>
      <c r="I2752" s="1">
        <v>60.443486014432153</v>
      </c>
      <c r="J2752" s="1">
        <v>6.9792045670577479E-2</v>
      </c>
      <c r="K2752" s="1">
        <v>3.7244276358110859</v>
      </c>
      <c r="L2752" s="1">
        <v>6.8528978893415999</v>
      </c>
      <c r="M2752" s="1">
        <v>0.24317900252369115</v>
      </c>
      <c r="N2752" s="1">
        <v>3.5673188661504494</v>
      </c>
      <c r="O2752" s="1">
        <v>0.20475626666666663</v>
      </c>
      <c r="P2752" s="1">
        <v>0.1432703761444937</v>
      </c>
      <c r="Q2752" s="1">
        <v>5.2222309544173013</v>
      </c>
      <c r="R2752" s="2">
        <f t="shared" si="171"/>
        <v>235.24031919597721</v>
      </c>
      <c r="S2752" s="2">
        <f t="shared" si="170"/>
        <v>3.9374900576261571</v>
      </c>
      <c r="T2752" s="2">
        <f t="shared" si="172"/>
        <v>10.868152024682407</v>
      </c>
      <c r="U2752" s="2">
        <f t="shared" si="173"/>
        <v>250.04596127828577</v>
      </c>
    </row>
    <row r="2753" spans="1:21" x14ac:dyDescent="0.25">
      <c r="A2753">
        <v>4343365</v>
      </c>
      <c r="B2753">
        <v>13</v>
      </c>
      <c r="C2753" s="1">
        <f>6.8879972304963*(10.3/7.3)</f>
        <v>9.718681023850948</v>
      </c>
      <c r="D2753" s="1">
        <f>8.9489347486188*(10.3/7.3)</f>
        <v>12.626579165859404</v>
      </c>
      <c r="E2753" s="1">
        <f>31.6310672766941*(10.3/7.3)</f>
        <v>44.630136020540974</v>
      </c>
      <c r="F2753" s="1">
        <f>61.1348053374696*(38.9/42.5)</f>
        <v>55.956327708883954</v>
      </c>
      <c r="G2753" s="1">
        <v>2.1678530164822329</v>
      </c>
      <c r="H2753" s="1">
        <v>5.6791808664143</v>
      </c>
      <c r="I2753" s="1">
        <v>44.589553160052823</v>
      </c>
      <c r="J2753" s="1">
        <v>5.7186636236899013E-2</v>
      </c>
      <c r="K2753" s="1">
        <v>3.2044743769021369</v>
      </c>
      <c r="L2753" s="1">
        <v>5.5396920768585511</v>
      </c>
      <c r="M2753" s="1">
        <v>0.20678123785698402</v>
      </c>
      <c r="N2753" s="1">
        <v>2.7747981018166672</v>
      </c>
      <c r="O2753" s="1">
        <v>0.17673846153846151</v>
      </c>
      <c r="P2753" s="1">
        <v>0.12676903474408119</v>
      </c>
      <c r="Q2753" s="1">
        <v>3.4646052774830243</v>
      </c>
      <c r="R2753" s="2">
        <f t="shared" si="171"/>
        <v>178.83291623956765</v>
      </c>
      <c r="S2753" s="2">
        <f t="shared" si="170"/>
        <v>3.3884300478831171</v>
      </c>
      <c r="T2753" s="2">
        <f t="shared" si="172"/>
        <v>8.6980098780706641</v>
      </c>
      <c r="U2753" s="2">
        <f t="shared" si="173"/>
        <v>190.91935616552144</v>
      </c>
    </row>
    <row r="2754" spans="1:21" x14ac:dyDescent="0.25">
      <c r="A2754">
        <v>4343373</v>
      </c>
      <c r="B2754">
        <v>53</v>
      </c>
      <c r="C2754" s="1">
        <f>6.54851849836332*(10.3/7.3)</f>
        <v>9.2396904839920815</v>
      </c>
      <c r="D2754" s="1">
        <f>8.40199780415108*(10.3/7.3)</f>
        <v>11.854873614076181</v>
      </c>
      <c r="E2754" s="1">
        <f>29.7106993822689*(10.3/7.3)</f>
        <v>41.920575840735559</v>
      </c>
      <c r="F2754" s="1">
        <f>57.5958911522455*(38.9/42.5)</f>
        <v>52.717180372290628</v>
      </c>
      <c r="G2754" s="1">
        <v>2.0448188886599015</v>
      </c>
      <c r="H2754" s="1">
        <v>5.4370926594872175</v>
      </c>
      <c r="I2754" s="1">
        <v>42.221934361926785</v>
      </c>
      <c r="J2754" s="1">
        <v>5.8037740386750365E-2</v>
      </c>
      <c r="K2754" s="1">
        <v>3.2235811602528699</v>
      </c>
      <c r="L2754" s="1">
        <v>5.5605684840276846</v>
      </c>
      <c r="M2754" s="1">
        <v>0.20555795084067457</v>
      </c>
      <c r="N2754" s="1">
        <v>4.1236555736005291</v>
      </c>
      <c r="O2754" s="1">
        <v>0.17451773584905667</v>
      </c>
      <c r="P2754" s="1">
        <v>0.12576981138771859</v>
      </c>
      <c r="Q2754" s="1">
        <v>3.2679753928354627</v>
      </c>
      <c r="R2754" s="2">
        <f t="shared" si="171"/>
        <v>168.70414161400382</v>
      </c>
      <c r="S2754" s="2">
        <f t="shared" si="170"/>
        <v>3.4073887120273385</v>
      </c>
      <c r="T2754" s="2">
        <f t="shared" si="172"/>
        <v>10.064299744317944</v>
      </c>
      <c r="U2754" s="2">
        <f t="shared" si="173"/>
        <v>182.17583007034909</v>
      </c>
    </row>
    <row r="2755" spans="1:21" x14ac:dyDescent="0.25">
      <c r="A2755">
        <v>4343381</v>
      </c>
      <c r="B2755">
        <v>55</v>
      </c>
      <c r="C2755" s="1">
        <f>6.70629260889068*(10.3/7.3)</f>
        <v>9.4623032700786389</v>
      </c>
      <c r="D2755" s="1">
        <f>8.45767957743541*(10.3/7.3)</f>
        <v>11.933438307888316</v>
      </c>
      <c r="E2755" s="1">
        <f>29.921181278689*(10.3/7.3)</f>
        <v>42.217557146643387</v>
      </c>
      <c r="F2755" s="1">
        <f>58.4701806060559*(38.9/42.5)</f>
        <v>53.517412366484116</v>
      </c>
      <c r="G2755" s="1">
        <v>2.090163976024606</v>
      </c>
      <c r="H2755" s="1">
        <v>5.3524287117212008</v>
      </c>
      <c r="I2755" s="1">
        <v>43.198021791782594</v>
      </c>
      <c r="J2755" s="1">
        <v>6.033295698649966E-2</v>
      </c>
      <c r="K2755" s="1">
        <v>3.2627961795838893</v>
      </c>
      <c r="L2755" s="1">
        <v>5.761431340859656</v>
      </c>
      <c r="M2755" s="1">
        <v>0.20364187436402226</v>
      </c>
      <c r="N2755" s="1">
        <v>2.9029092488498849</v>
      </c>
      <c r="O2755" s="1">
        <v>0.17255466666666663</v>
      </c>
      <c r="P2755" s="1">
        <v>0.12556611610565999</v>
      </c>
      <c r="Q2755" s="1">
        <v>3.3404447105416115</v>
      </c>
      <c r="R2755" s="2">
        <f t="shared" si="171"/>
        <v>171.1117702811645</v>
      </c>
      <c r="S2755" s="2">
        <f t="shared" si="170"/>
        <v>3.4486952526760488</v>
      </c>
      <c r="T2755" s="2">
        <f t="shared" si="172"/>
        <v>9.0405371307402298</v>
      </c>
      <c r="U2755" s="2">
        <f t="shared" si="173"/>
        <v>183.60100266458079</v>
      </c>
    </row>
    <row r="2756" spans="1:21" x14ac:dyDescent="0.25">
      <c r="A2756">
        <v>4343389</v>
      </c>
      <c r="B2756">
        <v>55</v>
      </c>
      <c r="C2756" s="1">
        <f>4.99866355824433*(10.3/7.3)</f>
        <v>7.0529088561529534</v>
      </c>
      <c r="D2756" s="1">
        <f>6.27233404588423*(10.3/7.3)</f>
        <v>8.8500055715900725</v>
      </c>
      <c r="E2756" s="1">
        <f>22.1936736144575*(10.3/7.3)</f>
        <v>31.314361401220811</v>
      </c>
      <c r="F2756" s="1">
        <f>43.4361347509043*(38.9/42.5)</f>
        <v>39.756838630827673</v>
      </c>
      <c r="G2756" s="1">
        <v>1.5541184505754018</v>
      </c>
      <c r="H2756" s="1">
        <v>4.2454083285208055</v>
      </c>
      <c r="I2756" s="1">
        <v>32.15830698030279</v>
      </c>
      <c r="J2756" s="1">
        <v>4.8843287001863002E-2</v>
      </c>
      <c r="K2756" s="1">
        <v>2.7815873364003152</v>
      </c>
      <c r="L2756" s="1">
        <v>4.6889571052807781</v>
      </c>
      <c r="M2756" s="1">
        <v>0.1711361116053445</v>
      </c>
      <c r="N2756" s="1">
        <v>2.2569961624694672</v>
      </c>
      <c r="O2756" s="1">
        <v>0.14534884848484853</v>
      </c>
      <c r="P2756" s="1">
        <v>0.11014222094927074</v>
      </c>
      <c r="Q2756" s="1">
        <v>2.4837509484081788</v>
      </c>
      <c r="R2756" s="2">
        <f t="shared" si="171"/>
        <v>127.41569916759867</v>
      </c>
      <c r="S2756" s="2">
        <f t="shared" si="170"/>
        <v>2.9405728443514487</v>
      </c>
      <c r="T2756" s="2">
        <f t="shared" si="172"/>
        <v>7.2624382278404385</v>
      </c>
      <c r="U2756" s="2">
        <f t="shared" si="173"/>
        <v>137.61871023979057</v>
      </c>
    </row>
    <row r="2757" spans="1:21" x14ac:dyDescent="0.25">
      <c r="A2757">
        <v>4343397</v>
      </c>
      <c r="B2757">
        <v>55</v>
      </c>
      <c r="C2757" s="1">
        <f>4.97087003180148*(10.3/7.3)</f>
        <v>7.0136933325418189</v>
      </c>
      <c r="D2757" s="1">
        <f>6.18671787644062*(10.3/7.3)</f>
        <v>8.7292046749778631</v>
      </c>
      <c r="E2757" s="1">
        <f>21.8932716770104*(10.3/7.3)</f>
        <v>30.890506612768167</v>
      </c>
      <c r="F2757" s="1">
        <f>43.1271701792763*(38.9/42.5)</f>
        <v>39.474045175855245</v>
      </c>
      <c r="G2757" s="1">
        <v>1.5535819758701888</v>
      </c>
      <c r="H2757" s="1">
        <v>4.2280388001699372</v>
      </c>
      <c r="I2757" s="1">
        <v>32.064600211446503</v>
      </c>
      <c r="J2757" s="1">
        <v>4.5373272118369022E-2</v>
      </c>
      <c r="K2757" s="1">
        <v>2.6361268126359034</v>
      </c>
      <c r="L2757" s="1">
        <v>4.4018896835966919</v>
      </c>
      <c r="M2757" s="1">
        <v>0.16390922673586095</v>
      </c>
      <c r="N2757" s="1">
        <v>2.0255744585840723</v>
      </c>
      <c r="O2757" s="1">
        <v>0.13677672727272724</v>
      </c>
      <c r="P2757" s="1">
        <v>0.10294678377857423</v>
      </c>
      <c r="Q2757" s="1">
        <v>2.482893568742313</v>
      </c>
      <c r="R2757" s="2">
        <f t="shared" si="171"/>
        <v>126.43656435237205</v>
      </c>
      <c r="S2757" s="2">
        <f t="shared" si="170"/>
        <v>2.7844468685328465</v>
      </c>
      <c r="T2757" s="2">
        <f t="shared" si="172"/>
        <v>6.7281500961893519</v>
      </c>
      <c r="U2757" s="2">
        <f t="shared" si="173"/>
        <v>135.94916131709425</v>
      </c>
    </row>
    <row r="2758" spans="1:21" x14ac:dyDescent="0.25">
      <c r="A2758">
        <v>4343405</v>
      </c>
      <c r="B2758">
        <v>57</v>
      </c>
      <c r="C2758" s="1">
        <f>4.38622695364282*(10.3/7.3)</f>
        <v>6.188785975687817</v>
      </c>
      <c r="D2758" s="1">
        <f>5.42222755905353*(10.3/7.3)</f>
        <v>7.6505402545549801</v>
      </c>
      <c r="E2758" s="1">
        <f>19.1896779844177*(10.3/7.3)</f>
        <v>27.075847019109855</v>
      </c>
      <c r="F2758" s="1">
        <f>38.0110923196504*(38.9/42.5)</f>
        <v>34.791329205515261</v>
      </c>
      <c r="G2758" s="1">
        <v>1.3771964511412695</v>
      </c>
      <c r="H2758" s="1">
        <v>3.9715004197324748</v>
      </c>
      <c r="I2758" s="1">
        <v>28.359900342276919</v>
      </c>
      <c r="J2758" s="1">
        <v>4.2256800701227698E-2</v>
      </c>
      <c r="K2758" s="1">
        <v>2.5742175786308996</v>
      </c>
      <c r="L2758" s="1">
        <v>4.199837108080855</v>
      </c>
      <c r="M2758" s="1">
        <v>0.15383412205531627</v>
      </c>
      <c r="N2758" s="1">
        <v>1.9932355260168193</v>
      </c>
      <c r="O2758" s="1">
        <v>0.13153777777777784</v>
      </c>
      <c r="P2758" s="1">
        <v>0.10207331347361061</v>
      </c>
      <c r="Q2758" s="1">
        <v>2.2009988945180123</v>
      </c>
      <c r="R2758" s="2">
        <f t="shared" si="171"/>
        <v>111.61609856253659</v>
      </c>
      <c r="S2758" s="2">
        <f t="shared" si="170"/>
        <v>2.7185476928057377</v>
      </c>
      <c r="T2758" s="2">
        <f t="shared" si="172"/>
        <v>6.4784445339307677</v>
      </c>
      <c r="U2758" s="2">
        <f t="shared" si="173"/>
        <v>120.8130907892731</v>
      </c>
    </row>
    <row r="2759" spans="1:21" x14ac:dyDescent="0.25">
      <c r="A2759">
        <v>4343413</v>
      </c>
      <c r="B2759">
        <v>58</v>
      </c>
      <c r="C2759" s="1">
        <f>8.60310302608025*(10.3/7.3)</f>
        <v>12.138624817620082</v>
      </c>
      <c r="D2759" s="1">
        <f>10.3412384976334*(10.3/7.3)</f>
        <v>14.591062537756679</v>
      </c>
      <c r="E2759" s="1">
        <f>36.6051275698956*(10.3/7.3)</f>
        <v>51.648330680811554</v>
      </c>
      <c r="F2759" s="1">
        <f>74.5622669147671*(38.9/42.5)</f>
        <v>68.246404305516265</v>
      </c>
      <c r="G2759" s="1">
        <v>2.7823983098975216</v>
      </c>
      <c r="H2759" s="1">
        <v>6.2874560993228359</v>
      </c>
      <c r="I2759" s="1">
        <v>56.477208290515982</v>
      </c>
      <c r="J2759" s="1">
        <v>6.6756276269123477E-2</v>
      </c>
      <c r="K2759" s="1">
        <v>3.6635391476778367</v>
      </c>
      <c r="L2759" s="1">
        <v>6.6806125090440096</v>
      </c>
      <c r="M2759" s="1">
        <v>0.21762643046469884</v>
      </c>
      <c r="N2759" s="1">
        <v>2.7947139110419306</v>
      </c>
      <c r="O2759" s="1">
        <v>0.18329655172413795</v>
      </c>
      <c r="P2759" s="1">
        <v>0.13058347760481126</v>
      </c>
      <c r="Q2759" s="1">
        <v>4.4467552897905627</v>
      </c>
      <c r="R2759" s="2">
        <f t="shared" si="171"/>
        <v>216.6182403312315</v>
      </c>
      <c r="S2759" s="2">
        <f t="shared" si="170"/>
        <v>3.8608789015517715</v>
      </c>
      <c r="T2759" s="2">
        <f t="shared" si="172"/>
        <v>9.8762494022747784</v>
      </c>
      <c r="U2759" s="2">
        <f t="shared" si="173"/>
        <v>230.35536863505803</v>
      </c>
    </row>
    <row r="2760" spans="1:21" x14ac:dyDescent="0.25">
      <c r="A2760">
        <v>4343421</v>
      </c>
      <c r="B2760">
        <v>57</v>
      </c>
      <c r="C2760" s="1">
        <f>8.21354568876383*(10.3/7.3)</f>
        <v>11.58897542387226</v>
      </c>
      <c r="D2760" s="1">
        <f>9.76648450988793*(10.3/7.3)</f>
        <v>13.780108281074751</v>
      </c>
      <c r="E2760" s="1">
        <f>34.5712879417123*(10.3/7.3)</f>
        <v>48.778666547895398</v>
      </c>
      <c r="F2760" s="1">
        <f>71.2791409857672*(38.9/42.5)</f>
        <v>65.241378455208107</v>
      </c>
      <c r="G2760" s="1">
        <v>2.6935924356916887</v>
      </c>
      <c r="H2760" s="1">
        <v>7.6301933218376341</v>
      </c>
      <c r="I2760" s="1">
        <v>54.310294084113032</v>
      </c>
      <c r="J2760" s="1">
        <v>6.314810273663557E-2</v>
      </c>
      <c r="K2760" s="1">
        <v>3.5219846236659991</v>
      </c>
      <c r="L2760" s="1">
        <v>6.388833646512607</v>
      </c>
      <c r="M2760" s="1">
        <v>0.20613837399467214</v>
      </c>
      <c r="N2760" s="1">
        <v>2.6116129954092444</v>
      </c>
      <c r="O2760" s="1">
        <v>0.17308538011695909</v>
      </c>
      <c r="P2760" s="1">
        <v>0.12486647330947034</v>
      </c>
      <c r="Q2760" s="1">
        <v>4.3048280935711967</v>
      </c>
      <c r="R2760" s="2">
        <f t="shared" si="171"/>
        <v>208.32803664326406</v>
      </c>
      <c r="S2760" s="2">
        <f t="shared" si="170"/>
        <v>3.7099991997121049</v>
      </c>
      <c r="T2760" s="2">
        <f t="shared" si="172"/>
        <v>9.3796703960334824</v>
      </c>
      <c r="U2760" s="2">
        <f t="shared" si="173"/>
        <v>221.41770623900965</v>
      </c>
    </row>
    <row r="2761" spans="1:21" x14ac:dyDescent="0.25">
      <c r="A2761">
        <v>4343429</v>
      </c>
      <c r="B2761">
        <v>39</v>
      </c>
      <c r="C2761" s="1">
        <f>8.33287735410722*(10.3/7.3)</f>
        <v>11.757347499630731</v>
      </c>
      <c r="D2761" s="1">
        <f>9.81504798756075*(10.3/7.3)</f>
        <v>13.848629352311741</v>
      </c>
      <c r="E2761" s="1">
        <f>34.728952963908*(10.3/7.3)</f>
        <v>49.001125414829097</v>
      </c>
      <c r="F2761" s="1">
        <f>73.1136514586192*(38.9/42.5)</f>
        <v>66.920495099771443</v>
      </c>
      <c r="G2761" s="1">
        <v>2.8269740927643889</v>
      </c>
      <c r="H2761" s="1">
        <v>8.433114606540947</v>
      </c>
      <c r="I2761" s="1">
        <v>56.088946782545662</v>
      </c>
      <c r="J2761" s="1">
        <v>6.3580382698352728E-2</v>
      </c>
      <c r="K2761" s="1">
        <v>3.4820179265305127</v>
      </c>
      <c r="L2761" s="1">
        <v>6.2775819240288691</v>
      </c>
      <c r="M2761" s="1">
        <v>0.20048743260823254</v>
      </c>
      <c r="N2761" s="1">
        <v>2.5768688096747208</v>
      </c>
      <c r="O2761" s="1">
        <v>0.1688109401709402</v>
      </c>
      <c r="P2761" s="1">
        <v>0.12215462324697615</v>
      </c>
      <c r="Q2761" s="1">
        <v>4.5179951254225443</v>
      </c>
      <c r="R2761" s="2">
        <f t="shared" si="171"/>
        <v>213.39462797381657</v>
      </c>
      <c r="S2761" s="2">
        <f t="shared" ref="S2761:S2824" si="174">J2761+K2761+P2761</f>
        <v>3.6677529324758416</v>
      </c>
      <c r="T2761" s="2">
        <f t="shared" si="172"/>
        <v>9.2237491064827637</v>
      </c>
      <c r="U2761" s="2">
        <f t="shared" si="173"/>
        <v>226.28613001277517</v>
      </c>
    </row>
    <row r="2762" spans="1:21" x14ac:dyDescent="0.25">
      <c r="A2762">
        <v>4343437</v>
      </c>
      <c r="B2762">
        <v>2</v>
      </c>
      <c r="C2762" s="1">
        <f>4.69187748366784*(10.3/7.3)</f>
        <v>6.6200463125724323</v>
      </c>
      <c r="D2762" s="1">
        <f>5.64177582177048*(10.3/7.3)</f>
        <v>7.9603138307172481</v>
      </c>
      <c r="E2762" s="1">
        <f>19.8893625191712*(10.3/7.3)</f>
        <v>28.063073143488189</v>
      </c>
      <c r="F2762" s="1">
        <f>44.5863337478979*(38.9/42.5)</f>
        <v>40.809609006899478</v>
      </c>
      <c r="G2762" s="1">
        <v>1.854056581217425</v>
      </c>
      <c r="H2762" s="1">
        <v>10.196505562582825</v>
      </c>
      <c r="I2762" s="1">
        <v>34.335495339405831</v>
      </c>
      <c r="J2762" s="1">
        <v>3.8252481871323601E-2</v>
      </c>
      <c r="K2762" s="1">
        <v>2.4040475134240693</v>
      </c>
      <c r="L2762" s="1">
        <v>3.9436783701343217</v>
      </c>
      <c r="M2762" s="1">
        <v>0.1389332701192425</v>
      </c>
      <c r="N2762" s="1">
        <v>3.1093769647666023</v>
      </c>
      <c r="O2762" s="1">
        <v>0.11560000000000001</v>
      </c>
      <c r="P2762" s="1">
        <v>9.2077846661585083E-2</v>
      </c>
      <c r="Q2762" s="1">
        <v>2.9631041252333308</v>
      </c>
      <c r="R2762" s="2">
        <f t="shared" ref="R2762:R2825" si="175">C2762+D2762+E2762+F2762+G2762+H2762+I2762+Q2762</f>
        <v>132.80220390211679</v>
      </c>
      <c r="S2762" s="2">
        <f t="shared" si="174"/>
        <v>2.534377841956978</v>
      </c>
      <c r="T2762" s="2">
        <f t="shared" ref="T2762:T2825" si="176">L2762+M2762+N2762+O2762</f>
        <v>7.3075886050201655</v>
      </c>
      <c r="U2762" s="2">
        <f t="shared" ref="U2762:U2825" si="177">R2762+S2762+T2762</f>
        <v>142.64417034909391</v>
      </c>
    </row>
    <row r="2763" spans="1:21" x14ac:dyDescent="0.25">
      <c r="A2763">
        <v>4343445</v>
      </c>
      <c r="B2763">
        <v>29</v>
      </c>
      <c r="C2763" s="1">
        <f>4.02879029640865*(10.3/7.3)</f>
        <v>5.6844575415080998</v>
      </c>
      <c r="D2763" s="1">
        <f>5.24332372794483*(10.3/7.3)</f>
        <v>7.3981143010728401</v>
      </c>
      <c r="E2763" s="1">
        <f>18.26566448951*(10.3/7.3)</f>
        <v>25.772101950952418</v>
      </c>
      <c r="F2763" s="1">
        <f>48.7149284690198*(38.9/42.5)</f>
        <v>44.588487469291103</v>
      </c>
      <c r="G2763" s="1">
        <v>2.3792838167490853</v>
      </c>
      <c r="H2763" s="1">
        <v>9.5903063695648338</v>
      </c>
      <c r="I2763" s="1">
        <v>37.749151080932293</v>
      </c>
      <c r="J2763" s="1">
        <v>3.5539026227267914E-2</v>
      </c>
      <c r="K2763" s="1">
        <v>2.2909154569193051</v>
      </c>
      <c r="L2763" s="1">
        <v>4.178908069014426</v>
      </c>
      <c r="M2763" s="1">
        <v>0.12948688198406152</v>
      </c>
      <c r="N2763" s="1">
        <v>1.7794769460586648</v>
      </c>
      <c r="O2763" s="1">
        <v>0.10874850574712645</v>
      </c>
      <c r="P2763" s="1">
        <v>8.8414952565630492E-2</v>
      </c>
      <c r="Q2763" s="1">
        <v>3.8025083829323316</v>
      </c>
      <c r="R2763" s="2">
        <f t="shared" si="175"/>
        <v>136.96441091300301</v>
      </c>
      <c r="S2763" s="2">
        <f t="shared" si="174"/>
        <v>2.4148694357122036</v>
      </c>
      <c r="T2763" s="2">
        <f t="shared" si="176"/>
        <v>6.1966204028042791</v>
      </c>
      <c r="U2763" s="2">
        <f t="shared" si="177"/>
        <v>145.5759007515195</v>
      </c>
    </row>
    <row r="2764" spans="1:21" x14ac:dyDescent="0.25">
      <c r="A2764">
        <v>4343453</v>
      </c>
      <c r="B2764">
        <v>28</v>
      </c>
      <c r="C2764" s="1">
        <f>4.1298735196179*(10.3/7.3)</f>
        <v>5.8270818153512813</v>
      </c>
      <c r="D2764" s="1">
        <f>5.23700476609821*(10.3/7.3)</f>
        <v>7.3891985055906222</v>
      </c>
      <c r="E2764" s="1">
        <f>18.2679138715943*(10.3/7.3)</f>
        <v>25.775275736633063</v>
      </c>
      <c r="F2764" s="1">
        <f>48.546260252056*(38.9/42.5)</f>
        <v>44.43410644247011</v>
      </c>
      <c r="G2764" s="1">
        <v>2.3571932154639685</v>
      </c>
      <c r="H2764" s="1">
        <v>8.0169386159630101</v>
      </c>
      <c r="I2764" s="1">
        <v>37.83751831466963</v>
      </c>
      <c r="J2764" s="1">
        <v>3.5969638249940129E-2</v>
      </c>
      <c r="K2764" s="1">
        <v>2.3413421200289712</v>
      </c>
      <c r="L2764" s="1">
        <v>4.1164620351336945</v>
      </c>
      <c r="M2764" s="1">
        <v>0.1284217869970854</v>
      </c>
      <c r="N2764" s="1">
        <v>1.6422819749554058</v>
      </c>
      <c r="O2764" s="1">
        <v>0.10867809523809524</v>
      </c>
      <c r="P2764" s="1">
        <v>8.8830721300573443E-2</v>
      </c>
      <c r="Q2764" s="1">
        <v>3.7672037690063473</v>
      </c>
      <c r="R2764" s="2">
        <f t="shared" si="175"/>
        <v>135.40451641514804</v>
      </c>
      <c r="S2764" s="2">
        <f t="shared" si="174"/>
        <v>2.4661424795794846</v>
      </c>
      <c r="T2764" s="2">
        <f t="shared" si="176"/>
        <v>5.9958438923242809</v>
      </c>
      <c r="U2764" s="2">
        <f t="shared" si="177"/>
        <v>143.86650278705179</v>
      </c>
    </row>
    <row r="2765" spans="1:21" x14ac:dyDescent="0.25">
      <c r="A2765">
        <v>4354953</v>
      </c>
      <c r="B2765">
        <v>10</v>
      </c>
      <c r="C2765" s="1">
        <f>0.423507661049139*(10.3/7.3)</f>
        <v>0.59755190531590774</v>
      </c>
      <c r="D2765" s="1">
        <f>0.549682212525181*(10.3/7.3)</f>
        <v>0.77557901219306324</v>
      </c>
      <c r="E2765" s="1">
        <f>1.92588153313695*(10.3/7.3)</f>
        <v>2.7173396974398032</v>
      </c>
      <c r="F2765" s="1">
        <f>4.58509525830758*(38.9/42.5)</f>
        <v>4.1967107187803521</v>
      </c>
      <c r="G2765" s="1">
        <v>0.20446123965092161</v>
      </c>
      <c r="H2765" s="1">
        <v>0.9883438747088602</v>
      </c>
      <c r="I2765" s="1">
        <v>3.4888793545276706</v>
      </c>
      <c r="J2765" s="1">
        <v>3.0263377837232854E-2</v>
      </c>
      <c r="K2765" s="1">
        <v>2.5882855309685273</v>
      </c>
      <c r="L2765" s="1">
        <v>2.0581797288767549</v>
      </c>
      <c r="M2765" s="1">
        <v>0.17346227902908237</v>
      </c>
      <c r="N2765" s="1">
        <v>0.96172780335726649</v>
      </c>
      <c r="O2765" s="1">
        <v>0.79536000000000007</v>
      </c>
      <c r="P2765" s="1">
        <v>0.25201160325790095</v>
      </c>
      <c r="Q2765" s="1">
        <v>0.32676453825489782</v>
      </c>
      <c r="R2765" s="2">
        <f t="shared" si="175"/>
        <v>13.295630340871476</v>
      </c>
      <c r="S2765" s="2">
        <f t="shared" si="174"/>
        <v>2.870560512063661</v>
      </c>
      <c r="T2765" s="2">
        <f t="shared" si="176"/>
        <v>3.9887298112631036</v>
      </c>
      <c r="U2765" s="2">
        <f t="shared" si="177"/>
        <v>20.15492066419824</v>
      </c>
    </row>
    <row r="2766" spans="1:21" x14ac:dyDescent="0.25">
      <c r="A2766">
        <v>4354961</v>
      </c>
      <c r="B2766">
        <v>6</v>
      </c>
      <c r="C2766" s="1">
        <f>0.624853462843313*(10.3/7.3)</f>
        <v>0.88164255716248308</v>
      </c>
      <c r="D2766" s="1">
        <f>0.828572103874271*(10.3/7.3)</f>
        <v>1.1690811876582183</v>
      </c>
      <c r="E2766" s="1">
        <f>2.89414526905426*(10.3/7.3)</f>
        <v>4.0835200371587534</v>
      </c>
      <c r="F2766" s="1">
        <f>7.20486911249434*(38.9/42.5)</f>
        <v>6.5945743170830546</v>
      </c>
      <c r="G2766" s="1">
        <v>0.33467080360227724</v>
      </c>
      <c r="H2766" s="1">
        <v>1.8168176495741386</v>
      </c>
      <c r="I2766" s="1">
        <v>5.4941163628427434</v>
      </c>
      <c r="J2766" s="1">
        <v>5.0840653017738102E-2</v>
      </c>
      <c r="K2766" s="1">
        <v>3.1838453562351581</v>
      </c>
      <c r="L2766" s="1">
        <v>2.4441129966503246</v>
      </c>
      <c r="M2766" s="1">
        <v>0.21277868874711672</v>
      </c>
      <c r="N2766" s="1">
        <v>1.2939640834779542</v>
      </c>
      <c r="O2766" s="1">
        <v>0.99404444444444451</v>
      </c>
      <c r="P2766" s="1">
        <v>0.30911830216586234</v>
      </c>
      <c r="Q2766" s="1">
        <v>0.53486201488948482</v>
      </c>
      <c r="R2766" s="2">
        <f t="shared" si="175"/>
        <v>20.909284929971154</v>
      </c>
      <c r="S2766" s="2">
        <f t="shared" si="174"/>
        <v>3.5438043114187585</v>
      </c>
      <c r="T2766" s="2">
        <f t="shared" si="176"/>
        <v>4.9449002133198405</v>
      </c>
      <c r="U2766" s="2">
        <f t="shared" si="177"/>
        <v>29.397989454709752</v>
      </c>
    </row>
    <row r="2767" spans="1:21" x14ac:dyDescent="0.25">
      <c r="A2767">
        <v>4355513</v>
      </c>
      <c r="B2767">
        <v>4</v>
      </c>
      <c r="C2767" s="1">
        <f>10.5298396412961*(10.3/7.3)</f>
        <v>14.85717100073291</v>
      </c>
      <c r="D2767" s="1">
        <f>17.0498341748086*(10.3/7.3)</f>
        <v>24.056615342538215</v>
      </c>
      <c r="E2767" s="1">
        <f>59.979213680981*(10.3/7.3)</f>
        <v>84.628205604671763</v>
      </c>
      <c r="F2767" s="1">
        <f>104.214020954587*(38.9/42.5)</f>
        <v>95.38648035608071</v>
      </c>
      <c r="G2767" s="1">
        <v>3.3154136782186594</v>
      </c>
      <c r="H2767" s="1">
        <v>6.9155183089993066</v>
      </c>
      <c r="I2767" s="1">
        <v>68.179427572333026</v>
      </c>
      <c r="J2767" s="1">
        <v>8.0374765569230358E-2</v>
      </c>
      <c r="K2767" s="1">
        <v>3.5530494849361678</v>
      </c>
      <c r="L2767" s="1">
        <v>6.3997039710460024</v>
      </c>
      <c r="M2767" s="1">
        <v>0.26078621835113125</v>
      </c>
      <c r="N2767" s="1">
        <v>3.0056315570724941</v>
      </c>
      <c r="O2767" s="1">
        <v>0.22252000000000002</v>
      </c>
      <c r="P2767" s="1">
        <v>0.14963625779646933</v>
      </c>
      <c r="Q2767" s="1">
        <v>5.2986063350526571</v>
      </c>
      <c r="R2767" s="2">
        <f t="shared" si="175"/>
        <v>302.63743819862725</v>
      </c>
      <c r="S2767" s="2">
        <f t="shared" si="174"/>
        <v>3.7830605083018671</v>
      </c>
      <c r="T2767" s="2">
        <f t="shared" si="176"/>
        <v>9.8886417464696272</v>
      </c>
      <c r="U2767" s="2">
        <f t="shared" si="177"/>
        <v>316.3091404533987</v>
      </c>
    </row>
    <row r="2768" spans="1:21" x14ac:dyDescent="0.25">
      <c r="A2768">
        <v>4355521</v>
      </c>
      <c r="B2768">
        <v>57</v>
      </c>
      <c r="C2768" s="1">
        <f>9.59142571289701*(10.3/7.3)</f>
        <v>13.533107512717695</v>
      </c>
      <c r="D2768" s="1">
        <f>15.0048522700612*(10.3/7.3)</f>
        <v>21.171229915291804</v>
      </c>
      <c r="E2768" s="1">
        <f>52.8162424345008*(10.3/7.3)</f>
        <v>74.521547544569643</v>
      </c>
      <c r="F2768" s="1">
        <f>93.4767078373337*(38.9/42.5)</f>
        <v>85.558680820524302</v>
      </c>
      <c r="G2768" s="1">
        <v>3.039308029935508</v>
      </c>
      <c r="H2768" s="1">
        <v>6.5608842774993503</v>
      </c>
      <c r="I2768" s="1">
        <v>62.306616233481115</v>
      </c>
      <c r="J2768" s="1">
        <v>7.3020772362772671E-2</v>
      </c>
      <c r="K2768" s="1">
        <v>3.7064122110941988</v>
      </c>
      <c r="L2768" s="1">
        <v>6.781323954284451</v>
      </c>
      <c r="M2768" s="1">
        <v>0.2690444469608903</v>
      </c>
      <c r="N2768" s="1">
        <v>3.1170450973364114</v>
      </c>
      <c r="O2768" s="1">
        <v>0.2272037426900585</v>
      </c>
      <c r="P2768" s="1">
        <v>0.15513158996648088</v>
      </c>
      <c r="Q2768" s="1">
        <v>4.8573416003535588</v>
      </c>
      <c r="R2768" s="2">
        <f t="shared" si="175"/>
        <v>271.54871593437298</v>
      </c>
      <c r="S2768" s="2">
        <f t="shared" si="174"/>
        <v>3.9345645734234522</v>
      </c>
      <c r="T2768" s="2">
        <f t="shared" si="176"/>
        <v>10.394617241271812</v>
      </c>
      <c r="U2768" s="2">
        <f t="shared" si="177"/>
        <v>285.87789774906827</v>
      </c>
    </row>
    <row r="2769" spans="1:21" x14ac:dyDescent="0.25">
      <c r="A2769">
        <v>4355529</v>
      </c>
      <c r="B2769">
        <v>66</v>
      </c>
      <c r="C2769" s="1">
        <f>4.22684162565034*(10.3/7.3)</f>
        <v>5.9638998279724014</v>
      </c>
      <c r="D2769" s="1">
        <f>6.36278822401187*(10.3/7.3)</f>
        <v>8.9776326996331886</v>
      </c>
      <c r="E2769" s="1">
        <f>22.4126280230652*(10.3/7.3)</f>
        <v>31.623297073639932</v>
      </c>
      <c r="F2769" s="1">
        <f>40.4708286370972*(38.9/42.5)</f>
        <v>37.042711387837223</v>
      </c>
      <c r="G2769" s="1">
        <v>1.3456248719583854</v>
      </c>
      <c r="H2769" s="1">
        <v>3.8811694004354571</v>
      </c>
      <c r="I2769" s="1">
        <v>27.523329026319061</v>
      </c>
      <c r="J2769" s="1">
        <v>4.0760086709907634E-2</v>
      </c>
      <c r="K2769" s="1">
        <v>2.5254285955675395</v>
      </c>
      <c r="L2769" s="1">
        <v>4.0890643265227853</v>
      </c>
      <c r="M2769" s="1">
        <v>0.1729531277076401</v>
      </c>
      <c r="N2769" s="1">
        <v>2.2553463278420836</v>
      </c>
      <c r="O2769" s="1">
        <v>0.14829090909090911</v>
      </c>
      <c r="P2769" s="1">
        <v>0.11595079307026789</v>
      </c>
      <c r="Q2769" s="1">
        <v>2.1505420328102072</v>
      </c>
      <c r="R2769" s="2">
        <f t="shared" si="175"/>
        <v>118.50820632060585</v>
      </c>
      <c r="S2769" s="2">
        <f t="shared" si="174"/>
        <v>2.6821394753477152</v>
      </c>
      <c r="T2769" s="2">
        <f t="shared" si="176"/>
        <v>6.665654691163418</v>
      </c>
      <c r="U2769" s="2">
        <f t="shared" si="177"/>
        <v>127.85600048711697</v>
      </c>
    </row>
    <row r="2770" spans="1:21" x14ac:dyDescent="0.25">
      <c r="A2770">
        <v>4355537</v>
      </c>
      <c r="B2770">
        <v>53</v>
      </c>
      <c r="C2770" s="1">
        <f>6.47968165025108*(10.3/7.3)</f>
        <v>9.1425645202172774</v>
      </c>
      <c r="D2770" s="1">
        <f>9.59773968278658*(10.3/7.3)</f>
        <v>13.542016264753673</v>
      </c>
      <c r="E2770" s="1">
        <f>33.818684187459*(10.3/7.3)</f>
        <v>47.716773579565377</v>
      </c>
      <c r="F2770" s="1">
        <f>61.5543649335371*(38.9/42.5)</f>
        <v>56.340348139166899</v>
      </c>
      <c r="G2770" s="1">
        <v>2.0638080687916056</v>
      </c>
      <c r="H2770" s="1">
        <v>6.4251709762648872</v>
      </c>
      <c r="I2770" s="1">
        <v>42.203186442953992</v>
      </c>
      <c r="J2770" s="1">
        <v>5.1815122107013743E-2</v>
      </c>
      <c r="K2770" s="1">
        <v>3.1000935633836093</v>
      </c>
      <c r="L2770" s="1">
        <v>5.2586097582329163</v>
      </c>
      <c r="M2770" s="1">
        <v>0.21457033717152532</v>
      </c>
      <c r="N2770" s="1">
        <v>2.8267760169602774</v>
      </c>
      <c r="O2770" s="1">
        <v>0.18503044025157228</v>
      </c>
      <c r="P2770" s="1">
        <v>0.13340199925377297</v>
      </c>
      <c r="Q2770" s="1">
        <v>3.2983233976121573</v>
      </c>
      <c r="R2770" s="2">
        <f t="shared" si="175"/>
        <v>180.73219138932589</v>
      </c>
      <c r="S2770" s="2">
        <f t="shared" si="174"/>
        <v>3.2853106847443962</v>
      </c>
      <c r="T2770" s="2">
        <f t="shared" si="176"/>
        <v>8.4849865526162898</v>
      </c>
      <c r="U2770" s="2">
        <f t="shared" si="177"/>
        <v>192.50248862668656</v>
      </c>
    </row>
    <row r="2771" spans="1:21" x14ac:dyDescent="0.25">
      <c r="A2771">
        <v>4355545</v>
      </c>
      <c r="B2771">
        <v>68</v>
      </c>
      <c r="C2771" s="1">
        <f>9.27071038100443*(10.3/7.3)</f>
        <v>13.080591359499401</v>
      </c>
      <c r="D2771" s="1">
        <f>13.4240844179086*(10.3/7.3)</f>
        <v>18.940831438966889</v>
      </c>
      <c r="E2771" s="1">
        <f>47.3283543998957*(10.3/7.3)</f>
        <v>66.77836305738704</v>
      </c>
      <c r="F2771" s="1">
        <f>86.8702253438888*(38.9/42.5)</f>
        <v>79.511806255935838</v>
      </c>
      <c r="G2771" s="1">
        <v>2.9341221708221519</v>
      </c>
      <c r="H2771" s="1">
        <v>6.6269827009928433</v>
      </c>
      <c r="I2771" s="1">
        <v>60.185862838701453</v>
      </c>
      <c r="J2771" s="1">
        <v>6.7865800892950606E-2</v>
      </c>
      <c r="K2771" s="1">
        <v>3.89679045632076</v>
      </c>
      <c r="L2771" s="1">
        <v>7.1323061924961513</v>
      </c>
      <c r="M2771" s="1">
        <v>0.27141520256163476</v>
      </c>
      <c r="N2771" s="1">
        <v>3.6448965461193081</v>
      </c>
      <c r="O2771" s="1">
        <v>0.22927372549019601</v>
      </c>
      <c r="P2771" s="1">
        <v>0.1567003036413282</v>
      </c>
      <c r="Q2771" s="1">
        <v>4.6892363460628061</v>
      </c>
      <c r="R2771" s="2">
        <f t="shared" si="175"/>
        <v>252.74779616836841</v>
      </c>
      <c r="S2771" s="2">
        <f t="shared" si="174"/>
        <v>4.1213565608550384</v>
      </c>
      <c r="T2771" s="2">
        <f t="shared" si="176"/>
        <v>11.277891666667292</v>
      </c>
      <c r="U2771" s="2">
        <f t="shared" si="177"/>
        <v>268.14704439589076</v>
      </c>
    </row>
    <row r="2772" spans="1:21" x14ac:dyDescent="0.25">
      <c r="A2772">
        <v>4355553</v>
      </c>
      <c r="B2772">
        <v>68</v>
      </c>
      <c r="C2772" s="1">
        <f>7.0429178749678*(10.3/7.3)</f>
        <v>9.9372676865983998</v>
      </c>
      <c r="D2772" s="1">
        <f>9.99028869088862*(10.3/7.3)</f>
        <v>14.095886783034633</v>
      </c>
      <c r="E2772" s="1">
        <f>35.2386889527791*(10.3/7.3)</f>
        <v>49.720341947071894</v>
      </c>
      <c r="F2772" s="1">
        <f>65.2884309348791*(38.9/42.5)</f>
        <v>59.758116785101095</v>
      </c>
      <c r="G2772" s="1">
        <v>2.2252812985572792</v>
      </c>
      <c r="H2772" s="1">
        <v>5.5146312507121431</v>
      </c>
      <c r="I2772" s="1">
        <v>45.683471900922648</v>
      </c>
      <c r="J2772" s="1">
        <v>5.5828206234053636E-2</v>
      </c>
      <c r="K2772" s="1">
        <v>3.371629369019868</v>
      </c>
      <c r="L2772" s="1">
        <v>5.8728825919571035</v>
      </c>
      <c r="M2772" s="1">
        <v>0.22792129521267496</v>
      </c>
      <c r="N2772" s="1">
        <v>2.8759528250003403</v>
      </c>
      <c r="O2772" s="1">
        <v>0.19532627450980389</v>
      </c>
      <c r="P2772" s="1">
        <v>0.13909816235461014</v>
      </c>
      <c r="Q2772" s="1">
        <v>3.5563856369636939</v>
      </c>
      <c r="R2772" s="2">
        <f t="shared" si="175"/>
        <v>190.4913832889618</v>
      </c>
      <c r="S2772" s="2">
        <f t="shared" si="174"/>
        <v>3.5665557376085317</v>
      </c>
      <c r="T2772" s="2">
        <f t="shared" si="176"/>
        <v>9.1720829866799214</v>
      </c>
      <c r="U2772" s="2">
        <f t="shared" si="177"/>
        <v>203.23002201325025</v>
      </c>
    </row>
    <row r="2773" spans="1:21" x14ac:dyDescent="0.25">
      <c r="A2773">
        <v>4355561</v>
      </c>
      <c r="B2773">
        <v>28</v>
      </c>
      <c r="C2773" s="1">
        <f>7.10111617336231*(10.3/7.3)</f>
        <v>10.019383093922158</v>
      </c>
      <c r="D2773" s="1">
        <f>9.93869577802924*(10.3/7.3)</f>
        <v>14.023091303246739</v>
      </c>
      <c r="E2773" s="1">
        <f>35.0649632748785*(10.3/7.3)</f>
        <v>49.475222154965529</v>
      </c>
      <c r="F2773" s="1">
        <f>65.5026695142662*(38.9/42.5)</f>
        <v>59.954208096587195</v>
      </c>
      <c r="G2773" s="1">
        <v>2.2524656890819585</v>
      </c>
      <c r="H2773" s="1">
        <v>5.8455294496365724</v>
      </c>
      <c r="I2773" s="1">
        <v>46.153330240861713</v>
      </c>
      <c r="J2773" s="1">
        <v>5.6404301372738476E-2</v>
      </c>
      <c r="K2773" s="1">
        <v>3.4129348166959552</v>
      </c>
      <c r="L2773" s="1">
        <v>5.8572043875883182</v>
      </c>
      <c r="M2773" s="1">
        <v>0.22750339898790436</v>
      </c>
      <c r="N2773" s="1">
        <v>2.8996129359131855</v>
      </c>
      <c r="O2773" s="1">
        <v>0.19650666666666666</v>
      </c>
      <c r="P2773" s="1">
        <v>0.13910845399604899</v>
      </c>
      <c r="Q2773" s="1">
        <v>3.5998310099483382</v>
      </c>
      <c r="R2773" s="2">
        <f t="shared" si="175"/>
        <v>191.32306103825019</v>
      </c>
      <c r="S2773" s="2">
        <f t="shared" si="174"/>
        <v>3.6084475720647426</v>
      </c>
      <c r="T2773" s="2">
        <f t="shared" si="176"/>
        <v>9.1808273891560734</v>
      </c>
      <c r="U2773" s="2">
        <f t="shared" si="177"/>
        <v>204.11233599947099</v>
      </c>
    </row>
    <row r="2774" spans="1:21" x14ac:dyDescent="0.25">
      <c r="A2774">
        <v>4355569</v>
      </c>
      <c r="B2774">
        <v>66</v>
      </c>
      <c r="C2774" s="1">
        <f>6.50810019195569*(10.3/7.3)</f>
        <v>9.1826619146772117</v>
      </c>
      <c r="D2774" s="1">
        <f>8.97275834454765*(10.3/7.3)</f>
        <v>12.660193280663123</v>
      </c>
      <c r="E2774" s="1">
        <f>31.6675913969838*(10.3/7.3)</f>
        <v>44.681670053278523</v>
      </c>
      <c r="F2774" s="1">
        <f>59.6013577866329*(38.9/42.5)</f>
        <v>54.552772185882816</v>
      </c>
      <c r="G2774" s="1">
        <v>2.0645497473720544</v>
      </c>
      <c r="H2774" s="1">
        <v>7.5685297175372597</v>
      </c>
      <c r="I2774" s="1">
        <v>42.301028438143376</v>
      </c>
      <c r="J2774" s="1">
        <v>5.4155366643717853E-2</v>
      </c>
      <c r="K2774" s="1">
        <v>3.2466869737959354</v>
      </c>
      <c r="L2774" s="1">
        <v>5.5025050181887547</v>
      </c>
      <c r="M2774" s="1">
        <v>0.21474064257347841</v>
      </c>
      <c r="N2774" s="1">
        <v>3.0214692639133358</v>
      </c>
      <c r="O2774" s="1">
        <v>0.18573010101010096</v>
      </c>
      <c r="P2774" s="1">
        <v>0.13290051881912501</v>
      </c>
      <c r="Q2774" s="1">
        <v>3.2995087286768032</v>
      </c>
      <c r="R2774" s="2">
        <f t="shared" si="175"/>
        <v>176.31091406623119</v>
      </c>
      <c r="S2774" s="2">
        <f t="shared" si="174"/>
        <v>3.4337428592587784</v>
      </c>
      <c r="T2774" s="2">
        <f t="shared" si="176"/>
        <v>8.9244450256856709</v>
      </c>
      <c r="U2774" s="2">
        <f t="shared" si="177"/>
        <v>188.66910195117566</v>
      </c>
    </row>
    <row r="2775" spans="1:21" x14ac:dyDescent="0.25">
      <c r="A2775">
        <v>4355577</v>
      </c>
      <c r="B2775">
        <v>70</v>
      </c>
      <c r="C2775" s="1">
        <f>8.55126819237152*(10.3/7.3)</f>
        <v>12.065487997455712</v>
      </c>
      <c r="D2775" s="1">
        <f>11.5644665453918*(10.3/7.3)</f>
        <v>16.316987043497999</v>
      </c>
      <c r="E2775" s="1">
        <f>40.8326558638084*(10.3/7.3)</f>
        <v>57.613199369483048</v>
      </c>
      <c r="F2775" s="1">
        <f>77.5813981472929*(38.9/42.5)</f>
        <v>71.009797363051575</v>
      </c>
      <c r="G2775" s="1">
        <v>2.7115424221817626</v>
      </c>
      <c r="H2775" s="1">
        <v>6.9094479607221704</v>
      </c>
      <c r="I2775" s="1">
        <v>55.568964156541981</v>
      </c>
      <c r="J2775" s="1">
        <v>6.7874044831678915E-2</v>
      </c>
      <c r="K2775" s="1">
        <v>3.8199654391708031</v>
      </c>
      <c r="L2775" s="1">
        <v>7.0123073085560632</v>
      </c>
      <c r="M2775" s="1">
        <v>0.25490321187338982</v>
      </c>
      <c r="N2775" s="1">
        <v>3.6395681356059604</v>
      </c>
      <c r="O2775" s="1">
        <v>0.21495009523809525</v>
      </c>
      <c r="P2775" s="1">
        <v>0.14889589603035283</v>
      </c>
      <c r="Q2775" s="1">
        <v>4.3335152865918642</v>
      </c>
      <c r="R2775" s="2">
        <f t="shared" si="175"/>
        <v>226.52894159952615</v>
      </c>
      <c r="S2775" s="2">
        <f t="shared" si="174"/>
        <v>4.0367353800328347</v>
      </c>
      <c r="T2775" s="2">
        <f t="shared" si="176"/>
        <v>11.121728751273508</v>
      </c>
      <c r="U2775" s="2">
        <f t="shared" si="177"/>
        <v>241.6874057308325</v>
      </c>
    </row>
    <row r="2776" spans="1:21" x14ac:dyDescent="0.25">
      <c r="A2776">
        <v>4355585</v>
      </c>
      <c r="B2776">
        <v>59</v>
      </c>
      <c r="C2776" s="1">
        <f>7.75123110920873*(10.3/7.3)</f>
        <v>10.936668551349298</v>
      </c>
      <c r="D2776" s="1">
        <f>10.4832272326885*(10.3/7.3)</f>
        <v>14.791402807765962</v>
      </c>
      <c r="E2776" s="1">
        <f>36.9599055642039*(10.3/7.3)</f>
        <v>52.148907850863104</v>
      </c>
      <c r="F2776" s="1">
        <f>72.9900781368887*(38.9/42.5)</f>
        <v>66.807389165293415</v>
      </c>
      <c r="G2776" s="1">
        <v>2.6869199218737703</v>
      </c>
      <c r="H2776" s="1">
        <v>7.3983015214615104</v>
      </c>
      <c r="I2776" s="1">
        <v>52.775222672671539</v>
      </c>
      <c r="J2776" s="1">
        <v>6.4032677607319691E-2</v>
      </c>
      <c r="K2776" s="1">
        <v>3.5377431416400862</v>
      </c>
      <c r="L2776" s="1">
        <v>6.3102091207926883</v>
      </c>
      <c r="M2776" s="1">
        <v>0.23355161746642367</v>
      </c>
      <c r="N2776" s="1">
        <v>3.1821339431656082</v>
      </c>
      <c r="O2776" s="1">
        <v>0.19773378531073449</v>
      </c>
      <c r="P2776" s="1">
        <v>0.1384613764017199</v>
      </c>
      <c r="Q2776" s="1">
        <v>4.2941642587023745</v>
      </c>
      <c r="R2776" s="2">
        <f t="shared" si="175"/>
        <v>211.83897674998099</v>
      </c>
      <c r="S2776" s="2">
        <f t="shared" si="174"/>
        <v>3.7402371956491258</v>
      </c>
      <c r="T2776" s="2">
        <f t="shared" si="176"/>
        <v>9.9236284667354546</v>
      </c>
      <c r="U2776" s="2">
        <f t="shared" si="177"/>
        <v>225.50284241236557</v>
      </c>
    </row>
    <row r="2777" spans="1:21" x14ac:dyDescent="0.25">
      <c r="A2777">
        <v>4355593</v>
      </c>
      <c r="B2777">
        <v>41</v>
      </c>
      <c r="C2777" s="1">
        <f>7.56414427648756*(10.3/7.3)</f>
        <v>10.672696718879715</v>
      </c>
      <c r="D2777" s="1">
        <f>10.0410799594038*(10.3/7.3)</f>
        <v>14.167551175597104</v>
      </c>
      <c r="E2777" s="1">
        <f>35.4383221821863*(10.3/7.3)</f>
        <v>50.002016229660192</v>
      </c>
      <c r="F2777" s="1">
        <f>69.5126491554174*(38.9/42.5)</f>
        <v>63.624518874017383</v>
      </c>
      <c r="G2777" s="1">
        <v>2.5264033190877679</v>
      </c>
      <c r="H2777" s="1">
        <v>7.2680789637086969</v>
      </c>
      <c r="I2777" s="1">
        <v>50.49694642832624</v>
      </c>
      <c r="J2777" s="1">
        <v>6.3085469635733124E-2</v>
      </c>
      <c r="K2777" s="1">
        <v>3.4856100172661546</v>
      </c>
      <c r="L2777" s="1">
        <v>6.1649323803394163</v>
      </c>
      <c r="M2777" s="1">
        <v>0.22845507798173237</v>
      </c>
      <c r="N2777" s="1">
        <v>3.1672409588278208</v>
      </c>
      <c r="O2777" s="1">
        <v>0.19315252032520325</v>
      </c>
      <c r="P2777" s="1">
        <v>0.13569582136188421</v>
      </c>
      <c r="Q2777" s="1">
        <v>4.0376308752544299</v>
      </c>
      <c r="R2777" s="2">
        <f t="shared" si="175"/>
        <v>202.7958425845315</v>
      </c>
      <c r="S2777" s="2">
        <f t="shared" si="174"/>
        <v>3.684391308263772</v>
      </c>
      <c r="T2777" s="2">
        <f t="shared" si="176"/>
        <v>9.753780937474172</v>
      </c>
      <c r="U2777" s="2">
        <f t="shared" si="177"/>
        <v>216.23401483026944</v>
      </c>
    </row>
    <row r="2778" spans="1:21" x14ac:dyDescent="0.25">
      <c r="A2778">
        <v>4355601</v>
      </c>
      <c r="B2778">
        <v>66</v>
      </c>
      <c r="C2778" s="1">
        <f>6.8544812999039*(10.3/7.3)</f>
        <v>9.6713914231520715</v>
      </c>
      <c r="D2778" s="1">
        <f>8.87916929965917*(10.3/7.3)</f>
        <v>12.528142984450607</v>
      </c>
      <c r="E2778" s="1">
        <f>31.3844546514772*(10.3/7.3)</f>
        <v>44.282175741125407</v>
      </c>
      <c r="F2778" s="1">
        <f>60.862194518879*(38.9/42.5)</f>
        <v>55.706808630221026</v>
      </c>
      <c r="G2778" s="1">
        <v>2.1666262526458357</v>
      </c>
      <c r="H2778" s="1">
        <v>5.6975188137788546</v>
      </c>
      <c r="I2778" s="1">
        <v>44.47046485971358</v>
      </c>
      <c r="J2778" s="1">
        <v>5.9301858473495589E-2</v>
      </c>
      <c r="K2778" s="1">
        <v>3.3305483732243597</v>
      </c>
      <c r="L2778" s="1">
        <v>5.7584693514998895</v>
      </c>
      <c r="M2778" s="1">
        <v>0.21398615067997503</v>
      </c>
      <c r="N2778" s="1">
        <v>3.0945324310969911</v>
      </c>
      <c r="O2778" s="1">
        <v>0.18221414141414138</v>
      </c>
      <c r="P2778" s="1">
        <v>0.13008227495029759</v>
      </c>
      <c r="Q2778" s="1">
        <v>3.4626446960093311</v>
      </c>
      <c r="R2778" s="2">
        <f t="shared" si="175"/>
        <v>177.98577340109674</v>
      </c>
      <c r="S2778" s="2">
        <f t="shared" si="174"/>
        <v>3.5199325066481526</v>
      </c>
      <c r="T2778" s="2">
        <f t="shared" si="176"/>
        <v>9.2492020746909969</v>
      </c>
      <c r="U2778" s="2">
        <f t="shared" si="177"/>
        <v>190.7549079824359</v>
      </c>
    </row>
    <row r="2779" spans="1:21" x14ac:dyDescent="0.25">
      <c r="A2779">
        <v>4355609</v>
      </c>
      <c r="B2779">
        <v>67</v>
      </c>
      <c r="C2779" s="1">
        <f>5.23578358605259*(10.3/7.3)</f>
        <v>7.3874754707317418</v>
      </c>
      <c r="D2779" s="1">
        <f>6.69248067165723*(10.3/7.3)</f>
        <v>9.4428151942560916</v>
      </c>
      <c r="E2779" s="1">
        <f>23.6692269170582*(10.3/7.3)</f>
        <v>33.396306472013578</v>
      </c>
      <c r="F2779" s="1">
        <f>45.8989610329438*(38.9/42.5)</f>
        <v>42.011049039565073</v>
      </c>
      <c r="G2779" s="1">
        <v>1.6288332900496367</v>
      </c>
      <c r="H2779" s="1">
        <v>4.6114735906025865</v>
      </c>
      <c r="I2779" s="1">
        <v>33.694212882902754</v>
      </c>
      <c r="J2779" s="1">
        <v>4.9296401286174518E-2</v>
      </c>
      <c r="K2779" s="1">
        <v>2.8829725920156952</v>
      </c>
      <c r="L2779" s="1">
        <v>4.779661550832123</v>
      </c>
      <c r="M2779" s="1">
        <v>0.18055268045247197</v>
      </c>
      <c r="N2779" s="1">
        <v>3.1801445250125129</v>
      </c>
      <c r="O2779" s="1">
        <v>0.15448676616915424</v>
      </c>
      <c r="P2779" s="1">
        <v>0.11569599722799309</v>
      </c>
      <c r="Q2779" s="1">
        <v>2.6031582261067268</v>
      </c>
      <c r="R2779" s="2">
        <f t="shared" si="175"/>
        <v>134.77532416622819</v>
      </c>
      <c r="S2779" s="2">
        <f t="shared" si="174"/>
        <v>3.0479649905298629</v>
      </c>
      <c r="T2779" s="2">
        <f t="shared" si="176"/>
        <v>8.2948455224662609</v>
      </c>
      <c r="U2779" s="2">
        <f t="shared" si="177"/>
        <v>146.11813467922431</v>
      </c>
    </row>
    <row r="2780" spans="1:21" x14ac:dyDescent="0.25">
      <c r="A2780">
        <v>4355617</v>
      </c>
      <c r="B2780">
        <v>68</v>
      </c>
      <c r="C2780" s="1">
        <f>7.56423499216091*(10.3/7.3)</f>
        <v>10.672824714966767</v>
      </c>
      <c r="D2780" s="1">
        <f>9.47029221017902*(10.3/7.3)</f>
        <v>13.362193118471769</v>
      </c>
      <c r="E2780" s="1">
        <f>33.5068882913005*(10.3/7.3)</f>
        <v>47.276842383615715</v>
      </c>
      <c r="F2780" s="1">
        <f>65.862709214932*(38.9/42.5)</f>
        <v>60.283750316726014</v>
      </c>
      <c r="G2780" s="1">
        <v>2.3690407408866641</v>
      </c>
      <c r="H2780" s="1">
        <v>5.7560210986978291</v>
      </c>
      <c r="I2780" s="1">
        <v>48.844926822451484</v>
      </c>
      <c r="J2780" s="1">
        <v>6.4917148682015355E-2</v>
      </c>
      <c r="K2780" s="1">
        <v>3.5012271410221434</v>
      </c>
      <c r="L2780" s="1">
        <v>6.246851080038728</v>
      </c>
      <c r="M2780" s="1">
        <v>0.21951386232817188</v>
      </c>
      <c r="N2780" s="1">
        <v>2.9977500504931696</v>
      </c>
      <c r="O2780" s="1">
        <v>0.18463921568627459</v>
      </c>
      <c r="P2780" s="1">
        <v>0.13202825453734182</v>
      </c>
      <c r="Q2780" s="1">
        <v>3.7861381703668182</v>
      </c>
      <c r="R2780" s="2">
        <f t="shared" si="175"/>
        <v>192.3517373661831</v>
      </c>
      <c r="S2780" s="2">
        <f t="shared" si="174"/>
        <v>3.6981725442415008</v>
      </c>
      <c r="T2780" s="2">
        <f t="shared" si="176"/>
        <v>9.6487542085463431</v>
      </c>
      <c r="U2780" s="2">
        <f t="shared" si="177"/>
        <v>205.69866411897092</v>
      </c>
    </row>
    <row r="2781" spans="1:21" x14ac:dyDescent="0.25">
      <c r="A2781">
        <v>4355625</v>
      </c>
      <c r="B2781">
        <v>68</v>
      </c>
      <c r="C2781" s="1">
        <f>3.89468471796684*(10.3/7.3)</f>
        <v>5.4952400815148588</v>
      </c>
      <c r="D2781" s="1">
        <f>4.89961357509089*(10.3/7.3)</f>
        <v>6.9131534004707129</v>
      </c>
      <c r="E2781" s="1">
        <f>17.3358311813175*(10.3/7.3)</f>
        <v>24.460145365420537</v>
      </c>
      <c r="F2781" s="1">
        <f>33.8625453356279*(38.9/42.5)</f>
        <v>30.994188554257054</v>
      </c>
      <c r="G2781" s="1">
        <v>1.2091193135441456</v>
      </c>
      <c r="H2781" s="1">
        <v>3.5695623802488452</v>
      </c>
      <c r="I2781" s="1">
        <v>25.037462041033891</v>
      </c>
      <c r="J2781" s="1">
        <v>4.0509367069721733E-2</v>
      </c>
      <c r="K2781" s="1">
        <v>2.4714610803870274</v>
      </c>
      <c r="L2781" s="1">
        <v>3.9690086975840186</v>
      </c>
      <c r="M2781" s="1">
        <v>0.15081042891294424</v>
      </c>
      <c r="N2781" s="1">
        <v>1.9235154823467771</v>
      </c>
      <c r="O2781" s="1">
        <v>0.12825254901960784</v>
      </c>
      <c r="P2781" s="1">
        <v>0.10083199069017194</v>
      </c>
      <c r="Q2781" s="1">
        <v>1.9323824645682706</v>
      </c>
      <c r="R2781" s="2">
        <f t="shared" si="175"/>
        <v>99.611253601058309</v>
      </c>
      <c r="S2781" s="2">
        <f t="shared" si="174"/>
        <v>2.6128024381469213</v>
      </c>
      <c r="T2781" s="2">
        <f t="shared" si="176"/>
        <v>6.1715871578633479</v>
      </c>
      <c r="U2781" s="2">
        <f t="shared" si="177"/>
        <v>108.39564319706857</v>
      </c>
    </row>
    <row r="2782" spans="1:21" x14ac:dyDescent="0.25">
      <c r="A2782">
        <v>4355633</v>
      </c>
      <c r="B2782">
        <v>68</v>
      </c>
      <c r="C2782" s="1">
        <f>8.44097483179791*(10.3/7.3)</f>
        <v>11.909868598290199</v>
      </c>
      <c r="D2782" s="1">
        <f>10.3571293193968*(10.3/7.3)</f>
        <v>14.613483834217362</v>
      </c>
      <c r="E2782" s="1">
        <f>36.6501490443064*(10.3/7.3)</f>
        <v>51.711854131007669</v>
      </c>
      <c r="F2782" s="1">
        <f>73.4565083462513*(38.9/42.5)</f>
        <v>67.234309992215927</v>
      </c>
      <c r="G2782" s="1">
        <v>2.6979470711858649</v>
      </c>
      <c r="H2782" s="1">
        <v>6.1654047655002202</v>
      </c>
      <c r="I2782" s="1">
        <v>55.076708791197149</v>
      </c>
      <c r="J2782" s="1">
        <v>6.7661752712272594E-2</v>
      </c>
      <c r="K2782" s="1">
        <v>3.66432257208371</v>
      </c>
      <c r="L2782" s="1">
        <v>6.6184146805603632</v>
      </c>
      <c r="M2782" s="1">
        <v>0.22379706108087724</v>
      </c>
      <c r="N2782" s="1">
        <v>2.9118536870891849</v>
      </c>
      <c r="O2782" s="1">
        <v>0.18878509803921564</v>
      </c>
      <c r="P2782" s="1">
        <v>0.13291551835915918</v>
      </c>
      <c r="Q2782" s="1">
        <v>4.3117875566897421</v>
      </c>
      <c r="R2782" s="2">
        <f t="shared" si="175"/>
        <v>213.72136474030415</v>
      </c>
      <c r="S2782" s="2">
        <f t="shared" si="174"/>
        <v>3.864899843155142</v>
      </c>
      <c r="T2782" s="2">
        <f t="shared" si="176"/>
        <v>9.9428505267696412</v>
      </c>
      <c r="U2782" s="2">
        <f t="shared" si="177"/>
        <v>227.52911511022893</v>
      </c>
    </row>
    <row r="2783" spans="1:21" x14ac:dyDescent="0.25">
      <c r="A2783">
        <v>4355641</v>
      </c>
      <c r="B2783">
        <v>66</v>
      </c>
      <c r="C2783" s="1">
        <f>8.2800642318981*(10.3/7.3)</f>
        <v>11.682830354595945</v>
      </c>
      <c r="D2783" s="1">
        <f>10.0362014926744*(10.3/7.3)</f>
        <v>14.160667859526828</v>
      </c>
      <c r="E2783" s="1">
        <f>35.5181991327333*(10.3/7.3)</f>
        <v>50.114719324267519</v>
      </c>
      <c r="F2783" s="1">
        <f>72.0139098986674*(38.9/42.5)</f>
        <v>65.913908119015531</v>
      </c>
      <c r="G2783" s="1">
        <v>2.6767161564482627</v>
      </c>
      <c r="H2783" s="1">
        <v>6.083457437444598</v>
      </c>
      <c r="I2783" s="1">
        <v>54.343881079313661</v>
      </c>
      <c r="J2783" s="1">
        <v>6.5176509784398401E-2</v>
      </c>
      <c r="K2783" s="1">
        <v>3.5997498826893293</v>
      </c>
      <c r="L2783" s="1">
        <v>6.4886760474621941</v>
      </c>
      <c r="M2783" s="1">
        <v>0.2166836576225892</v>
      </c>
      <c r="N2783" s="1">
        <v>2.7827172642977489</v>
      </c>
      <c r="O2783" s="1">
        <v>0.18228848484848478</v>
      </c>
      <c r="P2783" s="1">
        <v>0.12984763275114777</v>
      </c>
      <c r="Q2783" s="1">
        <v>4.2778568710360396</v>
      </c>
      <c r="R2783" s="2">
        <f t="shared" si="175"/>
        <v>209.2540372016484</v>
      </c>
      <c r="S2783" s="2">
        <f t="shared" si="174"/>
        <v>3.7947740252248754</v>
      </c>
      <c r="T2783" s="2">
        <f t="shared" si="176"/>
        <v>9.6703654542310176</v>
      </c>
      <c r="U2783" s="2">
        <f t="shared" si="177"/>
        <v>222.7191766811043</v>
      </c>
    </row>
    <row r="2784" spans="1:21" x14ac:dyDescent="0.25">
      <c r="A2784">
        <v>4355649</v>
      </c>
      <c r="B2784">
        <v>66</v>
      </c>
      <c r="C2784" s="1">
        <f>9.0618024235356*(10.3/7.3)</f>
        <v>12.785830816769415</v>
      </c>
      <c r="D2784" s="1">
        <f>10.8321316381804*(10.3/7.3)</f>
        <v>15.283692585377844</v>
      </c>
      <c r="E2784" s="1">
        <f>38.3408618807683*(10.3/7.3)</f>
        <v>54.097380461906006</v>
      </c>
      <c r="F2784" s="1">
        <f>78.6997244033276*(38.9/42.5)</f>
        <v>72.033394806810392</v>
      </c>
      <c r="G2784" s="1">
        <v>2.9612428319223385</v>
      </c>
      <c r="H2784" s="1">
        <v>6.5455353438485586</v>
      </c>
      <c r="I2784" s="1">
        <v>59.808629783449796</v>
      </c>
      <c r="J2784" s="1">
        <v>6.8253218254177822E-2</v>
      </c>
      <c r="K2784" s="1">
        <v>3.7686649868063391</v>
      </c>
      <c r="L2784" s="1">
        <v>6.8860149287734798</v>
      </c>
      <c r="M2784" s="1">
        <v>0.22270841076470241</v>
      </c>
      <c r="N2784" s="1">
        <v>2.8273972920698864</v>
      </c>
      <c r="O2784" s="1">
        <v>0.18708282828282827</v>
      </c>
      <c r="P2784" s="1">
        <v>0.13249328621116965</v>
      </c>
      <c r="Q2784" s="1">
        <v>4.7325798683690392</v>
      </c>
      <c r="R2784" s="2">
        <f t="shared" si="175"/>
        <v>228.24828649845341</v>
      </c>
      <c r="S2784" s="2">
        <f t="shared" si="174"/>
        <v>3.9694114912716865</v>
      </c>
      <c r="T2784" s="2">
        <f t="shared" si="176"/>
        <v>10.123203459890895</v>
      </c>
      <c r="U2784" s="2">
        <f t="shared" si="177"/>
        <v>242.34090144961601</v>
      </c>
    </row>
    <row r="2785" spans="1:21" x14ac:dyDescent="0.25">
      <c r="A2785">
        <v>4355657</v>
      </c>
      <c r="B2785">
        <v>63</v>
      </c>
      <c r="C2785" s="1">
        <f>9.28980867767699*(10.3/7.3)</f>
        <v>13.107538271242872</v>
      </c>
      <c r="D2785" s="1">
        <f>10.9654536499753*(10.3/7.3)</f>
        <v>15.471804465033612</v>
      </c>
      <c r="E2785" s="1">
        <f>38.8087128162233*(10.3/7.3)</f>
        <v>54.757498905082223</v>
      </c>
      <c r="F2785" s="1">
        <f>81.0367153953551*(38.9/42.5)</f>
        <v>74.172428914807341</v>
      </c>
      <c r="G2785" s="1">
        <v>3.1045706035982907</v>
      </c>
      <c r="H2785" s="1">
        <v>6.8694375141067878</v>
      </c>
      <c r="I2785" s="1">
        <v>62.03609120454356</v>
      </c>
      <c r="J2785" s="1">
        <v>6.8625536422814479E-2</v>
      </c>
      <c r="K2785" s="1">
        <v>3.7937468564019534</v>
      </c>
      <c r="L2785" s="1">
        <v>6.9324745770902476</v>
      </c>
      <c r="M2785" s="1">
        <v>0.21900016069782458</v>
      </c>
      <c r="N2785" s="1">
        <v>2.7885371235254324</v>
      </c>
      <c r="O2785" s="1">
        <v>0.18484402116402116</v>
      </c>
      <c r="P2785" s="1">
        <v>0.13175580612932353</v>
      </c>
      <c r="Q2785" s="1">
        <v>4.9616425171662248</v>
      </c>
      <c r="R2785" s="2">
        <f t="shared" si="175"/>
        <v>234.48101239558088</v>
      </c>
      <c r="S2785" s="2">
        <f t="shared" si="174"/>
        <v>3.9941281989540913</v>
      </c>
      <c r="T2785" s="2">
        <f t="shared" si="176"/>
        <v>10.124855882477526</v>
      </c>
      <c r="U2785" s="2">
        <f t="shared" si="177"/>
        <v>248.5999964770125</v>
      </c>
    </row>
    <row r="2786" spans="1:21" x14ac:dyDescent="0.25">
      <c r="A2786">
        <v>4355665</v>
      </c>
      <c r="B2786">
        <v>7</v>
      </c>
      <c r="C2786" s="1">
        <f>8.12629083455543*(10.3/7.3)</f>
        <v>11.465862410400131</v>
      </c>
      <c r="D2786" s="1">
        <f>9.57558756526523*(10.3/7.3)</f>
        <v>13.510760537292036</v>
      </c>
      <c r="E2786" s="1">
        <f>33.8645863195969*(10.3/7.3)</f>
        <v>47.781539601622981</v>
      </c>
      <c r="F2786" s="1">
        <f>72.1244549826535*(38.9/42.5)</f>
        <v>66.015089384122888</v>
      </c>
      <c r="G2786" s="1">
        <v>2.8266085825256724</v>
      </c>
      <c r="H2786" s="1">
        <v>10.491385326717099</v>
      </c>
      <c r="I2786" s="1">
        <v>55.430465239178773</v>
      </c>
      <c r="J2786" s="1">
        <v>6.4714919017233294E-2</v>
      </c>
      <c r="K2786" s="1">
        <v>3.4779676283824754</v>
      </c>
      <c r="L2786" s="1">
        <v>6.0116801309189301</v>
      </c>
      <c r="M2786" s="1">
        <v>0.19877946715050201</v>
      </c>
      <c r="N2786" s="1">
        <v>2.6953720308866673</v>
      </c>
      <c r="O2786" s="1">
        <v>0.16654476190476192</v>
      </c>
      <c r="P2786" s="1">
        <v>0.12072481804045367</v>
      </c>
      <c r="Q2786" s="1">
        <v>4.5174109766392068</v>
      </c>
      <c r="R2786" s="2">
        <f t="shared" si="175"/>
        <v>212.03912205849878</v>
      </c>
      <c r="S2786" s="2">
        <f t="shared" si="174"/>
        <v>3.6634073654401624</v>
      </c>
      <c r="T2786" s="2">
        <f t="shared" si="176"/>
        <v>9.0723763908608621</v>
      </c>
      <c r="U2786" s="2">
        <f t="shared" si="177"/>
        <v>224.77490581479978</v>
      </c>
    </row>
    <row r="2787" spans="1:21" x14ac:dyDescent="0.25">
      <c r="A2787">
        <v>4355673</v>
      </c>
      <c r="B2787">
        <v>17</v>
      </c>
      <c r="C2787" s="1">
        <f>3.98181690792869*(10.3/7.3)</f>
        <v>5.6181800207761041</v>
      </c>
      <c r="D2787" s="1">
        <f>4.94169707253376*(10.3/7.3)</f>
        <v>6.9725314859037946</v>
      </c>
      <c r="E2787" s="1">
        <f>17.3478479480518*(10.3/7.3)</f>
        <v>24.477100529442918</v>
      </c>
      <c r="F2787" s="1">
        <f>41.3286240047107*(38.9/42.5)</f>
        <v>37.827846441958691</v>
      </c>
      <c r="G2787" s="1">
        <v>1.8313352995848584</v>
      </c>
      <c r="H2787" s="1">
        <v>9.2048836151214743</v>
      </c>
      <c r="I2787" s="1">
        <v>31.846839575371199</v>
      </c>
      <c r="J2787" s="1">
        <v>3.6571923583244119E-2</v>
      </c>
      <c r="K2787" s="1">
        <v>2.2960634898898813</v>
      </c>
      <c r="L2787" s="1">
        <v>4.2182071160718682</v>
      </c>
      <c r="M2787" s="1">
        <v>0.13087815953533852</v>
      </c>
      <c r="N2787" s="1">
        <v>1.9205645565776994</v>
      </c>
      <c r="O2787" s="1">
        <v>0.10903529411764705</v>
      </c>
      <c r="P2787" s="1">
        <v>8.8294515329640499E-2</v>
      </c>
      <c r="Q2787" s="1">
        <v>2.9267915746790005</v>
      </c>
      <c r="R2787" s="2">
        <f t="shared" si="175"/>
        <v>120.70550854283805</v>
      </c>
      <c r="S2787" s="2">
        <f t="shared" si="174"/>
        <v>2.4209299288027659</v>
      </c>
      <c r="T2787" s="2">
        <f t="shared" si="176"/>
        <v>6.3786851263025532</v>
      </c>
      <c r="U2787" s="2">
        <f t="shared" si="177"/>
        <v>129.50512359794337</v>
      </c>
    </row>
    <row r="2788" spans="1:21" x14ac:dyDescent="0.25">
      <c r="A2788">
        <v>4355681</v>
      </c>
      <c r="B2788">
        <v>17</v>
      </c>
      <c r="C2788" s="1">
        <f>4.50390717980553*(10.3/7.3)</f>
        <v>6.3548279386297137</v>
      </c>
      <c r="D2788" s="1">
        <f>5.46796847875738*(10.3/7.3)</f>
        <v>7.7150788124932914</v>
      </c>
      <c r="E2788" s="1">
        <f>19.2009237306164*(10.3/7.3)</f>
        <v>27.091714304842345</v>
      </c>
      <c r="F2788" s="1">
        <f>46.4452407920523*(38.9/42.5)</f>
        <v>42.511055689666691</v>
      </c>
      <c r="G2788" s="1">
        <v>2.0788079253662284</v>
      </c>
      <c r="H2788" s="1">
        <v>8.445927771702312</v>
      </c>
      <c r="I2788" s="1">
        <v>36.099732941825629</v>
      </c>
      <c r="J2788" s="1">
        <v>3.5134226310210133E-2</v>
      </c>
      <c r="K2788" s="1">
        <v>2.2858395063256904</v>
      </c>
      <c r="L2788" s="1">
        <v>4.3074201980597904</v>
      </c>
      <c r="M2788" s="1">
        <v>0.12855056143234336</v>
      </c>
      <c r="N2788" s="1">
        <v>1.5865515401384593</v>
      </c>
      <c r="O2788" s="1">
        <v>0.10761411764705883</v>
      </c>
      <c r="P2788" s="1">
        <v>8.7188175069674106E-2</v>
      </c>
      <c r="Q2788" s="1">
        <v>3.3222957711332448</v>
      </c>
      <c r="R2788" s="2">
        <f t="shared" si="175"/>
        <v>133.61944115565944</v>
      </c>
      <c r="S2788" s="2">
        <f t="shared" si="174"/>
        <v>2.4081619077055749</v>
      </c>
      <c r="T2788" s="2">
        <f t="shared" si="176"/>
        <v>6.1301364172776518</v>
      </c>
      <c r="U2788" s="2">
        <f t="shared" si="177"/>
        <v>142.15773948064265</v>
      </c>
    </row>
    <row r="2789" spans="1:21" x14ac:dyDescent="0.25">
      <c r="A2789">
        <v>4355689</v>
      </c>
      <c r="B2789">
        <v>2</v>
      </c>
      <c r="C2789" s="1">
        <f>4.06456788801616*(10.3/7.3)</f>
        <v>5.7349382529543016</v>
      </c>
      <c r="D2789" s="1">
        <f>4.93297953001998*(10.3/7.3)</f>
        <v>6.9602313916720338</v>
      </c>
      <c r="E2789" s="1">
        <f>17.3059078524214*(10.3/7.3)</f>
        <v>24.417924778074024</v>
      </c>
      <c r="F2789" s="1">
        <f>42.7086788105814*(38.9/42.5)</f>
        <v>39.091002487802776</v>
      </c>
      <c r="G2789" s="1">
        <v>1.9447208063984855</v>
      </c>
      <c r="H2789" s="1">
        <v>8.0282155475450345</v>
      </c>
      <c r="I2789" s="1">
        <v>33.299613638638803</v>
      </c>
      <c r="J2789" s="1">
        <v>3.516767273982585E-2</v>
      </c>
      <c r="K2789" s="1">
        <v>2.3251332554021547</v>
      </c>
      <c r="L2789" s="1">
        <v>3.7476930299149109</v>
      </c>
      <c r="M2789" s="1">
        <v>0.1270261164979436</v>
      </c>
      <c r="N2789" s="1">
        <v>1.5948153847536908</v>
      </c>
      <c r="O2789" s="1">
        <v>0.10749333333333333</v>
      </c>
      <c r="P2789" s="1">
        <v>8.8034406953443806E-2</v>
      </c>
      <c r="Q2789" s="1">
        <v>3.1080012887647057</v>
      </c>
      <c r="R2789" s="2">
        <f t="shared" si="175"/>
        <v>122.58464819185015</v>
      </c>
      <c r="S2789" s="2">
        <f t="shared" si="174"/>
        <v>2.4483353350954244</v>
      </c>
      <c r="T2789" s="2">
        <f t="shared" si="176"/>
        <v>5.5770278644998781</v>
      </c>
      <c r="U2789" s="2">
        <f t="shared" si="177"/>
        <v>130.61001139144545</v>
      </c>
    </row>
    <row r="2790" spans="1:21" x14ac:dyDescent="0.25">
      <c r="A2790">
        <v>4367189</v>
      </c>
      <c r="B2790">
        <v>26</v>
      </c>
      <c r="C2790" s="1">
        <f>0.545417736398088*(10.3/7.3)</f>
        <v>0.76956201163017968</v>
      </c>
      <c r="D2790" s="1">
        <f>0.718263686535286*(10.3/7.3)</f>
        <v>1.0134405440155401</v>
      </c>
      <c r="E2790" s="1">
        <f>2.51145647765068*(10.3/7.3)</f>
        <v>3.5435618794249257</v>
      </c>
      <c r="F2790" s="1">
        <f>6.15687481823107*(38.9/42.5)</f>
        <v>5.6353513042162033</v>
      </c>
      <c r="G2790" s="1">
        <v>0.28213617420021569</v>
      </c>
      <c r="H2790" s="1">
        <v>1.4298983137361474</v>
      </c>
      <c r="I2790" s="1">
        <v>4.6907820858900671</v>
      </c>
      <c r="J2790" s="1">
        <v>3.8246280265832294E-2</v>
      </c>
      <c r="K2790" s="1">
        <v>2.9487948817174421</v>
      </c>
      <c r="L2790" s="1">
        <v>2.2980275880215126</v>
      </c>
      <c r="M2790" s="1">
        <v>0.19884254581724842</v>
      </c>
      <c r="N2790" s="1">
        <v>1.114052724821289</v>
      </c>
      <c r="O2790" s="1">
        <v>0.89558974358974386</v>
      </c>
      <c r="P2790" s="1">
        <v>0.28927099301430043</v>
      </c>
      <c r="Q2790" s="1">
        <v>0.4509025615071946</v>
      </c>
      <c r="R2790" s="2">
        <f t="shared" si="175"/>
        <v>17.815634874620475</v>
      </c>
      <c r="S2790" s="2">
        <f t="shared" si="174"/>
        <v>3.2763121549975747</v>
      </c>
      <c r="T2790" s="2">
        <f t="shared" si="176"/>
        <v>4.5065126022497939</v>
      </c>
      <c r="U2790" s="2">
        <f t="shared" si="177"/>
        <v>25.59845963186784</v>
      </c>
    </row>
    <row r="2791" spans="1:21" x14ac:dyDescent="0.25">
      <c r="A2791">
        <v>4367197</v>
      </c>
      <c r="B2791">
        <v>2</v>
      </c>
      <c r="C2791" s="1">
        <f>0.644834435149256*(10.3/7.3)</f>
        <v>0.90983488795031997</v>
      </c>
      <c r="D2791" s="1">
        <f>0.858189485194245*(10.3/7.3)</f>
        <v>1.2108700955480443</v>
      </c>
      <c r="E2791" s="1">
        <f>2.99668782497505*(10.3/7.3)</f>
        <v>4.2282033694853469</v>
      </c>
      <c r="F2791" s="1">
        <f>7.48277148583291*(38.9/42.5)</f>
        <v>6.8489367246800059</v>
      </c>
      <c r="G2791" s="1">
        <v>0.34860126344765124</v>
      </c>
      <c r="H2791" s="1">
        <v>2.4344975807879767</v>
      </c>
      <c r="I2791" s="1">
        <v>5.7037030881097124</v>
      </c>
      <c r="J2791" s="1">
        <v>4.4375424892989707E-2</v>
      </c>
      <c r="K2791" s="1">
        <v>3.3561536326706651</v>
      </c>
      <c r="L2791" s="1">
        <v>2.5439208331867027</v>
      </c>
      <c r="M2791" s="1">
        <v>0.25020148976652351</v>
      </c>
      <c r="N2791" s="1">
        <v>1.7523048458301864</v>
      </c>
      <c r="O2791" s="1">
        <v>0.99413333333333331</v>
      </c>
      <c r="P2791" s="1">
        <v>0.32545670324187831</v>
      </c>
      <c r="Q2791" s="1">
        <v>0.55712530687980855</v>
      </c>
      <c r="R2791" s="2">
        <f t="shared" si="175"/>
        <v>22.241772316888866</v>
      </c>
      <c r="S2791" s="2">
        <f t="shared" si="174"/>
        <v>3.7259857608055333</v>
      </c>
      <c r="T2791" s="2">
        <f t="shared" si="176"/>
        <v>5.5405605021167457</v>
      </c>
      <c r="U2791" s="2">
        <f t="shared" si="177"/>
        <v>31.508318579811146</v>
      </c>
    </row>
    <row r="2792" spans="1:21" x14ac:dyDescent="0.25">
      <c r="A2792">
        <v>4367749</v>
      </c>
      <c r="B2792">
        <v>9</v>
      </c>
      <c r="C2792" s="1">
        <f>11.8659980163729*(10.3/7.3)</f>
        <v>16.742435557348106</v>
      </c>
      <c r="D2792" s="1">
        <f>18.5838671558456*(10.3/7.3)</f>
        <v>26.221072836330112</v>
      </c>
      <c r="E2792" s="1">
        <f>65.4159858167515*(10.3/7.3)</f>
        <v>92.299267659252109</v>
      </c>
      <c r="F2792" s="1">
        <f>115.552410679321*(38.9/42.5)</f>
        <v>105.76444177471963</v>
      </c>
      <c r="G2792" s="1">
        <v>3.7465009080078957</v>
      </c>
      <c r="H2792" s="1">
        <v>7.011532183922875</v>
      </c>
      <c r="I2792" s="1">
        <v>76.939941844738357</v>
      </c>
      <c r="J2792" s="1">
        <v>8.0198436879763732E-2</v>
      </c>
      <c r="K2792" s="1">
        <v>3.5429136855975898</v>
      </c>
      <c r="L2792" s="1">
        <v>6.451323057252786</v>
      </c>
      <c r="M2792" s="1">
        <v>0.2661283672307575</v>
      </c>
      <c r="N2792" s="1">
        <v>3.6253663111480723</v>
      </c>
      <c r="O2792" s="1">
        <v>0.22429629629629627</v>
      </c>
      <c r="P2792" s="1">
        <v>0.14989234249423589</v>
      </c>
      <c r="Q2792" s="1">
        <v>5.9875585287797479</v>
      </c>
      <c r="R2792" s="2">
        <f t="shared" si="175"/>
        <v>334.71275129309885</v>
      </c>
      <c r="S2792" s="2">
        <f t="shared" si="174"/>
        <v>3.7730044649715895</v>
      </c>
      <c r="T2792" s="2">
        <f t="shared" si="176"/>
        <v>10.567114031927913</v>
      </c>
      <c r="U2792" s="2">
        <f t="shared" si="177"/>
        <v>349.05286978999834</v>
      </c>
    </row>
    <row r="2793" spans="1:21" x14ac:dyDescent="0.25">
      <c r="A2793">
        <v>4367757</v>
      </c>
      <c r="B2793">
        <v>68</v>
      </c>
      <c r="C2793" s="1">
        <f>4.55839115607772*(10.3/7.3)</f>
        <v>6.4317025900822644</v>
      </c>
      <c r="D2793" s="1">
        <f>6.94321685139261*(10.3/7.3)</f>
        <v>9.7965936396361482</v>
      </c>
      <c r="E2793" s="1">
        <f>24.4507136925986*(10.3/7.3)</f>
        <v>34.498952196406179</v>
      </c>
      <c r="F2793" s="1">
        <f>43.9314484840113*(38.9/42.5)</f>
        <v>40.210196377130309</v>
      </c>
      <c r="G2793" s="1">
        <v>1.4534835417688381</v>
      </c>
      <c r="H2793" s="1">
        <v>4.0267537446079311</v>
      </c>
      <c r="I2793" s="1">
        <v>29.706478987985754</v>
      </c>
      <c r="J2793" s="1">
        <v>4.3255219101084076E-2</v>
      </c>
      <c r="K2793" s="1">
        <v>2.589255030914956</v>
      </c>
      <c r="L2793" s="1">
        <v>4.19344947908926</v>
      </c>
      <c r="M2793" s="1">
        <v>0.17967540486064071</v>
      </c>
      <c r="N2793" s="1">
        <v>2.4138661244504083</v>
      </c>
      <c r="O2793" s="1">
        <v>0.15381411764705877</v>
      </c>
      <c r="P2793" s="1">
        <v>0.11871564401066376</v>
      </c>
      <c r="Q2793" s="1">
        <v>2.3229189023702919</v>
      </c>
      <c r="R2793" s="2">
        <f t="shared" si="175"/>
        <v>128.44707997998771</v>
      </c>
      <c r="S2793" s="2">
        <f t="shared" si="174"/>
        <v>2.751225894026704</v>
      </c>
      <c r="T2793" s="2">
        <f t="shared" si="176"/>
        <v>6.9408051260473673</v>
      </c>
      <c r="U2793" s="2">
        <f t="shared" si="177"/>
        <v>138.13911100006177</v>
      </c>
    </row>
    <row r="2794" spans="1:21" x14ac:dyDescent="0.25">
      <c r="A2794">
        <v>4367765</v>
      </c>
      <c r="B2794">
        <v>55</v>
      </c>
      <c r="C2794" s="1">
        <f>6.63778641812745*(10.3/7.3)</f>
        <v>9.365643850234628</v>
      </c>
      <c r="D2794" s="1">
        <f>9.98793432884247*(10.3/7.3)</f>
        <v>14.092564874942115</v>
      </c>
      <c r="E2794" s="1">
        <f>35.181814495912*(10.3/7.3)</f>
        <v>49.640094425738852</v>
      </c>
      <c r="F2794" s="1">
        <f>63.5671206212266*(38.9/42.5)</f>
        <v>58.182611580369745</v>
      </c>
      <c r="G2794" s="1">
        <v>2.115329516741888</v>
      </c>
      <c r="H2794" s="1">
        <v>5.9843033260605001</v>
      </c>
      <c r="I2794" s="1">
        <v>43.245173465689327</v>
      </c>
      <c r="J2794" s="1">
        <v>5.3611876533384215E-2</v>
      </c>
      <c r="K2794" s="1">
        <v>3.0394736826847035</v>
      </c>
      <c r="L2794" s="1">
        <v>5.1060168774346648</v>
      </c>
      <c r="M2794" s="1">
        <v>0.21401589824234993</v>
      </c>
      <c r="N2794" s="1">
        <v>2.6844033529150559</v>
      </c>
      <c r="O2794" s="1">
        <v>0.18304581818181817</v>
      </c>
      <c r="P2794" s="1">
        <v>0.13250119789802051</v>
      </c>
      <c r="Q2794" s="1">
        <v>3.3806636112313315</v>
      </c>
      <c r="R2794" s="2">
        <f t="shared" si="175"/>
        <v>186.00638465100843</v>
      </c>
      <c r="S2794" s="2">
        <f t="shared" si="174"/>
        <v>3.2255867571161083</v>
      </c>
      <c r="T2794" s="2">
        <f t="shared" si="176"/>
        <v>8.1874819467738877</v>
      </c>
      <c r="U2794" s="2">
        <f t="shared" si="177"/>
        <v>197.41945335489842</v>
      </c>
    </row>
    <row r="2795" spans="1:21" x14ac:dyDescent="0.25">
      <c r="A2795">
        <v>4367773</v>
      </c>
      <c r="B2795">
        <v>64</v>
      </c>
      <c r="C2795" s="1">
        <f>9.89991625566258*(10.3/7.3)</f>
        <v>13.968374990866376</v>
      </c>
      <c r="D2795" s="1">
        <f>14.5305050881704*(10.3/7.3)</f>
        <v>20.501945535363728</v>
      </c>
      <c r="E2795" s="1">
        <f>51.2120013723141*(10.3/7.3)</f>
        <v>72.258029333539014</v>
      </c>
      <c r="F2795" s="1">
        <f>93.5055737164389*(38.9/42.5)</f>
        <v>85.585101589869979</v>
      </c>
      <c r="G2795" s="1">
        <v>3.1433058868523935</v>
      </c>
      <c r="H2795" s="1">
        <v>6.9623355701683067</v>
      </c>
      <c r="I2795" s="1">
        <v>64.376156964214218</v>
      </c>
      <c r="J2795" s="1">
        <v>7.1651401644976465E-2</v>
      </c>
      <c r="K2795" s="1">
        <v>4.0020758645411547</v>
      </c>
      <c r="L2795" s="1">
        <v>7.4501977517368125</v>
      </c>
      <c r="M2795" s="1">
        <v>0.28585650393594475</v>
      </c>
      <c r="N2795" s="1">
        <v>3.4506870946167947</v>
      </c>
      <c r="O2795" s="1">
        <v>0.23858000000000007</v>
      </c>
      <c r="P2795" s="1">
        <v>0.16166586027139923</v>
      </c>
      <c r="Q2795" s="1">
        <v>5.0235482209969797</v>
      </c>
      <c r="R2795" s="2">
        <f t="shared" si="175"/>
        <v>271.81879809187103</v>
      </c>
      <c r="S2795" s="2">
        <f t="shared" si="174"/>
        <v>4.23539312645753</v>
      </c>
      <c r="T2795" s="2">
        <f t="shared" si="176"/>
        <v>11.425321350289552</v>
      </c>
      <c r="U2795" s="2">
        <f t="shared" si="177"/>
        <v>287.47951256861813</v>
      </c>
    </row>
    <row r="2796" spans="1:21" x14ac:dyDescent="0.25">
      <c r="A2796">
        <v>4367781</v>
      </c>
      <c r="B2796">
        <v>60</v>
      </c>
      <c r="C2796" s="1">
        <f>7.62031799289261*(10.3/7.3)</f>
        <v>10.75195552421834</v>
      </c>
      <c r="D2796" s="1">
        <f>10.9530458238928*(10.3/7.3)</f>
        <v>15.454297532341871</v>
      </c>
      <c r="E2796" s="1">
        <f>38.6209414129371*(10.3/7.3)</f>
        <v>54.492561171678425</v>
      </c>
      <c r="F2796" s="1">
        <f>71.2234926667886*(38.9/42.5)</f>
        <v>65.190443876190045</v>
      </c>
      <c r="G2796" s="1">
        <v>2.4184100886117221</v>
      </c>
      <c r="H2796" s="1">
        <v>5.7873132900723361</v>
      </c>
      <c r="I2796" s="1">
        <v>49.541024131584976</v>
      </c>
      <c r="J2796" s="1">
        <v>5.8284788249276777E-2</v>
      </c>
      <c r="K2796" s="1">
        <v>3.4861662211337472</v>
      </c>
      <c r="L2796" s="1">
        <v>6.1140534165402762</v>
      </c>
      <c r="M2796" s="1">
        <v>0.23966361880051767</v>
      </c>
      <c r="N2796" s="1">
        <v>2.8568814388747996</v>
      </c>
      <c r="O2796" s="1">
        <v>0.20450933333333335</v>
      </c>
      <c r="P2796" s="1">
        <v>0.14405024204220565</v>
      </c>
      <c r="Q2796" s="1">
        <v>3.8650389544022996</v>
      </c>
      <c r="R2796" s="2">
        <f t="shared" si="175"/>
        <v>207.50104456910003</v>
      </c>
      <c r="S2796" s="2">
        <f t="shared" si="174"/>
        <v>3.68850125142523</v>
      </c>
      <c r="T2796" s="2">
        <f t="shared" si="176"/>
        <v>9.4151078075489281</v>
      </c>
      <c r="U2796" s="2">
        <f t="shared" si="177"/>
        <v>220.6046536280742</v>
      </c>
    </row>
    <row r="2797" spans="1:21" x14ac:dyDescent="0.25">
      <c r="A2797">
        <v>4367789</v>
      </c>
      <c r="B2797">
        <v>64</v>
      </c>
      <c r="C2797" s="1">
        <f>4.47118025955479*(10.3/7.3)</f>
        <v>6.3086515990978516</v>
      </c>
      <c r="D2797" s="1">
        <f>6.31072530116101*(10.3/7.3)</f>
        <v>8.9041740550628017</v>
      </c>
      <c r="E2797" s="1">
        <f>22.2607930169501*(10.3/7.3)</f>
        <v>31.409064119806317</v>
      </c>
      <c r="F2797" s="1">
        <f>41.4170476971416*(38.9/42.5)</f>
        <v>37.908780127501352</v>
      </c>
      <c r="G2797" s="1">
        <v>1.4186905931022322</v>
      </c>
      <c r="H2797" s="1">
        <v>4.1559241859682992</v>
      </c>
      <c r="I2797" s="1">
        <v>29.064793936031045</v>
      </c>
      <c r="J2797" s="1">
        <v>4.0626023973017629E-2</v>
      </c>
      <c r="K2797" s="1">
        <v>2.6733073435778851</v>
      </c>
      <c r="L2797" s="1">
        <v>4.2603992251678431</v>
      </c>
      <c r="M2797" s="1">
        <v>0.17604681857426738</v>
      </c>
      <c r="N2797" s="1">
        <v>2.1065732064756322</v>
      </c>
      <c r="O2797" s="1">
        <v>0.15384250000000002</v>
      </c>
      <c r="P2797" s="1">
        <v>0.11763448597246397</v>
      </c>
      <c r="Q2797" s="1">
        <v>2.267313733268411</v>
      </c>
      <c r="R2797" s="2">
        <f t="shared" si="175"/>
        <v>121.4373923498383</v>
      </c>
      <c r="S2797" s="2">
        <f t="shared" si="174"/>
        <v>2.8315678535233668</v>
      </c>
      <c r="T2797" s="2">
        <f t="shared" si="176"/>
        <v>6.6968617502177423</v>
      </c>
      <c r="U2797" s="2">
        <f t="shared" si="177"/>
        <v>130.96582195357942</v>
      </c>
    </row>
    <row r="2798" spans="1:21" x14ac:dyDescent="0.25">
      <c r="A2798">
        <v>4367797</v>
      </c>
      <c r="B2798">
        <v>59</v>
      </c>
      <c r="C2798" s="1">
        <f>4.04281035423315*(10.3/7.3)</f>
        <v>5.7042392669317099</v>
      </c>
      <c r="D2798" s="1">
        <f>5.61773841142497*(10.3/7.3)</f>
        <v>7.9263980325585166</v>
      </c>
      <c r="E2798" s="1">
        <f>19.8247594500092*(10.3/7.3)</f>
        <v>27.971920867821172</v>
      </c>
      <c r="F2798" s="1">
        <f>37.0897200413112*(38.9/42.5)</f>
        <v>33.948002578988323</v>
      </c>
      <c r="G2798" s="1">
        <v>1.2761005606619575</v>
      </c>
      <c r="H2798" s="1">
        <v>3.9580850512791907</v>
      </c>
      <c r="I2798" s="1">
        <v>26.210154487535874</v>
      </c>
      <c r="J2798" s="1">
        <v>3.8216450598741125E-2</v>
      </c>
      <c r="K2798" s="1">
        <v>2.5304483618288938</v>
      </c>
      <c r="L2798" s="1">
        <v>3.9827603573630319</v>
      </c>
      <c r="M2798" s="1">
        <v>0.16467097232429753</v>
      </c>
      <c r="N2798" s="1">
        <v>2.1744074288576152</v>
      </c>
      <c r="O2798" s="1">
        <v>0.14368</v>
      </c>
      <c r="P2798" s="1">
        <v>0.11181420855439517</v>
      </c>
      <c r="Q2798" s="1">
        <v>2.0394301197793863</v>
      </c>
      <c r="R2798" s="2">
        <f t="shared" si="175"/>
        <v>109.03433096555612</v>
      </c>
      <c r="S2798" s="2">
        <f t="shared" si="174"/>
        <v>2.6804790209820304</v>
      </c>
      <c r="T2798" s="2">
        <f t="shared" si="176"/>
        <v>6.4655187585449436</v>
      </c>
      <c r="U2798" s="2">
        <f t="shared" si="177"/>
        <v>118.1803287450831</v>
      </c>
    </row>
    <row r="2799" spans="1:21" x14ac:dyDescent="0.25">
      <c r="A2799">
        <v>4367805</v>
      </c>
      <c r="B2799">
        <v>62</v>
      </c>
      <c r="C2799" s="1">
        <f>7.96234786991961*(10.3/7.3)</f>
        <v>11.2345456246811</v>
      </c>
      <c r="D2799" s="1">
        <f>10.9046080488939*(10.3/7.3)</f>
        <v>15.38595382241188</v>
      </c>
      <c r="E2799" s="1">
        <f>38.4901671166514*(10.3/7.3)</f>
        <v>54.308044013905473</v>
      </c>
      <c r="F2799" s="1">
        <f>72.7497245030858*(38.9/42.5)</f>
        <v>66.587394898118504</v>
      </c>
      <c r="G2799" s="1">
        <v>2.5313299380958334</v>
      </c>
      <c r="H2799" s="1">
        <v>7.0016355219350777</v>
      </c>
      <c r="I2799" s="1">
        <v>51.810527227273447</v>
      </c>
      <c r="J2799" s="1">
        <v>6.2824737951834644E-2</v>
      </c>
      <c r="K2799" s="1">
        <v>3.6413602555640914</v>
      </c>
      <c r="L2799" s="1">
        <v>6.519913402458644</v>
      </c>
      <c r="M2799" s="1">
        <v>0.24420268685785193</v>
      </c>
      <c r="N2799" s="1">
        <v>3.1726927971756895</v>
      </c>
      <c r="O2799" s="1">
        <v>0.20665720430107531</v>
      </c>
      <c r="P2799" s="1">
        <v>0.14520123526893133</v>
      </c>
      <c r="Q2799" s="1">
        <v>4.0455044672764489</v>
      </c>
      <c r="R2799" s="2">
        <f t="shared" si="175"/>
        <v>212.90493551369775</v>
      </c>
      <c r="S2799" s="2">
        <f t="shared" si="174"/>
        <v>3.8493862287848573</v>
      </c>
      <c r="T2799" s="2">
        <f t="shared" si="176"/>
        <v>10.143466090793261</v>
      </c>
      <c r="U2799" s="2">
        <f t="shared" si="177"/>
        <v>226.89778783327586</v>
      </c>
    </row>
    <row r="2800" spans="1:21" x14ac:dyDescent="0.25">
      <c r="A2800">
        <v>4367813</v>
      </c>
      <c r="B2800">
        <v>58</v>
      </c>
      <c r="C2800" s="1">
        <f>7.47710461996085*(10.3/7.3)</f>
        <v>10.549887340492711</v>
      </c>
      <c r="D2800" s="1">
        <f>10.0982376060993*(10.3/7.3)</f>
        <v>14.248198266140166</v>
      </c>
      <c r="E2800" s="1">
        <f>35.6477197771945*(10.3/7.3)</f>
        <v>50.297467630836053</v>
      </c>
      <c r="F2800" s="1">
        <f>68.2274005035368*(38.9/42.5)</f>
        <v>62.448138343237169</v>
      </c>
      <c r="G2800" s="1">
        <v>2.408290449086139</v>
      </c>
      <c r="H2800" s="1">
        <v>8.0746635988300675</v>
      </c>
      <c r="I2800" s="1">
        <v>48.98094483786813</v>
      </c>
      <c r="J2800" s="1">
        <v>6.282677695519738E-2</v>
      </c>
      <c r="K2800" s="1">
        <v>3.5919758100040244</v>
      </c>
      <c r="L2800" s="1">
        <v>6.3940786254921766</v>
      </c>
      <c r="M2800" s="1">
        <v>0.23781566445866384</v>
      </c>
      <c r="N2800" s="1">
        <v>3.110878715452611</v>
      </c>
      <c r="O2800" s="1">
        <v>0.20123034482758623</v>
      </c>
      <c r="P2800" s="1">
        <v>0.14132738103221854</v>
      </c>
      <c r="Q2800" s="1">
        <v>3.8488660145212319</v>
      </c>
      <c r="R2800" s="2">
        <f t="shared" si="175"/>
        <v>200.85645648101166</v>
      </c>
      <c r="S2800" s="2">
        <f t="shared" si="174"/>
        <v>3.7961299679914404</v>
      </c>
      <c r="T2800" s="2">
        <f t="shared" si="176"/>
        <v>9.9440033502310374</v>
      </c>
      <c r="U2800" s="2">
        <f t="shared" si="177"/>
        <v>214.59658979923415</v>
      </c>
    </row>
    <row r="2801" spans="1:21" x14ac:dyDescent="0.25">
      <c r="A2801">
        <v>4367821</v>
      </c>
      <c r="B2801">
        <v>60</v>
      </c>
      <c r="C2801" s="1">
        <f>7.70203419524681*(10.3/7.3)</f>
        <v>10.867253727540026</v>
      </c>
      <c r="D2801" s="1">
        <f>10.4220383209074*(10.3/7.3)</f>
        <v>14.705067767855658</v>
      </c>
      <c r="E2801" s="1">
        <f>36.7127577653491*(10.3/7.3)</f>
        <v>51.800192463437781</v>
      </c>
      <c r="F2801" s="1">
        <f>74.0471923710664*(38.9/42.5)</f>
        <v>67.774959605517253</v>
      </c>
      <c r="G2801" s="1">
        <v>2.7990925394311317</v>
      </c>
      <c r="H2801" s="1">
        <v>10.56443744946195</v>
      </c>
      <c r="I2801" s="1">
        <v>53.797137041508577</v>
      </c>
      <c r="J2801" s="1">
        <v>6.365328964290945E-2</v>
      </c>
      <c r="K2801" s="1">
        <v>3.5566160949205927</v>
      </c>
      <c r="L2801" s="1">
        <v>6.2982050787276673</v>
      </c>
      <c r="M2801" s="1">
        <v>0.2350333193245901</v>
      </c>
      <c r="N2801" s="1">
        <v>3.0081593029594633</v>
      </c>
      <c r="O2801" s="1">
        <v>0.19838311111111104</v>
      </c>
      <c r="P2801" s="1">
        <v>0.13893913786303361</v>
      </c>
      <c r="Q2801" s="1">
        <v>4.4734355653009024</v>
      </c>
      <c r="R2801" s="2">
        <f t="shared" si="175"/>
        <v>216.78157616005328</v>
      </c>
      <c r="S2801" s="2">
        <f t="shared" si="174"/>
        <v>3.7592085224265359</v>
      </c>
      <c r="T2801" s="2">
        <f t="shared" si="176"/>
        <v>9.7397808121228326</v>
      </c>
      <c r="U2801" s="2">
        <f t="shared" si="177"/>
        <v>230.28056549460266</v>
      </c>
    </row>
    <row r="2802" spans="1:21" x14ac:dyDescent="0.25">
      <c r="A2802">
        <v>4367829</v>
      </c>
      <c r="B2802">
        <v>32</v>
      </c>
      <c r="C2802" s="1">
        <f>6.378332119835*(10.3/7.3)</f>
        <v>8.9995644978493878</v>
      </c>
      <c r="D2802" s="1">
        <f>8.38698580842224*(10.3/7.3)</f>
        <v>11.833692305034123</v>
      </c>
      <c r="E2802" s="1">
        <f>29.6253102389026*(10.3/7.3)</f>
        <v>41.800095268588564</v>
      </c>
      <c r="F2802" s="1">
        <f>57.4639787571033*(38.9/42.5)</f>
        <v>52.596441732972238</v>
      </c>
      <c r="G2802" s="1">
        <v>2.0532898748660422</v>
      </c>
      <c r="H2802" s="1">
        <v>6.6362942849868869</v>
      </c>
      <c r="I2802" s="1">
        <v>41.771582969342518</v>
      </c>
      <c r="J2802" s="1">
        <v>5.2892595634666292E-2</v>
      </c>
      <c r="K2802" s="1">
        <v>3.1004255554056903</v>
      </c>
      <c r="L2802" s="1">
        <v>5.1791851600104835</v>
      </c>
      <c r="M2802" s="1">
        <v>0.20032229977061305</v>
      </c>
      <c r="N2802" s="1">
        <v>2.7578794343327342</v>
      </c>
      <c r="O2802" s="1">
        <v>0.1723733333333333</v>
      </c>
      <c r="P2802" s="1">
        <v>0.12380335288760436</v>
      </c>
      <c r="Q2802" s="1">
        <v>3.2815134986443621</v>
      </c>
      <c r="R2802" s="2">
        <f t="shared" si="175"/>
        <v>168.97247443228412</v>
      </c>
      <c r="S2802" s="2">
        <f t="shared" si="174"/>
        <v>3.2771215039279609</v>
      </c>
      <c r="T2802" s="2">
        <f t="shared" si="176"/>
        <v>8.309760227447164</v>
      </c>
      <c r="U2802" s="2">
        <f t="shared" si="177"/>
        <v>180.55935616365923</v>
      </c>
    </row>
    <row r="2803" spans="1:21" x14ac:dyDescent="0.25">
      <c r="A2803">
        <v>4367837</v>
      </c>
      <c r="B2803">
        <v>60</v>
      </c>
      <c r="C2803" s="1">
        <f>5.16419846091449*(10.3/7.3)</f>
        <v>7.286471801016341</v>
      </c>
      <c r="D2803" s="1">
        <f>6.68082435313839*(10.3/7.3)</f>
        <v>9.4263686078527975</v>
      </c>
      <c r="E2803" s="1">
        <f>23.6180676657955*(10.3/7.3)</f>
        <v>33.324122870916973</v>
      </c>
      <c r="F2803" s="1">
        <f>45.6719572116192*(38.9/42.5)</f>
        <v>41.80327377722319</v>
      </c>
      <c r="G2803" s="1">
        <v>1.619116425314314</v>
      </c>
      <c r="H2803" s="1">
        <v>4.5829689884071421</v>
      </c>
      <c r="I2803" s="1">
        <v>33.365342588654336</v>
      </c>
      <c r="J2803" s="1">
        <v>4.6871701663361284E-2</v>
      </c>
      <c r="K2803" s="1">
        <v>2.8137275543263485</v>
      </c>
      <c r="L2803" s="1">
        <v>4.6057549275378253</v>
      </c>
      <c r="M2803" s="1">
        <v>0.17801154840416322</v>
      </c>
      <c r="N2803" s="1">
        <v>3.0171928480241887</v>
      </c>
      <c r="O2803" s="1">
        <v>0.15267733333333336</v>
      </c>
      <c r="P2803" s="1">
        <v>0.11412905516544407</v>
      </c>
      <c r="Q2803" s="1">
        <v>2.5876289902283585</v>
      </c>
      <c r="R2803" s="2">
        <f t="shared" si="175"/>
        <v>133.99529404961345</v>
      </c>
      <c r="S2803" s="2">
        <f t="shared" si="174"/>
        <v>2.9747283111551535</v>
      </c>
      <c r="T2803" s="2">
        <f t="shared" si="176"/>
        <v>7.9536366572995103</v>
      </c>
      <c r="U2803" s="2">
        <f t="shared" si="177"/>
        <v>144.92365901806812</v>
      </c>
    </row>
    <row r="2804" spans="1:21" x14ac:dyDescent="0.25">
      <c r="A2804">
        <v>4367845</v>
      </c>
      <c r="B2804">
        <v>63</v>
      </c>
      <c r="C2804" s="1">
        <f>6.62321974303019*(10.3/7.3)</f>
        <v>9.345090870302867</v>
      </c>
      <c r="D2804" s="1">
        <f>8.26929378609401*(10.3/7.3)</f>
        <v>11.667633698187434</v>
      </c>
      <c r="E2804" s="1">
        <f>29.271850795344*(10.3/7.3)</f>
        <v>41.301378519458034</v>
      </c>
      <c r="F2804" s="1">
        <f>57.004614574392*(38.9/42.5)</f>
        <v>52.175988398678768</v>
      </c>
      <c r="G2804" s="1">
        <v>2.0234633714636927</v>
      </c>
      <c r="H2804" s="1">
        <v>5.1197802570656146</v>
      </c>
      <c r="I2804" s="1">
        <v>42.234419191330652</v>
      </c>
      <c r="J2804" s="1">
        <v>5.6799121379481551E-2</v>
      </c>
      <c r="K2804" s="1">
        <v>3.2116880568868051</v>
      </c>
      <c r="L2804" s="1">
        <v>5.5550573171093474</v>
      </c>
      <c r="M2804" s="1">
        <v>0.20265582052051515</v>
      </c>
      <c r="N2804" s="1">
        <v>2.8916747921877728</v>
      </c>
      <c r="O2804" s="1">
        <v>0.17071999999999996</v>
      </c>
      <c r="P2804" s="1">
        <v>0.12454078361627874</v>
      </c>
      <c r="Q2804" s="1">
        <v>3.2338455708323899</v>
      </c>
      <c r="R2804" s="2">
        <f t="shared" si="175"/>
        <v>167.10159987731944</v>
      </c>
      <c r="S2804" s="2">
        <f t="shared" si="174"/>
        <v>3.3930279618825652</v>
      </c>
      <c r="T2804" s="2">
        <f t="shared" si="176"/>
        <v>8.8201079298176346</v>
      </c>
      <c r="U2804" s="2">
        <f t="shared" si="177"/>
        <v>179.31473576901962</v>
      </c>
    </row>
    <row r="2805" spans="1:21" x14ac:dyDescent="0.25">
      <c r="A2805">
        <v>4367853</v>
      </c>
      <c r="B2805">
        <v>64</v>
      </c>
      <c r="C2805" s="1">
        <f>3.72455115123019*(10.3/7.3)</f>
        <v>5.2551886106398564</v>
      </c>
      <c r="D2805" s="1">
        <f>4.71700491345308*(10.3/7.3)</f>
        <v>6.6555000833652995</v>
      </c>
      <c r="E2805" s="1">
        <f>16.6882958764637*(10.3/7.3)</f>
        <v>23.546499661311849</v>
      </c>
      <c r="F2805" s="1">
        <f>32.4183729084682*(38.9/42.5)</f>
        <v>29.672346026809741</v>
      </c>
      <c r="G2805" s="1">
        <v>1.1507047130136134</v>
      </c>
      <c r="H2805" s="1">
        <v>3.4475821736244638</v>
      </c>
      <c r="I2805" s="1">
        <v>23.884979340870199</v>
      </c>
      <c r="J2805" s="1">
        <v>3.8959107897017876E-2</v>
      </c>
      <c r="K2805" s="1">
        <v>2.4266703545513542</v>
      </c>
      <c r="L2805" s="1">
        <v>3.849364306900994</v>
      </c>
      <c r="M2805" s="1">
        <v>0.14914915565088163</v>
      </c>
      <c r="N2805" s="1">
        <v>1.9127862563888711</v>
      </c>
      <c r="O2805" s="1">
        <v>0.12661249999999999</v>
      </c>
      <c r="P2805" s="1">
        <v>0.10032719728747866</v>
      </c>
      <c r="Q2805" s="1">
        <v>1.8390257970537227</v>
      </c>
      <c r="R2805" s="2">
        <f t="shared" si="175"/>
        <v>95.451826406688738</v>
      </c>
      <c r="S2805" s="2">
        <f t="shared" si="174"/>
        <v>2.5659566597358507</v>
      </c>
      <c r="T2805" s="2">
        <f t="shared" si="176"/>
        <v>6.0379122189407468</v>
      </c>
      <c r="U2805" s="2">
        <f t="shared" si="177"/>
        <v>104.05569528536533</v>
      </c>
    </row>
    <row r="2806" spans="1:21" x14ac:dyDescent="0.25">
      <c r="A2806">
        <v>4367861</v>
      </c>
      <c r="B2806">
        <v>58</v>
      </c>
      <c r="C2806" s="1">
        <f>5.4301868856043*(10.3/7.3)</f>
        <v>7.6617705372225</v>
      </c>
      <c r="D2806" s="1">
        <f>6.77342553400556*(10.3/7.3)</f>
        <v>9.5570250685283931</v>
      </c>
      <c r="E2806" s="1">
        <f>23.962597938228*(10.3/7.3)</f>
        <v>33.810240926540871</v>
      </c>
      <c r="F2806" s="1">
        <f>47.4292887146949*(38.9/42.5)</f>
        <v>43.411748964744312</v>
      </c>
      <c r="G2806" s="1">
        <v>1.7202708892138683</v>
      </c>
      <c r="H2806" s="1">
        <v>4.5090227641169562</v>
      </c>
      <c r="I2806" s="1">
        <v>35.270344445732917</v>
      </c>
      <c r="J2806" s="1">
        <v>4.9062848188377563E-2</v>
      </c>
      <c r="K2806" s="1">
        <v>2.8867356787300062</v>
      </c>
      <c r="L2806" s="1">
        <v>4.8100293443000126</v>
      </c>
      <c r="M2806" s="1">
        <v>0.17626827057699165</v>
      </c>
      <c r="N2806" s="1">
        <v>2.2482372661493013</v>
      </c>
      <c r="O2806" s="1">
        <v>0.15009103448275865</v>
      </c>
      <c r="P2806" s="1">
        <v>0.11249086355006874</v>
      </c>
      <c r="Q2806" s="1">
        <v>2.7492913754559578</v>
      </c>
      <c r="R2806" s="2">
        <f t="shared" si="175"/>
        <v>138.68971497155576</v>
      </c>
      <c r="S2806" s="2">
        <f t="shared" si="174"/>
        <v>3.0482893904684523</v>
      </c>
      <c r="T2806" s="2">
        <f t="shared" si="176"/>
        <v>7.3846259155090639</v>
      </c>
      <c r="U2806" s="2">
        <f t="shared" si="177"/>
        <v>149.12263027753329</v>
      </c>
    </row>
    <row r="2807" spans="1:21" x14ac:dyDescent="0.25">
      <c r="A2807">
        <v>4367869</v>
      </c>
      <c r="B2807">
        <v>66</v>
      </c>
      <c r="C2807" s="1">
        <f>8.37004197188046*(10.3/7.3)</f>
        <v>11.809785247995718</v>
      </c>
      <c r="D2807" s="1">
        <f>10.2415917123439*(10.3/7.3)</f>
        <v>14.450465018786605</v>
      </c>
      <c r="E2807" s="1">
        <f>36.2366831477601*(10.3/7.3)</f>
        <v>51.128470742730002</v>
      </c>
      <c r="F2807" s="1">
        <f>73.0947737024166*(38.9/42.5)</f>
        <v>66.90321640056483</v>
      </c>
      <c r="G2807" s="1">
        <v>2.7050517749690779</v>
      </c>
      <c r="H2807" s="1">
        <v>6.0968428862147501</v>
      </c>
      <c r="I2807" s="1">
        <v>54.926531903331608</v>
      </c>
      <c r="J2807" s="1">
        <v>6.6461686195107436E-2</v>
      </c>
      <c r="K2807" s="1">
        <v>3.6741258983538421</v>
      </c>
      <c r="L2807" s="1">
        <v>6.5754576987558924</v>
      </c>
      <c r="M2807" s="1">
        <v>0.22349636824107152</v>
      </c>
      <c r="N2807" s="1">
        <v>2.8707462536664607</v>
      </c>
      <c r="O2807" s="1">
        <v>0.18820121212121207</v>
      </c>
      <c r="P2807" s="1">
        <v>0.13284765570832072</v>
      </c>
      <c r="Q2807" s="1">
        <v>4.32314210611497</v>
      </c>
      <c r="R2807" s="2">
        <f t="shared" si="175"/>
        <v>212.34350608070753</v>
      </c>
      <c r="S2807" s="2">
        <f t="shared" si="174"/>
        <v>3.8734352402572703</v>
      </c>
      <c r="T2807" s="2">
        <f t="shared" si="176"/>
        <v>9.857901532784636</v>
      </c>
      <c r="U2807" s="2">
        <f t="shared" si="177"/>
        <v>226.07484285374943</v>
      </c>
    </row>
    <row r="2808" spans="1:21" x14ac:dyDescent="0.25">
      <c r="A2808">
        <v>4367877</v>
      </c>
      <c r="B2808">
        <v>66</v>
      </c>
      <c r="C2808" s="1">
        <f>9.0794238186227*(10.3/7.3)</f>
        <v>12.810693881070382</v>
      </c>
      <c r="D2808" s="1">
        <f>10.9387903545738*(10.3/7.3)</f>
        <v>15.434183650973988</v>
      </c>
      <c r="E2808" s="1">
        <f>38.7098280659997*(10.3/7.3)</f>
        <v>54.617976586273592</v>
      </c>
      <c r="F2808" s="1">
        <f>79.1688640314984*(38.9/42.5)</f>
        <v>72.462795548830258</v>
      </c>
      <c r="G2808" s="1">
        <v>2.9707205517144404</v>
      </c>
      <c r="H2808" s="1">
        <v>6.3694378048951839</v>
      </c>
      <c r="I2808" s="1">
        <v>59.963985569119615</v>
      </c>
      <c r="J2808" s="1">
        <v>6.8318537875652605E-2</v>
      </c>
      <c r="K2808" s="1">
        <v>3.8024261769043046</v>
      </c>
      <c r="L2808" s="1">
        <v>6.8660878063409472</v>
      </c>
      <c r="M2808" s="1">
        <v>0.22719937738785853</v>
      </c>
      <c r="N2808" s="1">
        <v>2.8712685445965227</v>
      </c>
      <c r="O2808" s="1">
        <v>0.19077414141414148</v>
      </c>
      <c r="P2808" s="1">
        <v>0.13469915061126483</v>
      </c>
      <c r="Q2808" s="1">
        <v>4.7477269091326741</v>
      </c>
      <c r="R2808" s="2">
        <f t="shared" si="175"/>
        <v>229.3775205020101</v>
      </c>
      <c r="S2808" s="2">
        <f t="shared" si="174"/>
        <v>4.0054438653912223</v>
      </c>
      <c r="T2808" s="2">
        <f t="shared" si="176"/>
        <v>10.15532986973947</v>
      </c>
      <c r="U2808" s="2">
        <f t="shared" si="177"/>
        <v>243.53829423714078</v>
      </c>
    </row>
    <row r="2809" spans="1:21" x14ac:dyDescent="0.25">
      <c r="A2809">
        <v>4367885</v>
      </c>
      <c r="B2809">
        <v>66</v>
      </c>
      <c r="C2809" s="1">
        <f>8.92184509652884*(10.3/7.3)</f>
        <v>12.588356780033843</v>
      </c>
      <c r="D2809" s="1">
        <f>10.6429181690355*(10.3/7.3)</f>
        <v>15.016720156310301</v>
      </c>
      <c r="E2809" s="1">
        <f>37.6617037448427*(10.3/7.3)</f>
        <v>53.139116242723304</v>
      </c>
      <c r="F2809" s="1">
        <f>77.966481143665*(38.9/42.5)</f>
        <v>71.362261564436892</v>
      </c>
      <c r="G2809" s="1">
        <v>2.9629660537027198</v>
      </c>
      <c r="H2809" s="1">
        <v>6.5670640314142465</v>
      </c>
      <c r="I2809" s="1">
        <v>59.38321848599297</v>
      </c>
      <c r="J2809" s="1">
        <v>6.6842931623596905E-2</v>
      </c>
      <c r="K2809" s="1">
        <v>3.7400925749224814</v>
      </c>
      <c r="L2809" s="1">
        <v>6.7310872189324273</v>
      </c>
      <c r="M2809" s="1">
        <v>0.21886337863409425</v>
      </c>
      <c r="N2809" s="1">
        <v>2.7635622547987646</v>
      </c>
      <c r="O2809" s="1">
        <v>0.18417616161616157</v>
      </c>
      <c r="P2809" s="1">
        <v>0.13064564316866079</v>
      </c>
      <c r="Q2809" s="1">
        <v>4.7353338757806078</v>
      </c>
      <c r="R2809" s="2">
        <f t="shared" si="175"/>
        <v>225.75503719039489</v>
      </c>
      <c r="S2809" s="2">
        <f t="shared" si="174"/>
        <v>3.937581149714739</v>
      </c>
      <c r="T2809" s="2">
        <f t="shared" si="176"/>
        <v>9.8976890139814486</v>
      </c>
      <c r="U2809" s="2">
        <f t="shared" si="177"/>
        <v>239.59030735409107</v>
      </c>
    </row>
    <row r="2810" spans="1:21" x14ac:dyDescent="0.25">
      <c r="A2810">
        <v>4367893</v>
      </c>
      <c r="B2810">
        <v>64</v>
      </c>
      <c r="C2810" s="1">
        <f>8.62494684235741*(10.3/7.3)</f>
        <v>12.169445544696067</v>
      </c>
      <c r="D2810" s="1">
        <f>10.1908238998077*(10.3/7.3)</f>
        <v>14.378833721646462</v>
      </c>
      <c r="E2810" s="1">
        <f>36.0495999704098*(10.3/7.3)</f>
        <v>50.864504067838439</v>
      </c>
      <c r="F2810" s="1">
        <f>76.0765884918287*(38.9/42.5)</f>
        <v>69.632453937226742</v>
      </c>
      <c r="G2810" s="1">
        <v>2.95176765225668</v>
      </c>
      <c r="H2810" s="1">
        <v>7.9138491662813015</v>
      </c>
      <c r="I2810" s="1">
        <v>58.32480637327069</v>
      </c>
      <c r="J2810" s="1">
        <v>6.557102326099995E-2</v>
      </c>
      <c r="K2810" s="1">
        <v>3.6486308376139962</v>
      </c>
      <c r="L2810" s="1">
        <v>6.4204685260224785</v>
      </c>
      <c r="M2810" s="1">
        <v>0.20883455039224622</v>
      </c>
      <c r="N2810" s="1">
        <v>2.6599781175872006</v>
      </c>
      <c r="O2810" s="1">
        <v>0.17550999999999997</v>
      </c>
      <c r="P2810" s="1">
        <v>0.12630748874766345</v>
      </c>
      <c r="Q2810" s="1">
        <v>4.7174368871682164</v>
      </c>
      <c r="R2810" s="2">
        <f t="shared" si="175"/>
        <v>220.95309735038458</v>
      </c>
      <c r="S2810" s="2">
        <f t="shared" si="174"/>
        <v>3.8405093496226597</v>
      </c>
      <c r="T2810" s="2">
        <f t="shared" si="176"/>
        <v>9.4647911940019238</v>
      </c>
      <c r="U2810" s="2">
        <f t="shared" si="177"/>
        <v>234.25839789400916</v>
      </c>
    </row>
    <row r="2811" spans="1:21" x14ac:dyDescent="0.25">
      <c r="A2811">
        <v>4367901</v>
      </c>
      <c r="B2811">
        <v>1</v>
      </c>
      <c r="C2811" s="1">
        <f>5.35702480096201*(10.3/7.3)</f>
        <v>7.558541842453244</v>
      </c>
      <c r="D2811" s="1">
        <f>6.42300021289685*(10.3/7.3)</f>
        <v>9.0625893414845908</v>
      </c>
      <c r="E2811" s="1">
        <f>22.6541333909551*(10.3/7.3)</f>
        <v>31.964051222854472</v>
      </c>
      <c r="F2811" s="1">
        <f>50.3989131516704*(38.9/42.5)</f>
        <v>46.129828743528904</v>
      </c>
      <c r="G2811" s="1">
        <v>2.0783030079966158</v>
      </c>
      <c r="H2811" s="1">
        <v>11.303324400623032</v>
      </c>
      <c r="I2811" s="1">
        <v>38.797841315083105</v>
      </c>
      <c r="J2811" s="1">
        <v>4.454515304327844E-2</v>
      </c>
      <c r="K2811" s="1">
        <v>2.5007613037197176</v>
      </c>
      <c r="L2811" s="1">
        <v>4.1467398066538061</v>
      </c>
      <c r="M2811" s="1">
        <v>0.14284978933893241</v>
      </c>
      <c r="N2811" s="1">
        <v>3.4393800742935454</v>
      </c>
      <c r="O2811" s="1">
        <v>0.12085333333333333</v>
      </c>
      <c r="P2811" s="1">
        <v>9.3386194935167713E-2</v>
      </c>
      <c r="Q2811" s="1">
        <v>3.3214888255653707</v>
      </c>
      <c r="R2811" s="2">
        <f t="shared" si="175"/>
        <v>150.21596869958933</v>
      </c>
      <c r="S2811" s="2">
        <f t="shared" si="174"/>
        <v>2.6386926516981637</v>
      </c>
      <c r="T2811" s="2">
        <f t="shared" si="176"/>
        <v>7.8498230036196173</v>
      </c>
      <c r="U2811" s="2">
        <f t="shared" si="177"/>
        <v>160.70448435490709</v>
      </c>
    </row>
    <row r="2812" spans="1:21" x14ac:dyDescent="0.25">
      <c r="A2812">
        <v>4367909</v>
      </c>
      <c r="B2812">
        <v>27</v>
      </c>
      <c r="C2812" s="1">
        <f>4.03487302108972*(10.3/7.3)</f>
        <v>5.6930400160580925</v>
      </c>
      <c r="D2812" s="1">
        <f>5.1268732515812*(10.3/7.3)</f>
        <v>7.2338074645597708</v>
      </c>
      <c r="E2812" s="1">
        <f>17.930550095868*(10.3/7.3)</f>
        <v>25.299269313348027</v>
      </c>
      <c r="F2812" s="1">
        <f>45.1747774921334*(38.9/42.5)</f>
        <v>41.348208104564442</v>
      </c>
      <c r="G2812" s="1">
        <v>2.1063189092688699</v>
      </c>
      <c r="H2812" s="1">
        <v>7.8922347697135349</v>
      </c>
      <c r="I2812" s="1">
        <v>34.902294853188572</v>
      </c>
      <c r="J2812" s="1">
        <v>3.6705284056886014E-2</v>
      </c>
      <c r="K2812" s="1">
        <v>2.3167697716396014</v>
      </c>
      <c r="L2812" s="1">
        <v>4.3745884310301886</v>
      </c>
      <c r="M2812" s="1">
        <v>0.12967135998987678</v>
      </c>
      <c r="N2812" s="1">
        <v>1.7061330922983589</v>
      </c>
      <c r="O2812" s="1">
        <v>0.10863407407407405</v>
      </c>
      <c r="P2812" s="1">
        <v>8.7715748056050397E-2</v>
      </c>
      <c r="Q2812" s="1">
        <v>3.3662630970050467</v>
      </c>
      <c r="R2812" s="2">
        <f t="shared" si="175"/>
        <v>127.84143652770636</v>
      </c>
      <c r="S2812" s="2">
        <f t="shared" si="174"/>
        <v>2.4411908037525376</v>
      </c>
      <c r="T2812" s="2">
        <f t="shared" si="176"/>
        <v>6.3190269573924986</v>
      </c>
      <c r="U2812" s="2">
        <f t="shared" si="177"/>
        <v>136.60165428885142</v>
      </c>
    </row>
    <row r="2813" spans="1:21" x14ac:dyDescent="0.25">
      <c r="A2813">
        <v>4367917</v>
      </c>
      <c r="B2813">
        <v>21</v>
      </c>
      <c r="C2813" s="1">
        <f>4.15441113985597*(10.3/7.3)</f>
        <v>5.8617033891118551</v>
      </c>
      <c r="D2813" s="1">
        <f>5.02961911223713*(10.3/7.3)</f>
        <v>7.0965858706907472</v>
      </c>
      <c r="E2813" s="1">
        <f>17.6651928756168*(10.3/7.3)</f>
        <v>24.924861180664742</v>
      </c>
      <c r="F2813" s="1">
        <f>42.6664414547212*(38.9/42.5)</f>
        <v>39.052342884438886</v>
      </c>
      <c r="G2813" s="1">
        <v>1.9063245453539279</v>
      </c>
      <c r="H2813" s="1">
        <v>7.9909456885576287</v>
      </c>
      <c r="I2813" s="1">
        <v>33.181153553172123</v>
      </c>
      <c r="J2813" s="1">
        <v>3.3819950403604589E-2</v>
      </c>
      <c r="K2813" s="1">
        <v>2.2328560944364644</v>
      </c>
      <c r="L2813" s="1">
        <v>3.7070025537570115</v>
      </c>
      <c r="M2813" s="1">
        <v>0.12351588390390156</v>
      </c>
      <c r="N2813" s="1">
        <v>1.5146730860298676</v>
      </c>
      <c r="O2813" s="1">
        <v>0.10457650793650794</v>
      </c>
      <c r="P2813" s="1">
        <v>8.5394482203883307E-2</v>
      </c>
      <c r="Q2813" s="1">
        <v>3.0466374012505733</v>
      </c>
      <c r="R2813" s="2">
        <f t="shared" si="175"/>
        <v>123.06055451324049</v>
      </c>
      <c r="S2813" s="2">
        <f t="shared" si="174"/>
        <v>2.3520705270439524</v>
      </c>
      <c r="T2813" s="2">
        <f t="shared" si="176"/>
        <v>5.4497680316272881</v>
      </c>
      <c r="U2813" s="2">
        <f t="shared" si="177"/>
        <v>130.86239307191173</v>
      </c>
    </row>
    <row r="2814" spans="1:21" x14ac:dyDescent="0.25">
      <c r="A2814">
        <v>4367925</v>
      </c>
      <c r="B2814">
        <v>1</v>
      </c>
      <c r="C2814" s="1">
        <f>4.53256076096265*(10.3/7.3)</f>
        <v>6.3952569640979862</v>
      </c>
      <c r="D2814" s="1">
        <f>5.38876198171656*(10.3/7.3)</f>
        <v>7.6033217002302091</v>
      </c>
      <c r="E2814" s="1">
        <f>18.9367020284395*(10.3/7.3)</f>
        <v>26.718908341496888</v>
      </c>
      <c r="F2814" s="1">
        <f>46.0428933851232*(38.9/42.5)</f>
        <v>42.142789474853927</v>
      </c>
      <c r="G2814" s="1">
        <v>2.0632817162506414</v>
      </c>
      <c r="H2814" s="1">
        <v>8.7369826942111466</v>
      </c>
      <c r="I2814" s="1">
        <v>36.027506923243635</v>
      </c>
      <c r="J2814" s="1">
        <v>3.2401103890119472E-2</v>
      </c>
      <c r="K2814" s="1">
        <v>2.1740600574240836</v>
      </c>
      <c r="L2814" s="1">
        <v>3.3725988707320775</v>
      </c>
      <c r="M2814" s="1">
        <v>0.1210143055795606</v>
      </c>
      <c r="N2814" s="1">
        <v>1.439386810150711</v>
      </c>
      <c r="O2814" s="1">
        <v>0.10176</v>
      </c>
      <c r="P2814" s="1">
        <v>8.3144732473359559E-2</v>
      </c>
      <c r="Q2814" s="1">
        <v>3.2974821949211197</v>
      </c>
      <c r="R2814" s="2">
        <f t="shared" si="175"/>
        <v>132.98553000930556</v>
      </c>
      <c r="S2814" s="2">
        <f t="shared" si="174"/>
        <v>2.2896058937875625</v>
      </c>
      <c r="T2814" s="2">
        <f t="shared" si="176"/>
        <v>5.0347599864623485</v>
      </c>
      <c r="U2814" s="2">
        <f t="shared" si="177"/>
        <v>140.30989588955546</v>
      </c>
    </row>
    <row r="2815" spans="1:21" x14ac:dyDescent="0.25">
      <c r="A2815">
        <v>4379425</v>
      </c>
      <c r="B2815">
        <v>54</v>
      </c>
      <c r="C2815" s="1">
        <f>0.540959194368052*(10.3/7.3)</f>
        <v>0.76327119205355276</v>
      </c>
      <c r="D2815" s="1">
        <f>0.713875840732162*(10.3/7.3)</f>
        <v>1.0072494739097635</v>
      </c>
      <c r="E2815" s="1">
        <f>2.49624162472741*(10.3/7.3)</f>
        <v>3.5220943472181205</v>
      </c>
      <c r="F2815" s="1">
        <f>6.10174329204386*(38.9/42.5)</f>
        <v>5.5848897426001489</v>
      </c>
      <c r="G2815" s="1">
        <v>0.27901055946471326</v>
      </c>
      <c r="H2815" s="1">
        <v>1.5250561480814184</v>
      </c>
      <c r="I2815" s="1">
        <v>4.6438346372343906</v>
      </c>
      <c r="J2815" s="1">
        <v>3.8396436487679611E-2</v>
      </c>
      <c r="K2815" s="1">
        <v>3.0313453295211166</v>
      </c>
      <c r="L2815" s="1">
        <v>2.2967019302997937</v>
      </c>
      <c r="M2815" s="1">
        <v>0.21565585329098569</v>
      </c>
      <c r="N2815" s="1">
        <v>1.206554386111276</v>
      </c>
      <c r="O2815" s="1">
        <v>0.8475753086419755</v>
      </c>
      <c r="P2815" s="1">
        <v>0.29957705720629374</v>
      </c>
      <c r="Q2815" s="1">
        <v>0.44590728681575226</v>
      </c>
      <c r="R2815" s="2">
        <f t="shared" si="175"/>
        <v>17.771313387377862</v>
      </c>
      <c r="S2815" s="2">
        <f t="shared" si="174"/>
        <v>3.3693188232150897</v>
      </c>
      <c r="T2815" s="2">
        <f t="shared" si="176"/>
        <v>4.5664874783440315</v>
      </c>
      <c r="U2815" s="2">
        <f t="shared" si="177"/>
        <v>25.707119688936984</v>
      </c>
    </row>
    <row r="2816" spans="1:21" x14ac:dyDescent="0.25">
      <c r="A2816">
        <v>4379433</v>
      </c>
      <c r="B2816">
        <v>1</v>
      </c>
      <c r="C2816" s="1">
        <f>1.06383741586391*(10.3/7.3)</f>
        <v>1.5010308744381127</v>
      </c>
      <c r="D2816" s="1">
        <f>1.43585574445331*(10.3/7.3)</f>
        <v>2.0259334476532964</v>
      </c>
      <c r="E2816" s="1">
        <f>4.99856917807497*(10.3/7.3)</f>
        <v>7.0527756896126315</v>
      </c>
      <c r="F2816" s="1">
        <f>13.1076030447219*(38.9/42.5)</f>
        <v>11.997311963286631</v>
      </c>
      <c r="G2816" s="1">
        <v>0.63518605097263636</v>
      </c>
      <c r="H2816" s="1">
        <v>2.3913333256474103</v>
      </c>
      <c r="I2816" s="1">
        <v>10.04060499557089</v>
      </c>
      <c r="J2816" s="1">
        <v>5.8097945843833917E-2</v>
      </c>
      <c r="K2816" s="1">
        <v>4.0019454811018456</v>
      </c>
      <c r="L2816" s="1">
        <v>3.6236729154405385</v>
      </c>
      <c r="M2816" s="1">
        <v>0.33735981914148966</v>
      </c>
      <c r="N2816" s="1">
        <v>2.161935240959453</v>
      </c>
      <c r="O2816" s="1">
        <v>1.3306666666666667</v>
      </c>
      <c r="P2816" s="1">
        <v>0.36261593203748921</v>
      </c>
      <c r="Q2816" s="1">
        <v>1.015137524385493</v>
      </c>
      <c r="R2816" s="2">
        <f t="shared" si="175"/>
        <v>36.6593138715671</v>
      </c>
      <c r="S2816" s="2">
        <f t="shared" si="174"/>
        <v>4.422659358983168</v>
      </c>
      <c r="T2816" s="2">
        <f t="shared" si="176"/>
        <v>7.4536346422081481</v>
      </c>
      <c r="U2816" s="2">
        <f t="shared" si="177"/>
        <v>48.535607872758419</v>
      </c>
    </row>
    <row r="2817" spans="1:21" x14ac:dyDescent="0.25">
      <c r="A2817">
        <v>4379985</v>
      </c>
      <c r="B2817">
        <v>65</v>
      </c>
      <c r="C2817" s="1">
        <f>6.44846690281772*(10.3/7.3)</f>
        <v>9.0985217943866434</v>
      </c>
      <c r="D2817" s="1">
        <f>9.95198917614104*(10.3/7.3)</f>
        <v>14.041847741678456</v>
      </c>
      <c r="E2817" s="1">
        <f>35.0362158114803*(10.3/7.3)</f>
        <v>49.434660665513249</v>
      </c>
      <c r="F2817" s="1">
        <f>62.5937990541108*(38.9/42.5)</f>
        <v>57.291736075409652</v>
      </c>
      <c r="G2817" s="1">
        <v>2.0589734116949279</v>
      </c>
      <c r="H2817" s="1">
        <v>4.9137743619103462</v>
      </c>
      <c r="I2817" s="1">
        <v>42.053507389839737</v>
      </c>
      <c r="J2817" s="1">
        <v>5.7552335120713435E-2</v>
      </c>
      <c r="K2817" s="1">
        <v>3.0042595041579454</v>
      </c>
      <c r="L2817" s="1">
        <v>5.0486901160926907</v>
      </c>
      <c r="M2817" s="1">
        <v>0.21474751747789281</v>
      </c>
      <c r="N2817" s="1">
        <v>2.7240680025647364</v>
      </c>
      <c r="O2817" s="1">
        <v>0.18326071794871795</v>
      </c>
      <c r="P2817" s="1">
        <v>0.13340996682429349</v>
      </c>
      <c r="Q2817" s="1">
        <v>3.2905967766813942</v>
      </c>
      <c r="R2817" s="2">
        <f t="shared" si="175"/>
        <v>182.1836182171144</v>
      </c>
      <c r="S2817" s="2">
        <f t="shared" si="174"/>
        <v>3.195221806102952</v>
      </c>
      <c r="T2817" s="2">
        <f t="shared" si="176"/>
        <v>8.1707663540840372</v>
      </c>
      <c r="U2817" s="2">
        <f t="shared" si="177"/>
        <v>193.54960637730139</v>
      </c>
    </row>
    <row r="2818" spans="1:21" x14ac:dyDescent="0.25">
      <c r="A2818">
        <v>4379993</v>
      </c>
      <c r="B2818">
        <v>57</v>
      </c>
      <c r="C2818" s="1">
        <f>4.62633402494088*(10.3/7.3)</f>
        <v>6.5275671858754905</v>
      </c>
      <c r="D2818" s="1">
        <f>6.97952133924911*(10.3/7.3)</f>
        <v>9.8478177800364186</v>
      </c>
      <c r="E2818" s="1">
        <f>24.5829985947274*(10.3/7.3)</f>
        <v>34.68560075694414</v>
      </c>
      <c r="F2818" s="1">
        <f>44.3899178312883*(38.9/42.5)</f>
        <v>40.629830673814467</v>
      </c>
      <c r="G2818" s="1">
        <v>1.4766795675290829</v>
      </c>
      <c r="H2818" s="1">
        <v>4.4866781362166464</v>
      </c>
      <c r="I2818" s="1">
        <v>30.165338674054436</v>
      </c>
      <c r="J2818" s="1">
        <v>4.2268115911246962E-2</v>
      </c>
      <c r="K2818" s="1">
        <v>2.6006167106188633</v>
      </c>
      <c r="L2818" s="1">
        <v>4.1748245701427207</v>
      </c>
      <c r="M2818" s="1">
        <v>0.18113320907535885</v>
      </c>
      <c r="N2818" s="1">
        <v>2.1319124076711522</v>
      </c>
      <c r="O2818" s="1">
        <v>0.15464327485380117</v>
      </c>
      <c r="P2818" s="1">
        <v>0.11927730074127245</v>
      </c>
      <c r="Q2818" s="1">
        <v>2.3599901764163445</v>
      </c>
      <c r="R2818" s="2">
        <f t="shared" si="175"/>
        <v>130.17950295088701</v>
      </c>
      <c r="S2818" s="2">
        <f t="shared" si="174"/>
        <v>2.7621621272713828</v>
      </c>
      <c r="T2818" s="2">
        <f t="shared" si="176"/>
        <v>6.6425134617430333</v>
      </c>
      <c r="U2818" s="2">
        <f t="shared" si="177"/>
        <v>139.58417853990142</v>
      </c>
    </row>
    <row r="2819" spans="1:21" x14ac:dyDescent="0.25">
      <c r="A2819">
        <v>4380001</v>
      </c>
      <c r="B2819">
        <v>63</v>
      </c>
      <c r="C2819" s="1">
        <f>9.3831859790403*(10.3/7.3)</f>
        <v>13.239289806043169</v>
      </c>
      <c r="D2819" s="1">
        <f>13.9512057667998*(10.3/7.3)</f>
        <v>19.684577999731218</v>
      </c>
      <c r="E2819" s="1">
        <f>49.1549815900123*(10.3/7.3)</f>
        <v>69.355658955770792</v>
      </c>
      <c r="F2819" s="1">
        <f>89.2916739727304*(38.9/42.5)</f>
        <v>81.728143942099081</v>
      </c>
      <c r="G2819" s="1">
        <v>2.987465839374571</v>
      </c>
      <c r="H2819" s="1">
        <v>8.0636192476418014</v>
      </c>
      <c r="I2819" s="1">
        <v>61.1023907426287</v>
      </c>
      <c r="J2819" s="1">
        <v>6.8472376972911059E-2</v>
      </c>
      <c r="K2819" s="1">
        <v>3.7982670058628036</v>
      </c>
      <c r="L2819" s="1">
        <v>6.9006686198411957</v>
      </c>
      <c r="M2819" s="1">
        <v>0.27493730125741178</v>
      </c>
      <c r="N2819" s="1">
        <v>3.0821941917920213</v>
      </c>
      <c r="O2819" s="1">
        <v>0.23030264550264545</v>
      </c>
      <c r="P2819" s="1">
        <v>0.1566843171208441</v>
      </c>
      <c r="Q2819" s="1">
        <v>4.7744887843885904</v>
      </c>
      <c r="R2819" s="2">
        <f t="shared" si="175"/>
        <v>260.93563531767796</v>
      </c>
      <c r="S2819" s="2">
        <f t="shared" si="174"/>
        <v>4.0234236999565587</v>
      </c>
      <c r="T2819" s="2">
        <f t="shared" si="176"/>
        <v>10.488102758393273</v>
      </c>
      <c r="U2819" s="2">
        <f t="shared" si="177"/>
        <v>275.44716177602777</v>
      </c>
    </row>
    <row r="2820" spans="1:21" x14ac:dyDescent="0.25">
      <c r="A2820">
        <v>4380009</v>
      </c>
      <c r="B2820">
        <v>71</v>
      </c>
      <c r="C2820" s="1">
        <f>9.94147569167899*(10.3/7.3)</f>
        <v>14.027013647163512</v>
      </c>
      <c r="D2820" s="1">
        <f>14.4802865522723*(10.3/7.3)</f>
        <v>20.431089244986925</v>
      </c>
      <c r="E2820" s="1">
        <f>51.0425789553742*(10.3/7.3)</f>
        <v>72.018981265801997</v>
      </c>
      <c r="F2820" s="1">
        <f>93.5780002059338*(38.9/42.5)</f>
        <v>85.651393129666474</v>
      </c>
      <c r="G2820" s="1">
        <v>3.1594582146186037</v>
      </c>
      <c r="H2820" s="1">
        <v>6.7829408617831586</v>
      </c>
      <c r="I2820" s="1">
        <v>64.677452425592122</v>
      </c>
      <c r="J2820" s="1">
        <v>7.0990950341858525E-2</v>
      </c>
      <c r="K2820" s="1">
        <v>4.023016621865918</v>
      </c>
      <c r="L2820" s="1">
        <v>7.4389022585248243</v>
      </c>
      <c r="M2820" s="1">
        <v>0.28706378363344076</v>
      </c>
      <c r="N2820" s="1">
        <v>3.2710680467779119</v>
      </c>
      <c r="O2820" s="1">
        <v>0.23915267605633803</v>
      </c>
      <c r="P2820" s="1">
        <v>0.16195753036871496</v>
      </c>
      <c r="Q2820" s="1">
        <v>5.0493624434543927</v>
      </c>
      <c r="R2820" s="2">
        <f t="shared" si="175"/>
        <v>271.79769123306721</v>
      </c>
      <c r="S2820" s="2">
        <f t="shared" si="174"/>
        <v>4.255965102576492</v>
      </c>
      <c r="T2820" s="2">
        <f t="shared" si="176"/>
        <v>11.236186764992516</v>
      </c>
      <c r="U2820" s="2">
        <f t="shared" si="177"/>
        <v>287.28984310063623</v>
      </c>
    </row>
    <row r="2821" spans="1:21" x14ac:dyDescent="0.25">
      <c r="A2821">
        <v>4380017</v>
      </c>
      <c r="B2821">
        <v>71</v>
      </c>
      <c r="C2821" s="1">
        <f>8.14959451151491*(10.3/7.3)</f>
        <v>11.4987429409046</v>
      </c>
      <c r="D2821" s="1">
        <f>11.6688302656595*(10.3/7.3)</f>
        <v>16.464239963875738</v>
      </c>
      <c r="E2821" s="1">
        <f>41.1461682792863*(10.3/7.3)</f>
        <v>58.05555250365061</v>
      </c>
      <c r="F2821" s="1">
        <f>76.1279492032558*(38.9/42.5)</f>
        <v>69.679464094274081</v>
      </c>
      <c r="G2821" s="1">
        <v>2.5950566008070766</v>
      </c>
      <c r="H2821" s="1">
        <v>6.0037748422621524</v>
      </c>
      <c r="I2821" s="1">
        <v>53.073015512726606</v>
      </c>
      <c r="J2821" s="1">
        <v>6.0004757943521371E-2</v>
      </c>
      <c r="K2821" s="1">
        <v>3.5806852867297372</v>
      </c>
      <c r="L2821" s="1">
        <v>6.2848530629045154</v>
      </c>
      <c r="M2821" s="1">
        <v>0.24789763176750451</v>
      </c>
      <c r="N2821" s="1">
        <v>2.8413194421919452</v>
      </c>
      <c r="O2821" s="1">
        <v>0.21080262910798123</v>
      </c>
      <c r="P2821" s="1">
        <v>0.14725713481736988</v>
      </c>
      <c r="Q2821" s="1">
        <v>4.1473507318834608</v>
      </c>
      <c r="R2821" s="2">
        <f t="shared" si="175"/>
        <v>221.51719719038434</v>
      </c>
      <c r="S2821" s="2">
        <f t="shared" si="174"/>
        <v>3.7879471794906285</v>
      </c>
      <c r="T2821" s="2">
        <f t="shared" si="176"/>
        <v>9.5848727659719462</v>
      </c>
      <c r="U2821" s="2">
        <f t="shared" si="177"/>
        <v>234.8900171358469</v>
      </c>
    </row>
    <row r="2822" spans="1:21" x14ac:dyDescent="0.25">
      <c r="A2822">
        <v>4380025</v>
      </c>
      <c r="B2822">
        <v>56</v>
      </c>
      <c r="C2822" s="1">
        <f>5.01108702972729*(10.3/7.3)</f>
        <v>7.0704378638617902</v>
      </c>
      <c r="D2822" s="1">
        <f>7.07045809736915*(10.3/7.3)</f>
        <v>9.9761258086167501</v>
      </c>
      <c r="E2822" s="1">
        <f>24.9393179281945*(10.3/7.3)</f>
        <v>35.188352693205971</v>
      </c>
      <c r="F2822" s="1">
        <f>46.4873137577045*(38.9/42.5)</f>
        <v>42.549564827640097</v>
      </c>
      <c r="G2822" s="1">
        <v>1.5965678825259053</v>
      </c>
      <c r="H2822" s="1">
        <v>5.6160318952066008</v>
      </c>
      <c r="I2822" s="1">
        <v>32.643394253267459</v>
      </c>
      <c r="J2822" s="1">
        <v>4.184450539480028E-2</v>
      </c>
      <c r="K2822" s="1">
        <v>2.7504135482139702</v>
      </c>
      <c r="L2822" s="1">
        <v>4.3499676300872361</v>
      </c>
      <c r="M2822" s="1">
        <v>0.18273334235469524</v>
      </c>
      <c r="N2822" s="1">
        <v>2.2850223487263799</v>
      </c>
      <c r="O2822" s="1">
        <v>0.15951047619047617</v>
      </c>
      <c r="P2822" s="1">
        <v>0.11949311487166892</v>
      </c>
      <c r="Q2822" s="1">
        <v>2.5515925063199427</v>
      </c>
      <c r="R2822" s="2">
        <f t="shared" si="175"/>
        <v>137.19206773064451</v>
      </c>
      <c r="S2822" s="2">
        <f t="shared" si="174"/>
        <v>2.9117511684804396</v>
      </c>
      <c r="T2822" s="2">
        <f t="shared" si="176"/>
        <v>6.9772337973587879</v>
      </c>
      <c r="U2822" s="2">
        <f t="shared" si="177"/>
        <v>147.08105269648374</v>
      </c>
    </row>
    <row r="2823" spans="1:21" x14ac:dyDescent="0.25">
      <c r="A2823">
        <v>4380033</v>
      </c>
      <c r="B2823">
        <v>50</v>
      </c>
      <c r="C2823" s="1">
        <f>4.60875398359641*(10.3/7.3)</f>
        <v>6.5027624700058908</v>
      </c>
      <c r="D2823" s="1">
        <f>6.39947363580221*(10.3/7.3)</f>
        <v>9.0293943080496906</v>
      </c>
      <c r="E2823" s="1">
        <f>22.5809066232569*(10.3/7.3)</f>
        <v>31.860731262951465</v>
      </c>
      <c r="F2823" s="1">
        <f>42.4090571711765*(38.9/42.5)</f>
        <v>38.816760563735663</v>
      </c>
      <c r="G2823" s="1">
        <v>1.466957892923662</v>
      </c>
      <c r="H2823" s="1">
        <v>4.6337919596349062</v>
      </c>
      <c r="I2823" s="1">
        <v>30.007552407051094</v>
      </c>
      <c r="J2823" s="1">
        <v>4.1171975784440137E-2</v>
      </c>
      <c r="K2823" s="1">
        <v>2.6851036489694762</v>
      </c>
      <c r="L2823" s="1">
        <v>4.253702688878489</v>
      </c>
      <c r="M2823" s="1">
        <v>0.17587931057346851</v>
      </c>
      <c r="N2823" s="1">
        <v>2.1489827264356136</v>
      </c>
      <c r="O2823" s="1">
        <v>0.15290666666666666</v>
      </c>
      <c r="P2823" s="1">
        <v>0.11675151702635354</v>
      </c>
      <c r="Q2823" s="1">
        <v>2.3444532535309683</v>
      </c>
      <c r="R2823" s="2">
        <f t="shared" si="175"/>
        <v>124.66240411788334</v>
      </c>
      <c r="S2823" s="2">
        <f t="shared" si="174"/>
        <v>2.8430271417802699</v>
      </c>
      <c r="T2823" s="2">
        <f t="shared" si="176"/>
        <v>6.7314713925542371</v>
      </c>
      <c r="U2823" s="2">
        <f t="shared" si="177"/>
        <v>134.23690265221785</v>
      </c>
    </row>
    <row r="2824" spans="1:21" x14ac:dyDescent="0.25">
      <c r="A2824">
        <v>4380041</v>
      </c>
      <c r="B2824">
        <v>70</v>
      </c>
      <c r="C2824" s="1">
        <f>7.70740165149986*(10.3/7.3)</f>
        <v>10.874826987732678</v>
      </c>
      <c r="D2824" s="1">
        <f>10.5422189198401*(10.3/7.3)</f>
        <v>14.874637654020958</v>
      </c>
      <c r="E2824" s="1">
        <f>37.206430039264*(10.3/7.3)</f>
        <v>52.496743754030092</v>
      </c>
      <c r="F2824" s="1">
        <f>70.6525910616661*(38.9/42.5)</f>
        <v>64.66790099526618</v>
      </c>
      <c r="G2824" s="1">
        <v>2.4738687999235185</v>
      </c>
      <c r="H2824" s="1">
        <v>9.356302179307475</v>
      </c>
      <c r="I2824" s="1">
        <v>50.399296492217339</v>
      </c>
      <c r="J2824" s="1">
        <v>6.0756979786893088E-2</v>
      </c>
      <c r="K2824" s="1">
        <v>3.5664528037512011</v>
      </c>
      <c r="L2824" s="1">
        <v>6.2325104221236876</v>
      </c>
      <c r="M2824" s="1">
        <v>0.23925683365036698</v>
      </c>
      <c r="N2824" s="1">
        <v>2.9754929070686478</v>
      </c>
      <c r="O2824" s="1">
        <v>0.20314819047619043</v>
      </c>
      <c r="P2824" s="1">
        <v>0.14253060909451576</v>
      </c>
      <c r="Q2824" s="1">
        <v>3.9536715980512889</v>
      </c>
      <c r="R2824" s="2">
        <f t="shared" si="175"/>
        <v>209.09724846054954</v>
      </c>
      <c r="S2824" s="2">
        <f t="shared" si="174"/>
        <v>3.7697403926326096</v>
      </c>
      <c r="T2824" s="2">
        <f t="shared" si="176"/>
        <v>9.6504083533188929</v>
      </c>
      <c r="U2824" s="2">
        <f t="shared" si="177"/>
        <v>222.51739720650102</v>
      </c>
    </row>
    <row r="2825" spans="1:21" x14ac:dyDescent="0.25">
      <c r="A2825">
        <v>4380049</v>
      </c>
      <c r="B2825">
        <v>24</v>
      </c>
      <c r="C2825" s="1">
        <f>6.52601125381134*(10.3/7.3)</f>
        <v>9.2079336868844912</v>
      </c>
      <c r="D2825" s="1">
        <f>8.81712049052282*(10.3/7.3)</f>
        <v>12.440594664710286</v>
      </c>
      <c r="E2825" s="1">
        <f>31.109245939168*(10.3/7.3)</f>
        <v>43.893867558004132</v>
      </c>
      <c r="F2825" s="1">
        <f>60.3225612118527*(38.9/42.5)</f>
        <v>55.212885438613391</v>
      </c>
      <c r="G2825" s="1">
        <v>2.1675366339637736</v>
      </c>
      <c r="H2825" s="1">
        <v>9.2910919228152373</v>
      </c>
      <c r="I2825" s="1">
        <v>43.439148388543707</v>
      </c>
      <c r="J2825" s="1">
        <v>5.4922615032182182E-2</v>
      </c>
      <c r="K2825" s="1">
        <v>3.2467923474439044</v>
      </c>
      <c r="L2825" s="1">
        <v>5.4780383576096368</v>
      </c>
      <c r="M2825" s="1">
        <v>0.21482739360854455</v>
      </c>
      <c r="N2825" s="1">
        <v>2.6721847868084385</v>
      </c>
      <c r="O2825" s="1">
        <v>0.18265777777777778</v>
      </c>
      <c r="P2825" s="1">
        <v>0.12978512077852719</v>
      </c>
      <c r="Q2825" s="1">
        <v>3.4640996433211035</v>
      </c>
      <c r="R2825" s="2">
        <f t="shared" si="175"/>
        <v>179.11715793685613</v>
      </c>
      <c r="S2825" s="2">
        <f t="shared" ref="S2825:S2888" si="178">J2825+K2825+P2825</f>
        <v>3.4315000832546136</v>
      </c>
      <c r="T2825" s="2">
        <f t="shared" si="176"/>
        <v>8.5477083158043961</v>
      </c>
      <c r="U2825" s="2">
        <f t="shared" si="177"/>
        <v>191.09636633591512</v>
      </c>
    </row>
    <row r="2826" spans="1:21" x14ac:dyDescent="0.25">
      <c r="A2826">
        <v>4380057</v>
      </c>
      <c r="B2826">
        <v>58</v>
      </c>
      <c r="C2826" s="1">
        <f>8.09026798937234*(10.3/7.3)</f>
        <v>11.415035656237681</v>
      </c>
      <c r="D2826" s="1">
        <f>10.7399766474145*(10.3/7.3)</f>
        <v>15.153665680598566</v>
      </c>
      <c r="E2826" s="1">
        <f>37.9111556254107*(10.3/7.3)</f>
        <v>53.491082594757557</v>
      </c>
      <c r="F2826" s="1">
        <f>74.0470493216069*(38.9/42.5)</f>
        <v>67.774828673188409</v>
      </c>
      <c r="G2826" s="1">
        <v>2.6761578191375075</v>
      </c>
      <c r="H2826" s="1">
        <v>7.5930401643084648</v>
      </c>
      <c r="I2826" s="1">
        <v>53.736580883055716</v>
      </c>
      <c r="J2826" s="1">
        <v>6.5085917162488807E-2</v>
      </c>
      <c r="K2826" s="1">
        <v>3.6559103940305704</v>
      </c>
      <c r="L2826" s="1">
        <v>6.5285643008414453</v>
      </c>
      <c r="M2826" s="1">
        <v>0.24095988088437634</v>
      </c>
      <c r="N2826" s="1">
        <v>3.0519028324706325</v>
      </c>
      <c r="O2826" s="1">
        <v>0.20409011494252877</v>
      </c>
      <c r="P2826" s="1">
        <v>0.14204693375169719</v>
      </c>
      <c r="Q2826" s="1">
        <v>4.2769645511330081</v>
      </c>
      <c r="R2826" s="2">
        <f t="shared" ref="R2826:R2889" si="179">C2826+D2826+E2826+F2826+G2826+H2826+I2826+Q2826</f>
        <v>216.11735602241691</v>
      </c>
      <c r="S2826" s="2">
        <f t="shared" si="178"/>
        <v>3.8630432449447563</v>
      </c>
      <c r="T2826" s="2">
        <f t="shared" ref="T2826:T2889" si="180">L2826+M2826+N2826+O2826</f>
        <v>10.025517129138983</v>
      </c>
      <c r="U2826" s="2">
        <f t="shared" ref="U2826:U2889" si="181">R2826+S2826+T2826</f>
        <v>230.00591639650065</v>
      </c>
    </row>
    <row r="2827" spans="1:21" x14ac:dyDescent="0.25">
      <c r="A2827">
        <v>4380065</v>
      </c>
      <c r="B2827">
        <v>60</v>
      </c>
      <c r="C2827" s="1">
        <f>6.16667238574978*(10.3/7.3)</f>
        <v>8.7009213114003803</v>
      </c>
      <c r="D2827" s="1">
        <f>8.05403805514144*(10.3/7.3)</f>
        <v>11.363916707939296</v>
      </c>
      <c r="E2827" s="1">
        <f>28.4555132697581*(10.3/7.3)</f>
        <v>40.149559818973728</v>
      </c>
      <c r="F2827" s="1">
        <f>55.2968167625788*(38.9/42.5)</f>
        <v>50.612851107395663</v>
      </c>
      <c r="G2827" s="1">
        <v>1.9777497657494556</v>
      </c>
      <c r="H2827" s="1">
        <v>5.4374084980768229</v>
      </c>
      <c r="I2827" s="1">
        <v>40.30769183293166</v>
      </c>
      <c r="J2827" s="1">
        <v>5.3396900401211679E-2</v>
      </c>
      <c r="K2827" s="1">
        <v>3.1546283279196023</v>
      </c>
      <c r="L2827" s="1">
        <v>5.2839683565815374</v>
      </c>
      <c r="M2827" s="1">
        <v>0.20174216319606122</v>
      </c>
      <c r="N2827" s="1">
        <v>2.700703211592077</v>
      </c>
      <c r="O2827" s="1">
        <v>0.17375466666666664</v>
      </c>
      <c r="P2827" s="1">
        <v>0.12537733608527626</v>
      </c>
      <c r="Q2827" s="1">
        <v>3.1607872968598651</v>
      </c>
      <c r="R2827" s="2">
        <f t="shared" si="179"/>
        <v>161.71088633932686</v>
      </c>
      <c r="S2827" s="2">
        <f t="shared" si="178"/>
        <v>3.3334025644060903</v>
      </c>
      <c r="T2827" s="2">
        <f t="shared" si="180"/>
        <v>8.3601683980363433</v>
      </c>
      <c r="U2827" s="2">
        <f t="shared" si="181"/>
        <v>173.4044573017693</v>
      </c>
    </row>
    <row r="2828" spans="1:21" x14ac:dyDescent="0.25">
      <c r="A2828">
        <v>4380073</v>
      </c>
      <c r="B2828">
        <v>69</v>
      </c>
      <c r="C2828" s="1">
        <f>7.07790516170421*(10.3/7.3)</f>
        <v>9.9866333103497702</v>
      </c>
      <c r="D2828" s="1">
        <f>8.87691377836206*(10.3/7.3)</f>
        <v>12.52496053659304</v>
      </c>
      <c r="E2828" s="1">
        <f>31.419873193222*(10.3/7.3)</f>
        <v>44.332149847970818</v>
      </c>
      <c r="F2828" s="1">
        <f>61.0093597974263*(38.9/42.5)</f>
        <v>55.841508143997224</v>
      </c>
      <c r="G2828" s="1">
        <v>2.1592873634966523</v>
      </c>
      <c r="H2828" s="1">
        <v>5.4532570552989643</v>
      </c>
      <c r="I2828" s="1">
        <v>45.101405383957356</v>
      </c>
      <c r="J2828" s="1">
        <v>5.7666122991903677E-2</v>
      </c>
      <c r="K2828" s="1">
        <v>3.3008927544931623</v>
      </c>
      <c r="L2828" s="1">
        <v>5.6658395435664124</v>
      </c>
      <c r="M2828" s="1">
        <v>0.21139882705066743</v>
      </c>
      <c r="N2828" s="1">
        <v>4.1210909983092989</v>
      </c>
      <c r="O2828" s="1">
        <v>0.17830183574879221</v>
      </c>
      <c r="P2828" s="1">
        <v>0.12776717654130279</v>
      </c>
      <c r="Q2828" s="1">
        <v>3.4509158777343782</v>
      </c>
      <c r="R2828" s="2">
        <f t="shared" si="179"/>
        <v>178.8501175193982</v>
      </c>
      <c r="S2828" s="2">
        <f t="shared" si="178"/>
        <v>3.4863260540263687</v>
      </c>
      <c r="T2828" s="2">
        <f t="shared" si="180"/>
        <v>10.17663120467517</v>
      </c>
      <c r="U2828" s="2">
        <f t="shared" si="181"/>
        <v>192.51307477809974</v>
      </c>
    </row>
    <row r="2829" spans="1:21" x14ac:dyDescent="0.25">
      <c r="A2829">
        <v>4380081</v>
      </c>
      <c r="B2829">
        <v>71</v>
      </c>
      <c r="C2829" s="1">
        <f>6.18043420913501*(10.3/7.3)</f>
        <v>8.7203386786425447</v>
      </c>
      <c r="D2829" s="1">
        <f>7.62968657876764*(10.3/7.3)</f>
        <v>10.765174213877625</v>
      </c>
      <c r="E2829" s="1">
        <f>27.0216395080097*(10.3/7.3)</f>
        <v>38.126422867465713</v>
      </c>
      <c r="F2829" s="1">
        <f>52.6217882704256*(38.9/42.5)</f>
        <v>48.164413263989509</v>
      </c>
      <c r="G2829" s="1">
        <v>1.8628064080996372</v>
      </c>
      <c r="H2829" s="1">
        <v>4.8382666213076382</v>
      </c>
      <c r="I2829" s="1">
        <v>39.144395864432326</v>
      </c>
      <c r="J2829" s="1">
        <v>5.2353723698357842E-2</v>
      </c>
      <c r="K2829" s="1">
        <v>3.0568971424315126</v>
      </c>
      <c r="L2829" s="1">
        <v>5.1361577717845845</v>
      </c>
      <c r="M2829" s="1">
        <v>0.19179495834604326</v>
      </c>
      <c r="N2829" s="1">
        <v>2.5686610575594622</v>
      </c>
      <c r="O2829" s="1">
        <v>0.16221521126760563</v>
      </c>
      <c r="P2829" s="1">
        <v>0.11957541805320868</v>
      </c>
      <c r="Q2829" s="1">
        <v>2.9770878668259089</v>
      </c>
      <c r="R2829" s="2">
        <f t="shared" si="179"/>
        <v>154.59890578464092</v>
      </c>
      <c r="S2829" s="2">
        <f t="shared" si="178"/>
        <v>3.228826284183079</v>
      </c>
      <c r="T2829" s="2">
        <f t="shared" si="180"/>
        <v>8.0588289989576953</v>
      </c>
      <c r="U2829" s="2">
        <f t="shared" si="181"/>
        <v>165.88656106778168</v>
      </c>
    </row>
    <row r="2830" spans="1:21" x14ac:dyDescent="0.25">
      <c r="A2830">
        <v>4380089</v>
      </c>
      <c r="B2830">
        <v>71</v>
      </c>
      <c r="C2830" s="1">
        <f>3.99599999007159*(10.3/7.3)</f>
        <v>5.6381917668133452</v>
      </c>
      <c r="D2830" s="1">
        <f>5.05225526671736*(10.3/7.3)</f>
        <v>7.1285245544094247</v>
      </c>
      <c r="E2830" s="1">
        <f>17.8709167032797*(10.3/7.3)</f>
        <v>25.215129047093338</v>
      </c>
      <c r="F2830" s="1">
        <f>34.9580051890783*(38.9/42.5)</f>
        <v>31.996856514238765</v>
      </c>
      <c r="G2830" s="1">
        <v>1.2521168500044915</v>
      </c>
      <c r="H2830" s="1">
        <v>3.6530107595401966</v>
      </c>
      <c r="I2830" s="1">
        <v>25.809990051480174</v>
      </c>
      <c r="J2830" s="1">
        <v>4.0149552531399409E-2</v>
      </c>
      <c r="K2830" s="1">
        <v>2.5192860120939118</v>
      </c>
      <c r="L2830" s="1">
        <v>3.9765368534718788</v>
      </c>
      <c r="M2830" s="1">
        <v>0.15414486235125807</v>
      </c>
      <c r="N2830" s="1">
        <v>1.9474868834727339</v>
      </c>
      <c r="O2830" s="1">
        <v>0.13131718309859158</v>
      </c>
      <c r="P2830" s="1">
        <v>0.10258140645555523</v>
      </c>
      <c r="Q2830" s="1">
        <v>2.0010999885916538</v>
      </c>
      <c r="R2830" s="2">
        <f t="shared" si="179"/>
        <v>102.69491953217138</v>
      </c>
      <c r="S2830" s="2">
        <f t="shared" si="178"/>
        <v>2.6620169710808663</v>
      </c>
      <c r="T2830" s="2">
        <f t="shared" si="180"/>
        <v>6.209485782394462</v>
      </c>
      <c r="U2830" s="2">
        <f t="shared" si="181"/>
        <v>111.56642228564671</v>
      </c>
    </row>
    <row r="2831" spans="1:21" x14ac:dyDescent="0.25">
      <c r="A2831">
        <v>4380097</v>
      </c>
      <c r="B2831">
        <v>63</v>
      </c>
      <c r="C2831" s="1">
        <f>5.74858990165521*(10.3/7.3)</f>
        <v>8.1110241078148864</v>
      </c>
      <c r="D2831" s="1">
        <f>7.14835356500253*(10.3/7.3)</f>
        <v>10.08603311226385</v>
      </c>
      <c r="E2831" s="1">
        <f>25.2862135166874*(10.3/7.3)</f>
        <v>35.677808112586327</v>
      </c>
      <c r="F2831" s="1">
        <f>50.3688389430242*(38.9/42.5)</f>
        <v>46.102301997262167</v>
      </c>
      <c r="G2831" s="1">
        <v>1.8408576003748731</v>
      </c>
      <c r="H2831" s="1">
        <v>4.6807530483355499</v>
      </c>
      <c r="I2831" s="1">
        <v>37.545479382646207</v>
      </c>
      <c r="J2831" s="1">
        <v>5.0289912111027374E-2</v>
      </c>
      <c r="K2831" s="1">
        <v>2.9835457925551432</v>
      </c>
      <c r="L2831" s="1">
        <v>4.9606915214410394</v>
      </c>
      <c r="M2831" s="1">
        <v>0.18199942591713844</v>
      </c>
      <c r="N2831" s="1">
        <v>2.3096995297432761</v>
      </c>
      <c r="O2831" s="1">
        <v>0.15461417989417994</v>
      </c>
      <c r="P2831" s="1">
        <v>0.11456888362747265</v>
      </c>
      <c r="Q2831" s="1">
        <v>2.9420098636128138</v>
      </c>
      <c r="R2831" s="2">
        <f t="shared" si="179"/>
        <v>146.98626722489666</v>
      </c>
      <c r="S2831" s="2">
        <f t="shared" si="178"/>
        <v>3.1484045882936433</v>
      </c>
      <c r="T2831" s="2">
        <f t="shared" si="180"/>
        <v>7.6070046569956338</v>
      </c>
      <c r="U2831" s="2">
        <f t="shared" si="181"/>
        <v>157.74167647018592</v>
      </c>
    </row>
    <row r="2832" spans="1:21" x14ac:dyDescent="0.25">
      <c r="A2832">
        <v>4380105</v>
      </c>
      <c r="B2832">
        <v>69</v>
      </c>
      <c r="C2832" s="1">
        <f>9.03689475475036*(10.3/7.3)</f>
        <v>12.750687119716259</v>
      </c>
      <c r="D2832" s="1">
        <f>10.996789232104*(10.3/7.3)</f>
        <v>15.516017683653557</v>
      </c>
      <c r="E2832" s="1">
        <f>38.9049144831822*(10.3/7.3)</f>
        <v>54.893235503668024</v>
      </c>
      <c r="F2832" s="1">
        <f>79.1685887460365*(38.9/42.5)</f>
        <v>72.46254358166631</v>
      </c>
      <c r="G2832" s="1">
        <v>2.9587279742133141</v>
      </c>
      <c r="H2832" s="1">
        <v>6.3723321952062033</v>
      </c>
      <c r="I2832" s="1">
        <v>59.703294870937732</v>
      </c>
      <c r="J2832" s="1">
        <v>6.9470961827311661E-2</v>
      </c>
      <c r="K2832" s="1">
        <v>3.8490128222791582</v>
      </c>
      <c r="L2832" s="1">
        <v>6.9285005363327761</v>
      </c>
      <c r="M2832" s="1">
        <v>0.23212415491924185</v>
      </c>
      <c r="N2832" s="1">
        <v>2.9557501329977973</v>
      </c>
      <c r="O2832" s="1">
        <v>0.19505159420289858</v>
      </c>
      <c r="P2832" s="1">
        <v>0.13680364396860584</v>
      </c>
      <c r="Q2832" s="1">
        <v>4.7285606893820127</v>
      </c>
      <c r="R2832" s="2">
        <f t="shared" si="179"/>
        <v>229.38539961844342</v>
      </c>
      <c r="S2832" s="2">
        <f t="shared" si="178"/>
        <v>4.0552874280750757</v>
      </c>
      <c r="T2832" s="2">
        <f t="shared" si="180"/>
        <v>10.311426418452713</v>
      </c>
      <c r="U2832" s="2">
        <f t="shared" si="181"/>
        <v>243.75211346497122</v>
      </c>
    </row>
    <row r="2833" spans="1:21" x14ac:dyDescent="0.25">
      <c r="A2833">
        <v>4380113</v>
      </c>
      <c r="B2833">
        <v>69</v>
      </c>
      <c r="C2833" s="1">
        <f>8.98892656758803*(10.3/7.3)</f>
        <v>12.683005978925584</v>
      </c>
      <c r="D2833" s="1">
        <f>10.805306090789*(10.3/7.3)</f>
        <v>15.245842840428297</v>
      </c>
      <c r="E2833" s="1">
        <f>38.2295155536749*(10.3/7.3)</f>
        <v>53.940275370253623</v>
      </c>
      <c r="F2833" s="1">
        <f>78.7920435932356*(38.9/42.5)</f>
        <v>72.117894018279216</v>
      </c>
      <c r="G2833" s="1">
        <v>2.9832503107385744</v>
      </c>
      <c r="H2833" s="1">
        <v>6.3195117848667071</v>
      </c>
      <c r="I2833" s="1">
        <v>59.808774951712756</v>
      </c>
      <c r="J2833" s="1">
        <v>6.6512649364344326E-2</v>
      </c>
      <c r="K2833" s="1">
        <v>3.7739346142122403</v>
      </c>
      <c r="L2833" s="1">
        <v>6.6968292887073488</v>
      </c>
      <c r="M2833" s="1">
        <v>0.22340572238864551</v>
      </c>
      <c r="N2833" s="1">
        <v>2.7849416682490622</v>
      </c>
      <c r="O2833" s="1">
        <v>0.18809816425120773</v>
      </c>
      <c r="P2833" s="1">
        <v>0.1332408102333448</v>
      </c>
      <c r="Q2833" s="1">
        <v>4.7677516381666747</v>
      </c>
      <c r="R2833" s="2">
        <f t="shared" si="179"/>
        <v>227.86630689337144</v>
      </c>
      <c r="S2833" s="2">
        <f t="shared" si="178"/>
        <v>3.9736880738099294</v>
      </c>
      <c r="T2833" s="2">
        <f t="shared" si="180"/>
        <v>9.8932748435962647</v>
      </c>
      <c r="U2833" s="2">
        <f t="shared" si="181"/>
        <v>241.73326981077764</v>
      </c>
    </row>
    <row r="2834" spans="1:21" x14ac:dyDescent="0.25">
      <c r="A2834">
        <v>4380121</v>
      </c>
      <c r="B2834">
        <v>67</v>
      </c>
      <c r="C2834" s="1">
        <f>9.34582807588571*(10.3/7.3)</f>
        <v>13.186579339948333</v>
      </c>
      <c r="D2834" s="1">
        <f>11.0987201107373*(10.3/7.3)</f>
        <v>15.659837964464948</v>
      </c>
      <c r="E2834" s="1">
        <f>39.2635944666922*(10.3/7.3)</f>
        <v>55.399318220127292</v>
      </c>
      <c r="F2834" s="1">
        <f>82.2621514086287*(38.9/42.5)</f>
        <v>75.294063289309562</v>
      </c>
      <c r="G2834" s="1">
        <v>3.1682274389465359</v>
      </c>
      <c r="H2834" s="1">
        <v>6.7423373712917734</v>
      </c>
      <c r="I2834" s="1">
        <v>62.882005586251907</v>
      </c>
      <c r="J2834" s="1">
        <v>6.9359281952692767E-2</v>
      </c>
      <c r="K2834" s="1">
        <v>3.8713776986040283</v>
      </c>
      <c r="L2834" s="1">
        <v>6.8903453046453196</v>
      </c>
      <c r="M2834" s="1">
        <v>0.22389278964592416</v>
      </c>
      <c r="N2834" s="1">
        <v>2.8182621404152797</v>
      </c>
      <c r="O2834" s="1">
        <v>0.18801034825870649</v>
      </c>
      <c r="P2834" s="1">
        <v>0.13358568714127098</v>
      </c>
      <c r="Q2834" s="1">
        <v>5.0633771855309986</v>
      </c>
      <c r="R2834" s="2">
        <f t="shared" si="179"/>
        <v>237.39574639587136</v>
      </c>
      <c r="S2834" s="2">
        <f t="shared" si="178"/>
        <v>4.0743226676979916</v>
      </c>
      <c r="T2834" s="2">
        <f t="shared" si="180"/>
        <v>10.120510582965229</v>
      </c>
      <c r="U2834" s="2">
        <f t="shared" si="181"/>
        <v>251.59057964653459</v>
      </c>
    </row>
    <row r="2835" spans="1:21" x14ac:dyDescent="0.25">
      <c r="A2835">
        <v>4380129</v>
      </c>
      <c r="B2835">
        <v>46</v>
      </c>
      <c r="C2835" s="1">
        <f>8.5857859910036*(10.3/7.3)</f>
        <v>12.114191192785901</v>
      </c>
      <c r="D2835" s="1">
        <f>10.1405269137439*(10.3/7.3)</f>
        <v>14.30786674130985</v>
      </c>
      <c r="E2835" s="1">
        <f>35.8542718747935*(10.3/7.3)</f>
        <v>50.588904152105883</v>
      </c>
      <c r="F2835" s="1">
        <f>76.5790471400742*(38.9/42.5)</f>
        <v>70.092351382326726</v>
      </c>
      <c r="G2835" s="1">
        <v>3.0123521197474692</v>
      </c>
      <c r="H2835" s="1">
        <v>8.2575096790648779</v>
      </c>
      <c r="I2835" s="1">
        <v>58.836848040243602</v>
      </c>
      <c r="J2835" s="1">
        <v>7.0531086313843375E-2</v>
      </c>
      <c r="K2835" s="1">
        <v>3.6755556161855258</v>
      </c>
      <c r="L2835" s="1">
        <v>6.2930607633692137</v>
      </c>
      <c r="M2835" s="1">
        <v>0.20645266870540732</v>
      </c>
      <c r="N2835" s="1">
        <v>2.7060701165488661</v>
      </c>
      <c r="O2835" s="1">
        <v>0.17324289855072464</v>
      </c>
      <c r="P2835" s="1">
        <v>0.12478553598514604</v>
      </c>
      <c r="Q2835" s="1">
        <v>4.8142613785918504</v>
      </c>
      <c r="R2835" s="2">
        <f t="shared" si="179"/>
        <v>222.02428468617617</v>
      </c>
      <c r="S2835" s="2">
        <f t="shared" si="178"/>
        <v>3.8708722384845156</v>
      </c>
      <c r="T2835" s="2">
        <f t="shared" si="180"/>
        <v>9.3788264471742124</v>
      </c>
      <c r="U2835" s="2">
        <f t="shared" si="181"/>
        <v>235.2739833718349</v>
      </c>
    </row>
    <row r="2836" spans="1:21" x14ac:dyDescent="0.25">
      <c r="A2836">
        <v>4380137</v>
      </c>
      <c r="B2836">
        <v>36</v>
      </c>
      <c r="C2836" s="1">
        <f>4.023189794758*(10.3/7.3)</f>
        <v>5.6765554638366318</v>
      </c>
      <c r="D2836" s="1">
        <f>4.94766485931454*(10.3/7.3)</f>
        <v>6.9809517877999738</v>
      </c>
      <c r="E2836" s="1">
        <f>17.4002491406099*(10.3/7.3)</f>
        <v>24.551036458668751</v>
      </c>
      <c r="F2836" s="1">
        <f>40.2219757418027*(38.9/42.5)</f>
        <v>36.814937796614714</v>
      </c>
      <c r="G2836" s="1">
        <v>1.7307568114692173</v>
      </c>
      <c r="H2836" s="1">
        <v>7.8540096151035357</v>
      </c>
      <c r="I2836" s="1">
        <v>30.921870321798078</v>
      </c>
      <c r="J2836" s="1">
        <v>4.1096135589286119E-2</v>
      </c>
      <c r="K2836" s="1">
        <v>2.3652828354629563</v>
      </c>
      <c r="L2836" s="1">
        <v>4.727158178834876</v>
      </c>
      <c r="M2836" s="1">
        <v>0.13196676542202571</v>
      </c>
      <c r="N2836" s="1">
        <v>1.8938364009241562</v>
      </c>
      <c r="O2836" s="1">
        <v>0.10985481481481484</v>
      </c>
      <c r="P2836" s="1">
        <v>8.8461377483483067E-2</v>
      </c>
      <c r="Q2836" s="1">
        <v>2.7660496986950993</v>
      </c>
      <c r="R2836" s="2">
        <f t="shared" si="179"/>
        <v>117.296167953986</v>
      </c>
      <c r="S2836" s="2">
        <f t="shared" si="178"/>
        <v>2.4948403485357256</v>
      </c>
      <c r="T2836" s="2">
        <f t="shared" si="180"/>
        <v>6.862816159995873</v>
      </c>
      <c r="U2836" s="2">
        <f t="shared" si="181"/>
        <v>126.6538244625176</v>
      </c>
    </row>
    <row r="2837" spans="1:21" x14ac:dyDescent="0.25">
      <c r="A2837">
        <v>4380153</v>
      </c>
      <c r="B2837">
        <v>5</v>
      </c>
      <c r="C2837" s="1">
        <f>4.3469567790111*(10.3/7.3)</f>
        <v>6.1333773731252572</v>
      </c>
      <c r="D2837" s="1">
        <f>5.20812893664542*(10.3/7.3)</f>
        <v>7.3484558969106653</v>
      </c>
      <c r="E2837" s="1">
        <f>18.2942352377137*(10.3/7.3)</f>
        <v>25.812414102527491</v>
      </c>
      <c r="F2837" s="1">
        <f>44.534034914044*(38.9/42.5)</f>
        <v>40.761740191913198</v>
      </c>
      <c r="G2837" s="1">
        <v>2.0001922909175485</v>
      </c>
      <c r="H2837" s="1">
        <v>8.2734288257754898</v>
      </c>
      <c r="I2837" s="1">
        <v>34.776914988123387</v>
      </c>
      <c r="J2837" s="1">
        <v>3.2541978254859119E-2</v>
      </c>
      <c r="K2837" s="1">
        <v>2.1871445432744712</v>
      </c>
      <c r="L2837" s="1">
        <v>3.4179541005366594</v>
      </c>
      <c r="M2837" s="1">
        <v>0.12147932826557321</v>
      </c>
      <c r="N2837" s="1">
        <v>1.4461251920992155</v>
      </c>
      <c r="O2837" s="1">
        <v>0.10225066666666667</v>
      </c>
      <c r="P2837" s="1">
        <v>8.3440481417547147E-2</v>
      </c>
      <c r="Q2837" s="1">
        <v>3.1966543462152632</v>
      </c>
      <c r="R2837" s="2">
        <f t="shared" si="179"/>
        <v>128.30317801550831</v>
      </c>
      <c r="S2837" s="2">
        <f t="shared" si="178"/>
        <v>2.3031270029468773</v>
      </c>
      <c r="T2837" s="2">
        <f t="shared" si="180"/>
        <v>5.0878092875681151</v>
      </c>
      <c r="U2837" s="2">
        <f t="shared" si="181"/>
        <v>135.69411430602329</v>
      </c>
    </row>
    <row r="2838" spans="1:21" x14ac:dyDescent="0.25">
      <c r="A2838">
        <v>4391661</v>
      </c>
      <c r="B2838">
        <v>66</v>
      </c>
      <c r="C2838" s="1">
        <f>0.624141365370616*(10.3/7.3)</f>
        <v>0.88063781689278686</v>
      </c>
      <c r="D2838" s="1">
        <f>0.828610624120773*(10.3/7.3)</f>
        <v>1.1691355381430086</v>
      </c>
      <c r="E2838" s="1">
        <f>2.89512305933315*(10.3/7.3)</f>
        <v>4.0848996590591069</v>
      </c>
      <c r="F2838" s="1">
        <f>7.15687195714821*(38.9/42.5)</f>
        <v>6.5506428031309545</v>
      </c>
      <c r="G2838" s="1">
        <v>0.33060009856635508</v>
      </c>
      <c r="H2838" s="1">
        <v>1.6668955338241485</v>
      </c>
      <c r="I2838" s="1">
        <v>5.4491174230180883</v>
      </c>
      <c r="J2838" s="1">
        <v>4.0409443781242935E-2</v>
      </c>
      <c r="K2838" s="1">
        <v>3.2340445225798025</v>
      </c>
      <c r="L2838" s="1">
        <v>2.4342312188845741</v>
      </c>
      <c r="M2838" s="1">
        <v>0.24052796655427874</v>
      </c>
      <c r="N2838" s="1">
        <v>1.362072747936844</v>
      </c>
      <c r="O2838" s="1">
        <v>0.87645252525252482</v>
      </c>
      <c r="P2838" s="1">
        <v>0.31865478323432994</v>
      </c>
      <c r="Q2838" s="1">
        <v>0.52835632190970072</v>
      </c>
      <c r="R2838" s="2">
        <f t="shared" si="179"/>
        <v>20.660285194544148</v>
      </c>
      <c r="S2838" s="2">
        <f t="shared" si="178"/>
        <v>3.5931087495953751</v>
      </c>
      <c r="T2838" s="2">
        <f t="shared" si="180"/>
        <v>4.9132844586282207</v>
      </c>
      <c r="U2838" s="2">
        <f t="shared" si="181"/>
        <v>29.166678402767744</v>
      </c>
    </row>
    <row r="2839" spans="1:21" x14ac:dyDescent="0.25">
      <c r="A2839">
        <v>4391669</v>
      </c>
      <c r="B2839">
        <v>4</v>
      </c>
      <c r="C2839" s="1">
        <f>1.01345350230839*(10.3/7.3)</f>
        <v>1.4299412429830693</v>
      </c>
      <c r="D2839" s="1">
        <f>1.37600299231715*(10.3/7.3)</f>
        <v>1.9414836740913199</v>
      </c>
      <c r="E2839" s="1">
        <f>4.78787612309776*(10.3/7.3)</f>
        <v>6.7554964476584889</v>
      </c>
      <c r="F2839" s="1">
        <f>12.6134336904849*(38.9/42.5)</f>
        <v>11.545001660232069</v>
      </c>
      <c r="G2839" s="1">
        <v>0.61375388649936202</v>
      </c>
      <c r="H2839" s="1">
        <v>2.3187770679792208</v>
      </c>
      <c r="I2839" s="1">
        <v>9.6559077179705426</v>
      </c>
      <c r="J2839" s="1">
        <v>7.0865745949304004E-2</v>
      </c>
      <c r="K2839" s="1">
        <v>4.2795904334924311</v>
      </c>
      <c r="L2839" s="1">
        <v>3.855203849582904</v>
      </c>
      <c r="M2839" s="1">
        <v>0.36374849903383893</v>
      </c>
      <c r="N2839" s="1">
        <v>2.503642955971821</v>
      </c>
      <c r="O2839" s="1">
        <v>1.4299999999999997</v>
      </c>
      <c r="P2839" s="1">
        <v>0.38446640123429821</v>
      </c>
      <c r="Q2839" s="1">
        <v>0.98088520673414115</v>
      </c>
      <c r="R2839" s="2">
        <f t="shared" si="179"/>
        <v>35.241246904148213</v>
      </c>
      <c r="S2839" s="2">
        <f t="shared" si="178"/>
        <v>4.7349225806760327</v>
      </c>
      <c r="T2839" s="2">
        <f t="shared" si="180"/>
        <v>8.152595304588564</v>
      </c>
      <c r="U2839" s="2">
        <f t="shared" si="181"/>
        <v>48.128764789412813</v>
      </c>
    </row>
    <row r="2840" spans="1:21" x14ac:dyDescent="0.25">
      <c r="A2840">
        <v>4392213</v>
      </c>
      <c r="B2840">
        <v>60</v>
      </c>
      <c r="C2840" s="1">
        <f>11.219548286674*(10.3/7.3)</f>
        <v>15.83032155517019</v>
      </c>
      <c r="D2840" s="1">
        <f>17.371033144514*(10.3/7.3)</f>
        <v>24.509813888834792</v>
      </c>
      <c r="E2840" s="1">
        <f>61.1566025436734*(10.3/7.3)</f>
        <v>86.289452904087057</v>
      </c>
      <c r="F2840" s="1">
        <f>108.821700524036*(38.9/42.5)</f>
        <v>99.603862361999873</v>
      </c>
      <c r="G2840" s="1">
        <v>3.5598673188942214</v>
      </c>
      <c r="H2840" s="1">
        <v>6.793415532784552</v>
      </c>
      <c r="I2840" s="1">
        <v>72.931780695415554</v>
      </c>
      <c r="J2840" s="1">
        <v>9.6216201036304169E-2</v>
      </c>
      <c r="K2840" s="1">
        <v>3.9377663922112904</v>
      </c>
      <c r="L2840" s="1">
        <v>7.191193890815418</v>
      </c>
      <c r="M2840" s="1">
        <v>0.29569736277998154</v>
      </c>
      <c r="N2840" s="1">
        <v>3.5640485431699132</v>
      </c>
      <c r="O2840" s="1">
        <v>0.24615288888888881</v>
      </c>
      <c r="P2840" s="1">
        <v>0.16395793844636777</v>
      </c>
      <c r="Q2840" s="1">
        <v>5.6892856694656571</v>
      </c>
      <c r="R2840" s="2">
        <f t="shared" si="179"/>
        <v>315.20779992665194</v>
      </c>
      <c r="S2840" s="2">
        <f t="shared" si="178"/>
        <v>4.1979405316939626</v>
      </c>
      <c r="T2840" s="2">
        <f t="shared" si="180"/>
        <v>11.297092685654201</v>
      </c>
      <c r="U2840" s="2">
        <f t="shared" si="181"/>
        <v>330.70283314400012</v>
      </c>
    </row>
    <row r="2841" spans="1:21" x14ac:dyDescent="0.25">
      <c r="A2841">
        <v>4392221</v>
      </c>
      <c r="B2841">
        <v>66</v>
      </c>
      <c r="C2841" s="1">
        <f>5.48990943103656*(10.3/7.3)</f>
        <v>7.746036594476247</v>
      </c>
      <c r="D2841" s="1">
        <f>8.35852139165893*(10.3/7.3)</f>
        <v>11.793530182751638</v>
      </c>
      <c r="E2841" s="1">
        <f>29.433291404804*(10.3/7.3)</f>
        <v>41.529164584860403</v>
      </c>
      <c r="F2841" s="1">
        <f>52.9803716528017*(38.9/42.5)</f>
        <v>48.492622524564361</v>
      </c>
      <c r="G2841" s="1">
        <v>1.7576211887530089</v>
      </c>
      <c r="H2841" s="1">
        <v>4.5164947122143637</v>
      </c>
      <c r="I2841" s="1">
        <v>35.851774955257092</v>
      </c>
      <c r="J2841" s="1">
        <v>4.7576857836844927E-2</v>
      </c>
      <c r="K2841" s="1">
        <v>2.7855858300925105</v>
      </c>
      <c r="L2841" s="1">
        <v>4.5478894273651216</v>
      </c>
      <c r="M2841" s="1">
        <v>0.19769539288884391</v>
      </c>
      <c r="N2841" s="1">
        <v>2.2243853657017123</v>
      </c>
      <c r="O2841" s="1">
        <v>0.16847676767676761</v>
      </c>
      <c r="P2841" s="1">
        <v>0.12629167704644842</v>
      </c>
      <c r="Q2841" s="1">
        <v>2.8089836349933952</v>
      </c>
      <c r="R2841" s="2">
        <f t="shared" si="179"/>
        <v>154.49622837787049</v>
      </c>
      <c r="S2841" s="2">
        <f t="shared" si="178"/>
        <v>2.9594543649758038</v>
      </c>
      <c r="T2841" s="2">
        <f t="shared" si="180"/>
        <v>7.1384469536324451</v>
      </c>
      <c r="U2841" s="2">
        <f t="shared" si="181"/>
        <v>164.59412969647875</v>
      </c>
    </row>
    <row r="2842" spans="1:21" x14ac:dyDescent="0.25">
      <c r="A2842">
        <v>4392229</v>
      </c>
      <c r="B2842">
        <v>20</v>
      </c>
      <c r="C2842" s="1">
        <f>6.8255266924971*(10.3/7.3)</f>
        <v>9.6305376620164491</v>
      </c>
      <c r="D2842" s="1">
        <f>10.2640605047935*(10.3/7.3)</f>
        <v>14.482167561557935</v>
      </c>
      <c r="E2842" s="1">
        <f>36.1523672216638*(10.3/7.3)</f>
        <v>51.009504436046129</v>
      </c>
      <c r="F2842" s="1">
        <f>65.4680437348666*(38.9/42.5)</f>
        <v>59.922515324383781</v>
      </c>
      <c r="G2842" s="1">
        <v>2.1857588914508548</v>
      </c>
      <c r="H2842" s="1">
        <v>9.3616047364981743</v>
      </c>
      <c r="I2842" s="1">
        <v>44.579604480098666</v>
      </c>
      <c r="J2842" s="1">
        <v>5.2136244564942112E-2</v>
      </c>
      <c r="K2842" s="1">
        <v>3.1107934788687244</v>
      </c>
      <c r="L2842" s="1">
        <v>5.1196396241110156</v>
      </c>
      <c r="M2842" s="1">
        <v>0.22054196689468891</v>
      </c>
      <c r="N2842" s="1">
        <v>2.4302330803200904</v>
      </c>
      <c r="O2842" s="1">
        <v>0.19015733333333334</v>
      </c>
      <c r="P2842" s="1">
        <v>0.13598039716821914</v>
      </c>
      <c r="Q2842" s="1">
        <v>3.4932219726383571</v>
      </c>
      <c r="R2842" s="2">
        <f t="shared" si="179"/>
        <v>194.66491506469038</v>
      </c>
      <c r="S2842" s="2">
        <f t="shared" si="178"/>
        <v>3.2989101206018856</v>
      </c>
      <c r="T2842" s="2">
        <f t="shared" si="180"/>
        <v>7.9605720046591282</v>
      </c>
      <c r="U2842" s="2">
        <f t="shared" si="181"/>
        <v>205.92439718995138</v>
      </c>
    </row>
    <row r="2843" spans="1:21" x14ac:dyDescent="0.25">
      <c r="A2843">
        <v>4392237</v>
      </c>
      <c r="B2843">
        <v>61</v>
      </c>
      <c r="C2843" s="1">
        <f>9.89905315405263*(10.3/7.3)</f>
        <v>13.967157189964674</v>
      </c>
      <c r="D2843" s="1">
        <f>14.5897469061319*(10.3/7.3)</f>
        <v>20.585533305912151</v>
      </c>
      <c r="E2843" s="1">
        <f>51.4138624804088*(10.3/7.3)</f>
        <v>72.542847061398717</v>
      </c>
      <c r="F2843" s="1">
        <f>93.8080248065368*(38.9/42.5)</f>
        <v>85.861933293512521</v>
      </c>
      <c r="G2843" s="1">
        <v>3.1531520665598598</v>
      </c>
      <c r="H2843" s="1">
        <v>6.7633819998973088</v>
      </c>
      <c r="I2843" s="1">
        <v>64.476806803277768</v>
      </c>
      <c r="J2843" s="1">
        <v>7.0283453184522435E-2</v>
      </c>
      <c r="K2843" s="1">
        <v>3.9471625324418755</v>
      </c>
      <c r="L2843" s="1">
        <v>7.2638893575427872</v>
      </c>
      <c r="M2843" s="1">
        <v>0.28690771272193344</v>
      </c>
      <c r="N2843" s="1">
        <v>3.1810318630050536</v>
      </c>
      <c r="O2843" s="1">
        <v>0.23944480874316948</v>
      </c>
      <c r="P2843" s="1">
        <v>0.16165512946331151</v>
      </c>
      <c r="Q2843" s="1">
        <v>5.0392841246390505</v>
      </c>
      <c r="R2843" s="2">
        <f t="shared" si="179"/>
        <v>272.39009584516208</v>
      </c>
      <c r="S2843" s="2">
        <f t="shared" si="178"/>
        <v>4.1791011150897095</v>
      </c>
      <c r="T2843" s="2">
        <f t="shared" si="180"/>
        <v>10.971273742012944</v>
      </c>
      <c r="U2843" s="2">
        <f t="shared" si="181"/>
        <v>287.54047070226477</v>
      </c>
    </row>
    <row r="2844" spans="1:21" x14ac:dyDescent="0.25">
      <c r="A2844">
        <v>4392245</v>
      </c>
      <c r="B2844">
        <v>58</v>
      </c>
      <c r="C2844" s="1">
        <f>7.52805850282605*(10.3/7.3)</f>
        <v>10.62178117522032</v>
      </c>
      <c r="D2844" s="1">
        <f>10.8999414410256*(10.3/7.3)</f>
        <v>15.379369430488156</v>
      </c>
      <c r="E2844" s="1">
        <f>38.4237499872538*(10.3/7.3)</f>
        <v>54.2143321737964</v>
      </c>
      <c r="F2844" s="1">
        <f>70.8035016093179*(38.9/42.5)</f>
        <v>64.806028531822747</v>
      </c>
      <c r="G2844" s="1">
        <v>2.4053675868991147</v>
      </c>
      <c r="H2844" s="1">
        <v>5.706218390224854</v>
      </c>
      <c r="I2844" s="1">
        <v>49.111720488282039</v>
      </c>
      <c r="J2844" s="1">
        <v>5.661458033725876E-2</v>
      </c>
      <c r="K2844" s="1">
        <v>3.4275078212758801</v>
      </c>
      <c r="L2844" s="1">
        <v>5.8555596087243922</v>
      </c>
      <c r="M2844" s="1">
        <v>0.23875106814744423</v>
      </c>
      <c r="N2844" s="1">
        <v>2.6848600830379512</v>
      </c>
      <c r="O2844" s="1">
        <v>0.20469425287356319</v>
      </c>
      <c r="P2844" s="1">
        <v>0.14368741757077813</v>
      </c>
      <c r="Q2844" s="1">
        <v>3.8441947735830642</v>
      </c>
      <c r="R2844" s="2">
        <f t="shared" si="179"/>
        <v>206.08901255031668</v>
      </c>
      <c r="S2844" s="2">
        <f t="shared" si="178"/>
        <v>3.6278098191839172</v>
      </c>
      <c r="T2844" s="2">
        <f t="shared" si="180"/>
        <v>8.983865012783351</v>
      </c>
      <c r="U2844" s="2">
        <f t="shared" si="181"/>
        <v>218.70068738228395</v>
      </c>
    </row>
    <row r="2845" spans="1:21" x14ac:dyDescent="0.25">
      <c r="A2845">
        <v>4392253</v>
      </c>
      <c r="B2845">
        <v>59</v>
      </c>
      <c r="C2845" s="1">
        <f>6.12582249793479*(10.3/7.3)</f>
        <v>8.6432837984559434</v>
      </c>
      <c r="D2845" s="1">
        <f>8.72388468124181*(10.3/7.3)</f>
        <v>12.309042769423376</v>
      </c>
      <c r="E2845" s="1">
        <f>30.7634149733689*(10.3/7.3)</f>
        <v>43.405914277493132</v>
      </c>
      <c r="F2845" s="1">
        <f>57.1696411030885*(38.9/42.5)</f>
        <v>52.327036209650451</v>
      </c>
      <c r="G2845" s="1">
        <v>1.958969210857288</v>
      </c>
      <c r="H2845" s="1">
        <v>5.0265590685884387</v>
      </c>
      <c r="I2845" s="1">
        <v>39.981048445395786</v>
      </c>
      <c r="J2845" s="1">
        <v>4.8884440194050097E-2</v>
      </c>
      <c r="K2845" s="1">
        <v>3.0732473841236359</v>
      </c>
      <c r="L2845" s="1">
        <v>5.0895672862470169</v>
      </c>
      <c r="M2845" s="1">
        <v>0.20920398100765125</v>
      </c>
      <c r="N2845" s="1">
        <v>2.4033380492391978</v>
      </c>
      <c r="O2845" s="1">
        <v>0.18044564971751417</v>
      </c>
      <c r="P2845" s="1">
        <v>0.13121460706774493</v>
      </c>
      <c r="Q2845" s="1">
        <v>3.1307727114157604</v>
      </c>
      <c r="R2845" s="2">
        <f t="shared" si="179"/>
        <v>166.78262649128021</v>
      </c>
      <c r="S2845" s="2">
        <f t="shared" si="178"/>
        <v>3.253346431385431</v>
      </c>
      <c r="T2845" s="2">
        <f t="shared" si="180"/>
        <v>7.8825549662113801</v>
      </c>
      <c r="U2845" s="2">
        <f t="shared" si="181"/>
        <v>177.91852788887704</v>
      </c>
    </row>
    <row r="2846" spans="1:21" x14ac:dyDescent="0.25">
      <c r="A2846">
        <v>4392261</v>
      </c>
      <c r="B2846">
        <v>59</v>
      </c>
      <c r="C2846" s="1">
        <f>3.88905621540547*(10.3/7.3)</f>
        <v>5.4872984957090853</v>
      </c>
      <c r="D2846" s="1">
        <f>5.44201173639409*(10.3/7.3)</f>
        <v>7.6784549157341333</v>
      </c>
      <c r="E2846" s="1">
        <f>19.2002289870622*(10.3/7.3)</f>
        <v>27.090734050238503</v>
      </c>
      <c r="F2846" s="1">
        <f>35.8680864903722*(38.9/42.5)</f>
        <v>32.829848575893628</v>
      </c>
      <c r="G2846" s="1">
        <v>1.2334189968268467</v>
      </c>
      <c r="H2846" s="1">
        <v>4.3291217204753512</v>
      </c>
      <c r="I2846" s="1">
        <v>25.27477278085053</v>
      </c>
      <c r="J2846" s="1">
        <v>3.7188444590170282E-2</v>
      </c>
      <c r="K2846" s="1">
        <v>2.4848950680771784</v>
      </c>
      <c r="L2846" s="1">
        <v>3.8895549064285757</v>
      </c>
      <c r="M2846" s="1">
        <v>0.16390312044148161</v>
      </c>
      <c r="N2846" s="1">
        <v>1.9430863929825759</v>
      </c>
      <c r="O2846" s="1">
        <v>0.14182598870056495</v>
      </c>
      <c r="P2846" s="1">
        <v>0.11074715149394537</v>
      </c>
      <c r="Q2846" s="1">
        <v>1.9712175748374272</v>
      </c>
      <c r="R2846" s="2">
        <f t="shared" si="179"/>
        <v>105.8948671105655</v>
      </c>
      <c r="S2846" s="2">
        <f t="shared" si="178"/>
        <v>2.6328306641612942</v>
      </c>
      <c r="T2846" s="2">
        <f t="shared" si="180"/>
        <v>6.1383704085531976</v>
      </c>
      <c r="U2846" s="2">
        <f t="shared" si="181"/>
        <v>114.66606818327999</v>
      </c>
    </row>
    <row r="2847" spans="1:21" x14ac:dyDescent="0.25">
      <c r="A2847">
        <v>4392269</v>
      </c>
      <c r="B2847">
        <v>60</v>
      </c>
      <c r="C2847" s="1">
        <f>8.61817173276945*(10.3/7.3)</f>
        <v>12.159886143496621</v>
      </c>
      <c r="D2847" s="1">
        <f>11.9121156517933*(10.3/7.3)</f>
        <v>16.807505645680905</v>
      </c>
      <c r="E2847" s="1">
        <f>42.0320985080029*(10.3/7.3)</f>
        <v>59.305563648278131</v>
      </c>
      <c r="F2847" s="1">
        <f>79.3602133812638*(38.9/42.5)</f>
        <v>72.63793648308615</v>
      </c>
      <c r="G2847" s="1">
        <v>2.7630235567506203</v>
      </c>
      <c r="H2847" s="1">
        <v>6.8819834337344563</v>
      </c>
      <c r="I2847" s="1">
        <v>56.321523999065413</v>
      </c>
      <c r="J2847" s="1">
        <v>6.5308704868725587E-2</v>
      </c>
      <c r="K2847" s="1">
        <v>3.7874953861240694</v>
      </c>
      <c r="L2847" s="1">
        <v>6.7884079168535907</v>
      </c>
      <c r="M2847" s="1">
        <v>0.25829178867739699</v>
      </c>
      <c r="N2847" s="1">
        <v>3.122230455347764</v>
      </c>
      <c r="O2847" s="1">
        <v>0.21745599999999995</v>
      </c>
      <c r="P2847" s="1">
        <v>0.15053640609908756</v>
      </c>
      <c r="Q2847" s="1">
        <v>4.4157910724325031</v>
      </c>
      <c r="R2847" s="2">
        <f t="shared" si="179"/>
        <v>231.29321398252483</v>
      </c>
      <c r="S2847" s="2">
        <f t="shared" si="178"/>
        <v>4.0033404970918829</v>
      </c>
      <c r="T2847" s="2">
        <f t="shared" si="180"/>
        <v>10.386386160878752</v>
      </c>
      <c r="U2847" s="2">
        <f t="shared" si="181"/>
        <v>245.68294064049545</v>
      </c>
    </row>
    <row r="2848" spans="1:21" x14ac:dyDescent="0.25">
      <c r="A2848">
        <v>4392277</v>
      </c>
      <c r="B2848">
        <v>17</v>
      </c>
      <c r="C2848" s="1">
        <f>6.38274334802571*(10.3/7.3)</f>
        <v>9.0057885595431326</v>
      </c>
      <c r="D2848" s="1">
        <f>8.74854430275604*(10.3/7.3)</f>
        <v>12.343836481970854</v>
      </c>
      <c r="E2848" s="1">
        <f>30.8708042090708*(10.3/7.3)</f>
        <v>43.557436075812213</v>
      </c>
      <c r="F2848" s="1">
        <f>58.7521027419503*(38.9/42.5)</f>
        <v>53.775454039102705</v>
      </c>
      <c r="G2848" s="1">
        <v>2.0645440096746728</v>
      </c>
      <c r="H2848" s="1">
        <v>12.477423755373525</v>
      </c>
      <c r="I2848" s="1">
        <v>41.903729947849754</v>
      </c>
      <c r="J2848" s="1">
        <v>5.1550932046666983E-2</v>
      </c>
      <c r="K2848" s="1">
        <v>3.1641468496372536</v>
      </c>
      <c r="L2848" s="1">
        <v>5.1746710908240612</v>
      </c>
      <c r="M2848" s="1">
        <v>0.21346368071372795</v>
      </c>
      <c r="N2848" s="1">
        <v>2.5363790788122884</v>
      </c>
      <c r="O2848" s="1">
        <v>0.18066196078431371</v>
      </c>
      <c r="P2848" s="1">
        <v>0.12880437290366814</v>
      </c>
      <c r="Q2848" s="1">
        <v>3.2994995588408043</v>
      </c>
      <c r="R2848" s="2">
        <f t="shared" si="179"/>
        <v>178.42771242816769</v>
      </c>
      <c r="S2848" s="2">
        <f t="shared" si="178"/>
        <v>3.3445021545875888</v>
      </c>
      <c r="T2848" s="2">
        <f t="shared" si="180"/>
        <v>8.1051758111343908</v>
      </c>
      <c r="U2848" s="2">
        <f t="shared" si="181"/>
        <v>189.87739039388967</v>
      </c>
    </row>
    <row r="2849" spans="1:21" x14ac:dyDescent="0.25">
      <c r="A2849">
        <v>4392285</v>
      </c>
      <c r="B2849">
        <v>12</v>
      </c>
      <c r="C2849" s="1">
        <f>5.93023309286172*(10.3/7.3)</f>
        <v>8.3673151858185921</v>
      </c>
      <c r="D2849" s="1">
        <f>7.99554992991636*(10.3/7.3)</f>
        <v>11.281392366868285</v>
      </c>
      <c r="E2849" s="1">
        <f>28.2083829439153*(10.3/7.3)</f>
        <v>39.800869085250426</v>
      </c>
      <c r="F2849" s="1">
        <f>54.9290854752982*(38.9/42.5)</f>
        <v>50.276268823272964</v>
      </c>
      <c r="G2849" s="1">
        <v>1.9839728723299304</v>
      </c>
      <c r="H2849" s="1">
        <v>10.244092614294216</v>
      </c>
      <c r="I2849" s="1">
        <v>39.623791517326531</v>
      </c>
      <c r="J2849" s="1">
        <v>5.0086069949579433E-2</v>
      </c>
      <c r="K2849" s="1">
        <v>3.0694645369792259</v>
      </c>
      <c r="L2849" s="1">
        <v>4.972210336697497</v>
      </c>
      <c r="M2849" s="1">
        <v>0.20107144317156669</v>
      </c>
      <c r="N2849" s="1">
        <v>2.4360968324314403</v>
      </c>
      <c r="O2849" s="1">
        <v>0.17291111111111113</v>
      </c>
      <c r="P2849" s="1">
        <v>0.12444127864286725</v>
      </c>
      <c r="Q2849" s="1">
        <v>3.1707329009839107</v>
      </c>
      <c r="R2849" s="2">
        <f t="shared" si="179"/>
        <v>164.74843536614486</v>
      </c>
      <c r="S2849" s="2">
        <f t="shared" si="178"/>
        <v>3.2439918855716723</v>
      </c>
      <c r="T2849" s="2">
        <f t="shared" si="180"/>
        <v>7.7822897234116155</v>
      </c>
      <c r="U2849" s="2">
        <f t="shared" si="181"/>
        <v>175.77471697512814</v>
      </c>
    </row>
    <row r="2850" spans="1:21" x14ac:dyDescent="0.25">
      <c r="A2850">
        <v>4392293</v>
      </c>
      <c r="B2850">
        <v>45</v>
      </c>
      <c r="C2850" s="1">
        <f>5.63575825826377*(10.3/7.3)</f>
        <v>7.9518232959064221</v>
      </c>
      <c r="D2850" s="1">
        <f>7.48075608339096*(10.3/7.3)</f>
        <v>10.555039405332446</v>
      </c>
      <c r="E2850" s="1">
        <f>26.4096570305558*(10.3/7.3)</f>
        <v>37.262940741743115</v>
      </c>
      <c r="F2850" s="1">
        <f>51.4245170057795*(38.9/42.5)</f>
        <v>47.068557918231093</v>
      </c>
      <c r="G2850" s="1">
        <v>1.8509331062670715</v>
      </c>
      <c r="H2850" s="1">
        <v>5.6086285762932944</v>
      </c>
      <c r="I2850" s="1">
        <v>37.293724552626962</v>
      </c>
      <c r="J2850" s="1">
        <v>5.022576564660873E-2</v>
      </c>
      <c r="K2850" s="1">
        <v>3.0468483122158578</v>
      </c>
      <c r="L2850" s="1">
        <v>5.035738462098772</v>
      </c>
      <c r="M2850" s="1">
        <v>0.19691817674805842</v>
      </c>
      <c r="N2850" s="1">
        <v>2.5182634159034079</v>
      </c>
      <c r="O2850" s="1">
        <v>0.16882607407407405</v>
      </c>
      <c r="P2850" s="1">
        <v>0.12327070165823518</v>
      </c>
      <c r="Q2850" s="1">
        <v>2.9581122702898432</v>
      </c>
      <c r="R2850" s="2">
        <f t="shared" si="179"/>
        <v>150.54975986669024</v>
      </c>
      <c r="S2850" s="2">
        <f t="shared" si="178"/>
        <v>3.2203447795207016</v>
      </c>
      <c r="T2850" s="2">
        <f t="shared" si="180"/>
        <v>7.9197461288243121</v>
      </c>
      <c r="U2850" s="2">
        <f t="shared" si="181"/>
        <v>161.68985077503524</v>
      </c>
    </row>
    <row r="2851" spans="1:21" x14ac:dyDescent="0.25">
      <c r="A2851">
        <v>4392301</v>
      </c>
      <c r="B2851">
        <v>57</v>
      </c>
      <c r="C2851" s="1">
        <f>4.16200264158638*(10.3/7.3)</f>
        <v>5.8724146860739364</v>
      </c>
      <c r="D2851" s="1">
        <f>5.43553633883944*(10.3/7.3)</f>
        <v>7.6693183958967506</v>
      </c>
      <c r="E2851" s="1">
        <f>19.2081915777787*(10.3/7.3)</f>
        <v>27.101968938509618</v>
      </c>
      <c r="F2851" s="1">
        <f>37.1253209793566*(38.9/42.5)</f>
        <v>33.980587908164082</v>
      </c>
      <c r="G2851" s="1">
        <v>1.3180901151984621</v>
      </c>
      <c r="H2851" s="1">
        <v>3.9661965997274904</v>
      </c>
      <c r="I2851" s="1">
        <v>27.02874844004948</v>
      </c>
      <c r="J2851" s="1">
        <v>4.0424034446794078E-2</v>
      </c>
      <c r="K2851" s="1">
        <v>2.5749490860086466</v>
      </c>
      <c r="L2851" s="1">
        <v>4.0575327030903425</v>
      </c>
      <c r="M2851" s="1">
        <v>0.16243476055474809</v>
      </c>
      <c r="N2851" s="1">
        <v>2.2518179718226938</v>
      </c>
      <c r="O2851" s="1">
        <v>0.13900725146198831</v>
      </c>
      <c r="P2851" s="1">
        <v>0.10768528740983281</v>
      </c>
      <c r="Q2851" s="1">
        <v>2.1065367137874995</v>
      </c>
      <c r="R2851" s="2">
        <f t="shared" si="179"/>
        <v>109.04386179740733</v>
      </c>
      <c r="S2851" s="2">
        <f t="shared" si="178"/>
        <v>2.7230584078652735</v>
      </c>
      <c r="T2851" s="2">
        <f t="shared" si="180"/>
        <v>6.6107926869297735</v>
      </c>
      <c r="U2851" s="2">
        <f t="shared" si="181"/>
        <v>118.37771289220237</v>
      </c>
    </row>
    <row r="2852" spans="1:21" x14ac:dyDescent="0.25">
      <c r="A2852">
        <v>4392309</v>
      </c>
      <c r="B2852">
        <v>59</v>
      </c>
      <c r="C2852" s="1">
        <f>20.0256394944411*(10.3/7.3)</f>
        <v>28.255354355170336</v>
      </c>
      <c r="D2852" s="1">
        <f>17.1746484838372*(10.3/7.3)</f>
        <v>24.23272320322241</v>
      </c>
      <c r="E2852" s="1">
        <f>62.2996112830279*(10.3/7.3)</f>
        <v>87.902191262354449</v>
      </c>
      <c r="F2852" s="1">
        <f>108.567769413723*(38.9/42.5)</f>
        <v>99.371440710443139</v>
      </c>
      <c r="G2852" s="1">
        <v>2.7796300251679296</v>
      </c>
      <c r="H2852" s="1">
        <v>6.3648417057105844</v>
      </c>
      <c r="I2852" s="1">
        <v>92.644556206077795</v>
      </c>
      <c r="J2852" s="1">
        <v>6.9167817178046889E-2</v>
      </c>
      <c r="K2852" s="1">
        <v>3.8118412371752992</v>
      </c>
      <c r="L2852" s="1">
        <v>6.8415263073025061</v>
      </c>
      <c r="M2852" s="1">
        <v>0.24400378107087231</v>
      </c>
      <c r="N2852" s="1">
        <v>3.5909348695009737</v>
      </c>
      <c r="O2852" s="1">
        <v>0.20390418079096051</v>
      </c>
      <c r="P2852" s="1">
        <v>0.1419404011118823</v>
      </c>
      <c r="Q2852" s="1">
        <v>4.4423310904510362</v>
      </c>
      <c r="R2852" s="2">
        <f t="shared" si="179"/>
        <v>345.99306855859766</v>
      </c>
      <c r="S2852" s="2">
        <f t="shared" si="178"/>
        <v>4.0229494554652279</v>
      </c>
      <c r="T2852" s="2">
        <f t="shared" si="180"/>
        <v>10.880369138665312</v>
      </c>
      <c r="U2852" s="2">
        <f t="shared" si="181"/>
        <v>360.89638715272815</v>
      </c>
    </row>
    <row r="2853" spans="1:21" x14ac:dyDescent="0.25">
      <c r="A2853">
        <v>4392317</v>
      </c>
      <c r="B2853">
        <v>60</v>
      </c>
      <c r="C2853" s="1">
        <f>6.22854701793041*(10.3/7.3)</f>
        <v>8.7882238746141397</v>
      </c>
      <c r="D2853" s="1">
        <f>7.79082361123494*(10.3/7.3)</f>
        <v>10.992531944619158</v>
      </c>
      <c r="E2853" s="1">
        <f>27.5643757523712*(10.3/7.3)</f>
        <v>38.892201404030551</v>
      </c>
      <c r="F2853" s="1">
        <f>54.2587612185776*(38.9/42.5)</f>
        <v>49.662724974180477</v>
      </c>
      <c r="G2853" s="1">
        <v>1.9549317082877136</v>
      </c>
      <c r="H2853" s="1">
        <v>4.9128872186838697</v>
      </c>
      <c r="I2853" s="1">
        <v>40.264174254804836</v>
      </c>
      <c r="J2853" s="1">
        <v>5.2703278027031723E-2</v>
      </c>
      <c r="K2853" s="1">
        <v>3.1090484657668185</v>
      </c>
      <c r="L2853" s="1">
        <v>5.2047018423157319</v>
      </c>
      <c r="M2853" s="1">
        <v>0.19466717227236557</v>
      </c>
      <c r="N2853" s="1">
        <v>2.5205526428207277</v>
      </c>
      <c r="O2853" s="1">
        <v>0.16420444444444443</v>
      </c>
      <c r="P2853" s="1">
        <v>0.12030406601338815</v>
      </c>
      <c r="Q2853" s="1">
        <v>3.124320081738357</v>
      </c>
      <c r="R2853" s="2">
        <f t="shared" si="179"/>
        <v>158.59199546095908</v>
      </c>
      <c r="S2853" s="2">
        <f t="shared" si="178"/>
        <v>3.2820558098072383</v>
      </c>
      <c r="T2853" s="2">
        <f t="shared" si="180"/>
        <v>8.0841261018532684</v>
      </c>
      <c r="U2853" s="2">
        <f t="shared" si="181"/>
        <v>169.95817737261959</v>
      </c>
    </row>
    <row r="2854" spans="1:21" x14ac:dyDescent="0.25">
      <c r="A2854">
        <v>4392325</v>
      </c>
      <c r="B2854">
        <v>51</v>
      </c>
      <c r="C2854" s="1">
        <f>3.73714859392718*(10.3/7.3)</f>
        <v>5.2729630845821864</v>
      </c>
      <c r="D2854" s="1">
        <f>4.73074812852825*(10.3/7.3)</f>
        <v>6.6748911950467136</v>
      </c>
      <c r="E2854" s="1">
        <f>16.7314214457064*(10.3/7.3)</f>
        <v>23.607348067229601</v>
      </c>
      <c r="F2854" s="1">
        <f>32.7968242271733*(38.9/42.5)</f>
        <v>30.018740292636277</v>
      </c>
      <c r="G2854" s="1">
        <v>1.1783088348859103</v>
      </c>
      <c r="H2854" s="1">
        <v>3.4460665713092511</v>
      </c>
      <c r="I2854" s="1">
        <v>24.214742148373944</v>
      </c>
      <c r="J2854" s="1">
        <v>3.7688468571908239E-2</v>
      </c>
      <c r="K2854" s="1">
        <v>2.423640761729065</v>
      </c>
      <c r="L2854" s="1">
        <v>3.755475864806189</v>
      </c>
      <c r="M2854" s="1">
        <v>0.14823403169887336</v>
      </c>
      <c r="N2854" s="1">
        <v>1.844542075530557</v>
      </c>
      <c r="O2854" s="1">
        <v>0.12571816993464052</v>
      </c>
      <c r="P2854" s="1">
        <v>9.9135811740750673E-2</v>
      </c>
      <c r="Q2854" s="1">
        <v>1.8831419735619594</v>
      </c>
      <c r="R2854" s="2">
        <f t="shared" si="179"/>
        <v>96.296202167625836</v>
      </c>
      <c r="S2854" s="2">
        <f t="shared" si="178"/>
        <v>2.5604650420417236</v>
      </c>
      <c r="T2854" s="2">
        <f t="shared" si="180"/>
        <v>5.8739701419702604</v>
      </c>
      <c r="U2854" s="2">
        <f t="shared" si="181"/>
        <v>104.73063735163782</v>
      </c>
    </row>
    <row r="2855" spans="1:21" x14ac:dyDescent="0.25">
      <c r="A2855">
        <v>4392333</v>
      </c>
      <c r="B2855">
        <v>63</v>
      </c>
      <c r="C2855" s="1">
        <f>6.40759214535932*(10.3/7.3)</f>
        <v>9.0408491913973972</v>
      </c>
      <c r="D2855" s="1">
        <f>7.92647858453967*(10.3/7.3)</f>
        <v>11.183935537090225</v>
      </c>
      <c r="E2855" s="1">
        <f>28.0352278912535*(10.3/7.3)</f>
        <v>39.55655442190568</v>
      </c>
      <c r="F2855" s="1">
        <f>56.3551470985341*(38.9/42.5)</f>
        <v>51.581534638422994</v>
      </c>
      <c r="G2855" s="1">
        <v>2.0814537324558056</v>
      </c>
      <c r="H2855" s="1">
        <v>5.0231665453557657</v>
      </c>
      <c r="I2855" s="1">
        <v>42.160024388251337</v>
      </c>
      <c r="J2855" s="1">
        <v>5.3411024208003581E-2</v>
      </c>
      <c r="K2855" s="1">
        <v>3.159837997730027</v>
      </c>
      <c r="L2855" s="1">
        <v>5.2982590275337706</v>
      </c>
      <c r="M2855" s="1">
        <v>0.19154509327683</v>
      </c>
      <c r="N2855" s="1">
        <v>2.4085642322083367</v>
      </c>
      <c r="O2855" s="1">
        <v>0.16236698412698408</v>
      </c>
      <c r="P2855" s="1">
        <v>0.11847305190653813</v>
      </c>
      <c r="Q2855" s="1">
        <v>3.3265242299522053</v>
      </c>
      <c r="R2855" s="2">
        <f t="shared" si="179"/>
        <v>163.95404268483142</v>
      </c>
      <c r="S2855" s="2">
        <f t="shared" si="178"/>
        <v>3.3317220738445688</v>
      </c>
      <c r="T2855" s="2">
        <f t="shared" si="180"/>
        <v>8.0607353371459229</v>
      </c>
      <c r="U2855" s="2">
        <f t="shared" si="181"/>
        <v>175.34650009582191</v>
      </c>
    </row>
    <row r="2856" spans="1:21" x14ac:dyDescent="0.25">
      <c r="A2856">
        <v>4392341</v>
      </c>
      <c r="B2856">
        <v>64</v>
      </c>
      <c r="C2856" s="1">
        <f>8.96747779617357*(10.3/7.3)</f>
        <v>12.652742643916131</v>
      </c>
      <c r="D2856" s="1">
        <f>10.8726244251232*(10.3/7.3)</f>
        <v>15.340826243667015</v>
      </c>
      <c r="E2856" s="1">
        <f>38.4595958654516*(10.3/7.3)</f>
        <v>54.264909234815278</v>
      </c>
      <c r="F2856" s="1">
        <f>78.8958624466349*(38.9/42.5)</f>
        <v>72.212918804096418</v>
      </c>
      <c r="G2856" s="1">
        <v>2.9757078359768268</v>
      </c>
      <c r="H2856" s="1">
        <v>6.2878415978781579</v>
      </c>
      <c r="I2856" s="1">
        <v>59.661610820455827</v>
      </c>
      <c r="J2856" s="1">
        <v>6.723621553547332E-2</v>
      </c>
      <c r="K2856" s="1">
        <v>3.8185018337408496</v>
      </c>
      <c r="L2856" s="1">
        <v>6.7399553398064365</v>
      </c>
      <c r="M2856" s="1">
        <v>0.22855763326068654</v>
      </c>
      <c r="N2856" s="1">
        <v>2.8519706827467308</v>
      </c>
      <c r="O2856" s="1">
        <v>0.1919025</v>
      </c>
      <c r="P2856" s="1">
        <v>0.13522734261030303</v>
      </c>
      <c r="Q2856" s="1">
        <v>4.7556974547574908</v>
      </c>
      <c r="R2856" s="2">
        <f t="shared" si="179"/>
        <v>228.15225463556314</v>
      </c>
      <c r="S2856" s="2">
        <f t="shared" si="178"/>
        <v>4.0209653918866257</v>
      </c>
      <c r="T2856" s="2">
        <f t="shared" si="180"/>
        <v>10.012386155813854</v>
      </c>
      <c r="U2856" s="2">
        <f t="shared" si="181"/>
        <v>242.18560618326362</v>
      </c>
    </row>
    <row r="2857" spans="1:21" x14ac:dyDescent="0.25">
      <c r="A2857">
        <v>4392349</v>
      </c>
      <c r="B2857">
        <v>66</v>
      </c>
      <c r="C2857" s="1">
        <f>8.96729864029458*(10.3/7.3)</f>
        <v>12.652489862333443</v>
      </c>
      <c r="D2857" s="1">
        <f>10.7615861837556*(10.3/7.3)</f>
        <v>15.184155848312713</v>
      </c>
      <c r="E2857" s="1">
        <f>38.0633898681356*(10.3/7.3)</f>
        <v>53.705878855040659</v>
      </c>
      <c r="F2857" s="1">
        <f>79.1762777463782*(38.9/42.5)</f>
        <v>72.469581278449652</v>
      </c>
      <c r="G2857" s="1">
        <v>3.0302529871838777</v>
      </c>
      <c r="H2857" s="1">
        <v>6.4172284375764601</v>
      </c>
      <c r="I2857" s="1">
        <v>60.23376718829401</v>
      </c>
      <c r="J2857" s="1">
        <v>6.7257994100212104E-2</v>
      </c>
      <c r="K2857" s="1">
        <v>3.8106051072369738</v>
      </c>
      <c r="L2857" s="1">
        <v>6.6992131414667631</v>
      </c>
      <c r="M2857" s="1">
        <v>0.22396946213645436</v>
      </c>
      <c r="N2857" s="1">
        <v>2.7894513938373158</v>
      </c>
      <c r="O2857" s="1">
        <v>0.18752888888888888</v>
      </c>
      <c r="P2857" s="1">
        <v>0.13292519966015534</v>
      </c>
      <c r="Q2857" s="1">
        <v>4.8428700708418155</v>
      </c>
      <c r="R2857" s="2">
        <f t="shared" si="179"/>
        <v>228.53622452803265</v>
      </c>
      <c r="S2857" s="2">
        <f t="shared" si="178"/>
        <v>4.0107883009973415</v>
      </c>
      <c r="T2857" s="2">
        <f t="shared" si="180"/>
        <v>9.9001628863294222</v>
      </c>
      <c r="U2857" s="2">
        <f t="shared" si="181"/>
        <v>242.44717571535941</v>
      </c>
    </row>
    <row r="2858" spans="1:21" x14ac:dyDescent="0.25">
      <c r="A2858">
        <v>4392357</v>
      </c>
      <c r="B2858">
        <v>66</v>
      </c>
      <c r="C2858" s="1">
        <f>9.33173564348269*(10.3/7.3)</f>
        <v>13.166695496968732</v>
      </c>
      <c r="D2858" s="1">
        <f>11.068857193058*(10.3/7.3)</f>
        <v>15.617702614862598</v>
      </c>
      <c r="E2858" s="1">
        <f>39.1402916569331*(10.3/7.3)</f>
        <v>55.225343022795983</v>
      </c>
      <c r="F2858" s="1">
        <f>83.0079587427304*(38.9/42.5)</f>
        <v>75.976696355110874</v>
      </c>
      <c r="G2858" s="1">
        <v>3.2418191027489329</v>
      </c>
      <c r="H2858" s="1">
        <v>6.9250611669628181</v>
      </c>
      <c r="I2858" s="1">
        <v>63.610061115777171</v>
      </c>
      <c r="J2858" s="1">
        <v>7.2911484488011352E-2</v>
      </c>
      <c r="K2858" s="1">
        <v>3.9320186980535392</v>
      </c>
      <c r="L2858" s="1">
        <v>6.832192728962065</v>
      </c>
      <c r="M2858" s="1">
        <v>0.22265076537495859</v>
      </c>
      <c r="N2858" s="1">
        <v>2.8272167712963707</v>
      </c>
      <c r="O2858" s="1">
        <v>0.18699393939393935</v>
      </c>
      <c r="P2858" s="1">
        <v>0.13333943381279176</v>
      </c>
      <c r="Q2858" s="1">
        <v>5.1809894336170226</v>
      </c>
      <c r="R2858" s="2">
        <f t="shared" si="179"/>
        <v>238.94436830884413</v>
      </c>
      <c r="S2858" s="2">
        <f t="shared" si="178"/>
        <v>4.138269616354342</v>
      </c>
      <c r="T2858" s="2">
        <f t="shared" si="180"/>
        <v>10.069054205027335</v>
      </c>
      <c r="U2858" s="2">
        <f t="shared" si="181"/>
        <v>253.1516921302258</v>
      </c>
    </row>
    <row r="2859" spans="1:21" x14ac:dyDescent="0.25">
      <c r="A2859">
        <v>4392365</v>
      </c>
      <c r="B2859">
        <v>1</v>
      </c>
      <c r="C2859" s="1">
        <f>8.48361548405136*(10.3/7.3)</f>
        <v>11.970032806264244</v>
      </c>
      <c r="D2859" s="1">
        <f>9.99976270894493*(10.3/7.3)</f>
        <v>14.109254233168873</v>
      </c>
      <c r="E2859" s="1">
        <f>35.3521431726028*(10.3/7.3)</f>
        <v>49.880421188740911</v>
      </c>
      <c r="F2859" s="1">
        <f>75.901612308666*(38.9/42.5)</f>
        <v>69.472299266049617</v>
      </c>
      <c r="G2859" s="1">
        <v>3.0021124503740482</v>
      </c>
      <c r="H2859" s="1">
        <v>7.3093711428694546</v>
      </c>
      <c r="I2859" s="1">
        <v>58.405567515011299</v>
      </c>
      <c r="J2859" s="1">
        <v>7.3356506554791173E-2</v>
      </c>
      <c r="K2859" s="1">
        <v>3.291296855259791</v>
      </c>
      <c r="L2859" s="1">
        <v>5.3288900132000014</v>
      </c>
      <c r="M2859" s="1">
        <v>0.18445966808627345</v>
      </c>
      <c r="N2859" s="1">
        <v>2.322002026030408</v>
      </c>
      <c r="O2859" s="1">
        <v>0.15626666666666666</v>
      </c>
      <c r="P2859" s="1">
        <v>0.11265608707988964</v>
      </c>
      <c r="Q2859" s="1">
        <v>4.7978966101868394</v>
      </c>
      <c r="R2859" s="2">
        <f t="shared" si="179"/>
        <v>218.94695521266533</v>
      </c>
      <c r="S2859" s="2">
        <f t="shared" si="178"/>
        <v>3.4773094488944718</v>
      </c>
      <c r="T2859" s="2">
        <f t="shared" si="180"/>
        <v>7.9916183739833491</v>
      </c>
      <c r="U2859" s="2">
        <f t="shared" si="181"/>
        <v>230.41588303554315</v>
      </c>
    </row>
    <row r="2860" spans="1:21" x14ac:dyDescent="0.25">
      <c r="A2860">
        <v>4392373</v>
      </c>
      <c r="B2860">
        <v>24</v>
      </c>
      <c r="C2860" s="1">
        <f>3.95907034569981*(10.3/7.3)</f>
        <v>5.5860855562613798</v>
      </c>
      <c r="D2860" s="1">
        <f>4.95908696001952*(10.3/7.3)</f>
        <v>6.9970679024933009</v>
      </c>
      <c r="E2860" s="1">
        <f>17.3897162721148*(10.3/7.3)</f>
        <v>24.536175014079763</v>
      </c>
      <c r="F2860" s="1">
        <f>42.0337967384737*(38.9/42.5)</f>
        <v>38.473286897097132</v>
      </c>
      <c r="G2860" s="1">
        <v>1.8892850868597699</v>
      </c>
      <c r="H2860" s="1">
        <v>7.9156861664392792</v>
      </c>
      <c r="I2860" s="1">
        <v>32.383231678554402</v>
      </c>
      <c r="J2860" s="1">
        <v>4.1239697316405338E-2</v>
      </c>
      <c r="K2860" s="1">
        <v>2.4540234983815399</v>
      </c>
      <c r="L2860" s="1">
        <v>4.5973190371880479</v>
      </c>
      <c r="M2860" s="1">
        <v>0.13324499494510159</v>
      </c>
      <c r="N2860" s="1">
        <v>1.7608059877868429</v>
      </c>
      <c r="O2860" s="1">
        <v>0.11021999999999998</v>
      </c>
      <c r="P2860" s="1">
        <v>8.8922523366845863E-2</v>
      </c>
      <c r="Q2860" s="1">
        <v>3.0194053899585396</v>
      </c>
      <c r="R2860" s="2">
        <f t="shared" si="179"/>
        <v>120.80022369174355</v>
      </c>
      <c r="S2860" s="2">
        <f t="shared" si="178"/>
        <v>2.5841857190647914</v>
      </c>
      <c r="T2860" s="2">
        <f t="shared" si="180"/>
        <v>6.6015900199199926</v>
      </c>
      <c r="U2860" s="2">
        <f t="shared" si="181"/>
        <v>129.98599943072833</v>
      </c>
    </row>
    <row r="2861" spans="1:21" x14ac:dyDescent="0.25">
      <c r="A2861">
        <v>4403889</v>
      </c>
      <c r="B2861">
        <v>5</v>
      </c>
      <c r="C2861" s="1">
        <f>0.418453338021316*(10.3/7.3)</f>
        <v>0.59042046323555586</v>
      </c>
      <c r="D2861" s="1">
        <f>0.544336891187491*(10.3/7.3)</f>
        <v>0.76803698345632287</v>
      </c>
      <c r="E2861" s="1">
        <f>1.906811751123*(10.3/7.3)</f>
        <v>2.6904330187077976</v>
      </c>
      <c r="F2861" s="1">
        <f>4.54765545898257*(38.9/42.5)</f>
        <v>4.1624422906922787</v>
      </c>
      <c r="G2861" s="1">
        <v>0.20317370035840948</v>
      </c>
      <c r="H2861" s="1">
        <v>0.97312721511455924</v>
      </c>
      <c r="I2861" s="1">
        <v>3.4593437516597954</v>
      </c>
      <c r="J2861" s="1">
        <v>2.9736371930586335E-2</v>
      </c>
      <c r="K2861" s="1">
        <v>2.4319668985289313</v>
      </c>
      <c r="L2861" s="1">
        <v>1.9580595980972411</v>
      </c>
      <c r="M2861" s="1">
        <v>0.19516335860493025</v>
      </c>
      <c r="N2861" s="1">
        <v>0.9440416767164258</v>
      </c>
      <c r="O2861" s="1">
        <v>0.62751999999999997</v>
      </c>
      <c r="P2861" s="1">
        <v>0.22913033924001347</v>
      </c>
      <c r="Q2861" s="1">
        <v>0.32470682705681914</v>
      </c>
      <c r="R2861" s="2">
        <f t="shared" si="179"/>
        <v>13.171684250281537</v>
      </c>
      <c r="S2861" s="2">
        <f t="shared" si="178"/>
        <v>2.6908336096995313</v>
      </c>
      <c r="T2861" s="2">
        <f t="shared" si="180"/>
        <v>3.7247846334185972</v>
      </c>
      <c r="U2861" s="2">
        <f t="shared" si="181"/>
        <v>19.587302493399665</v>
      </c>
    </row>
    <row r="2862" spans="1:21" x14ac:dyDescent="0.25">
      <c r="A2862">
        <v>4403897</v>
      </c>
      <c r="B2862">
        <v>52</v>
      </c>
      <c r="C2862" s="1">
        <f>0.775451169394044*(10.3/7.3)</f>
        <v>1.09412973215872</v>
      </c>
      <c r="D2862" s="1">
        <f>1.04047136332701*(10.3/7.3)</f>
        <v>1.4680623345572819</v>
      </c>
      <c r="E2862" s="1">
        <f>3.62876938209964*(10.3/7.3)</f>
        <v>5.1200444706337365</v>
      </c>
      <c r="F2862" s="1">
        <f>9.2226662415172*(38.9/42.5)</f>
        <v>8.4414521598828021</v>
      </c>
      <c r="G2862" s="1">
        <v>0.43617044225248058</v>
      </c>
      <c r="H2862" s="1">
        <v>1.88120443782183</v>
      </c>
      <c r="I2862" s="1">
        <v>7.0370855642089278</v>
      </c>
      <c r="J2862" s="1">
        <v>5.0867037041100287E-2</v>
      </c>
      <c r="K2862" s="1">
        <v>3.6496387157746684</v>
      </c>
      <c r="L2862" s="1">
        <v>2.9348920411376325</v>
      </c>
      <c r="M2862" s="1">
        <v>0.29045228727191519</v>
      </c>
      <c r="N2862" s="1">
        <v>1.6318791908570658</v>
      </c>
      <c r="O2862" s="1">
        <v>1.0881846153846157</v>
      </c>
      <c r="P2862" s="1">
        <v>0.34286316053630578</v>
      </c>
      <c r="Q2862" s="1">
        <v>0.6970760492619561</v>
      </c>
      <c r="R2862" s="2">
        <f t="shared" si="179"/>
        <v>26.175225190777734</v>
      </c>
      <c r="S2862" s="2">
        <f t="shared" si="178"/>
        <v>4.043368913352074</v>
      </c>
      <c r="T2862" s="2">
        <f t="shared" si="180"/>
        <v>5.9454081346512293</v>
      </c>
      <c r="U2862" s="2">
        <f t="shared" si="181"/>
        <v>36.164002238781038</v>
      </c>
    </row>
    <row r="2863" spans="1:21" x14ac:dyDescent="0.25">
      <c r="A2863">
        <v>4403905</v>
      </c>
      <c r="B2863">
        <v>3</v>
      </c>
      <c r="C2863" s="1">
        <f>1.15624111503292*(10.3/7.3)</f>
        <v>1.6314086965532912</v>
      </c>
      <c r="D2863" s="1">
        <f>1.57550687266085*(10.3/7.3)</f>
        <v>2.2229754504666737</v>
      </c>
      <c r="E2863" s="1">
        <f>5.47581307698966*(10.3/7.3)</f>
        <v>7.7261472182182889</v>
      </c>
      <c r="F2863" s="1">
        <f>14.7032874427092*(38.9/42.5)</f>
        <v>13.45783250638558</v>
      </c>
      <c r="G2863" s="1">
        <v>0.7255641563109162</v>
      </c>
      <c r="H2863" s="1">
        <v>2.5319670596462465</v>
      </c>
      <c r="I2863" s="1">
        <v>11.282389455349188</v>
      </c>
      <c r="J2863" s="1">
        <v>8.3596771622211519E-2</v>
      </c>
      <c r="K2863" s="1">
        <v>4.4398152016027543</v>
      </c>
      <c r="L2863" s="1">
        <v>4.2878772247545491</v>
      </c>
      <c r="M2863" s="1">
        <v>0.40833335825685718</v>
      </c>
      <c r="N2863" s="1">
        <v>2.3567613530176388</v>
      </c>
      <c r="O2863" s="1">
        <v>1.4433777777777779</v>
      </c>
      <c r="P2863" s="1">
        <v>0.385003114326391</v>
      </c>
      <c r="Q2863" s="1">
        <v>1.1595774187617396</v>
      </c>
      <c r="R2863" s="2">
        <f t="shared" si="179"/>
        <v>40.737861961691927</v>
      </c>
      <c r="S2863" s="2">
        <f t="shared" si="178"/>
        <v>4.908415087551357</v>
      </c>
      <c r="T2863" s="2">
        <f t="shared" si="180"/>
        <v>8.496349713806822</v>
      </c>
      <c r="U2863" s="2">
        <f t="shared" si="181"/>
        <v>54.142626763050103</v>
      </c>
    </row>
    <row r="2864" spans="1:21" x14ac:dyDescent="0.25">
      <c r="A2864">
        <v>4404441</v>
      </c>
      <c r="B2864">
        <v>18</v>
      </c>
      <c r="C2864" s="1">
        <f>11.3141425907802*(10.3/7.3)</f>
        <v>15.963790230826902</v>
      </c>
      <c r="D2864" s="1">
        <f>17.453912702436*(10.3/7.3)</f>
        <v>24.626753539053595</v>
      </c>
      <c r="E2864" s="1">
        <f>61.4533863608277*(10.3/7.3)</f>
        <v>86.708202673496601</v>
      </c>
      <c r="F2864" s="1">
        <f>109.511908834647*(38.9/42.5)</f>
        <v>100.23560596865383</v>
      </c>
      <c r="G2864" s="1">
        <v>3.5877640035653156</v>
      </c>
      <c r="H2864" s="1">
        <v>6.6435256506881277</v>
      </c>
      <c r="I2864" s="1">
        <v>73.524451957781082</v>
      </c>
      <c r="J2864" s="1">
        <v>8.5120081771052888E-2</v>
      </c>
      <c r="K2864" s="1">
        <v>3.5801692630266788</v>
      </c>
      <c r="L2864" s="1">
        <v>6.1922088978352932</v>
      </c>
      <c r="M2864" s="1">
        <v>0.2704997169296714</v>
      </c>
      <c r="N2864" s="1">
        <v>3.7308486116226316</v>
      </c>
      <c r="O2864" s="1">
        <v>0.22622518518518517</v>
      </c>
      <c r="P2864" s="1">
        <v>0.15197599842209192</v>
      </c>
      <c r="Q2864" s="1">
        <v>5.7338694120906943</v>
      </c>
      <c r="R2864" s="2">
        <f t="shared" si="179"/>
        <v>317.02396343615618</v>
      </c>
      <c r="S2864" s="2">
        <f t="shared" si="178"/>
        <v>3.8172653432198236</v>
      </c>
      <c r="T2864" s="2">
        <f t="shared" si="180"/>
        <v>10.419782411572783</v>
      </c>
      <c r="U2864" s="2">
        <f t="shared" si="181"/>
        <v>331.26101119094881</v>
      </c>
    </row>
    <row r="2865" spans="1:21" x14ac:dyDescent="0.25">
      <c r="A2865">
        <v>4404449</v>
      </c>
      <c r="B2865">
        <v>58</v>
      </c>
      <c r="C2865" s="1">
        <f>7.08753403034597*(10.3/7.3)</f>
        <v>10.000219248296364</v>
      </c>
      <c r="D2865" s="1">
        <f>10.8546128133744*(10.3/7.3)</f>
        <v>15.31541259969266</v>
      </c>
      <c r="E2865" s="1">
        <f>38.2194660571383*(10.3/7.3)</f>
        <v>53.926095943633534</v>
      </c>
      <c r="F2865" s="1">
        <f>68.5477579298053*(38.9/42.5)</f>
        <v>62.741359611045283</v>
      </c>
      <c r="G2865" s="1">
        <v>2.264515228088956</v>
      </c>
      <c r="H2865" s="1">
        <v>5.0527603320590035</v>
      </c>
      <c r="I2865" s="1">
        <v>46.236810495482075</v>
      </c>
      <c r="J2865" s="1">
        <v>5.9143090824448075E-2</v>
      </c>
      <c r="K2865" s="1">
        <v>3.1309263688683391</v>
      </c>
      <c r="L2865" s="1">
        <v>5.2974551655810638</v>
      </c>
      <c r="M2865" s="1">
        <v>0.22804237700261704</v>
      </c>
      <c r="N2865" s="1">
        <v>2.5645119441913238</v>
      </c>
      <c r="O2865" s="1">
        <v>0.19230712643678158</v>
      </c>
      <c r="P2865" s="1">
        <v>0.1378963319592057</v>
      </c>
      <c r="Q2865" s="1">
        <v>3.6190882640691093</v>
      </c>
      <c r="R2865" s="2">
        <f t="shared" si="179"/>
        <v>199.15626172236699</v>
      </c>
      <c r="S2865" s="2">
        <f t="shared" si="178"/>
        <v>3.3279657916519927</v>
      </c>
      <c r="T2865" s="2">
        <f t="shared" si="180"/>
        <v>8.2823166132117869</v>
      </c>
      <c r="U2865" s="2">
        <f t="shared" si="181"/>
        <v>210.76654412723076</v>
      </c>
    </row>
    <row r="2866" spans="1:21" x14ac:dyDescent="0.25">
      <c r="A2866">
        <v>4404457</v>
      </c>
      <c r="B2866">
        <v>58</v>
      </c>
      <c r="C2866" s="1">
        <f>9.52466786172837*(10.3/7.3)</f>
        <v>13.438914928192089</v>
      </c>
      <c r="D2866" s="1">
        <f>14.4893033696514*(10.3/7.3)</f>
        <v>20.443811603754696</v>
      </c>
      <c r="E2866" s="1">
        <f>51.0236039259384*(10.3/7.3)</f>
        <v>71.992208279063732</v>
      </c>
      <c r="F2866" s="1">
        <f>91.839957233315*(38.9/42.5)</f>
        <v>84.060572620610671</v>
      </c>
      <c r="G2866" s="1">
        <v>3.0460293796904816</v>
      </c>
      <c r="H2866" s="1">
        <v>8.7233146890948507</v>
      </c>
      <c r="I2866" s="1">
        <v>62.165644145077884</v>
      </c>
      <c r="J2866" s="1">
        <v>6.655611410567952E-2</v>
      </c>
      <c r="K2866" s="1">
        <v>3.6553213334391952</v>
      </c>
      <c r="L2866" s="1">
        <v>6.5313753846202376</v>
      </c>
      <c r="M2866" s="1">
        <v>0.27076947597284223</v>
      </c>
      <c r="N2866" s="1">
        <v>2.9216420698677434</v>
      </c>
      <c r="O2866" s="1">
        <v>0.22615908045977015</v>
      </c>
      <c r="P2866" s="1">
        <v>0.15448380826921984</v>
      </c>
      <c r="Q2866" s="1">
        <v>4.868083483523602</v>
      </c>
      <c r="R2866" s="2">
        <f t="shared" si="179"/>
        <v>268.73857912900803</v>
      </c>
      <c r="S2866" s="2">
        <f t="shared" si="178"/>
        <v>3.8763612558140945</v>
      </c>
      <c r="T2866" s="2">
        <f t="shared" si="180"/>
        <v>9.9499460109205931</v>
      </c>
      <c r="U2866" s="2">
        <f t="shared" si="181"/>
        <v>282.56488639574275</v>
      </c>
    </row>
    <row r="2867" spans="1:21" x14ac:dyDescent="0.25">
      <c r="A2867">
        <v>4404465</v>
      </c>
      <c r="B2867">
        <v>64</v>
      </c>
      <c r="C2867" s="1">
        <f>9.68689237213918*(10.3/7.3)</f>
        <v>13.667807045621041</v>
      </c>
      <c r="D2867" s="1">
        <f>14.4513278965631*(10.3/7.3)</f>
        <v>20.390229771862938</v>
      </c>
      <c r="E2867" s="1">
        <f>50.911167518295*(10.3/7.3)</f>
        <v>71.833565128553161</v>
      </c>
      <c r="F2867" s="1">
        <f>92.4508440118012*(38.9/42.5)</f>
        <v>84.619713695507471</v>
      </c>
      <c r="G2867" s="1">
        <v>3.093983743641838</v>
      </c>
      <c r="H2867" s="1">
        <v>7.4737564141489461</v>
      </c>
      <c r="I2867" s="1">
        <v>63.183231671706707</v>
      </c>
      <c r="J2867" s="1">
        <v>6.8178869770162867E-2</v>
      </c>
      <c r="K2867" s="1">
        <v>3.8269745596966351</v>
      </c>
      <c r="L2867" s="1">
        <v>6.924535639439612</v>
      </c>
      <c r="M2867" s="1">
        <v>0.2810423629504209</v>
      </c>
      <c r="N2867" s="1">
        <v>3.0518041756781855</v>
      </c>
      <c r="O2867" s="1">
        <v>0.23462416666666661</v>
      </c>
      <c r="P2867" s="1">
        <v>0.15910549483645808</v>
      </c>
      <c r="Q2867" s="1">
        <v>4.9447228779664147</v>
      </c>
      <c r="R2867" s="2">
        <f t="shared" si="179"/>
        <v>269.2070103490085</v>
      </c>
      <c r="S2867" s="2">
        <f t="shared" si="178"/>
        <v>4.0542589243032561</v>
      </c>
      <c r="T2867" s="2">
        <f t="shared" si="180"/>
        <v>10.492006344734886</v>
      </c>
      <c r="U2867" s="2">
        <f t="shared" si="181"/>
        <v>283.75327561804664</v>
      </c>
    </row>
    <row r="2868" spans="1:21" x14ac:dyDescent="0.25">
      <c r="A2868">
        <v>4404473</v>
      </c>
      <c r="B2868">
        <v>65</v>
      </c>
      <c r="C2868" s="1">
        <f>7.60755733616055*(10.3/7.3)</f>
        <v>10.733950761979953</v>
      </c>
      <c r="D2868" s="1">
        <f>11.133209840092*(10.3/7.3)</f>
        <v>15.708501555198307</v>
      </c>
      <c r="E2868" s="1">
        <f>39.2362181578851*(10.3/7.3)</f>
        <v>55.360691373454323</v>
      </c>
      <c r="F2868" s="1">
        <f>71.9741996037911*(38.9/42.5)</f>
        <v>65.877561519705296</v>
      </c>
      <c r="G2868" s="1">
        <v>2.4347533090543885</v>
      </c>
      <c r="H2868" s="1">
        <v>5.6671915132953394</v>
      </c>
      <c r="I2868" s="1">
        <v>49.672191216018447</v>
      </c>
      <c r="J2868" s="1">
        <v>5.6893659337477524E-2</v>
      </c>
      <c r="K2868" s="1">
        <v>3.4076244592089218</v>
      </c>
      <c r="L2868" s="1">
        <v>5.8550172897461188</v>
      </c>
      <c r="M2868" s="1">
        <v>0.24109471769407356</v>
      </c>
      <c r="N2868" s="1">
        <v>2.6722650580139957</v>
      </c>
      <c r="O2868" s="1">
        <v>0.20548758974358972</v>
      </c>
      <c r="P2868" s="1">
        <v>0.14449139947689341</v>
      </c>
      <c r="Q2868" s="1">
        <v>3.8911582564796214</v>
      </c>
      <c r="R2868" s="2">
        <f t="shared" si="179"/>
        <v>209.34599950518566</v>
      </c>
      <c r="S2868" s="2">
        <f t="shared" si="178"/>
        <v>3.6090095180232926</v>
      </c>
      <c r="T2868" s="2">
        <f t="shared" si="180"/>
        <v>8.9738646551977794</v>
      </c>
      <c r="U2868" s="2">
        <f t="shared" si="181"/>
        <v>221.92887367840675</v>
      </c>
    </row>
    <row r="2869" spans="1:21" x14ac:dyDescent="0.25">
      <c r="A2869">
        <v>4404481</v>
      </c>
      <c r="B2869">
        <v>66</v>
      </c>
      <c r="C2869" s="1">
        <f>8.34922217289058*(10.3/7.3)</f>
        <v>11.780409367229174</v>
      </c>
      <c r="D2869" s="1">
        <f>12.0190537371334*(10.3/7.3)</f>
        <v>16.958390889380041</v>
      </c>
      <c r="E2869" s="1">
        <f>42.3731342336846*(10.3/7.3)</f>
        <v>59.786751042048195</v>
      </c>
      <c r="F2869" s="1">
        <f>78.3469925885442*(38.9/42.5)</f>
        <v>71.710541451632224</v>
      </c>
      <c r="G2869" s="1">
        <v>2.6714326934423722</v>
      </c>
      <c r="H2869" s="1">
        <v>6.0344962141864622</v>
      </c>
      <c r="I2869" s="1">
        <v>54.507556526379325</v>
      </c>
      <c r="J2869" s="1">
        <v>6.0465396376497706E-2</v>
      </c>
      <c r="K2869" s="1">
        <v>3.6061702441859413</v>
      </c>
      <c r="L2869" s="1">
        <v>6.2924710613550898</v>
      </c>
      <c r="M2869" s="1">
        <v>0.25405440859602119</v>
      </c>
      <c r="N2869" s="1">
        <v>2.8211388514571025</v>
      </c>
      <c r="O2869" s="1">
        <v>0.21576404040404037</v>
      </c>
      <c r="P2869" s="1">
        <v>0.14938148607978127</v>
      </c>
      <c r="Q2869" s="1">
        <v>4.2694129803873597</v>
      </c>
      <c r="R2869" s="2">
        <f t="shared" si="179"/>
        <v>227.71899116468515</v>
      </c>
      <c r="S2869" s="2">
        <f t="shared" si="178"/>
        <v>3.8160171266422203</v>
      </c>
      <c r="T2869" s="2">
        <f t="shared" si="180"/>
        <v>9.5834283618122544</v>
      </c>
      <c r="U2869" s="2">
        <f t="shared" si="181"/>
        <v>241.11843665313961</v>
      </c>
    </row>
    <row r="2870" spans="1:21" x14ac:dyDescent="0.25">
      <c r="A2870">
        <v>4404489</v>
      </c>
      <c r="B2870">
        <v>67</v>
      </c>
      <c r="C2870" s="1">
        <f>4.85375635217474*(10.3/7.3)</f>
        <v>6.8484507434794315</v>
      </c>
      <c r="D2870" s="1">
        <f>6.875012633229*(10.3/7.3)</f>
        <v>9.7003602907203703</v>
      </c>
      <c r="E2870" s="1">
        <f>24.246793638769*(10.3/7.3)</f>
        <v>34.21122938072893</v>
      </c>
      <c r="F2870" s="1">
        <f>45.1650903364518*(38.9/42.5)</f>
        <v>41.339341507952319</v>
      </c>
      <c r="G2870" s="1">
        <v>1.550972394027325</v>
      </c>
      <c r="H2870" s="1">
        <v>5.1789084470761715</v>
      </c>
      <c r="I2870" s="1">
        <v>31.666082788366968</v>
      </c>
      <c r="J2870" s="1">
        <v>4.1156796514641165E-2</v>
      </c>
      <c r="K2870" s="1">
        <v>2.7077932643386879</v>
      </c>
      <c r="L2870" s="1">
        <v>4.2641847043629104</v>
      </c>
      <c r="M2870" s="1">
        <v>0.18183914814952545</v>
      </c>
      <c r="N2870" s="1">
        <v>2.232064087638332</v>
      </c>
      <c r="O2870" s="1">
        <v>0.1582471641791045</v>
      </c>
      <c r="P2870" s="1">
        <v>0.11922568975021636</v>
      </c>
      <c r="Q2870" s="1">
        <v>2.4787230041532617</v>
      </c>
      <c r="R2870" s="2">
        <f t="shared" si="179"/>
        <v>132.97406855650479</v>
      </c>
      <c r="S2870" s="2">
        <f t="shared" si="178"/>
        <v>2.8681757506035455</v>
      </c>
      <c r="T2870" s="2">
        <f t="shared" si="180"/>
        <v>6.8363351043298719</v>
      </c>
      <c r="U2870" s="2">
        <f t="shared" si="181"/>
        <v>142.67857941143819</v>
      </c>
    </row>
    <row r="2871" spans="1:21" x14ac:dyDescent="0.25">
      <c r="A2871">
        <v>4404497</v>
      </c>
      <c r="B2871">
        <v>66</v>
      </c>
      <c r="C2871" s="1">
        <f>4.14015884516029*(10.3/7.3)</f>
        <v>5.8415939870069886</v>
      </c>
      <c r="D2871" s="1">
        <f>5.78029554138364*(10.3/7.3)</f>
        <v>8.1557594625002015</v>
      </c>
      <c r="E2871" s="1">
        <f>20.3931858949196*(10.3/7.3)</f>
        <v>28.773947221598942</v>
      </c>
      <c r="F2871" s="1">
        <f>38.218908703163*(38.9/42.5)</f>
        <v>34.981542318895073</v>
      </c>
      <c r="G2871" s="1">
        <v>1.3196464907786587</v>
      </c>
      <c r="H2871" s="1">
        <v>4.1099435153474353</v>
      </c>
      <c r="I2871" s="1">
        <v>26.975870458563243</v>
      </c>
      <c r="J2871" s="1">
        <v>3.8191148289741988E-2</v>
      </c>
      <c r="K2871" s="1">
        <v>2.5438997817136184</v>
      </c>
      <c r="L2871" s="1">
        <v>3.9711792978483893</v>
      </c>
      <c r="M2871" s="1">
        <v>0.16810762856637518</v>
      </c>
      <c r="N2871" s="1">
        <v>1.9597978490845809</v>
      </c>
      <c r="O2871" s="1">
        <v>0.14557090909090908</v>
      </c>
      <c r="P2871" s="1">
        <v>0.11240875433485438</v>
      </c>
      <c r="Q2871" s="1">
        <v>2.1090240720206901</v>
      </c>
      <c r="R2871" s="2">
        <f t="shared" si="179"/>
        <v>112.26732752671121</v>
      </c>
      <c r="S2871" s="2">
        <f t="shared" si="178"/>
        <v>2.694499684338215</v>
      </c>
      <c r="T2871" s="2">
        <f t="shared" si="180"/>
        <v>6.2446556845902554</v>
      </c>
      <c r="U2871" s="2">
        <f t="shared" si="181"/>
        <v>121.20648289563968</v>
      </c>
    </row>
    <row r="2872" spans="1:21" x14ac:dyDescent="0.25">
      <c r="A2872">
        <v>4404505</v>
      </c>
      <c r="B2872">
        <v>67</v>
      </c>
      <c r="C2872" s="1">
        <f>7.98062048934038*(10.3/7.3)</f>
        <v>11.260327539754231</v>
      </c>
      <c r="D2872" s="1">
        <f>10.9731941567983*(10.3/7.3)</f>
        <v>15.482726002057886</v>
      </c>
      <c r="E2872" s="1">
        <f>38.7191443309102*(10.3/7.3)</f>
        <v>54.63112145320212</v>
      </c>
      <c r="F2872" s="1">
        <f>73.5227870119755*(38.9/42.5)</f>
        <v>67.294974465078738</v>
      </c>
      <c r="G2872" s="1">
        <v>2.5773045546965787</v>
      </c>
      <c r="H2872" s="1">
        <v>7.802254344317749</v>
      </c>
      <c r="I2872" s="1">
        <v>52.351164067947515</v>
      </c>
      <c r="J2872" s="1">
        <v>6.2175601323121395E-2</v>
      </c>
      <c r="K2872" s="1">
        <v>3.6455038983175427</v>
      </c>
      <c r="L2872" s="1">
        <v>6.4086604214644947</v>
      </c>
      <c r="M2872" s="1">
        <v>0.24770168410029017</v>
      </c>
      <c r="N2872" s="1">
        <v>2.9785665929467497</v>
      </c>
      <c r="O2872" s="1">
        <v>0.20929990049751251</v>
      </c>
      <c r="P2872" s="1">
        <v>0.14556134704348839</v>
      </c>
      <c r="Q2872" s="1">
        <v>4.1189798819351759</v>
      </c>
      <c r="R2872" s="2">
        <f t="shared" si="179"/>
        <v>215.51885230899001</v>
      </c>
      <c r="S2872" s="2">
        <f t="shared" si="178"/>
        <v>3.8532408466841526</v>
      </c>
      <c r="T2872" s="2">
        <f t="shared" si="180"/>
        <v>9.8442285990090479</v>
      </c>
      <c r="U2872" s="2">
        <f t="shared" si="181"/>
        <v>229.21632175468321</v>
      </c>
    </row>
    <row r="2873" spans="1:21" x14ac:dyDescent="0.25">
      <c r="A2873">
        <v>4404521</v>
      </c>
      <c r="B2873">
        <v>39</v>
      </c>
      <c r="C2873" s="1">
        <f>6.51431781486919*(10.3/7.3)</f>
        <v>9.19143472508941</v>
      </c>
      <c r="D2873" s="1">
        <f>8.73027448820572*(10.3/7.3)</f>
        <v>12.318058524454653</v>
      </c>
      <c r="E2873" s="1">
        <f>30.8039622672292*(10.3/7.3)</f>
        <v>43.463124842802877</v>
      </c>
      <c r="F2873" s="1">
        <f>60.2026595496479*(38.9/42.5)</f>
        <v>55.103140152501275</v>
      </c>
      <c r="G2873" s="1">
        <v>2.1821039855745674</v>
      </c>
      <c r="H2873" s="1">
        <v>7.8526817712775028</v>
      </c>
      <c r="I2873" s="1">
        <v>43.555050713633818</v>
      </c>
      <c r="J2873" s="1">
        <v>5.4052975862145074E-2</v>
      </c>
      <c r="K2873" s="1">
        <v>3.2405202971261664</v>
      </c>
      <c r="L2873" s="1">
        <v>5.410172495851806</v>
      </c>
      <c r="M2873" s="1">
        <v>0.21465887913568105</v>
      </c>
      <c r="N2873" s="1">
        <v>2.6014302372985725</v>
      </c>
      <c r="O2873" s="1">
        <v>0.18207179487179484</v>
      </c>
      <c r="P2873" s="1">
        <v>0.12926900702695798</v>
      </c>
      <c r="Q2873" s="1">
        <v>3.4873807988634691</v>
      </c>
      <c r="R2873" s="2">
        <f t="shared" si="179"/>
        <v>177.15297551419758</v>
      </c>
      <c r="S2873" s="2">
        <f t="shared" si="178"/>
        <v>3.4238422800152692</v>
      </c>
      <c r="T2873" s="2">
        <f t="shared" si="180"/>
        <v>8.4083334071578548</v>
      </c>
      <c r="U2873" s="2">
        <f t="shared" si="181"/>
        <v>188.98515120137068</v>
      </c>
    </row>
    <row r="2874" spans="1:21" x14ac:dyDescent="0.25">
      <c r="A2874">
        <v>4404529</v>
      </c>
      <c r="B2874">
        <v>67</v>
      </c>
      <c r="C2874" s="1">
        <f>4.79782904892063*(10.3/7.3)</f>
        <v>6.7695396169701985</v>
      </c>
      <c r="D2874" s="1">
        <f>6.35426067963998*(10.3/7.3)</f>
        <v>8.9656006849714789</v>
      </c>
      <c r="E2874" s="1">
        <f>22.4350760350728*(10.3/7.3)</f>
        <v>31.654970296061613</v>
      </c>
      <c r="F2874" s="1">
        <f>43.6754488678461*(38.9/42.5)</f>
        <v>39.975881434334447</v>
      </c>
      <c r="G2874" s="1">
        <v>1.570765908524153</v>
      </c>
      <c r="H2874" s="1">
        <v>5.680665651846236</v>
      </c>
      <c r="I2874" s="1">
        <v>31.696688916017422</v>
      </c>
      <c r="J2874" s="1">
        <v>4.4240275686752331E-2</v>
      </c>
      <c r="K2874" s="1">
        <v>2.7855183976361579</v>
      </c>
      <c r="L2874" s="1">
        <v>4.4376134215720757</v>
      </c>
      <c r="M2874" s="1">
        <v>0.17778658463902339</v>
      </c>
      <c r="N2874" s="1">
        <v>2.2458286811207082</v>
      </c>
      <c r="O2874" s="1">
        <v>0.1527729353233831</v>
      </c>
      <c r="P2874" s="1">
        <v>0.11509930881805051</v>
      </c>
      <c r="Q2874" s="1">
        <v>2.5103564748102927</v>
      </c>
      <c r="R2874" s="2">
        <f t="shared" si="179"/>
        <v>128.82446898353584</v>
      </c>
      <c r="S2874" s="2">
        <f t="shared" si="178"/>
        <v>2.9448579821409608</v>
      </c>
      <c r="T2874" s="2">
        <f t="shared" si="180"/>
        <v>7.0140016226551909</v>
      </c>
      <c r="U2874" s="2">
        <f t="shared" si="181"/>
        <v>138.78332858833201</v>
      </c>
    </row>
    <row r="2875" spans="1:21" x14ac:dyDescent="0.25">
      <c r="A2875">
        <v>4404537</v>
      </c>
      <c r="B2875">
        <v>67</v>
      </c>
      <c r="C2875" s="1">
        <f>5.44243164257042*(10.3/7.3)</f>
        <v>7.679047386092507</v>
      </c>
      <c r="D2875" s="1">
        <f>6.87325820803042*(10.3/7.3)</f>
        <v>9.6978848688648398</v>
      </c>
      <c r="E2875" s="1">
        <f>24.3237382656439*(10.3/7.3)</f>
        <v>34.319795087141337</v>
      </c>
      <c r="F2875" s="1">
        <f>47.0603874873893*(38.9/42.5)</f>
        <v>43.074095841398687</v>
      </c>
      <c r="G2875" s="1">
        <v>1.6600769363144512</v>
      </c>
      <c r="H2875" s="1">
        <v>4.5917702950915293</v>
      </c>
      <c r="I2875" s="1">
        <v>34.677109856552299</v>
      </c>
      <c r="J2875" s="1">
        <v>4.6164283599353748E-2</v>
      </c>
      <c r="K2875" s="1">
        <v>2.8587863357558616</v>
      </c>
      <c r="L2875" s="1">
        <v>4.5866998169745132</v>
      </c>
      <c r="M2875" s="1">
        <v>0.18193729130070174</v>
      </c>
      <c r="N2875" s="1">
        <v>3.5163965077975878</v>
      </c>
      <c r="O2875" s="1">
        <v>0.15463243781094524</v>
      </c>
      <c r="P2875" s="1">
        <v>0.11529027328367357</v>
      </c>
      <c r="Q2875" s="1">
        <v>2.6530909941098568</v>
      </c>
      <c r="R2875" s="2">
        <f t="shared" si="179"/>
        <v>138.35287126556551</v>
      </c>
      <c r="S2875" s="2">
        <f t="shared" si="178"/>
        <v>3.0202408926388888</v>
      </c>
      <c r="T2875" s="2">
        <f t="shared" si="180"/>
        <v>8.439666053883748</v>
      </c>
      <c r="U2875" s="2">
        <f t="shared" si="181"/>
        <v>149.81277821208815</v>
      </c>
    </row>
    <row r="2876" spans="1:21" x14ac:dyDescent="0.25">
      <c r="A2876">
        <v>4404545</v>
      </c>
      <c r="B2876">
        <v>66</v>
      </c>
      <c r="C2876" s="1">
        <f>7.65204253877371*(10.3/7.3)</f>
        <v>10.796717554708115</v>
      </c>
      <c r="D2876" s="1">
        <f>9.03722124178363*(10.3/7.3)</f>
        <v>12.751147779502931</v>
      </c>
      <c r="E2876" s="1">
        <f>32.0818022596669*(10.3/7.3)</f>
        <v>45.266104558160109</v>
      </c>
      <c r="F2876" s="1">
        <f>62.0209101121565*(38.9/42.5)</f>
        <v>56.767374196773872</v>
      </c>
      <c r="G2876" s="1">
        <v>2.1493615212235144</v>
      </c>
      <c r="H2876" s="1">
        <v>5.2837404924808906</v>
      </c>
      <c r="I2876" s="1">
        <v>46.816544807338161</v>
      </c>
      <c r="J2876" s="1">
        <v>5.5818188188819312E-2</v>
      </c>
      <c r="K2876" s="1">
        <v>3.2693165707213825</v>
      </c>
      <c r="L2876" s="1">
        <v>5.5019822427296345</v>
      </c>
      <c r="M2876" s="1">
        <v>0.20755049286066088</v>
      </c>
      <c r="N2876" s="1">
        <v>2.7672332517127791</v>
      </c>
      <c r="O2876" s="1">
        <v>0.17504888888888895</v>
      </c>
      <c r="P2876" s="1">
        <v>0.12597870548737183</v>
      </c>
      <c r="Q2876" s="1">
        <v>3.4350526594896387</v>
      </c>
      <c r="R2876" s="2">
        <f t="shared" si="179"/>
        <v>183.26604356967724</v>
      </c>
      <c r="S2876" s="2">
        <f t="shared" si="178"/>
        <v>3.4511134643975736</v>
      </c>
      <c r="T2876" s="2">
        <f t="shared" si="180"/>
        <v>8.6518148761919633</v>
      </c>
      <c r="U2876" s="2">
        <f t="shared" si="181"/>
        <v>195.36897191026677</v>
      </c>
    </row>
    <row r="2877" spans="1:21" x14ac:dyDescent="0.25">
      <c r="A2877">
        <v>4404553</v>
      </c>
      <c r="B2877">
        <v>65</v>
      </c>
      <c r="C2877" s="1">
        <f>6.12256003625922*(10.3/7.3)</f>
        <v>8.6386805991054718</v>
      </c>
      <c r="D2877" s="1">
        <f>7.69774952019342*(10.3/7.3)</f>
        <v>10.861208227122223</v>
      </c>
      <c r="E2877" s="1">
        <f>27.2226304133532*(10.3/7.3)</f>
        <v>38.410012775005249</v>
      </c>
      <c r="F2877" s="1">
        <f>53.8959726357696*(38.9/42.5)</f>
        <v>49.330666718386794</v>
      </c>
      <c r="G2877" s="1">
        <v>1.9590240473851739</v>
      </c>
      <c r="H2877" s="1">
        <v>4.8807984730085847</v>
      </c>
      <c r="I2877" s="1">
        <v>39.971285945778035</v>
      </c>
      <c r="J2877" s="1">
        <v>5.1949739439797894E-2</v>
      </c>
      <c r="K2877" s="1">
        <v>3.1023425175492738</v>
      </c>
      <c r="L2877" s="1">
        <v>5.1469906343688043</v>
      </c>
      <c r="M2877" s="1">
        <v>0.19282782132872747</v>
      </c>
      <c r="N2877" s="1">
        <v>2.4669593718683451</v>
      </c>
      <c r="O2877" s="1">
        <v>0.16275774358974354</v>
      </c>
      <c r="P2877" s="1">
        <v>0.11936215822052686</v>
      </c>
      <c r="Q2877" s="1">
        <v>3.1308603497023362</v>
      </c>
      <c r="R2877" s="2">
        <f t="shared" si="179"/>
        <v>157.18253713549387</v>
      </c>
      <c r="S2877" s="2">
        <f t="shared" si="178"/>
        <v>3.2736544152095983</v>
      </c>
      <c r="T2877" s="2">
        <f t="shared" si="180"/>
        <v>7.9695355711556202</v>
      </c>
      <c r="U2877" s="2">
        <f t="shared" si="181"/>
        <v>168.4257271218591</v>
      </c>
    </row>
    <row r="2878" spans="1:21" x14ac:dyDescent="0.25">
      <c r="A2878">
        <v>4404561</v>
      </c>
      <c r="B2878">
        <v>60</v>
      </c>
      <c r="C2878" s="1">
        <f>4.06495954162614*(10.3/7.3)</f>
        <v>5.735490860102634</v>
      </c>
      <c r="D2878" s="1">
        <f>5.1288723705781*(10.3/7.3)</f>
        <v>7.236628139308829</v>
      </c>
      <c r="E2878" s="1">
        <f>18.1369120678996*(10.3/7.3)</f>
        <v>25.590437575255667</v>
      </c>
      <c r="F2878" s="1">
        <f>35.8154040109137*(38.9/42.5)</f>
        <v>32.781628612342217</v>
      </c>
      <c r="G2878" s="1">
        <v>1.2984654940082798</v>
      </c>
      <c r="H2878" s="1">
        <v>3.6961142988069957</v>
      </c>
      <c r="I2878" s="1">
        <v>26.51517395386275</v>
      </c>
      <c r="J2878" s="1">
        <v>3.8961096898779073E-2</v>
      </c>
      <c r="K2878" s="1">
        <v>2.5229348763322008</v>
      </c>
      <c r="L2878" s="1">
        <v>3.877416686437233</v>
      </c>
      <c r="M2878" s="1">
        <v>0.15286658502521863</v>
      </c>
      <c r="N2878" s="1">
        <v>1.887342279997726</v>
      </c>
      <c r="O2878" s="1">
        <v>0.13081599999999999</v>
      </c>
      <c r="P2878" s="1">
        <v>0.10135466511946291</v>
      </c>
      <c r="Q2878" s="1">
        <v>2.0751731639401751</v>
      </c>
      <c r="R2878" s="2">
        <f t="shared" si="179"/>
        <v>104.92911209762755</v>
      </c>
      <c r="S2878" s="2">
        <f t="shared" si="178"/>
        <v>2.6632506383504428</v>
      </c>
      <c r="T2878" s="2">
        <f t="shared" si="180"/>
        <v>6.0484415514601775</v>
      </c>
      <c r="U2878" s="2">
        <f t="shared" si="181"/>
        <v>113.64080428743817</v>
      </c>
    </row>
    <row r="2879" spans="1:21" x14ac:dyDescent="0.25">
      <c r="A2879">
        <v>4404569</v>
      </c>
      <c r="B2879">
        <v>61</v>
      </c>
      <c r="C2879" s="1">
        <f>5.76843411985263*(10.3/7.3)</f>
        <v>8.1390234841756364</v>
      </c>
      <c r="D2879" s="1">
        <f>7.12553404033631*(10.3/7.3)</f>
        <v>10.053835700748499</v>
      </c>
      <c r="E2879" s="1">
        <f>25.1990959203284*(10.3/7.3)</f>
        <v>35.554888764298916</v>
      </c>
      <c r="F2879" s="1">
        <f>50.9024914518725*(38.9/42.5)</f>
        <v>46.59075099947858</v>
      </c>
      <c r="G2879" s="1">
        <v>1.8911524878828347</v>
      </c>
      <c r="H2879" s="1">
        <v>4.7194057004681529</v>
      </c>
      <c r="I2879" s="1">
        <v>38.136459243794008</v>
      </c>
      <c r="J2879" s="1">
        <v>4.8757193599132317E-2</v>
      </c>
      <c r="K2879" s="1">
        <v>2.9942075517125688</v>
      </c>
      <c r="L2879" s="1">
        <v>4.8592318709738223</v>
      </c>
      <c r="M2879" s="1">
        <v>0.18045413265416319</v>
      </c>
      <c r="N2879" s="1">
        <v>2.2223487784240934</v>
      </c>
      <c r="O2879" s="1">
        <v>0.15279300546448088</v>
      </c>
      <c r="P2879" s="1">
        <v>0.11316989765227181</v>
      </c>
      <c r="Q2879" s="1">
        <v>3.0223898208173199</v>
      </c>
      <c r="R2879" s="2">
        <f t="shared" si="179"/>
        <v>148.10790620166395</v>
      </c>
      <c r="S2879" s="2">
        <f t="shared" si="178"/>
        <v>3.1561346429639729</v>
      </c>
      <c r="T2879" s="2">
        <f t="shared" si="180"/>
        <v>7.4148277875165602</v>
      </c>
      <c r="U2879" s="2">
        <f t="shared" si="181"/>
        <v>158.67886863214449</v>
      </c>
    </row>
    <row r="2880" spans="1:21" x14ac:dyDescent="0.25">
      <c r="A2880">
        <v>4404577</v>
      </c>
      <c r="B2880">
        <v>60</v>
      </c>
      <c r="C2880" s="1">
        <f>8.8994321303119*(10.3/7.3)</f>
        <v>12.556733005782551</v>
      </c>
      <c r="D2880" s="1">
        <f>10.7582925544301*(10.3/7.3)</f>
        <v>15.179508672688987</v>
      </c>
      <c r="E2880" s="1">
        <f>38.0474722286831*(10.3/7.3)</f>
        <v>53.683419719922739</v>
      </c>
      <c r="F2880" s="1">
        <f>78.7035974726384*(38.9/42.5)</f>
        <v>72.036939804367833</v>
      </c>
      <c r="G2880" s="1">
        <v>2.9967834683022621</v>
      </c>
      <c r="H2880" s="1">
        <v>6.252490716742849</v>
      </c>
      <c r="I2880" s="1">
        <v>59.667277795026166</v>
      </c>
      <c r="J2880" s="1">
        <v>6.5867110483175492E-2</v>
      </c>
      <c r="K2880" s="1">
        <v>3.7993168009191138</v>
      </c>
      <c r="L2880" s="1">
        <v>6.5932477141673278</v>
      </c>
      <c r="M2880" s="1">
        <v>0.22571587669757659</v>
      </c>
      <c r="N2880" s="1">
        <v>2.7739439556637384</v>
      </c>
      <c r="O2880" s="1">
        <v>0.18915022222222216</v>
      </c>
      <c r="P2880" s="1">
        <v>0.13356078186409595</v>
      </c>
      <c r="Q2880" s="1">
        <v>4.7893799721725694</v>
      </c>
      <c r="R2880" s="2">
        <f t="shared" si="179"/>
        <v>227.16253315500595</v>
      </c>
      <c r="S2880" s="2">
        <f t="shared" si="178"/>
        <v>3.998744693266385</v>
      </c>
      <c r="T2880" s="2">
        <f t="shared" si="180"/>
        <v>9.7820577687508656</v>
      </c>
      <c r="U2880" s="2">
        <f t="shared" si="181"/>
        <v>240.94333561702319</v>
      </c>
    </row>
    <row r="2881" spans="1:21" x14ac:dyDescent="0.25">
      <c r="A2881">
        <v>4404585</v>
      </c>
      <c r="B2881">
        <v>57</v>
      </c>
      <c r="C2881" s="1">
        <f>9.25113078325917*(10.3/7.3)</f>
        <v>13.05296535172184</v>
      </c>
      <c r="D2881" s="1">
        <f>11.0491503712167*(10.3/7.3)</f>
        <v>15.589897099114001</v>
      </c>
      <c r="E2881" s="1">
        <f>39.0706637457701*(10.3/7.3)</f>
        <v>55.127100901566081</v>
      </c>
      <c r="F2881" s="1">
        <f>82.2134645641019*(38.9/42.5)</f>
        <v>75.249500506907381</v>
      </c>
      <c r="G2881" s="1">
        <v>3.1863585701855741</v>
      </c>
      <c r="H2881" s="1">
        <v>6.5931197168629776</v>
      </c>
      <c r="I2881" s="1">
        <v>62.772300034776393</v>
      </c>
      <c r="J2881" s="1">
        <v>6.9291517355375989E-2</v>
      </c>
      <c r="K2881" s="1">
        <v>3.9061156870088682</v>
      </c>
      <c r="L2881" s="1">
        <v>6.7680078755013398</v>
      </c>
      <c r="M2881" s="1">
        <v>0.22573291716373331</v>
      </c>
      <c r="N2881" s="1">
        <v>2.810525360547262</v>
      </c>
      <c r="O2881" s="1">
        <v>0.18886362573099416</v>
      </c>
      <c r="P2881" s="1">
        <v>0.13432387171608773</v>
      </c>
      <c r="Q2881" s="1">
        <v>5.0923538792920198</v>
      </c>
      <c r="R2881" s="2">
        <f t="shared" si="179"/>
        <v>236.6635960604263</v>
      </c>
      <c r="S2881" s="2">
        <f t="shared" si="178"/>
        <v>4.1097310760803323</v>
      </c>
      <c r="T2881" s="2">
        <f t="shared" si="180"/>
        <v>9.9931297789433291</v>
      </c>
      <c r="U2881" s="2">
        <f t="shared" si="181"/>
        <v>250.76645691544996</v>
      </c>
    </row>
    <row r="2882" spans="1:21" x14ac:dyDescent="0.25">
      <c r="A2882">
        <v>4404593</v>
      </c>
      <c r="B2882">
        <v>17</v>
      </c>
      <c r="C2882" s="1">
        <f>9.64170748453923*(10.3/7.3)</f>
        <v>13.604053026130698</v>
      </c>
      <c r="D2882" s="1">
        <f>11.3986270564411*(10.3/7.3)</f>
        <v>16.082994339910055</v>
      </c>
      <c r="E2882" s="1">
        <f>40.2943472694047*(10.3/7.3)</f>
        <v>56.853668065050456</v>
      </c>
      <c r="F2882" s="1">
        <f>86.3859083201664*(38.9/42.5)</f>
        <v>79.068513733046402</v>
      </c>
      <c r="G2882" s="1">
        <v>3.4132414185810984</v>
      </c>
      <c r="H2882" s="1">
        <v>7.1588050526103029</v>
      </c>
      <c r="I2882" s="1">
        <v>66.392252691503245</v>
      </c>
      <c r="J2882" s="1">
        <v>8.4656407760484706E-2</v>
      </c>
      <c r="K2882" s="1">
        <v>3.8549360320600528</v>
      </c>
      <c r="L2882" s="1">
        <v>6.5408368306415499</v>
      </c>
      <c r="M2882" s="1">
        <v>0.21399809194606714</v>
      </c>
      <c r="N2882" s="1">
        <v>2.7294201070887416</v>
      </c>
      <c r="O2882" s="1">
        <v>0.18095372549019603</v>
      </c>
      <c r="P2882" s="1">
        <v>0.12895421880886646</v>
      </c>
      <c r="Q2882" s="1">
        <v>5.4549520388282442</v>
      </c>
      <c r="R2882" s="2">
        <f t="shared" si="179"/>
        <v>248.0284803656605</v>
      </c>
      <c r="S2882" s="2">
        <f t="shared" si="178"/>
        <v>4.0685466586294039</v>
      </c>
      <c r="T2882" s="2">
        <f t="shared" si="180"/>
        <v>9.6652087551665549</v>
      </c>
      <c r="U2882" s="2">
        <f t="shared" si="181"/>
        <v>261.76223577945643</v>
      </c>
    </row>
    <row r="2883" spans="1:21" x14ac:dyDescent="0.25">
      <c r="A2883">
        <v>4404601</v>
      </c>
      <c r="B2883">
        <v>5</v>
      </c>
      <c r="C2883" s="1">
        <f>4.74015045064751*(10.3/7.3)</f>
        <v>6.6881574851601888</v>
      </c>
      <c r="D2883" s="1">
        <f>5.76620035829776*(10.3/7.3)</f>
        <v>8.1358717384201249</v>
      </c>
      <c r="E2883" s="1">
        <f>20.3018296435118*(10.3/7.3)</f>
        <v>28.645047305229042</v>
      </c>
      <c r="F2883" s="1">
        <f>46.2829309512106*(38.9/42.5)</f>
        <v>42.362494447108084</v>
      </c>
      <c r="G2883" s="1">
        <v>1.9613515222600999</v>
      </c>
      <c r="H2883" s="1">
        <v>6.1699691705986277</v>
      </c>
      <c r="I2883" s="1">
        <v>35.615062477559242</v>
      </c>
      <c r="J2883" s="1">
        <v>4.5483749714375146E-2</v>
      </c>
      <c r="K2883" s="1">
        <v>2.7058549271312589</v>
      </c>
      <c r="L2883" s="1">
        <v>4.5691574494076637</v>
      </c>
      <c r="M2883" s="1">
        <v>0.13765538332738964</v>
      </c>
      <c r="N2883" s="1">
        <v>2.6265050998154904</v>
      </c>
      <c r="O2883" s="1">
        <v>0.11435733333333334</v>
      </c>
      <c r="P2883" s="1">
        <v>9.0067107353519388E-2</v>
      </c>
      <c r="Q2883" s="1">
        <v>3.1345800584065553</v>
      </c>
      <c r="R2883" s="2">
        <f t="shared" si="179"/>
        <v>132.71253420474196</v>
      </c>
      <c r="S2883" s="2">
        <f t="shared" si="178"/>
        <v>2.8414057841991531</v>
      </c>
      <c r="T2883" s="2">
        <f t="shared" si="180"/>
        <v>7.4476752658838778</v>
      </c>
      <c r="U2883" s="2">
        <f t="shared" si="181"/>
        <v>143.00161525482497</v>
      </c>
    </row>
    <row r="2884" spans="1:21" x14ac:dyDescent="0.25">
      <c r="A2884">
        <v>4404609</v>
      </c>
      <c r="B2884">
        <v>3</v>
      </c>
      <c r="C2884" s="1">
        <f>4.30553443110775*(10.3/7.3)</f>
        <v>6.0749321425219005</v>
      </c>
      <c r="D2884" s="1">
        <f>5.49930598016934*(10.3/7.3)</f>
        <v>7.7592947391430407</v>
      </c>
      <c r="E2884" s="1">
        <f>19.1951144435857*(10.3/7.3)</f>
        <v>27.083517639579771</v>
      </c>
      <c r="F2884" s="1">
        <f>50.0709976252118*(38.9/42.5)</f>
        <v>45.829689591076196</v>
      </c>
      <c r="G2884" s="1">
        <v>2.4001878311246414</v>
      </c>
      <c r="H2884" s="1">
        <v>7.7091023772451281</v>
      </c>
      <c r="I2884" s="1">
        <v>38.845606553455013</v>
      </c>
      <c r="J2884" s="1">
        <v>3.9125167444058175E-2</v>
      </c>
      <c r="K2884" s="1">
        <v>2.5808699654845744</v>
      </c>
      <c r="L2884" s="1">
        <v>4.820894652695884</v>
      </c>
      <c r="M2884" s="1">
        <v>0.13680160108035558</v>
      </c>
      <c r="N2884" s="1">
        <v>1.7358051958786327</v>
      </c>
      <c r="O2884" s="1">
        <v>0.11461333333333333</v>
      </c>
      <c r="P2884" s="1">
        <v>9.1393355369841264E-2</v>
      </c>
      <c r="Q2884" s="1">
        <v>3.8359166250850465</v>
      </c>
      <c r="R2884" s="2">
        <f t="shared" si="179"/>
        <v>139.53824749923075</v>
      </c>
      <c r="S2884" s="2">
        <f t="shared" si="178"/>
        <v>2.7113884882984736</v>
      </c>
      <c r="T2884" s="2">
        <f t="shared" si="180"/>
        <v>6.8081147829882056</v>
      </c>
      <c r="U2884" s="2">
        <f t="shared" si="181"/>
        <v>149.05775077051743</v>
      </c>
    </row>
    <row r="2885" spans="1:21" x14ac:dyDescent="0.25">
      <c r="A2885">
        <v>441305</v>
      </c>
      <c r="B2885">
        <v>25</v>
      </c>
      <c r="C2885" s="1">
        <f>1.10640684417073*(10.3/7.3)</f>
        <v>1.5610945883504843</v>
      </c>
      <c r="D2885" s="1">
        <f>1.655317709582*(10.3/7.3)</f>
        <v>2.3355852614650181</v>
      </c>
      <c r="E2885" s="1">
        <f>5.71791720873653*(10.3/7.3)</f>
        <v>8.0677461986282548</v>
      </c>
      <c r="F2885" s="1">
        <f>16.0675666984826*(38.9/42.5)</f>
        <v>14.706549284022902</v>
      </c>
      <c r="G2885" s="1">
        <v>0.82556590256111728</v>
      </c>
      <c r="H2885" s="1">
        <v>5.0187432155966905</v>
      </c>
      <c r="I2885" s="1">
        <v>12.174489980897665</v>
      </c>
      <c r="J2885" s="1">
        <v>2.5195125541460944E-2</v>
      </c>
      <c r="K2885" s="1">
        <v>3.294144829486271</v>
      </c>
      <c r="L2885" s="1">
        <v>1.3071477941415919</v>
      </c>
      <c r="M2885" s="1">
        <v>7.1107875728847275E-2</v>
      </c>
      <c r="N2885" s="1">
        <v>0.85157438388779783</v>
      </c>
      <c r="O2885" s="1">
        <v>6.974933333333333E-2</v>
      </c>
      <c r="P2885" s="1">
        <v>5.9970030280964863E-2</v>
      </c>
      <c r="Q2885" s="1">
        <v>1.3193975611707367</v>
      </c>
      <c r="R2885" s="2">
        <f t="shared" si="179"/>
        <v>46.009171992692877</v>
      </c>
      <c r="S2885" s="2">
        <f t="shared" si="178"/>
        <v>3.3793099853086965</v>
      </c>
      <c r="T2885" s="2">
        <f t="shared" si="180"/>
        <v>2.2995793870915699</v>
      </c>
      <c r="U2885" s="2">
        <f t="shared" si="181"/>
        <v>51.688061365093141</v>
      </c>
    </row>
    <row r="2886" spans="1:21" x14ac:dyDescent="0.25">
      <c r="A2886">
        <v>441361</v>
      </c>
      <c r="B2886">
        <v>60</v>
      </c>
      <c r="C2886" s="1">
        <f>1.24054621413108*(10.3/7.3)</f>
        <v>1.750359726787686</v>
      </c>
      <c r="D2886" s="1">
        <f>2.13955713778181*(10.3/7.3)</f>
        <v>3.0188271944044742</v>
      </c>
      <c r="E2886" s="1">
        <f>7.31209532609079*(10.3/7.3)</f>
        <v>10.317066008045908</v>
      </c>
      <c r="F2886" s="1">
        <f>22.6665513343593*(38.9/42.5)</f>
        <v>20.746561103684179</v>
      </c>
      <c r="G2886" s="1">
        <v>1.2477614813695463</v>
      </c>
      <c r="H2886" s="1">
        <v>5.0451904193948769</v>
      </c>
      <c r="I2886" s="1">
        <v>17.032612395212276</v>
      </c>
      <c r="J2886" s="1">
        <v>2.5151873151162366E-2</v>
      </c>
      <c r="K2886" s="1">
        <v>2.892960247895449</v>
      </c>
      <c r="L2886" s="1">
        <v>1.3602754730372688</v>
      </c>
      <c r="M2886" s="1">
        <v>7.3173727177885409E-2</v>
      </c>
      <c r="N2886" s="1">
        <v>0.83689270294275586</v>
      </c>
      <c r="O2886" s="1">
        <v>7.2397333333333341E-2</v>
      </c>
      <c r="P2886" s="1">
        <v>6.2290147495614685E-2</v>
      </c>
      <c r="Q2886" s="1">
        <v>1.9941393537869476</v>
      </c>
      <c r="R2886" s="2">
        <f t="shared" si="179"/>
        <v>61.15251768268589</v>
      </c>
      <c r="S2886" s="2">
        <f t="shared" si="178"/>
        <v>2.980402268542226</v>
      </c>
      <c r="T2886" s="2">
        <f t="shared" si="180"/>
        <v>2.3427392364912434</v>
      </c>
      <c r="U2886" s="2">
        <f t="shared" si="181"/>
        <v>66.475659187719359</v>
      </c>
    </row>
    <row r="2887" spans="1:21" x14ac:dyDescent="0.25">
      <c r="A2887">
        <v>4416125</v>
      </c>
      <c r="B2887">
        <v>32</v>
      </c>
      <c r="C2887" s="1">
        <f>0.534435414285936*(10.3/7.3)</f>
        <v>0.75406640645823864</v>
      </c>
      <c r="D2887" s="1">
        <f>0.706046476713342*(10.3/7.3)</f>
        <v>0.99620256303389354</v>
      </c>
      <c r="E2887" s="1">
        <f>2.46870920696785*(10.3/7.3)</f>
        <v>3.4832472372286074</v>
      </c>
      <c r="F2887" s="1">
        <f>6.03639653857351*(38.9/42.5)</f>
        <v>5.5250782435414001</v>
      </c>
      <c r="G2887" s="1">
        <v>0.27614029560786224</v>
      </c>
      <c r="H2887" s="1">
        <v>1.2406154324034488</v>
      </c>
      <c r="I2887" s="1">
        <v>4.593023923275485</v>
      </c>
      <c r="J2887" s="1">
        <v>3.5695156006895053E-2</v>
      </c>
      <c r="K2887" s="1">
        <v>2.8740447495643844</v>
      </c>
      <c r="L2887" s="1">
        <v>2.227639368916118</v>
      </c>
      <c r="M2887" s="1">
        <v>0.2263533472021951</v>
      </c>
      <c r="N2887" s="1">
        <v>1.1269019042993806</v>
      </c>
      <c r="O2887" s="1">
        <v>0.7319500000000001</v>
      </c>
      <c r="P2887" s="1">
        <v>0.27618301247623273</v>
      </c>
      <c r="Q2887" s="1">
        <v>0.44132010713585323</v>
      </c>
      <c r="R2887" s="2">
        <f t="shared" si="179"/>
        <v>17.309694208684789</v>
      </c>
      <c r="S2887" s="2">
        <f t="shared" si="178"/>
        <v>3.1859229180475119</v>
      </c>
      <c r="T2887" s="2">
        <f t="shared" si="180"/>
        <v>4.3128446204176942</v>
      </c>
      <c r="U2887" s="2">
        <f t="shared" si="181"/>
        <v>24.808461747149998</v>
      </c>
    </row>
    <row r="2888" spans="1:21" x14ac:dyDescent="0.25">
      <c r="A2888">
        <v>4416133</v>
      </c>
      <c r="B2888">
        <v>60</v>
      </c>
      <c r="C2888" s="1">
        <f>1.06052495567099*(10.3/7.3)</f>
        <v>1.4963571292344147</v>
      </c>
      <c r="D2888" s="1">
        <f>1.43793685195103*(10.3/7.3)</f>
        <v>2.0288698048076239</v>
      </c>
      <c r="E2888" s="1">
        <f>5.00474150334654*(10.3/7.3)</f>
        <v>7.0614845869136111</v>
      </c>
      <c r="F2888" s="1">
        <f>13.1297381740794*(38.9/42.5)</f>
        <v>12.017572116980926</v>
      </c>
      <c r="G2888" s="1">
        <v>0.63682408707255422</v>
      </c>
      <c r="H2888" s="1">
        <v>2.3775890654178271</v>
      </c>
      <c r="I2888" s="1">
        <v>10.047307653175384</v>
      </c>
      <c r="J2888" s="1">
        <v>7.8218086539561513E-2</v>
      </c>
      <c r="K2888" s="1">
        <v>4.5536019228832947</v>
      </c>
      <c r="L2888" s="1">
        <v>4.1305777023405392</v>
      </c>
      <c r="M2888" s="1">
        <v>0.40286982693962897</v>
      </c>
      <c r="N2888" s="1">
        <v>2.0563696850910409</v>
      </c>
      <c r="O2888" s="1">
        <v>1.4947199999999998</v>
      </c>
      <c r="P2888" s="1">
        <v>0.40148169529951244</v>
      </c>
      <c r="Q2888" s="1">
        <v>1.0177553902986043</v>
      </c>
      <c r="R2888" s="2">
        <f t="shared" si="179"/>
        <v>36.683759833900943</v>
      </c>
      <c r="S2888" s="2">
        <f t="shared" si="178"/>
        <v>5.0333017047223692</v>
      </c>
      <c r="T2888" s="2">
        <f t="shared" si="180"/>
        <v>8.084537214371208</v>
      </c>
      <c r="U2888" s="2">
        <f t="shared" si="181"/>
        <v>49.801598752994522</v>
      </c>
    </row>
    <row r="2889" spans="1:21" x14ac:dyDescent="0.25">
      <c r="A2889">
        <v>4416141</v>
      </c>
      <c r="B2889">
        <v>2</v>
      </c>
      <c r="C2889" s="1">
        <f>0.853738487796436*(10.3/7.3)</f>
        <v>1.2045899211374371</v>
      </c>
      <c r="D2889" s="1">
        <f>1.15820050059224*(10.3/7.3)</f>
        <v>1.6341733090548054</v>
      </c>
      <c r="E2889" s="1">
        <f>4.02775102054065*(10.3/7.3)</f>
        <v>5.6829911659683079</v>
      </c>
      <c r="F2889" s="1">
        <f>10.733967727216*(38.9/42.5)</f>
        <v>9.8247375197342066</v>
      </c>
      <c r="G2889" s="1">
        <v>0.52660357063744923</v>
      </c>
      <c r="H2889" s="1">
        <v>1.9539803280363794</v>
      </c>
      <c r="I2889" s="1">
        <v>8.2347149365744663</v>
      </c>
      <c r="J2889" s="1">
        <v>8.9353384719504436E-2</v>
      </c>
      <c r="K2889" s="1">
        <v>3.5567929164868</v>
      </c>
      <c r="L2889" s="1">
        <v>3.1399574147521987</v>
      </c>
      <c r="M2889" s="1">
        <v>0.31253698589250012</v>
      </c>
      <c r="N2889" s="1">
        <v>2.2407388101542711</v>
      </c>
      <c r="O2889" s="1">
        <v>1.0861333333333332</v>
      </c>
      <c r="P2889" s="1">
        <v>0.31680661559452838</v>
      </c>
      <c r="Q2889" s="1">
        <v>0.84160388001418907</v>
      </c>
      <c r="R2889" s="2">
        <f t="shared" si="179"/>
        <v>29.903394631157241</v>
      </c>
      <c r="S2889" s="2">
        <f t="shared" ref="S2889:S2952" si="182">J2889+K2889+P2889</f>
        <v>3.9629529168008326</v>
      </c>
      <c r="T2889" s="2">
        <f t="shared" si="180"/>
        <v>6.7793665441323032</v>
      </c>
      <c r="U2889" s="2">
        <f t="shared" si="181"/>
        <v>40.645714092090373</v>
      </c>
    </row>
    <row r="2890" spans="1:21" x14ac:dyDescent="0.25">
      <c r="A2890">
        <v>4416669</v>
      </c>
      <c r="B2890">
        <v>33</v>
      </c>
      <c r="C2890" s="1">
        <f>11.4986844612471*(10.3/7.3)</f>
        <v>16.224171226143138</v>
      </c>
      <c r="D2890" s="1">
        <f>17.6445415904312*(10.3/7.3)</f>
        <v>24.895723065950907</v>
      </c>
      <c r="E2890" s="1">
        <f>62.1194817732255*(10.3/7.3)</f>
        <v>87.648035926605814</v>
      </c>
      <c r="F2890" s="1">
        <f>111.56820549602*(38.9/42.5)</f>
        <v>102.117722206945</v>
      </c>
      <c r="G2890" s="1">
        <v>3.6952702831282269</v>
      </c>
      <c r="H2890" s="1">
        <v>8.2932779703396022</v>
      </c>
      <c r="I2890" s="1">
        <v>75.238055180087656</v>
      </c>
      <c r="J2890" s="1">
        <v>8.2988064755948748E-2</v>
      </c>
      <c r="K2890" s="1">
        <v>3.7432342405951826</v>
      </c>
      <c r="L2890" s="1">
        <v>6.5246944577401944</v>
      </c>
      <c r="M2890" s="1">
        <v>0.28580301006216069</v>
      </c>
      <c r="N2890" s="1">
        <v>3.2785891679298036</v>
      </c>
      <c r="O2890" s="1">
        <v>0.23808646464646466</v>
      </c>
      <c r="P2890" s="1">
        <v>0.1598414859364311</v>
      </c>
      <c r="Q2890" s="1">
        <v>5.9056831008898669</v>
      </c>
      <c r="R2890" s="2">
        <f t="shared" ref="R2890:R2953" si="183">C2890+D2890+E2890+F2890+G2890+H2890+I2890+Q2890</f>
        <v>324.01793896009019</v>
      </c>
      <c r="S2890" s="2">
        <f t="shared" si="182"/>
        <v>3.9860637912875627</v>
      </c>
      <c r="T2890" s="2">
        <f t="shared" ref="T2890:T2953" si="184">L2890+M2890+N2890+O2890</f>
        <v>10.327173100378623</v>
      </c>
      <c r="U2890" s="2">
        <f t="shared" ref="U2890:U2953" si="185">R2890+S2890+T2890</f>
        <v>338.33117585175637</v>
      </c>
    </row>
    <row r="2891" spans="1:21" x14ac:dyDescent="0.25">
      <c r="A2891">
        <v>4416677</v>
      </c>
      <c r="B2891">
        <v>61</v>
      </c>
      <c r="C2891" s="1">
        <f>11.7482371309927*(10.3/7.3)</f>
        <v>16.576279787564982</v>
      </c>
      <c r="D2891" s="1">
        <f>18.112923282996*(10.3/7.3)</f>
        <v>25.556590385597069</v>
      </c>
      <c r="E2891" s="1">
        <f>63.7708168914187*(10.3/7.3)</f>
        <v>89.97800191528934</v>
      </c>
      <c r="F2891" s="1">
        <f>113.855668018138*(38.9/42.5)</f>
        <v>104.21142319777805</v>
      </c>
      <c r="G2891" s="1">
        <v>3.7405478954320119</v>
      </c>
      <c r="H2891" s="1">
        <v>6.8701568812107725</v>
      </c>
      <c r="I2891" s="1">
        <v>76.504267494765074</v>
      </c>
      <c r="J2891" s="1">
        <v>8.639413268278992E-2</v>
      </c>
      <c r="K2891" s="1">
        <v>4.0357401649703633</v>
      </c>
      <c r="L2891" s="1">
        <v>7.2999543898648529</v>
      </c>
      <c r="M2891" s="1">
        <v>0.3061676320149998</v>
      </c>
      <c r="N2891" s="1">
        <v>3.6086819611570213</v>
      </c>
      <c r="O2891" s="1">
        <v>0.25289005464480874</v>
      </c>
      <c r="P2891" s="1">
        <v>0.16783515809252414</v>
      </c>
      <c r="Q2891" s="1">
        <v>5.9780445817406651</v>
      </c>
      <c r="R2891" s="2">
        <f t="shared" si="183"/>
        <v>329.41531213937799</v>
      </c>
      <c r="S2891" s="2">
        <f t="shared" si="182"/>
        <v>4.2899694557456769</v>
      </c>
      <c r="T2891" s="2">
        <f t="shared" si="184"/>
        <v>11.467694037681682</v>
      </c>
      <c r="U2891" s="2">
        <f t="shared" si="185"/>
        <v>345.17297563280533</v>
      </c>
    </row>
    <row r="2892" spans="1:21" x14ac:dyDescent="0.25">
      <c r="A2892">
        <v>4416685</v>
      </c>
      <c r="B2892">
        <v>60</v>
      </c>
      <c r="C2892" s="1">
        <f>5.32429849083965*(10.3/7.3)</f>
        <v>7.5123663637874527</v>
      </c>
      <c r="D2892" s="1">
        <f>8.0905285419468*(10.3/7.3)</f>
        <v>11.415403285212614</v>
      </c>
      <c r="E2892" s="1">
        <f>28.4899280413917*(10.3/7.3)</f>
        <v>40.198117647443098</v>
      </c>
      <c r="F2892" s="1">
        <f>51.3702659998153*(38.9/42.5)</f>
        <v>47.018902291595694</v>
      </c>
      <c r="G2892" s="1">
        <v>1.7079208715173018</v>
      </c>
      <c r="H2892" s="1">
        <v>4.2782998879208103</v>
      </c>
      <c r="I2892" s="1">
        <v>34.805123798438892</v>
      </c>
      <c r="J2892" s="1">
        <v>4.5979780233593975E-2</v>
      </c>
      <c r="K2892" s="1">
        <v>2.7278698262592815</v>
      </c>
      <c r="L2892" s="1">
        <v>4.3977920855061976</v>
      </c>
      <c r="M2892" s="1">
        <v>0.19520005541404686</v>
      </c>
      <c r="N2892" s="1">
        <v>2.1531388353008838</v>
      </c>
      <c r="O2892" s="1">
        <v>0.16511199999999998</v>
      </c>
      <c r="P2892" s="1">
        <v>0.12478660702862905</v>
      </c>
      <c r="Q2892" s="1">
        <v>2.7295539042513979</v>
      </c>
      <c r="R2892" s="2">
        <f t="shared" si="183"/>
        <v>149.66568805016726</v>
      </c>
      <c r="S2892" s="2">
        <f t="shared" si="182"/>
        <v>2.8986362135215047</v>
      </c>
      <c r="T2892" s="2">
        <f t="shared" si="184"/>
        <v>6.9112429762211276</v>
      </c>
      <c r="U2892" s="2">
        <f t="shared" si="185"/>
        <v>159.47556723990991</v>
      </c>
    </row>
    <row r="2893" spans="1:21" x14ac:dyDescent="0.25">
      <c r="A2893">
        <v>4416693</v>
      </c>
      <c r="B2893">
        <v>50</v>
      </c>
      <c r="C2893" s="1">
        <f>9.91165092801933*(10.3/7.3)</f>
        <v>13.98493213131494</v>
      </c>
      <c r="D2893" s="1">
        <f>14.9579223777398*(10.3/7.3)</f>
        <v>21.105013765852089</v>
      </c>
      <c r="E2893" s="1">
        <f>52.6814989873186*(10.3/7.3)</f>
        <v>74.331430077997496</v>
      </c>
      <c r="F2893" s="1">
        <f>95.2328768921871*(38.9/42.5)</f>
        <v>87.166092026025382</v>
      </c>
      <c r="G2893" s="1">
        <v>3.1735912251484528</v>
      </c>
      <c r="H2893" s="1">
        <v>9.3410807210188853</v>
      </c>
      <c r="I2893" s="1">
        <v>64.731338546049798</v>
      </c>
      <c r="J2893" s="1">
        <v>6.7647700219829576E-2</v>
      </c>
      <c r="K2893" s="1">
        <v>3.7713568682330565</v>
      </c>
      <c r="L2893" s="1">
        <v>6.7468694434244538</v>
      </c>
      <c r="M2893" s="1">
        <v>0.28062171551704279</v>
      </c>
      <c r="N2893" s="1">
        <v>2.9891927450564206</v>
      </c>
      <c r="O2893" s="1">
        <v>0.23352319999999996</v>
      </c>
      <c r="P2893" s="1">
        <v>0.15827201190192303</v>
      </c>
      <c r="Q2893" s="1">
        <v>5.0719494465842878</v>
      </c>
      <c r="R2893" s="2">
        <f t="shared" si="183"/>
        <v>278.90542793999134</v>
      </c>
      <c r="S2893" s="2">
        <f t="shared" si="182"/>
        <v>3.9972765803548094</v>
      </c>
      <c r="T2893" s="2">
        <f t="shared" si="184"/>
        <v>10.250207103997917</v>
      </c>
      <c r="U2893" s="2">
        <f t="shared" si="185"/>
        <v>293.15291162434409</v>
      </c>
    </row>
    <row r="2894" spans="1:21" x14ac:dyDescent="0.25">
      <c r="A2894">
        <v>4416701</v>
      </c>
      <c r="B2894">
        <v>55</v>
      </c>
      <c r="C2894" s="1">
        <f>9.38759305201903*(10.3/7.3)</f>
        <v>13.245508004903567</v>
      </c>
      <c r="D2894" s="1">
        <f>13.9205596286863*(10.3/7.3)</f>
        <v>19.64133755828335</v>
      </c>
      <c r="E2894" s="1">
        <f>49.045079795543*(10.3/7.3)</f>
        <v>69.200592040286651</v>
      </c>
      <c r="F2894" s="1">
        <f>89.440594732515*(38.9/42.5)</f>
        <v>81.864450237525531</v>
      </c>
      <c r="G2894" s="1">
        <v>3.008257524270129</v>
      </c>
      <c r="H2894" s="1">
        <v>6.447551823041322</v>
      </c>
      <c r="I2894" s="1">
        <v>61.334668829765072</v>
      </c>
      <c r="J2894" s="1">
        <v>6.567677064918126E-2</v>
      </c>
      <c r="K2894" s="1">
        <v>3.7609632638474948</v>
      </c>
      <c r="L2894" s="1">
        <v>6.7142602315627116</v>
      </c>
      <c r="M2894" s="1">
        <v>0.27485514674633343</v>
      </c>
      <c r="N2894" s="1">
        <v>2.9713649812688554</v>
      </c>
      <c r="O2894" s="1">
        <v>0.22996654545454542</v>
      </c>
      <c r="P2894" s="1">
        <v>0.15685091402746079</v>
      </c>
      <c r="Q2894" s="1">
        <v>4.8077175045413076</v>
      </c>
      <c r="R2894" s="2">
        <f t="shared" si="183"/>
        <v>259.55008352261694</v>
      </c>
      <c r="S2894" s="2">
        <f t="shared" si="182"/>
        <v>3.9834909485241368</v>
      </c>
      <c r="T2894" s="2">
        <f t="shared" si="184"/>
        <v>10.190446905032445</v>
      </c>
      <c r="U2894" s="2">
        <f t="shared" si="185"/>
        <v>273.72402137617354</v>
      </c>
    </row>
    <row r="2895" spans="1:21" x14ac:dyDescent="0.25">
      <c r="A2895">
        <v>4416709</v>
      </c>
      <c r="B2895">
        <v>55</v>
      </c>
      <c r="C2895" s="1">
        <f>9.43937098689822*(10.3/7.3)</f>
        <v>13.318564543157764</v>
      </c>
      <c r="D2895" s="1">
        <f>13.7378626327322*(10.3/7.3)</f>
        <v>19.383559605087935</v>
      </c>
      <c r="E2895" s="1">
        <f>48.4215084481643*(10.3/7.3)</f>
        <v>68.320758495355065</v>
      </c>
      <c r="F2895" s="1">
        <f>89.0529223355984*(38.9/42.5)</f>
        <v>81.50961597305357</v>
      </c>
      <c r="G2895" s="1">
        <v>3.0202160331536128</v>
      </c>
      <c r="H2895" s="1">
        <v>6.4209234321799311</v>
      </c>
      <c r="I2895" s="1">
        <v>61.624310181595227</v>
      </c>
      <c r="J2895" s="1">
        <v>6.6674309277923685E-2</v>
      </c>
      <c r="K2895" s="1">
        <v>3.8557637730766876</v>
      </c>
      <c r="L2895" s="1">
        <v>6.9266357217093484</v>
      </c>
      <c r="M2895" s="1">
        <v>0.27777919829276237</v>
      </c>
      <c r="N2895" s="1">
        <v>3.0452521059850968</v>
      </c>
      <c r="O2895" s="1">
        <v>0.23169648484848493</v>
      </c>
      <c r="P2895" s="1">
        <v>0.15806489276187372</v>
      </c>
      <c r="Q2895" s="1">
        <v>4.8268292767295238</v>
      </c>
      <c r="R2895" s="2">
        <f t="shared" si="183"/>
        <v>258.42477754031262</v>
      </c>
      <c r="S2895" s="2">
        <f t="shared" si="182"/>
        <v>4.0805029751164845</v>
      </c>
      <c r="T2895" s="2">
        <f t="shared" si="184"/>
        <v>10.481363510835692</v>
      </c>
      <c r="U2895" s="2">
        <f t="shared" si="185"/>
        <v>272.9866440262648</v>
      </c>
    </row>
    <row r="2896" spans="1:21" x14ac:dyDescent="0.25">
      <c r="A2896">
        <v>4416717</v>
      </c>
      <c r="B2896">
        <v>55</v>
      </c>
      <c r="C2896" s="1">
        <f>6.55873635698883*(10.3/7.3)</f>
        <v>9.2541074626006719</v>
      </c>
      <c r="D2896" s="1">
        <f>9.38789928346431*(10.3/7.3)</f>
        <v>13.245940084887996</v>
      </c>
      <c r="E2896" s="1">
        <f>33.0990031622441*(10.3/7.3)</f>
        <v>46.701333228919751</v>
      </c>
      <c r="F2896" s="1">
        <f>61.4741454995857*(38.9/42.5)</f>
        <v>56.266923763150174</v>
      </c>
      <c r="G2896" s="1">
        <v>2.1071165767093487</v>
      </c>
      <c r="H2896" s="1">
        <v>5.2020027330707341</v>
      </c>
      <c r="I2896" s="1">
        <v>42.908439046344782</v>
      </c>
      <c r="J2896" s="1">
        <v>5.0807658893977425E-2</v>
      </c>
      <c r="K2896" s="1">
        <v>3.1703216633592692</v>
      </c>
      <c r="L2896" s="1">
        <v>5.2358483290617075</v>
      </c>
      <c r="M2896" s="1">
        <v>0.21953228618778403</v>
      </c>
      <c r="N2896" s="1">
        <v>2.5453089872509223</v>
      </c>
      <c r="O2896" s="1">
        <v>0.18856533333333322</v>
      </c>
      <c r="P2896" s="1">
        <v>0.13533906445373522</v>
      </c>
      <c r="Q2896" s="1">
        <v>3.3675379079829812</v>
      </c>
      <c r="R2896" s="2">
        <f t="shared" si="183"/>
        <v>179.05340080366642</v>
      </c>
      <c r="S2896" s="2">
        <f t="shared" si="182"/>
        <v>3.356468386706982</v>
      </c>
      <c r="T2896" s="2">
        <f t="shared" si="184"/>
        <v>8.1892549358337465</v>
      </c>
      <c r="U2896" s="2">
        <f t="shared" si="185"/>
        <v>190.59912412620716</v>
      </c>
    </row>
    <row r="2897" spans="1:21" x14ac:dyDescent="0.25">
      <c r="A2897">
        <v>4416725</v>
      </c>
      <c r="B2897">
        <v>55</v>
      </c>
      <c r="C2897" s="1">
        <f>4.5726796084075*(10.3/7.3)</f>
        <v>6.4518630091229152</v>
      </c>
      <c r="D2897" s="1">
        <f>6.4468290833907*(10.3/7.3)</f>
        <v>9.0962108984827701</v>
      </c>
      <c r="E2897" s="1">
        <f>22.7380093120065*(10.3/7.3)</f>
        <v>32.082396700502379</v>
      </c>
      <c r="F2897" s="1">
        <f>42.5010745851939*(38.9/42.5)</f>
        <v>38.900983561506898</v>
      </c>
      <c r="G2897" s="1">
        <v>1.4652197148787707</v>
      </c>
      <c r="H2897" s="1">
        <v>4.3081804847761642</v>
      </c>
      <c r="I2897" s="1">
        <v>29.874986905676309</v>
      </c>
      <c r="J2897" s="1">
        <v>3.9984403346701683E-2</v>
      </c>
      <c r="K2897" s="1">
        <v>2.6386698150877965</v>
      </c>
      <c r="L2897" s="1">
        <v>4.1398416817071091</v>
      </c>
      <c r="M2897" s="1">
        <v>0.17763674532542142</v>
      </c>
      <c r="N2897" s="1">
        <v>2.0189526231784596</v>
      </c>
      <c r="O2897" s="1">
        <v>0.15325284848484852</v>
      </c>
      <c r="P2897" s="1">
        <v>0.11673597369693496</v>
      </c>
      <c r="Q2897" s="1">
        <v>2.3416753434135624</v>
      </c>
      <c r="R2897" s="2">
        <f t="shared" si="183"/>
        <v>124.52151661835975</v>
      </c>
      <c r="S2897" s="2">
        <f t="shared" si="182"/>
        <v>2.7953901921314332</v>
      </c>
      <c r="T2897" s="2">
        <f t="shared" si="184"/>
        <v>6.4896838986958389</v>
      </c>
      <c r="U2897" s="2">
        <f t="shared" si="185"/>
        <v>133.80659070918702</v>
      </c>
    </row>
    <row r="2898" spans="1:21" x14ac:dyDescent="0.25">
      <c r="A2898">
        <v>4416733</v>
      </c>
      <c r="B2898">
        <v>36</v>
      </c>
      <c r="C2898" s="1">
        <f>4.92692496796449*(10.3/7.3)</f>
        <v>6.9516886534293514</v>
      </c>
      <c r="D2898" s="1">
        <f>6.85582620948986*(10.3/7.3)</f>
        <v>9.6732890353076151</v>
      </c>
      <c r="E2898" s="1">
        <f>24.1856004919646*(10.3/7.3)</f>
        <v>34.124888365374744</v>
      </c>
      <c r="F2898" s="1">
        <f>45.597882221594*(38.9/42.5)</f>
        <v>41.735473374588395</v>
      </c>
      <c r="G2898" s="1">
        <v>1.5866835489691367</v>
      </c>
      <c r="H2898" s="1">
        <v>4.8828980453112409</v>
      </c>
      <c r="I2898" s="1">
        <v>32.272910989414278</v>
      </c>
      <c r="J2898" s="1">
        <v>4.2529159791515586E-2</v>
      </c>
      <c r="K2898" s="1">
        <v>2.7607985594921201</v>
      </c>
      <c r="L2898" s="1">
        <v>4.3713325861498973</v>
      </c>
      <c r="M2898" s="1">
        <v>0.1840771343874226</v>
      </c>
      <c r="N2898" s="1">
        <v>2.1418249825788278</v>
      </c>
      <c r="O2898" s="1">
        <v>0.15949925925925929</v>
      </c>
      <c r="P2898" s="1">
        <v>0.11932840998236416</v>
      </c>
      <c r="Q2898" s="1">
        <v>2.5357956262063852</v>
      </c>
      <c r="R2898" s="2">
        <f t="shared" si="183"/>
        <v>133.76362763860112</v>
      </c>
      <c r="S2898" s="2">
        <f t="shared" si="182"/>
        <v>2.9226561292659996</v>
      </c>
      <c r="T2898" s="2">
        <f t="shared" si="184"/>
        <v>6.8567339623754071</v>
      </c>
      <c r="U2898" s="2">
        <f t="shared" si="185"/>
        <v>143.54301773024252</v>
      </c>
    </row>
    <row r="2899" spans="1:21" x14ac:dyDescent="0.25">
      <c r="A2899">
        <v>4416741</v>
      </c>
      <c r="B2899">
        <v>46</v>
      </c>
      <c r="C2899" s="1">
        <f>5.75383600122593*(10.3/7.3)</f>
        <v>8.1184261387160372</v>
      </c>
      <c r="D2899" s="1">
        <f>7.91955308555494*(10.3/7.3)</f>
        <v>11.174163942632314</v>
      </c>
      <c r="E2899" s="1">
        <f>27.938437734519*(10.3/7.3)</f>
        <v>39.419987488430863</v>
      </c>
      <c r="F2899" s="1">
        <f>53.2876814526174*(38.9/42.5)</f>
        <v>48.773901376631024</v>
      </c>
      <c r="G2899" s="1">
        <v>1.8799706419779489</v>
      </c>
      <c r="H2899" s="1">
        <v>6.9454945003970412</v>
      </c>
      <c r="I2899" s="1">
        <v>37.972790472723439</v>
      </c>
      <c r="J2899" s="1">
        <v>4.7852453641350344E-2</v>
      </c>
      <c r="K2899" s="1">
        <v>3.024776419444696</v>
      </c>
      <c r="L2899" s="1">
        <v>4.8495695726509442</v>
      </c>
      <c r="M2899" s="1">
        <v>0.20185727124655906</v>
      </c>
      <c r="N2899" s="1">
        <v>2.3795191064752257</v>
      </c>
      <c r="O2899" s="1">
        <v>0.17423304347826091</v>
      </c>
      <c r="P2899" s="1">
        <v>0.12606135513975955</v>
      </c>
      <c r="Q2899" s="1">
        <v>3.0045192908323406</v>
      </c>
      <c r="R2899" s="2">
        <f t="shared" si="183"/>
        <v>157.28925385234103</v>
      </c>
      <c r="S2899" s="2">
        <f t="shared" si="182"/>
        <v>3.1986902282258058</v>
      </c>
      <c r="T2899" s="2">
        <f t="shared" si="184"/>
        <v>7.6051789938509904</v>
      </c>
      <c r="U2899" s="2">
        <f t="shared" si="185"/>
        <v>168.09312307441783</v>
      </c>
    </row>
    <row r="2900" spans="1:21" x14ac:dyDescent="0.25">
      <c r="A2900">
        <v>4416757</v>
      </c>
      <c r="B2900">
        <v>24</v>
      </c>
      <c r="C2900" s="1">
        <f>5.13929194659825*(10.3/7.3)</f>
        <v>7.2513297328715023</v>
      </c>
      <c r="D2900" s="1">
        <f>6.9209419676985*(10.3/7.3)</f>
        <v>9.7651646941499344</v>
      </c>
      <c r="E2900" s="1">
        <f>24.3948459281067*(10.3/7.3)</f>
        <v>34.420125076643764</v>
      </c>
      <c r="F2900" s="1">
        <f>48.6891928965441*(38.9/42.5)</f>
        <v>44.564931851189741</v>
      </c>
      <c r="G2900" s="1">
        <v>1.8149833401877178</v>
      </c>
      <c r="H2900" s="1">
        <v>13.21044547891537</v>
      </c>
      <c r="I2900" s="1">
        <v>35.343019946608031</v>
      </c>
      <c r="J2900" s="1">
        <v>4.6832239868419147E-2</v>
      </c>
      <c r="K2900" s="1">
        <v>2.929196547248488</v>
      </c>
      <c r="L2900" s="1">
        <v>4.7042104615774099</v>
      </c>
      <c r="M2900" s="1">
        <v>0.18974321127352864</v>
      </c>
      <c r="N2900" s="1">
        <v>2.3277935359369457</v>
      </c>
      <c r="O2900" s="1">
        <v>0.16278000000000001</v>
      </c>
      <c r="P2900" s="1">
        <v>0.11984354842003235</v>
      </c>
      <c r="Q2900" s="1">
        <v>2.9006583062360805</v>
      </c>
      <c r="R2900" s="2">
        <f t="shared" si="183"/>
        <v>149.27065842680213</v>
      </c>
      <c r="S2900" s="2">
        <f t="shared" si="182"/>
        <v>3.0958723355369395</v>
      </c>
      <c r="T2900" s="2">
        <f t="shared" si="184"/>
        <v>7.3845272087878833</v>
      </c>
      <c r="U2900" s="2">
        <f t="shared" si="185"/>
        <v>159.75105797112695</v>
      </c>
    </row>
    <row r="2901" spans="1:21" x14ac:dyDescent="0.25">
      <c r="A2901">
        <v>4416765</v>
      </c>
      <c r="B2901">
        <v>55</v>
      </c>
      <c r="C2901" s="1">
        <f>4.07803739275396*(10.3/7.3)</f>
        <v>5.7539431705980499</v>
      </c>
      <c r="D2901" s="1">
        <f>5.37089625718928*(10.3/7.3)</f>
        <v>7.5781138971300779</v>
      </c>
      <c r="E2901" s="1">
        <f>18.9692732813957*(10.3/7.3)</f>
        <v>26.764865040873389</v>
      </c>
      <c r="F2901" s="1">
        <f>36.8455153496417*(38.9/42.5)</f>
        <v>33.724483461201494</v>
      </c>
      <c r="G2901" s="1">
        <v>1.3194936767717191</v>
      </c>
      <c r="H2901" s="1">
        <v>4.0096493505319648</v>
      </c>
      <c r="I2901" s="1">
        <v>26.777411747615048</v>
      </c>
      <c r="J2901" s="1">
        <v>3.9366438581332257E-2</v>
      </c>
      <c r="K2901" s="1">
        <v>2.557898815165442</v>
      </c>
      <c r="L2901" s="1">
        <v>3.9649983070276242</v>
      </c>
      <c r="M2901" s="1">
        <v>0.16236145870631846</v>
      </c>
      <c r="N2901" s="1">
        <v>2.1155089770759594</v>
      </c>
      <c r="O2901" s="1">
        <v>0.13873939393939391</v>
      </c>
      <c r="P2901" s="1">
        <v>0.10726507586705306</v>
      </c>
      <c r="Q2901" s="1">
        <v>2.1087798487219289</v>
      </c>
      <c r="R2901" s="2">
        <f t="shared" si="183"/>
        <v>108.03674019344365</v>
      </c>
      <c r="S2901" s="2">
        <f t="shared" si="182"/>
        <v>2.7045303296138274</v>
      </c>
      <c r="T2901" s="2">
        <f t="shared" si="184"/>
        <v>6.3816081367492963</v>
      </c>
      <c r="U2901" s="2">
        <f t="shared" si="185"/>
        <v>117.12287865980677</v>
      </c>
    </row>
    <row r="2902" spans="1:21" x14ac:dyDescent="0.25">
      <c r="A2902">
        <v>4416773</v>
      </c>
      <c r="B2902">
        <v>54</v>
      </c>
      <c r="C2902" s="1">
        <f>4.33356974883935*(10.3/7.3)</f>
        <v>6.1144888237048374</v>
      </c>
      <c r="D2902" s="1">
        <f>5.37024473321203*(10.3/7.3)</f>
        <v>7.5771946235731331</v>
      </c>
      <c r="E2902" s="1">
        <f>19.0259225489299*(10.3/7.3)</f>
        <v>26.844794829312097</v>
      </c>
      <c r="F2902" s="1">
        <f>36.5600422632796*(38.9/42.5)</f>
        <v>33.463191624507722</v>
      </c>
      <c r="G2902" s="1">
        <v>1.271564267956858</v>
      </c>
      <c r="H2902" s="1">
        <v>3.7422084234058719</v>
      </c>
      <c r="I2902" s="1">
        <v>27.083899127303273</v>
      </c>
      <c r="J2902" s="1">
        <v>3.8730549494636869E-2</v>
      </c>
      <c r="K2902" s="1">
        <v>2.5208117133637993</v>
      </c>
      <c r="L2902" s="1">
        <v>3.8876482758978255</v>
      </c>
      <c r="M2902" s="1">
        <v>0.15835939863573267</v>
      </c>
      <c r="N2902" s="1">
        <v>2.3248223208787726</v>
      </c>
      <c r="O2902" s="1">
        <v>0.13488098765432099</v>
      </c>
      <c r="P2902" s="1">
        <v>0.10506671615670847</v>
      </c>
      <c r="Q2902" s="1">
        <v>2.0321803369173548</v>
      </c>
      <c r="R2902" s="2">
        <f t="shared" si="183"/>
        <v>108.12952205668114</v>
      </c>
      <c r="S2902" s="2">
        <f t="shared" si="182"/>
        <v>2.6646089790151448</v>
      </c>
      <c r="T2902" s="2">
        <f t="shared" si="184"/>
        <v>6.5057109830666517</v>
      </c>
      <c r="U2902" s="2">
        <f t="shared" si="185"/>
        <v>117.29984201876293</v>
      </c>
    </row>
    <row r="2903" spans="1:21" x14ac:dyDescent="0.25">
      <c r="A2903">
        <v>4416781</v>
      </c>
      <c r="B2903">
        <v>55</v>
      </c>
      <c r="C2903" s="1">
        <f>6.4298346449819*(10.3/7.3)</f>
        <v>9.0722324442895328</v>
      </c>
      <c r="D2903" s="1">
        <f>8.07686290803749*(10.3/7.3)</f>
        <v>11.396121637367969</v>
      </c>
      <c r="E2903" s="1">
        <f>28.5685099411401*(10.3/7.3)</f>
        <v>40.308993478594921</v>
      </c>
      <c r="F2903" s="1">
        <f>56.3576069328565*(38.9/42.5)</f>
        <v>51.583786110308665</v>
      </c>
      <c r="G2903" s="1">
        <v>2.03840879809984</v>
      </c>
      <c r="H2903" s="1">
        <v>4.9948204158251173</v>
      </c>
      <c r="I2903" s="1">
        <v>41.778535937063324</v>
      </c>
      <c r="J2903" s="1">
        <v>5.3204220376054372E-2</v>
      </c>
      <c r="K2903" s="1">
        <v>3.1765274998263311</v>
      </c>
      <c r="L2903" s="1">
        <v>5.2823857689797409</v>
      </c>
      <c r="M2903" s="1">
        <v>0.19973506502878299</v>
      </c>
      <c r="N2903" s="1">
        <v>2.5994336527989379</v>
      </c>
      <c r="O2903" s="1">
        <v>0.16775272727272728</v>
      </c>
      <c r="P2903" s="1">
        <v>0.12247650638926599</v>
      </c>
      <c r="Q2903" s="1">
        <v>3.2577309558673262</v>
      </c>
      <c r="R2903" s="2">
        <f t="shared" si="183"/>
        <v>164.4306297774167</v>
      </c>
      <c r="S2903" s="2">
        <f t="shared" si="182"/>
        <v>3.3522082265916513</v>
      </c>
      <c r="T2903" s="2">
        <f t="shared" si="184"/>
        <v>8.24930721408019</v>
      </c>
      <c r="U2903" s="2">
        <f t="shared" si="185"/>
        <v>176.03214521808854</v>
      </c>
    </row>
    <row r="2904" spans="1:21" x14ac:dyDescent="0.25">
      <c r="A2904">
        <v>4416789</v>
      </c>
      <c r="B2904">
        <v>55</v>
      </c>
      <c r="C2904" s="1">
        <f>6.07452938667247*(10.3/7.3)</f>
        <v>8.5709113264008874</v>
      </c>
      <c r="D2904" s="1">
        <f>7.63337693033626*(10.3/7.3)</f>
        <v>10.770381148282663</v>
      </c>
      <c r="E2904" s="1">
        <f>26.9880722491696*(10.3/7.3)</f>
        <v>38.079060844718803</v>
      </c>
      <c r="F2904" s="1">
        <f>53.8120238472859*(38.9/42.5)</f>
        <v>49.25382888610401</v>
      </c>
      <c r="G2904" s="1">
        <v>1.9738757681054451</v>
      </c>
      <c r="H2904" s="1">
        <v>4.8059115264366659</v>
      </c>
      <c r="I2904" s="1">
        <v>39.975026625944288</v>
      </c>
      <c r="J2904" s="1">
        <v>5.1563103461080735E-2</v>
      </c>
      <c r="K2904" s="1">
        <v>3.122613735549066</v>
      </c>
      <c r="L2904" s="1">
        <v>5.1095347180099173</v>
      </c>
      <c r="M2904" s="1">
        <v>0.19231594380497241</v>
      </c>
      <c r="N2904" s="1">
        <v>2.4134218929045832</v>
      </c>
      <c r="O2904" s="1">
        <v>0.16251830303030301</v>
      </c>
      <c r="P2904" s="1">
        <v>0.11898328684945032</v>
      </c>
      <c r="Q2904" s="1">
        <v>3.1545959764242313</v>
      </c>
      <c r="R2904" s="2">
        <f t="shared" si="183"/>
        <v>156.58359210241696</v>
      </c>
      <c r="S2904" s="2">
        <f t="shared" si="182"/>
        <v>3.2931601258595973</v>
      </c>
      <c r="T2904" s="2">
        <f t="shared" si="184"/>
        <v>7.8777908577497762</v>
      </c>
      <c r="U2904" s="2">
        <f t="shared" si="185"/>
        <v>167.75454308602633</v>
      </c>
    </row>
    <row r="2905" spans="1:21" x14ac:dyDescent="0.25">
      <c r="A2905">
        <v>4416797</v>
      </c>
      <c r="B2905">
        <v>56</v>
      </c>
      <c r="C2905" s="1">
        <f>5.26157701441274*(10.3/7.3)</f>
        <v>7.4238689381440013</v>
      </c>
      <c r="D2905" s="1">
        <f>6.57581262935888*(10.3/7.3)</f>
        <v>9.2782013811502004</v>
      </c>
      <c r="E2905" s="1">
        <f>23.2484776254653*(10.3/7.3)</f>
        <v>32.802646512642887</v>
      </c>
      <c r="F2905" s="1">
        <f>46.6709997619634*(38.9/42.5)</f>
        <v>42.717691546832349</v>
      </c>
      <c r="G2905" s="1">
        <v>1.7247853370719022</v>
      </c>
      <c r="H2905" s="1">
        <v>4.4357930345259664</v>
      </c>
      <c r="I2905" s="1">
        <v>34.783445130979551</v>
      </c>
      <c r="J2905" s="1">
        <v>4.590525139045825E-2</v>
      </c>
      <c r="K2905" s="1">
        <v>2.8855515246600683</v>
      </c>
      <c r="L2905" s="1">
        <v>4.5628983328935275</v>
      </c>
      <c r="M2905" s="1">
        <v>0.17462295485596396</v>
      </c>
      <c r="N2905" s="1">
        <v>2.1490247883090499</v>
      </c>
      <c r="O2905" s="1">
        <v>0.14847809523809524</v>
      </c>
      <c r="P2905" s="1">
        <v>0.11094020249630347</v>
      </c>
      <c r="Q2905" s="1">
        <v>2.7565062464619468</v>
      </c>
      <c r="R2905" s="2">
        <f t="shared" si="183"/>
        <v>135.92293812780883</v>
      </c>
      <c r="S2905" s="2">
        <f t="shared" si="182"/>
        <v>3.0423969785468299</v>
      </c>
      <c r="T2905" s="2">
        <f t="shared" si="184"/>
        <v>7.0350241712966373</v>
      </c>
      <c r="U2905" s="2">
        <f t="shared" si="185"/>
        <v>146.00035927765231</v>
      </c>
    </row>
    <row r="2906" spans="1:21" x14ac:dyDescent="0.25">
      <c r="A2906">
        <v>4416805</v>
      </c>
      <c r="B2906">
        <v>58</v>
      </c>
      <c r="C2906" s="1">
        <f>8.59575522895548*(10.3/7.3)</f>
        <v>12.128257377841301</v>
      </c>
      <c r="D2906" s="1">
        <f>10.4757160873113*(10.3/7.3)</f>
        <v>14.780804890315988</v>
      </c>
      <c r="E2906" s="1">
        <f>37.0415931589192*(10.3/7.3)</f>
        <v>52.264165689981866</v>
      </c>
      <c r="F2906" s="1">
        <f>76.2490901095805*(38.9/42.5)</f>
        <v>69.790343653239574</v>
      </c>
      <c r="G2906" s="1">
        <v>2.8912286785447732</v>
      </c>
      <c r="H2906" s="1">
        <v>6.1377451110786874</v>
      </c>
      <c r="I2906" s="1">
        <v>57.596643023493549</v>
      </c>
      <c r="J2906" s="1">
        <v>6.5397426845217044E-2</v>
      </c>
      <c r="K2906" s="1">
        <v>3.7833303424729339</v>
      </c>
      <c r="L2906" s="1">
        <v>6.5103445561877233</v>
      </c>
      <c r="M2906" s="1">
        <v>0.22662648919433961</v>
      </c>
      <c r="N2906" s="1">
        <v>2.8052255860891804</v>
      </c>
      <c r="O2906" s="1">
        <v>0.18970114942528735</v>
      </c>
      <c r="P2906" s="1">
        <v>0.13345920146675241</v>
      </c>
      <c r="Q2906" s="1">
        <v>4.6206851026971298</v>
      </c>
      <c r="R2906" s="2">
        <f t="shared" si="183"/>
        <v>220.20987352719285</v>
      </c>
      <c r="S2906" s="2">
        <f t="shared" si="182"/>
        <v>3.9821869707849031</v>
      </c>
      <c r="T2906" s="2">
        <f t="shared" si="184"/>
        <v>9.7318977808965315</v>
      </c>
      <c r="U2906" s="2">
        <f t="shared" si="185"/>
        <v>233.9239582788743</v>
      </c>
    </row>
    <row r="2907" spans="1:21" x14ac:dyDescent="0.25">
      <c r="A2907">
        <v>4416813</v>
      </c>
      <c r="B2907">
        <v>61</v>
      </c>
      <c r="C2907" s="1">
        <f>9.08314259383786*(10.3/7.3)</f>
        <v>12.815940920072592</v>
      </c>
      <c r="D2907" s="1">
        <f>10.9360370964776*(10.3/7.3)</f>
        <v>15.430298916947912</v>
      </c>
      <c r="E2907" s="1">
        <f>38.6665817576214*(10.3/7.3)</f>
        <v>54.556957822397294</v>
      </c>
      <c r="F2907" s="1">
        <f>80.8333304150254*(38.9/42.5)</f>
        <v>73.986271838693881</v>
      </c>
      <c r="G2907" s="1">
        <v>3.114209279761746</v>
      </c>
      <c r="H2907" s="1">
        <v>6.4155789311114235</v>
      </c>
      <c r="I2907" s="1">
        <v>61.482401490339797</v>
      </c>
      <c r="J2907" s="1">
        <v>6.725533603764984E-2</v>
      </c>
      <c r="K2907" s="1">
        <v>3.8752402797123828</v>
      </c>
      <c r="L2907" s="1">
        <v>6.6608420284987329</v>
      </c>
      <c r="M2907" s="1">
        <v>0.22702084316588042</v>
      </c>
      <c r="N2907" s="1">
        <v>2.7915590336312626</v>
      </c>
      <c r="O2907" s="1">
        <v>0.1902155191256831</v>
      </c>
      <c r="P2907" s="1">
        <v>0.13410583975209914</v>
      </c>
      <c r="Q2907" s="1">
        <v>4.9770467941397838</v>
      </c>
      <c r="R2907" s="2">
        <f t="shared" si="183"/>
        <v>232.77870599346446</v>
      </c>
      <c r="S2907" s="2">
        <f t="shared" si="182"/>
        <v>4.0766014555021322</v>
      </c>
      <c r="T2907" s="2">
        <f t="shared" si="184"/>
        <v>9.8696374244215583</v>
      </c>
      <c r="U2907" s="2">
        <f t="shared" si="185"/>
        <v>246.72494487338815</v>
      </c>
    </row>
    <row r="2908" spans="1:21" x14ac:dyDescent="0.25">
      <c r="A2908">
        <v>4416821</v>
      </c>
      <c r="B2908">
        <v>45</v>
      </c>
      <c r="C2908" s="1">
        <f>8.80216042017134*(10.3/7.3)</f>
        <v>12.419486620241759</v>
      </c>
      <c r="D2908" s="1">
        <f>10.5134965727683*(10.3/7.3)</f>
        <v>14.834111602673035</v>
      </c>
      <c r="E2908" s="1">
        <f>37.1589882558458*(10.3/7.3)</f>
        <v>52.429805347289282</v>
      </c>
      <c r="F2908" s="1">
        <f>79.0742101110644*(38.9/42.5)</f>
        <v>72.376159372244857</v>
      </c>
      <c r="G2908" s="1">
        <v>3.1046864140108452</v>
      </c>
      <c r="H2908" s="1">
        <v>6.4365313065380354</v>
      </c>
      <c r="I2908" s="1">
        <v>60.492018327700713</v>
      </c>
      <c r="J2908" s="1">
        <v>7.064161049750603E-2</v>
      </c>
      <c r="K2908" s="1">
        <v>3.8366041646063405</v>
      </c>
      <c r="L2908" s="1">
        <v>6.4271814864742876</v>
      </c>
      <c r="M2908" s="1">
        <v>0.21810910597262084</v>
      </c>
      <c r="N2908" s="1">
        <v>2.7038429343423642</v>
      </c>
      <c r="O2908" s="1">
        <v>0.18280414814814816</v>
      </c>
      <c r="P2908" s="1">
        <v>0.13043581171415744</v>
      </c>
      <c r="Q2908" s="1">
        <v>4.9618276023004437</v>
      </c>
      <c r="R2908" s="2">
        <f t="shared" si="183"/>
        <v>227.05462659299897</v>
      </c>
      <c r="S2908" s="2">
        <f t="shared" si="182"/>
        <v>4.037681586818004</v>
      </c>
      <c r="T2908" s="2">
        <f t="shared" si="184"/>
        <v>9.5319376749374225</v>
      </c>
      <c r="U2908" s="2">
        <f t="shared" si="185"/>
        <v>240.62424585475438</v>
      </c>
    </row>
    <row r="2909" spans="1:21" x14ac:dyDescent="0.25">
      <c r="A2909">
        <v>4416837</v>
      </c>
      <c r="B2909">
        <v>48</v>
      </c>
      <c r="C2909" s="1">
        <f>4.07175373602984*(10.3/7.3)</f>
        <v>5.7450771891927834</v>
      </c>
      <c r="D2909" s="1">
        <f>5.01803999512654*(10.3/7.3)</f>
        <v>7.0802482123018313</v>
      </c>
      <c r="E2909" s="1">
        <f>17.6358168611891*(10.3/7.3)</f>
        <v>24.883412831540809</v>
      </c>
      <c r="F2909" s="1">
        <f>41.2852895826383*(38.9/42.5)</f>
        <v>37.78818270034423</v>
      </c>
      <c r="G2909" s="1">
        <v>1.7983973305515362</v>
      </c>
      <c r="H2909" s="1">
        <v>7.1668899115688811</v>
      </c>
      <c r="I2909" s="1">
        <v>31.785988086061135</v>
      </c>
      <c r="J2909" s="1">
        <v>3.9915464143840111E-2</v>
      </c>
      <c r="K2909" s="1">
        <v>2.6511827175922864</v>
      </c>
      <c r="L2909" s="1">
        <v>4.5195427919277167</v>
      </c>
      <c r="M2909" s="1">
        <v>0.13294407842089673</v>
      </c>
      <c r="N2909" s="1">
        <v>2.0767226544606507</v>
      </c>
      <c r="O2909" s="1">
        <v>0.11072333333333334</v>
      </c>
      <c r="P2909" s="1">
        <v>8.8719146989111639E-2</v>
      </c>
      <c r="Q2909" s="1">
        <v>2.8741509848997198</v>
      </c>
      <c r="R2909" s="2">
        <f t="shared" si="183"/>
        <v>119.12234724646093</v>
      </c>
      <c r="S2909" s="2">
        <f t="shared" si="182"/>
        <v>2.7798173287252381</v>
      </c>
      <c r="T2909" s="2">
        <f t="shared" si="184"/>
        <v>6.8399328581425971</v>
      </c>
      <c r="U2909" s="2">
        <f t="shared" si="185"/>
        <v>128.74209743332878</v>
      </c>
    </row>
    <row r="2910" spans="1:21" x14ac:dyDescent="0.25">
      <c r="A2910">
        <v>4428361</v>
      </c>
      <c r="B2910">
        <v>53</v>
      </c>
      <c r="C2910" s="1">
        <f>0.595930213230563*(10.3/7.3)</f>
        <v>0.8408330405855885</v>
      </c>
      <c r="D2910" s="1">
        <f>0.792334849728075*(10.3/7.3)</f>
        <v>1.1179519112601601</v>
      </c>
      <c r="E2910" s="1">
        <f>2.76807718018924*(10.3/7.3)</f>
        <v>3.9056431446505724</v>
      </c>
      <c r="F2910" s="1">
        <f>6.84917700933515*(38.9/42.5)</f>
        <v>6.2690114273679338</v>
      </c>
      <c r="G2910" s="1">
        <v>0.31669215286812963</v>
      </c>
      <c r="H2910" s="1">
        <v>1.3900595049856435</v>
      </c>
      <c r="I2910" s="1">
        <v>5.2136868115148429</v>
      </c>
      <c r="J2910" s="1">
        <v>4.0059526248760871E-2</v>
      </c>
      <c r="K2910" s="1">
        <v>3.0644745169787893</v>
      </c>
      <c r="L2910" s="1">
        <v>2.339680038677078</v>
      </c>
      <c r="M2910" s="1">
        <v>0.24382172682558692</v>
      </c>
      <c r="N2910" s="1">
        <v>1.2154343840775539</v>
      </c>
      <c r="O2910" s="1">
        <v>0.7620125786163523</v>
      </c>
      <c r="P2910" s="1">
        <v>0.29533424729806101</v>
      </c>
      <c r="Q2910" s="1">
        <v>0.50612901143308442</v>
      </c>
      <c r="R2910" s="2">
        <f t="shared" si="183"/>
        <v>19.560007004665955</v>
      </c>
      <c r="S2910" s="2">
        <f t="shared" si="182"/>
        <v>3.3998682905256112</v>
      </c>
      <c r="T2910" s="2">
        <f t="shared" si="184"/>
        <v>4.5609487281965713</v>
      </c>
      <c r="U2910" s="2">
        <f t="shared" si="185"/>
        <v>27.520824023388137</v>
      </c>
    </row>
    <row r="2911" spans="1:21" x14ac:dyDescent="0.25">
      <c r="A2911">
        <v>4428369</v>
      </c>
      <c r="B2911">
        <v>33</v>
      </c>
      <c r="C2911" s="1">
        <f>0.933366675527306*(10.3/7.3)</f>
        <v>1.3169420216344185</v>
      </c>
      <c r="D2911" s="1">
        <f>1.26508077510903*(10.3/7.3)</f>
        <v>1.7849769840579457</v>
      </c>
      <c r="E2911" s="1">
        <f>4.40285962917809*(10.3/7.3)</f>
        <v>6.2122539973334669</v>
      </c>
      <c r="F2911" s="1">
        <f>11.5671144289017*(38.9/42.5)</f>
        <v>10.58731179492411</v>
      </c>
      <c r="G2911" s="1">
        <v>0.56159147550291055</v>
      </c>
      <c r="H2911" s="1">
        <v>2.1229423539951733</v>
      </c>
      <c r="I2911" s="1">
        <v>8.8544184886949431</v>
      </c>
      <c r="J2911" s="1">
        <v>9.0428843999061259E-2</v>
      </c>
      <c r="K2911" s="1">
        <v>4.2766454010766877</v>
      </c>
      <c r="L2911" s="1">
        <v>3.7661492560320697</v>
      </c>
      <c r="M2911" s="1">
        <v>0.37051331261330056</v>
      </c>
      <c r="N2911" s="1">
        <v>2.1123369215655945</v>
      </c>
      <c r="O2911" s="1">
        <v>1.3588686868686866</v>
      </c>
      <c r="P2911" s="1">
        <v>0.38316694870946838</v>
      </c>
      <c r="Q2911" s="1">
        <v>0.89752062294985802</v>
      </c>
      <c r="R2911" s="2">
        <f t="shared" si="183"/>
        <v>32.337957739092829</v>
      </c>
      <c r="S2911" s="2">
        <f t="shared" si="182"/>
        <v>4.7502411937852171</v>
      </c>
      <c r="T2911" s="2">
        <f t="shared" si="184"/>
        <v>7.6078681770796512</v>
      </c>
      <c r="U2911" s="2">
        <f t="shared" si="185"/>
        <v>44.696067109957696</v>
      </c>
    </row>
    <row r="2912" spans="1:21" x14ac:dyDescent="0.25">
      <c r="A2912">
        <v>4428897</v>
      </c>
      <c r="B2912">
        <v>16</v>
      </c>
      <c r="C2912" s="1">
        <f>15.7387496766182*(10.3/7.3)</f>
        <v>22.206728995776317</v>
      </c>
      <c r="D2912" s="1">
        <f>22.3674653463831*(10.3/7.3)</f>
        <v>31.559574392841927</v>
      </c>
      <c r="E2912" s="1">
        <f>79.0324467024889*(10.3/7.3)</f>
        <v>111.51153438844328</v>
      </c>
      <c r="F2912" s="1">
        <f>139.292760966506*(38.9/42.5)</f>
        <v>127.49384474346101</v>
      </c>
      <c r="G2912" s="1">
        <v>4.3933254796686336</v>
      </c>
      <c r="H2912" s="1">
        <v>10.122395727638178</v>
      </c>
      <c r="I2912" s="1">
        <v>96.003806314400606</v>
      </c>
      <c r="J2912" s="1">
        <v>8.252872187648834E-2</v>
      </c>
      <c r="K2912" s="1">
        <v>3.8314992186369468</v>
      </c>
      <c r="L2912" s="1">
        <v>6.8948344930165089</v>
      </c>
      <c r="M2912" s="1">
        <v>0.30366073337804567</v>
      </c>
      <c r="N2912" s="1">
        <v>3.3285957841472991</v>
      </c>
      <c r="O2912" s="1">
        <v>0.24858000000000002</v>
      </c>
      <c r="P2912" s="1">
        <v>0.16376086815431598</v>
      </c>
      <c r="Q2912" s="1">
        <v>7.0212964286941704</v>
      </c>
      <c r="R2912" s="2">
        <f t="shared" si="183"/>
        <v>410.31250647092406</v>
      </c>
      <c r="S2912" s="2">
        <f t="shared" si="182"/>
        <v>4.0777888086677514</v>
      </c>
      <c r="T2912" s="2">
        <f t="shared" si="184"/>
        <v>10.775671010541853</v>
      </c>
      <c r="U2912" s="2">
        <f t="shared" si="185"/>
        <v>425.16596629013367</v>
      </c>
    </row>
    <row r="2913" spans="1:21" x14ac:dyDescent="0.25">
      <c r="A2913">
        <v>4428905</v>
      </c>
      <c r="B2913">
        <v>64</v>
      </c>
      <c r="C2913" s="1">
        <f>12.374490804462*(10.3/7.3)</f>
        <v>17.459897984377854</v>
      </c>
      <c r="D2913" s="1">
        <f>19.0419789210648*(10.3/7.3)</f>
        <v>26.867449710543465</v>
      </c>
      <c r="E2913" s="1">
        <f>67.0454157860591*(10.3/7.3)</f>
        <v>94.598326383069733</v>
      </c>
      <c r="F2913" s="1">
        <f>119.757263998609*(38.9/42.5)</f>
        <v>109.6131192834323</v>
      </c>
      <c r="G2913" s="1">
        <v>3.9355281429417071</v>
      </c>
      <c r="H2913" s="1">
        <v>7.1224170125062543</v>
      </c>
      <c r="I2913" s="1">
        <v>80.536070089588719</v>
      </c>
      <c r="J2913" s="1">
        <v>8.6686133357740461E-2</v>
      </c>
      <c r="K2913" s="1">
        <v>3.9868675382238887</v>
      </c>
      <c r="L2913" s="1">
        <v>7.1926941354727418</v>
      </c>
      <c r="M2913" s="1">
        <v>0.30764085325690976</v>
      </c>
      <c r="N2913" s="1">
        <v>3.6924811317391248</v>
      </c>
      <c r="O2913" s="1">
        <v>0.25401583333333327</v>
      </c>
      <c r="P2913" s="1">
        <v>0.16777191041044229</v>
      </c>
      <c r="Q2913" s="1">
        <v>6.2896568494502247</v>
      </c>
      <c r="R2913" s="2">
        <f t="shared" si="183"/>
        <v>346.42246545591024</v>
      </c>
      <c r="S2913" s="2">
        <f t="shared" si="182"/>
        <v>4.2413255819920712</v>
      </c>
      <c r="T2913" s="2">
        <f t="shared" si="184"/>
        <v>11.446831953802111</v>
      </c>
      <c r="U2913" s="2">
        <f t="shared" si="185"/>
        <v>362.11062299170442</v>
      </c>
    </row>
    <row r="2914" spans="1:21" x14ac:dyDescent="0.25">
      <c r="A2914">
        <v>4428913</v>
      </c>
      <c r="B2914">
        <v>64</v>
      </c>
      <c r="C2914" s="1">
        <f>7.93988493472509*(10.3/7.3)</f>
        <v>11.202851346255951</v>
      </c>
      <c r="D2914" s="1">
        <f>12.1867871277886*(10.3/7.3)</f>
        <v>17.195055810441445</v>
      </c>
      <c r="E2914" s="1">
        <f>42.9054245374679*(10.3/7.3)</f>
        <v>60.537790785742324</v>
      </c>
      <c r="F2914" s="1">
        <f>77.0110213064448*(38.9/42.5)</f>
        <v>70.487734795781236</v>
      </c>
      <c r="G2914" s="1">
        <v>2.5483889684398355</v>
      </c>
      <c r="H2914" s="1">
        <v>5.3859270060305224</v>
      </c>
      <c r="I2914" s="1">
        <v>51.918465156946681</v>
      </c>
      <c r="J2914" s="1">
        <v>6.0567357830417619E-2</v>
      </c>
      <c r="K2914" s="1">
        <v>3.2634062040853293</v>
      </c>
      <c r="L2914" s="1">
        <v>5.5212145762635192</v>
      </c>
      <c r="M2914" s="1">
        <v>0.24197901899591373</v>
      </c>
      <c r="N2914" s="1">
        <v>2.6918929630144524</v>
      </c>
      <c r="O2914" s="1">
        <v>0.20317833333333329</v>
      </c>
      <c r="P2914" s="1">
        <v>0.14333516588591408</v>
      </c>
      <c r="Q2914" s="1">
        <v>4.0727677577805643</v>
      </c>
      <c r="R2914" s="2">
        <f t="shared" si="183"/>
        <v>223.34898162741857</v>
      </c>
      <c r="S2914" s="2">
        <f t="shared" si="182"/>
        <v>3.4673087278016608</v>
      </c>
      <c r="T2914" s="2">
        <f t="shared" si="184"/>
        <v>8.6582648916072191</v>
      </c>
      <c r="U2914" s="2">
        <f t="shared" si="185"/>
        <v>235.47455524682744</v>
      </c>
    </row>
    <row r="2915" spans="1:21" x14ac:dyDescent="0.25">
      <c r="A2915">
        <v>4428921</v>
      </c>
      <c r="B2915">
        <v>66</v>
      </c>
      <c r="C2915" s="1">
        <f>7.1408289700691*(10.3/7.3)</f>
        <v>10.075416218042697</v>
      </c>
      <c r="D2915" s="1">
        <f>10.8405948920414*(10.3/7.3)</f>
        <v>15.295633888770794</v>
      </c>
      <c r="E2915" s="1">
        <f>38.174096347288*(10.3/7.3)</f>
        <v>53.862081147543329</v>
      </c>
      <c r="F2915" s="1">
        <f>68.8943588266589*(38.9/42.5)</f>
        <v>63.05860137310659</v>
      </c>
      <c r="G2915" s="1">
        <v>2.2932342830761923</v>
      </c>
      <c r="H2915" s="1">
        <v>5.3803396626928883</v>
      </c>
      <c r="I2915" s="1">
        <v>46.707244756839152</v>
      </c>
      <c r="J2915" s="1">
        <v>5.3946806749953974E-2</v>
      </c>
      <c r="K2915" s="1">
        <v>3.1540240559421608</v>
      </c>
      <c r="L2915" s="1">
        <v>5.2662694605916256</v>
      </c>
      <c r="M2915" s="1">
        <v>0.22961887001385645</v>
      </c>
      <c r="N2915" s="1">
        <v>2.487400783540886</v>
      </c>
      <c r="O2915" s="1">
        <v>0.1942868686868687</v>
      </c>
      <c r="P2915" s="1">
        <v>0.13919061049814879</v>
      </c>
      <c r="Q2915" s="1">
        <v>3.6649862971537361</v>
      </c>
      <c r="R2915" s="2">
        <f t="shared" si="183"/>
        <v>200.33753762722537</v>
      </c>
      <c r="S2915" s="2">
        <f t="shared" si="182"/>
        <v>3.3471614731902632</v>
      </c>
      <c r="T2915" s="2">
        <f t="shared" si="184"/>
        <v>8.1775759828332362</v>
      </c>
      <c r="U2915" s="2">
        <f t="shared" si="185"/>
        <v>211.86227508324887</v>
      </c>
    </row>
    <row r="2916" spans="1:21" x14ac:dyDescent="0.25">
      <c r="A2916">
        <v>4428929</v>
      </c>
      <c r="B2916">
        <v>68</v>
      </c>
      <c r="C2916" s="1">
        <f>8.27216939251984*(10.3/7.3)</f>
        <v>11.671691060678675</v>
      </c>
      <c r="D2916" s="1">
        <f>12.3936830337133*(10.3/7.3)</f>
        <v>17.48697743112977</v>
      </c>
      <c r="E2916" s="1">
        <f>43.6530206040081*(10.3/7.3)</f>
        <v>61.592618112504518</v>
      </c>
      <c r="F2916" s="1">
        <f>79.3757344051267*(38.9/42.5)</f>
        <v>72.652142784927719</v>
      </c>
      <c r="G2916" s="1">
        <v>2.6643227301032271</v>
      </c>
      <c r="H2916" s="1">
        <v>6.1462876142763694</v>
      </c>
      <c r="I2916" s="1">
        <v>54.188732464748711</v>
      </c>
      <c r="J2916" s="1">
        <v>5.8390851703192491E-2</v>
      </c>
      <c r="K2916" s="1">
        <v>3.4387987544403167</v>
      </c>
      <c r="L2916" s="1">
        <v>5.8256333512338045</v>
      </c>
      <c r="M2916" s="1">
        <v>0.25061716661764261</v>
      </c>
      <c r="N2916" s="1">
        <v>2.6768607574032748</v>
      </c>
      <c r="O2916" s="1">
        <v>0.21237568627450978</v>
      </c>
      <c r="P2916" s="1">
        <v>0.14761156320886332</v>
      </c>
      <c r="Q2916" s="1">
        <v>4.2580500252791342</v>
      </c>
      <c r="R2916" s="2">
        <f t="shared" si="183"/>
        <v>230.66082222364813</v>
      </c>
      <c r="S2916" s="2">
        <f t="shared" si="182"/>
        <v>3.6448011693523727</v>
      </c>
      <c r="T2916" s="2">
        <f t="shared" si="184"/>
        <v>8.9654869615292299</v>
      </c>
      <c r="U2916" s="2">
        <f t="shared" si="185"/>
        <v>243.27111035452972</v>
      </c>
    </row>
    <row r="2917" spans="1:21" x14ac:dyDescent="0.25">
      <c r="A2917">
        <v>4428937</v>
      </c>
      <c r="B2917">
        <v>61</v>
      </c>
      <c r="C2917" s="1">
        <f>7.16161315429235*(10.3/7.3)</f>
        <v>10.104741847837152</v>
      </c>
      <c r="D2917" s="1">
        <f>10.5389245289309*(10.3/7.3)</f>
        <v>14.869989403834076</v>
      </c>
      <c r="E2917" s="1">
        <f>37.134024114924*(10.3/7.3)</f>
        <v>52.394581970372229</v>
      </c>
      <c r="F2917" s="1">
        <f>68.1084689013729*(38.9/42.5)</f>
        <v>62.339280947374284</v>
      </c>
      <c r="G2917" s="1">
        <v>2.306419088387182</v>
      </c>
      <c r="H2917" s="1">
        <v>5.4894623999459622</v>
      </c>
      <c r="I2917" s="1">
        <v>46.91154737532954</v>
      </c>
      <c r="J2917" s="1">
        <v>5.2884787444145827E-2</v>
      </c>
      <c r="K2917" s="1">
        <v>3.2506835996645478</v>
      </c>
      <c r="L2917" s="1">
        <v>5.3713864822901254</v>
      </c>
      <c r="M2917" s="1">
        <v>0.23165786354249754</v>
      </c>
      <c r="N2917" s="1">
        <v>2.5002581470173544</v>
      </c>
      <c r="O2917" s="1">
        <v>0.19749158469945355</v>
      </c>
      <c r="P2917" s="1">
        <v>0.14003776908811363</v>
      </c>
      <c r="Q2917" s="1">
        <v>3.6860579038151333</v>
      </c>
      <c r="R2917" s="2">
        <f t="shared" si="183"/>
        <v>198.10208093689556</v>
      </c>
      <c r="S2917" s="2">
        <f t="shared" si="182"/>
        <v>3.4436061561968074</v>
      </c>
      <c r="T2917" s="2">
        <f t="shared" si="184"/>
        <v>8.3007940775494298</v>
      </c>
      <c r="U2917" s="2">
        <f t="shared" si="185"/>
        <v>209.84648117064179</v>
      </c>
    </row>
    <row r="2918" spans="1:21" x14ac:dyDescent="0.25">
      <c r="A2918">
        <v>4428945</v>
      </c>
      <c r="B2918">
        <v>68</v>
      </c>
      <c r="C2918" s="1">
        <f>9.04391834044762*(10.3/7.3)</f>
        <v>12.760597110494594</v>
      </c>
      <c r="D2918" s="1">
        <f>13.0833753897943*(10.3/7.3)</f>
        <v>18.460105002038585</v>
      </c>
      <c r="E2918" s="1">
        <f>46.1167561150456*(10.3/7.3)</f>
        <v>65.068847669173906</v>
      </c>
      <c r="F2918" s="1">
        <f>85.2543359926327*(38.9/42.5)</f>
        <v>78.032792237962596</v>
      </c>
      <c r="G2918" s="1">
        <v>2.9094916703857385</v>
      </c>
      <c r="H2918" s="1">
        <v>6.2329816721519666</v>
      </c>
      <c r="I2918" s="1">
        <v>59.208570438056434</v>
      </c>
      <c r="J2918" s="1">
        <v>6.4396108220651033E-2</v>
      </c>
      <c r="K2918" s="1">
        <v>3.7632797309791997</v>
      </c>
      <c r="L2918" s="1">
        <v>6.6752945586916681</v>
      </c>
      <c r="M2918" s="1">
        <v>0.26996238505832593</v>
      </c>
      <c r="N2918" s="1">
        <v>2.9758431650615087</v>
      </c>
      <c r="O2918" s="1">
        <v>0.22618117647058819</v>
      </c>
      <c r="P2918" s="1">
        <v>0.15504674076468494</v>
      </c>
      <c r="Q2918" s="1">
        <v>4.6498725325799528</v>
      </c>
      <c r="R2918" s="2">
        <f t="shared" si="183"/>
        <v>247.32325833284378</v>
      </c>
      <c r="S2918" s="2">
        <f t="shared" si="182"/>
        <v>3.9827225799645358</v>
      </c>
      <c r="T2918" s="2">
        <f t="shared" si="184"/>
        <v>10.147281285282091</v>
      </c>
      <c r="U2918" s="2">
        <f t="shared" si="185"/>
        <v>261.45326219809039</v>
      </c>
    </row>
    <row r="2919" spans="1:21" x14ac:dyDescent="0.25">
      <c r="A2919">
        <v>4428953</v>
      </c>
      <c r="B2919">
        <v>68</v>
      </c>
      <c r="C2919" s="1">
        <f>4.33458630407164*(10.3/7.3)</f>
        <v>6.1159231413613586</v>
      </c>
      <c r="D2919" s="1">
        <f>6.15607958896419*(10.3/7.3)</f>
        <v>8.6859753104563193</v>
      </c>
      <c r="E2919" s="1">
        <f>21.7091258610918*(10.3/7.3)</f>
        <v>30.630684434143234</v>
      </c>
      <c r="F2919" s="1">
        <f>40.4288015156891*(38.9/42.5)</f>
        <v>37.004244210830727</v>
      </c>
      <c r="G2919" s="1">
        <v>1.388712110448223</v>
      </c>
      <c r="H2919" s="1">
        <v>3.9449995190899214</v>
      </c>
      <c r="I2919" s="1">
        <v>28.317172794319326</v>
      </c>
      <c r="J2919" s="1">
        <v>3.791976477671348E-2</v>
      </c>
      <c r="K2919" s="1">
        <v>2.5443340041251052</v>
      </c>
      <c r="L2919" s="1">
        <v>3.9231475758744323</v>
      </c>
      <c r="M2919" s="1">
        <v>0.1726909855755577</v>
      </c>
      <c r="N2919" s="1">
        <v>1.9728997471076255</v>
      </c>
      <c r="O2919" s="1">
        <v>0.14883294117647056</v>
      </c>
      <c r="P2919" s="1">
        <v>0.11467763857044715</v>
      </c>
      <c r="Q2919" s="1">
        <v>2.2194029162414544</v>
      </c>
      <c r="R2919" s="2">
        <f t="shared" si="183"/>
        <v>118.30711443689054</v>
      </c>
      <c r="S2919" s="2">
        <f t="shared" si="182"/>
        <v>2.6969314074722659</v>
      </c>
      <c r="T2919" s="2">
        <f t="shared" si="184"/>
        <v>6.2175712497340863</v>
      </c>
      <c r="U2919" s="2">
        <f t="shared" si="185"/>
        <v>127.2216170940969</v>
      </c>
    </row>
    <row r="2920" spans="1:21" x14ac:dyDescent="0.25">
      <c r="A2920">
        <v>4428961</v>
      </c>
      <c r="B2920">
        <v>69</v>
      </c>
      <c r="C2920" s="1">
        <f>5.57065929035763*(10.3/7.3)</f>
        <v>7.8599713274908982</v>
      </c>
      <c r="D2920" s="1">
        <f>7.83059463013184*(10.3/7.3)</f>
        <v>11.048647217857248</v>
      </c>
      <c r="E2920" s="1">
        <f>27.6167264130529*(10.3/7.3)</f>
        <v>38.966066034855459</v>
      </c>
      <c r="F2920" s="1">
        <f>51.878396698101*(38.9/42.5)</f>
        <v>47.483991330732458</v>
      </c>
      <c r="G2920" s="1">
        <v>1.8000981108669785</v>
      </c>
      <c r="H2920" s="1">
        <v>4.9323066303745842</v>
      </c>
      <c r="I2920" s="1">
        <v>36.553667608328652</v>
      </c>
      <c r="J2920" s="1">
        <v>4.5215579236918949E-2</v>
      </c>
      <c r="K2920" s="1">
        <v>2.9089915275471547</v>
      </c>
      <c r="L2920" s="1">
        <v>4.647595589844383</v>
      </c>
      <c r="M2920" s="1">
        <v>0.19703359347206845</v>
      </c>
      <c r="N2920" s="1">
        <v>2.2365108660972641</v>
      </c>
      <c r="O2920" s="1">
        <v>0.16987053140096614</v>
      </c>
      <c r="P2920" s="1">
        <v>0.12530963466649306</v>
      </c>
      <c r="Q2920" s="1">
        <v>2.8768691269563607</v>
      </c>
      <c r="R2920" s="2">
        <f t="shared" si="183"/>
        <v>151.52161738746264</v>
      </c>
      <c r="S2920" s="2">
        <f t="shared" si="182"/>
        <v>3.0795167414505671</v>
      </c>
      <c r="T2920" s="2">
        <f t="shared" si="184"/>
        <v>7.2510105808146816</v>
      </c>
      <c r="U2920" s="2">
        <f t="shared" si="185"/>
        <v>161.8521447097279</v>
      </c>
    </row>
    <row r="2921" spans="1:21" x14ac:dyDescent="0.25">
      <c r="A2921">
        <v>4428969</v>
      </c>
      <c r="B2921">
        <v>65</v>
      </c>
      <c r="C2921" s="1">
        <f>5.63451163895065*(10.3/7.3)</f>
        <v>7.9500643672865268</v>
      </c>
      <c r="D2921" s="1">
        <f>7.80809125747595*(10.3/7.3)</f>
        <v>11.016895883835925</v>
      </c>
      <c r="E2921" s="1">
        <f>27.5422135870161*(10.3/7.3)</f>
        <v>38.860931499488466</v>
      </c>
      <c r="F2921" s="1">
        <f>52.2978081919782*(38.9/42.5)</f>
        <v>47.867876203951852</v>
      </c>
      <c r="G2921" s="1">
        <v>1.8364271970584132</v>
      </c>
      <c r="H2921" s="1">
        <v>5.1703568543053304</v>
      </c>
      <c r="I2921" s="1">
        <v>37.13746214429684</v>
      </c>
      <c r="J2921" s="1">
        <v>4.6709578639806626E-2</v>
      </c>
      <c r="K2921" s="1">
        <v>2.9705266409447324</v>
      </c>
      <c r="L2921" s="1">
        <v>4.7715328545607303</v>
      </c>
      <c r="M2921" s="1">
        <v>0.19952123128027932</v>
      </c>
      <c r="N2921" s="1">
        <v>2.3154197333346209</v>
      </c>
      <c r="O2921" s="1">
        <v>0.17254153846153852</v>
      </c>
      <c r="P2921" s="1">
        <v>0.12605872140584917</v>
      </c>
      <c r="Q2921" s="1">
        <v>2.9349293103673291</v>
      </c>
      <c r="R2921" s="2">
        <f t="shared" si="183"/>
        <v>152.77494346059066</v>
      </c>
      <c r="S2921" s="2">
        <f t="shared" si="182"/>
        <v>3.1432949409903883</v>
      </c>
      <c r="T2921" s="2">
        <f t="shared" si="184"/>
        <v>7.4590153576371687</v>
      </c>
      <c r="U2921" s="2">
        <f t="shared" si="185"/>
        <v>163.37725375921821</v>
      </c>
    </row>
    <row r="2922" spans="1:21" x14ac:dyDescent="0.25">
      <c r="A2922">
        <v>4428977</v>
      </c>
      <c r="B2922">
        <v>4</v>
      </c>
      <c r="C2922" s="1">
        <f>5.77722265709695*(10.3/7.3)</f>
        <v>8.1514237490545955</v>
      </c>
      <c r="D2922" s="1">
        <f>7.97103774412352*(10.3/7.3)</f>
        <v>11.24680668006469</v>
      </c>
      <c r="E2922" s="1">
        <f>28.1130331995663*(10.3/7.3)</f>
        <v>39.666334514456587</v>
      </c>
      <c r="F2922" s="1">
        <f>53.8338397774764*(38.9/42.5)</f>
        <v>49.273796878678368</v>
      </c>
      <c r="G2922" s="1">
        <v>1.9106546626174361</v>
      </c>
      <c r="H2922" s="1">
        <v>5.3980512070731681</v>
      </c>
      <c r="I2922" s="1">
        <v>38.369081719555638</v>
      </c>
      <c r="J2922" s="1">
        <v>4.6734646182003126E-2</v>
      </c>
      <c r="K2922" s="1">
        <v>2.9913666615475849</v>
      </c>
      <c r="L2922" s="1">
        <v>4.6878364796558731</v>
      </c>
      <c r="M2922" s="1">
        <v>0.20060235276628036</v>
      </c>
      <c r="N2922" s="1">
        <v>2.3224727137868797</v>
      </c>
      <c r="O2922" s="1">
        <v>0.17293333333333333</v>
      </c>
      <c r="P2922" s="1">
        <v>0.1248903905511109</v>
      </c>
      <c r="Q2922" s="1">
        <v>3.0535576799822071</v>
      </c>
      <c r="R2922" s="2">
        <f t="shared" si="183"/>
        <v>157.06970709148268</v>
      </c>
      <c r="S2922" s="2">
        <f t="shared" si="182"/>
        <v>3.1629916982806989</v>
      </c>
      <c r="T2922" s="2">
        <f t="shared" si="184"/>
        <v>7.3838448795423659</v>
      </c>
      <c r="U2922" s="2">
        <f t="shared" si="185"/>
        <v>167.61654366930577</v>
      </c>
    </row>
    <row r="2923" spans="1:21" x14ac:dyDescent="0.25">
      <c r="A2923">
        <v>4428985</v>
      </c>
      <c r="B2923">
        <v>2</v>
      </c>
      <c r="C2923" s="1">
        <f>5.36499063709727*(10.3/7.3)</f>
        <v>7.5697813098769648</v>
      </c>
      <c r="D2923" s="1">
        <f>10.235258472547*(10.3/7.3)</f>
        <v>14.441529077703263</v>
      </c>
      <c r="E2923" s="1">
        <f>34.5350404776775*(10.3/7.3)</f>
        <v>48.727522865764101</v>
      </c>
      <c r="F2923" s="1">
        <f>124.257451530998*(38.9/42.5)</f>
        <v>113.73211446013728</v>
      </c>
      <c r="G2923" s="1">
        <v>7.3818919437360435</v>
      </c>
      <c r="H2923" s="1">
        <v>15.290559486370292</v>
      </c>
      <c r="I2923" s="1">
        <v>94.510767757047645</v>
      </c>
      <c r="J2923" s="1">
        <v>4.5236795255705037E-2</v>
      </c>
      <c r="K2923" s="1">
        <v>2.8655235901807776</v>
      </c>
      <c r="L2923" s="1">
        <v>4.4622662250269745</v>
      </c>
      <c r="M2923" s="1">
        <v>0.18983871750379286</v>
      </c>
      <c r="N2923" s="1">
        <v>2.4379179404568183</v>
      </c>
      <c r="O2923" s="1">
        <v>0.16122666666666668</v>
      </c>
      <c r="P2923" s="1">
        <v>0.11776815090277119</v>
      </c>
      <c r="Q2923" s="1">
        <v>11.797544202317891</v>
      </c>
      <c r="R2923" s="2">
        <f t="shared" si="183"/>
        <v>313.45171110295348</v>
      </c>
      <c r="S2923" s="2">
        <f t="shared" si="182"/>
        <v>3.0285285363392536</v>
      </c>
      <c r="T2923" s="2">
        <f t="shared" si="184"/>
        <v>7.2512495496542533</v>
      </c>
      <c r="U2923" s="2">
        <f t="shared" si="185"/>
        <v>323.73148918894697</v>
      </c>
    </row>
    <row r="2924" spans="1:21" x14ac:dyDescent="0.25">
      <c r="A2924">
        <v>4428993</v>
      </c>
      <c r="B2924">
        <v>63</v>
      </c>
      <c r="C2924" s="1">
        <f>4.75844279213462*(10.3/7.3)</f>
        <v>6.7139672272584416</v>
      </c>
      <c r="D2924" s="1">
        <f>6.35753835704603*(10.3/7.3)</f>
        <v>8.9702253530923439</v>
      </c>
      <c r="E2924" s="1">
        <f>22.4255337515521*(10.3/7.3)</f>
        <v>31.641506526162548</v>
      </c>
      <c r="F2924" s="1">
        <f>44.3002036127146*(38.9/42.5)</f>
        <v>40.547715777284644</v>
      </c>
      <c r="G2924" s="1">
        <v>1.6272044201557689</v>
      </c>
      <c r="H2924" s="1">
        <v>6.1365702583386676</v>
      </c>
      <c r="I2924" s="1">
        <v>32.164483768290246</v>
      </c>
      <c r="J2924" s="1">
        <v>4.3602488284770063E-2</v>
      </c>
      <c r="K2924" s="1">
        <v>2.7707142942859626</v>
      </c>
      <c r="L2924" s="1">
        <v>4.3902732269832985</v>
      </c>
      <c r="M2924" s="1">
        <v>0.17884258820218543</v>
      </c>
      <c r="N2924" s="1">
        <v>2.1999801578570959</v>
      </c>
      <c r="O2924" s="1">
        <v>0.15278052910052906</v>
      </c>
      <c r="P2924" s="1">
        <v>0.11453706723552216</v>
      </c>
      <c r="Q2924" s="1">
        <v>2.6005550093813694</v>
      </c>
      <c r="R2924" s="2">
        <f t="shared" si="183"/>
        <v>130.40222833996401</v>
      </c>
      <c r="S2924" s="2">
        <f t="shared" si="182"/>
        <v>2.9288538498062548</v>
      </c>
      <c r="T2924" s="2">
        <f t="shared" si="184"/>
        <v>6.9218765021431086</v>
      </c>
      <c r="U2924" s="2">
        <f t="shared" si="185"/>
        <v>140.25295869191336</v>
      </c>
    </row>
    <row r="2925" spans="1:21" x14ac:dyDescent="0.25">
      <c r="A2925">
        <v>4429001</v>
      </c>
      <c r="B2925">
        <v>58</v>
      </c>
      <c r="C2925" s="1">
        <f>4.28508420696051*(10.3/7.3)</f>
        <v>6.046077716670311</v>
      </c>
      <c r="D2925" s="1">
        <f>5.5894337094809*(10.3/7.3)</f>
        <v>7.8864612613223608</v>
      </c>
      <c r="E2925" s="1">
        <f>19.7491100972606*(10.3/7.3)</f>
        <v>27.865182739970368</v>
      </c>
      <c r="F2925" s="1">
        <f>38.3710696870474*(38.9/42.5)</f>
        <v>35.120814372379883</v>
      </c>
      <c r="G2925" s="1">
        <v>1.3716548264640047</v>
      </c>
      <c r="H2925" s="1">
        <v>4.0224475735044951</v>
      </c>
      <c r="I2925" s="1">
        <v>27.981206114402617</v>
      </c>
      <c r="J2925" s="1">
        <v>3.9223736579613797E-2</v>
      </c>
      <c r="K2925" s="1">
        <v>2.5628354357688563</v>
      </c>
      <c r="L2925" s="1">
        <v>3.9292086465243448</v>
      </c>
      <c r="M2925" s="1">
        <v>0.16345730465270353</v>
      </c>
      <c r="N2925" s="1">
        <v>2.8106512949070064</v>
      </c>
      <c r="O2925" s="1">
        <v>0.13907586206896558</v>
      </c>
      <c r="P2925" s="1">
        <v>0.10670565407642899</v>
      </c>
      <c r="Q2925" s="1">
        <v>2.1921424167232968</v>
      </c>
      <c r="R2925" s="2">
        <f t="shared" si="183"/>
        <v>112.48598702143735</v>
      </c>
      <c r="S2925" s="2">
        <f t="shared" si="182"/>
        <v>2.7087648264248991</v>
      </c>
      <c r="T2925" s="2">
        <f t="shared" si="184"/>
        <v>7.0423931081530204</v>
      </c>
      <c r="U2925" s="2">
        <f t="shared" si="185"/>
        <v>122.23714495601527</v>
      </c>
    </row>
    <row r="2926" spans="1:21" x14ac:dyDescent="0.25">
      <c r="A2926">
        <v>4429009</v>
      </c>
      <c r="B2926">
        <v>68</v>
      </c>
      <c r="C2926" s="1">
        <f>3.9881895768369*(10.3/7.3)</f>
        <v>5.627171594715084</v>
      </c>
      <c r="D2926" s="1">
        <f>5.06692520478456*(10.3/7.3)</f>
        <v>7.1492232341480726</v>
      </c>
      <c r="E2926" s="1">
        <f>17.9249797637029*(10.3/7.3)</f>
        <v>25.291409803580855</v>
      </c>
      <c r="F2926" s="1">
        <f>34.7588527011995*(38.9/42.5)</f>
        <v>31.814573413568517</v>
      </c>
      <c r="G2926" s="1">
        <v>1.2316985871665085</v>
      </c>
      <c r="H2926" s="1">
        <v>3.6040374702724218</v>
      </c>
      <c r="I2926" s="1">
        <v>25.570848188338957</v>
      </c>
      <c r="J2926" s="1">
        <v>3.7709102190178624E-2</v>
      </c>
      <c r="K2926" s="1">
        <v>2.4823202663532147</v>
      </c>
      <c r="L2926" s="1">
        <v>3.7897755450559969</v>
      </c>
      <c r="M2926" s="1">
        <v>0.1550130931502238</v>
      </c>
      <c r="N2926" s="1">
        <v>2.0499303879157118</v>
      </c>
      <c r="O2926" s="1">
        <v>0.13205960784313725</v>
      </c>
      <c r="P2926" s="1">
        <v>0.10312001829944514</v>
      </c>
      <c r="Q2926" s="1">
        <v>1.9684680616816366</v>
      </c>
      <c r="R2926" s="2">
        <f t="shared" si="183"/>
        <v>102.25743035347203</v>
      </c>
      <c r="S2926" s="2">
        <f t="shared" si="182"/>
        <v>2.6231493868428384</v>
      </c>
      <c r="T2926" s="2">
        <f t="shared" si="184"/>
        <v>6.1267786339650705</v>
      </c>
      <c r="U2926" s="2">
        <f t="shared" si="185"/>
        <v>111.00735837427995</v>
      </c>
    </row>
    <row r="2927" spans="1:21" x14ac:dyDescent="0.25">
      <c r="A2927">
        <v>4429017</v>
      </c>
      <c r="B2927">
        <v>68</v>
      </c>
      <c r="C2927" s="1">
        <f>8.72815493893892*(10.3/7.3)</f>
        <v>12.315067927543959</v>
      </c>
      <c r="D2927" s="1">
        <f>10.9557054016397*(10.3/7.3)</f>
        <v>15.458050087245036</v>
      </c>
      <c r="E2927" s="1">
        <f>38.7315857418746*(10.3/7.3)</f>
        <v>54.648675772781978</v>
      </c>
      <c r="F2927" s="1">
        <f>77.461937890597*(38.9/42.5)</f>
        <v>70.900456092805285</v>
      </c>
      <c r="G2927" s="1">
        <v>2.8517575249040998</v>
      </c>
      <c r="H2927" s="1">
        <v>6.2234971940254047</v>
      </c>
      <c r="I2927" s="1">
        <v>57.60175200878853</v>
      </c>
      <c r="J2927" s="1">
        <v>6.7915346536821644E-2</v>
      </c>
      <c r="K2927" s="1">
        <v>3.8739518228160601</v>
      </c>
      <c r="L2927" s="1">
        <v>6.7457082218034099</v>
      </c>
      <c r="M2927" s="1">
        <v>0.24342597760443874</v>
      </c>
      <c r="N2927" s="1">
        <v>3.1529199714218268</v>
      </c>
      <c r="O2927" s="1">
        <v>0.20310666666666666</v>
      </c>
      <c r="P2927" s="1">
        <v>0.14128408530821557</v>
      </c>
      <c r="Q2927" s="1">
        <v>4.5576033503033599</v>
      </c>
      <c r="R2927" s="2">
        <f t="shared" si="183"/>
        <v>224.55685995839767</v>
      </c>
      <c r="S2927" s="2">
        <f t="shared" si="182"/>
        <v>4.0831512546610975</v>
      </c>
      <c r="T2927" s="2">
        <f t="shared" si="184"/>
        <v>10.345160837496342</v>
      </c>
      <c r="U2927" s="2">
        <f t="shared" si="185"/>
        <v>238.98517205055509</v>
      </c>
    </row>
    <row r="2928" spans="1:21" x14ac:dyDescent="0.25">
      <c r="A2928">
        <v>4429025</v>
      </c>
      <c r="B2928">
        <v>66</v>
      </c>
      <c r="C2928" s="1">
        <f>7.76976190656955*(10.3/7.3)</f>
        <v>10.96281474488581</v>
      </c>
      <c r="D2928" s="1">
        <f>9.7013989802136*(10.3/7.3)</f>
        <v>13.688275273452064</v>
      </c>
      <c r="E2928" s="1">
        <f>34.2926428505764*(10.3/7.3)</f>
        <v>48.385509775470865</v>
      </c>
      <c r="F2928" s="1">
        <f>69.2281435542276*(38.9/42.5)</f>
        <v>63.364112570810683</v>
      </c>
      <c r="G2928" s="1">
        <v>2.5760539935791353</v>
      </c>
      <c r="H2928" s="1">
        <v>5.779765525613727</v>
      </c>
      <c r="I2928" s="1">
        <v>51.669851921600667</v>
      </c>
      <c r="J2928" s="1">
        <v>6.1675223775033101E-2</v>
      </c>
      <c r="K2928" s="1">
        <v>3.6276559821525818</v>
      </c>
      <c r="L2928" s="1">
        <v>6.0944690690983911</v>
      </c>
      <c r="M2928" s="1">
        <v>0.22302548229785754</v>
      </c>
      <c r="N2928" s="1">
        <v>2.7775059736703103</v>
      </c>
      <c r="O2928" s="1">
        <v>0.18728969696969694</v>
      </c>
      <c r="P2928" s="1">
        <v>0.13217129856278689</v>
      </c>
      <c r="Q2928" s="1">
        <v>4.1169812682771596</v>
      </c>
      <c r="R2928" s="2">
        <f t="shared" si="183"/>
        <v>200.5433650736901</v>
      </c>
      <c r="S2928" s="2">
        <f t="shared" si="182"/>
        <v>3.8215025044904021</v>
      </c>
      <c r="T2928" s="2">
        <f t="shared" si="184"/>
        <v>9.2822902220362575</v>
      </c>
      <c r="U2928" s="2">
        <f t="shared" si="185"/>
        <v>213.64715780021677</v>
      </c>
    </row>
    <row r="2929" spans="1:21" x14ac:dyDescent="0.25">
      <c r="A2929">
        <v>4429033</v>
      </c>
      <c r="B2929">
        <v>66</v>
      </c>
      <c r="C2929" s="1">
        <f>7.81173341438829*(10.3/7.3)</f>
        <v>11.022034817561561</v>
      </c>
      <c r="D2929" s="1">
        <f>9.63278795042054*(10.3/7.3)</f>
        <v>13.591467930045416</v>
      </c>
      <c r="E2929" s="1">
        <f>34.0514642828504*(10.3/7.3)</f>
        <v>48.045216727857422</v>
      </c>
      <c r="F2929" s="1">
        <f>69.6485093903602*(38.9/42.5)</f>
        <v>63.748870947882629</v>
      </c>
      <c r="G2929" s="1">
        <v>2.6271166314298986</v>
      </c>
      <c r="H2929" s="1">
        <v>5.790708002745224</v>
      </c>
      <c r="I2929" s="1">
        <v>52.339011436573301</v>
      </c>
      <c r="J2929" s="1">
        <v>6.1310436833844323E-2</v>
      </c>
      <c r="K2929" s="1">
        <v>3.6194955324066398</v>
      </c>
      <c r="L2929" s="1">
        <v>6.0736509255741788</v>
      </c>
      <c r="M2929" s="1">
        <v>0.21807775317549491</v>
      </c>
      <c r="N2929" s="1">
        <v>2.7209882587503942</v>
      </c>
      <c r="O2929" s="1">
        <v>0.18312484848484847</v>
      </c>
      <c r="P2929" s="1">
        <v>0.12986942506881352</v>
      </c>
      <c r="Q2929" s="1">
        <v>4.198588223746416</v>
      </c>
      <c r="R2929" s="2">
        <f t="shared" si="183"/>
        <v>201.36301471784185</v>
      </c>
      <c r="S2929" s="2">
        <f t="shared" si="182"/>
        <v>3.8106753943092979</v>
      </c>
      <c r="T2929" s="2">
        <f t="shared" si="184"/>
        <v>9.195841785984916</v>
      </c>
      <c r="U2929" s="2">
        <f t="shared" si="185"/>
        <v>214.36953189813607</v>
      </c>
    </row>
    <row r="2930" spans="1:21" x14ac:dyDescent="0.25">
      <c r="A2930">
        <v>4429041</v>
      </c>
      <c r="B2930">
        <v>66</v>
      </c>
      <c r="C2930" s="1">
        <f>9.00495532020671*(10.3/7.3)</f>
        <v>12.705621890154674</v>
      </c>
      <c r="D2930" s="1">
        <f>10.9197928630206*(10.3/7.3)</f>
        <v>15.40737897111126</v>
      </c>
      <c r="E2930" s="1">
        <f>38.60482559333*(10.3/7.3)</f>
        <v>54.469822412506666</v>
      </c>
      <c r="F2930" s="1">
        <f>80.2716866019276*(38.9/42.5)</f>
        <v>73.472202560352542</v>
      </c>
      <c r="G2930" s="1">
        <v>3.0775928157166441</v>
      </c>
      <c r="H2930" s="1">
        <v>6.3410891548382358</v>
      </c>
      <c r="I2930" s="1">
        <v>60.850164121381567</v>
      </c>
      <c r="J2930" s="1">
        <v>6.7186631127931593E-2</v>
      </c>
      <c r="K2930" s="1">
        <v>3.9032058883187095</v>
      </c>
      <c r="L2930" s="1">
        <v>6.6618598567203877</v>
      </c>
      <c r="M2930" s="1">
        <v>0.23036933986678471</v>
      </c>
      <c r="N2930" s="1">
        <v>2.8352916754284108</v>
      </c>
      <c r="O2930" s="1">
        <v>0.1927547474747475</v>
      </c>
      <c r="P2930" s="1">
        <v>0.13525403048834905</v>
      </c>
      <c r="Q2930" s="1">
        <v>4.9185273310540039</v>
      </c>
      <c r="R2930" s="2">
        <f t="shared" si="183"/>
        <v>231.24239925711564</v>
      </c>
      <c r="S2930" s="2">
        <f t="shared" si="182"/>
        <v>4.1056465499349901</v>
      </c>
      <c r="T2930" s="2">
        <f t="shared" si="184"/>
        <v>9.9202756194903312</v>
      </c>
      <c r="U2930" s="2">
        <f t="shared" si="185"/>
        <v>245.26832142654095</v>
      </c>
    </row>
    <row r="2931" spans="1:21" x14ac:dyDescent="0.25">
      <c r="A2931">
        <v>4429049</v>
      </c>
      <c r="B2931">
        <v>64</v>
      </c>
      <c r="C2931" s="1">
        <f>8.95279078579918*(10.3/7.3)</f>
        <v>12.632019875853636</v>
      </c>
      <c r="D2931" s="1">
        <f>10.7510760522599*(10.3/7.3)</f>
        <v>15.169326484695477</v>
      </c>
      <c r="E2931" s="1">
        <f>37.9983163387797*(10.3/7.3)</f>
        <v>53.614062779374152</v>
      </c>
      <c r="F2931" s="1">
        <f>80.3934392972373*(38.9/42.5)</f>
        <v>73.583642086177178</v>
      </c>
      <c r="G2931" s="1">
        <v>3.1390979133833756</v>
      </c>
      <c r="H2931" s="1">
        <v>6.4638786987310999</v>
      </c>
      <c r="I2931" s="1">
        <v>61.330665558682938</v>
      </c>
      <c r="J2931" s="1">
        <v>6.779273822825603E-2</v>
      </c>
      <c r="K2931" s="1">
        <v>3.8993178616251587</v>
      </c>
      <c r="L2931" s="1">
        <v>6.5437281371259504</v>
      </c>
      <c r="M2931" s="1">
        <v>0.22509361192197536</v>
      </c>
      <c r="N2931" s="1">
        <v>2.7582598592255669</v>
      </c>
      <c r="O2931" s="1">
        <v>0.18766833333333335</v>
      </c>
      <c r="P2931" s="1">
        <v>0.13301102901260065</v>
      </c>
      <c r="Q2931" s="1">
        <v>5.0168231492428426</v>
      </c>
      <c r="R2931" s="2">
        <f t="shared" si="183"/>
        <v>230.9495165461407</v>
      </c>
      <c r="S2931" s="2">
        <f t="shared" si="182"/>
        <v>4.1001216288660158</v>
      </c>
      <c r="T2931" s="2">
        <f t="shared" si="184"/>
        <v>9.7147499416068257</v>
      </c>
      <c r="U2931" s="2">
        <f t="shared" si="185"/>
        <v>244.76438811661353</v>
      </c>
    </row>
    <row r="2932" spans="1:21" x14ac:dyDescent="0.25">
      <c r="A2932">
        <v>4429057</v>
      </c>
      <c r="B2932">
        <v>15</v>
      </c>
      <c r="C2932" s="1">
        <f>8.86809984151322*(10.3/7.3)</f>
        <v>12.512524433915907</v>
      </c>
      <c r="D2932" s="1">
        <f>10.6225171760624*(10.3/7.3)</f>
        <v>14.987935193622242</v>
      </c>
      <c r="E2932" s="1">
        <f>37.5080778551911*(10.3/7.3)</f>
        <v>52.922356425817576</v>
      </c>
      <c r="F2932" s="1">
        <f>81.3955509076971*(38.9/42.5)</f>
        <v>74.500868948456869</v>
      </c>
      <c r="G2932" s="1">
        <v>3.2682754341205769</v>
      </c>
      <c r="H2932" s="1">
        <v>6.4577308715357367</v>
      </c>
      <c r="I2932" s="1">
        <v>62.418655810429641</v>
      </c>
      <c r="J2932" s="1">
        <v>7.721555893185604E-2</v>
      </c>
      <c r="K2932" s="1">
        <v>3.6274615979116334</v>
      </c>
      <c r="L2932" s="1">
        <v>5.8033921038596441</v>
      </c>
      <c r="M2932" s="1">
        <v>0.20353803970716125</v>
      </c>
      <c r="N2932" s="1">
        <v>2.679421587027079</v>
      </c>
      <c r="O2932" s="1">
        <v>0.17215644444444445</v>
      </c>
      <c r="P2932" s="1">
        <v>0.12277278045586866</v>
      </c>
      <c r="Q2932" s="1">
        <v>5.2232712417452207</v>
      </c>
      <c r="R2932" s="2">
        <f t="shared" si="183"/>
        <v>232.29161835964376</v>
      </c>
      <c r="S2932" s="2">
        <f t="shared" si="182"/>
        <v>3.8274499372993582</v>
      </c>
      <c r="T2932" s="2">
        <f t="shared" si="184"/>
        <v>8.8585081750383292</v>
      </c>
      <c r="U2932" s="2">
        <f t="shared" si="185"/>
        <v>244.97757647198145</v>
      </c>
    </row>
    <row r="2933" spans="1:21" x14ac:dyDescent="0.25">
      <c r="A2933">
        <v>4429073</v>
      </c>
      <c r="B2933">
        <v>7</v>
      </c>
      <c r="C2933" s="1">
        <f>3.8478971451371*(10.3/7.3)</f>
        <v>5.4292247390290553</v>
      </c>
      <c r="D2933" s="1">
        <f>4.83099792643128*(10.3/7.3)</f>
        <v>6.8163395400331757</v>
      </c>
      <c r="E2933" s="1">
        <f>16.9215183429158*(10.3/7.3)</f>
        <v>23.875566976990843</v>
      </c>
      <c r="F2933" s="1">
        <f>41.7811264544276*(38.9/42.5)</f>
        <v>38.242019272405528</v>
      </c>
      <c r="G2933" s="1">
        <v>1.9129155203036923</v>
      </c>
      <c r="H2933" s="1">
        <v>8.0546083661412684</v>
      </c>
      <c r="I2933" s="1">
        <v>32.279058960388561</v>
      </c>
      <c r="J2933" s="1">
        <v>3.6011464115546989E-2</v>
      </c>
      <c r="K2933" s="1">
        <v>2.4206875309733675</v>
      </c>
      <c r="L2933" s="1">
        <v>4.6742555223513591</v>
      </c>
      <c r="M2933" s="1">
        <v>0.12821681744794164</v>
      </c>
      <c r="N2933" s="1">
        <v>1.6209195502755167</v>
      </c>
      <c r="O2933" s="1">
        <v>0.10743619047619046</v>
      </c>
      <c r="P2933" s="1">
        <v>8.6801984216915359E-2</v>
      </c>
      <c r="Q2933" s="1">
        <v>3.0571709228597856</v>
      </c>
      <c r="R2933" s="2">
        <f t="shared" si="183"/>
        <v>119.66690429815192</v>
      </c>
      <c r="S2933" s="2">
        <f t="shared" si="182"/>
        <v>2.5435009793058301</v>
      </c>
      <c r="T2933" s="2">
        <f t="shared" si="184"/>
        <v>6.5308280805510073</v>
      </c>
      <c r="U2933" s="2">
        <f t="shared" si="185"/>
        <v>128.74123335800877</v>
      </c>
    </row>
    <row r="2934" spans="1:21" x14ac:dyDescent="0.25">
      <c r="A2934">
        <v>4440597</v>
      </c>
      <c r="B2934">
        <v>33</v>
      </c>
      <c r="C2934" s="1">
        <f>0.673221778467635*(10.3/7.3)</f>
        <v>0.94988826276940319</v>
      </c>
      <c r="D2934" s="1">
        <f>0.901281243611504*(10.3/7.3)</f>
        <v>1.2716707957806148</v>
      </c>
      <c r="E2934" s="1">
        <f>3.14506662859033*(10.3/7.3)</f>
        <v>4.4375597636274549</v>
      </c>
      <c r="F2934" s="1">
        <f>7.91974250269896*(38.9/42.5)</f>
        <v>7.2488937259997579</v>
      </c>
      <c r="G2934" s="1">
        <v>0.37173795437067164</v>
      </c>
      <c r="H2934" s="1">
        <v>1.5762969126996087</v>
      </c>
      <c r="I2934" s="1">
        <v>6.0365938495888365</v>
      </c>
      <c r="J2934" s="1">
        <v>4.761414659713565E-2</v>
      </c>
      <c r="K2934" s="1">
        <v>3.2620256749378913</v>
      </c>
      <c r="L2934" s="1">
        <v>2.5655492191803342</v>
      </c>
      <c r="M2934" s="1">
        <v>0.27065070041302125</v>
      </c>
      <c r="N2934" s="1">
        <v>1.320917753894727</v>
      </c>
      <c r="O2934" s="1">
        <v>0.86333737373737374</v>
      </c>
      <c r="P2934" s="1">
        <v>0.30477019474691486</v>
      </c>
      <c r="Q2934" s="1">
        <v>0.59410175356043482</v>
      </c>
      <c r="R2934" s="2">
        <f t="shared" si="183"/>
        <v>22.486743018396783</v>
      </c>
      <c r="S2934" s="2">
        <f t="shared" si="182"/>
        <v>3.6144100162819419</v>
      </c>
      <c r="T2934" s="2">
        <f t="shared" si="184"/>
        <v>5.0204550472254565</v>
      </c>
      <c r="U2934" s="2">
        <f t="shared" si="185"/>
        <v>31.121608081904181</v>
      </c>
    </row>
    <row r="2935" spans="1:21" x14ac:dyDescent="0.25">
      <c r="A2935">
        <v>4441133</v>
      </c>
      <c r="B2935">
        <v>66</v>
      </c>
      <c r="C2935" s="1">
        <f>14.0078624966104*(10.3/7.3)</f>
        <v>19.764518317135177</v>
      </c>
      <c r="D2935" s="1">
        <f>21.1516592022924*(10.3/7.3)</f>
        <v>29.844121888165986</v>
      </c>
      <c r="E2935" s="1">
        <f>74.5349000995535*(10.3/7.3)</f>
        <v>105.16568096238369</v>
      </c>
      <c r="F2935" s="1">
        <f>132.686944172286*(38.9/42.5)</f>
        <v>121.4475794894568</v>
      </c>
      <c r="G2935" s="1">
        <v>4.3182637271641937</v>
      </c>
      <c r="H2935" s="1">
        <v>8.0811974949584648</v>
      </c>
      <c r="I2935" s="1">
        <v>89.730719371193274</v>
      </c>
      <c r="J2935" s="1">
        <v>8.6117106072067129E-2</v>
      </c>
      <c r="K2935" s="1">
        <v>3.934566962354209</v>
      </c>
      <c r="L2935" s="1">
        <v>7.1309133308994603</v>
      </c>
      <c r="M2935" s="1">
        <v>0.31080055357395597</v>
      </c>
      <c r="N2935" s="1">
        <v>3.3687748431830022</v>
      </c>
      <c r="O2935" s="1">
        <v>0.25511999999999996</v>
      </c>
      <c r="P2935" s="1">
        <v>0.16810875129129188</v>
      </c>
      <c r="Q2935" s="1">
        <v>6.901334723778402</v>
      </c>
      <c r="R2935" s="2">
        <f t="shared" si="183"/>
        <v>385.25341597423602</v>
      </c>
      <c r="S2935" s="2">
        <f t="shared" si="182"/>
        <v>4.1887928197175679</v>
      </c>
      <c r="T2935" s="2">
        <f t="shared" si="184"/>
        <v>11.065608727656418</v>
      </c>
      <c r="U2935" s="2">
        <f t="shared" si="185"/>
        <v>400.50781752160998</v>
      </c>
    </row>
    <row r="2936" spans="1:21" x14ac:dyDescent="0.25">
      <c r="A2936">
        <v>4441141</v>
      </c>
      <c r="B2936">
        <v>64</v>
      </c>
      <c r="C2936" s="1">
        <f>11.6965234696376*(10.3/7.3)</f>
        <v>16.503313936611988</v>
      </c>
      <c r="D2936" s="1">
        <f>18.0889679237783*(10.3/7.3)</f>
        <v>25.522790358207782</v>
      </c>
      <c r="E2936" s="1">
        <f>63.6794272102103*(10.3/7.3)</f>
        <v>89.849054830844679</v>
      </c>
      <c r="F2936" s="1">
        <f>113.682731543144*(38.9/42.5)</f>
        <v>104.05313545948907</v>
      </c>
      <c r="G2936" s="1">
        <v>3.7370157371782207</v>
      </c>
      <c r="H2936" s="1">
        <v>6.848599017530165</v>
      </c>
      <c r="I2936" s="1">
        <v>76.303306498323835</v>
      </c>
      <c r="J2936" s="1">
        <v>7.7147278711396136E-2</v>
      </c>
      <c r="K2936" s="1">
        <v>3.8221927177533233</v>
      </c>
      <c r="L2936" s="1">
        <v>6.8080804286446845</v>
      </c>
      <c r="M2936" s="1">
        <v>0.29599960417890669</v>
      </c>
      <c r="N2936" s="1">
        <v>3.7957152673698773</v>
      </c>
      <c r="O2936" s="1">
        <v>0.24456333333333333</v>
      </c>
      <c r="P2936" s="1">
        <v>0.16251236644137546</v>
      </c>
      <c r="Q2936" s="1">
        <v>5.9723995799651988</v>
      </c>
      <c r="R2936" s="2">
        <f t="shared" si="183"/>
        <v>328.78961541815096</v>
      </c>
      <c r="S2936" s="2">
        <f t="shared" si="182"/>
        <v>4.0618523629060945</v>
      </c>
      <c r="T2936" s="2">
        <f t="shared" si="184"/>
        <v>11.144358633526803</v>
      </c>
      <c r="U2936" s="2">
        <f t="shared" si="185"/>
        <v>343.99582641458386</v>
      </c>
    </row>
    <row r="2937" spans="1:21" x14ac:dyDescent="0.25">
      <c r="A2937">
        <v>4441149</v>
      </c>
      <c r="B2937">
        <v>67</v>
      </c>
      <c r="C2937" s="1">
        <f>5.60033948231736*(10.3/7.3)</f>
        <v>7.9018488586121673</v>
      </c>
      <c r="D2937" s="1">
        <f>8.53952419465027*(10.3/7.3)</f>
        <v>12.048917699301073</v>
      </c>
      <c r="E2937" s="1">
        <f>30.0679174793348*(10.3/7.3)</f>
        <v>42.424595895499721</v>
      </c>
      <c r="F2937" s="1">
        <f>54.1758096344846*(38.9/42.5)</f>
        <v>49.586799877210595</v>
      </c>
      <c r="G2937" s="1">
        <v>1.8006012807397456</v>
      </c>
      <c r="H2937" s="1">
        <v>4.4233647744258011</v>
      </c>
      <c r="I2937" s="1">
        <v>36.653003254672129</v>
      </c>
      <c r="J2937" s="1">
        <v>4.5338695477277632E-2</v>
      </c>
      <c r="K2937" s="1">
        <v>2.7469852107724138</v>
      </c>
      <c r="L2937" s="1">
        <v>4.3180457735309519</v>
      </c>
      <c r="M2937" s="1">
        <v>0.19793372025277739</v>
      </c>
      <c r="N2937" s="1">
        <v>2.1599043161541367</v>
      </c>
      <c r="O2937" s="1">
        <v>0.16920756218905475</v>
      </c>
      <c r="P2937" s="1">
        <v>0.12670838624863623</v>
      </c>
      <c r="Q2937" s="1">
        <v>2.877673279721058</v>
      </c>
      <c r="R2937" s="2">
        <f t="shared" si="183"/>
        <v>157.71680492018228</v>
      </c>
      <c r="S2937" s="2">
        <f t="shared" si="182"/>
        <v>2.9190322924983274</v>
      </c>
      <c r="T2937" s="2">
        <f t="shared" si="184"/>
        <v>6.8450913721269204</v>
      </c>
      <c r="U2937" s="2">
        <f t="shared" si="185"/>
        <v>167.48092858480751</v>
      </c>
    </row>
    <row r="2938" spans="1:21" x14ac:dyDescent="0.25">
      <c r="A2938">
        <v>4441157</v>
      </c>
      <c r="B2938">
        <v>67</v>
      </c>
      <c r="C2938" s="1">
        <f>6.30715882297583*(10.3/7.3)</f>
        <v>8.8991419009111077</v>
      </c>
      <c r="D2938" s="1">
        <f>9.49488940342244*(10.3/7.3)</f>
        <v>13.396898747294676</v>
      </c>
      <c r="E2938" s="1">
        <f>33.43951973473*(10.3/7.3)</f>
        <v>47.181788118865654</v>
      </c>
      <c r="F2938" s="1">
        <f>60.6697749620888*(38.9/42.5)</f>
        <v>55.530688141770696</v>
      </c>
      <c r="G2938" s="1">
        <v>2.031861914112473</v>
      </c>
      <c r="H2938" s="1">
        <v>4.9366030343409841</v>
      </c>
      <c r="I2938" s="1">
        <v>41.321051192917992</v>
      </c>
      <c r="J2938" s="1">
        <v>4.7934776199902926E-2</v>
      </c>
      <c r="K2938" s="1">
        <v>2.949075990244594</v>
      </c>
      <c r="L2938" s="1">
        <v>4.7314968292131105</v>
      </c>
      <c r="M2938" s="1">
        <v>0.21221736150024917</v>
      </c>
      <c r="N2938" s="1">
        <v>2.2778185453966082</v>
      </c>
      <c r="O2938" s="1">
        <v>0.18148378109452745</v>
      </c>
      <c r="P2938" s="1">
        <v>0.13267966321651822</v>
      </c>
      <c r="Q2938" s="1">
        <v>3.2472678992665127</v>
      </c>
      <c r="R2938" s="2">
        <f t="shared" si="183"/>
        <v>176.54530094948009</v>
      </c>
      <c r="S2938" s="2">
        <f t="shared" si="182"/>
        <v>3.1296904296610148</v>
      </c>
      <c r="T2938" s="2">
        <f t="shared" si="184"/>
        <v>7.4030165172044953</v>
      </c>
      <c r="U2938" s="2">
        <f t="shared" si="185"/>
        <v>187.07800789634561</v>
      </c>
    </row>
    <row r="2939" spans="1:21" x14ac:dyDescent="0.25">
      <c r="A2939">
        <v>4441165</v>
      </c>
      <c r="B2939">
        <v>37</v>
      </c>
      <c r="C2939" s="1">
        <f>6.72176629451363*(10.3/7.3)</f>
        <v>9.4841360045877217</v>
      </c>
      <c r="D2939" s="1">
        <f>9.98369533360906*(10.3/7.3)</f>
        <v>14.086583826873055</v>
      </c>
      <c r="E2939" s="1">
        <f>35.170390399856*(10.3/7.3)</f>
        <v>49.623975495687255</v>
      </c>
      <c r="F2939" s="1">
        <f>64.2435828433144*(38.9/42.5)</f>
        <v>58.801773473057203</v>
      </c>
      <c r="G2939" s="1">
        <v>2.1668938309386085</v>
      </c>
      <c r="H2939" s="1">
        <v>5.1423067402922769</v>
      </c>
      <c r="I2939" s="1">
        <v>44.052719206373354</v>
      </c>
      <c r="J2939" s="1">
        <v>4.9399148779171009E-2</v>
      </c>
      <c r="K2939" s="1">
        <v>3.0883954143731627</v>
      </c>
      <c r="L2939" s="1">
        <v>4.9829454593663121</v>
      </c>
      <c r="M2939" s="1">
        <v>0.22095488308712438</v>
      </c>
      <c r="N2939" s="1">
        <v>2.361116374476822</v>
      </c>
      <c r="O2939" s="1">
        <v>0.1889816216216216</v>
      </c>
      <c r="P2939" s="1">
        <v>0.13644495596128359</v>
      </c>
      <c r="Q2939" s="1">
        <v>3.4630723325502899</v>
      </c>
      <c r="R2939" s="2">
        <f t="shared" si="183"/>
        <v>186.82146091035978</v>
      </c>
      <c r="S2939" s="2">
        <f t="shared" si="182"/>
        <v>3.2742395191136171</v>
      </c>
      <c r="T2939" s="2">
        <f t="shared" si="184"/>
        <v>7.75399833855188</v>
      </c>
      <c r="U2939" s="2">
        <f t="shared" si="185"/>
        <v>197.84969876802526</v>
      </c>
    </row>
    <row r="2940" spans="1:21" x14ac:dyDescent="0.25">
      <c r="A2940">
        <v>4441173</v>
      </c>
      <c r="B2940">
        <v>65</v>
      </c>
      <c r="C2940" s="1">
        <f>6.80754228553018*(10.3/7.3)</f>
        <v>9.605162402871354</v>
      </c>
      <c r="D2940" s="1">
        <f>9.9439488232476*(10.3/7.3)</f>
        <v>14.030503134171273</v>
      </c>
      <c r="E2940" s="1">
        <f>35.0421811830137*(10.3/7.3)</f>
        <v>49.443077559594677</v>
      </c>
      <c r="F2940" s="1">
        <f>64.547881684379*(38.9/42.5)</f>
        <v>59.08029641229038</v>
      </c>
      <c r="G2940" s="1">
        <v>2.1960303186914403</v>
      </c>
      <c r="H2940" s="1">
        <v>5.2275646728514022</v>
      </c>
      <c r="I2940" s="1">
        <v>44.630464404573971</v>
      </c>
      <c r="J2940" s="1">
        <v>5.1103709890666357E-2</v>
      </c>
      <c r="K2940" s="1">
        <v>3.1851318122631973</v>
      </c>
      <c r="L2940" s="1">
        <v>5.1982989352597793</v>
      </c>
      <c r="M2940" s="1">
        <v>0.22527713057219229</v>
      </c>
      <c r="N2940" s="1">
        <v>2.4581120808777426</v>
      </c>
      <c r="O2940" s="1">
        <v>0.19291651282051278</v>
      </c>
      <c r="P2940" s="1">
        <v>0.13777004243477164</v>
      </c>
      <c r="Q2940" s="1">
        <v>3.5096374956255931</v>
      </c>
      <c r="R2940" s="2">
        <f t="shared" si="183"/>
        <v>187.72273640067007</v>
      </c>
      <c r="S2940" s="2">
        <f t="shared" si="182"/>
        <v>3.3740055645886349</v>
      </c>
      <c r="T2940" s="2">
        <f t="shared" si="184"/>
        <v>8.0746046595302268</v>
      </c>
      <c r="U2940" s="2">
        <f t="shared" si="185"/>
        <v>199.17134662478892</v>
      </c>
    </row>
    <row r="2941" spans="1:21" x14ac:dyDescent="0.25">
      <c r="A2941">
        <v>4441181</v>
      </c>
      <c r="B2941">
        <v>65</v>
      </c>
      <c r="C2941" s="1">
        <f>8.61045610558972*(10.3/7.3)</f>
        <v>12.148999710626594</v>
      </c>
      <c r="D2941" s="1">
        <f>12.3946076741682*(10.3/7.3)</f>
        <v>17.488282060812669</v>
      </c>
      <c r="E2941" s="1">
        <f>43.6913026366796*(10.3/7.3)</f>
        <v>61.646632487369814</v>
      </c>
      <c r="F2941" s="1">
        <f>81.0819403868469*(38.9/42.5)</f>
        <v>74.213823083490425</v>
      </c>
      <c r="G2941" s="1">
        <v>2.7795332219095199</v>
      </c>
      <c r="H2941" s="1">
        <v>6.0129189803894896</v>
      </c>
      <c r="I2941" s="1">
        <v>56.47042574359633</v>
      </c>
      <c r="J2941" s="1">
        <v>6.0943242443251139E-2</v>
      </c>
      <c r="K2941" s="1">
        <v>3.6139501802367491</v>
      </c>
      <c r="L2941" s="1">
        <v>6.3048348185612815</v>
      </c>
      <c r="M2941" s="1">
        <v>0.25972004139556004</v>
      </c>
      <c r="N2941" s="1">
        <v>3.0460189980553825</v>
      </c>
      <c r="O2941" s="1">
        <v>0.2169288205128205</v>
      </c>
      <c r="P2941" s="1">
        <v>0.14977249053082678</v>
      </c>
      <c r="Q2941" s="1">
        <v>4.4421763820471831</v>
      </c>
      <c r="R2941" s="2">
        <f t="shared" si="183"/>
        <v>235.20279167024205</v>
      </c>
      <c r="S2941" s="2">
        <f t="shared" si="182"/>
        <v>3.8246659132108269</v>
      </c>
      <c r="T2941" s="2">
        <f t="shared" si="184"/>
        <v>9.8275026785250432</v>
      </c>
      <c r="U2941" s="2">
        <f t="shared" si="185"/>
        <v>248.85496026197791</v>
      </c>
    </row>
    <row r="2942" spans="1:21" x14ac:dyDescent="0.25">
      <c r="A2942">
        <v>4441189</v>
      </c>
      <c r="B2942">
        <v>64</v>
      </c>
      <c r="C2942" s="1">
        <f>4.64754262692754*(10.3/7.3)</f>
        <v>6.5574916516922777</v>
      </c>
      <c r="D2942" s="1">
        <f>6.57115177493138*(10.3/7.3)</f>
        <v>9.2716251070949642</v>
      </c>
      <c r="E2942" s="1">
        <f>23.1739530161961*(10.3/7.3)</f>
        <v>32.697495351619182</v>
      </c>
      <c r="F2942" s="1">
        <f>43.3099347308308*(38.9/42.5)</f>
        <v>39.641328494807489</v>
      </c>
      <c r="G2942" s="1">
        <v>1.493780286997568</v>
      </c>
      <c r="H2942" s="1">
        <v>4.1401259846097016</v>
      </c>
      <c r="I2942" s="1">
        <v>30.412103311523339</v>
      </c>
      <c r="J2942" s="1">
        <v>3.9277082978574428E-2</v>
      </c>
      <c r="K2942" s="1">
        <v>2.6038602363792882</v>
      </c>
      <c r="L2942" s="1">
        <v>4.0518805257003621</v>
      </c>
      <c r="M2942" s="1">
        <v>0.17768883800225116</v>
      </c>
      <c r="N2942" s="1">
        <v>1.9657748884965833</v>
      </c>
      <c r="O2942" s="1">
        <v>0.1525208333333333</v>
      </c>
      <c r="P2942" s="1">
        <v>0.11565942636288978</v>
      </c>
      <c r="Q2942" s="1">
        <v>2.3873200933751102</v>
      </c>
      <c r="R2942" s="2">
        <f t="shared" si="183"/>
        <v>126.60127028171962</v>
      </c>
      <c r="S2942" s="2">
        <f t="shared" si="182"/>
        <v>2.7587967457207525</v>
      </c>
      <c r="T2942" s="2">
        <f t="shared" si="184"/>
        <v>6.34786508553253</v>
      </c>
      <c r="U2942" s="2">
        <f t="shared" si="185"/>
        <v>135.70793211297291</v>
      </c>
    </row>
    <row r="2943" spans="1:21" x14ac:dyDescent="0.25">
      <c r="A2943">
        <v>4441197</v>
      </c>
      <c r="B2943">
        <v>64</v>
      </c>
      <c r="C2943" s="1">
        <f>6.57820615042573*(10.3/7.3)</f>
        <v>9.2815785410116458</v>
      </c>
      <c r="D2943" s="1">
        <f>9.19872328352587*(10.3/7.3)</f>
        <v>12.979020523331027</v>
      </c>
      <c r="E2943" s="1">
        <f>32.4419770903799*(10.3/7.3)</f>
        <v>45.774296442590874</v>
      </c>
      <c r="F2943" s="1">
        <f>61.2788443736881*(38.9/42.5)</f>
        <v>56.088165791446272</v>
      </c>
      <c r="G2943" s="1">
        <v>2.140366425455988</v>
      </c>
      <c r="H2943" s="1">
        <v>5.5059618449245828</v>
      </c>
      <c r="I2943" s="1">
        <v>43.319259500983442</v>
      </c>
      <c r="J2943" s="1">
        <v>5.141556292680205E-2</v>
      </c>
      <c r="K2943" s="1">
        <v>3.1926027149554814</v>
      </c>
      <c r="L2943" s="1">
        <v>5.2749675237528502</v>
      </c>
      <c r="M2943" s="1">
        <v>0.21865678018431603</v>
      </c>
      <c r="N2943" s="1">
        <v>2.4923767782363879</v>
      </c>
      <c r="O2943" s="1">
        <v>0.18680833333333327</v>
      </c>
      <c r="P2943" s="1">
        <v>0.13389535229175756</v>
      </c>
      <c r="Q2943" s="1">
        <v>3.4206769356602584</v>
      </c>
      <c r="R2943" s="2">
        <f t="shared" si="183"/>
        <v>178.50932600540406</v>
      </c>
      <c r="S2943" s="2">
        <f t="shared" si="182"/>
        <v>3.3779136301740409</v>
      </c>
      <c r="T2943" s="2">
        <f t="shared" si="184"/>
        <v>8.1728094155068884</v>
      </c>
      <c r="U2943" s="2">
        <f t="shared" si="185"/>
        <v>190.060049051085</v>
      </c>
    </row>
    <row r="2944" spans="1:21" x14ac:dyDescent="0.25">
      <c r="A2944">
        <v>4441205</v>
      </c>
      <c r="B2944">
        <v>59</v>
      </c>
      <c r="C2944" s="1">
        <f>6.44618412474401*(10.3/7.3)</f>
        <v>9.0953008883374427</v>
      </c>
      <c r="D2944" s="1">
        <f>8.91556800798941*(10.3/7.3)</f>
        <v>12.579500066067251</v>
      </c>
      <c r="E2944" s="1">
        <f>31.4432184725027*(10.3/7.3)</f>
        <v>44.365089077640768</v>
      </c>
      <c r="F2944" s="1">
        <f>60.1079517201763*(38.9/42.5)</f>
        <v>55.016454633290792</v>
      </c>
      <c r="G2944" s="1">
        <v>2.1294772391990038</v>
      </c>
      <c r="H2944" s="1">
        <v>5.5183520329150415</v>
      </c>
      <c r="I2944" s="1">
        <v>42.786563775306874</v>
      </c>
      <c r="J2944" s="1">
        <v>5.1308675994869025E-2</v>
      </c>
      <c r="K2944" s="1">
        <v>3.2056432591926454</v>
      </c>
      <c r="L2944" s="1">
        <v>5.1899052034547957</v>
      </c>
      <c r="M2944" s="1">
        <v>0.21746823774851223</v>
      </c>
      <c r="N2944" s="1">
        <v>2.5121196436223046</v>
      </c>
      <c r="O2944" s="1">
        <v>0.18611615819209038</v>
      </c>
      <c r="P2944" s="1">
        <v>0.13281749438567</v>
      </c>
      <c r="Q2944" s="1">
        <v>3.4032741265737534</v>
      </c>
      <c r="R2944" s="2">
        <f t="shared" si="183"/>
        <v>174.89401183933091</v>
      </c>
      <c r="S2944" s="2">
        <f t="shared" si="182"/>
        <v>3.3897694295731844</v>
      </c>
      <c r="T2944" s="2">
        <f t="shared" si="184"/>
        <v>8.1056092430177031</v>
      </c>
      <c r="U2944" s="2">
        <f t="shared" si="185"/>
        <v>186.38939051192182</v>
      </c>
    </row>
    <row r="2945" spans="1:21" x14ac:dyDescent="0.25">
      <c r="A2945">
        <v>4441213</v>
      </c>
      <c r="B2945">
        <v>15</v>
      </c>
      <c r="C2945" s="1">
        <f>4.80831145517822*(10.3/7.3)</f>
        <v>6.7843298614158405</v>
      </c>
      <c r="D2945" s="1">
        <f>6.65033835680576*(10.3/7.3)</f>
        <v>9.3833541198766142</v>
      </c>
      <c r="E2945" s="1">
        <f>23.4286782791892*(10.3/7.3)</f>
        <v>33.056902229540945</v>
      </c>
      <c r="F2945" s="1">
        <f>46.0753974638079*(38.9/42.5)</f>
        <v>42.172540266873554</v>
      </c>
      <c r="G2945" s="1">
        <v>1.6949739486314852</v>
      </c>
      <c r="H2945" s="1">
        <v>5.840778742289249</v>
      </c>
      <c r="I2945" s="1">
        <v>33.034090611359815</v>
      </c>
      <c r="J2945" s="1">
        <v>4.0949745059662084E-2</v>
      </c>
      <c r="K2945" s="1">
        <v>2.6961575789513956</v>
      </c>
      <c r="L2945" s="1">
        <v>4.1294061427686533</v>
      </c>
      <c r="M2945" s="1">
        <v>0.17964560476418329</v>
      </c>
      <c r="N2945" s="1">
        <v>2.0820051387231824</v>
      </c>
      <c r="O2945" s="1">
        <v>0.15444622222222223</v>
      </c>
      <c r="P2945" s="1">
        <v>0.11523772813501418</v>
      </c>
      <c r="Q2945" s="1">
        <v>2.7088624749818289</v>
      </c>
      <c r="R2945" s="2">
        <f t="shared" si="183"/>
        <v>134.67583225496932</v>
      </c>
      <c r="S2945" s="2">
        <f t="shared" si="182"/>
        <v>2.8523450521460716</v>
      </c>
      <c r="T2945" s="2">
        <f t="shared" si="184"/>
        <v>6.5455031084782407</v>
      </c>
      <c r="U2945" s="2">
        <f t="shared" si="185"/>
        <v>144.07368041559363</v>
      </c>
    </row>
    <row r="2946" spans="1:21" x14ac:dyDescent="0.25">
      <c r="A2946">
        <v>4441221</v>
      </c>
      <c r="B2946">
        <v>60</v>
      </c>
      <c r="C2946" s="1">
        <f>4.3046515509361*(10.3/7.3)</f>
        <v>6.0736864348824406</v>
      </c>
      <c r="D2946" s="1">
        <f>6.2710841692695*(10.3/7.3)</f>
        <v>8.8482420470514924</v>
      </c>
      <c r="E2946" s="1">
        <f>21.8791989398029*(10.3/7.3)</f>
        <v>30.870650558899925</v>
      </c>
      <c r="F2946" s="1">
        <f>51.4824392536204*(38.9/42.5)</f>
        <v>47.121573810960783</v>
      </c>
      <c r="G2946" s="1">
        <v>2.310131610609488</v>
      </c>
      <c r="H2946" s="1">
        <v>9.756857189536305</v>
      </c>
      <c r="I2946" s="1">
        <v>37.897218514694927</v>
      </c>
      <c r="J2946" s="1">
        <v>4.0848615370115068E-2</v>
      </c>
      <c r="K2946" s="1">
        <v>2.6584205671382195</v>
      </c>
      <c r="L2946" s="1">
        <v>4.1262869373414448</v>
      </c>
      <c r="M2946" s="1">
        <v>0.17289902168985777</v>
      </c>
      <c r="N2946" s="1">
        <v>2.1019812927435741</v>
      </c>
      <c r="O2946" s="1">
        <v>0.14810400000000004</v>
      </c>
      <c r="P2946" s="1">
        <v>0.11214497735513403</v>
      </c>
      <c r="Q2946" s="1">
        <v>3.69199115850832</v>
      </c>
      <c r="R2946" s="2">
        <f t="shared" si="183"/>
        <v>146.57035132514369</v>
      </c>
      <c r="S2946" s="2">
        <f t="shared" si="182"/>
        <v>2.8114141598634683</v>
      </c>
      <c r="T2946" s="2">
        <f t="shared" si="184"/>
        <v>6.5492712517748775</v>
      </c>
      <c r="U2946" s="2">
        <f t="shared" si="185"/>
        <v>155.93103673678203</v>
      </c>
    </row>
    <row r="2947" spans="1:21" x14ac:dyDescent="0.25">
      <c r="A2947">
        <v>4441229</v>
      </c>
      <c r="B2947">
        <v>58</v>
      </c>
      <c r="C2947" s="1">
        <f>4.3962968933489*(10.3/7.3)</f>
        <v>6.2029942467799515</v>
      </c>
      <c r="D2947" s="1">
        <f>5.83264958189369*(10.3/7.3)</f>
        <v>8.2296288621239739</v>
      </c>
      <c r="E2947" s="1">
        <f>20.5882532101457*(10.3/7.3)</f>
        <v>29.049179186917964</v>
      </c>
      <c r="F2947" s="1">
        <f>40.263132065323*(38.9/42.5)</f>
        <v>36.852607937436794</v>
      </c>
      <c r="G2947" s="1">
        <v>1.4573982836593147</v>
      </c>
      <c r="H2947" s="1">
        <v>4.3095915114984935</v>
      </c>
      <c r="I2947" s="1">
        <v>29.233929809320077</v>
      </c>
      <c r="J2947" s="1">
        <v>4.0879317631783652E-2</v>
      </c>
      <c r="K2947" s="1">
        <v>2.6660607040092006</v>
      </c>
      <c r="L2947" s="1">
        <v>4.1178296238606835</v>
      </c>
      <c r="M2947" s="1">
        <v>0.17090899200372972</v>
      </c>
      <c r="N2947" s="1">
        <v>2.1869042566932086</v>
      </c>
      <c r="O2947" s="1">
        <v>0.14632551724137935</v>
      </c>
      <c r="P2947" s="1">
        <v>0.11096909540479984</v>
      </c>
      <c r="Q2947" s="1">
        <v>2.3291753391815551</v>
      </c>
      <c r="R2947" s="2">
        <f t="shared" si="183"/>
        <v>117.66450517691814</v>
      </c>
      <c r="S2947" s="2">
        <f t="shared" si="182"/>
        <v>2.8179091170457844</v>
      </c>
      <c r="T2947" s="2">
        <f t="shared" si="184"/>
        <v>6.6219683897990009</v>
      </c>
      <c r="U2947" s="2">
        <f t="shared" si="185"/>
        <v>127.10438268376294</v>
      </c>
    </row>
    <row r="2948" spans="1:21" x14ac:dyDescent="0.25">
      <c r="A2948">
        <v>4441237</v>
      </c>
      <c r="B2948">
        <v>59</v>
      </c>
      <c r="C2948" s="1">
        <f>4.494824299949*(10.3/7.3)</f>
        <v>6.3420123684211989</v>
      </c>
      <c r="D2948" s="1">
        <f>5.82887848714174*(10.3/7.3)</f>
        <v>8.2243080024054755</v>
      </c>
      <c r="E2948" s="1">
        <f>20.5973067334909*(10.3/7.3)</f>
        <v>29.061953336295321</v>
      </c>
      <c r="F2948" s="1">
        <f>40.1731313234486*(38.9/42.5)</f>
        <v>36.770230787815343</v>
      </c>
      <c r="G2948" s="1">
        <v>1.4416075536160906</v>
      </c>
      <c r="H2948" s="1">
        <v>4.0516839900790194</v>
      </c>
      <c r="I2948" s="1">
        <v>29.380346666974027</v>
      </c>
      <c r="J2948" s="1">
        <v>4.0982587936201006E-2</v>
      </c>
      <c r="K2948" s="1">
        <v>2.665281063560097</v>
      </c>
      <c r="L2948" s="1">
        <v>4.109485477621492</v>
      </c>
      <c r="M2948" s="1">
        <v>0.16879917573666808</v>
      </c>
      <c r="N2948" s="1">
        <v>2.9173654521547152</v>
      </c>
      <c r="O2948" s="1">
        <v>0.14395389830508479</v>
      </c>
      <c r="P2948" s="1">
        <v>0.10916296358051347</v>
      </c>
      <c r="Q2948" s="1">
        <v>2.3039390126284576</v>
      </c>
      <c r="R2948" s="2">
        <f t="shared" si="183"/>
        <v>117.57608171823492</v>
      </c>
      <c r="S2948" s="2">
        <f t="shared" si="182"/>
        <v>2.8154266150768117</v>
      </c>
      <c r="T2948" s="2">
        <f t="shared" si="184"/>
        <v>7.3396040038179606</v>
      </c>
      <c r="U2948" s="2">
        <f t="shared" si="185"/>
        <v>127.7311123371297</v>
      </c>
    </row>
    <row r="2949" spans="1:21" x14ac:dyDescent="0.25">
      <c r="A2949">
        <v>4441245</v>
      </c>
      <c r="B2949">
        <v>65</v>
      </c>
      <c r="C2949" s="1">
        <f>7.02917635707813*(10.3/7.3)</f>
        <v>9.9178789695759981</v>
      </c>
      <c r="D2949" s="1">
        <f>8.93017611549293*(10.3/7.3)</f>
        <v>12.600111505421527</v>
      </c>
      <c r="E2949" s="1">
        <f>31.5637057003731*(10.3/7.3)</f>
        <v>44.535091604635966</v>
      </c>
      <c r="F2949" s="1">
        <f>62.6239007679071*(38.9/42.5)</f>
        <v>57.31928799697851</v>
      </c>
      <c r="G2949" s="1">
        <v>2.2879738297080099</v>
      </c>
      <c r="H2949" s="1">
        <v>5.4117459423168084</v>
      </c>
      <c r="I2949" s="1">
        <v>46.298198536447025</v>
      </c>
      <c r="J2949" s="1">
        <v>5.6678235146726444E-2</v>
      </c>
      <c r="K2949" s="1">
        <v>3.4000841036312792</v>
      </c>
      <c r="L2949" s="1">
        <v>5.6269540695299423</v>
      </c>
      <c r="M2949" s="1">
        <v>0.21557420801688335</v>
      </c>
      <c r="N2949" s="1">
        <v>2.8370265253769649</v>
      </c>
      <c r="O2949" s="1">
        <v>0.18093456410256414</v>
      </c>
      <c r="P2949" s="1">
        <v>0.1290041262863742</v>
      </c>
      <c r="Q2949" s="1">
        <v>3.6565791798986487</v>
      </c>
      <c r="R2949" s="2">
        <f t="shared" si="183"/>
        <v>182.0268675649825</v>
      </c>
      <c r="S2949" s="2">
        <f t="shared" si="182"/>
        <v>3.5857664650643799</v>
      </c>
      <c r="T2949" s="2">
        <f t="shared" si="184"/>
        <v>8.8604893670263536</v>
      </c>
      <c r="U2949" s="2">
        <f t="shared" si="185"/>
        <v>194.47312339707324</v>
      </c>
    </row>
    <row r="2950" spans="1:21" x14ac:dyDescent="0.25">
      <c r="A2950">
        <v>4441253</v>
      </c>
      <c r="B2950">
        <v>65</v>
      </c>
      <c r="C2950" s="1">
        <f>8.0934120647488*(10.3/7.3)</f>
        <v>11.419471817385293</v>
      </c>
      <c r="D2950" s="1">
        <f>10.1644113991909*(10.3/7.3)</f>
        <v>14.34156676872138</v>
      </c>
      <c r="E2950" s="1">
        <f>35.9240397933264*(10.3/7.3)</f>
        <v>50.687343817981152</v>
      </c>
      <c r="F2950" s="1">
        <f>72.3126979252608*(38.9/42.5)</f>
        <v>66.187387042179864</v>
      </c>
      <c r="G2950" s="1">
        <v>2.6844864110597162</v>
      </c>
      <c r="H2950" s="1">
        <v>5.9255827443074098</v>
      </c>
      <c r="I2950" s="1">
        <v>53.833994231833209</v>
      </c>
      <c r="J2950" s="1">
        <v>6.3600271355963467E-2</v>
      </c>
      <c r="K2950" s="1">
        <v>3.73156464330369</v>
      </c>
      <c r="L2950" s="1">
        <v>6.2898049879058995</v>
      </c>
      <c r="M2950" s="1">
        <v>0.23246462522520972</v>
      </c>
      <c r="N2950" s="1">
        <v>2.9145538276122021</v>
      </c>
      <c r="O2950" s="1">
        <v>0.19472164102564099</v>
      </c>
      <c r="P2950" s="1">
        <v>0.13621398327011669</v>
      </c>
      <c r="Q2950" s="1">
        <v>4.2902750861685011</v>
      </c>
      <c r="R2950" s="2">
        <f t="shared" si="183"/>
        <v>209.3701079196365</v>
      </c>
      <c r="S2950" s="2">
        <f t="shared" si="182"/>
        <v>3.9313788979297701</v>
      </c>
      <c r="T2950" s="2">
        <f t="shared" si="184"/>
        <v>9.6315450817689516</v>
      </c>
      <c r="U2950" s="2">
        <f t="shared" si="185"/>
        <v>222.93303189933522</v>
      </c>
    </row>
    <row r="2951" spans="1:21" x14ac:dyDescent="0.25">
      <c r="A2951">
        <v>4441261</v>
      </c>
      <c r="B2951">
        <v>67</v>
      </c>
      <c r="C2951" s="1">
        <f>8.78215599950862*(10.3/7.3)</f>
        <v>12.391261204786135</v>
      </c>
      <c r="D2951" s="1">
        <f>10.9042785213462*(10.3/7.3)</f>
        <v>15.385488872584412</v>
      </c>
      <c r="E2951" s="1">
        <f>38.5361607784139*(10.3/7.3)</f>
        <v>54.372939180501817</v>
      </c>
      <c r="F2951" s="1">
        <f>78.7140461322287*(38.9/42.5)</f>
        <v>72.046503401028119</v>
      </c>
      <c r="G2951" s="1">
        <v>2.9684987069041111</v>
      </c>
      <c r="H2951" s="1">
        <v>6.2532143407425353</v>
      </c>
      <c r="I2951" s="1">
        <v>58.9986562016378</v>
      </c>
      <c r="J2951" s="1">
        <v>6.7539264197842883E-2</v>
      </c>
      <c r="K2951" s="1">
        <v>3.9341362866083434</v>
      </c>
      <c r="L2951" s="1">
        <v>6.692116131074564</v>
      </c>
      <c r="M2951" s="1">
        <v>0.23853426449631093</v>
      </c>
      <c r="N2951" s="1">
        <v>2.9689246609749755</v>
      </c>
      <c r="O2951" s="1">
        <v>0.19956537313432834</v>
      </c>
      <c r="P2951" s="1">
        <v>0.13914572306414988</v>
      </c>
      <c r="Q2951" s="1">
        <v>4.7441760156001846</v>
      </c>
      <c r="R2951" s="2">
        <f t="shared" si="183"/>
        <v>227.16073792378512</v>
      </c>
      <c r="S2951" s="2">
        <f t="shared" si="182"/>
        <v>4.1408212738703361</v>
      </c>
      <c r="T2951" s="2">
        <f t="shared" si="184"/>
        <v>10.099140429680178</v>
      </c>
      <c r="U2951" s="2">
        <f t="shared" si="185"/>
        <v>241.40069962733563</v>
      </c>
    </row>
    <row r="2952" spans="1:21" x14ac:dyDescent="0.25">
      <c r="A2952">
        <v>4441269</v>
      </c>
      <c r="B2952">
        <v>67</v>
      </c>
      <c r="C2952" s="1">
        <f>8.66433296055277*(10.3/7.3)</f>
        <v>12.225017738862123</v>
      </c>
      <c r="D2952" s="1">
        <f>10.6021796557722*(10.3/7.3)</f>
        <v>14.959239788281264</v>
      </c>
      <c r="E2952" s="1">
        <f>37.4745766182174*(10.3/7.3)</f>
        <v>52.875087557210833</v>
      </c>
      <c r="F2952" s="1">
        <f>77.5030309091703*(38.9/42.5)</f>
        <v>70.938068290981775</v>
      </c>
      <c r="G2952" s="1">
        <v>2.958041453695027</v>
      </c>
      <c r="H2952" s="1">
        <v>6.2067386284302017</v>
      </c>
      <c r="I2952" s="1">
        <v>58.515490369058213</v>
      </c>
      <c r="J2952" s="1">
        <v>6.5923300211735647E-2</v>
      </c>
      <c r="K2952" s="1">
        <v>3.8710760698986997</v>
      </c>
      <c r="L2952" s="1">
        <v>6.5100171588888234</v>
      </c>
      <c r="M2952" s="1">
        <v>0.23053884547994377</v>
      </c>
      <c r="N2952" s="1">
        <v>2.8364435961662444</v>
      </c>
      <c r="O2952" s="1">
        <v>0.19242905472636818</v>
      </c>
      <c r="P2952" s="1">
        <v>0.13523280934711804</v>
      </c>
      <c r="Q2952" s="1">
        <v>4.7274635104715106</v>
      </c>
      <c r="R2952" s="2">
        <f t="shared" si="183"/>
        <v>223.40514733699098</v>
      </c>
      <c r="S2952" s="2">
        <f t="shared" si="182"/>
        <v>4.0722321794575533</v>
      </c>
      <c r="T2952" s="2">
        <f t="shared" si="184"/>
        <v>9.7694286552613789</v>
      </c>
      <c r="U2952" s="2">
        <f t="shared" si="185"/>
        <v>237.24680817170992</v>
      </c>
    </row>
    <row r="2953" spans="1:21" x14ac:dyDescent="0.25">
      <c r="A2953">
        <v>4441277</v>
      </c>
      <c r="B2953">
        <v>69</v>
      </c>
      <c r="C2953" s="1">
        <f>9.04474514398511*(10.3/7.3)</f>
        <v>12.761763696307755</v>
      </c>
      <c r="D2953" s="1">
        <f>10.8813696315906*(10.3/7.3)</f>
        <v>15.353165370600371</v>
      </c>
      <c r="E2953" s="1">
        <f>38.4685465305832*(10.3/7.3)</f>
        <v>54.277538255480437</v>
      </c>
      <c r="F2953" s="1">
        <f>80.7298895687308*(38.9/42.5)</f>
        <v>73.891593040555946</v>
      </c>
      <c r="G2953" s="1">
        <v>3.1238377834873892</v>
      </c>
      <c r="H2953" s="1">
        <v>6.4262723008800844</v>
      </c>
      <c r="I2953" s="1">
        <v>61.461824649991456</v>
      </c>
      <c r="J2953" s="1">
        <v>6.7310125687874867E-2</v>
      </c>
      <c r="K2953" s="1">
        <v>3.9394855520053413</v>
      </c>
      <c r="L2953" s="1">
        <v>6.5909709930208642</v>
      </c>
      <c r="M2953" s="1">
        <v>0.22949331063144007</v>
      </c>
      <c r="N2953" s="1">
        <v>2.8093205617661594</v>
      </c>
      <c r="O2953" s="1">
        <v>0.19166531400966183</v>
      </c>
      <c r="P2953" s="1">
        <v>0.13500602867647316</v>
      </c>
      <c r="Q2953" s="1">
        <v>4.9924348137926389</v>
      </c>
      <c r="R2953" s="2">
        <f t="shared" si="183"/>
        <v>232.28842991109607</v>
      </c>
      <c r="S2953" s="2">
        <f t="shared" ref="S2953:S3016" si="186">J2953+K2953+P2953</f>
        <v>4.1418017063696899</v>
      </c>
      <c r="T2953" s="2">
        <f t="shared" si="184"/>
        <v>9.8214501794281261</v>
      </c>
      <c r="U2953" s="2">
        <f t="shared" si="185"/>
        <v>246.25168179689388</v>
      </c>
    </row>
    <row r="2954" spans="1:21" x14ac:dyDescent="0.25">
      <c r="A2954">
        <v>4441285</v>
      </c>
      <c r="B2954">
        <v>69</v>
      </c>
      <c r="C2954" s="1">
        <f>8.84750411446206*(10.3/7.3)</f>
        <v>12.483464709446464</v>
      </c>
      <c r="D2954" s="1">
        <f>10.6265522111325*(10.3/7.3)</f>
        <v>14.993628462282913</v>
      </c>
      <c r="E2954" s="1">
        <f>37.5334523807814*(10.3/7.3)</f>
        <v>52.958158838636841</v>
      </c>
      <c r="F2954" s="1">
        <f>80.6459695595389*(38.9/42.5)</f>
        <v>73.814781549789686</v>
      </c>
      <c r="G2954" s="1">
        <v>3.2046355390899608</v>
      </c>
      <c r="H2954" s="1">
        <v>6.5789890080091196</v>
      </c>
      <c r="I2954" s="1">
        <v>61.685171944211426</v>
      </c>
      <c r="J2954" s="1">
        <v>7.084145514518661E-2</v>
      </c>
      <c r="K2954" s="1">
        <v>3.9540875454334126</v>
      </c>
      <c r="L2954" s="1">
        <v>6.4558883271625627</v>
      </c>
      <c r="M2954" s="1">
        <v>0.22209207705152828</v>
      </c>
      <c r="N2954" s="1">
        <v>2.764149566555909</v>
      </c>
      <c r="O2954" s="1">
        <v>0.18562937198067633</v>
      </c>
      <c r="P2954" s="1">
        <v>0.13215703325468842</v>
      </c>
      <c r="Q2954" s="1">
        <v>5.1215636469474326</v>
      </c>
      <c r="R2954" s="2">
        <f t="shared" ref="R2954:R3017" si="187">C2954+D2954+E2954+F2954+G2954+H2954+I2954+Q2954</f>
        <v>230.84039369841383</v>
      </c>
      <c r="S2954" s="2">
        <f t="shared" si="186"/>
        <v>4.1570860338332878</v>
      </c>
      <c r="T2954" s="2">
        <f t="shared" ref="T2954:T3017" si="188">L2954+M2954+N2954+O2954</f>
        <v>9.6277593427506769</v>
      </c>
      <c r="U2954" s="2">
        <f t="shared" ref="U2954:U3017" si="189">R2954+S2954+T2954</f>
        <v>244.62523907499778</v>
      </c>
    </row>
    <row r="2955" spans="1:21" x14ac:dyDescent="0.25">
      <c r="A2955">
        <v>4441301</v>
      </c>
      <c r="B2955">
        <v>10</v>
      </c>
      <c r="C2955" s="1">
        <f>4.26741790520054*(10.3/7.3)</f>
        <v>6.0211512908993887</v>
      </c>
      <c r="D2955" s="1">
        <f>5.36652691588961*(10.3/7.3)</f>
        <v>7.5719489361182131</v>
      </c>
      <c r="E2955" s="1">
        <f>18.8028318668763*(10.3/7.3)</f>
        <v>26.530023045044683</v>
      </c>
      <c r="F2955" s="1">
        <f>46.0744660757593*(38.9/42.5)</f>
        <v>42.171687772871437</v>
      </c>
      <c r="G2955" s="1">
        <v>2.0965431479738705</v>
      </c>
      <c r="H2955" s="1">
        <v>9.3322127339705485</v>
      </c>
      <c r="I2955" s="1">
        <v>35.536551459459801</v>
      </c>
      <c r="J2955" s="1">
        <v>4.0849322570741246E-2</v>
      </c>
      <c r="K2955" s="1">
        <v>2.7282315170344402</v>
      </c>
      <c r="L2955" s="1">
        <v>3.954171246168221</v>
      </c>
      <c r="M2955" s="1">
        <v>0.13967807559094059</v>
      </c>
      <c r="N2955" s="1">
        <v>2.6868053983820945</v>
      </c>
      <c r="O2955" s="1">
        <v>0.11607466666666666</v>
      </c>
      <c r="P2955" s="1">
        <v>9.166195606280253E-2</v>
      </c>
      <c r="Q2955" s="1">
        <v>3.3506397342048198</v>
      </c>
      <c r="R2955" s="2">
        <f t="shared" si="187"/>
        <v>132.61075812054278</v>
      </c>
      <c r="S2955" s="2">
        <f t="shared" si="186"/>
        <v>2.8607427956679841</v>
      </c>
      <c r="T2955" s="2">
        <f t="shared" si="188"/>
        <v>6.896729386807924</v>
      </c>
      <c r="U2955" s="2">
        <f t="shared" si="189"/>
        <v>142.36823030301869</v>
      </c>
    </row>
    <row r="2956" spans="1:21" x14ac:dyDescent="0.25">
      <c r="A2956">
        <v>4441309</v>
      </c>
      <c r="B2956">
        <v>17</v>
      </c>
      <c r="C2956" s="1">
        <f>4.91281229177224*(10.3/7.3)</f>
        <v>6.9317762472950823</v>
      </c>
      <c r="D2956" s="1">
        <f>6.09354490289333*(10.3/7.3)</f>
        <v>8.5977414383289457</v>
      </c>
      <c r="E2956" s="1">
        <f>21.335650043954*(10.3/7.3)</f>
        <v>30.103725404483068</v>
      </c>
      <c r="F2956" s="1">
        <f>53.6938556367702*(38.9/42.5)</f>
        <v>49.14567021812617</v>
      </c>
      <c r="G2956" s="1">
        <v>2.492777053777349</v>
      </c>
      <c r="H2956" s="1">
        <v>10.3100229101601</v>
      </c>
      <c r="I2956" s="1">
        <v>41.742171699773778</v>
      </c>
      <c r="J2956" s="1">
        <v>3.8584699765491698E-2</v>
      </c>
      <c r="K2956" s="1">
        <v>2.6170954891353704</v>
      </c>
      <c r="L2956" s="1">
        <v>5.0317253879159889</v>
      </c>
      <c r="M2956" s="1">
        <v>0.14048311950201195</v>
      </c>
      <c r="N2956" s="1">
        <v>1.7160081385677217</v>
      </c>
      <c r="O2956" s="1">
        <v>0.11831529411764705</v>
      </c>
      <c r="P2956" s="1">
        <v>9.2650219406264736E-2</v>
      </c>
      <c r="Q2956" s="1">
        <v>3.9838902685939415</v>
      </c>
      <c r="R2956" s="2">
        <f t="shared" si="187"/>
        <v>153.30777524053843</v>
      </c>
      <c r="S2956" s="2">
        <f t="shared" si="186"/>
        <v>2.7483304083071265</v>
      </c>
      <c r="T2956" s="2">
        <f t="shared" si="188"/>
        <v>7.0065319401033683</v>
      </c>
      <c r="U2956" s="2">
        <f t="shared" si="189"/>
        <v>163.06263758894895</v>
      </c>
    </row>
    <row r="2957" spans="1:21" x14ac:dyDescent="0.25">
      <c r="A2957">
        <v>4452825</v>
      </c>
      <c r="B2957">
        <v>7</v>
      </c>
      <c r="C2957" s="1">
        <f>0.423355741174273*(10.3/7.3)</f>
        <v>0.59733755261575527</v>
      </c>
      <c r="D2957" s="1">
        <f>0.552853049239498*(10.3/7.3)</f>
        <v>0.78005293248860708</v>
      </c>
      <c r="E2957" s="1">
        <f>1.93552801154199*(10.3/7.3)</f>
        <v>2.7309504820386961</v>
      </c>
      <c r="F2957" s="1">
        <f>4.65634363662867*(38.9/42.5)</f>
        <v>4.2619239403495355</v>
      </c>
      <c r="G2957" s="1">
        <v>0.20973095404098899</v>
      </c>
      <c r="H2957" s="1">
        <v>0.98637161135557794</v>
      </c>
      <c r="I2957" s="1">
        <v>3.5437299428620173</v>
      </c>
      <c r="J2957" s="1">
        <v>3.332248527740117E-2</v>
      </c>
      <c r="K2957" s="1">
        <v>2.4668994231745089</v>
      </c>
      <c r="L2957" s="1">
        <v>1.9856891089215427</v>
      </c>
      <c r="M2957" s="1">
        <v>0.21216240838189293</v>
      </c>
      <c r="N2957" s="1">
        <v>0.99197602510030158</v>
      </c>
      <c r="O2957" s="1">
        <v>0.57554285714285702</v>
      </c>
      <c r="P2957" s="1">
        <v>0.22996130795317446</v>
      </c>
      <c r="Q2957" s="1">
        <v>0.33518645622989141</v>
      </c>
      <c r="R2957" s="2">
        <f t="shared" si="187"/>
        <v>13.445283871981069</v>
      </c>
      <c r="S2957" s="2">
        <f t="shared" si="186"/>
        <v>2.7301832164050843</v>
      </c>
      <c r="T2957" s="2">
        <f t="shared" si="188"/>
        <v>3.7653703995465944</v>
      </c>
      <c r="U2957" s="2">
        <f t="shared" si="189"/>
        <v>19.940837487932747</v>
      </c>
    </row>
    <row r="2958" spans="1:21" x14ac:dyDescent="0.25">
      <c r="A2958">
        <v>4452833</v>
      </c>
      <c r="B2958">
        <v>1</v>
      </c>
      <c r="C2958" s="1">
        <f>0.766711728018726*(10.3/7.3)</f>
        <v>1.0817987395332711</v>
      </c>
      <c r="D2958" s="1">
        <f>1.036574479047*(10.3/7.3)</f>
        <v>1.4625639909841199</v>
      </c>
      <c r="E2958" s="1">
        <f>3.61275539669213*(10.3/7.3)</f>
        <v>5.0974493953327347</v>
      </c>
      <c r="F2958" s="1">
        <f>9.24685892033555*(38.9/42.5)</f>
        <v>8.4635955764953579</v>
      </c>
      <c r="G2958" s="1">
        <v>0.44012384815705308</v>
      </c>
      <c r="H2958" s="1">
        <v>1.7981187374898986</v>
      </c>
      <c r="I2958" s="1">
        <v>7.0509022630768188</v>
      </c>
      <c r="J2958" s="1">
        <v>5.6146072115513465E-2</v>
      </c>
      <c r="K2958" s="1">
        <v>3.2808152264752368</v>
      </c>
      <c r="L2958" s="1">
        <v>2.6207033204444445</v>
      </c>
      <c r="M2958" s="1">
        <v>0.27671632478587782</v>
      </c>
      <c r="N2958" s="1">
        <v>1.386969275093922</v>
      </c>
      <c r="O2958" s="1">
        <v>0.90080000000000005</v>
      </c>
      <c r="P2958" s="1">
        <v>0.30035843986564459</v>
      </c>
      <c r="Q2958" s="1">
        <v>0.70339427787656961</v>
      </c>
      <c r="R2958" s="2">
        <f t="shared" si="187"/>
        <v>26.097946828945823</v>
      </c>
      <c r="S2958" s="2">
        <f t="shared" si="186"/>
        <v>3.6373197384563949</v>
      </c>
      <c r="T2958" s="2">
        <f t="shared" si="188"/>
        <v>5.1851889203242445</v>
      </c>
      <c r="U2958" s="2">
        <f t="shared" si="189"/>
        <v>34.920455487726464</v>
      </c>
    </row>
    <row r="2959" spans="1:21" x14ac:dyDescent="0.25">
      <c r="A2959">
        <v>4453361</v>
      </c>
      <c r="B2959">
        <v>13</v>
      </c>
      <c r="C2959" s="1">
        <f>13.9687064198033*(10.3/7.3)</f>
        <v>19.709270701914257</v>
      </c>
      <c r="D2959" s="1">
        <f>20.2369143708207*(10.3/7.3)</f>
        <v>28.553454523212817</v>
      </c>
      <c r="E2959" s="1">
        <f>71.4254419766039*(10.3/7.3)</f>
        <v>100.77836333685207</v>
      </c>
      <c r="F2959" s="1">
        <f>127.127488815512*(38.9/42.5)</f>
        <v>116.35904270408045</v>
      </c>
      <c r="G2959" s="1">
        <v>4.0946225538985788</v>
      </c>
      <c r="H2959" s="1">
        <v>9.3723667312698282</v>
      </c>
      <c r="I2959" s="1">
        <v>87.25840694009247</v>
      </c>
      <c r="J2959" s="1">
        <v>7.185571802589194E-2</v>
      </c>
      <c r="K2959" s="1">
        <v>3.4446048820033233</v>
      </c>
      <c r="L2959" s="1">
        <v>5.8063084797092381</v>
      </c>
      <c r="M2959" s="1">
        <v>0.27137934848746637</v>
      </c>
      <c r="N2959" s="1">
        <v>2.8772260534183074</v>
      </c>
      <c r="O2959" s="1">
        <v>0.22529230769230768</v>
      </c>
      <c r="P2959" s="1">
        <v>0.15320781553442603</v>
      </c>
      <c r="Q2959" s="1">
        <v>6.5439173235822086</v>
      </c>
      <c r="R2959" s="2">
        <f t="shared" si="187"/>
        <v>372.6694448149027</v>
      </c>
      <c r="S2959" s="2">
        <f t="shared" si="186"/>
        <v>3.669668415563641</v>
      </c>
      <c r="T2959" s="2">
        <f t="shared" si="188"/>
        <v>9.1802061893073201</v>
      </c>
      <c r="U2959" s="2">
        <f t="shared" si="189"/>
        <v>385.51931941977369</v>
      </c>
    </row>
    <row r="2960" spans="1:21" x14ac:dyDescent="0.25">
      <c r="A2960">
        <v>4453369</v>
      </c>
      <c r="B2960">
        <v>53</v>
      </c>
      <c r="C2960" s="1">
        <f>11.8764604824919*(10.3/7.3)</f>
        <v>16.757197667077588</v>
      </c>
      <c r="D2960" s="1">
        <f>18.2804144870757*(10.3/7.3)</f>
        <v>25.792913591353447</v>
      </c>
      <c r="E2960" s="1">
        <f>64.3665943170418*(10.3/7.3)</f>
        <v>90.81861937883987</v>
      </c>
      <c r="F2960" s="1">
        <f>114.810642243148*(38.9/42.5)</f>
        <v>105.08550548843458</v>
      </c>
      <c r="G2960" s="1">
        <v>3.7649187482019704</v>
      </c>
      <c r="H2960" s="1">
        <v>7.0928685431188123</v>
      </c>
      <c r="I2960" s="1">
        <v>77.16648325349081</v>
      </c>
      <c r="J2960" s="1">
        <v>8.4042975187121477E-2</v>
      </c>
      <c r="K2960" s="1">
        <v>3.7622467691429953</v>
      </c>
      <c r="L2960" s="1">
        <v>6.6375874348606665</v>
      </c>
      <c r="M2960" s="1">
        <v>0.29412964333588054</v>
      </c>
      <c r="N2960" s="1">
        <v>3.1623378177693451</v>
      </c>
      <c r="O2960" s="1">
        <v>0.24280855345911947</v>
      </c>
      <c r="P2960" s="1">
        <v>0.16244481608039285</v>
      </c>
      <c r="Q2960" s="1">
        <v>6.0169934331995059</v>
      </c>
      <c r="R2960" s="2">
        <f t="shared" si="187"/>
        <v>332.49550010371661</v>
      </c>
      <c r="S2960" s="2">
        <f t="shared" si="186"/>
        <v>4.0087345604105096</v>
      </c>
      <c r="T2960" s="2">
        <f t="shared" si="188"/>
        <v>10.33686344942501</v>
      </c>
      <c r="U2960" s="2">
        <f t="shared" si="189"/>
        <v>346.84109811355211</v>
      </c>
    </row>
    <row r="2961" spans="1:21" x14ac:dyDescent="0.25">
      <c r="A2961">
        <v>4453377</v>
      </c>
      <c r="B2961">
        <v>19</v>
      </c>
      <c r="C2961" s="1">
        <f>8.60058749887964*(10.3/7.3)</f>
        <v>12.135075512117847</v>
      </c>
      <c r="D2961" s="1">
        <f>13.3455915427408*(10.3/7.3)</f>
        <v>18.830081217839741</v>
      </c>
      <c r="E2961" s="1">
        <f>46.9738568599497*(10.3/7.3)</f>
        <v>66.278181596915303</v>
      </c>
      <c r="F2961" s="1">
        <f>83.9334337875806*(38.9/42.5)</f>
        <v>76.823778219691434</v>
      </c>
      <c r="G2961" s="1">
        <v>2.7649906306697356</v>
      </c>
      <c r="H2961" s="1">
        <v>6.0366311356733151</v>
      </c>
      <c r="I2961" s="1">
        <v>56.286456305981972</v>
      </c>
      <c r="J2961" s="1">
        <v>5.5510484857984856E-2</v>
      </c>
      <c r="K2961" s="1">
        <v>3.1308749030458745</v>
      </c>
      <c r="L2961" s="1">
        <v>5.0688595579722415</v>
      </c>
      <c r="M2961" s="1">
        <v>0.23511924868065504</v>
      </c>
      <c r="N2961" s="1">
        <v>2.5585306272638237</v>
      </c>
      <c r="O2961" s="1">
        <v>0.20058105263157894</v>
      </c>
      <c r="P2961" s="1">
        <v>0.13978272139324213</v>
      </c>
      <c r="Q2961" s="1">
        <v>4.4189347978740132</v>
      </c>
      <c r="R2961" s="2">
        <f t="shared" si="187"/>
        <v>243.57412941676333</v>
      </c>
      <c r="S2961" s="2">
        <f t="shared" si="186"/>
        <v>3.3261681092971016</v>
      </c>
      <c r="T2961" s="2">
        <f t="shared" si="188"/>
        <v>8.0630904865482993</v>
      </c>
      <c r="U2961" s="2">
        <f t="shared" si="189"/>
        <v>254.96338801260873</v>
      </c>
    </row>
    <row r="2962" spans="1:21" x14ac:dyDescent="0.25">
      <c r="A2962">
        <v>4453385</v>
      </c>
      <c r="B2962">
        <v>69</v>
      </c>
      <c r="C2962" s="1">
        <f>7.39143008176697*(10.3/7.3)</f>
        <v>10.429004087972579</v>
      </c>
      <c r="D2962" s="1">
        <f>11.2849545959561*(10.3/7.3)</f>
        <v>15.922607169636692</v>
      </c>
      <c r="E2962" s="1">
        <f>39.733023353363*(10.3/7.3)</f>
        <v>56.061663087621803</v>
      </c>
      <c r="F2962" s="1">
        <f>71.5778513436657*(38.9/42.5)</f>
        <v>65.514786288672852</v>
      </c>
      <c r="G2962" s="1">
        <v>2.3790398427452151</v>
      </c>
      <c r="H2962" s="1">
        <v>5.1562456972517126</v>
      </c>
      <c r="I2962" s="1">
        <v>48.402322884248626</v>
      </c>
      <c r="J2962" s="1">
        <v>5.3148894365958273E-2</v>
      </c>
      <c r="K2962" s="1">
        <v>3.1232900072820837</v>
      </c>
      <c r="L2962" s="1">
        <v>5.1866307463022521</v>
      </c>
      <c r="M2962" s="1">
        <v>0.23211252447889699</v>
      </c>
      <c r="N2962" s="1">
        <v>2.4611282463357993</v>
      </c>
      <c r="O2962" s="1">
        <v>0.19479806763285026</v>
      </c>
      <c r="P2962" s="1">
        <v>0.13894524446593606</v>
      </c>
      <c r="Q2962" s="1">
        <v>3.8021184701407584</v>
      </c>
      <c r="R2962" s="2">
        <f t="shared" si="187"/>
        <v>207.66778752829023</v>
      </c>
      <c r="S2962" s="2">
        <f t="shared" si="186"/>
        <v>3.3153841461139781</v>
      </c>
      <c r="T2962" s="2">
        <f t="shared" si="188"/>
        <v>8.0746695847497989</v>
      </c>
      <c r="U2962" s="2">
        <f t="shared" si="189"/>
        <v>219.05784125915403</v>
      </c>
    </row>
    <row r="2963" spans="1:21" x14ac:dyDescent="0.25">
      <c r="A2963">
        <v>4453393</v>
      </c>
      <c r="B2963">
        <v>71</v>
      </c>
      <c r="C2963" s="1">
        <f>6.67666092241161*(10.3/7.3)</f>
        <v>9.4204941781972096</v>
      </c>
      <c r="D2963" s="1">
        <f>9.99611659631574*(10.3/7.3)</f>
        <v>14.104109718089326</v>
      </c>
      <c r="E2963" s="1">
        <f>35.2083463627386*(10.3/7.3)</f>
        <v>49.677529799480446</v>
      </c>
      <c r="F2963" s="1">
        <f>64.066658757359*(38.9/42.5)</f>
        <v>58.639835897912114</v>
      </c>
      <c r="G2963" s="1">
        <v>2.1524423010607512</v>
      </c>
      <c r="H2963" s="1">
        <v>5.0034768793783941</v>
      </c>
      <c r="I2963" s="1">
        <v>43.758045549043118</v>
      </c>
      <c r="J2963" s="1">
        <v>4.9057411776764384E-2</v>
      </c>
      <c r="K2963" s="1">
        <v>3.029543119225687</v>
      </c>
      <c r="L2963" s="1">
        <v>4.8824285993452881</v>
      </c>
      <c r="M2963" s="1">
        <v>0.21922736181216074</v>
      </c>
      <c r="N2963" s="1">
        <v>2.3304561986688777</v>
      </c>
      <c r="O2963" s="1">
        <v>0.18690478873239441</v>
      </c>
      <c r="P2963" s="1">
        <v>0.13517887526044464</v>
      </c>
      <c r="Q2963" s="1">
        <v>3.4399762802340823</v>
      </c>
      <c r="R2963" s="2">
        <f t="shared" si="187"/>
        <v>186.19591060339542</v>
      </c>
      <c r="S2963" s="2">
        <f t="shared" si="186"/>
        <v>3.2137794062628964</v>
      </c>
      <c r="T2963" s="2">
        <f t="shared" si="188"/>
        <v>7.6190169485587207</v>
      </c>
      <c r="U2963" s="2">
        <f t="shared" si="189"/>
        <v>197.02870695821701</v>
      </c>
    </row>
    <row r="2964" spans="1:21" x14ac:dyDescent="0.25">
      <c r="A2964">
        <v>4453401</v>
      </c>
      <c r="B2964">
        <v>71</v>
      </c>
      <c r="C2964" s="1">
        <f>7.87119975807511*(10.3/7.3)</f>
        <v>11.105939384681314</v>
      </c>
      <c r="D2964" s="1">
        <f>11.6287847290214*(10.3/7.3)</f>
        <v>16.407737357386388</v>
      </c>
      <c r="E2964" s="1">
        <f>40.9692776688383*(10.3/7.3)</f>
        <v>57.805967121785486</v>
      </c>
      <c r="F2964" s="1">
        <f>75.0762610811278*(38.9/42.5)</f>
        <v>68.716860142491072</v>
      </c>
      <c r="G2964" s="1">
        <v>2.5413033465410493</v>
      </c>
      <c r="H2964" s="1">
        <v>5.656227718611583</v>
      </c>
      <c r="I2964" s="1">
        <v>51.626412442230404</v>
      </c>
      <c r="J2964" s="1">
        <v>5.5797412246223144E-2</v>
      </c>
      <c r="K2964" s="1">
        <v>3.3637840530650958</v>
      </c>
      <c r="L2964" s="1">
        <v>5.6454726300766698</v>
      </c>
      <c r="M2964" s="1">
        <v>0.24471468030405569</v>
      </c>
      <c r="N2964" s="1">
        <v>2.6167024234923235</v>
      </c>
      <c r="O2964" s="1">
        <v>0.20549934272300469</v>
      </c>
      <c r="P2964" s="1">
        <v>0.1447966560647358</v>
      </c>
      <c r="Q2964" s="1">
        <v>4.0614437045176652</v>
      </c>
      <c r="R2964" s="2">
        <f t="shared" si="187"/>
        <v>217.92189121824498</v>
      </c>
      <c r="S2964" s="2">
        <f t="shared" si="186"/>
        <v>3.5643781213760546</v>
      </c>
      <c r="T2964" s="2">
        <f t="shared" si="188"/>
        <v>8.7123890765960539</v>
      </c>
      <c r="U2964" s="2">
        <f t="shared" si="189"/>
        <v>230.19865841621709</v>
      </c>
    </row>
    <row r="2965" spans="1:21" x14ac:dyDescent="0.25">
      <c r="A2965">
        <v>4453409</v>
      </c>
      <c r="B2965">
        <v>71</v>
      </c>
      <c r="C2965" s="1">
        <f>8.89155605007676*(10.3/7.3)</f>
        <v>12.54562018024529</v>
      </c>
      <c r="D2965" s="1">
        <f>12.9141206316835*(10.3/7.3)</f>
        <v>18.221293494019253</v>
      </c>
      <c r="E2965" s="1">
        <f>45.5141578926098*(10.3/7.3)</f>
        <v>64.218606341627563</v>
      </c>
      <c r="F2965" s="1">
        <f>84.0865269644058*(38.9/42.5)</f>
        <v>76.96390350389143</v>
      </c>
      <c r="G2965" s="1">
        <v>2.8695351943504721</v>
      </c>
      <c r="H2965" s="1">
        <v>6.0391162119010033</v>
      </c>
      <c r="I2965" s="1">
        <v>58.306212725681974</v>
      </c>
      <c r="J2965" s="1">
        <v>6.2042571488783817E-2</v>
      </c>
      <c r="K2965" s="1">
        <v>3.660732213205574</v>
      </c>
      <c r="L2965" s="1">
        <v>6.3823010066515842</v>
      </c>
      <c r="M2965" s="1">
        <v>0.26578140694800495</v>
      </c>
      <c r="N2965" s="1">
        <v>2.9298136446933269</v>
      </c>
      <c r="O2965" s="1">
        <v>0.22234291079812205</v>
      </c>
      <c r="P2965" s="1">
        <v>0.15270235996418569</v>
      </c>
      <c r="Q2965" s="1">
        <v>4.5860151507884304</v>
      </c>
      <c r="R2965" s="2">
        <f t="shared" si="187"/>
        <v>243.75030280250539</v>
      </c>
      <c r="S2965" s="2">
        <f t="shared" si="186"/>
        <v>3.8754771446585434</v>
      </c>
      <c r="T2965" s="2">
        <f t="shared" si="188"/>
        <v>9.8002389690910388</v>
      </c>
      <c r="U2965" s="2">
        <f t="shared" si="189"/>
        <v>257.42601891625498</v>
      </c>
    </row>
    <row r="2966" spans="1:21" x14ac:dyDescent="0.25">
      <c r="A2966">
        <v>4453417</v>
      </c>
      <c r="B2966">
        <v>71</v>
      </c>
      <c r="C2966" s="1">
        <f>4.67246777026784*(10.3/7.3)</f>
        <v>6.5926600046244905</v>
      </c>
      <c r="D2966" s="1">
        <f>6.67443005437648*(10.3/7.3)</f>
        <v>9.4173465150791404</v>
      </c>
      <c r="E2966" s="1">
        <f>23.5315004128172*(10.3/7.3)</f>
        <v>33.201980034522919</v>
      </c>
      <c r="F2966" s="1">
        <f>43.8299847047618*(38.9/42.5)</f>
        <v>40.117327176829015</v>
      </c>
      <c r="G2966" s="1">
        <v>1.5078868327012906</v>
      </c>
      <c r="H2966" s="1">
        <v>4.0883388433352383</v>
      </c>
      <c r="I2966" s="1">
        <v>30.63920632239212</v>
      </c>
      <c r="J2966" s="1">
        <v>3.9186405041944046E-2</v>
      </c>
      <c r="K2966" s="1">
        <v>2.6168771807775246</v>
      </c>
      <c r="L2966" s="1">
        <v>4.0261190271242189</v>
      </c>
      <c r="M2966" s="1">
        <v>0.1798618987649995</v>
      </c>
      <c r="N2966" s="1">
        <v>1.9931700260962582</v>
      </c>
      <c r="O2966" s="1">
        <v>0.15520901408450694</v>
      </c>
      <c r="P2966" s="1">
        <v>0.11762162992630627</v>
      </c>
      <c r="Q2966" s="1">
        <v>2.4098648011207864</v>
      </c>
      <c r="R2966" s="2">
        <f t="shared" si="187"/>
        <v>127.97461053060499</v>
      </c>
      <c r="S2966" s="2">
        <f t="shared" si="186"/>
        <v>2.773685215745775</v>
      </c>
      <c r="T2966" s="2">
        <f t="shared" si="188"/>
        <v>6.3543599660699837</v>
      </c>
      <c r="U2966" s="2">
        <f t="shared" si="189"/>
        <v>137.10265571242076</v>
      </c>
    </row>
    <row r="2967" spans="1:21" x14ac:dyDescent="0.25">
      <c r="A2967">
        <v>4453425</v>
      </c>
      <c r="B2967">
        <v>71</v>
      </c>
      <c r="C2967" s="1">
        <f>6.8543776046405*(10.3/7.3)</f>
        <v>9.6712451133968749</v>
      </c>
      <c r="D2967" s="1">
        <f>9.666389164668*(10.3/7.3)</f>
        <v>13.638877862476768</v>
      </c>
      <c r="E2967" s="1">
        <f>34.0853163419482*(10.3/7.3)</f>
        <v>48.092980592063931</v>
      </c>
      <c r="F2967" s="1">
        <f>64.0997682892414*(38.9/42.5)</f>
        <v>58.670140857682085</v>
      </c>
      <c r="G2967" s="1">
        <v>2.229241299705663</v>
      </c>
      <c r="H2967" s="1">
        <v>5.3552819993710035</v>
      </c>
      <c r="I2967" s="1">
        <v>45.127594258105773</v>
      </c>
      <c r="J2967" s="1">
        <v>5.1900119240367873E-2</v>
      </c>
      <c r="K2967" s="1">
        <v>3.2273120604935381</v>
      </c>
      <c r="L2967" s="1">
        <v>5.3145661422884078</v>
      </c>
      <c r="M2967" s="1">
        <v>0.22423762389673194</v>
      </c>
      <c r="N2967" s="1">
        <v>2.5031799293665444</v>
      </c>
      <c r="O2967" s="1">
        <v>0.19073051643192487</v>
      </c>
      <c r="P2967" s="1">
        <v>0.1358577998625955</v>
      </c>
      <c r="Q2967" s="1">
        <v>3.5627144059222968</v>
      </c>
      <c r="R2967" s="2">
        <f t="shared" si="187"/>
        <v>186.34807638872439</v>
      </c>
      <c r="S2967" s="2">
        <f t="shared" si="186"/>
        <v>3.4150699795965016</v>
      </c>
      <c r="T2967" s="2">
        <f t="shared" si="188"/>
        <v>8.232714211983609</v>
      </c>
      <c r="U2967" s="2">
        <f t="shared" si="189"/>
        <v>197.99586058030451</v>
      </c>
    </row>
    <row r="2968" spans="1:21" x14ac:dyDescent="0.25">
      <c r="A2968">
        <v>4453433</v>
      </c>
      <c r="B2968">
        <v>71</v>
      </c>
      <c r="C2968" s="1">
        <f>4.90291604381464*(10.3/7.3)</f>
        <v>6.9178130481220323</v>
      </c>
      <c r="D2968" s="1">
        <f>6.83123827585981*(10.3/7.3)</f>
        <v>9.6385964714186354</v>
      </c>
      <c r="E2968" s="1">
        <f>24.0922831475037*(10.3/7.3)</f>
        <v>33.993221427299737</v>
      </c>
      <c r="F2968" s="1">
        <f>45.6893809716625*(38.9/42.5)</f>
        <v>41.819221642298146</v>
      </c>
      <c r="G2968" s="1">
        <v>1.6035002259374878</v>
      </c>
      <c r="H2968" s="1">
        <v>4.3971855113438068</v>
      </c>
      <c r="I2968" s="1">
        <v>32.37340518662468</v>
      </c>
      <c r="J2968" s="1">
        <v>4.1652363822653117E-2</v>
      </c>
      <c r="K2968" s="1">
        <v>2.7381171122574433</v>
      </c>
      <c r="L2968" s="1">
        <v>4.2501681579751089</v>
      </c>
      <c r="M2968" s="1">
        <v>0.18455952484663699</v>
      </c>
      <c r="N2968" s="1">
        <v>2.0969812212543091</v>
      </c>
      <c r="O2968" s="1">
        <v>0.15916619718309863</v>
      </c>
      <c r="P2968" s="1">
        <v>0.11893001261389731</v>
      </c>
      <c r="Q2968" s="1">
        <v>2.5626715939640241</v>
      </c>
      <c r="R2968" s="2">
        <f t="shared" si="187"/>
        <v>133.30561510700855</v>
      </c>
      <c r="S2968" s="2">
        <f t="shared" si="186"/>
        <v>2.8986994886939934</v>
      </c>
      <c r="T2968" s="2">
        <f t="shared" si="188"/>
        <v>6.6908751012591532</v>
      </c>
      <c r="U2968" s="2">
        <f t="shared" si="189"/>
        <v>142.89518969696172</v>
      </c>
    </row>
    <row r="2969" spans="1:21" x14ac:dyDescent="0.25">
      <c r="A2969">
        <v>4453441</v>
      </c>
      <c r="B2969">
        <v>48</v>
      </c>
      <c r="C2969" s="1">
        <f>5.94315268334359*(10.3/7.3)</f>
        <v>8.3855441970464426</v>
      </c>
      <c r="D2969" s="1">
        <f>8.21020086144334*(10.3/7.3)</f>
        <v>11.584256009981702</v>
      </c>
      <c r="E2969" s="1">
        <f>28.9494901299044*(10.3/7.3)</f>
        <v>40.846540868221226</v>
      </c>
      <c r="F2969" s="1">
        <f>55.7160819431403*(38.9/42.5)</f>
        <v>50.996602060897871</v>
      </c>
      <c r="G2969" s="1">
        <v>1.9916176368792211</v>
      </c>
      <c r="H2969" s="1">
        <v>5.1909075702118255</v>
      </c>
      <c r="I2969" s="1">
        <v>39.745001914055287</v>
      </c>
      <c r="J2969" s="1">
        <v>4.7807469531953174E-2</v>
      </c>
      <c r="K2969" s="1">
        <v>3.0286085444406634</v>
      </c>
      <c r="L2969" s="1">
        <v>4.818660025098513</v>
      </c>
      <c r="M2969" s="1">
        <v>0.20536531495688426</v>
      </c>
      <c r="N2969" s="1">
        <v>2.3547794261842108</v>
      </c>
      <c r="O2969" s="1">
        <v>0.17556111111111117</v>
      </c>
      <c r="P2969" s="1">
        <v>0.12645517624062227</v>
      </c>
      <c r="Q2969" s="1">
        <v>3.1829505612225026</v>
      </c>
      <c r="R2969" s="2">
        <f t="shared" si="187"/>
        <v>161.92342081851606</v>
      </c>
      <c r="S2969" s="2">
        <f t="shared" si="186"/>
        <v>3.2028711902132385</v>
      </c>
      <c r="T2969" s="2">
        <f t="shared" si="188"/>
        <v>7.554365877350719</v>
      </c>
      <c r="U2969" s="2">
        <f t="shared" si="189"/>
        <v>172.68065788608004</v>
      </c>
    </row>
    <row r="2970" spans="1:21" x14ac:dyDescent="0.25">
      <c r="A2970">
        <v>4453449</v>
      </c>
      <c r="B2970">
        <v>40</v>
      </c>
      <c r="C2970" s="1">
        <f>6.76219829522178*(10.3/7.3)</f>
        <v>9.5411838959978592</v>
      </c>
      <c r="D2970" s="1">
        <f>9.4662034753144*(10.3/7.3)</f>
        <v>13.356424081607988</v>
      </c>
      <c r="E2970" s="1">
        <f>33.2334650787045*(10.3/7.3)</f>
        <v>46.891053467213162</v>
      </c>
      <c r="F2970" s="1">
        <f>70.348295251506*(38.9/42.5)</f>
        <v>64.389380830201929</v>
      </c>
      <c r="G2970" s="1">
        <v>2.8297163038537296</v>
      </c>
      <c r="H2970" s="1">
        <v>10.349427952876542</v>
      </c>
      <c r="I2970" s="1">
        <v>51.1404785075595</v>
      </c>
      <c r="J2970" s="1">
        <v>5.4084935890444642E-2</v>
      </c>
      <c r="K2970" s="1">
        <v>3.3047029035515756</v>
      </c>
      <c r="L2970" s="1">
        <v>5.4076502862164499</v>
      </c>
      <c r="M2970" s="1">
        <v>0.22271184181299888</v>
      </c>
      <c r="N2970" s="1">
        <v>2.6936940425171416</v>
      </c>
      <c r="O2970" s="1">
        <v>0.188444</v>
      </c>
      <c r="P2970" s="1">
        <v>0.1326910569049346</v>
      </c>
      <c r="Q2970" s="1">
        <v>4.5223776545607608</v>
      </c>
      <c r="R2970" s="2">
        <f t="shared" si="187"/>
        <v>203.02004269387146</v>
      </c>
      <c r="S2970" s="2">
        <f t="shared" si="186"/>
        <v>3.4914788963469547</v>
      </c>
      <c r="T2970" s="2">
        <f t="shared" si="188"/>
        <v>8.5125001705465912</v>
      </c>
      <c r="U2970" s="2">
        <f t="shared" si="189"/>
        <v>215.02402176076501</v>
      </c>
    </row>
    <row r="2971" spans="1:21" x14ac:dyDescent="0.25">
      <c r="A2971">
        <v>4453457</v>
      </c>
      <c r="B2971">
        <v>71</v>
      </c>
      <c r="C2971" s="1">
        <f>4.80808893534251*(10.3/7.3)</f>
        <v>6.7840158950723115</v>
      </c>
      <c r="D2971" s="1">
        <f>6.48781783422764*(10.3/7.3)</f>
        <v>9.1540443414444717</v>
      </c>
      <c r="E2971" s="1">
        <f>22.8679704619703*(10.3/7.3)</f>
        <v>32.265766542232129</v>
      </c>
      <c r="F2971" s="1">
        <f>45.5557063973607*(38.9/42.5)</f>
        <v>41.696870090760775</v>
      </c>
      <c r="G2971" s="1">
        <v>1.6948520454590326</v>
      </c>
      <c r="H2971" s="1">
        <v>4.9473186387340711</v>
      </c>
      <c r="I2971" s="1">
        <v>33.032105493920575</v>
      </c>
      <c r="J2971" s="1">
        <v>4.2480924060541513E-2</v>
      </c>
      <c r="K2971" s="1">
        <v>2.7570468944021718</v>
      </c>
      <c r="L2971" s="1">
        <v>4.259542474017171</v>
      </c>
      <c r="M2971" s="1">
        <v>0.17921755112115245</v>
      </c>
      <c r="N2971" s="1">
        <v>2.1904553421507811</v>
      </c>
      <c r="O2971" s="1">
        <v>0.15320413145539902</v>
      </c>
      <c r="P2971" s="1">
        <v>0.11500730379651496</v>
      </c>
      <c r="Q2971" s="1">
        <v>2.7086676525601021</v>
      </c>
      <c r="R2971" s="2">
        <f t="shared" si="187"/>
        <v>132.28364070018347</v>
      </c>
      <c r="S2971" s="2">
        <f t="shared" si="186"/>
        <v>2.9145351222592284</v>
      </c>
      <c r="T2971" s="2">
        <f t="shared" si="188"/>
        <v>6.7824194987445034</v>
      </c>
      <c r="U2971" s="2">
        <f t="shared" si="189"/>
        <v>141.9805953211872</v>
      </c>
    </row>
    <row r="2972" spans="1:21" x14ac:dyDescent="0.25">
      <c r="A2972">
        <v>4453465</v>
      </c>
      <c r="B2972">
        <v>70</v>
      </c>
      <c r="C2972" s="1">
        <f>6.11792146860199*(10.3/7.3)</f>
        <v>8.6321357707671975</v>
      </c>
      <c r="D2972" s="1">
        <f>8.02049442174864*(10.3/7.3)</f>
        <v>11.316588019727535</v>
      </c>
      <c r="E2972" s="1">
        <f>28.3190433233097*(10.3/7.3)</f>
        <v>39.95700633288908</v>
      </c>
      <c r="F2972" s="1">
        <f>55.7048338872124*(38.9/42.5)</f>
        <v>50.986306781472038</v>
      </c>
      <c r="G2972" s="1">
        <v>2.0265102071704439</v>
      </c>
      <c r="H2972" s="1">
        <v>5.2139253071572664</v>
      </c>
      <c r="I2972" s="1">
        <v>40.665191653644662</v>
      </c>
      <c r="J2972" s="1">
        <v>4.9699433264368133E-2</v>
      </c>
      <c r="K2972" s="1">
        <v>3.1138222482032685</v>
      </c>
      <c r="L2972" s="1">
        <v>4.9516059244732356</v>
      </c>
      <c r="M2972" s="1">
        <v>0.20187097038853377</v>
      </c>
      <c r="N2972" s="1">
        <v>3.0288113708056446</v>
      </c>
      <c r="O2972" s="1">
        <v>0.17166552380952385</v>
      </c>
      <c r="P2972" s="1">
        <v>0.12386484003382026</v>
      </c>
      <c r="Q2972" s="1">
        <v>3.2387149429664683</v>
      </c>
      <c r="R2972" s="2">
        <f t="shared" si="187"/>
        <v>162.03637901579469</v>
      </c>
      <c r="S2972" s="2">
        <f t="shared" si="186"/>
        <v>3.2873865215014568</v>
      </c>
      <c r="T2972" s="2">
        <f t="shared" si="188"/>
        <v>8.3539537894769378</v>
      </c>
      <c r="U2972" s="2">
        <f t="shared" si="189"/>
        <v>173.67771932677309</v>
      </c>
    </row>
    <row r="2973" spans="1:21" x14ac:dyDescent="0.25">
      <c r="A2973">
        <v>4453473</v>
      </c>
      <c r="B2973">
        <v>71</v>
      </c>
      <c r="C2973" s="1">
        <f>8.23426237404271*(10.3/7.3)</f>
        <v>11.618205815430121</v>
      </c>
      <c r="D2973" s="1">
        <f>10.5430734693852*(10.3/7.3)</f>
        <v>14.875843388310587</v>
      </c>
      <c r="E2973" s="1">
        <f>37.2507584963157*(10.3/7.3)</f>
        <v>52.559289385212615</v>
      </c>
      <c r="F2973" s="1">
        <f>73.9514268311857*(38.9/42.5)</f>
        <v>67.687305970191119</v>
      </c>
      <c r="G2973" s="1">
        <v>2.7086078947499863</v>
      </c>
      <c r="H2973" s="1">
        <v>6.0843455952674539</v>
      </c>
      <c r="I2973" s="1">
        <v>54.53360467226895</v>
      </c>
      <c r="J2973" s="1">
        <v>6.4296848189097547E-2</v>
      </c>
      <c r="K2973" s="1">
        <v>3.7545409197367201</v>
      </c>
      <c r="L2973" s="1">
        <v>6.396310969214964</v>
      </c>
      <c r="M2973" s="1">
        <v>0.24093884402654969</v>
      </c>
      <c r="N2973" s="1">
        <v>3.344305024939104</v>
      </c>
      <c r="O2973" s="1">
        <v>0.20142272300469483</v>
      </c>
      <c r="P2973" s="1">
        <v>0.14011732647196709</v>
      </c>
      <c r="Q2973" s="1">
        <v>4.3288254025684765</v>
      </c>
      <c r="R2973" s="2">
        <f t="shared" si="187"/>
        <v>214.39602812399929</v>
      </c>
      <c r="S2973" s="2">
        <f t="shared" si="186"/>
        <v>3.9589550943977851</v>
      </c>
      <c r="T2973" s="2">
        <f t="shared" si="188"/>
        <v>10.182977561185313</v>
      </c>
      <c r="U2973" s="2">
        <f t="shared" si="189"/>
        <v>228.53796077958239</v>
      </c>
    </row>
    <row r="2974" spans="1:21" x14ac:dyDescent="0.25">
      <c r="A2974">
        <v>4453481</v>
      </c>
      <c r="B2974">
        <v>71</v>
      </c>
      <c r="C2974" s="1">
        <f>8.46370089371321*(10.3/7.3)</f>
        <v>11.941934137704937</v>
      </c>
      <c r="D2974" s="1">
        <f>10.7242413710849*(10.3/7.3)</f>
        <v>15.131463852352686</v>
      </c>
      <c r="E2974" s="1">
        <f>37.8920835137436*(10.3/7.3)</f>
        <v>53.464172628980648</v>
      </c>
      <c r="F2974" s="1">
        <f>76.0478938185605*(38.9/42.5)</f>
        <v>69.606189871576504</v>
      </c>
      <c r="G2974" s="1">
        <v>2.8180185106864606</v>
      </c>
      <c r="H2974" s="1">
        <v>6.1010937142127721</v>
      </c>
      <c r="I2974" s="1">
        <v>56.409474606540272</v>
      </c>
      <c r="J2974" s="1">
        <v>6.5564550134141406E-2</v>
      </c>
      <c r="K2974" s="1">
        <v>3.8368024907739202</v>
      </c>
      <c r="L2974" s="1">
        <v>6.5236678451276964</v>
      </c>
      <c r="M2974" s="1">
        <v>0.24228601690876667</v>
      </c>
      <c r="N2974" s="1">
        <v>3.0940400342825023</v>
      </c>
      <c r="O2974" s="1">
        <v>0.20210478873239435</v>
      </c>
      <c r="P2974" s="1">
        <v>0.14031868454370194</v>
      </c>
      <c r="Q2974" s="1">
        <v>4.5036825513253982</v>
      </c>
      <c r="R2974" s="2">
        <f t="shared" si="187"/>
        <v>219.97602987337967</v>
      </c>
      <c r="S2974" s="2">
        <f t="shared" si="186"/>
        <v>4.0426857254517641</v>
      </c>
      <c r="T2974" s="2">
        <f t="shared" si="188"/>
        <v>10.06209868505136</v>
      </c>
      <c r="U2974" s="2">
        <f t="shared" si="189"/>
        <v>234.0808142838828</v>
      </c>
    </row>
    <row r="2975" spans="1:21" x14ac:dyDescent="0.25">
      <c r="A2975">
        <v>4453489</v>
      </c>
      <c r="B2975">
        <v>70</v>
      </c>
      <c r="C2975" s="1">
        <f>8.00435664285642*(10.3/7.3)</f>
        <v>11.293818276907009</v>
      </c>
      <c r="D2975" s="1">
        <f>10.0352915953207*(10.3/7.3)</f>
        <v>14.159384031753797</v>
      </c>
      <c r="E2975" s="1">
        <f>35.4581997229286*(10.3/7.3)</f>
        <v>50.030062622762294</v>
      </c>
      <c r="F2975" s="1">
        <f>71.9926521920535*(38.9/42.5)</f>
        <v>65.894451065197202</v>
      </c>
      <c r="G2975" s="1">
        <v>2.7005676824979687</v>
      </c>
      <c r="H2975" s="1">
        <v>5.9133829869003423</v>
      </c>
      <c r="I2975" s="1">
        <v>53.720643448964495</v>
      </c>
      <c r="J2975" s="1">
        <v>6.2702428092381177E-2</v>
      </c>
      <c r="K2975" s="1">
        <v>3.7419129642426552</v>
      </c>
      <c r="L2975" s="1">
        <v>6.1826966140284254</v>
      </c>
      <c r="M2975" s="1">
        <v>0.22960118335575228</v>
      </c>
      <c r="N2975" s="1">
        <v>2.834718634844926</v>
      </c>
      <c r="O2975" s="1">
        <v>0.19259809523809526</v>
      </c>
      <c r="P2975" s="1">
        <v>0.13465563313658979</v>
      </c>
      <c r="Q2975" s="1">
        <v>4.3159757482844299</v>
      </c>
      <c r="R2975" s="2">
        <f t="shared" si="187"/>
        <v>208.02828586326751</v>
      </c>
      <c r="S2975" s="2">
        <f t="shared" si="186"/>
        <v>3.9392710254716263</v>
      </c>
      <c r="T2975" s="2">
        <f t="shared" si="188"/>
        <v>9.4396145274671994</v>
      </c>
      <c r="U2975" s="2">
        <f t="shared" si="189"/>
        <v>221.40717141620632</v>
      </c>
    </row>
    <row r="2976" spans="1:21" x14ac:dyDescent="0.25">
      <c r="A2976">
        <v>4453497</v>
      </c>
      <c r="B2976">
        <v>69</v>
      </c>
      <c r="C2976" s="1">
        <f>8.60916398835708*(10.3/7.3)</f>
        <v>12.147176586312042</v>
      </c>
      <c r="D2976" s="1">
        <f>10.6590126438818*(10.3/7.3)</f>
        <v>15.039428798901683</v>
      </c>
      <c r="E2976" s="1">
        <f>37.6614998780436*(10.3/7.3)</f>
        <v>53.138828595047791</v>
      </c>
      <c r="F2976" s="1">
        <f>77.5725570801459*(38.9/42.5)</f>
        <v>71.001705186298253</v>
      </c>
      <c r="G2976" s="1">
        <v>2.9535342770671913</v>
      </c>
      <c r="H2976" s="1">
        <v>6.1879232418734746</v>
      </c>
      <c r="I2976" s="1">
        <v>58.293342284591454</v>
      </c>
      <c r="J2976" s="1">
        <v>6.5982556373225185E-2</v>
      </c>
      <c r="K2976" s="1">
        <v>3.9129829279931387</v>
      </c>
      <c r="L2976" s="1">
        <v>6.5040673193777057</v>
      </c>
      <c r="M2976" s="1">
        <v>0.2344788929862073</v>
      </c>
      <c r="N2976" s="1">
        <v>2.8827972073290575</v>
      </c>
      <c r="O2976" s="1">
        <v>0.19551845410628024</v>
      </c>
      <c r="P2976" s="1">
        <v>0.13675517246797483</v>
      </c>
      <c r="Q2976" s="1">
        <v>4.7202602601530481</v>
      </c>
      <c r="R2976" s="2">
        <f t="shared" si="187"/>
        <v>223.48219923024496</v>
      </c>
      <c r="S2976" s="2">
        <f t="shared" si="186"/>
        <v>4.1157206568343385</v>
      </c>
      <c r="T2976" s="2">
        <f t="shared" si="188"/>
        <v>9.8168618737992492</v>
      </c>
      <c r="U2976" s="2">
        <f t="shared" si="189"/>
        <v>237.41478176087853</v>
      </c>
    </row>
    <row r="2977" spans="1:21" x14ac:dyDescent="0.25">
      <c r="A2977">
        <v>4453505</v>
      </c>
      <c r="B2977">
        <v>69</v>
      </c>
      <c r="C2977" s="1">
        <f>11.8245333379394*(10.3/7.3)</f>
        <v>16.683930600106269</v>
      </c>
      <c r="D2977" s="1">
        <f>12.4289309044926*(10.3/7.3)</f>
        <v>17.536710728256718</v>
      </c>
      <c r="E2977" s="1">
        <f>44.3283358809066*(10.3/7.3)</f>
        <v>62.545460215525686</v>
      </c>
      <c r="F2977" s="1">
        <f>88.3966776383823*(38.9/42.5)</f>
        <v>80.908959061954619</v>
      </c>
      <c r="G2977" s="1">
        <v>3.1024565452361315</v>
      </c>
      <c r="H2977" s="1">
        <v>6.3520316319697336</v>
      </c>
      <c r="I2977" s="1">
        <v>70.046080289282969</v>
      </c>
      <c r="J2977" s="1">
        <v>6.6799957305702665E-2</v>
      </c>
      <c r="K2977" s="1">
        <v>3.9633456913550607</v>
      </c>
      <c r="L2977" s="1">
        <v>6.5534350130216747</v>
      </c>
      <c r="M2977" s="1">
        <v>0.23151680568034241</v>
      </c>
      <c r="N2977" s="1">
        <v>2.8331096077868971</v>
      </c>
      <c r="O2977" s="1">
        <v>0.1937182608695652</v>
      </c>
      <c r="P2977" s="1">
        <v>0.13598281691746755</v>
      </c>
      <c r="Q2977" s="1">
        <v>4.9582638850805809</v>
      </c>
      <c r="R2977" s="2">
        <f t="shared" si="187"/>
        <v>262.13389295741268</v>
      </c>
      <c r="S2977" s="2">
        <f t="shared" si="186"/>
        <v>4.1661284655782307</v>
      </c>
      <c r="T2977" s="2">
        <f t="shared" si="188"/>
        <v>9.8117796873584791</v>
      </c>
      <c r="U2977" s="2">
        <f t="shared" si="189"/>
        <v>276.1118011103494</v>
      </c>
    </row>
    <row r="2978" spans="1:21" x14ac:dyDescent="0.25">
      <c r="A2978">
        <v>4453513</v>
      </c>
      <c r="B2978">
        <v>67</v>
      </c>
      <c r="C2978" s="1">
        <f>8.88898142887475*(10.3/7.3)</f>
        <v>12.54198749553561</v>
      </c>
      <c r="D2978" s="1">
        <f>10.7139257880552*(10.3/7.3)</f>
        <v>15.116908988625815</v>
      </c>
      <c r="E2978" s="1">
        <f>37.8498230982147*(10.3/7.3)</f>
        <v>53.404544919398845</v>
      </c>
      <c r="F2978" s="1">
        <f>80.6180861060426*(38.9/42.5)</f>
        <v>73.789259988824838</v>
      </c>
      <c r="G2978" s="1">
        <v>3.1744729653654384</v>
      </c>
      <c r="H2978" s="1">
        <v>6.5590415738657777</v>
      </c>
      <c r="I2978" s="1">
        <v>61.499900708100284</v>
      </c>
      <c r="J2978" s="1">
        <v>6.7444267098800692E-2</v>
      </c>
      <c r="K2978" s="1">
        <v>3.993124035238071</v>
      </c>
      <c r="L2978" s="1">
        <v>6.4664590502141825</v>
      </c>
      <c r="M2978" s="1">
        <v>0.22608069643765641</v>
      </c>
      <c r="N2978" s="1">
        <v>2.7746818160311046</v>
      </c>
      <c r="O2978" s="1">
        <v>0.18935960199004978</v>
      </c>
      <c r="P2978" s="1">
        <v>0.13404943284877913</v>
      </c>
      <c r="Q2978" s="1">
        <v>5.0733586204470518</v>
      </c>
      <c r="R2978" s="2">
        <f t="shared" si="187"/>
        <v>231.15947526016362</v>
      </c>
      <c r="S2978" s="2">
        <f t="shared" si="186"/>
        <v>4.1946177351856511</v>
      </c>
      <c r="T2978" s="2">
        <f t="shared" si="188"/>
        <v>9.6565811646729944</v>
      </c>
      <c r="U2978" s="2">
        <f t="shared" si="189"/>
        <v>245.01067416002226</v>
      </c>
    </row>
    <row r="2979" spans="1:21" x14ac:dyDescent="0.25">
      <c r="A2979">
        <v>4453521</v>
      </c>
      <c r="B2979">
        <v>26</v>
      </c>
      <c r="C2979" s="1">
        <f>8.25873380238672*(10.3/7.3)</f>
        <v>11.65273399514839</v>
      </c>
      <c r="D2979" s="1">
        <f>9.94723552403979*(10.3/7.3)</f>
        <v>14.035140533919153</v>
      </c>
      <c r="E2979" s="1">
        <f>35.1086047110032*(10.3/7.3)</f>
        <v>49.536798427853874</v>
      </c>
      <c r="F2979" s="1">
        <f>76.4919255185816*(38.9/42.5)</f>
        <v>70.012609474654681</v>
      </c>
      <c r="G2979" s="1">
        <v>3.0879896704932039</v>
      </c>
      <c r="H2979" s="1">
        <v>6.4230892204980519</v>
      </c>
      <c r="I2979" s="1">
        <v>58.594659839408514</v>
      </c>
      <c r="J2979" s="1">
        <v>7.4154881661726263E-2</v>
      </c>
      <c r="K2979" s="1">
        <v>3.6226192558430901</v>
      </c>
      <c r="L2979" s="1">
        <v>5.6720265437541286</v>
      </c>
      <c r="M2979" s="1">
        <v>0.2015654741531292</v>
      </c>
      <c r="N2979" s="1">
        <v>2.723939361298048</v>
      </c>
      <c r="O2979" s="1">
        <v>0.17045128205128199</v>
      </c>
      <c r="P2979" s="1">
        <v>0.12228814497896753</v>
      </c>
      <c r="Q2979" s="1">
        <v>4.9351433090074099</v>
      </c>
      <c r="R2979" s="2">
        <f t="shared" si="187"/>
        <v>218.27816447098326</v>
      </c>
      <c r="S2979" s="2">
        <f t="shared" si="186"/>
        <v>3.8190622824837841</v>
      </c>
      <c r="T2979" s="2">
        <f t="shared" si="188"/>
        <v>8.767982661256589</v>
      </c>
      <c r="U2979" s="2">
        <f t="shared" si="189"/>
        <v>230.86520941472361</v>
      </c>
    </row>
    <row r="2980" spans="1:21" x14ac:dyDescent="0.25">
      <c r="A2980">
        <v>4453537</v>
      </c>
      <c r="B2980">
        <v>18</v>
      </c>
      <c r="C2980" s="1">
        <f>4.48337172282742*(10.3/7.3)</f>
        <v>6.3258532527565023</v>
      </c>
      <c r="D2980" s="1">
        <f>5.71732535755135*(10.3/7.3)</f>
        <v>8.0669111209286157</v>
      </c>
      <c r="E2980" s="1">
        <f>19.9809374248753*(10.3/7.3)</f>
        <v>28.192281572084379</v>
      </c>
      <c r="F2980" s="1">
        <f>50.9241593403588*(38.9/42.5)</f>
        <v>46.610583490351971</v>
      </c>
      <c r="G2980" s="1">
        <v>2.3973862409974154</v>
      </c>
      <c r="H2980" s="1">
        <v>9.5067732366012709</v>
      </c>
      <c r="I2980" s="1">
        <v>39.379731274958878</v>
      </c>
      <c r="J2980" s="1">
        <v>4.0021897838083666E-2</v>
      </c>
      <c r="K2980" s="1">
        <v>2.6772078470485972</v>
      </c>
      <c r="L2980" s="1">
        <v>4.14112893178189</v>
      </c>
      <c r="M2980" s="1">
        <v>0.14213737581765204</v>
      </c>
      <c r="N2980" s="1">
        <v>2.4090206146384121</v>
      </c>
      <c r="O2980" s="1">
        <v>0.11957333333333336</v>
      </c>
      <c r="P2980" s="1">
        <v>9.3588367064983427E-2</v>
      </c>
      <c r="Q2980" s="1">
        <v>3.8314391979410791</v>
      </c>
      <c r="R2980" s="2">
        <f t="shared" si="187"/>
        <v>144.31095938662011</v>
      </c>
      <c r="S2980" s="2">
        <f t="shared" si="186"/>
        <v>2.8108181119516642</v>
      </c>
      <c r="T2980" s="2">
        <f t="shared" si="188"/>
        <v>6.811860255571287</v>
      </c>
      <c r="U2980" s="2">
        <f t="shared" si="189"/>
        <v>153.93363775414306</v>
      </c>
    </row>
    <row r="2981" spans="1:21" x14ac:dyDescent="0.25">
      <c r="A2981">
        <v>4453545</v>
      </c>
      <c r="B2981">
        <v>36</v>
      </c>
      <c r="C2981" s="1">
        <f>4.12817287682394*(10.3/7.3)</f>
        <v>5.8246822782584395</v>
      </c>
      <c r="D2981" s="1">
        <f>5.09730973096456*(10.3/7.3)</f>
        <v>7.1920945519088963</v>
      </c>
      <c r="E2981" s="1">
        <f>17.8698014909597*(10.3/7.3)</f>
        <v>25.213555528340343</v>
      </c>
      <c r="F2981" s="1">
        <f>44.0201758887616*(38.9/42.5)</f>
        <v>40.291408048772396</v>
      </c>
      <c r="G2981" s="1">
        <v>2.0065644182494715</v>
      </c>
      <c r="H2981" s="1">
        <v>8.6326644122242158</v>
      </c>
      <c r="I2981" s="1">
        <v>34.150526845590058</v>
      </c>
      <c r="J2981" s="1">
        <v>3.4748774235571572E-2</v>
      </c>
      <c r="K2981" s="1">
        <v>2.4199095410676836</v>
      </c>
      <c r="L2981" s="1">
        <v>4.6491372285194519</v>
      </c>
      <c r="M2981" s="1">
        <v>0.12917455017325175</v>
      </c>
      <c r="N2981" s="1">
        <v>1.5445936249215657</v>
      </c>
      <c r="O2981" s="1">
        <v>0.10880888888888886</v>
      </c>
      <c r="P2981" s="1">
        <v>8.7167797883983475E-2</v>
      </c>
      <c r="Q2981" s="1">
        <v>3.2068381113576061</v>
      </c>
      <c r="R2981" s="2">
        <f t="shared" si="187"/>
        <v>126.51833419470144</v>
      </c>
      <c r="S2981" s="2">
        <f t="shared" si="186"/>
        <v>2.5418261131872386</v>
      </c>
      <c r="T2981" s="2">
        <f t="shared" si="188"/>
        <v>6.4317142925031581</v>
      </c>
      <c r="U2981" s="2">
        <f t="shared" si="189"/>
        <v>135.49187460039184</v>
      </c>
    </row>
    <row r="2982" spans="1:21" x14ac:dyDescent="0.25">
      <c r="A2982">
        <v>4465061</v>
      </c>
      <c r="B2982">
        <v>25</v>
      </c>
      <c r="C2982" s="1">
        <f>0.538108162609049*(10.3/7.3)</f>
        <v>0.75924850340728856</v>
      </c>
      <c r="D2982" s="1">
        <f>0.715839057434522*(10.3/7.3)</f>
        <v>1.010019491996655</v>
      </c>
      <c r="E2982" s="1">
        <f>2.50109558554932*(10.3/7.3)</f>
        <v>3.5289430864599973</v>
      </c>
      <c r="F2982" s="1">
        <f>6.17233536646127*(38.9/42.5)</f>
        <v>5.649502253066907</v>
      </c>
      <c r="G2982" s="1">
        <v>0.28480369150367663</v>
      </c>
      <c r="H2982" s="1">
        <v>1.2674368943671561</v>
      </c>
      <c r="I2982" s="1">
        <v>4.6956280041440346</v>
      </c>
      <c r="J2982" s="1">
        <v>4.3911048673799725E-2</v>
      </c>
      <c r="K2982" s="1">
        <v>2.8852016119463992</v>
      </c>
      <c r="L2982" s="1">
        <v>2.2438446215915677</v>
      </c>
      <c r="M2982" s="1">
        <v>0.2446349094794063</v>
      </c>
      <c r="N2982" s="1">
        <v>1.2222254615768411</v>
      </c>
      <c r="O2982" s="1">
        <v>0.6798293333333334</v>
      </c>
      <c r="P2982" s="1">
        <v>0.27211606241660991</v>
      </c>
      <c r="Q2982" s="1">
        <v>0.4551657170150088</v>
      </c>
      <c r="R2982" s="2">
        <f t="shared" si="187"/>
        <v>17.650747641960724</v>
      </c>
      <c r="S2982" s="2">
        <f t="shared" si="186"/>
        <v>3.2012287230368086</v>
      </c>
      <c r="T2982" s="2">
        <f t="shared" si="188"/>
        <v>4.3905343259811485</v>
      </c>
      <c r="U2982" s="2">
        <f t="shared" si="189"/>
        <v>25.242510690978683</v>
      </c>
    </row>
    <row r="2983" spans="1:21" x14ac:dyDescent="0.25">
      <c r="A2983">
        <v>4465069</v>
      </c>
      <c r="B2983">
        <v>3</v>
      </c>
      <c r="C2983" s="1">
        <f>1.00435917272063*(10.3/7.3)</f>
        <v>1.4171095176743194</v>
      </c>
      <c r="D2983" s="1">
        <f>1.37396878327405*(10.3/7.3)</f>
        <v>1.9386134887291386</v>
      </c>
      <c r="E2983" s="1">
        <f>4.77522076329952*(10.3/7.3)</f>
        <v>6.737640255066446</v>
      </c>
      <c r="F2983" s="1">
        <f>12.7886859161168*(38.9/42.5)</f>
        <v>11.705408991457485</v>
      </c>
      <c r="G2983" s="1">
        <v>0.63021471870432577</v>
      </c>
      <c r="H2983" s="1">
        <v>2.1512706459551292</v>
      </c>
      <c r="I2983" s="1">
        <v>9.7999278020562013</v>
      </c>
      <c r="J2983" s="1">
        <v>8.9050702851489527E-2</v>
      </c>
      <c r="K2983" s="1">
        <v>3.6581877295984886</v>
      </c>
      <c r="L2983" s="1">
        <v>3.523065114392363</v>
      </c>
      <c r="M2983" s="1">
        <v>0.36972579686092866</v>
      </c>
      <c r="N2983" s="1">
        <v>2.0438860205714104</v>
      </c>
      <c r="O2983" s="1">
        <v>1.0259555555555555</v>
      </c>
      <c r="P2983" s="1">
        <v>0.31400605023436673</v>
      </c>
      <c r="Q2983" s="1">
        <v>1.0071924728151336</v>
      </c>
      <c r="R2983" s="2">
        <f t="shared" si="187"/>
        <v>35.387377892458183</v>
      </c>
      <c r="S2983" s="2">
        <f t="shared" si="186"/>
        <v>4.0612444826843452</v>
      </c>
      <c r="T2983" s="2">
        <f t="shared" si="188"/>
        <v>6.9626324873802581</v>
      </c>
      <c r="U2983" s="2">
        <f t="shared" si="189"/>
        <v>46.411254862522782</v>
      </c>
    </row>
    <row r="2984" spans="1:21" x14ac:dyDescent="0.25">
      <c r="A2984">
        <v>4465597</v>
      </c>
      <c r="B2984">
        <v>46</v>
      </c>
      <c r="C2984" s="1">
        <f>12.5276626855017*(10.3/7.3)</f>
        <v>17.676017213790043</v>
      </c>
      <c r="D2984" s="1">
        <f>18.8281494888538*(10.3/7.3)</f>
        <v>26.565745169204618</v>
      </c>
      <c r="E2984" s="1">
        <f>66.3544570233545*(10.3/7.3)</f>
        <v>93.623411964459052</v>
      </c>
      <c r="F2984" s="1">
        <f>118.350870973576*(38.9/42.5)</f>
        <v>108.32585602052023</v>
      </c>
      <c r="G2984" s="1">
        <v>3.8590958044716404</v>
      </c>
      <c r="H2984" s="1">
        <v>7.7750426959592724</v>
      </c>
      <c r="I2984" s="1">
        <v>80.218910728859967</v>
      </c>
      <c r="J2984" s="1">
        <v>8.2094185526503174E-2</v>
      </c>
      <c r="K2984" s="1">
        <v>3.532962451764234</v>
      </c>
      <c r="L2984" s="1">
        <v>6.0206880468459643</v>
      </c>
      <c r="M2984" s="1">
        <v>0.2794471016441355</v>
      </c>
      <c r="N2984" s="1">
        <v>2.9446418480471679</v>
      </c>
      <c r="O2984" s="1">
        <v>0.23142724637681164</v>
      </c>
      <c r="P2984" s="1">
        <v>0.15622091603806881</v>
      </c>
      <c r="Q2984" s="1">
        <v>6.1675047103428122</v>
      </c>
      <c r="R2984" s="2">
        <f t="shared" si="187"/>
        <v>344.21158430760767</v>
      </c>
      <c r="S2984" s="2">
        <f t="shared" si="186"/>
        <v>3.7712775533288059</v>
      </c>
      <c r="T2984" s="2">
        <f t="shared" si="188"/>
        <v>9.4762042429140791</v>
      </c>
      <c r="U2984" s="2">
        <f t="shared" si="189"/>
        <v>357.45906610385055</v>
      </c>
    </row>
    <row r="2985" spans="1:21" x14ac:dyDescent="0.25">
      <c r="A2985">
        <v>4465605</v>
      </c>
      <c r="B2985">
        <v>9</v>
      </c>
      <c r="C2985" s="1">
        <f>10.6959051973937*(10.3/7.3)</f>
        <v>15.091482675774678</v>
      </c>
      <c r="D2985" s="1">
        <f>16.6473236380365*(10.3/7.3)</f>
        <v>23.488689516681639</v>
      </c>
      <c r="E2985" s="1">
        <f>58.5968895088904*(10.3/7.3)</f>
        <v>82.677803005694656</v>
      </c>
      <c r="F2985" s="1">
        <f>104.294992425534*(38.9/42.5)</f>
        <v>95.46059306713623</v>
      </c>
      <c r="G2985" s="1">
        <v>3.4173438722092002</v>
      </c>
      <c r="H2985" s="1">
        <v>7.7079826819107415</v>
      </c>
      <c r="I2985" s="1">
        <v>69.775933049060413</v>
      </c>
      <c r="J2985" s="1">
        <v>6.973941108530457E-2</v>
      </c>
      <c r="K2985" s="1">
        <v>3.4597151197028184</v>
      </c>
      <c r="L2985" s="1">
        <v>5.8749753294150544</v>
      </c>
      <c r="M2985" s="1">
        <v>0.26935001025485816</v>
      </c>
      <c r="N2985" s="1">
        <v>2.9033796616610181</v>
      </c>
      <c r="O2985" s="1">
        <v>0.22412444444444443</v>
      </c>
      <c r="P2985" s="1">
        <v>0.15167915774840329</v>
      </c>
      <c r="Q2985" s="1">
        <v>5.461508471567222</v>
      </c>
      <c r="R2985" s="2">
        <f t="shared" si="187"/>
        <v>303.0813363400348</v>
      </c>
      <c r="S2985" s="2">
        <f t="shared" si="186"/>
        <v>3.6811336885365264</v>
      </c>
      <c r="T2985" s="2">
        <f t="shared" si="188"/>
        <v>9.2718294457753743</v>
      </c>
      <c r="U2985" s="2">
        <f t="shared" si="189"/>
        <v>316.03429947434671</v>
      </c>
    </row>
    <row r="2986" spans="1:21" x14ac:dyDescent="0.25">
      <c r="A2986">
        <v>4465613</v>
      </c>
      <c r="B2986">
        <v>59</v>
      </c>
      <c r="C2986" s="1">
        <f>11.7699954394471*(10.3/7.3)</f>
        <v>16.606979866617202</v>
      </c>
      <c r="D2986" s="1">
        <f>18.349159504703*(10.3/7.3)</f>
        <v>25.88990998608784</v>
      </c>
      <c r="E2986" s="1">
        <f>64.5821052467533*(10.3/7.3)</f>
        <v>91.12269644404924</v>
      </c>
      <c r="F2986" s="1">
        <f>115.008266242599*(38.9/42.5)</f>
        <v>105.26638957263754</v>
      </c>
      <c r="G2986" s="1">
        <v>3.7728902098914614</v>
      </c>
      <c r="H2986" s="1">
        <v>7.0738365870209794</v>
      </c>
      <c r="I2986" s="1">
        <v>76.912810822283859</v>
      </c>
      <c r="J2986" s="1">
        <v>7.269010780878464E-2</v>
      </c>
      <c r="K2986" s="1">
        <v>3.896237825493821</v>
      </c>
      <c r="L2986" s="1">
        <v>7.0004113340884766</v>
      </c>
      <c r="M2986" s="1">
        <v>0.30389619107606025</v>
      </c>
      <c r="N2986" s="1">
        <v>3.26205165707364</v>
      </c>
      <c r="O2986" s="1">
        <v>0.24862463276836158</v>
      </c>
      <c r="P2986" s="1">
        <v>0.16551200600040566</v>
      </c>
      <c r="Q2986" s="1">
        <v>6.0297332121553078</v>
      </c>
      <c r="R2986" s="2">
        <f t="shared" si="187"/>
        <v>332.6752467007434</v>
      </c>
      <c r="S2986" s="2">
        <f t="shared" si="186"/>
        <v>4.1344399393030118</v>
      </c>
      <c r="T2986" s="2">
        <f t="shared" si="188"/>
        <v>10.814983815006538</v>
      </c>
      <c r="U2986" s="2">
        <f t="shared" si="189"/>
        <v>347.62467045505298</v>
      </c>
    </row>
    <row r="2987" spans="1:21" x14ac:dyDescent="0.25">
      <c r="A2987">
        <v>4465621</v>
      </c>
      <c r="B2987">
        <v>56</v>
      </c>
      <c r="C2987" s="1">
        <f>8.49791131497267*(10.3/7.3)</f>
        <v>11.99020363619432</v>
      </c>
      <c r="D2987" s="1">
        <f>12.8933662398745*(10.3/7.3)</f>
        <v>18.192009900096959</v>
      </c>
      <c r="E2987" s="1">
        <f>45.4022969189088*(10.3/7.3)</f>
        <v>64.060775104761674</v>
      </c>
      <c r="F2987" s="1">
        <f>82.0104567595364*(38.9/42.5)</f>
        <v>75.06368865755212</v>
      </c>
      <c r="G2987" s="1">
        <v>2.73307038570954</v>
      </c>
      <c r="H2987" s="1">
        <v>5.6121329560957927</v>
      </c>
      <c r="I2987" s="1">
        <v>55.625927317791202</v>
      </c>
      <c r="J2987" s="1">
        <v>5.7525113336609431E-2</v>
      </c>
      <c r="K2987" s="1">
        <v>3.3617873281728508</v>
      </c>
      <c r="L2987" s="1">
        <v>5.6874654260388073</v>
      </c>
      <c r="M2987" s="1">
        <v>0.25177238336705299</v>
      </c>
      <c r="N2987" s="1">
        <v>2.6396362250585965</v>
      </c>
      <c r="O2987" s="1">
        <v>0.21039142857142859</v>
      </c>
      <c r="P2987" s="1">
        <v>0.1467246701957306</v>
      </c>
      <c r="Q2987" s="1">
        <v>4.367920707754978</v>
      </c>
      <c r="R2987" s="2">
        <f t="shared" si="187"/>
        <v>237.6457286659566</v>
      </c>
      <c r="S2987" s="2">
        <f t="shared" si="186"/>
        <v>3.566037111705191</v>
      </c>
      <c r="T2987" s="2">
        <f t="shared" si="188"/>
        <v>8.7892654630358855</v>
      </c>
      <c r="U2987" s="2">
        <f t="shared" si="189"/>
        <v>250.00103124069767</v>
      </c>
    </row>
    <row r="2988" spans="1:21" x14ac:dyDescent="0.25">
      <c r="A2988">
        <v>4465629</v>
      </c>
      <c r="B2988">
        <v>59</v>
      </c>
      <c r="C2988" s="1">
        <f>7.69918314598597*(10.3/7.3)</f>
        <v>10.863231014199389</v>
      </c>
      <c r="D2988" s="1">
        <f>11.4678039127089*(10.3/7.3)</f>
        <v>16.18060004121936</v>
      </c>
      <c r="E2988" s="1">
        <f>40.396544309312*(10.3/7.3)</f>
        <v>56.997863888481355</v>
      </c>
      <c r="F2988" s="1">
        <f>73.6730679819115*(38.9/42.5)</f>
        <v>67.432525752855511</v>
      </c>
      <c r="G2988" s="1">
        <v>2.4806590369066477</v>
      </c>
      <c r="H2988" s="1">
        <v>5.3414022143080642</v>
      </c>
      <c r="I2988" s="1">
        <v>50.444550690041126</v>
      </c>
      <c r="J2988" s="1">
        <v>5.3838344621248674E-2</v>
      </c>
      <c r="K2988" s="1">
        <v>3.2477953691176036</v>
      </c>
      <c r="L2988" s="1">
        <v>5.4251287517713669</v>
      </c>
      <c r="M2988" s="1">
        <v>0.23897928749853134</v>
      </c>
      <c r="N2988" s="1">
        <v>2.5182888368022183</v>
      </c>
      <c r="O2988" s="1">
        <v>0.19976406779661013</v>
      </c>
      <c r="P2988" s="1">
        <v>0.14203762123447061</v>
      </c>
      <c r="Q2988" s="1">
        <v>3.9645235749649652</v>
      </c>
      <c r="R2988" s="2">
        <f t="shared" si="187"/>
        <v>213.7053562129764</v>
      </c>
      <c r="S2988" s="2">
        <f t="shared" si="186"/>
        <v>3.443671334973323</v>
      </c>
      <c r="T2988" s="2">
        <f t="shared" si="188"/>
        <v>8.3821609438687261</v>
      </c>
      <c r="U2988" s="2">
        <f t="shared" si="189"/>
        <v>225.53118849181845</v>
      </c>
    </row>
    <row r="2989" spans="1:21" x14ac:dyDescent="0.25">
      <c r="A2989">
        <v>4465637</v>
      </c>
      <c r="B2989">
        <v>59</v>
      </c>
      <c r="C2989" s="1">
        <f>8.56084359031184*(10.3/7.3)</f>
        <v>12.078998490439993</v>
      </c>
      <c r="D2989" s="1">
        <f>12.5648996135021*(10.3/7.3)</f>
        <v>17.728556988913926</v>
      </c>
      <c r="E2989" s="1">
        <f>44.2732467364461*(10.3/7.3)</f>
        <v>62.467731696629379</v>
      </c>
      <c r="F2989" s="1">
        <f>81.3951406332009*(38.9/42.5)</f>
        <v>74.500493426623848</v>
      </c>
      <c r="G2989" s="1">
        <v>2.7643723208399988</v>
      </c>
      <c r="H2989" s="1">
        <v>5.8465176553251519</v>
      </c>
      <c r="I2989" s="1">
        <v>56.154021184610798</v>
      </c>
      <c r="J2989" s="1">
        <v>5.9164212604927456E-2</v>
      </c>
      <c r="K2989" s="1">
        <v>3.5279818316840768</v>
      </c>
      <c r="L2989" s="1">
        <v>6.0050059100794835</v>
      </c>
      <c r="M2989" s="1">
        <v>0.25826871934845191</v>
      </c>
      <c r="N2989" s="1">
        <v>2.7632342026260557</v>
      </c>
      <c r="O2989" s="1">
        <v>0.2164637288135593</v>
      </c>
      <c r="P2989" s="1">
        <v>0.1497916319244896</v>
      </c>
      <c r="Q2989" s="1">
        <v>4.4179466314794551</v>
      </c>
      <c r="R2989" s="2">
        <f t="shared" si="187"/>
        <v>235.95863839486256</v>
      </c>
      <c r="S2989" s="2">
        <f t="shared" si="186"/>
        <v>3.7369376762134938</v>
      </c>
      <c r="T2989" s="2">
        <f t="shared" si="188"/>
        <v>9.2429725608675515</v>
      </c>
      <c r="U2989" s="2">
        <f t="shared" si="189"/>
        <v>248.9385486319436</v>
      </c>
    </row>
    <row r="2990" spans="1:21" x14ac:dyDescent="0.25">
      <c r="A2990">
        <v>4465645</v>
      </c>
      <c r="B2990">
        <v>58</v>
      </c>
      <c r="C2990" s="1">
        <f>7.77005511093514*(10.3/7.3)</f>
        <v>10.963228444196154</v>
      </c>
      <c r="D2990" s="1">
        <f>11.2348579334408*(10.3/7.3)</f>
        <v>15.85192283759454</v>
      </c>
      <c r="E2990" s="1">
        <f>39.596919399211*(10.3/7.3)</f>
        <v>55.869626001626536</v>
      </c>
      <c r="F2990" s="1">
        <f>73.4479858141521*(38.9/42.5)</f>
        <v>67.226509368717998</v>
      </c>
      <c r="G2990" s="1">
        <v>2.5186007479546695</v>
      </c>
      <c r="H2990" s="1">
        <v>5.5891716175976152</v>
      </c>
      <c r="I2990" s="1">
        <v>51.06752196602681</v>
      </c>
      <c r="J2990" s="1">
        <v>5.5307819897406428E-2</v>
      </c>
      <c r="K2990" s="1">
        <v>3.3798560841110579</v>
      </c>
      <c r="L2990" s="1">
        <v>5.6353346221691352</v>
      </c>
      <c r="M2990" s="1">
        <v>0.24263384445077477</v>
      </c>
      <c r="N2990" s="1">
        <v>2.7406280541590564</v>
      </c>
      <c r="O2990" s="1">
        <v>0.20585379310344826</v>
      </c>
      <c r="P2990" s="1">
        <v>0.1438012509370436</v>
      </c>
      <c r="Q2990" s="1">
        <v>4.0251610127129451</v>
      </c>
      <c r="R2990" s="2">
        <f t="shared" si="187"/>
        <v>213.1117419964273</v>
      </c>
      <c r="S2990" s="2">
        <f t="shared" si="186"/>
        <v>3.5789651549455077</v>
      </c>
      <c r="T2990" s="2">
        <f t="shared" si="188"/>
        <v>8.8244503138824157</v>
      </c>
      <c r="U2990" s="2">
        <f t="shared" si="189"/>
        <v>225.51515746525521</v>
      </c>
    </row>
    <row r="2991" spans="1:21" x14ac:dyDescent="0.25">
      <c r="A2991">
        <v>4465653</v>
      </c>
      <c r="B2991">
        <v>58</v>
      </c>
      <c r="C2991" s="1">
        <f>4.33128605654502*(10.3/7.3)</f>
        <v>6.1112666277278995</v>
      </c>
      <c r="D2991" s="1">
        <f>6.15581788586443*(10.3/7.3)</f>
        <v>8.6856060581374877</v>
      </c>
      <c r="E2991" s="1">
        <f>21.7051515007039*(10.3/7.3)</f>
        <v>30.625076774965731</v>
      </c>
      <c r="F2991" s="1">
        <f>40.5436379730092*(38.9/42.5)</f>
        <v>37.109353344707287</v>
      </c>
      <c r="G2991" s="1">
        <v>1.3989595390465892</v>
      </c>
      <c r="H2991" s="1">
        <v>3.8446476764408435</v>
      </c>
      <c r="I2991" s="1">
        <v>28.414312773382917</v>
      </c>
      <c r="J2991" s="1">
        <v>3.7472756601591987E-2</v>
      </c>
      <c r="K2991" s="1">
        <v>2.5283572578950766</v>
      </c>
      <c r="L2991" s="1">
        <v>3.8401012255714959</v>
      </c>
      <c r="M2991" s="1">
        <v>0.17356972461311396</v>
      </c>
      <c r="N2991" s="1">
        <v>1.91359478731621</v>
      </c>
      <c r="O2991" s="1">
        <v>0.1496937931034483</v>
      </c>
      <c r="P2991" s="1">
        <v>0.11449675018922108</v>
      </c>
      <c r="Q2991" s="1">
        <v>2.2357800852342771</v>
      </c>
      <c r="R2991" s="2">
        <f t="shared" si="187"/>
        <v>118.42500287964303</v>
      </c>
      <c r="S2991" s="2">
        <f t="shared" si="186"/>
        <v>2.6803267646858893</v>
      </c>
      <c r="T2991" s="2">
        <f t="shared" si="188"/>
        <v>6.0769595306042676</v>
      </c>
      <c r="U2991" s="2">
        <f t="shared" si="189"/>
        <v>127.18228917493319</v>
      </c>
    </row>
    <row r="2992" spans="1:21" x14ac:dyDescent="0.25">
      <c r="A2992">
        <v>4465661</v>
      </c>
      <c r="B2992">
        <v>58</v>
      </c>
      <c r="C2992" s="1">
        <f>6.19364360816775*(10.3/7.3)</f>
        <v>8.7389765978257312</v>
      </c>
      <c r="D2992" s="1">
        <f>8.70833639651495*(10.3/7.3)</f>
        <v>12.287104778644382</v>
      </c>
      <c r="E2992" s="1">
        <f>30.7055886022252*(10.3/7.3)</f>
        <v>43.324323644235584</v>
      </c>
      <c r="F2992" s="1">
        <f>58.0054243927875*(38.9/42.5)</f>
        <v>53.092023738339584</v>
      </c>
      <c r="G2992" s="1">
        <v>2.0288178412226237</v>
      </c>
      <c r="H2992" s="1">
        <v>5.1206949507090576</v>
      </c>
      <c r="I2992" s="1">
        <v>40.929374643807726</v>
      </c>
      <c r="J2992" s="1">
        <v>4.8184066058520554E-2</v>
      </c>
      <c r="K2992" s="1">
        <v>3.0831320256600669</v>
      </c>
      <c r="L2992" s="1">
        <v>4.8635661412064657</v>
      </c>
      <c r="M2992" s="1">
        <v>0.21199820617971565</v>
      </c>
      <c r="N2992" s="1">
        <v>2.3806136819978474</v>
      </c>
      <c r="O2992" s="1">
        <v>0.18316229885057475</v>
      </c>
      <c r="P2992" s="1">
        <v>0.13093384190578189</v>
      </c>
      <c r="Q2992" s="1">
        <v>3.2424029425932379</v>
      </c>
      <c r="R2992" s="2">
        <f t="shared" si="187"/>
        <v>168.7637191373779</v>
      </c>
      <c r="S2992" s="2">
        <f t="shared" si="186"/>
        <v>3.2622499336243691</v>
      </c>
      <c r="T2992" s="2">
        <f t="shared" si="188"/>
        <v>7.6393403282346037</v>
      </c>
      <c r="U2992" s="2">
        <f t="shared" si="189"/>
        <v>179.66530939923686</v>
      </c>
    </row>
    <row r="2993" spans="1:21" x14ac:dyDescent="0.25">
      <c r="A2993">
        <v>4465669</v>
      </c>
      <c r="B2993">
        <v>58</v>
      </c>
      <c r="C2993" s="1">
        <f>4.9887902914094*(10.3/7.3)</f>
        <v>7.0389780823995709</v>
      </c>
      <c r="D2993" s="1">
        <f>6.93087970357578*(10.3/7.3)</f>
        <v>9.7791864310726773</v>
      </c>
      <c r="E2993" s="1">
        <f>24.4416675432363*(10.3/7.3)</f>
        <v>34.4861884514156</v>
      </c>
      <c r="F2993" s="1">
        <f>46.598672648427*(38.9/42.5)</f>
        <v>42.651490965266092</v>
      </c>
      <c r="G2993" s="1">
        <v>1.6464408702998488</v>
      </c>
      <c r="H2993" s="1">
        <v>4.5509244662425425</v>
      </c>
      <c r="I2993" s="1">
        <v>33.096405390531281</v>
      </c>
      <c r="J2993" s="1">
        <v>4.2207733042534869E-2</v>
      </c>
      <c r="K2993" s="1">
        <v>2.7751039957052419</v>
      </c>
      <c r="L2993" s="1">
        <v>4.2827782607668201</v>
      </c>
      <c r="M2993" s="1">
        <v>0.18716547990929785</v>
      </c>
      <c r="N2993" s="1">
        <v>2.1452599487529951</v>
      </c>
      <c r="O2993" s="1">
        <v>0.1615641379310345</v>
      </c>
      <c r="P2993" s="1">
        <v>0.11972195351963479</v>
      </c>
      <c r="Q2993" s="1">
        <v>2.6312981945431391</v>
      </c>
      <c r="R2993" s="2">
        <f t="shared" si="187"/>
        <v>135.88091285177077</v>
      </c>
      <c r="S2993" s="2">
        <f t="shared" si="186"/>
        <v>2.9370336822674119</v>
      </c>
      <c r="T2993" s="2">
        <f t="shared" si="188"/>
        <v>6.776767827360147</v>
      </c>
      <c r="U2993" s="2">
        <f t="shared" si="189"/>
        <v>145.59471436139833</v>
      </c>
    </row>
    <row r="2994" spans="1:21" x14ac:dyDescent="0.25">
      <c r="A2994">
        <v>4465677</v>
      </c>
      <c r="B2994">
        <v>58</v>
      </c>
      <c r="C2994" s="1">
        <f>7.05284144055689*(10.3/7.3)</f>
        <v>9.9512694298268425</v>
      </c>
      <c r="D2994" s="1">
        <f>9.69276461618039*(10.3/7.3)</f>
        <v>13.676092540638081</v>
      </c>
      <c r="E2994" s="1">
        <f>34.159529258149*(10.3/7.3)</f>
        <v>48.197691966977359</v>
      </c>
      <c r="F2994" s="1">
        <f>66.9945012319499*(38.9/42.5)</f>
        <v>61.31967289230235</v>
      </c>
      <c r="G2994" s="1">
        <v>2.4525403627023601</v>
      </c>
      <c r="H2994" s="1">
        <v>7.0444087555514736</v>
      </c>
      <c r="I2994" s="1">
        <v>48.101138461016674</v>
      </c>
      <c r="J2994" s="1">
        <v>5.55144200251717E-2</v>
      </c>
      <c r="K2994" s="1">
        <v>3.3771015422907813</v>
      </c>
      <c r="L2994" s="1">
        <v>5.6118074785974246</v>
      </c>
      <c r="M2994" s="1">
        <v>0.22995788557088551</v>
      </c>
      <c r="N2994" s="1">
        <v>2.7538298752413479</v>
      </c>
      <c r="O2994" s="1">
        <v>0.19443126436781608</v>
      </c>
      <c r="P2994" s="1">
        <v>0.13669724188663146</v>
      </c>
      <c r="Q2994" s="1">
        <v>3.9195850545471544</v>
      </c>
      <c r="R2994" s="2">
        <f t="shared" si="187"/>
        <v>194.66239946356228</v>
      </c>
      <c r="S2994" s="2">
        <f t="shared" si="186"/>
        <v>3.5693132042025844</v>
      </c>
      <c r="T2994" s="2">
        <f t="shared" si="188"/>
        <v>8.7900265037774741</v>
      </c>
      <c r="U2994" s="2">
        <f t="shared" si="189"/>
        <v>207.02173917154235</v>
      </c>
    </row>
    <row r="2995" spans="1:21" x14ac:dyDescent="0.25">
      <c r="A2995">
        <v>4465685</v>
      </c>
      <c r="B2995">
        <v>58</v>
      </c>
      <c r="C2995" s="1">
        <f>5.65977464380268*(10.3/7.3)</f>
        <v>7.985709428927076</v>
      </c>
      <c r="D2995" s="1">
        <f>7.74484411740788*(10.3/7.3)</f>
        <v>10.927656768397418</v>
      </c>
      <c r="E2995" s="1">
        <f>27.2708017190121*(10.3/7.3)</f>
        <v>38.477980507647231</v>
      </c>
      <c r="F2995" s="1">
        <f>54.9296044689842*(38.9/42.5)</f>
        <v>50.276743855140865</v>
      </c>
      <c r="G2995" s="1">
        <v>2.0776555385248061</v>
      </c>
      <c r="H2995" s="1">
        <v>5.5631676587111061</v>
      </c>
      <c r="I2995" s="1">
        <v>39.750414646385202</v>
      </c>
      <c r="J2995" s="1">
        <v>4.7642252833935042E-2</v>
      </c>
      <c r="K2995" s="1">
        <v>3.0015637919803755</v>
      </c>
      <c r="L2995" s="1">
        <v>4.7890282304045879</v>
      </c>
      <c r="M2995" s="1">
        <v>0.19924941949728994</v>
      </c>
      <c r="N2995" s="1">
        <v>2.3994695317313615</v>
      </c>
      <c r="O2995" s="1">
        <v>0.16915678160919545</v>
      </c>
      <c r="P2995" s="1">
        <v>0.12315828127707948</v>
      </c>
      <c r="Q2995" s="1">
        <v>3.3204540570031189</v>
      </c>
      <c r="R2995" s="2">
        <f t="shared" si="187"/>
        <v>158.37978246073683</v>
      </c>
      <c r="S2995" s="2">
        <f t="shared" si="186"/>
        <v>3.1723643260913899</v>
      </c>
      <c r="T2995" s="2">
        <f t="shared" si="188"/>
        <v>7.5569039632424344</v>
      </c>
      <c r="U2995" s="2">
        <f t="shared" si="189"/>
        <v>169.10905075007065</v>
      </c>
    </row>
    <row r="2996" spans="1:21" x14ac:dyDescent="0.25">
      <c r="A2996">
        <v>4465693</v>
      </c>
      <c r="B2996">
        <v>58</v>
      </c>
      <c r="C2996" s="1">
        <f>5.89896260796408*(10.3/7.3)</f>
        <v>8.3231938167164454</v>
      </c>
      <c r="D2996" s="1">
        <f>7.85124992641104*(10.3/7.3)</f>
        <v>11.077790992059407</v>
      </c>
      <c r="E2996" s="1">
        <f>27.7012488533484*(10.3/7.3)</f>
        <v>39.085323724587482</v>
      </c>
      <c r="F2996" s="1">
        <f>54.6051950519745*(38.9/42.5)</f>
        <v>49.979813824042559</v>
      </c>
      <c r="G2996" s="1">
        <v>1.9985532681974825</v>
      </c>
      <c r="H2996" s="1">
        <v>5.2156760032121161</v>
      </c>
      <c r="I2996" s="1">
        <v>39.677793896135206</v>
      </c>
      <c r="J2996" s="1">
        <v>4.8992323215585165E-2</v>
      </c>
      <c r="K2996" s="1">
        <v>3.0749760261715497</v>
      </c>
      <c r="L2996" s="1">
        <v>4.9036939719321699</v>
      </c>
      <c r="M2996" s="1">
        <v>0.20111133003715326</v>
      </c>
      <c r="N2996" s="1">
        <v>2.5115339790390512</v>
      </c>
      <c r="O2996" s="1">
        <v>0.17048091954022984</v>
      </c>
      <c r="P2996" s="1">
        <v>0.12397573450592692</v>
      </c>
      <c r="Q2996" s="1">
        <v>3.1940349035119615</v>
      </c>
      <c r="R2996" s="2">
        <f t="shared" si="187"/>
        <v>158.55218042846263</v>
      </c>
      <c r="S2996" s="2">
        <f t="shared" si="186"/>
        <v>3.2479440838930618</v>
      </c>
      <c r="T2996" s="2">
        <f t="shared" si="188"/>
        <v>7.786820200548604</v>
      </c>
      <c r="U2996" s="2">
        <f t="shared" si="189"/>
        <v>169.58694471290431</v>
      </c>
    </row>
    <row r="2997" spans="1:21" x14ac:dyDescent="0.25">
      <c r="A2997">
        <v>4465701</v>
      </c>
      <c r="B2997">
        <v>58</v>
      </c>
      <c r="C2997" s="1">
        <f>5.7375788881238*(10.3/7.3)</f>
        <v>8.0954880202294692</v>
      </c>
      <c r="D2997" s="1">
        <f>7.50158843926743*(10.3/7.3)</f>
        <v>10.584433003349929</v>
      </c>
      <c r="E2997" s="1">
        <f>26.4891770628515*(10.3/7.3)</f>
        <v>37.375140239365784</v>
      </c>
      <c r="F2997" s="1">
        <f>52.1448263934964*(38.9/42.5)</f>
        <v>47.727852863694352</v>
      </c>
      <c r="G2997" s="1">
        <v>1.8977515210006664</v>
      </c>
      <c r="H2997" s="1">
        <v>4.9128370254447429</v>
      </c>
      <c r="I2997" s="1">
        <v>38.107973192741397</v>
      </c>
      <c r="J2997" s="1">
        <v>4.8085009198395139E-2</v>
      </c>
      <c r="K2997" s="1">
        <v>3.0524356183689938</v>
      </c>
      <c r="L2997" s="1">
        <v>4.7712773191470879</v>
      </c>
      <c r="M2997" s="1">
        <v>0.1963900797015074</v>
      </c>
      <c r="N2997" s="1">
        <v>3.6540413195890831</v>
      </c>
      <c r="O2997" s="1">
        <v>0.1664735632183908</v>
      </c>
      <c r="P2997" s="1">
        <v>0.1211168411252202</v>
      </c>
      <c r="Q2997" s="1">
        <v>3.0329362207773238</v>
      </c>
      <c r="R2997" s="2">
        <f t="shared" si="187"/>
        <v>151.73441208660367</v>
      </c>
      <c r="S2997" s="2">
        <f t="shared" si="186"/>
        <v>3.2216374686926095</v>
      </c>
      <c r="T2997" s="2">
        <f t="shared" si="188"/>
        <v>8.78818228165607</v>
      </c>
      <c r="U2997" s="2">
        <f t="shared" si="189"/>
        <v>163.74423183695237</v>
      </c>
    </row>
    <row r="2998" spans="1:21" x14ac:dyDescent="0.25">
      <c r="A2998">
        <v>4465709</v>
      </c>
      <c r="B2998">
        <v>59</v>
      </c>
      <c r="C2998" s="1">
        <f>8.69916560930461*(10.3/7.3)</f>
        <v>12.274165174772252</v>
      </c>
      <c r="D2998" s="1">
        <f>11.1253320476591*(10.3/7.3)</f>
        <v>15.69738631382039</v>
      </c>
      <c r="E2998" s="1">
        <f>39.2980968702995*(10.3/7.3)</f>
        <v>55.447999693710187</v>
      </c>
      <c r="F2998" s="1">
        <f>78.6173667371853*(38.9/42.5)</f>
        <v>71.958013319447275</v>
      </c>
      <c r="G2998" s="1">
        <v>2.9072746338422597</v>
      </c>
      <c r="H2998" s="1">
        <v>6.2635567226662445</v>
      </c>
      <c r="I2998" s="1">
        <v>58.092818535705916</v>
      </c>
      <c r="J2998" s="1">
        <v>6.7112092835736228E-2</v>
      </c>
      <c r="K2998" s="1">
        <v>3.9175008816917321</v>
      </c>
      <c r="L2998" s="1">
        <v>6.6933774784302731</v>
      </c>
      <c r="M2998" s="1">
        <v>0.24966243848102898</v>
      </c>
      <c r="N2998" s="1">
        <v>3.2871766330816534</v>
      </c>
      <c r="O2998" s="1">
        <v>0.20734644067796604</v>
      </c>
      <c r="P2998" s="1">
        <v>0.14364021405662486</v>
      </c>
      <c r="Q2998" s="1">
        <v>4.6463293234922007</v>
      </c>
      <c r="R2998" s="2">
        <f t="shared" si="187"/>
        <v>227.28754371745671</v>
      </c>
      <c r="S2998" s="2">
        <f t="shared" si="186"/>
        <v>4.1282531885840932</v>
      </c>
      <c r="T2998" s="2">
        <f t="shared" si="188"/>
        <v>10.437562990670923</v>
      </c>
      <c r="U2998" s="2">
        <f t="shared" si="189"/>
        <v>241.85335989671174</v>
      </c>
    </row>
    <row r="2999" spans="1:21" x14ac:dyDescent="0.25">
      <c r="A2999">
        <v>4465717</v>
      </c>
      <c r="B2999">
        <v>59</v>
      </c>
      <c r="C2999" s="1">
        <f>8.75924691574851*(10.3/7.3)</f>
        <v>12.358937429069821</v>
      </c>
      <c r="D2999" s="1">
        <f>11.0725197638871*(10.3/7.3)</f>
        <v>15.622870351785872</v>
      </c>
      <c r="E2999" s="1">
        <f>39.1116441282965*(10.3/7.3)</f>
        <v>55.184922537185543</v>
      </c>
      <c r="F2999" s="1">
        <f>79.2596623572226*(38.9/42.5)</f>
        <v>72.54590272225785</v>
      </c>
      <c r="G2999" s="1">
        <v>2.9714151858859061</v>
      </c>
      <c r="H2999" s="1">
        <v>6.2779609389170696</v>
      </c>
      <c r="I2999" s="1">
        <v>58.956683559820902</v>
      </c>
      <c r="J2999" s="1">
        <v>6.7363808312859333E-2</v>
      </c>
      <c r="K2999" s="1">
        <v>3.9604770194617966</v>
      </c>
      <c r="L2999" s="1">
        <v>6.6809541493769515</v>
      </c>
      <c r="M2999" s="1">
        <v>0.24709605229149689</v>
      </c>
      <c r="N2999" s="1">
        <v>3.0910102203904546</v>
      </c>
      <c r="O2999" s="1">
        <v>0.20521039548022596</v>
      </c>
      <c r="P2999" s="1">
        <v>0.14201285059602387</v>
      </c>
      <c r="Q2999" s="1">
        <v>4.7488370550688055</v>
      </c>
      <c r="R2999" s="2">
        <f t="shared" si="187"/>
        <v>228.66752977999175</v>
      </c>
      <c r="S2999" s="2">
        <f t="shared" si="186"/>
        <v>4.1698536783706803</v>
      </c>
      <c r="T2999" s="2">
        <f t="shared" si="188"/>
        <v>10.224270817539129</v>
      </c>
      <c r="U2999" s="2">
        <f t="shared" si="189"/>
        <v>243.06165427590156</v>
      </c>
    </row>
    <row r="3000" spans="1:21" x14ac:dyDescent="0.25">
      <c r="A3000">
        <v>4465725</v>
      </c>
      <c r="B3000">
        <v>62</v>
      </c>
      <c r="C3000" s="1">
        <f>8.75792290580586*(10.3/7.3)</f>
        <v>12.357069305452102</v>
      </c>
      <c r="D3000" s="1">
        <f>10.9363737140613*(10.3/7.3)</f>
        <v>15.430773870524837</v>
      </c>
      <c r="E3000" s="1">
        <f>38.631648434423*(10.3/7.3)</f>
        <v>54.507668338980409</v>
      </c>
      <c r="F3000" s="1">
        <f>79.3112405276604*(38.9/42.5)</f>
        <v>72.593111918258586</v>
      </c>
      <c r="G3000" s="1">
        <v>3.0132745853696168</v>
      </c>
      <c r="H3000" s="1">
        <v>6.2575437934293179</v>
      </c>
      <c r="I3000" s="1">
        <v>59.392011652717521</v>
      </c>
      <c r="J3000" s="1">
        <v>6.7122008337572384E-2</v>
      </c>
      <c r="K3000" s="1">
        <v>3.9974333002969287</v>
      </c>
      <c r="L3000" s="1">
        <v>6.6056987147225703</v>
      </c>
      <c r="M3000" s="1">
        <v>0.24131731976626661</v>
      </c>
      <c r="N3000" s="1">
        <v>2.965900599659701</v>
      </c>
      <c r="O3000" s="1">
        <v>0.20060903225806453</v>
      </c>
      <c r="P3000" s="1">
        <v>0.13924684660856393</v>
      </c>
      <c r="Q3000" s="1">
        <v>4.8157356387185697</v>
      </c>
      <c r="R3000" s="2">
        <f t="shared" si="187"/>
        <v>228.36718910345095</v>
      </c>
      <c r="S3000" s="2">
        <f t="shared" si="186"/>
        <v>4.2038021552430651</v>
      </c>
      <c r="T3000" s="2">
        <f t="shared" si="188"/>
        <v>10.013525666406602</v>
      </c>
      <c r="U3000" s="2">
        <f t="shared" si="189"/>
        <v>242.58451692510062</v>
      </c>
    </row>
    <row r="3001" spans="1:21" x14ac:dyDescent="0.25">
      <c r="A3001">
        <v>4465733</v>
      </c>
      <c r="B3001">
        <v>63</v>
      </c>
      <c r="C3001" s="1">
        <f>8.42873972400846*(10.3/7.3)</f>
        <v>11.892605364011931</v>
      </c>
      <c r="D3001" s="1">
        <f>10.3785186531816*(10.3/7.3)</f>
        <v>14.64366330517398</v>
      </c>
      <c r="E3001" s="1">
        <f>36.6655012253535*(10.3/7.3)</f>
        <v>51.733515427553634</v>
      </c>
      <c r="F3001" s="1">
        <f>76.234328637498*(38.9/42.5)</f>
        <v>69.776832564674592</v>
      </c>
      <c r="G3001" s="1">
        <v>2.9319960579498119</v>
      </c>
      <c r="H3001" s="1">
        <v>6.1152427281598936</v>
      </c>
      <c r="I3001" s="1">
        <v>57.495451812841928</v>
      </c>
      <c r="J3001" s="1">
        <v>6.4362665752943596E-2</v>
      </c>
      <c r="K3001" s="1">
        <v>3.9049185365549848</v>
      </c>
      <c r="L3001" s="1">
        <v>6.2958795651927364</v>
      </c>
      <c r="M3001" s="1">
        <v>0.22957831248407376</v>
      </c>
      <c r="N3001" s="1">
        <v>2.8071092727388796</v>
      </c>
      <c r="O3001" s="1">
        <v>0.19132952380952381</v>
      </c>
      <c r="P3001" s="1">
        <v>0.13449287715452565</v>
      </c>
      <c r="Q3001" s="1">
        <v>4.6858384487782434</v>
      </c>
      <c r="R3001" s="2">
        <f t="shared" si="187"/>
        <v>219.27514570914403</v>
      </c>
      <c r="S3001" s="2">
        <f t="shared" si="186"/>
        <v>4.103774079462454</v>
      </c>
      <c r="T3001" s="2">
        <f t="shared" si="188"/>
        <v>9.5238966742252131</v>
      </c>
      <c r="U3001" s="2">
        <f t="shared" si="189"/>
        <v>232.90281646283171</v>
      </c>
    </row>
    <row r="3002" spans="1:21" x14ac:dyDescent="0.25">
      <c r="A3002">
        <v>4465741</v>
      </c>
      <c r="B3002">
        <v>65</v>
      </c>
      <c r="C3002" s="1">
        <f>9.93952522692648*(10.3/7.3)</f>
        <v>14.0242616215538</v>
      </c>
      <c r="D3002" s="1">
        <f>11.4033772534844*(10.3/7.3)</f>
        <v>16.089696672724514</v>
      </c>
      <c r="E3002" s="1">
        <f>40.4185095791028*(10.3/7.3)</f>
        <v>57.02885598147386</v>
      </c>
      <c r="F3002" s="1">
        <f>84.1739976638167*(38.9/42.5)</f>
        <v>77.043964920528708</v>
      </c>
      <c r="G3002" s="1">
        <v>3.1943354639805026</v>
      </c>
      <c r="H3002" s="1">
        <v>6.4688244683871865</v>
      </c>
      <c r="I3002" s="1">
        <v>65.037482794840784</v>
      </c>
      <c r="J3002" s="1">
        <v>6.6695721136883199E-2</v>
      </c>
      <c r="K3002" s="1">
        <v>4.0234189748413973</v>
      </c>
      <c r="L3002" s="1">
        <v>6.4633144094181567</v>
      </c>
      <c r="M3002" s="1">
        <v>0.22955632943248591</v>
      </c>
      <c r="N3002" s="1">
        <v>2.7950420650347807</v>
      </c>
      <c r="O3002" s="1">
        <v>0.19205825641025651</v>
      </c>
      <c r="P3002" s="1">
        <v>0.13526692912274352</v>
      </c>
      <c r="Q3002" s="1">
        <v>5.1051023396948718</v>
      </c>
      <c r="R3002" s="2">
        <f t="shared" si="187"/>
        <v>243.99252426318427</v>
      </c>
      <c r="S3002" s="2">
        <f t="shared" si="186"/>
        <v>4.2253816251010239</v>
      </c>
      <c r="T3002" s="2">
        <f t="shared" si="188"/>
        <v>9.6799710602956797</v>
      </c>
      <c r="U3002" s="2">
        <f t="shared" si="189"/>
        <v>257.89787694858097</v>
      </c>
    </row>
    <row r="3003" spans="1:21" x14ac:dyDescent="0.25">
      <c r="A3003">
        <v>4465749</v>
      </c>
      <c r="B3003">
        <v>23</v>
      </c>
      <c r="C3003" s="1">
        <f>8.28239153646068*(10.3/7.3)</f>
        <v>11.686114085691091</v>
      </c>
      <c r="D3003" s="1">
        <f>10.004910789056*(10.3/7.3)</f>
        <v>14.116517962640595</v>
      </c>
      <c r="E3003" s="1">
        <f>35.324588803748*(10.3/7.3)</f>
        <v>49.841543106658072</v>
      </c>
      <c r="F3003" s="1">
        <f>76.0895955139811*(38.9/42.5)</f>
        <v>69.644359188090945</v>
      </c>
      <c r="G3003" s="1">
        <v>3.0354205320716434</v>
      </c>
      <c r="H3003" s="1">
        <v>7.032027476782714</v>
      </c>
      <c r="I3003" s="1">
        <v>58.117651924878729</v>
      </c>
      <c r="J3003" s="1">
        <v>6.2212746565616463E-2</v>
      </c>
      <c r="K3003" s="1">
        <v>3.7339917750162868</v>
      </c>
      <c r="L3003" s="1">
        <v>5.7925804625163604</v>
      </c>
      <c r="M3003" s="1">
        <v>0.20885571786775489</v>
      </c>
      <c r="N3003" s="1">
        <v>2.5318563889627415</v>
      </c>
      <c r="O3003" s="1">
        <v>0.17564521739130431</v>
      </c>
      <c r="P3003" s="1">
        <v>0.12545898302782807</v>
      </c>
      <c r="Q3003" s="1">
        <v>4.8511287042240934</v>
      </c>
      <c r="R3003" s="2">
        <f t="shared" si="187"/>
        <v>218.32476298103785</v>
      </c>
      <c r="S3003" s="2">
        <f t="shared" si="186"/>
        <v>3.9216635046097315</v>
      </c>
      <c r="T3003" s="2">
        <f t="shared" si="188"/>
        <v>8.7089377867381614</v>
      </c>
      <c r="U3003" s="2">
        <f t="shared" si="189"/>
        <v>230.95536427238574</v>
      </c>
    </row>
    <row r="3004" spans="1:21" x14ac:dyDescent="0.25">
      <c r="A3004">
        <v>4465773</v>
      </c>
      <c r="B3004">
        <v>46</v>
      </c>
      <c r="C3004" s="1">
        <f>3.94850911893244*(10.3/7.3)</f>
        <v>5.5711840993156327</v>
      </c>
      <c r="D3004" s="1">
        <f>5.03645257526643*(10.3/7.3)</f>
        <v>7.1062276061978409</v>
      </c>
      <c r="E3004" s="1">
        <f>17.6033370724451*(10.3/7.3)</f>
        <v>24.837585184408823</v>
      </c>
      <c r="F3004" s="1">
        <f>44.7572323557015*(38.9/42.5)</f>
        <v>40.966031497336196</v>
      </c>
      <c r="G3004" s="1">
        <v>2.1031674443338972</v>
      </c>
      <c r="H3004" s="1">
        <v>8.671407493540821</v>
      </c>
      <c r="I3004" s="1">
        <v>34.595529386684369</v>
      </c>
      <c r="J3004" s="1">
        <v>3.6814958233225968E-2</v>
      </c>
      <c r="K3004" s="1">
        <v>2.494589158294378</v>
      </c>
      <c r="L3004" s="1">
        <v>4.1865687327592802</v>
      </c>
      <c r="M3004" s="1">
        <v>0.13421042623618479</v>
      </c>
      <c r="N3004" s="1">
        <v>1.7326455503421745</v>
      </c>
      <c r="O3004" s="1">
        <v>0.11267014492753623</v>
      </c>
      <c r="P3004" s="1">
        <v>8.9801845941393454E-2</v>
      </c>
      <c r="Q3004" s="1">
        <v>3.3612265092094278</v>
      </c>
      <c r="R3004" s="2">
        <f t="shared" si="187"/>
        <v>127.21235922102703</v>
      </c>
      <c r="S3004" s="2">
        <f t="shared" si="186"/>
        <v>2.6212059624689972</v>
      </c>
      <c r="T3004" s="2">
        <f t="shared" si="188"/>
        <v>6.1660948542651752</v>
      </c>
      <c r="U3004" s="2">
        <f t="shared" si="189"/>
        <v>135.9996600377612</v>
      </c>
    </row>
    <row r="3005" spans="1:21" x14ac:dyDescent="0.25">
      <c r="A3005">
        <v>4465781</v>
      </c>
      <c r="B3005">
        <v>28</v>
      </c>
      <c r="C3005" s="1">
        <f>3.75021607952848*(10.3/7.3)</f>
        <v>5.2914007697456613</v>
      </c>
      <c r="D3005" s="1">
        <f>4.70858015160048*(10.3/7.3)</f>
        <v>6.6436130906143811</v>
      </c>
      <c r="E3005" s="1">
        <f>16.4718080773588*(10.3/7.3)</f>
        <v>23.241044273533639</v>
      </c>
      <c r="F3005" s="1">
        <f>41.7345691029127*(38.9/42.5)</f>
        <v>38.199405602430716</v>
      </c>
      <c r="G3005" s="1">
        <v>1.951465059835453</v>
      </c>
      <c r="H3005" s="1">
        <v>7.9744701714945245</v>
      </c>
      <c r="I3005" s="1">
        <v>32.374291538181588</v>
      </c>
      <c r="J3005" s="1">
        <v>3.4718802399508676E-2</v>
      </c>
      <c r="K3005" s="1">
        <v>2.4731834438001528</v>
      </c>
      <c r="L3005" s="1">
        <v>4.2734869867448069</v>
      </c>
      <c r="M3005" s="1">
        <v>0.12835422523168327</v>
      </c>
      <c r="N3005" s="1">
        <v>1.5376585271552365</v>
      </c>
      <c r="O3005" s="1">
        <v>0.10832190476190476</v>
      </c>
      <c r="P3005" s="1">
        <v>8.7265949450225699E-2</v>
      </c>
      <c r="Q3005" s="1">
        <v>3.1187797759927371</v>
      </c>
      <c r="R3005" s="2">
        <f t="shared" si="187"/>
        <v>118.79447028182871</v>
      </c>
      <c r="S3005" s="2">
        <f t="shared" si="186"/>
        <v>2.5951681956498875</v>
      </c>
      <c r="T3005" s="2">
        <f t="shared" si="188"/>
        <v>6.0478216438936307</v>
      </c>
      <c r="U3005" s="2">
        <f t="shared" si="189"/>
        <v>127.43746012137223</v>
      </c>
    </row>
    <row r="3006" spans="1:21" x14ac:dyDescent="0.25">
      <c r="A3006">
        <v>4477297</v>
      </c>
      <c r="B3006">
        <v>26</v>
      </c>
      <c r="C3006" s="1">
        <f>0.673588039814414*(10.3/7.3)</f>
        <v>0.95040504247787128</v>
      </c>
      <c r="D3006" s="1">
        <f>0.90785356976819*(10.3/7.3)</f>
        <v>1.2809440778921042</v>
      </c>
      <c r="E3006" s="1">
        <f>3.16515828456761*(10.3/7.3)</f>
        <v>4.4659082645268997</v>
      </c>
      <c r="F3006" s="1">
        <f>8.06957496660587*(38.9/42.5)</f>
        <v>7.3860344988463105</v>
      </c>
      <c r="G3006" s="1">
        <v>0.38278295562674647</v>
      </c>
      <c r="H3006" s="1">
        <v>1.5522207224972613</v>
      </c>
      <c r="I3006" s="1">
        <v>6.1537269935804613</v>
      </c>
      <c r="J3006" s="1">
        <v>5.6496952426206531E-2</v>
      </c>
      <c r="K3006" s="1">
        <v>3.0896893854548746</v>
      </c>
      <c r="L3006" s="1">
        <v>2.5140304642368645</v>
      </c>
      <c r="M3006" s="1">
        <v>0.27754292058043928</v>
      </c>
      <c r="N3006" s="1">
        <v>1.4395698356122471</v>
      </c>
      <c r="O3006" s="1">
        <v>0.77325128205128191</v>
      </c>
      <c r="P3006" s="1">
        <v>0.28358973111112951</v>
      </c>
      <c r="Q3006" s="1">
        <v>0.61175358205187869</v>
      </c>
      <c r="R3006" s="2">
        <f t="shared" si="187"/>
        <v>22.783776137499533</v>
      </c>
      <c r="S3006" s="2">
        <f t="shared" si="186"/>
        <v>3.4297760689922105</v>
      </c>
      <c r="T3006" s="2">
        <f t="shared" si="188"/>
        <v>5.0043945024808334</v>
      </c>
      <c r="U3006" s="2">
        <f t="shared" si="189"/>
        <v>31.217946708972576</v>
      </c>
    </row>
    <row r="3007" spans="1:21" x14ac:dyDescent="0.25">
      <c r="A3007">
        <v>4477305</v>
      </c>
      <c r="B3007">
        <v>7</v>
      </c>
      <c r="C3007" s="1">
        <f>1.04221586063963*(10.3/7.3)</f>
        <v>1.4705237485737235</v>
      </c>
      <c r="D3007" s="1">
        <f>1.42999124212738*(10.3/7.3)</f>
        <v>2.01765887587836</v>
      </c>
      <c r="E3007" s="1">
        <f>4.96600528044709*(10.3/7.3)</f>
        <v>7.0068293683020606</v>
      </c>
      <c r="F3007" s="1">
        <f>13.4690565427956*(38.9/42.5)</f>
        <v>12.328148223876482</v>
      </c>
      <c r="G3007" s="1">
        <v>0.66985764477814069</v>
      </c>
      <c r="H3007" s="1">
        <v>2.2272179809217438</v>
      </c>
      <c r="I3007" s="1">
        <v>10.336141056627197</v>
      </c>
      <c r="J3007" s="1">
        <v>0.14588134517316753</v>
      </c>
      <c r="K3007" s="1">
        <v>4.0293528883559731</v>
      </c>
      <c r="L3007" s="1">
        <v>3.9145397532722184</v>
      </c>
      <c r="M3007" s="1">
        <v>0.41247469810488058</v>
      </c>
      <c r="N3007" s="1">
        <v>2.2434329966675111</v>
      </c>
      <c r="O3007" s="1">
        <v>1.1363047619047619</v>
      </c>
      <c r="P3007" s="1">
        <v>0.34181779023137265</v>
      </c>
      <c r="Q3007" s="1">
        <v>1.0705487473623265</v>
      </c>
      <c r="R3007" s="2">
        <f t="shared" si="187"/>
        <v>37.126925646320032</v>
      </c>
      <c r="S3007" s="2">
        <f t="shared" si="186"/>
        <v>4.5170520237605132</v>
      </c>
      <c r="T3007" s="2">
        <f t="shared" si="188"/>
        <v>7.7067522099493733</v>
      </c>
      <c r="U3007" s="2">
        <f t="shared" si="189"/>
        <v>49.350729880029917</v>
      </c>
    </row>
    <row r="3008" spans="1:21" x14ac:dyDescent="0.25">
      <c r="A3008">
        <v>4477825</v>
      </c>
      <c r="B3008">
        <v>45</v>
      </c>
      <c r="C3008" s="1">
        <f>15.3886677739655*(10.3/7.3)</f>
        <v>21.712777818060861</v>
      </c>
      <c r="D3008" s="1">
        <f>22.8933563367343*(10.3/7.3)</f>
        <v>32.301584968269019</v>
      </c>
      <c r="E3008" s="1">
        <f>80.6813329435914*(10.3/7.3)</f>
        <v>113.83804511219066</v>
      </c>
      <c r="F3008" s="1">
        <f>145.465225883871*(38.9/42.5)</f>
        <v>133.14346557370774</v>
      </c>
      <c r="G3008" s="1">
        <v>4.8121065758032806</v>
      </c>
      <c r="H3008" s="1">
        <v>8.5342431923317204</v>
      </c>
      <c r="I3008" s="1">
        <v>99.291647408610089</v>
      </c>
      <c r="J3008" s="1">
        <v>7.3386869035009489E-2</v>
      </c>
      <c r="K3008" s="1">
        <v>3.5475521987794285</v>
      </c>
      <c r="L3008" s="1">
        <v>6.0920471231447966</v>
      </c>
      <c r="M3008" s="1">
        <v>0.28684131762035103</v>
      </c>
      <c r="N3008" s="1">
        <v>2.92427749716816</v>
      </c>
      <c r="O3008" s="1">
        <v>0.23601540740740734</v>
      </c>
      <c r="P3008" s="1">
        <v>0.15740852310576897</v>
      </c>
      <c r="Q3008" s="1">
        <v>7.6905812855303628</v>
      </c>
      <c r="R3008" s="2">
        <f t="shared" si="187"/>
        <v>421.32445193450371</v>
      </c>
      <c r="S3008" s="2">
        <f t="shared" si="186"/>
        <v>3.7783475909202071</v>
      </c>
      <c r="T3008" s="2">
        <f t="shared" si="188"/>
        <v>9.5391813453407153</v>
      </c>
      <c r="U3008" s="2">
        <f t="shared" si="189"/>
        <v>434.6419808707646</v>
      </c>
    </row>
    <row r="3009" spans="1:21" x14ac:dyDescent="0.25">
      <c r="A3009">
        <v>4477841</v>
      </c>
      <c r="B3009">
        <v>31</v>
      </c>
      <c r="C3009" s="1">
        <f>9.14298114608606*(10.3/7.3)</f>
        <v>12.900370658176229</v>
      </c>
      <c r="D3009" s="1">
        <f>16.3807789774096*(10.3/7.3)</f>
        <v>23.112605954427277</v>
      </c>
      <c r="E3009" s="1">
        <f>57.5058220561977*(10.3/7.3)</f>
        <v>81.138351668333769</v>
      </c>
      <c r="F3009" s="1">
        <f>96.1304177244742*(38.9/42.5)</f>
        <v>87.987605870165808</v>
      </c>
      <c r="G3009" s="1">
        <v>2.9317823470841389</v>
      </c>
      <c r="H3009" s="1">
        <v>7.1773915702292879</v>
      </c>
      <c r="I3009" s="1">
        <v>59.756538670906174</v>
      </c>
      <c r="J3009" s="1">
        <v>5.9004622672473091E-2</v>
      </c>
      <c r="K3009" s="1">
        <v>3.2683830362395887</v>
      </c>
      <c r="L3009" s="1">
        <v>5.3220094092476353</v>
      </c>
      <c r="M3009" s="1">
        <v>0.25071911820526588</v>
      </c>
      <c r="N3009" s="1">
        <v>2.8984832937284506</v>
      </c>
      <c r="O3009" s="1">
        <v>0.209665376344086</v>
      </c>
      <c r="P3009" s="1">
        <v>0.1447067983567431</v>
      </c>
      <c r="Q3009" s="1">
        <v>4.6854969017326464</v>
      </c>
      <c r="R3009" s="2">
        <f t="shared" si="187"/>
        <v>279.69014364105533</v>
      </c>
      <c r="S3009" s="2">
        <f t="shared" si="186"/>
        <v>3.4720944572688048</v>
      </c>
      <c r="T3009" s="2">
        <f t="shared" si="188"/>
        <v>8.6808771975254384</v>
      </c>
      <c r="U3009" s="2">
        <f t="shared" si="189"/>
        <v>291.84311529584954</v>
      </c>
    </row>
    <row r="3010" spans="1:21" x14ac:dyDescent="0.25">
      <c r="A3010">
        <v>4477849</v>
      </c>
      <c r="B3010">
        <v>60</v>
      </c>
      <c r="C3010" s="1">
        <f>11.9344820798136*(10.3/7.3)</f>
        <v>16.839063756449271</v>
      </c>
      <c r="D3010" s="1">
        <f>18.3583928066046*(10.3/7.3)</f>
        <v>25.902937795620165</v>
      </c>
      <c r="E3010" s="1">
        <f>64.6329715952387*(10.3/7.3)</f>
        <v>91.194466771364262</v>
      </c>
      <c r="F3010" s="1">
        <f>115.771431875081*(38.9/42.5)</f>
        <v>105.9649105868393</v>
      </c>
      <c r="G3010" s="1">
        <v>3.8207907330198325</v>
      </c>
      <c r="H3010" s="1">
        <v>6.8796880582989646</v>
      </c>
      <c r="I3010" s="1">
        <v>77.937001392608664</v>
      </c>
      <c r="J3010" s="1">
        <v>7.3430621180417266E-2</v>
      </c>
      <c r="K3010" s="1">
        <v>3.9913889124772473</v>
      </c>
      <c r="L3010" s="1">
        <v>7.218587355815572</v>
      </c>
      <c r="M3010" s="1">
        <v>0.31083377993726924</v>
      </c>
      <c r="N3010" s="1">
        <v>3.2572774561285787</v>
      </c>
      <c r="O3010" s="1">
        <v>0.2536666666666666</v>
      </c>
      <c r="P3010" s="1">
        <v>0.16852808786589096</v>
      </c>
      <c r="Q3010" s="1">
        <v>6.1062865596207425</v>
      </c>
      <c r="R3010" s="2">
        <f t="shared" si="187"/>
        <v>334.6451456538212</v>
      </c>
      <c r="S3010" s="2">
        <f t="shared" si="186"/>
        <v>4.2333476215235555</v>
      </c>
      <c r="T3010" s="2">
        <f t="shared" si="188"/>
        <v>11.040365258548086</v>
      </c>
      <c r="U3010" s="2">
        <f t="shared" si="189"/>
        <v>349.91885853389283</v>
      </c>
    </row>
    <row r="3011" spans="1:21" x14ac:dyDescent="0.25">
      <c r="A3011">
        <v>4477857</v>
      </c>
      <c r="B3011">
        <v>37</v>
      </c>
      <c r="C3011" s="1">
        <f>5.87189769602885*(10.3/7.3)</f>
        <v>8.2850063382324866</v>
      </c>
      <c r="D3011" s="1">
        <f>8.79002768728267*(10.3/7.3)</f>
        <v>12.402367832741307</v>
      </c>
      <c r="E3011" s="1">
        <f>30.963093794739*(10.3/7.3)</f>
        <v>43.687652888467426</v>
      </c>
      <c r="F3011" s="1">
        <f>56.2073393107026*(38.9/42.5)</f>
        <v>51.446247039678383</v>
      </c>
      <c r="G3011" s="1">
        <v>1.8815472850305206</v>
      </c>
      <c r="H3011" s="1">
        <v>4.4598675650022601</v>
      </c>
      <c r="I3011" s="1">
        <v>38.363466165543464</v>
      </c>
      <c r="J3011" s="1">
        <v>4.3821056056168255E-2</v>
      </c>
      <c r="K3011" s="1">
        <v>2.7799083518424865</v>
      </c>
      <c r="L3011" s="1">
        <v>4.3394403159618147</v>
      </c>
      <c r="M3011" s="1">
        <v>0.20159700689722032</v>
      </c>
      <c r="N3011" s="1">
        <v>2.1165121470703756</v>
      </c>
      <c r="O3011" s="1">
        <v>0.17046774774774776</v>
      </c>
      <c r="P3011" s="1">
        <v>0.12704246865272459</v>
      </c>
      <c r="Q3011" s="1">
        <v>3.0070390400031188</v>
      </c>
      <c r="R3011" s="2">
        <f t="shared" si="187"/>
        <v>163.53319415469898</v>
      </c>
      <c r="S3011" s="2">
        <f t="shared" si="186"/>
        <v>2.9507718765513791</v>
      </c>
      <c r="T3011" s="2">
        <f t="shared" si="188"/>
        <v>6.8280172176771581</v>
      </c>
      <c r="U3011" s="2">
        <f t="shared" si="189"/>
        <v>173.31198324892753</v>
      </c>
    </row>
    <row r="3012" spans="1:21" x14ac:dyDescent="0.25">
      <c r="A3012">
        <v>4477865</v>
      </c>
      <c r="B3012">
        <v>66</v>
      </c>
      <c r="C3012" s="1">
        <f>7.96360328725188*(10.3/7.3)</f>
        <v>11.236316966944434</v>
      </c>
      <c r="D3012" s="1">
        <f>11.7848558111522*(10.3/7.3)</f>
        <v>16.627947240392778</v>
      </c>
      <c r="E3012" s="1">
        <f>41.5195408321374*(10.3/7.3)</f>
        <v>58.58236583164593</v>
      </c>
      <c r="F3012" s="1">
        <f>75.930771573115*(38.9/42.5)</f>
        <v>69.498988569274701</v>
      </c>
      <c r="G3012" s="1">
        <v>2.5634712232204939</v>
      </c>
      <c r="H3012" s="1">
        <v>5.4091463699320794</v>
      </c>
      <c r="I3012" s="1">
        <v>52.151988962409398</v>
      </c>
      <c r="J3012" s="1">
        <v>5.464436373125426E-2</v>
      </c>
      <c r="K3012" s="1">
        <v>3.2912259451261621</v>
      </c>
      <c r="L3012" s="1">
        <v>5.5230569747322447</v>
      </c>
      <c r="M3012" s="1">
        <v>0.24253448241461262</v>
      </c>
      <c r="N3012" s="1">
        <v>2.5474928246012256</v>
      </c>
      <c r="O3012" s="1">
        <v>0.20211636363636362</v>
      </c>
      <c r="P3012" s="1">
        <v>0.14260618163928138</v>
      </c>
      <c r="Q3012" s="1">
        <v>4.0968718179322998</v>
      </c>
      <c r="R3012" s="2">
        <f t="shared" si="187"/>
        <v>220.16709698175214</v>
      </c>
      <c r="S3012" s="2">
        <f t="shared" si="186"/>
        <v>3.4884764904966974</v>
      </c>
      <c r="T3012" s="2">
        <f t="shared" si="188"/>
        <v>8.5152006453844464</v>
      </c>
      <c r="U3012" s="2">
        <f t="shared" si="189"/>
        <v>232.1707741176333</v>
      </c>
    </row>
    <row r="3013" spans="1:21" x14ac:dyDescent="0.25">
      <c r="A3013">
        <v>4477873</v>
      </c>
      <c r="B3013">
        <v>66</v>
      </c>
      <c r="C3013" s="1">
        <f>8.24240755198596*(10.3/7.3)</f>
        <v>11.629698326774717</v>
      </c>
      <c r="D3013" s="1">
        <f>12.0346389958818*(10.3/7.3)</f>
        <v>16.980381048983972</v>
      </c>
      <c r="E3013" s="1">
        <f>42.4076619479386*(10.3/7.3)</f>
        <v>59.835468227913381</v>
      </c>
      <c r="F3013" s="1">
        <f>78.254448445096*(38.9/42.5)</f>
        <v>71.625836341511416</v>
      </c>
      <c r="G3013" s="1">
        <v>2.6690591992920361</v>
      </c>
      <c r="H3013" s="1">
        <v>5.7030154999658391</v>
      </c>
      <c r="I3013" s="1">
        <v>54.144154295679783</v>
      </c>
      <c r="J3013" s="1">
        <v>5.6502501231119814E-2</v>
      </c>
      <c r="K3013" s="1">
        <v>3.4242313054815923</v>
      </c>
      <c r="L3013" s="1">
        <v>5.7028549719044559</v>
      </c>
      <c r="M3013" s="1">
        <v>0.24997284109322035</v>
      </c>
      <c r="N3013" s="1">
        <v>2.8400797687608241</v>
      </c>
      <c r="O3013" s="1">
        <v>0.21065050505050509</v>
      </c>
      <c r="P3013" s="1">
        <v>0.1460168523380363</v>
      </c>
      <c r="Q3013" s="1">
        <v>4.2656197248959513</v>
      </c>
      <c r="R3013" s="2">
        <f t="shared" si="187"/>
        <v>226.85323266501706</v>
      </c>
      <c r="S3013" s="2">
        <f t="shared" si="186"/>
        <v>3.6267506590507486</v>
      </c>
      <c r="T3013" s="2">
        <f t="shared" si="188"/>
        <v>9.0035580868090062</v>
      </c>
      <c r="U3013" s="2">
        <f t="shared" si="189"/>
        <v>239.4835414108768</v>
      </c>
    </row>
    <row r="3014" spans="1:21" x14ac:dyDescent="0.25">
      <c r="A3014">
        <v>4477881</v>
      </c>
      <c r="B3014">
        <v>67</v>
      </c>
      <c r="C3014" s="1">
        <f>8.0822324572956*(10.3/7.3)</f>
        <v>11.403697850704747</v>
      </c>
      <c r="D3014" s="1">
        <f>11.6184801377187*(10.3/7.3)</f>
        <v>16.393198002534657</v>
      </c>
      <c r="E3014" s="1">
        <f>40.9515822994363*(10.3/7.3)</f>
        <v>57.780999682766236</v>
      </c>
      <c r="F3014" s="1">
        <f>76.3015852298429*(38.9/42.5)</f>
        <v>69.838392128020914</v>
      </c>
      <c r="G3014" s="1">
        <v>2.6299911749996236</v>
      </c>
      <c r="H3014" s="1">
        <v>5.6958066066664372</v>
      </c>
      <c r="I3014" s="1">
        <v>53.226367646250736</v>
      </c>
      <c r="J3014" s="1">
        <v>5.7754309670898583E-2</v>
      </c>
      <c r="K3014" s="1">
        <v>3.4841091461837439</v>
      </c>
      <c r="L3014" s="1">
        <v>5.901512508023341</v>
      </c>
      <c r="M3014" s="1">
        <v>0.25142175292064706</v>
      </c>
      <c r="N3014" s="1">
        <v>2.7390842634922925</v>
      </c>
      <c r="O3014" s="1">
        <v>0.21100736318407956</v>
      </c>
      <c r="P3014" s="1">
        <v>0.14671437504803933</v>
      </c>
      <c r="Q3014" s="1">
        <v>4.2031822431500885</v>
      </c>
      <c r="R3014" s="2">
        <f t="shared" si="187"/>
        <v>221.17163533509344</v>
      </c>
      <c r="S3014" s="2">
        <f t="shared" si="186"/>
        <v>3.6885778309026822</v>
      </c>
      <c r="T3014" s="2">
        <f t="shared" si="188"/>
        <v>9.10302588762036</v>
      </c>
      <c r="U3014" s="2">
        <f t="shared" si="189"/>
        <v>233.96323905361649</v>
      </c>
    </row>
    <row r="3015" spans="1:21" x14ac:dyDescent="0.25">
      <c r="A3015">
        <v>4477889</v>
      </c>
      <c r="B3015">
        <v>67</v>
      </c>
      <c r="C3015" s="1">
        <f>4.05211978289135*(10.3/7.3)</f>
        <v>5.7173744881891722</v>
      </c>
      <c r="D3015" s="1">
        <f>5.72669962092425*(10.3/7.3)</f>
        <v>8.0801378213040778</v>
      </c>
      <c r="E3015" s="1">
        <f>20.1947066604287*(10.3/7.3)</f>
        <v>28.493901178413143</v>
      </c>
      <c r="F3015" s="1">
        <f>37.8200454136625*(38.9/42.5)</f>
        <v>34.616465096269934</v>
      </c>
      <c r="G3015" s="1">
        <v>1.3081655438647817</v>
      </c>
      <c r="H3015" s="1">
        <v>3.637363717493074</v>
      </c>
      <c r="I3015" s="1">
        <v>26.576337083996904</v>
      </c>
      <c r="J3015" s="1">
        <v>3.4413269110632035E-2</v>
      </c>
      <c r="K3015" s="1">
        <v>2.3447362821423847</v>
      </c>
      <c r="L3015" s="1">
        <v>3.5349447224599451</v>
      </c>
      <c r="M3015" s="1">
        <v>0.16303070371303865</v>
      </c>
      <c r="N3015" s="1">
        <v>1.7262895536314513</v>
      </c>
      <c r="O3015" s="1">
        <v>0.13843422885572138</v>
      </c>
      <c r="P3015" s="1">
        <v>0.10576119798788808</v>
      </c>
      <c r="Q3015" s="1">
        <v>2.0906755267245405</v>
      </c>
      <c r="R3015" s="2">
        <f t="shared" si="187"/>
        <v>110.52042045625564</v>
      </c>
      <c r="S3015" s="2">
        <f t="shared" si="186"/>
        <v>2.484910749240905</v>
      </c>
      <c r="T3015" s="2">
        <f t="shared" si="188"/>
        <v>5.5626992086601561</v>
      </c>
      <c r="U3015" s="2">
        <f t="shared" si="189"/>
        <v>118.56803041415671</v>
      </c>
    </row>
    <row r="3016" spans="1:21" x14ac:dyDescent="0.25">
      <c r="A3016">
        <v>4477897</v>
      </c>
      <c r="B3016">
        <v>67</v>
      </c>
      <c r="C3016" s="1">
        <f>5.27035174808732*(10.3/7.3)</f>
        <v>7.4362497267533394</v>
      </c>
      <c r="D3016" s="1">
        <f>7.38071633174731*(10.3/7.3)</f>
        <v>10.413887426985928</v>
      </c>
      <c r="E3016" s="1">
        <f>26.0252652606994*(10.3/7.3)</f>
        <v>36.720579751397842</v>
      </c>
      <c r="F3016" s="1">
        <f>49.3312402962897*(38.9/42.5)</f>
        <v>45.152594059427479</v>
      </c>
      <c r="G3016" s="1">
        <v>1.7321086743457876</v>
      </c>
      <c r="H3016" s="1">
        <v>4.5634436743186431</v>
      </c>
      <c r="I3016" s="1">
        <v>34.888146071828501</v>
      </c>
      <c r="J3016" s="1">
        <v>4.3242806146809219E-2</v>
      </c>
      <c r="K3016" s="1">
        <v>2.8337854909889133</v>
      </c>
      <c r="L3016" s="1">
        <v>4.3865661491969634</v>
      </c>
      <c r="M3016" s="1">
        <v>0.19330464896538843</v>
      </c>
      <c r="N3016" s="1">
        <v>2.1866202793567924</v>
      </c>
      <c r="O3016" s="1">
        <v>0.16694129353233839</v>
      </c>
      <c r="P3016" s="1">
        <v>0.12271606880256684</v>
      </c>
      <c r="Q3016" s="1">
        <v>2.768210210141671</v>
      </c>
      <c r="R3016" s="2">
        <f t="shared" si="187"/>
        <v>143.67521959519917</v>
      </c>
      <c r="S3016" s="2">
        <f t="shared" si="186"/>
        <v>2.9997443659382892</v>
      </c>
      <c r="T3016" s="2">
        <f t="shared" si="188"/>
        <v>6.9334323710514827</v>
      </c>
      <c r="U3016" s="2">
        <f t="shared" si="189"/>
        <v>153.60839633218893</v>
      </c>
    </row>
    <row r="3017" spans="1:21" x14ac:dyDescent="0.25">
      <c r="A3017">
        <v>4477905</v>
      </c>
      <c r="B3017">
        <v>67</v>
      </c>
      <c r="C3017" s="1">
        <f>6.3101549285073*(10.3/7.3)</f>
        <v>8.9033692826883897</v>
      </c>
      <c r="D3017" s="1">
        <f>8.72487530127063*(10.3/7.3)</f>
        <v>12.310440493573628</v>
      </c>
      <c r="E3017" s="1">
        <f>30.7652091259055*(10.3/7.3)</f>
        <v>43.408445752990019</v>
      </c>
      <c r="F3017" s="1">
        <f>59.106466920028*(38.9/42.5)</f>
        <v>54.099801486802114</v>
      </c>
      <c r="G3017" s="1">
        <v>2.1081854497855157</v>
      </c>
      <c r="H3017" s="1">
        <v>5.2517554912938875</v>
      </c>
      <c r="I3017" s="1">
        <v>42.131942555408123</v>
      </c>
      <c r="J3017" s="1">
        <v>4.9984053620441338E-2</v>
      </c>
      <c r="K3017" s="1">
        <v>3.1338617316134174</v>
      </c>
      <c r="L3017" s="1">
        <v>5.0509842975816213</v>
      </c>
      <c r="M3017" s="1">
        <v>0.21411618035962143</v>
      </c>
      <c r="N3017" s="1">
        <v>2.4738829288427948</v>
      </c>
      <c r="O3017" s="1">
        <v>0.18262368159203982</v>
      </c>
      <c r="P3017" s="1">
        <v>0.13020117895171004</v>
      </c>
      <c r="Q3017" s="1">
        <v>3.3692461526252582</v>
      </c>
      <c r="R3017" s="2">
        <f t="shared" si="187"/>
        <v>171.58318666516695</v>
      </c>
      <c r="S3017" s="2">
        <f t="shared" ref="S3017:S3080" si="190">J3017+K3017+P3017</f>
        <v>3.3140469641855685</v>
      </c>
      <c r="T3017" s="2">
        <f t="shared" si="188"/>
        <v>7.921607088376077</v>
      </c>
      <c r="U3017" s="2">
        <f t="shared" si="189"/>
        <v>182.81884071772859</v>
      </c>
    </row>
    <row r="3018" spans="1:21" x14ac:dyDescent="0.25">
      <c r="A3018">
        <v>4477913</v>
      </c>
      <c r="B3018">
        <v>67</v>
      </c>
      <c r="C3018" s="1">
        <f>7.4211869511457*(10.3/7.3)</f>
        <v>10.470989807780926</v>
      </c>
      <c r="D3018" s="1">
        <f>10.1544335960229*(10.3/7.3)</f>
        <v>14.327488498498045</v>
      </c>
      <c r="E3018" s="1">
        <f>35.7834742640302*(10.3/7.3)</f>
        <v>50.489011632809806</v>
      </c>
      <c r="F3018" s="1">
        <f>70.6611014179786*(38.9/42.5)</f>
        <v>64.675690474338026</v>
      </c>
      <c r="G3018" s="1">
        <v>2.6072510531666993</v>
      </c>
      <c r="H3018" s="1">
        <v>6.4820834094650923</v>
      </c>
      <c r="I3018" s="1">
        <v>50.892835936332673</v>
      </c>
      <c r="J3018" s="1">
        <v>5.8472107751261465E-2</v>
      </c>
      <c r="K3018" s="1">
        <v>3.5290944937758399</v>
      </c>
      <c r="L3018" s="1">
        <v>5.8740370322924695</v>
      </c>
      <c r="M3018" s="1">
        <v>0.23967422933318797</v>
      </c>
      <c r="N3018" s="1">
        <v>2.8376118849082039</v>
      </c>
      <c r="O3018" s="1">
        <v>0.20241273631840795</v>
      </c>
      <c r="P3018" s="1">
        <v>0.14066352226772036</v>
      </c>
      <c r="Q3018" s="1">
        <v>4.1668395826865092</v>
      </c>
      <c r="R3018" s="2">
        <f t="shared" ref="R3018:R3081" si="191">C3018+D3018+E3018+F3018+G3018+H3018+I3018+Q3018</f>
        <v>204.11219039507779</v>
      </c>
      <c r="S3018" s="2">
        <f t="shared" si="190"/>
        <v>3.7282301237948214</v>
      </c>
      <c r="T3018" s="2">
        <f t="shared" ref="T3018:T3081" si="192">L3018+M3018+N3018+O3018</f>
        <v>9.1537358828522688</v>
      </c>
      <c r="U3018" s="2">
        <f t="shared" ref="U3018:U3081" si="193">R3018+S3018+T3018</f>
        <v>216.99415640172487</v>
      </c>
    </row>
    <row r="3019" spans="1:21" x14ac:dyDescent="0.25">
      <c r="A3019">
        <v>4477921</v>
      </c>
      <c r="B3019">
        <v>67</v>
      </c>
      <c r="C3019" s="1">
        <f>4.97461116458506*(10.3/7.3)</f>
        <v>7.0189719171542668</v>
      </c>
      <c r="D3019" s="1">
        <f>6.7239409874542*(10.3/7.3)</f>
        <v>9.4872044069559323</v>
      </c>
      <c r="E3019" s="1">
        <f>23.7074098963017*(10.3/7.3)</f>
        <v>33.450181086562623</v>
      </c>
      <c r="F3019" s="1">
        <f>46.78127887663*(38.9/42.5)</f>
        <v>42.818629371786017</v>
      </c>
      <c r="G3019" s="1">
        <v>1.7201460891280449</v>
      </c>
      <c r="H3019" s="1">
        <v>4.7984794233156505</v>
      </c>
      <c r="I3019" s="1">
        <v>33.825378525373885</v>
      </c>
      <c r="J3019" s="1">
        <v>4.3119183255255641E-2</v>
      </c>
      <c r="K3019" s="1">
        <v>2.8256813595418548</v>
      </c>
      <c r="L3019" s="1">
        <v>4.3239342519561292</v>
      </c>
      <c r="M3019" s="1">
        <v>0.18557155647804058</v>
      </c>
      <c r="N3019" s="1">
        <v>2.2181794702901567</v>
      </c>
      <c r="O3019" s="1">
        <v>0.15903920398009952</v>
      </c>
      <c r="P3019" s="1">
        <v>0.11761512388643337</v>
      </c>
      <c r="Q3019" s="1">
        <v>2.7490919232640012</v>
      </c>
      <c r="R3019" s="2">
        <f t="shared" si="191"/>
        <v>135.86808274354041</v>
      </c>
      <c r="S3019" s="2">
        <f t="shared" si="190"/>
        <v>2.986415666683544</v>
      </c>
      <c r="T3019" s="2">
        <f t="shared" si="192"/>
        <v>6.8867244827044258</v>
      </c>
      <c r="U3019" s="2">
        <f t="shared" si="193"/>
        <v>145.74122289292839</v>
      </c>
    </row>
    <row r="3020" spans="1:21" x14ac:dyDescent="0.25">
      <c r="A3020">
        <v>4477929</v>
      </c>
      <c r="B3020">
        <v>67</v>
      </c>
      <c r="C3020" s="1">
        <f>5.32320566531015*(10.3/7.3)</f>
        <v>7.5108244318759638</v>
      </c>
      <c r="D3020" s="1">
        <f>7.0552126889327*(10.3/7.3)</f>
        <v>9.9546151638365448</v>
      </c>
      <c r="E3020" s="1">
        <f>24.8997970786429*(10.3/7.3)</f>
        <v>35.132590398633198</v>
      </c>
      <c r="F3020" s="1">
        <f>48.9458178927792*(38.9/42.5)</f>
        <v>44.799819200684922</v>
      </c>
      <c r="G3020" s="1">
        <v>1.7832899626401737</v>
      </c>
      <c r="H3020" s="1">
        <v>4.7654400550159446</v>
      </c>
      <c r="I3020" s="1">
        <v>35.593036244505065</v>
      </c>
      <c r="J3020" s="1">
        <v>4.535262838513715E-2</v>
      </c>
      <c r="K3020" s="1">
        <v>2.9318054043350745</v>
      </c>
      <c r="L3020" s="1">
        <v>4.504664706042762</v>
      </c>
      <c r="M3020" s="1">
        <v>0.19008940414792605</v>
      </c>
      <c r="N3020" s="1">
        <v>2.6283056649100303</v>
      </c>
      <c r="O3020" s="1">
        <v>0.16192875621890546</v>
      </c>
      <c r="P3020" s="1">
        <v>0.11884324318934658</v>
      </c>
      <c r="Q3020" s="1">
        <v>2.850006789607586</v>
      </c>
      <c r="R3020" s="2">
        <f t="shared" si="191"/>
        <v>142.38962224679941</v>
      </c>
      <c r="S3020" s="2">
        <f t="shared" si="190"/>
        <v>3.0960012759095581</v>
      </c>
      <c r="T3020" s="2">
        <f t="shared" si="192"/>
        <v>7.4849885313196243</v>
      </c>
      <c r="U3020" s="2">
        <f t="shared" si="193"/>
        <v>152.97061205402861</v>
      </c>
    </row>
    <row r="3021" spans="1:21" x14ac:dyDescent="0.25">
      <c r="A3021">
        <v>4477937</v>
      </c>
      <c r="B3021">
        <v>51</v>
      </c>
      <c r="C3021" s="1">
        <f>7.24102314338358*(10.3/7.3)</f>
        <v>10.216786079020665</v>
      </c>
      <c r="D3021" s="1">
        <f>9.38160487928455*(10.3/7.3)</f>
        <v>13.237058939264497</v>
      </c>
      <c r="E3021" s="1">
        <f>33.1278753841583*(10.3/7.3)</f>
        <v>46.742070747511029</v>
      </c>
      <c r="F3021" s="1">
        <f>65.8679621185392*(38.9/42.5)</f>
        <v>60.288558268498193</v>
      </c>
      <c r="G3021" s="1">
        <v>2.4236033741404253</v>
      </c>
      <c r="H3021" s="1">
        <v>5.61316444013808</v>
      </c>
      <c r="I3021" s="1">
        <v>48.393621485907055</v>
      </c>
      <c r="J3021" s="1">
        <v>5.7863820836523895E-2</v>
      </c>
      <c r="K3021" s="1">
        <v>3.5067312935493686</v>
      </c>
      <c r="L3021" s="1">
        <v>5.7503879884188063</v>
      </c>
      <c r="M3021" s="1">
        <v>0.22439763994561229</v>
      </c>
      <c r="N3021" s="1">
        <v>3.0840660293706974</v>
      </c>
      <c r="O3021" s="1">
        <v>0.18800104575163398</v>
      </c>
      <c r="P3021" s="1">
        <v>0.13326099428527116</v>
      </c>
      <c r="Q3021" s="1">
        <v>3.8733387257952039</v>
      </c>
      <c r="R3021" s="2">
        <f t="shared" si="191"/>
        <v>190.78820206027515</v>
      </c>
      <c r="S3021" s="2">
        <f t="shared" si="190"/>
        <v>3.6978561086711634</v>
      </c>
      <c r="T3021" s="2">
        <f t="shared" si="192"/>
        <v>9.2468527034867503</v>
      </c>
      <c r="U3021" s="2">
        <f t="shared" si="193"/>
        <v>203.73291087243308</v>
      </c>
    </row>
    <row r="3022" spans="1:21" x14ac:dyDescent="0.25">
      <c r="A3022">
        <v>4477945</v>
      </c>
      <c r="B3022">
        <v>66</v>
      </c>
      <c r="C3022" s="1">
        <f>8.14597265695457*(10.3/7.3)</f>
        <v>11.493632652963292</v>
      </c>
      <c r="D3022" s="1">
        <f>10.4153682025171*(10.3/7.3)</f>
        <v>14.69565650492139</v>
      </c>
      <c r="E3022" s="1">
        <f>36.7810056523792*(10.3/7.3)</f>
        <v>51.896487427329632</v>
      </c>
      <c r="F3022" s="1">
        <f>74.0698080482325*(38.9/42.5)</f>
        <v>67.795659601793986</v>
      </c>
      <c r="G3022" s="1">
        <v>2.7619180937216954</v>
      </c>
      <c r="H3022" s="1">
        <v>6.0019232590043323</v>
      </c>
      <c r="I3022" s="1">
        <v>54.813584039558805</v>
      </c>
      <c r="J3022" s="1">
        <v>6.3378934374522272E-2</v>
      </c>
      <c r="K3022" s="1">
        <v>3.7983093362170317</v>
      </c>
      <c r="L3022" s="1">
        <v>6.2915170646459622</v>
      </c>
      <c r="M3022" s="1">
        <v>0.23971480958832223</v>
      </c>
      <c r="N3022" s="1">
        <v>3.0237674753459274</v>
      </c>
      <c r="O3022" s="1">
        <v>0.19880242424242428</v>
      </c>
      <c r="P3022" s="1">
        <v>0.13895316668339405</v>
      </c>
      <c r="Q3022" s="1">
        <v>4.4140243506967778</v>
      </c>
      <c r="R3022" s="2">
        <f t="shared" si="191"/>
        <v>213.87288592998993</v>
      </c>
      <c r="S3022" s="2">
        <f t="shared" si="190"/>
        <v>4.0006414372749477</v>
      </c>
      <c r="T3022" s="2">
        <f t="shared" si="192"/>
        <v>9.7538017738226355</v>
      </c>
      <c r="U3022" s="2">
        <f t="shared" si="193"/>
        <v>227.6273291410875</v>
      </c>
    </row>
    <row r="3023" spans="1:21" x14ac:dyDescent="0.25">
      <c r="A3023">
        <v>4477953</v>
      </c>
      <c r="B3023">
        <v>64</v>
      </c>
      <c r="C3023" s="1">
        <f>7.43564750736316*(10.3/7.3)</f>
        <v>10.491393058334328</v>
      </c>
      <c r="D3023" s="1">
        <f>9.41566169689012*(10.3/7.3)</f>
        <v>13.285111709310719</v>
      </c>
      <c r="E3023" s="1">
        <f>33.2503814657205*(10.3/7.3)</f>
        <v>46.91492179409876</v>
      </c>
      <c r="F3023" s="1">
        <f>67.692213447031*(38.9/42.5)</f>
        <v>61.958284778576591</v>
      </c>
      <c r="G3023" s="1">
        <v>2.5531334166140676</v>
      </c>
      <c r="H3023" s="1">
        <v>5.6642587728233513</v>
      </c>
      <c r="I3023" s="1">
        <v>50.370424225631439</v>
      </c>
      <c r="J3023" s="1">
        <v>5.8693187770901205E-2</v>
      </c>
      <c r="K3023" s="1">
        <v>3.6215013048372722</v>
      </c>
      <c r="L3023" s="1">
        <v>5.771174720698502</v>
      </c>
      <c r="M3023" s="1">
        <v>0.22136500709375367</v>
      </c>
      <c r="N3023" s="1">
        <v>2.695698695645544</v>
      </c>
      <c r="O3023" s="1">
        <v>0.18504333333333331</v>
      </c>
      <c r="P3023" s="1">
        <v>0.13077468087887681</v>
      </c>
      <c r="Q3023" s="1">
        <v>4.0803502092005672</v>
      </c>
      <c r="R3023" s="2">
        <f t="shared" si="191"/>
        <v>195.31787796458983</v>
      </c>
      <c r="S3023" s="2">
        <f t="shared" si="190"/>
        <v>3.8109691734870506</v>
      </c>
      <c r="T3023" s="2">
        <f t="shared" si="192"/>
        <v>8.8732817567711315</v>
      </c>
      <c r="U3023" s="2">
        <f t="shared" si="193"/>
        <v>208.002128894848</v>
      </c>
    </row>
    <row r="3024" spans="1:21" x14ac:dyDescent="0.25">
      <c r="A3024">
        <v>4477961</v>
      </c>
      <c r="B3024">
        <v>60</v>
      </c>
      <c r="C3024" s="1">
        <f>8.69709989247631*(10.3/7.3)</f>
        <v>12.271250533219998</v>
      </c>
      <c r="D3024" s="1">
        <f>10.841785782729*(10.3/7.3)</f>
        <v>15.297314186590222</v>
      </c>
      <c r="E3024" s="1">
        <f>38.2861859773296*(10.3/7.3)</f>
        <v>54.020235009108831</v>
      </c>
      <c r="F3024" s="1">
        <f>79.3251393724407*(38.9/42.5)</f>
        <v>72.605833449128113</v>
      </c>
      <c r="G3024" s="1">
        <v>3.0459960812605016</v>
      </c>
      <c r="H3024" s="1">
        <v>6.2398941442310107</v>
      </c>
      <c r="I3024" s="1">
        <v>59.542847766893736</v>
      </c>
      <c r="J3024" s="1">
        <v>6.6544325802827556E-2</v>
      </c>
      <c r="K3024" s="1">
        <v>4.0522577047162622</v>
      </c>
      <c r="L3024" s="1">
        <v>6.5134452152572013</v>
      </c>
      <c r="M3024" s="1">
        <v>0.23825709295773051</v>
      </c>
      <c r="N3024" s="1">
        <v>2.9742846814341393</v>
      </c>
      <c r="O3024" s="1">
        <v>0.19812977777777777</v>
      </c>
      <c r="P3024" s="1">
        <v>0.13821959743323026</v>
      </c>
      <c r="Q3024" s="1">
        <v>4.8680302668546886</v>
      </c>
      <c r="R3024" s="2">
        <f t="shared" si="191"/>
        <v>227.89140143728713</v>
      </c>
      <c r="S3024" s="2">
        <f t="shared" si="190"/>
        <v>4.2570216279523203</v>
      </c>
      <c r="T3024" s="2">
        <f t="shared" si="192"/>
        <v>9.9241167674268489</v>
      </c>
      <c r="U3024" s="2">
        <f t="shared" si="193"/>
        <v>242.07253983266631</v>
      </c>
    </row>
    <row r="3025" spans="1:21" x14ac:dyDescent="0.25">
      <c r="A3025">
        <v>4477969</v>
      </c>
      <c r="B3025">
        <v>60</v>
      </c>
      <c r="C3025" s="1">
        <f>9.05237618410889*(10.3/7.3)</f>
        <v>12.77253078031802</v>
      </c>
      <c r="D3025" s="1">
        <f>10.9539033719933*(10.3/7.3)</f>
        <v>15.455507497470048</v>
      </c>
      <c r="E3025" s="1">
        <f>38.7106581308091*(10.3/7.3)</f>
        <v>54.619147773607352</v>
      </c>
      <c r="F3025" s="1">
        <f>81.4319532273738*(38.9/42.5)</f>
        <v>74.534187777525631</v>
      </c>
      <c r="G3025" s="1">
        <v>3.1636092191334475</v>
      </c>
      <c r="H3025" s="1">
        <v>6.3563984437738359</v>
      </c>
      <c r="I3025" s="1">
        <v>61.903606419404149</v>
      </c>
      <c r="J3025" s="1">
        <v>6.6573179588376663E-2</v>
      </c>
      <c r="K3025" s="1">
        <v>4.0727246012616281</v>
      </c>
      <c r="L3025" s="1">
        <v>6.4485527347897396</v>
      </c>
      <c r="M3025" s="1">
        <v>0.23371093362975393</v>
      </c>
      <c r="N3025" s="1">
        <v>2.8374019006229667</v>
      </c>
      <c r="O3025" s="1">
        <v>0.1945982222222222</v>
      </c>
      <c r="P3025" s="1">
        <v>0.13595979476919409</v>
      </c>
      <c r="Q3025" s="1">
        <v>5.0559964689347385</v>
      </c>
      <c r="R3025" s="2">
        <f t="shared" si="191"/>
        <v>233.86098438016722</v>
      </c>
      <c r="S3025" s="2">
        <f t="shared" si="190"/>
        <v>4.2752575756191993</v>
      </c>
      <c r="T3025" s="2">
        <f t="shared" si="192"/>
        <v>9.714263791264683</v>
      </c>
      <c r="U3025" s="2">
        <f t="shared" si="193"/>
        <v>247.8505057470511</v>
      </c>
    </row>
    <row r="3026" spans="1:21" x14ac:dyDescent="0.25">
      <c r="A3026">
        <v>4477977</v>
      </c>
      <c r="B3026">
        <v>57</v>
      </c>
      <c r="C3026" s="1">
        <f>8.7957504841935*(10.3/7.3)</f>
        <v>12.41044246399905</v>
      </c>
      <c r="D3026" s="1">
        <f>10.6584533344834*(10.3/7.3)</f>
        <v>15.038639636325913</v>
      </c>
      <c r="E3026" s="1">
        <f>37.6241675974511*(10.3/7.3)</f>
        <v>53.086154281335105</v>
      </c>
      <c r="F3026" s="1">
        <f>81.1644773627066*(38.9/42.5)</f>
        <v>74.289368691983242</v>
      </c>
      <c r="G3026" s="1">
        <v>3.2452390220419765</v>
      </c>
      <c r="H3026" s="1">
        <v>6.8809992804668623</v>
      </c>
      <c r="I3026" s="1">
        <v>61.947508524553889</v>
      </c>
      <c r="J3026" s="1">
        <v>6.7354532061291369E-2</v>
      </c>
      <c r="K3026" s="1">
        <v>4.1221384188416499</v>
      </c>
      <c r="L3026" s="1">
        <v>6.3609597767481185</v>
      </c>
      <c r="M3026" s="1">
        <v>0.22765067966498256</v>
      </c>
      <c r="N3026" s="1">
        <v>2.7849405231458393</v>
      </c>
      <c r="O3026" s="1">
        <v>0.19007625730994152</v>
      </c>
      <c r="P3026" s="1">
        <v>0.13411845672504191</v>
      </c>
      <c r="Q3026" s="1">
        <v>5.1864550580579571</v>
      </c>
      <c r="R3026" s="2">
        <f t="shared" si="191"/>
        <v>232.08480695876398</v>
      </c>
      <c r="S3026" s="2">
        <f t="shared" si="190"/>
        <v>4.3236114076279826</v>
      </c>
      <c r="T3026" s="2">
        <f t="shared" si="192"/>
        <v>9.5636272368688822</v>
      </c>
      <c r="U3026" s="2">
        <f t="shared" si="193"/>
        <v>245.97204560326085</v>
      </c>
    </row>
    <row r="3027" spans="1:21" x14ac:dyDescent="0.25">
      <c r="A3027">
        <v>4478009</v>
      </c>
      <c r="B3027">
        <v>21</v>
      </c>
      <c r="C3027" s="1">
        <f>3.91297043985156*(10.3/7.3)</f>
        <v>5.5210404836261757</v>
      </c>
      <c r="D3027" s="1">
        <f>4.85037306536046*(10.3/7.3)</f>
        <v>6.8436770648236678</v>
      </c>
      <c r="E3027" s="1">
        <f>17.0174273318925*(10.3/7.3)</f>
        <v>24.010890618971615</v>
      </c>
      <c r="F3027" s="1">
        <f>41.0888968344114*(38.9/42.5)</f>
        <v>37.608425573143577</v>
      </c>
      <c r="G3027" s="1">
        <v>1.8421008592155264</v>
      </c>
      <c r="H3027" s="1">
        <v>8.9748379745299243</v>
      </c>
      <c r="I3027" s="1">
        <v>31.741713156818975</v>
      </c>
      <c r="J3027" s="1">
        <v>3.4804777789922803E-2</v>
      </c>
      <c r="K3027" s="1">
        <v>2.38906475345782</v>
      </c>
      <c r="L3027" s="1">
        <v>4.3891938886199044</v>
      </c>
      <c r="M3027" s="1">
        <v>0.1293568634857615</v>
      </c>
      <c r="N3027" s="1">
        <v>1.5472622925983832</v>
      </c>
      <c r="O3027" s="1">
        <v>0.10816507936507935</v>
      </c>
      <c r="P3027" s="1">
        <v>8.6934842113386007E-2</v>
      </c>
      <c r="Q3027" s="1">
        <v>2.943996806965457</v>
      </c>
      <c r="R3027" s="2">
        <f t="shared" si="191"/>
        <v>119.48668253809491</v>
      </c>
      <c r="S3027" s="2">
        <f t="shared" si="190"/>
        <v>2.5108043733611289</v>
      </c>
      <c r="T3027" s="2">
        <f t="shared" si="192"/>
        <v>6.1739781240691283</v>
      </c>
      <c r="U3027" s="2">
        <f t="shared" si="193"/>
        <v>128.17146503552516</v>
      </c>
    </row>
    <row r="3028" spans="1:21" x14ac:dyDescent="0.25">
      <c r="A3028">
        <v>4478017</v>
      </c>
      <c r="B3028">
        <v>7</v>
      </c>
      <c r="C3028" s="1">
        <f>4.16044241578696*(10.3/7.3)</f>
        <v>5.870213271589817</v>
      </c>
      <c r="D3028" s="1">
        <f>5.51364718549908*(10.3/7.3)</f>
        <v>7.7795295904987007</v>
      </c>
      <c r="E3028" s="1">
        <f>19.1310113817219*(10.3/7.3)</f>
        <v>26.993070853662406</v>
      </c>
      <c r="F3028" s="1">
        <f>54.1621058469187*(38.9/42.5)</f>
        <v>49.574256881062077</v>
      </c>
      <c r="G3028" s="1">
        <v>2.7613119469768441</v>
      </c>
      <c r="H3028" s="1">
        <v>9.3651317768014888</v>
      </c>
      <c r="I3028" s="1">
        <v>42.177633537143166</v>
      </c>
      <c r="J3028" s="1">
        <v>3.6116938037512127E-2</v>
      </c>
      <c r="K3028" s="1">
        <v>2.6091497344865999</v>
      </c>
      <c r="L3028" s="1">
        <v>4.0060458564038113</v>
      </c>
      <c r="M3028" s="1">
        <v>0.13098699639941044</v>
      </c>
      <c r="N3028" s="1">
        <v>1.5514626001649217</v>
      </c>
      <c r="O3028" s="1">
        <v>0.11069714285714284</v>
      </c>
      <c r="P3028" s="1">
        <v>8.8587701323418908E-2</v>
      </c>
      <c r="Q3028" s="1">
        <v>4.4130556230223581</v>
      </c>
      <c r="R3028" s="2">
        <f t="shared" si="191"/>
        <v>148.93420348075685</v>
      </c>
      <c r="S3028" s="2">
        <f t="shared" si="190"/>
        <v>2.7338543738475307</v>
      </c>
      <c r="T3028" s="2">
        <f t="shared" si="192"/>
        <v>5.7991925958252857</v>
      </c>
      <c r="U3028" s="2">
        <f t="shared" si="193"/>
        <v>157.46725045042965</v>
      </c>
    </row>
    <row r="3029" spans="1:21" x14ac:dyDescent="0.25">
      <c r="A3029">
        <v>4489533</v>
      </c>
      <c r="B3029">
        <v>62</v>
      </c>
      <c r="C3029" s="1">
        <f>0.711040811931501*(10.3/7.3)</f>
        <v>1.0032493647800635</v>
      </c>
      <c r="D3029" s="1">
        <f>0.961822680443569*(10.3/7.3)</f>
        <v>1.3570922751464054</v>
      </c>
      <c r="E3029" s="1">
        <f>3.35232302905848*(10.3/7.3)</f>
        <v>4.7299900273016915</v>
      </c>
      <c r="F3029" s="1">
        <f>8.57141458018698*(38.9/42.5)</f>
        <v>7.8453653451593786</v>
      </c>
      <c r="G3029" s="1">
        <v>0.4076792424366002</v>
      </c>
      <c r="H3029" s="1">
        <v>1.6411735708133668</v>
      </c>
      <c r="I3029" s="1">
        <v>6.5338205833935561</v>
      </c>
      <c r="J3029" s="1">
        <v>7.7376736798444742E-2</v>
      </c>
      <c r="K3029" s="1">
        <v>3.4541473934999045</v>
      </c>
      <c r="L3029" s="1">
        <v>2.8035826849057655</v>
      </c>
      <c r="M3029" s="1">
        <v>0.31333142377631934</v>
      </c>
      <c r="N3029" s="1">
        <v>1.6138177245022056</v>
      </c>
      <c r="O3029" s="1">
        <v>0.87866666666666671</v>
      </c>
      <c r="P3029" s="1">
        <v>0.3176971051935199</v>
      </c>
      <c r="Q3029" s="1">
        <v>0.65154216827767242</v>
      </c>
      <c r="R3029" s="2">
        <f t="shared" si="191"/>
        <v>24.169912577308736</v>
      </c>
      <c r="S3029" s="2">
        <f t="shared" si="190"/>
        <v>3.8492212354918691</v>
      </c>
      <c r="T3029" s="2">
        <f t="shared" si="192"/>
        <v>5.6093984998509567</v>
      </c>
      <c r="U3029" s="2">
        <f t="shared" si="193"/>
        <v>33.628532312651558</v>
      </c>
    </row>
    <row r="3030" spans="1:21" x14ac:dyDescent="0.25">
      <c r="A3030">
        <v>4489541</v>
      </c>
      <c r="B3030">
        <v>1</v>
      </c>
      <c r="C3030" s="1">
        <f>1.08932809149674*(10.3/7.3)</f>
        <v>1.5369971701940239</v>
      </c>
      <c r="D3030" s="1">
        <f>1.50093851761782*(10.3/7.3)</f>
        <v>2.1177625659539108</v>
      </c>
      <c r="E3030" s="1">
        <f>5.20553235856826*(10.3/7.3)</f>
        <v>7.3447922319524839</v>
      </c>
      <c r="F3030" s="1">
        <f>14.4233448088451*(38.9/42.5)</f>
        <v>13.201602660331183</v>
      </c>
      <c r="G3030" s="1">
        <v>0.72810346991559294</v>
      </c>
      <c r="H3030" s="1">
        <v>2.215653127682303</v>
      </c>
      <c r="I3030" s="1">
        <v>11.097014267913687</v>
      </c>
      <c r="J3030" s="1">
        <v>0.13985599583791747</v>
      </c>
      <c r="K3030" s="1">
        <v>3.7325478122808282</v>
      </c>
      <c r="L3030" s="1">
        <v>3.7590050993645656</v>
      </c>
      <c r="M3030" s="1">
        <v>0.38476358757889578</v>
      </c>
      <c r="N3030" s="1">
        <v>1.93899910759824</v>
      </c>
      <c r="O3030" s="1">
        <v>1.0325333333333333</v>
      </c>
      <c r="P3030" s="1">
        <v>0.31560224733548331</v>
      </c>
      <c r="Q3030" s="1">
        <v>1.1636356825135059</v>
      </c>
      <c r="R3030" s="2">
        <f t="shared" si="191"/>
        <v>39.405561176456693</v>
      </c>
      <c r="S3030" s="2">
        <f t="shared" si="190"/>
        <v>4.1880060554542284</v>
      </c>
      <c r="T3030" s="2">
        <f t="shared" si="192"/>
        <v>7.1153011278750355</v>
      </c>
      <c r="U3030" s="2">
        <f t="shared" si="193"/>
        <v>50.70886835978596</v>
      </c>
    </row>
    <row r="3031" spans="1:21" x14ac:dyDescent="0.25">
      <c r="A3031">
        <v>4490053</v>
      </c>
      <c r="B3031">
        <v>34</v>
      </c>
      <c r="C3031" s="1">
        <f>15.059296069059*(10.3/7.3)</f>
        <v>21.248047878261357</v>
      </c>
      <c r="D3031" s="1">
        <f>23.2360973156221*(10.3/7.3)</f>
        <v>32.785178404233875</v>
      </c>
      <c r="E3031" s="1">
        <f>81.7391619626021*(10.3/7.3)</f>
        <v>115.33059838558923</v>
      </c>
      <c r="F3031" s="1">
        <f>149.28414423601*(38.9/42.5)</f>
        <v>136.63889907719496</v>
      </c>
      <c r="G3031" s="1">
        <v>5.0768494794477741</v>
      </c>
      <c r="H3031" s="1">
        <v>9.4236193919152811</v>
      </c>
      <c r="I3031" s="1">
        <v>101.02771519163649</v>
      </c>
      <c r="J3031" s="1">
        <v>7.3569914743757153E-2</v>
      </c>
      <c r="K3031" s="1">
        <v>3.4135818510035616</v>
      </c>
      <c r="L3031" s="1">
        <v>5.7168503216027942</v>
      </c>
      <c r="M3031" s="1">
        <v>0.27687030003949847</v>
      </c>
      <c r="N3031" s="1">
        <v>2.8766540581292568</v>
      </c>
      <c r="O3031" s="1">
        <v>0.22771294117647059</v>
      </c>
      <c r="P3031" s="1">
        <v>0.15372812078776729</v>
      </c>
      <c r="Q3031" s="1">
        <v>8.1136863826791004</v>
      </c>
      <c r="R3031" s="2">
        <f t="shared" si="191"/>
        <v>429.64459419095812</v>
      </c>
      <c r="S3031" s="2">
        <f t="shared" si="190"/>
        <v>3.6408798865350862</v>
      </c>
      <c r="T3031" s="2">
        <f t="shared" si="192"/>
        <v>9.0980876209480197</v>
      </c>
      <c r="U3031" s="2">
        <f t="shared" si="193"/>
        <v>442.38356169844121</v>
      </c>
    </row>
    <row r="3032" spans="1:21" x14ac:dyDescent="0.25">
      <c r="A3032">
        <v>4490061</v>
      </c>
      <c r="B3032">
        <v>31</v>
      </c>
      <c r="C3032" s="1">
        <f>12.5378406332145*(10.3/7.3)</f>
        <v>17.690377879740975</v>
      </c>
      <c r="D3032" s="1">
        <f>19.1194015623846*(10.3/7.3)</f>
        <v>26.97668987569341</v>
      </c>
      <c r="E3032" s="1">
        <f>67.3398098437166*(10.3/7.3)</f>
        <v>95.013704300038469</v>
      </c>
      <c r="F3032" s="1">
        <f>120.325260357463*(38.9/42.5)</f>
        <v>110.13300300953654</v>
      </c>
      <c r="G3032" s="1">
        <v>3.9480731063860963</v>
      </c>
      <c r="H3032" s="1">
        <v>7.919966292152977</v>
      </c>
      <c r="I3032" s="1">
        <v>81.1854248867797</v>
      </c>
      <c r="J3032" s="1">
        <v>6.3212238269147056E-2</v>
      </c>
      <c r="K3032" s="1">
        <v>3.1988537307588953</v>
      </c>
      <c r="L3032" s="1">
        <v>5.2140624603121175</v>
      </c>
      <c r="M3032" s="1">
        <v>0.25351337606918356</v>
      </c>
      <c r="N3032" s="1">
        <v>2.5530609378814093</v>
      </c>
      <c r="O3032" s="1">
        <v>0.21296000000000001</v>
      </c>
      <c r="P3032" s="1">
        <v>0.14516517866149717</v>
      </c>
      <c r="Q3032" s="1">
        <v>6.3097058777860049</v>
      </c>
      <c r="R3032" s="2">
        <f t="shared" si="191"/>
        <v>349.17694522811416</v>
      </c>
      <c r="S3032" s="2">
        <f t="shared" si="190"/>
        <v>3.4072311476895396</v>
      </c>
      <c r="T3032" s="2">
        <f t="shared" si="192"/>
        <v>8.2335967742627112</v>
      </c>
      <c r="U3032" s="2">
        <f t="shared" si="193"/>
        <v>360.81777315006639</v>
      </c>
    </row>
    <row r="3033" spans="1:21" x14ac:dyDescent="0.25">
      <c r="A3033">
        <v>4490069</v>
      </c>
      <c r="B3033">
        <v>34</v>
      </c>
      <c r="C3033" s="1">
        <f>10.0691683089151*(10.3/7.3)</f>
        <v>14.207182682441911</v>
      </c>
      <c r="D3033" s="1">
        <f>17.7777129995838*(10.3/7.3)</f>
        <v>25.083622451467622</v>
      </c>
      <c r="E3033" s="1">
        <f>62.4264561336577*(10.3/7.3)</f>
        <v>88.081164133790935</v>
      </c>
      <c r="F3033" s="1">
        <f>104.997596013263*(38.9/42.5)</f>
        <v>96.103681998021642</v>
      </c>
      <c r="G3033" s="1">
        <v>3.225822402448026</v>
      </c>
      <c r="H3033" s="1">
        <v>11.130430268107602</v>
      </c>
      <c r="I3033" s="1">
        <v>65.778916380051584</v>
      </c>
      <c r="J3033" s="1">
        <v>5.9459764649680003E-2</v>
      </c>
      <c r="K3033" s="1">
        <v>3.252491391104761</v>
      </c>
      <c r="L3033" s="1">
        <v>5.2125145398021937</v>
      </c>
      <c r="M3033" s="1">
        <v>0.25507348456078338</v>
      </c>
      <c r="N3033" s="1">
        <v>2.6368602548622424</v>
      </c>
      <c r="O3033" s="1">
        <v>0.21146980392156864</v>
      </c>
      <c r="P3033" s="1">
        <v>0.14501110193318512</v>
      </c>
      <c r="Q3033" s="1">
        <v>5.1554239308530141</v>
      </c>
      <c r="R3033" s="2">
        <f t="shared" si="191"/>
        <v>308.76624424718233</v>
      </c>
      <c r="S3033" s="2">
        <f t="shared" si="190"/>
        <v>3.4569622576876262</v>
      </c>
      <c r="T3033" s="2">
        <f t="shared" si="192"/>
        <v>8.3159180831467872</v>
      </c>
      <c r="U3033" s="2">
        <f t="shared" si="193"/>
        <v>320.53912458801676</v>
      </c>
    </row>
    <row r="3034" spans="1:21" x14ac:dyDescent="0.25">
      <c r="A3034">
        <v>4490077</v>
      </c>
      <c r="B3034">
        <v>61</v>
      </c>
      <c r="C3034" s="1">
        <f>11.5404724540878*(10.3/7.3)</f>
        <v>16.283132366726591</v>
      </c>
      <c r="D3034" s="1">
        <f>18.4986300963627*(10.3/7.3)</f>
        <v>26.100806848292592</v>
      </c>
      <c r="E3034" s="1">
        <f>65.074525055194*(10.3/7.3)</f>
        <v>91.817480557328466</v>
      </c>
      <c r="F3034" s="1">
        <f>114.302128027271*(38.9/42.5)</f>
        <v>104.62006541790201</v>
      </c>
      <c r="G3034" s="1">
        <v>3.6924058866395866</v>
      </c>
      <c r="H3034" s="1">
        <v>6.9463695865938755</v>
      </c>
      <c r="I3034" s="1">
        <v>75.340399301287675</v>
      </c>
      <c r="J3034" s="1">
        <v>7.0211805645671033E-2</v>
      </c>
      <c r="K3034" s="1">
        <v>3.7986756818029996</v>
      </c>
      <c r="L3034" s="1">
        <v>6.7192518122820371</v>
      </c>
      <c r="M3034" s="1">
        <v>0.29879069586998225</v>
      </c>
      <c r="N3034" s="1">
        <v>3.4065276630187102</v>
      </c>
      <c r="O3034" s="1">
        <v>0.24479737704918034</v>
      </c>
      <c r="P3034" s="1">
        <v>0.16286020915992644</v>
      </c>
      <c r="Q3034" s="1">
        <v>5.9011052982824488</v>
      </c>
      <c r="R3034" s="2">
        <f t="shared" si="191"/>
        <v>330.70176526305329</v>
      </c>
      <c r="S3034" s="2">
        <f t="shared" si="190"/>
        <v>4.0317476966085968</v>
      </c>
      <c r="T3034" s="2">
        <f t="shared" si="192"/>
        <v>10.66936754821991</v>
      </c>
      <c r="U3034" s="2">
        <f t="shared" si="193"/>
        <v>345.40288050788178</v>
      </c>
    </row>
    <row r="3035" spans="1:21" x14ac:dyDescent="0.25">
      <c r="A3035">
        <v>4490085</v>
      </c>
      <c r="B3035">
        <v>54</v>
      </c>
      <c r="C3035" s="1">
        <f>11.1196434251443*(10.3/7.3)</f>
        <v>15.689359901231022</v>
      </c>
      <c r="D3035" s="1">
        <f>16.905610216515*(10.3/7.3)</f>
        <v>23.853121264397846</v>
      </c>
      <c r="E3035" s="1">
        <f>59.5365269821404*(10.3/7.3)</f>
        <v>84.003592865211814</v>
      </c>
      <c r="F3035" s="1">
        <f>107.029176523521*(38.9/42.5)</f>
        <v>97.96317568858791</v>
      </c>
      <c r="G3035" s="1">
        <v>3.5425213034256555</v>
      </c>
      <c r="H3035" s="1">
        <v>6.4939841182512907</v>
      </c>
      <c r="I3035" s="1">
        <v>72.433063048542891</v>
      </c>
      <c r="J3035" s="1">
        <v>6.7653326393700267E-2</v>
      </c>
      <c r="K3035" s="1">
        <v>3.7910162763893052</v>
      </c>
      <c r="L3035" s="1">
        <v>6.6751435849397058</v>
      </c>
      <c r="M3035" s="1">
        <v>0.29362559585097875</v>
      </c>
      <c r="N3035" s="1">
        <v>3.0324408977948254</v>
      </c>
      <c r="O3035" s="1">
        <v>0.24013925925925919</v>
      </c>
      <c r="P3035" s="1">
        <v>0.16192639762647149</v>
      </c>
      <c r="Q3035" s="1">
        <v>5.6615637269359844</v>
      </c>
      <c r="R3035" s="2">
        <f t="shared" si="191"/>
        <v>309.64038191658443</v>
      </c>
      <c r="S3035" s="2">
        <f t="shared" si="190"/>
        <v>4.0205960004094772</v>
      </c>
      <c r="T3035" s="2">
        <f t="shared" si="192"/>
        <v>10.241349337844769</v>
      </c>
      <c r="U3035" s="2">
        <f t="shared" si="193"/>
        <v>323.90232725483867</v>
      </c>
    </row>
    <row r="3036" spans="1:21" x14ac:dyDescent="0.25">
      <c r="A3036">
        <v>4490093</v>
      </c>
      <c r="B3036">
        <v>55</v>
      </c>
      <c r="C3036" s="1">
        <f>11.2477606229864*(10.3/7.3)</f>
        <v>15.870128002295882</v>
      </c>
      <c r="D3036" s="1">
        <f>16.7926319487476*(10.3/7.3)</f>
        <v>23.693713571520654</v>
      </c>
      <c r="E3036" s="1">
        <f>59.1563589171297*(10.3/7.3)</f>
        <v>83.467191348826859</v>
      </c>
      <c r="F3036" s="1">
        <f>107.492656707836*(38.9/42.5)</f>
        <v>98.387396374936571</v>
      </c>
      <c r="G3036" s="1">
        <v>3.6015010073806271</v>
      </c>
      <c r="H3036" s="1">
        <v>6.6398136910038295</v>
      </c>
      <c r="I3036" s="1">
        <v>73.458335358670595</v>
      </c>
      <c r="J3036" s="1">
        <v>6.9594867849437497E-2</v>
      </c>
      <c r="K3036" s="1">
        <v>3.9288481764616088</v>
      </c>
      <c r="L3036" s="1">
        <v>7.0104352711284355</v>
      </c>
      <c r="M3036" s="1">
        <v>0.29967039100935483</v>
      </c>
      <c r="N3036" s="1">
        <v>3.142812649901976</v>
      </c>
      <c r="O3036" s="1">
        <v>0.24553890909090906</v>
      </c>
      <c r="P3036" s="1">
        <v>0.16503284753249342</v>
      </c>
      <c r="Q3036" s="1">
        <v>5.7558235277772676</v>
      </c>
      <c r="R3036" s="2">
        <f t="shared" si="191"/>
        <v>310.87390288241232</v>
      </c>
      <c r="S3036" s="2">
        <f t="shared" si="190"/>
        <v>4.1634758918435395</v>
      </c>
      <c r="T3036" s="2">
        <f t="shared" si="192"/>
        <v>10.698457221130676</v>
      </c>
      <c r="U3036" s="2">
        <f t="shared" si="193"/>
        <v>325.73583599538654</v>
      </c>
    </row>
    <row r="3037" spans="1:21" x14ac:dyDescent="0.25">
      <c r="A3037">
        <v>4490101</v>
      </c>
      <c r="B3037">
        <v>55</v>
      </c>
      <c r="C3037" s="1">
        <f>8.54031775399598*(10.3/7.3)</f>
        <v>12.050037378925831</v>
      </c>
      <c r="D3037" s="1">
        <f>12.5557416458793*(10.3/7.3)</f>
        <v>17.715635472952926</v>
      </c>
      <c r="E3037" s="1">
        <f>44.2411704114272*(10.3/7.3)</f>
        <v>62.422473320232839</v>
      </c>
      <c r="F3037" s="1">
        <f>81.1827254648462*(38.9/42.5)</f>
        <v>74.306071072529804</v>
      </c>
      <c r="G3037" s="1">
        <v>2.7505155677145252</v>
      </c>
      <c r="H3037" s="1">
        <v>5.7207677605400962</v>
      </c>
      <c r="I3037" s="1">
        <v>55.943481782327467</v>
      </c>
      <c r="J3037" s="1">
        <v>5.5825131613149302E-2</v>
      </c>
      <c r="K3037" s="1">
        <v>3.3607810891971064</v>
      </c>
      <c r="L3037" s="1">
        <v>5.5887062704720876</v>
      </c>
      <c r="M3037" s="1">
        <v>0.25026296243165708</v>
      </c>
      <c r="N3037" s="1">
        <v>2.603349564694029</v>
      </c>
      <c r="O3037" s="1">
        <v>0.20740169696969696</v>
      </c>
      <c r="P3037" s="1">
        <v>0.14386915254461569</v>
      </c>
      <c r="Q3037" s="1">
        <v>4.3958011356168223</v>
      </c>
      <c r="R3037" s="2">
        <f t="shared" si="191"/>
        <v>235.30478349084032</v>
      </c>
      <c r="S3037" s="2">
        <f t="shared" si="190"/>
        <v>3.5604753733548713</v>
      </c>
      <c r="T3037" s="2">
        <f t="shared" si="192"/>
        <v>8.6497204945674717</v>
      </c>
      <c r="U3037" s="2">
        <f t="shared" si="193"/>
        <v>247.51497935876267</v>
      </c>
    </row>
    <row r="3038" spans="1:21" x14ac:dyDescent="0.25">
      <c r="A3038">
        <v>4490109</v>
      </c>
      <c r="B3038">
        <v>55</v>
      </c>
      <c r="C3038" s="1">
        <f>8.77002350146*(10.3/7.3)</f>
        <v>12.37414274863535</v>
      </c>
      <c r="D3038" s="1">
        <f>12.7127355923685*(10.3/7.3)</f>
        <v>17.93714747964329</v>
      </c>
      <c r="E3038" s="1">
        <f>44.8020450905943*(10.3/7.3)</f>
        <v>63.213844442893318</v>
      </c>
      <c r="F3038" s="1">
        <f>83.0618434260044*(38.9/42.5)</f>
        <v>76.026016688742828</v>
      </c>
      <c r="G3038" s="1">
        <v>2.8478418333257793</v>
      </c>
      <c r="H3038" s="1">
        <v>5.9115027712284443</v>
      </c>
      <c r="I3038" s="1">
        <v>57.693312845556001</v>
      </c>
      <c r="J3038" s="1">
        <v>6.0010627799269495E-2</v>
      </c>
      <c r="K3038" s="1">
        <v>3.5936326759135184</v>
      </c>
      <c r="L3038" s="1">
        <v>6.0866150526235652</v>
      </c>
      <c r="M3038" s="1">
        <v>0.26283829176800316</v>
      </c>
      <c r="N3038" s="1">
        <v>2.827186752800293</v>
      </c>
      <c r="O3038" s="1">
        <v>0.22011830303030291</v>
      </c>
      <c r="P3038" s="1">
        <v>0.1511792777110651</v>
      </c>
      <c r="Q3038" s="1">
        <v>4.5513453957261385</v>
      </c>
      <c r="R3038" s="2">
        <f t="shared" si="191"/>
        <v>240.55515420575117</v>
      </c>
      <c r="S3038" s="2">
        <f t="shared" si="190"/>
        <v>3.8048225814238532</v>
      </c>
      <c r="T3038" s="2">
        <f t="shared" si="192"/>
        <v>9.3967584002221631</v>
      </c>
      <c r="U3038" s="2">
        <f t="shared" si="193"/>
        <v>253.75673518739717</v>
      </c>
    </row>
    <row r="3039" spans="1:21" x14ac:dyDescent="0.25">
      <c r="A3039">
        <v>4490117</v>
      </c>
      <c r="B3039">
        <v>55</v>
      </c>
      <c r="C3039" s="1">
        <f>7.99349931165648*(10.3/7.3)</f>
        <v>11.278499028775586</v>
      </c>
      <c r="D3039" s="1">
        <f>11.4442093383976*(10.3/7.3)</f>
        <v>16.147309066506178</v>
      </c>
      <c r="E3039" s="1">
        <f>40.3368582374494*(10.3/7.3)</f>
        <v>56.913649293935507</v>
      </c>
      <c r="F3039" s="1">
        <f>75.507038411406*(38.9/42.5)</f>
        <v>69.111148098910434</v>
      </c>
      <c r="G3039" s="1">
        <v>2.6176259061903973</v>
      </c>
      <c r="H3039" s="1">
        <v>5.7499001973311143</v>
      </c>
      <c r="I3039" s="1">
        <v>52.815349438998325</v>
      </c>
      <c r="J3039" s="1">
        <v>5.7103030286505034E-2</v>
      </c>
      <c r="K3039" s="1">
        <v>3.4653065096741571</v>
      </c>
      <c r="L3039" s="1">
        <v>5.7660021572364979</v>
      </c>
      <c r="M3039" s="1">
        <v>0.24964444667439661</v>
      </c>
      <c r="N3039" s="1">
        <v>2.702253584920165</v>
      </c>
      <c r="O3039" s="1">
        <v>0.2097890909090909</v>
      </c>
      <c r="P3039" s="1">
        <v>0.14531082467329193</v>
      </c>
      <c r="Q3039" s="1">
        <v>4.1834203980211866</v>
      </c>
      <c r="R3039" s="2">
        <f t="shared" si="191"/>
        <v>218.81690142866873</v>
      </c>
      <c r="S3039" s="2">
        <f t="shared" si="190"/>
        <v>3.6677203646339542</v>
      </c>
      <c r="T3039" s="2">
        <f t="shared" si="192"/>
        <v>8.9276892797401501</v>
      </c>
      <c r="U3039" s="2">
        <f t="shared" si="193"/>
        <v>231.41231107304284</v>
      </c>
    </row>
    <row r="3040" spans="1:21" x14ac:dyDescent="0.25">
      <c r="A3040">
        <v>4490125</v>
      </c>
      <c r="B3040">
        <v>54</v>
      </c>
      <c r="C3040" s="1">
        <f>4.49251768283457*(10.3/7.3)</f>
        <v>6.3387578264652173</v>
      </c>
      <c r="D3040" s="1">
        <f>6.33926791746608*(10.3/7.3)</f>
        <v>8.9444465136850138</v>
      </c>
      <c r="E3040" s="1">
        <f>22.3518714672587*(10.3/7.3)</f>
        <v>31.53757207024168</v>
      </c>
      <c r="F3040" s="1">
        <f>42.0811331121705*(38.9/42.5)</f>
        <v>38.516613601492502</v>
      </c>
      <c r="G3040" s="1">
        <v>1.4659866750128903</v>
      </c>
      <c r="H3040" s="1">
        <v>4.0498384959986904</v>
      </c>
      <c r="I3040" s="1">
        <v>29.62901809574052</v>
      </c>
      <c r="J3040" s="1">
        <v>3.7933298655363962E-2</v>
      </c>
      <c r="K3040" s="1">
        <v>2.5589101392174056</v>
      </c>
      <c r="L3040" s="1">
        <v>3.8607945033051063</v>
      </c>
      <c r="M3040" s="1">
        <v>0.17639111921750161</v>
      </c>
      <c r="N3040" s="1">
        <v>1.9248293688374483</v>
      </c>
      <c r="O3040" s="1">
        <v>0.15115061728395057</v>
      </c>
      <c r="P3040" s="1">
        <v>0.11395437434835597</v>
      </c>
      <c r="Q3040" s="1">
        <v>2.3429010787877265</v>
      </c>
      <c r="R3040" s="2">
        <f t="shared" si="191"/>
        <v>122.82513435742425</v>
      </c>
      <c r="S3040" s="2">
        <f t="shared" si="190"/>
        <v>2.7107978122211254</v>
      </c>
      <c r="T3040" s="2">
        <f t="shared" si="192"/>
        <v>6.1131656086440067</v>
      </c>
      <c r="U3040" s="2">
        <f t="shared" si="193"/>
        <v>131.64909777828939</v>
      </c>
    </row>
    <row r="3041" spans="1:21" x14ac:dyDescent="0.25">
      <c r="A3041">
        <v>4490133</v>
      </c>
      <c r="B3041">
        <v>55</v>
      </c>
      <c r="C3041" s="1">
        <f>4.69181955031413*(10.3/7.3)</f>
        <v>6.6199645709911676</v>
      </c>
      <c r="D3041" s="1">
        <f>6.54783034045178*(10.3/7.3)</f>
        <v>9.2387195214593643</v>
      </c>
      <c r="E3041" s="1">
        <f>23.0887606982192*(10.3/7.3)</f>
        <v>32.577292492007928</v>
      </c>
      <c r="F3041" s="1">
        <f>43.9106021326945*(38.9/42.5)</f>
        <v>40.19111583439566</v>
      </c>
      <c r="G3041" s="1">
        <v>1.5477197704550387</v>
      </c>
      <c r="H3041" s="1">
        <v>4.2122938479587759</v>
      </c>
      <c r="I3041" s="1">
        <v>31.118775243733857</v>
      </c>
      <c r="J3041" s="1">
        <v>4.0071736194941178E-2</v>
      </c>
      <c r="K3041" s="1">
        <v>2.6796383051587584</v>
      </c>
      <c r="L3041" s="1">
        <v>4.0607130104199021</v>
      </c>
      <c r="M3041" s="1">
        <v>0.18146967564318328</v>
      </c>
      <c r="N3041" s="1">
        <v>2.0525533477978737</v>
      </c>
      <c r="O3041" s="1">
        <v>0.15697454545454545</v>
      </c>
      <c r="P3041" s="1">
        <v>0.11736990158147513</v>
      </c>
      <c r="Q3041" s="1">
        <v>2.4735247473025752</v>
      </c>
      <c r="R3041" s="2">
        <f t="shared" si="191"/>
        <v>127.97940602830437</v>
      </c>
      <c r="S3041" s="2">
        <f t="shared" si="190"/>
        <v>2.837079942935175</v>
      </c>
      <c r="T3041" s="2">
        <f t="shared" si="192"/>
        <v>6.4517105793155043</v>
      </c>
      <c r="U3041" s="2">
        <f t="shared" si="193"/>
        <v>137.26819655055505</v>
      </c>
    </row>
    <row r="3042" spans="1:21" x14ac:dyDescent="0.25">
      <c r="A3042">
        <v>4490141</v>
      </c>
      <c r="B3042">
        <v>55</v>
      </c>
      <c r="C3042" s="1">
        <f>6.80058638372452*(10.3/7.3)</f>
        <v>9.5953479112825413</v>
      </c>
      <c r="D3042" s="1">
        <f>9.3596342799825*(10.3/7.3)</f>
        <v>13.206059326550655</v>
      </c>
      <c r="E3042" s="1">
        <f>33.0008599336104*(10.3/7.3)</f>
        <v>46.562857166601006</v>
      </c>
      <c r="F3042" s="1">
        <f>63.8483235295254*(38.9/42.5)</f>
        <v>58.439994948200905</v>
      </c>
      <c r="G3042" s="1">
        <v>2.2966384589329096</v>
      </c>
      <c r="H3042" s="1">
        <v>5.5651504671574825</v>
      </c>
      <c r="I3042" s="1">
        <v>45.664807600554163</v>
      </c>
      <c r="J3042" s="1">
        <v>5.3177681065281951E-2</v>
      </c>
      <c r="K3042" s="1">
        <v>3.3014300851055784</v>
      </c>
      <c r="L3042" s="1">
        <v>5.3662379446041992</v>
      </c>
      <c r="M3042" s="1">
        <v>0.22509640303070044</v>
      </c>
      <c r="N3042" s="1">
        <v>2.6639883557575632</v>
      </c>
      <c r="O3042" s="1">
        <v>0.19175078787878783</v>
      </c>
      <c r="P3042" s="1">
        <v>0.13545480185412245</v>
      </c>
      <c r="Q3042" s="1">
        <v>3.670426760851687</v>
      </c>
      <c r="R3042" s="2">
        <f t="shared" si="191"/>
        <v>185.00128264013134</v>
      </c>
      <c r="S3042" s="2">
        <f t="shared" si="190"/>
        <v>3.4900625680249826</v>
      </c>
      <c r="T3042" s="2">
        <f t="shared" si="192"/>
        <v>8.4470734912712491</v>
      </c>
      <c r="U3042" s="2">
        <f t="shared" si="193"/>
        <v>196.93841869942759</v>
      </c>
    </row>
    <row r="3043" spans="1:21" x14ac:dyDescent="0.25">
      <c r="A3043">
        <v>4490149</v>
      </c>
      <c r="B3043">
        <v>55</v>
      </c>
      <c r="C3043" s="1">
        <f>8.56979134769644*(10.3/7.3)</f>
        <v>12.091623408393607</v>
      </c>
      <c r="D3043" s="1">
        <f>11.5896824298305*(10.3/7.3)</f>
        <v>16.352565620171863</v>
      </c>
      <c r="E3043" s="1">
        <f>40.8645533084217*(10.3/7.3)</f>
        <v>57.658205352978506</v>
      </c>
      <c r="F3043" s="1">
        <f>80.5188673233755*(38.9/42.5)</f>
        <v>73.698445620689583</v>
      </c>
      <c r="G3043" s="1">
        <v>2.9554293969349357</v>
      </c>
      <c r="H3043" s="1">
        <v>6.6101315855941172</v>
      </c>
      <c r="I3043" s="1">
        <v>58.188474670933822</v>
      </c>
      <c r="J3043" s="1">
        <v>6.5330062327636898E-2</v>
      </c>
      <c r="K3043" s="1">
        <v>3.8351015373645554</v>
      </c>
      <c r="L3043" s="1">
        <v>6.5955510497678702</v>
      </c>
      <c r="M3043" s="1">
        <v>0.26168978236581486</v>
      </c>
      <c r="N3043" s="1">
        <v>3.1061175077084173</v>
      </c>
      <c r="O3043" s="1">
        <v>0.21789575757575755</v>
      </c>
      <c r="P3043" s="1">
        <v>0.1490479106425848</v>
      </c>
      <c r="Q3043" s="1">
        <v>4.7232889905352877</v>
      </c>
      <c r="R3043" s="2">
        <f t="shared" si="191"/>
        <v>232.27816464623169</v>
      </c>
      <c r="S3043" s="2">
        <f t="shared" si="190"/>
        <v>4.0494795103347769</v>
      </c>
      <c r="T3043" s="2">
        <f t="shared" si="192"/>
        <v>10.18125409741786</v>
      </c>
      <c r="U3043" s="2">
        <f t="shared" si="193"/>
        <v>246.50889825398431</v>
      </c>
    </row>
    <row r="3044" spans="1:21" x14ac:dyDescent="0.25">
      <c r="A3044">
        <v>4490157</v>
      </c>
      <c r="B3044">
        <v>55</v>
      </c>
      <c r="C3044" s="1">
        <f>4.24188740038703*(10.3/7.3)</f>
        <v>5.985128797806361</v>
      </c>
      <c r="D3044" s="1">
        <f>5.69637621854411*(10.3/7.3)</f>
        <v>8.0373527467129158</v>
      </c>
      <c r="E3044" s="1">
        <f>20.0971128310201*(10.3/7.3)</f>
        <v>28.356200295822834</v>
      </c>
      <c r="F3044" s="1">
        <f>39.2926916347708*(38.9/42.5)</f>
        <v>35.96436951982551</v>
      </c>
      <c r="G3044" s="1">
        <v>1.425559603035178</v>
      </c>
      <c r="H3044" s="1">
        <v>4.0546611029742659</v>
      </c>
      <c r="I3044" s="1">
        <v>28.410321651078274</v>
      </c>
      <c r="J3044" s="1">
        <v>3.8509774317329472E-2</v>
      </c>
      <c r="K3044" s="1">
        <v>2.5865580952539724</v>
      </c>
      <c r="L3044" s="1">
        <v>3.8683523249766889</v>
      </c>
      <c r="M3044" s="1">
        <v>0.16847124099468025</v>
      </c>
      <c r="N3044" s="1">
        <v>2.0238037152021686</v>
      </c>
      <c r="O3044" s="1">
        <v>0.14383127272727275</v>
      </c>
      <c r="P3044" s="1">
        <v>0.10941534660730576</v>
      </c>
      <c r="Q3044" s="1">
        <v>2.2782916030242588</v>
      </c>
      <c r="R3044" s="2">
        <f t="shared" si="191"/>
        <v>114.5118853202796</v>
      </c>
      <c r="S3044" s="2">
        <f t="shared" si="190"/>
        <v>2.7344832161786075</v>
      </c>
      <c r="T3044" s="2">
        <f t="shared" si="192"/>
        <v>6.2044585539008104</v>
      </c>
      <c r="U3044" s="2">
        <f t="shared" si="193"/>
        <v>123.45082709035901</v>
      </c>
    </row>
    <row r="3045" spans="1:21" x14ac:dyDescent="0.25">
      <c r="A3045">
        <v>4490165</v>
      </c>
      <c r="B3045">
        <v>44</v>
      </c>
      <c r="C3045" s="1">
        <f>5.89644768861684*(10.3/7.3)</f>
        <v>8.3196453688703311</v>
      </c>
      <c r="D3045" s="1">
        <f>7.79063974131813*(10.3/7.3)</f>
        <v>10.992272511722843</v>
      </c>
      <c r="E3045" s="1">
        <f>27.4945249910297*(10.3/7.3)</f>
        <v>38.793644850357033</v>
      </c>
      <c r="F3045" s="1">
        <f>54.2712661976146*(38.9/42.5)</f>
        <v>49.674170707934302</v>
      </c>
      <c r="G3045" s="1">
        <v>1.9866877594744947</v>
      </c>
      <c r="H3045" s="1">
        <v>5.040766604919205</v>
      </c>
      <c r="I3045" s="1">
        <v>39.545236628103538</v>
      </c>
      <c r="J3045" s="1">
        <v>4.8411097411900486E-2</v>
      </c>
      <c r="K3045" s="1">
        <v>3.0894503925092338</v>
      </c>
      <c r="L3045" s="1">
        <v>4.7624569210121015</v>
      </c>
      <c r="M3045" s="1">
        <v>0.20135828436243039</v>
      </c>
      <c r="N3045" s="1">
        <v>3.8852361661871258</v>
      </c>
      <c r="O3045" s="1">
        <v>0.17033090909090906</v>
      </c>
      <c r="P3045" s="1">
        <v>0.12232936630086971</v>
      </c>
      <c r="Q3045" s="1">
        <v>3.1750717617172328</v>
      </c>
      <c r="R3045" s="2">
        <f t="shared" si="191"/>
        <v>157.52749619309895</v>
      </c>
      <c r="S3045" s="2">
        <f t="shared" si="190"/>
        <v>3.2601908562220041</v>
      </c>
      <c r="T3045" s="2">
        <f t="shared" si="192"/>
        <v>9.0193822806525663</v>
      </c>
      <c r="U3045" s="2">
        <f t="shared" si="193"/>
        <v>169.80706932997353</v>
      </c>
    </row>
    <row r="3046" spans="1:21" x14ac:dyDescent="0.25">
      <c r="A3046">
        <v>4490173</v>
      </c>
      <c r="B3046">
        <v>54</v>
      </c>
      <c r="C3046" s="1">
        <f>7.93316145555653*(10.3/7.3)</f>
        <v>11.193364793456469</v>
      </c>
      <c r="D3046" s="1">
        <f>10.247520789916*(10.3/7.3)</f>
        <v>14.458830703580119</v>
      </c>
      <c r="E3046" s="1">
        <f>36.1780092468829*(10.3/7.3)</f>
        <v>51.045684279848409</v>
      </c>
      <c r="F3046" s="1">
        <f>72.5528254545623*(38.9/42.5)</f>
        <v>66.407174357234709</v>
      </c>
      <c r="G3046" s="1">
        <v>2.6971365151770064</v>
      </c>
      <c r="H3046" s="1">
        <v>5.9679139269791044</v>
      </c>
      <c r="I3046" s="1">
        <v>53.459008635848029</v>
      </c>
      <c r="J3046" s="1">
        <v>6.1900485033080439E-2</v>
      </c>
      <c r="K3046" s="1">
        <v>3.7265706752986434</v>
      </c>
      <c r="L3046" s="1">
        <v>6.1301802627945046</v>
      </c>
      <c r="M3046" s="1">
        <v>0.23946091773699341</v>
      </c>
      <c r="N3046" s="1">
        <v>3.0721116403465945</v>
      </c>
      <c r="O3046" s="1">
        <v>0.1982745679012346</v>
      </c>
      <c r="P3046" s="1">
        <v>0.13830060511001907</v>
      </c>
      <c r="Q3046" s="1">
        <v>4.3104921475431661</v>
      </c>
      <c r="R3046" s="2">
        <f t="shared" si="191"/>
        <v>209.53960535966698</v>
      </c>
      <c r="S3046" s="2">
        <f t="shared" si="190"/>
        <v>3.9267717654417429</v>
      </c>
      <c r="T3046" s="2">
        <f t="shared" si="192"/>
        <v>9.6400273887793269</v>
      </c>
      <c r="U3046" s="2">
        <f t="shared" si="193"/>
        <v>223.10640451388804</v>
      </c>
    </row>
    <row r="3047" spans="1:21" x14ac:dyDescent="0.25">
      <c r="A3047">
        <v>4490181</v>
      </c>
      <c r="B3047">
        <v>55</v>
      </c>
      <c r="C3047" s="1">
        <f>8.14553091513252*(10.3/7.3)</f>
        <v>11.493009373406158</v>
      </c>
      <c r="D3047" s="1">
        <f>10.3872218684757*(10.3/7.3)</f>
        <v>14.655943184287681</v>
      </c>
      <c r="E3047" s="1">
        <f>36.6723363599134*(10.3/7.3)</f>
        <v>51.743159521521584</v>
      </c>
      <c r="F3047" s="1">
        <f>74.5362003786128*(38.9/42.5)</f>
        <v>68.222545758306794</v>
      </c>
      <c r="G3047" s="1">
        <v>2.8097618833411788</v>
      </c>
      <c r="H3047" s="1">
        <v>6.0042135449155767</v>
      </c>
      <c r="I3047" s="1">
        <v>55.314544012728206</v>
      </c>
      <c r="J3047" s="1">
        <v>6.3364456048974935E-2</v>
      </c>
      <c r="K3047" s="1">
        <v>3.8464391501294086</v>
      </c>
      <c r="L3047" s="1">
        <v>6.2509132121575703</v>
      </c>
      <c r="M3047" s="1">
        <v>0.23880039085752944</v>
      </c>
      <c r="N3047" s="1">
        <v>2.942943199618965</v>
      </c>
      <c r="O3047" s="1">
        <v>0.19794036363636364</v>
      </c>
      <c r="P3047" s="1">
        <v>0.13824603701425334</v>
      </c>
      <c r="Q3047" s="1">
        <v>4.4904870281708398</v>
      </c>
      <c r="R3047" s="2">
        <f t="shared" si="191"/>
        <v>214.73366430667801</v>
      </c>
      <c r="S3047" s="2">
        <f t="shared" si="190"/>
        <v>4.0480496431926367</v>
      </c>
      <c r="T3047" s="2">
        <f t="shared" si="192"/>
        <v>9.6305971662704284</v>
      </c>
      <c r="U3047" s="2">
        <f t="shared" si="193"/>
        <v>228.41231111614107</v>
      </c>
    </row>
    <row r="3048" spans="1:21" x14ac:dyDescent="0.25">
      <c r="A3048">
        <v>4490189</v>
      </c>
      <c r="B3048">
        <v>58</v>
      </c>
      <c r="C3048" s="1">
        <f>7.83065040236404*(10.3/7.3)</f>
        <v>11.048725910184885</v>
      </c>
      <c r="D3048" s="1">
        <f>9.87178942441025*(10.3/7.3)</f>
        <v>13.928689187866519</v>
      </c>
      <c r="E3048" s="1">
        <f>34.8520989033632*(10.3/7.3)</f>
        <v>49.174879274608301</v>
      </c>
      <c r="F3048" s="1">
        <f>71.7601701153471*(38.9/42.5)</f>
        <v>65.681661587929412</v>
      </c>
      <c r="G3048" s="1">
        <v>2.7414042427681133</v>
      </c>
      <c r="H3048" s="1">
        <v>5.8641533476491521</v>
      </c>
      <c r="I3048" s="1">
        <v>53.598976635503881</v>
      </c>
      <c r="J3048" s="1">
        <v>6.0992688710482489E-2</v>
      </c>
      <c r="K3048" s="1">
        <v>3.8045159364688086</v>
      </c>
      <c r="L3048" s="1">
        <v>5.9567735364782788</v>
      </c>
      <c r="M3048" s="1">
        <v>0.226441422017647</v>
      </c>
      <c r="N3048" s="1">
        <v>2.7392870177463617</v>
      </c>
      <c r="O3048" s="1">
        <v>0.1883595402298851</v>
      </c>
      <c r="P3048" s="1">
        <v>0.13308582908107913</v>
      </c>
      <c r="Q3048" s="1">
        <v>4.3812396573919683</v>
      </c>
      <c r="R3048" s="2">
        <f t="shared" si="191"/>
        <v>206.41972984390222</v>
      </c>
      <c r="S3048" s="2">
        <f t="shared" si="190"/>
        <v>3.9985944542603704</v>
      </c>
      <c r="T3048" s="2">
        <f t="shared" si="192"/>
        <v>9.1108615164721733</v>
      </c>
      <c r="U3048" s="2">
        <f t="shared" si="193"/>
        <v>219.52918581463476</v>
      </c>
    </row>
    <row r="3049" spans="1:21" x14ac:dyDescent="0.25">
      <c r="A3049">
        <v>4490197</v>
      </c>
      <c r="B3049">
        <v>59</v>
      </c>
      <c r="C3049" s="1">
        <f>8.66304931835238*(10.3/7.3)</f>
        <v>12.223206572469792</v>
      </c>
      <c r="D3049" s="1">
        <f>10.7655935909975*(10.3/7.3)</f>
        <v>15.189810135243025</v>
      </c>
      <c r="E3049" s="1">
        <f>38.0021597765563*(10.3/7.3)</f>
        <v>53.619485712127343</v>
      </c>
      <c r="F3049" s="1">
        <f>79.7654433965688*(38.9/42.5)</f>
        <v>73.008841132388895</v>
      </c>
      <c r="G3049" s="1">
        <v>3.1078616168423787</v>
      </c>
      <c r="H3049" s="1">
        <v>6.2677128799243889</v>
      </c>
      <c r="I3049" s="1">
        <v>60.084534400132611</v>
      </c>
      <c r="J3049" s="1">
        <v>6.6299123763336285E-2</v>
      </c>
      <c r="K3049" s="1">
        <v>4.136673692486343</v>
      </c>
      <c r="L3049" s="1">
        <v>6.4168759475753072</v>
      </c>
      <c r="M3049" s="1">
        <v>0.23685219546765726</v>
      </c>
      <c r="N3049" s="1">
        <v>2.8707008003656469</v>
      </c>
      <c r="O3049" s="1">
        <v>0.19685152542372877</v>
      </c>
      <c r="P3049" s="1">
        <v>0.13726625989179009</v>
      </c>
      <c r="Q3049" s="1">
        <v>4.9669021273736709</v>
      </c>
      <c r="R3049" s="2">
        <f t="shared" si="191"/>
        <v>228.46835457650207</v>
      </c>
      <c r="S3049" s="2">
        <f t="shared" si="190"/>
        <v>4.3402390761414695</v>
      </c>
      <c r="T3049" s="2">
        <f t="shared" si="192"/>
        <v>9.7212804688323402</v>
      </c>
      <c r="U3049" s="2">
        <f t="shared" si="193"/>
        <v>242.52987412147587</v>
      </c>
    </row>
    <row r="3050" spans="1:21" x14ac:dyDescent="0.25">
      <c r="A3050">
        <v>4490205</v>
      </c>
      <c r="B3050">
        <v>61</v>
      </c>
      <c r="C3050" s="1">
        <f>8.63829635130078*(10.3/7.3)</f>
        <v>12.188281153205212</v>
      </c>
      <c r="D3050" s="1">
        <f>10.7238586599198*(10.3/7.3)</f>
        <v>15.130923862626576</v>
      </c>
      <c r="E3050" s="1">
        <f>37.7494493060735*(10.3/7.3)</f>
        <v>53.262921623637965</v>
      </c>
      <c r="F3050" s="1">
        <f>84.6534595705685*(38.9/42.5)</f>
        <v>77.482813583414497</v>
      </c>
      <c r="G3050" s="1">
        <v>3.5417532358149124</v>
      </c>
      <c r="H3050" s="1">
        <v>6.4342466385715928</v>
      </c>
      <c r="I3050" s="1">
        <v>64.561957720858402</v>
      </c>
      <c r="J3050" s="1">
        <v>6.5434514700781807E-2</v>
      </c>
      <c r="K3050" s="1">
        <v>4.1122219427931963</v>
      </c>
      <c r="L3050" s="1">
        <v>6.2009764696459984</v>
      </c>
      <c r="M3050" s="1">
        <v>0.22742404791284368</v>
      </c>
      <c r="N3050" s="1">
        <v>2.7508129176546268</v>
      </c>
      <c r="O3050" s="1">
        <v>0.18943999999999994</v>
      </c>
      <c r="P3050" s="1">
        <v>0.13342820772986133</v>
      </c>
      <c r="Q3050" s="1">
        <v>5.6603362216220097</v>
      </c>
      <c r="R3050" s="2">
        <f t="shared" si="191"/>
        <v>238.26323403975115</v>
      </c>
      <c r="S3050" s="2">
        <f t="shared" si="190"/>
        <v>4.3110846652238397</v>
      </c>
      <c r="T3050" s="2">
        <f t="shared" si="192"/>
        <v>9.3686534352134689</v>
      </c>
      <c r="U3050" s="2">
        <f t="shared" si="193"/>
        <v>251.94297214018846</v>
      </c>
    </row>
    <row r="3051" spans="1:21" x14ac:dyDescent="0.25">
      <c r="A3051">
        <v>4490213</v>
      </c>
      <c r="B3051">
        <v>25</v>
      </c>
      <c r="C3051" s="1">
        <f>6.33953102988491*(10.3/7.3)</f>
        <v>8.944817754495153</v>
      </c>
      <c r="D3051" s="1">
        <f>7.74574142139826*(10.3/7.3)</f>
        <v>10.92892282745234</v>
      </c>
      <c r="E3051" s="1">
        <f>27.3230492129274*(10.3/7.3)</f>
        <v>38.551699574404473</v>
      </c>
      <c r="F3051" s="1">
        <f>59.3904927172089*(38.9/42.5)</f>
        <v>54.359768628221822</v>
      </c>
      <c r="G3051" s="1">
        <v>2.3981706862330388</v>
      </c>
      <c r="H3051" s="1">
        <v>9.5973118013396945</v>
      </c>
      <c r="I3051" s="1">
        <v>45.269876280411154</v>
      </c>
      <c r="J3051" s="1">
        <v>5.2998633296559169E-2</v>
      </c>
      <c r="K3051" s="1">
        <v>3.4175811739039181</v>
      </c>
      <c r="L3051" s="1">
        <v>4.7732326056724901</v>
      </c>
      <c r="M3051" s="1">
        <v>0.18547228590678455</v>
      </c>
      <c r="N3051" s="1">
        <v>2.2674139474204749</v>
      </c>
      <c r="O3051" s="1">
        <v>0.15567786666666664</v>
      </c>
      <c r="P3051" s="1">
        <v>0.11393473869366792</v>
      </c>
      <c r="Q3051" s="1">
        <v>3.83269287754139</v>
      </c>
      <c r="R3051" s="2">
        <f t="shared" si="191"/>
        <v>173.88326043009909</v>
      </c>
      <c r="S3051" s="2">
        <f t="shared" si="190"/>
        <v>3.5845145458941454</v>
      </c>
      <c r="T3051" s="2">
        <f t="shared" si="192"/>
        <v>7.3817967056664155</v>
      </c>
      <c r="U3051" s="2">
        <f t="shared" si="193"/>
        <v>184.84957168165963</v>
      </c>
    </row>
    <row r="3052" spans="1:21" x14ac:dyDescent="0.25">
      <c r="A3052">
        <v>4490245</v>
      </c>
      <c r="B3052">
        <v>27</v>
      </c>
      <c r="C3052" s="1">
        <f>3.92302678113131*(10.3/7.3)</f>
        <v>5.5352295678976065</v>
      </c>
      <c r="D3052" s="1">
        <f>4.87535342815951*(10.3/7.3)</f>
        <v>6.8789233301428645</v>
      </c>
      <c r="E3052" s="1">
        <f>17.0930489721333*(10.3/7.3)</f>
        <v>24.117589645612775</v>
      </c>
      <c r="F3052" s="1">
        <f>41.7816170231431*(38.9/42.5)</f>
        <v>38.24246828706508</v>
      </c>
      <c r="G3052" s="1">
        <v>1.893874926004373</v>
      </c>
      <c r="H3052" s="1">
        <v>8.6360857035237295</v>
      </c>
      <c r="I3052" s="1">
        <v>32.317207992201062</v>
      </c>
      <c r="J3052" s="1">
        <v>3.4097442458838549E-2</v>
      </c>
      <c r="K3052" s="1">
        <v>2.3758670671496738</v>
      </c>
      <c r="L3052" s="1">
        <v>4.3255431932700716</v>
      </c>
      <c r="M3052" s="1">
        <v>0.12600199232571635</v>
      </c>
      <c r="N3052" s="1">
        <v>1.4735237810175557</v>
      </c>
      <c r="O3052" s="1">
        <v>0.10603456790123457</v>
      </c>
      <c r="P3052" s="1">
        <v>8.5525229074904105E-2</v>
      </c>
      <c r="Q3052" s="1">
        <v>3.0267407493220611</v>
      </c>
      <c r="R3052" s="2">
        <f t="shared" si="191"/>
        <v>120.64812020176954</v>
      </c>
      <c r="S3052" s="2">
        <f t="shared" si="190"/>
        <v>2.4954897386834163</v>
      </c>
      <c r="T3052" s="2">
        <f t="shared" si="192"/>
        <v>6.0311035345145783</v>
      </c>
      <c r="U3052" s="2">
        <f t="shared" si="193"/>
        <v>129.17471347496755</v>
      </c>
    </row>
    <row r="3053" spans="1:21" x14ac:dyDescent="0.25">
      <c r="A3053">
        <v>4501761</v>
      </c>
      <c r="B3053">
        <v>1</v>
      </c>
      <c r="C3053" s="1">
        <f>0.44728169899482*(10.3/7.3)</f>
        <v>0.63109609584200699</v>
      </c>
      <c r="D3053" s="1">
        <f>0.589711123537034*(10.3/7.3)</f>
        <v>0.83205816060704807</v>
      </c>
      <c r="E3053" s="1">
        <f>2.0631529725562*(10.3/7.3)</f>
        <v>2.9110240571683392</v>
      </c>
      <c r="F3053" s="1">
        <f>4.99208003834926*(38.9/42.5)</f>
        <v>4.5692214939243776</v>
      </c>
      <c r="G3053" s="1">
        <v>0.22628503065900168</v>
      </c>
      <c r="H3053" s="1">
        <v>1.0497143759865371</v>
      </c>
      <c r="I3053" s="1">
        <v>3.7933657496552975</v>
      </c>
      <c r="J3053" s="1">
        <v>4.1422155077965726E-2</v>
      </c>
      <c r="K3053" s="1">
        <v>2.5283425038442138</v>
      </c>
      <c r="L3053" s="1">
        <v>2.0505310182738872</v>
      </c>
      <c r="M3053" s="1">
        <v>0.23205554884208615</v>
      </c>
      <c r="N3053" s="1">
        <v>1.0938176898364238</v>
      </c>
      <c r="O3053" s="1">
        <v>0.55359999999999998</v>
      </c>
      <c r="P3053" s="1">
        <v>0.23484892234051546</v>
      </c>
      <c r="Q3053" s="1">
        <v>0.36164274306233185</v>
      </c>
      <c r="R3053" s="2">
        <f t="shared" si="191"/>
        <v>14.37440770690494</v>
      </c>
      <c r="S3053" s="2">
        <f t="shared" si="190"/>
        <v>2.8046135812626951</v>
      </c>
      <c r="T3053" s="2">
        <f t="shared" si="192"/>
        <v>3.930004256952397</v>
      </c>
      <c r="U3053" s="2">
        <f t="shared" si="193"/>
        <v>21.109025545120033</v>
      </c>
    </row>
    <row r="3054" spans="1:21" x14ac:dyDescent="0.25">
      <c r="A3054">
        <v>4501769</v>
      </c>
      <c r="B3054">
        <v>28</v>
      </c>
      <c r="C3054" s="1">
        <f>0.899598944403715*(10.3/7.3)</f>
        <v>1.2692971407340097</v>
      </c>
      <c r="D3054" s="1">
        <f>1.2285870531131*(10.3/7.3)</f>
        <v>1.7334858420636878</v>
      </c>
      <c r="E3054" s="1">
        <f>4.27587710380722*(10.3/7.3)</f>
        <v>6.0330868724951152</v>
      </c>
      <c r="F3054" s="1">
        <f>11.1632897102665*(38.9/42.5)</f>
        <v>10.21769340539686</v>
      </c>
      <c r="G3054" s="1">
        <v>0.5399924464947029</v>
      </c>
      <c r="H3054" s="1">
        <v>2.0457313628654652</v>
      </c>
      <c r="I3054" s="1">
        <v>8.5206234835087855</v>
      </c>
      <c r="J3054" s="1">
        <v>9.9333399956482049E-2</v>
      </c>
      <c r="K3054" s="1">
        <v>3.9630270851656499</v>
      </c>
      <c r="L3054" s="1">
        <v>3.3735748228247409</v>
      </c>
      <c r="M3054" s="1">
        <v>0.38828653561441667</v>
      </c>
      <c r="N3054" s="1">
        <v>1.8586777756482709</v>
      </c>
      <c r="O3054" s="1">
        <v>1.0547809523809524</v>
      </c>
      <c r="P3054" s="1">
        <v>0.3509757676891106</v>
      </c>
      <c r="Q3054" s="1">
        <v>0.8630016268180194</v>
      </c>
      <c r="R3054" s="2">
        <f t="shared" si="191"/>
        <v>31.222912180376646</v>
      </c>
      <c r="S3054" s="2">
        <f t="shared" si="190"/>
        <v>4.4133362528112423</v>
      </c>
      <c r="T3054" s="2">
        <f t="shared" si="192"/>
        <v>6.6753200864683802</v>
      </c>
      <c r="U3054" s="2">
        <f t="shared" si="193"/>
        <v>42.311568519656269</v>
      </c>
    </row>
    <row r="3055" spans="1:21" x14ac:dyDescent="0.25">
      <c r="A3055">
        <v>4502281</v>
      </c>
      <c r="B3055">
        <v>26</v>
      </c>
      <c r="C3055" s="1">
        <f>17.1818489762854*(10.3/7.3)</f>
        <v>24.242882802156082</v>
      </c>
      <c r="D3055" s="1">
        <f>27.5576404059998*(10.3/7.3)</f>
        <v>38.882698107095678</v>
      </c>
      <c r="E3055" s="1">
        <f>96.924919194483*(10.3/7.3)</f>
        <v>136.75707776755817</v>
      </c>
      <c r="F3055" s="1">
        <f>171.019388951928*(38.9/42.5)</f>
        <v>156.53304071129423</v>
      </c>
      <c r="G3055" s="1">
        <v>5.5653473245985383</v>
      </c>
      <c r="H3055" s="1">
        <v>9.2761159977178309</v>
      </c>
      <c r="I3055" s="1">
        <v>112.8830148265574</v>
      </c>
      <c r="J3055" s="1">
        <v>8.2542063488301898E-2</v>
      </c>
      <c r="K3055" s="1">
        <v>3.5280976396572377</v>
      </c>
      <c r="L3055" s="1">
        <v>6.0021131481269343</v>
      </c>
      <c r="M3055" s="1">
        <v>0.29440020843075637</v>
      </c>
      <c r="N3055" s="1">
        <v>3.113945456822881</v>
      </c>
      <c r="O3055" s="1">
        <v>0.23941333333333339</v>
      </c>
      <c r="P3055" s="1">
        <v>0.15830322126247948</v>
      </c>
      <c r="Q3055" s="1">
        <v>8.8943907014131991</v>
      </c>
      <c r="R3055" s="2">
        <f t="shared" si="191"/>
        <v>493.03456823839116</v>
      </c>
      <c r="S3055" s="2">
        <f t="shared" si="190"/>
        <v>3.768942924408019</v>
      </c>
      <c r="T3055" s="2">
        <f t="shared" si="192"/>
        <v>9.6498721467139053</v>
      </c>
      <c r="U3055" s="2">
        <f t="shared" si="193"/>
        <v>506.45338330951307</v>
      </c>
    </row>
    <row r="3056" spans="1:21" x14ac:dyDescent="0.25">
      <c r="A3056">
        <v>4502289</v>
      </c>
      <c r="B3056">
        <v>59</v>
      </c>
      <c r="C3056" s="1">
        <f>15.531490265351*(10.3/7.3)</f>
        <v>21.914294483988442</v>
      </c>
      <c r="D3056" s="1">
        <f>24.00901039308*(10.3/7.3)</f>
        <v>33.875726992975899</v>
      </c>
      <c r="E3056" s="1">
        <f>84.5095481678664*(10.3/7.3)</f>
        <v>119.23949946972931</v>
      </c>
      <c r="F3056" s="1">
        <f>151.466423625764*(38.9/42.5)</f>
        <v>138.63632656569914</v>
      </c>
      <c r="G3056" s="1">
        <v>5.0091097865353538</v>
      </c>
      <c r="H3056" s="1">
        <v>8.1891670073912159</v>
      </c>
      <c r="I3056" s="1">
        <v>101.81276555123578</v>
      </c>
      <c r="J3056" s="1">
        <v>7.900701558525107E-2</v>
      </c>
      <c r="K3056" s="1">
        <v>3.8140067742305641</v>
      </c>
      <c r="L3056" s="1">
        <v>6.7019080249510399</v>
      </c>
      <c r="M3056" s="1">
        <v>0.3146409912628742</v>
      </c>
      <c r="N3056" s="1">
        <v>3.1942667763887083</v>
      </c>
      <c r="O3056" s="1">
        <v>0.2552614689265536</v>
      </c>
      <c r="P3056" s="1">
        <v>0.16830560570666839</v>
      </c>
      <c r="Q3056" s="1">
        <v>8.0054265994857321</v>
      </c>
      <c r="R3056" s="2">
        <f t="shared" si="191"/>
        <v>436.68231645704094</v>
      </c>
      <c r="S3056" s="2">
        <f t="shared" si="190"/>
        <v>4.0613193955224833</v>
      </c>
      <c r="T3056" s="2">
        <f t="shared" si="192"/>
        <v>10.466077261529176</v>
      </c>
      <c r="U3056" s="2">
        <f t="shared" si="193"/>
        <v>451.20971311409261</v>
      </c>
    </row>
    <row r="3057" spans="1:21" x14ac:dyDescent="0.25">
      <c r="A3057">
        <v>4502297</v>
      </c>
      <c r="B3057">
        <v>11</v>
      </c>
      <c r="C3057" s="1">
        <f>10.9168163399124*(10.3/7.3)</f>
        <v>15.403179219328507</v>
      </c>
      <c r="D3057" s="1">
        <f>17.2749359864806*(10.3/7.3)</f>
        <v>24.374224748047986</v>
      </c>
      <c r="E3057" s="1">
        <f>60.7843735759944*(10.3/7.3)</f>
        <v>85.764253127772903</v>
      </c>
      <c r="F3057" s="1">
        <f>107.4414561258*(38.9/42.5)</f>
        <v>98.340532783379288</v>
      </c>
      <c r="G3057" s="1">
        <v>3.4954740974593665</v>
      </c>
      <c r="H3057" s="1">
        <v>11.762603068691032</v>
      </c>
      <c r="I3057" s="1">
        <v>71.296336819756391</v>
      </c>
      <c r="J3057" s="1">
        <v>6.2210767521966859E-2</v>
      </c>
      <c r="K3057" s="1">
        <v>3.351550791114934</v>
      </c>
      <c r="L3057" s="1">
        <v>5.4992566540510532</v>
      </c>
      <c r="M3057" s="1">
        <v>0.26526151226850631</v>
      </c>
      <c r="N3057" s="1">
        <v>2.6842019845632694</v>
      </c>
      <c r="O3057" s="1">
        <v>0.21904000000000001</v>
      </c>
      <c r="P3057" s="1">
        <v>0.14957429282636445</v>
      </c>
      <c r="Q3057" s="1">
        <v>5.5863741283597239</v>
      </c>
      <c r="R3057" s="2">
        <f t="shared" si="191"/>
        <v>316.02297799279523</v>
      </c>
      <c r="S3057" s="2">
        <f t="shared" si="190"/>
        <v>3.5633358514632651</v>
      </c>
      <c r="T3057" s="2">
        <f t="shared" si="192"/>
        <v>8.6677601508828293</v>
      </c>
      <c r="U3057" s="2">
        <f t="shared" si="193"/>
        <v>328.25407399514131</v>
      </c>
    </row>
    <row r="3058" spans="1:21" x14ac:dyDescent="0.25">
      <c r="A3058">
        <v>4502305</v>
      </c>
      <c r="B3058">
        <v>64</v>
      </c>
      <c r="C3058" s="1">
        <f>9.48326568593161*(10.3/7.3)</f>
        <v>13.380498159602142</v>
      </c>
      <c r="D3058" s="1">
        <f>19.6350513609873*(10.3/7.3)</f>
        <v>27.704250550434168</v>
      </c>
      <c r="E3058" s="1">
        <f>68.7708501827514*(10.3/7.3)</f>
        <v>97.032843408539634</v>
      </c>
      <c r="F3058" s="1">
        <f>108.096074633068*(38.9/42.5)</f>
        <v>98.939701252384481</v>
      </c>
      <c r="G3058" s="1">
        <v>3.0373018380691374</v>
      </c>
      <c r="H3058" s="1">
        <v>7.500419159299005</v>
      </c>
      <c r="I3058" s="1">
        <v>61.942807273785583</v>
      </c>
      <c r="J3058" s="1">
        <v>5.8744106215987843E-2</v>
      </c>
      <c r="K3058" s="1">
        <v>3.2949407192713251</v>
      </c>
      <c r="L3058" s="1">
        <v>5.3487612399672191</v>
      </c>
      <c r="M3058" s="1">
        <v>0.25604340929616698</v>
      </c>
      <c r="N3058" s="1">
        <v>2.8577872453155537</v>
      </c>
      <c r="O3058" s="1">
        <v>0.2136208333333334</v>
      </c>
      <c r="P3058" s="1">
        <v>0.14683427861531534</v>
      </c>
      <c r="Q3058" s="1">
        <v>4.8541353576447461</v>
      </c>
      <c r="R3058" s="2">
        <f t="shared" si="191"/>
        <v>314.39195699975892</v>
      </c>
      <c r="S3058" s="2">
        <f t="shared" si="190"/>
        <v>3.5005191041026285</v>
      </c>
      <c r="T3058" s="2">
        <f t="shared" si="192"/>
        <v>8.6762127279122723</v>
      </c>
      <c r="U3058" s="2">
        <f t="shared" si="193"/>
        <v>326.56868883177384</v>
      </c>
    </row>
    <row r="3059" spans="1:21" x14ac:dyDescent="0.25">
      <c r="A3059">
        <v>4502313</v>
      </c>
      <c r="B3059">
        <v>66</v>
      </c>
      <c r="C3059" s="1">
        <f>11.9440471179002*(10.3/7.3)</f>
        <v>16.852559632105795</v>
      </c>
      <c r="D3059" s="1">
        <f>18.4797264066744*(10.3/7.3)</f>
        <v>26.074134519006353</v>
      </c>
      <c r="E3059" s="1">
        <f>65.0577011713098*(10.3/7.3)</f>
        <v>91.793742748560476</v>
      </c>
      <c r="F3059" s="1">
        <f>115.957368054379*(38.9/42.5)</f>
        <v>106.13509687800777</v>
      </c>
      <c r="G3059" s="1">
        <v>3.8026465082171459</v>
      </c>
      <c r="H3059" s="1">
        <v>6.8531461893497783</v>
      </c>
      <c r="I3059" s="1">
        <v>77.776797295415633</v>
      </c>
      <c r="J3059" s="1">
        <v>6.8831322620615823E-2</v>
      </c>
      <c r="K3059" s="1">
        <v>3.8014129272040083</v>
      </c>
      <c r="L3059" s="1">
        <v>6.7009811415739335</v>
      </c>
      <c r="M3059" s="1">
        <v>0.29977391778763218</v>
      </c>
      <c r="N3059" s="1">
        <v>3.3708827425068648</v>
      </c>
      <c r="O3059" s="1">
        <v>0.24466666666666662</v>
      </c>
      <c r="P3059" s="1">
        <v>0.16303256987071818</v>
      </c>
      <c r="Q3059" s="1">
        <v>6.0772889400730694</v>
      </c>
      <c r="R3059" s="2">
        <f t="shared" si="191"/>
        <v>335.36541271073605</v>
      </c>
      <c r="S3059" s="2">
        <f t="shared" si="190"/>
        <v>4.0332768196953426</v>
      </c>
      <c r="T3059" s="2">
        <f t="shared" si="192"/>
        <v>10.616304468535098</v>
      </c>
      <c r="U3059" s="2">
        <f t="shared" si="193"/>
        <v>350.01499399896647</v>
      </c>
    </row>
    <row r="3060" spans="1:21" x14ac:dyDescent="0.25">
      <c r="A3060">
        <v>4502321</v>
      </c>
      <c r="B3060">
        <v>67</v>
      </c>
      <c r="C3060" s="1">
        <f>11.5967118029414*(10.3/7.3)</f>
        <v>16.36248377675297</v>
      </c>
      <c r="D3060" s="1">
        <f>17.4165794177795*(10.3/7.3)</f>
        <v>24.574077808647846</v>
      </c>
      <c r="E3060" s="1">
        <f>61.3552446158094*(10.3/7.3)</f>
        <v>86.569728704498161</v>
      </c>
      <c r="F3060" s="1">
        <f>110.750394028869*(38.9/42.5)</f>
        <v>101.36918418171813</v>
      </c>
      <c r="G3060" s="1">
        <v>3.6783908623489991</v>
      </c>
      <c r="H3060" s="1">
        <v>6.5836080237396111</v>
      </c>
      <c r="I3060" s="1">
        <v>75.371456149511758</v>
      </c>
      <c r="J3060" s="1">
        <v>6.8904942493673571E-2</v>
      </c>
      <c r="K3060" s="1">
        <v>3.8692668346712145</v>
      </c>
      <c r="L3060" s="1">
        <v>6.8449100650870713</v>
      </c>
      <c r="M3060" s="1">
        <v>0.29879680847979989</v>
      </c>
      <c r="N3060" s="1">
        <v>3.0720511363317855</v>
      </c>
      <c r="O3060" s="1">
        <v>0.24456358208955231</v>
      </c>
      <c r="P3060" s="1">
        <v>0.16422515378318825</v>
      </c>
      <c r="Q3060" s="1">
        <v>5.8787068576353922</v>
      </c>
      <c r="R3060" s="2">
        <f t="shared" si="191"/>
        <v>320.38763636485288</v>
      </c>
      <c r="S3060" s="2">
        <f t="shared" si="190"/>
        <v>4.1023969309480766</v>
      </c>
      <c r="T3060" s="2">
        <f t="shared" si="192"/>
        <v>10.46032159198821</v>
      </c>
      <c r="U3060" s="2">
        <f t="shared" si="193"/>
        <v>334.95035488778916</v>
      </c>
    </row>
    <row r="3061" spans="1:21" x14ac:dyDescent="0.25">
      <c r="A3061">
        <v>4502329</v>
      </c>
      <c r="B3061">
        <v>67</v>
      </c>
      <c r="C3061" s="1">
        <f>9.87145436773619*(10.3/7.3)</f>
        <v>13.928216436668871</v>
      </c>
      <c r="D3061" s="1">
        <f>14.590040795082*(10.3/7.3)</f>
        <v>20.585947971143071</v>
      </c>
      <c r="E3061" s="1">
        <f>51.4096831354646*(10.3/7.3)</f>
        <v>72.536950177436381</v>
      </c>
      <c r="F3061" s="1">
        <f>93.7829583974019*(38.9/42.5)</f>
        <v>85.838990156680765</v>
      </c>
      <c r="G3061" s="1">
        <v>3.1534623739254393</v>
      </c>
      <c r="H3061" s="1">
        <v>6.0435973470231463</v>
      </c>
      <c r="I3061" s="1">
        <v>64.392608350293457</v>
      </c>
      <c r="J3061" s="1">
        <v>6.1943935064257188E-2</v>
      </c>
      <c r="K3061" s="1">
        <v>3.598003845691478</v>
      </c>
      <c r="L3061" s="1">
        <v>6.1873271667382612</v>
      </c>
      <c r="M3061" s="1">
        <v>0.27274749985474789</v>
      </c>
      <c r="N3061" s="1">
        <v>2.811318847434868</v>
      </c>
      <c r="O3061" s="1">
        <v>0.22429532338308453</v>
      </c>
      <c r="P3061" s="1">
        <v>0.15332923996306067</v>
      </c>
      <c r="Q3061" s="1">
        <v>5.0397800496525322</v>
      </c>
      <c r="R3061" s="2">
        <f t="shared" si="191"/>
        <v>271.51955286282362</v>
      </c>
      <c r="S3061" s="2">
        <f t="shared" si="190"/>
        <v>3.8132770207187958</v>
      </c>
      <c r="T3061" s="2">
        <f t="shared" si="192"/>
        <v>9.4956888374109631</v>
      </c>
      <c r="U3061" s="2">
        <f t="shared" si="193"/>
        <v>284.82851872095335</v>
      </c>
    </row>
    <row r="3062" spans="1:21" x14ac:dyDescent="0.25">
      <c r="A3062">
        <v>4502337</v>
      </c>
      <c r="B3062">
        <v>68</v>
      </c>
      <c r="C3062" s="1">
        <f>8.73752651086276*(10.3/7.3)</f>
        <v>12.328290830395398</v>
      </c>
      <c r="D3062" s="1">
        <f>12.7630395215298*(10.3/7.3)</f>
        <v>18.008124256405075</v>
      </c>
      <c r="E3062" s="1">
        <f>44.9750643113779*(10.3/7.3)</f>
        <v>63.457967453040077</v>
      </c>
      <c r="F3062" s="1">
        <f>82.9208215021647*(38.9/42.5)</f>
        <v>75.896940151393139</v>
      </c>
      <c r="G3062" s="1">
        <v>2.8249337896434303</v>
      </c>
      <c r="H3062" s="1">
        <v>5.786025640437793</v>
      </c>
      <c r="I3062" s="1">
        <v>57.349799984669822</v>
      </c>
      <c r="J3062" s="1">
        <v>5.7688851081593856E-2</v>
      </c>
      <c r="K3062" s="1">
        <v>3.4618799505993896</v>
      </c>
      <c r="L3062" s="1">
        <v>5.7552161554611434</v>
      </c>
      <c r="M3062" s="1">
        <v>0.25562212367850734</v>
      </c>
      <c r="N3062" s="1">
        <v>2.8250627785494045</v>
      </c>
      <c r="O3062" s="1">
        <v>0.21376000000000001</v>
      </c>
      <c r="P3062" s="1">
        <v>0.14746316223976935</v>
      </c>
      <c r="Q3062" s="1">
        <v>4.5147343670100533</v>
      </c>
      <c r="R3062" s="2">
        <f t="shared" si="191"/>
        <v>240.16681647299478</v>
      </c>
      <c r="S3062" s="2">
        <f t="shared" si="190"/>
        <v>3.6670319639207527</v>
      </c>
      <c r="T3062" s="2">
        <f t="shared" si="192"/>
        <v>9.0496610576890557</v>
      </c>
      <c r="U3062" s="2">
        <f t="shared" si="193"/>
        <v>252.8835094946046</v>
      </c>
    </row>
    <row r="3063" spans="1:21" x14ac:dyDescent="0.25">
      <c r="A3063">
        <v>4502345</v>
      </c>
      <c r="B3063">
        <v>68</v>
      </c>
      <c r="C3063" s="1">
        <f>9.12556816083404*(10.3/7.3)</f>
        <v>12.875801651587759</v>
      </c>
      <c r="D3063" s="1">
        <f>13.1680286180261*(10.3/7.3)</f>
        <v>18.579547228173819</v>
      </c>
      <c r="E3063" s="1">
        <f>46.405946850697*(10.3/7.3)</f>
        <v>65.476883912627216</v>
      </c>
      <c r="F3063" s="1">
        <f>86.4845978836442*(38.9/42.5)</f>
        <v>79.158843709970853</v>
      </c>
      <c r="G3063" s="1">
        <v>2.984519235776609</v>
      </c>
      <c r="H3063" s="1">
        <v>6.0944193745217419</v>
      </c>
      <c r="I3063" s="1">
        <v>60.25509669584121</v>
      </c>
      <c r="J3063" s="1">
        <v>6.2904247699657301E-2</v>
      </c>
      <c r="K3063" s="1">
        <v>3.7131665902211859</v>
      </c>
      <c r="L3063" s="1">
        <v>6.3659605233773124</v>
      </c>
      <c r="M3063" s="1">
        <v>0.27304585019525829</v>
      </c>
      <c r="N3063" s="1">
        <v>2.9096155497084473</v>
      </c>
      <c r="O3063" s="1">
        <v>0.22654666666666667</v>
      </c>
      <c r="P3063" s="1">
        <v>0.15434712402451131</v>
      </c>
      <c r="Q3063" s="1">
        <v>4.7697796005562285</v>
      </c>
      <c r="R3063" s="2">
        <f t="shared" si="191"/>
        <v>250.19489140905546</v>
      </c>
      <c r="S3063" s="2">
        <f t="shared" si="190"/>
        <v>3.9304179619453543</v>
      </c>
      <c r="T3063" s="2">
        <f t="shared" si="192"/>
        <v>9.7751685899476861</v>
      </c>
      <c r="U3063" s="2">
        <f t="shared" si="193"/>
        <v>263.90047796094848</v>
      </c>
    </row>
    <row r="3064" spans="1:21" x14ac:dyDescent="0.25">
      <c r="A3064">
        <v>4502353</v>
      </c>
      <c r="B3064">
        <v>68</v>
      </c>
      <c r="C3064" s="1">
        <f>6.50680538859993*(10.3/7.3)</f>
        <v>9.1808350003533281</v>
      </c>
      <c r="D3064" s="1">
        <f>9.26558807713419*(10.3/7.3)</f>
        <v>13.073363999244135</v>
      </c>
      <c r="E3064" s="1">
        <f>32.6611346994013*(10.3/7.3)</f>
        <v>46.083518822442997</v>
      </c>
      <c r="F3064" s="1">
        <f>61.3321431069151*(38.9/42.5)</f>
        <v>56.136949808447028</v>
      </c>
      <c r="G3064" s="1">
        <v>2.133212771941984</v>
      </c>
      <c r="H3064" s="1">
        <v>5.0806916772602033</v>
      </c>
      <c r="I3064" s="1">
        <v>43.017887146020016</v>
      </c>
      <c r="J3064" s="1">
        <v>4.8585931021255413E-2</v>
      </c>
      <c r="K3064" s="1">
        <v>3.059186716741372</v>
      </c>
      <c r="L3064" s="1">
        <v>4.9190522143723703</v>
      </c>
      <c r="M3064" s="1">
        <v>0.21868374361641038</v>
      </c>
      <c r="N3064" s="1">
        <v>2.3346577878734789</v>
      </c>
      <c r="O3064" s="1">
        <v>0.18375843137254899</v>
      </c>
      <c r="P3064" s="1">
        <v>0.13075966723566987</v>
      </c>
      <c r="Q3064" s="1">
        <v>3.4092441560716691</v>
      </c>
      <c r="R3064" s="2">
        <f t="shared" si="191"/>
        <v>178.11570338178137</v>
      </c>
      <c r="S3064" s="2">
        <f t="shared" si="190"/>
        <v>3.238532314998297</v>
      </c>
      <c r="T3064" s="2">
        <f t="shared" si="192"/>
        <v>7.6561521772348087</v>
      </c>
      <c r="U3064" s="2">
        <f t="shared" si="193"/>
        <v>189.0103878740145</v>
      </c>
    </row>
    <row r="3065" spans="1:21" x14ac:dyDescent="0.25">
      <c r="A3065">
        <v>4502361</v>
      </c>
      <c r="B3065">
        <v>68</v>
      </c>
      <c r="C3065" s="1">
        <f>4.60314041201403*(10.3/7.3)</f>
        <v>6.4948419511978805</v>
      </c>
      <c r="D3065" s="1">
        <f>6.47862827340482*(10.3/7.3)</f>
        <v>9.1410782487766671</v>
      </c>
      <c r="E3065" s="1">
        <f>22.8418873367434*(10.3/7.3)</f>
        <v>32.228964324446167</v>
      </c>
      <c r="F3065" s="1">
        <f>43.1915210262322*(38.9/42.5)</f>
        <v>39.532945127539612</v>
      </c>
      <c r="G3065" s="1">
        <v>1.513048012715323</v>
      </c>
      <c r="H3065" s="1">
        <v>4.1959924011787493</v>
      </c>
      <c r="I3065" s="1">
        <v>30.473710044388689</v>
      </c>
      <c r="J3065" s="1">
        <v>3.8991298525521634E-2</v>
      </c>
      <c r="K3065" s="1">
        <v>2.6298757511820376</v>
      </c>
      <c r="L3065" s="1">
        <v>3.9495620958466029</v>
      </c>
      <c r="M3065" s="1">
        <v>0.17947251568750341</v>
      </c>
      <c r="N3065" s="1">
        <v>1.9877900389009844</v>
      </c>
      <c r="O3065" s="1">
        <v>0.1555333333333333</v>
      </c>
      <c r="P3065" s="1">
        <v>0.11657720772260853</v>
      </c>
      <c r="Q3065" s="1">
        <v>2.4181132623304271</v>
      </c>
      <c r="R3065" s="2">
        <f t="shared" si="191"/>
        <v>125.99869337257351</v>
      </c>
      <c r="S3065" s="2">
        <f t="shared" si="190"/>
        <v>2.7854442574301679</v>
      </c>
      <c r="T3065" s="2">
        <f t="shared" si="192"/>
        <v>6.2723579837684236</v>
      </c>
      <c r="U3065" s="2">
        <f t="shared" si="193"/>
        <v>135.05649561377209</v>
      </c>
    </row>
    <row r="3066" spans="1:21" x14ac:dyDescent="0.25">
      <c r="A3066">
        <v>4502369</v>
      </c>
      <c r="B3066">
        <v>70</v>
      </c>
      <c r="C3066" s="1">
        <f>4.0095012007897*(10.3/7.3)</f>
        <v>5.6572414202923111</v>
      </c>
      <c r="D3066" s="1">
        <f>5.57359232976428*(10.3/7.3)</f>
        <v>7.8641097255578183</v>
      </c>
      <c r="E3066" s="1">
        <f>19.6549866920565*(10.3/7.3)</f>
        <v>27.732378483312548</v>
      </c>
      <c r="F3066" s="1">
        <f>37.460558118277*(38.9/42.5)</f>
        <v>34.287428489434689</v>
      </c>
      <c r="G3066" s="1">
        <v>1.3231458850895483</v>
      </c>
      <c r="H3066" s="1">
        <v>3.8092035275799461</v>
      </c>
      <c r="I3066" s="1">
        <v>26.598578361732159</v>
      </c>
      <c r="J3066" s="1">
        <v>3.6087114376818531E-2</v>
      </c>
      <c r="K3066" s="1">
        <v>2.4632845592146198</v>
      </c>
      <c r="L3066" s="1">
        <v>3.6545983105309583</v>
      </c>
      <c r="M3066" s="1">
        <v>0.16615418703100435</v>
      </c>
      <c r="N3066" s="1">
        <v>1.8674818157705155</v>
      </c>
      <c r="O3066" s="1">
        <v>0.14259657142857143</v>
      </c>
      <c r="P3066" s="1">
        <v>0.10955946995744822</v>
      </c>
      <c r="Q3066" s="1">
        <v>2.1146167113303309</v>
      </c>
      <c r="R3066" s="2">
        <f t="shared" si="191"/>
        <v>109.38670260432936</v>
      </c>
      <c r="S3066" s="2">
        <f t="shared" si="190"/>
        <v>2.6089311435488862</v>
      </c>
      <c r="T3066" s="2">
        <f t="shared" si="192"/>
        <v>5.830830884761049</v>
      </c>
      <c r="U3066" s="2">
        <f t="shared" si="193"/>
        <v>117.8264646326393</v>
      </c>
    </row>
    <row r="3067" spans="1:21" x14ac:dyDescent="0.25">
      <c r="A3067">
        <v>4502377</v>
      </c>
      <c r="B3067">
        <v>69</v>
      </c>
      <c r="C3067" s="1">
        <f>8.72663120962703*(10.3/7.3)</f>
        <v>12.312918008103892</v>
      </c>
      <c r="D3067" s="1">
        <f>11.9120789879749*(10.3/7.3)</f>
        <v>16.80745391453997</v>
      </c>
      <c r="E3067" s="1">
        <f>42.0027567438473*(10.3/7.3)</f>
        <v>59.264163624880503</v>
      </c>
      <c r="F3067" s="1">
        <f>81.8676752337536*(38.9/42.5)</f>
        <v>74.933001566894475</v>
      </c>
      <c r="G3067" s="1">
        <v>2.9685711188046211</v>
      </c>
      <c r="H3067" s="1">
        <v>6.583467789346658</v>
      </c>
      <c r="I3067" s="1">
        <v>58.823466260411351</v>
      </c>
      <c r="J3067" s="1">
        <v>6.5655645196799464E-2</v>
      </c>
      <c r="K3067" s="1">
        <v>3.8655178196823616</v>
      </c>
      <c r="L3067" s="1">
        <v>6.645436604130424</v>
      </c>
      <c r="M3067" s="1">
        <v>0.26659661487005554</v>
      </c>
      <c r="N3067" s="1">
        <v>3.1003176816173967</v>
      </c>
      <c r="O3067" s="1">
        <v>0.22170975845410618</v>
      </c>
      <c r="P3067" s="1">
        <v>0.1517935979173255</v>
      </c>
      <c r="Q3067" s="1">
        <v>4.7442917423818187</v>
      </c>
      <c r="R3067" s="2">
        <f t="shared" si="191"/>
        <v>236.43733402536327</v>
      </c>
      <c r="S3067" s="2">
        <f t="shared" si="190"/>
        <v>4.0829670627964862</v>
      </c>
      <c r="T3067" s="2">
        <f t="shared" si="192"/>
        <v>10.23406065907198</v>
      </c>
      <c r="U3067" s="2">
        <f t="shared" si="193"/>
        <v>250.75436174723174</v>
      </c>
    </row>
    <row r="3068" spans="1:21" x14ac:dyDescent="0.25">
      <c r="A3068">
        <v>4502385</v>
      </c>
      <c r="B3068">
        <v>69</v>
      </c>
      <c r="C3068" s="1">
        <f>7.35852771512134*(10.3/7.3)</f>
        <v>10.382580200787645</v>
      </c>
      <c r="D3068" s="1">
        <f>9.9130522359849*(10.3/7.3)</f>
        <v>13.986909319266374</v>
      </c>
      <c r="E3068" s="1">
        <f>34.9586351638101*(10.3/7.3)</f>
        <v>49.325197559896473</v>
      </c>
      <c r="F3068" s="1">
        <f>68.8769263507372*(38.9/42.5)</f>
        <v>63.042645530439444</v>
      </c>
      <c r="G3068" s="1">
        <v>2.5258006621018474</v>
      </c>
      <c r="H3068" s="1">
        <v>5.9580936038893588</v>
      </c>
      <c r="I3068" s="1">
        <v>49.839048505469272</v>
      </c>
      <c r="J3068" s="1">
        <v>5.7556660634108761E-2</v>
      </c>
      <c r="K3068" s="1">
        <v>3.5071159448389824</v>
      </c>
      <c r="L3068" s="1">
        <v>5.7170035774965582</v>
      </c>
      <c r="M3068" s="1">
        <v>0.23647129441322681</v>
      </c>
      <c r="N3068" s="1">
        <v>2.8003000781042182</v>
      </c>
      <c r="O3068" s="1">
        <v>0.19890473429951694</v>
      </c>
      <c r="P3068" s="1">
        <v>0.13846630974080476</v>
      </c>
      <c r="Q3068" s="1">
        <v>4.03666772482031</v>
      </c>
      <c r="R3068" s="2">
        <f t="shared" si="191"/>
        <v>199.09694310667072</v>
      </c>
      <c r="S3068" s="2">
        <f t="shared" si="190"/>
        <v>3.7031389152138958</v>
      </c>
      <c r="T3068" s="2">
        <f t="shared" si="192"/>
        <v>8.9526796843135195</v>
      </c>
      <c r="U3068" s="2">
        <f t="shared" si="193"/>
        <v>211.75276170619813</v>
      </c>
    </row>
    <row r="3069" spans="1:21" x14ac:dyDescent="0.25">
      <c r="A3069">
        <v>4502393</v>
      </c>
      <c r="B3069">
        <v>68</v>
      </c>
      <c r="C3069" s="1">
        <f>5.40847473082386*(10.3/7.3)</f>
        <v>7.6311355791076387</v>
      </c>
      <c r="D3069" s="1">
        <f>7.20294048396703*(10.3/7.3)</f>
        <v>10.163053011624713</v>
      </c>
      <c r="E3069" s="1">
        <f>25.4138821859512*(10.3/7.3)</f>
        <v>35.857943358259881</v>
      </c>
      <c r="F3069" s="1">
        <f>50.0603284397537*(38.9/42.5)</f>
        <v>45.819924148386328</v>
      </c>
      <c r="G3069" s="1">
        <v>1.8307514888762439</v>
      </c>
      <c r="H3069" s="1">
        <v>4.6622137790875007</v>
      </c>
      <c r="I3069" s="1">
        <v>36.361587971008618</v>
      </c>
      <c r="J3069" s="1">
        <v>4.5978981512886714E-2</v>
      </c>
      <c r="K3069" s="1">
        <v>2.9499530889361951</v>
      </c>
      <c r="L3069" s="1">
        <v>4.5829096574814283</v>
      </c>
      <c r="M3069" s="1">
        <v>0.19350295506121631</v>
      </c>
      <c r="N3069" s="1">
        <v>2.5325114372360069</v>
      </c>
      <c r="O3069" s="1">
        <v>0.16323137254901959</v>
      </c>
      <c r="P3069" s="1">
        <v>0.11963170453409259</v>
      </c>
      <c r="Q3069" s="1">
        <v>2.9258585438661453</v>
      </c>
      <c r="R3069" s="2">
        <f t="shared" si="191"/>
        <v>145.25246788021707</v>
      </c>
      <c r="S3069" s="2">
        <f t="shared" si="190"/>
        <v>3.1155637749831744</v>
      </c>
      <c r="T3069" s="2">
        <f t="shared" si="192"/>
        <v>7.4721554223276714</v>
      </c>
      <c r="U3069" s="2">
        <f t="shared" si="193"/>
        <v>155.8401870775279</v>
      </c>
    </row>
    <row r="3070" spans="1:21" x14ac:dyDescent="0.25">
      <c r="A3070">
        <v>4502401</v>
      </c>
      <c r="B3070">
        <v>49</v>
      </c>
      <c r="C3070" s="1">
        <f>7.28581383824336*(10.3/7.3)</f>
        <v>10.279983908754328</v>
      </c>
      <c r="D3070" s="1">
        <f>9.51973565565157*(10.3/7.3)</f>
        <v>13.431955788111122</v>
      </c>
      <c r="E3070" s="1">
        <f>33.5964760324693*(10.3/7.3)</f>
        <v>47.403247004716896</v>
      </c>
      <c r="F3070" s="1">
        <f>67.1443715772046*(38.9/42.5)</f>
        <v>61.45684833772372</v>
      </c>
      <c r="G3070" s="1">
        <v>2.4913447371574273</v>
      </c>
      <c r="H3070" s="1">
        <v>5.6841219395461042</v>
      </c>
      <c r="I3070" s="1">
        <v>49.246841223182948</v>
      </c>
      <c r="J3070" s="1">
        <v>5.7762472959028519E-2</v>
      </c>
      <c r="K3070" s="1">
        <v>3.5425428794498179</v>
      </c>
      <c r="L3070" s="1">
        <v>5.7198708676900107</v>
      </c>
      <c r="M3070" s="1">
        <v>0.22998947149414176</v>
      </c>
      <c r="N3070" s="1">
        <v>3.1582851389403004</v>
      </c>
      <c r="O3070" s="1">
        <v>0.19242448979591839</v>
      </c>
      <c r="P3070" s="1">
        <v>0.13455515928189868</v>
      </c>
      <c r="Q3070" s="1">
        <v>3.9816011781054836</v>
      </c>
      <c r="R3070" s="2">
        <f t="shared" si="191"/>
        <v>193.97594411729801</v>
      </c>
      <c r="S3070" s="2">
        <f t="shared" si="190"/>
        <v>3.7348605116907452</v>
      </c>
      <c r="T3070" s="2">
        <f t="shared" si="192"/>
        <v>9.3005699679203708</v>
      </c>
      <c r="U3070" s="2">
        <f t="shared" si="193"/>
        <v>207.01137459690915</v>
      </c>
    </row>
    <row r="3071" spans="1:21" x14ac:dyDescent="0.25">
      <c r="A3071">
        <v>4502409</v>
      </c>
      <c r="B3071">
        <v>68</v>
      </c>
      <c r="C3071" s="1">
        <f>6.52536695824157*(10.3/7.3)</f>
        <v>9.2070246123134538</v>
      </c>
      <c r="D3071" s="1">
        <f>8.43356728348281*(10.3/7.3)</f>
        <v>11.899416852037387</v>
      </c>
      <c r="E3071" s="1">
        <f>29.7690288821432*(10.3/7.3)</f>
        <v>42.00287636795553</v>
      </c>
      <c r="F3071" s="1">
        <f>59.9155175173767*(38.9/42.5)</f>
        <v>54.840320739434176</v>
      </c>
      <c r="G3071" s="1">
        <v>2.23769911011619</v>
      </c>
      <c r="H3071" s="1">
        <v>5.2130050869580833</v>
      </c>
      <c r="I3071" s="1">
        <v>44.173812705910954</v>
      </c>
      <c r="J3071" s="1">
        <v>5.3054523778048375E-2</v>
      </c>
      <c r="K3071" s="1">
        <v>3.345663377331773</v>
      </c>
      <c r="L3071" s="1">
        <v>5.2144405273396446</v>
      </c>
      <c r="M3071" s="1">
        <v>0.21039680685426554</v>
      </c>
      <c r="N3071" s="1">
        <v>2.5950266130016657</v>
      </c>
      <c r="O3071" s="1">
        <v>0.17574117647058818</v>
      </c>
      <c r="P3071" s="1">
        <v>0.12597413476266575</v>
      </c>
      <c r="Q3071" s="1">
        <v>3.5762314545235934</v>
      </c>
      <c r="R3071" s="2">
        <f t="shared" si="191"/>
        <v>173.15038692924938</v>
      </c>
      <c r="S3071" s="2">
        <f t="shared" si="190"/>
        <v>3.5246920358724871</v>
      </c>
      <c r="T3071" s="2">
        <f t="shared" si="192"/>
        <v>8.195605123666164</v>
      </c>
      <c r="U3071" s="2">
        <f t="shared" si="193"/>
        <v>184.87068408878801</v>
      </c>
    </row>
    <row r="3072" spans="1:21" x14ac:dyDescent="0.25">
      <c r="A3072">
        <v>4502417</v>
      </c>
      <c r="B3072">
        <v>68</v>
      </c>
      <c r="C3072" s="1">
        <f>4.36431175876756*(10.3/7.3)</f>
        <v>6.1578645363432631</v>
      </c>
      <c r="D3072" s="1">
        <f>5.63243666531213*(10.3/7.3)</f>
        <v>7.9471366647554671</v>
      </c>
      <c r="E3072" s="1">
        <f>19.8825436389879*(10.3/7.3)</f>
        <v>28.05345198377745</v>
      </c>
      <c r="F3072" s="1">
        <f>40.0289525319291*(38.9/42.5)</f>
        <v>36.638264788048069</v>
      </c>
      <c r="G3072" s="1">
        <v>1.4950761100906746</v>
      </c>
      <c r="H3072" s="1">
        <v>3.9468766553858026</v>
      </c>
      <c r="I3072" s="1">
        <v>29.528190584502791</v>
      </c>
      <c r="J3072" s="1">
        <v>3.9832326470224409E-2</v>
      </c>
      <c r="K3072" s="1">
        <v>2.7649596464785273</v>
      </c>
      <c r="L3072" s="1">
        <v>3.9017177147663564</v>
      </c>
      <c r="M3072" s="1">
        <v>0.16520221578357977</v>
      </c>
      <c r="N3072" s="1">
        <v>1.9533719381641557</v>
      </c>
      <c r="O3072" s="1">
        <v>0.13964549019607847</v>
      </c>
      <c r="P3072" s="1">
        <v>0.10623763138103968</v>
      </c>
      <c r="Q3072" s="1">
        <v>2.3893910435239119</v>
      </c>
      <c r="R3072" s="2">
        <f t="shared" si="191"/>
        <v>116.15625236642745</v>
      </c>
      <c r="S3072" s="2">
        <f t="shared" si="190"/>
        <v>2.9110296043297912</v>
      </c>
      <c r="T3072" s="2">
        <f t="shared" si="192"/>
        <v>6.1599373589101702</v>
      </c>
      <c r="U3072" s="2">
        <f t="shared" si="193"/>
        <v>125.22721932966742</v>
      </c>
    </row>
    <row r="3073" spans="1:21" x14ac:dyDescent="0.25">
      <c r="A3073">
        <v>4502425</v>
      </c>
      <c r="B3073">
        <v>66</v>
      </c>
      <c r="C3073" s="1">
        <f>8.62132789360183*(10.3/7.3)</f>
        <v>12.164339356725868</v>
      </c>
      <c r="D3073" s="1">
        <f>10.830685711344*(10.3/7.3)</f>
        <v>15.281652442033325</v>
      </c>
      <c r="E3073" s="1">
        <f>38.2226878754805*(10.3/7.3)</f>
        <v>53.930641796910791</v>
      </c>
      <c r="F3073" s="1">
        <f>79.7488874910757*(38.9/42.5)</f>
        <v>72.993687609478727</v>
      </c>
      <c r="G3073" s="1">
        <v>3.0924515393701295</v>
      </c>
      <c r="H3073" s="1">
        <v>6.2663749388892303</v>
      </c>
      <c r="I3073" s="1">
        <v>59.79051924727812</v>
      </c>
      <c r="J3073" s="1">
        <v>6.6350977151623677E-2</v>
      </c>
      <c r="K3073" s="1">
        <v>4.1850341545167868</v>
      </c>
      <c r="L3073" s="1">
        <v>6.4201136869720399</v>
      </c>
      <c r="M3073" s="1">
        <v>0.24038014624907733</v>
      </c>
      <c r="N3073" s="1">
        <v>2.9176633127512699</v>
      </c>
      <c r="O3073" s="1">
        <v>0.19943919191919193</v>
      </c>
      <c r="P3073" s="1">
        <v>0.13883807717904248</v>
      </c>
      <c r="Q3073" s="1">
        <v>4.9422741496782976</v>
      </c>
      <c r="R3073" s="2">
        <f t="shared" si="191"/>
        <v>228.46194108036451</v>
      </c>
      <c r="S3073" s="2">
        <f t="shared" si="190"/>
        <v>4.3902232088474529</v>
      </c>
      <c r="T3073" s="2">
        <f t="shared" si="192"/>
        <v>9.7775963378915787</v>
      </c>
      <c r="U3073" s="2">
        <f t="shared" si="193"/>
        <v>242.62976062710354</v>
      </c>
    </row>
    <row r="3074" spans="1:21" x14ac:dyDescent="0.25">
      <c r="A3074">
        <v>4502433</v>
      </c>
      <c r="B3074">
        <v>66</v>
      </c>
      <c r="C3074" s="1">
        <f>8.48741736038864*(10.3/7.3)</f>
        <v>11.975397097534659</v>
      </c>
      <c r="D3074" s="1">
        <f>10.5492081724519*(10.3/7.3)</f>
        <v>14.884499202226682</v>
      </c>
      <c r="E3074" s="1">
        <f>37.2013424363435*(10.3/7.3)</f>
        <v>52.489565355388727</v>
      </c>
      <c r="F3074" s="1">
        <f>79.9397381134368*(38.9/42.5)</f>
        <v>73.168372061475097</v>
      </c>
      <c r="G3074" s="1">
        <v>3.1983321380081513</v>
      </c>
      <c r="H3074" s="1">
        <v>6.2996095322234957</v>
      </c>
      <c r="I3074" s="1">
        <v>60.477921847685565</v>
      </c>
      <c r="J3074" s="1">
        <v>6.5384298186570086E-2</v>
      </c>
      <c r="K3074" s="1">
        <v>4.2304843985763565</v>
      </c>
      <c r="L3074" s="1">
        <v>6.238222683574552</v>
      </c>
      <c r="M3074" s="1">
        <v>0.23234878033892994</v>
      </c>
      <c r="N3074" s="1">
        <v>2.8018691009453058</v>
      </c>
      <c r="O3074" s="1">
        <v>0.19314909090909094</v>
      </c>
      <c r="P3074" s="1">
        <v>0.13517342446019151</v>
      </c>
      <c r="Q3074" s="1">
        <v>5.1114897182778734</v>
      </c>
      <c r="R3074" s="2">
        <f t="shared" si="191"/>
        <v>227.60518695282022</v>
      </c>
      <c r="S3074" s="2">
        <f t="shared" si="190"/>
        <v>4.4310421212231184</v>
      </c>
      <c r="T3074" s="2">
        <f t="shared" si="192"/>
        <v>9.4655896557678787</v>
      </c>
      <c r="U3074" s="2">
        <f t="shared" si="193"/>
        <v>241.50181872981122</v>
      </c>
    </row>
    <row r="3075" spans="1:21" x14ac:dyDescent="0.25">
      <c r="A3075">
        <v>4502441</v>
      </c>
      <c r="B3075">
        <v>33</v>
      </c>
      <c r="C3075" s="1">
        <f>6.64383321192104*(10.3/7.3)</f>
        <v>9.3741756277790032</v>
      </c>
      <c r="D3075" s="1">
        <f>8.28302540134787*(10.3/7.3)</f>
        <v>11.687008442997678</v>
      </c>
      <c r="E3075" s="1">
        <f>29.1276334283443*(10.3/7.3)</f>
        <v>41.097893741362562</v>
      </c>
      <c r="F3075" s="1">
        <f>66.5426844066103*(38.9/42.5)</f>
        <v>60.90612760981508</v>
      </c>
      <c r="G3075" s="1">
        <v>2.8376910816307728</v>
      </c>
      <c r="H3075" s="1">
        <v>7.941184682917787</v>
      </c>
      <c r="I3075" s="1">
        <v>50.849131337881666</v>
      </c>
      <c r="J3075" s="1">
        <v>5.6328658459005893E-2</v>
      </c>
      <c r="K3075" s="1">
        <v>3.6305478772674546</v>
      </c>
      <c r="L3075" s="1">
        <v>4.9298037004565165</v>
      </c>
      <c r="M3075" s="1">
        <v>0.19113743955510887</v>
      </c>
      <c r="N3075" s="1">
        <v>2.2994253634669359</v>
      </c>
      <c r="O3075" s="1">
        <v>0.16050909090909091</v>
      </c>
      <c r="P3075" s="1">
        <v>0.11711822710680778</v>
      </c>
      <c r="Q3075" s="1">
        <v>4.53512273319987</v>
      </c>
      <c r="R3075" s="2">
        <f t="shared" si="191"/>
        <v>189.2283352575844</v>
      </c>
      <c r="S3075" s="2">
        <f t="shared" si="190"/>
        <v>3.803994762833268</v>
      </c>
      <c r="T3075" s="2">
        <f t="shared" si="192"/>
        <v>7.5808755943876527</v>
      </c>
      <c r="U3075" s="2">
        <f t="shared" si="193"/>
        <v>200.61320561480534</v>
      </c>
    </row>
    <row r="3076" spans="1:21" x14ac:dyDescent="0.25">
      <c r="A3076">
        <v>4502473</v>
      </c>
      <c r="B3076">
        <v>18</v>
      </c>
      <c r="C3076" s="1">
        <f>4.05790756391417*(10.3/7.3)</f>
        <v>5.725540809358356</v>
      </c>
      <c r="D3076" s="1">
        <f>5.04326851977316*(10.3/7.3)</f>
        <v>7.1158446237895312</v>
      </c>
      <c r="E3076" s="1">
        <f>17.7014640918729*(10.3/7.3)</f>
        <v>24.976038376204301</v>
      </c>
      <c r="F3076" s="1">
        <f>42.2632466971965*(38.9/42.5)</f>
        <v>38.683301094610414</v>
      </c>
      <c r="G3076" s="1">
        <v>1.8768269520387035</v>
      </c>
      <c r="H3076" s="1">
        <v>8.6774522255996427</v>
      </c>
      <c r="I3076" s="1">
        <v>32.565622535564245</v>
      </c>
      <c r="J3076" s="1">
        <v>4.1613099247040548E-2</v>
      </c>
      <c r="K3076" s="1">
        <v>2.497715073326999</v>
      </c>
      <c r="L3076" s="1">
        <v>3.5844953804073691</v>
      </c>
      <c r="M3076" s="1">
        <v>0.13597260942583864</v>
      </c>
      <c r="N3076" s="1">
        <v>2.0985201988114008</v>
      </c>
      <c r="O3076" s="1">
        <v>0.11336888888888888</v>
      </c>
      <c r="P3076" s="1">
        <v>9.0276595033716281E-2</v>
      </c>
      <c r="Q3076" s="1">
        <v>2.9994951288289808</v>
      </c>
      <c r="R3076" s="2">
        <f t="shared" si="191"/>
        <v>122.62012174599417</v>
      </c>
      <c r="S3076" s="2">
        <f t="shared" si="190"/>
        <v>2.6296047676077561</v>
      </c>
      <c r="T3076" s="2">
        <f t="shared" si="192"/>
        <v>5.9323570775334975</v>
      </c>
      <c r="U3076" s="2">
        <f t="shared" si="193"/>
        <v>131.18208359113544</v>
      </c>
    </row>
    <row r="3077" spans="1:21" x14ac:dyDescent="0.25">
      <c r="A3077">
        <v>4502481</v>
      </c>
      <c r="B3077">
        <v>16</v>
      </c>
      <c r="C3077" s="1">
        <f>3.68016650801404*(10.3/7.3)</f>
        <v>5.192563703088303</v>
      </c>
      <c r="D3077" s="1">
        <f>4.67727596841082*(10.3/7.3)</f>
        <v>6.5994441746070498</v>
      </c>
      <c r="E3077" s="1">
        <f>16.3516947325975*(10.3/7.3)</f>
        <v>23.071569280240272</v>
      </c>
      <c r="F3077" s="1">
        <f>41.5170524045182*(38.9/42.5)</f>
        <v>38.000313847900188</v>
      </c>
      <c r="G3077" s="1">
        <v>1.9478055359534625</v>
      </c>
      <c r="H3077" s="1">
        <v>8.0332541765497716</v>
      </c>
      <c r="I3077" s="1">
        <v>32.113889276810227</v>
      </c>
      <c r="J3077" s="1">
        <v>3.5405822550699725E-2</v>
      </c>
      <c r="K3077" s="1">
        <v>2.4489681170783477</v>
      </c>
      <c r="L3077" s="1">
        <v>4.1950723892434993</v>
      </c>
      <c r="M3077" s="1">
        <v>0.12368809976997264</v>
      </c>
      <c r="N3077" s="1">
        <v>1.530241978098833</v>
      </c>
      <c r="O3077" s="1">
        <v>0.10828666666666666</v>
      </c>
      <c r="P3077" s="1">
        <v>8.7295037842169784E-2</v>
      </c>
      <c r="Q3077" s="1">
        <v>3.1129312218434357</v>
      </c>
      <c r="R3077" s="2">
        <f t="shared" si="191"/>
        <v>118.07177121699272</v>
      </c>
      <c r="S3077" s="2">
        <f t="shared" si="190"/>
        <v>2.5716689774712176</v>
      </c>
      <c r="T3077" s="2">
        <f t="shared" si="192"/>
        <v>5.9572891337789713</v>
      </c>
      <c r="U3077" s="2">
        <f t="shared" si="193"/>
        <v>126.60072932824291</v>
      </c>
    </row>
    <row r="3078" spans="1:21" x14ac:dyDescent="0.25">
      <c r="A3078">
        <v>4513997</v>
      </c>
      <c r="B3078">
        <v>20</v>
      </c>
      <c r="C3078" s="1">
        <f>0.559301269646907*(10.3/7.3)</f>
        <v>0.78915110648810149</v>
      </c>
      <c r="D3078" s="1">
        <f>0.748259150596351*(10.3/7.3)</f>
        <v>1.0557629111153997</v>
      </c>
      <c r="E3078" s="1">
        <f>2.61298983053889*(10.3/7.3)</f>
        <v>3.686821267746657</v>
      </c>
      <c r="F3078" s="1">
        <f>6.48676735370465*(38.9/42.5)</f>
        <v>5.9373000013908479</v>
      </c>
      <c r="G3078" s="1">
        <v>0.30099449810701639</v>
      </c>
      <c r="H3078" s="1">
        <v>1.3170304401177648</v>
      </c>
      <c r="I3078" s="1">
        <v>4.9327894552109104</v>
      </c>
      <c r="J3078" s="1">
        <v>5.4484857844562473E-2</v>
      </c>
      <c r="K3078" s="1">
        <v>2.9624668865048562</v>
      </c>
      <c r="L3078" s="1">
        <v>2.2891603444199311</v>
      </c>
      <c r="M3078" s="1">
        <v>0.26814278440033773</v>
      </c>
      <c r="N3078" s="1">
        <v>1.3064400193670831</v>
      </c>
      <c r="O3078" s="1">
        <v>0.63824800000000004</v>
      </c>
      <c r="P3078" s="1">
        <v>0.27919335469494133</v>
      </c>
      <c r="Q3078" s="1">
        <v>0.48104143533084842</v>
      </c>
      <c r="R3078" s="2">
        <f t="shared" si="191"/>
        <v>18.500891115507546</v>
      </c>
      <c r="S3078" s="2">
        <f t="shared" si="190"/>
        <v>3.2961450990443599</v>
      </c>
      <c r="T3078" s="2">
        <f t="shared" si="192"/>
        <v>4.5019911481873516</v>
      </c>
      <c r="U3078" s="2">
        <f t="shared" si="193"/>
        <v>26.299027362739256</v>
      </c>
    </row>
    <row r="3079" spans="1:21" x14ac:dyDescent="0.25">
      <c r="A3079">
        <v>4514005</v>
      </c>
      <c r="B3079">
        <v>33</v>
      </c>
      <c r="C3079" s="1">
        <f>0.935840912508713*(10.3/7.3)</f>
        <v>1.3204330683342114</v>
      </c>
      <c r="D3079" s="1">
        <f>1.28624019138131*(10.3/7.3)</f>
        <v>1.8148320508530758</v>
      </c>
      <c r="E3079" s="1">
        <f>4.47146176146331*(10.3/7.3)</f>
        <v>6.3090487867222089</v>
      </c>
      <c r="F3079" s="1">
        <f>11.8726325605055*(38.9/42.5)</f>
        <v>10.866950743615615</v>
      </c>
      <c r="G3079" s="1">
        <v>0.58182795165592904</v>
      </c>
      <c r="H3079" s="1">
        <v>2.0767905481214957</v>
      </c>
      <c r="I3079" s="1">
        <v>9.0747419980343818</v>
      </c>
      <c r="J3079" s="1">
        <v>0.12125533354945657</v>
      </c>
      <c r="K3079" s="1">
        <v>4.1358434632433516</v>
      </c>
      <c r="L3079" s="1">
        <v>3.6654195166821779</v>
      </c>
      <c r="M3079" s="1">
        <v>0.42875426176338521</v>
      </c>
      <c r="N3079" s="1">
        <v>2.075535187142568</v>
      </c>
      <c r="O3079" s="1">
        <v>1.0930747474747475</v>
      </c>
      <c r="P3079" s="1">
        <v>0.35567013767784422</v>
      </c>
      <c r="Q3079" s="1">
        <v>0.92986202319440814</v>
      </c>
      <c r="R3079" s="2">
        <f t="shared" si="191"/>
        <v>32.974487170531326</v>
      </c>
      <c r="S3079" s="2">
        <f t="shared" si="190"/>
        <v>4.6127689344706519</v>
      </c>
      <c r="T3079" s="2">
        <f t="shared" si="192"/>
        <v>7.2627837130628778</v>
      </c>
      <c r="U3079" s="2">
        <f t="shared" si="193"/>
        <v>44.850039818064857</v>
      </c>
    </row>
    <row r="3080" spans="1:21" x14ac:dyDescent="0.25">
      <c r="A3080">
        <v>4514509</v>
      </c>
      <c r="B3080">
        <v>6</v>
      </c>
      <c r="C3080" s="1">
        <f>21.2966629076162*(10.3/7.3)</f>
        <v>30.048716157321557</v>
      </c>
      <c r="D3080" s="1">
        <f>34.9969329504784*(10.3/7.3)</f>
        <v>49.379234163003709</v>
      </c>
      <c r="E3080" s="1">
        <f>123.019489880372*(10.3/7.3)</f>
        <v>173.57544462573048</v>
      </c>
      <c r="F3080" s="1">
        <f>215.345195419803*(38.9/42.5)</f>
        <v>197.10419063130234</v>
      </c>
      <c r="G3080" s="1">
        <v>6.957719276814001</v>
      </c>
      <c r="H3080" s="1">
        <v>9.1428722529259403</v>
      </c>
      <c r="I3080" s="1">
        <v>140.54218815546255</v>
      </c>
      <c r="J3080" s="1">
        <v>9.3654578928071441E-2</v>
      </c>
      <c r="K3080" s="1">
        <v>3.5165064577888572</v>
      </c>
      <c r="L3080" s="1">
        <v>6.0581959874905147</v>
      </c>
      <c r="M3080" s="1">
        <v>0.29856281038891486</v>
      </c>
      <c r="N3080" s="1">
        <v>2.9674501013339398</v>
      </c>
      <c r="O3080" s="1">
        <v>0.24141333333333334</v>
      </c>
      <c r="P3080" s="1">
        <v>0.1568672800101541</v>
      </c>
      <c r="Q3080" s="1">
        <v>11.119642679839741</v>
      </c>
      <c r="R3080" s="2">
        <f t="shared" si="191"/>
        <v>617.87000794240032</v>
      </c>
      <c r="S3080" s="2">
        <f t="shared" si="190"/>
        <v>3.767028316727083</v>
      </c>
      <c r="T3080" s="2">
        <f t="shared" si="192"/>
        <v>9.5656222325467031</v>
      </c>
      <c r="U3080" s="2">
        <f t="shared" si="193"/>
        <v>631.20265849167413</v>
      </c>
    </row>
    <row r="3081" spans="1:21" x14ac:dyDescent="0.25">
      <c r="A3081">
        <v>4514517</v>
      </c>
      <c r="B3081">
        <v>70</v>
      </c>
      <c r="C3081" s="1">
        <f>15.4199810964876*(10.3/7.3)</f>
        <v>21.756959629290769</v>
      </c>
      <c r="D3081" s="1">
        <f>24.5825162152806*(10.3/7.3)</f>
        <v>34.684920139368487</v>
      </c>
      <c r="E3081" s="1">
        <f>86.4722068598864*(10.3/7.3)</f>
        <v>122.00873022696295</v>
      </c>
      <c r="F3081" s="1">
        <f>152.944806765261*(38.9/42.5)</f>
        <v>139.98948195690991</v>
      </c>
      <c r="G3081" s="1">
        <v>4.9893373812741544</v>
      </c>
      <c r="H3081" s="1">
        <v>8.5497376430065994</v>
      </c>
      <c r="I3081" s="1">
        <v>101.25179839027474</v>
      </c>
      <c r="J3081" s="1">
        <v>7.7566613322703218E-2</v>
      </c>
      <c r="K3081" s="1">
        <v>3.6891656613868684</v>
      </c>
      <c r="L3081" s="1">
        <v>6.3228157874758413</v>
      </c>
      <c r="M3081" s="1">
        <v>0.3072130179638517</v>
      </c>
      <c r="N3081" s="1">
        <v>3.1785450465834058</v>
      </c>
      <c r="O3081" s="1">
        <v>0.24896457142857145</v>
      </c>
      <c r="P3081" s="1">
        <v>0.16469824625865662</v>
      </c>
      <c r="Q3081" s="1">
        <v>7.9738268650500261</v>
      </c>
      <c r="R3081" s="2">
        <f t="shared" si="191"/>
        <v>441.20479223213766</v>
      </c>
      <c r="S3081" s="2">
        <f t="shared" ref="S3081:S3144" si="194">J3081+K3081+P3081</f>
        <v>3.9314305209682283</v>
      </c>
      <c r="T3081" s="2">
        <f t="shared" si="192"/>
        <v>10.057538423451669</v>
      </c>
      <c r="U3081" s="2">
        <f t="shared" si="193"/>
        <v>455.19376117655753</v>
      </c>
    </row>
    <row r="3082" spans="1:21" x14ac:dyDescent="0.25">
      <c r="A3082">
        <v>4514525</v>
      </c>
      <c r="B3082">
        <v>51</v>
      </c>
      <c r="C3082" s="1">
        <f>12.261842801578*(10.3/7.3)</f>
        <v>17.30095628167857</v>
      </c>
      <c r="D3082" s="1">
        <f>19.269365646921*(10.3/7.3)</f>
        <v>27.188283036066601</v>
      </c>
      <c r="E3082" s="1">
        <f>67.8057836520326*(10.3/7.3)</f>
        <v>95.671174193963878</v>
      </c>
      <c r="F3082" s="1">
        <f>120.517432250155*(38.9/42.5)</f>
        <v>110.30889681249488</v>
      </c>
      <c r="G3082" s="1">
        <v>3.948958747740055</v>
      </c>
      <c r="H3082" s="1">
        <v>8.9064518762919835</v>
      </c>
      <c r="I3082" s="1">
        <v>80.3201257290781</v>
      </c>
      <c r="J3082" s="1">
        <v>6.7423010100873815E-2</v>
      </c>
      <c r="K3082" s="1">
        <v>3.3750186588946969</v>
      </c>
      <c r="L3082" s="1">
        <v>5.5327088324055334</v>
      </c>
      <c r="M3082" s="1">
        <v>0.27304187186179324</v>
      </c>
      <c r="N3082" s="1">
        <v>2.7704163520726661</v>
      </c>
      <c r="O3082" s="1">
        <v>0.22476653594771234</v>
      </c>
      <c r="P3082" s="1">
        <v>0.15237243388167288</v>
      </c>
      <c r="Q3082" s="1">
        <v>6.3111212863425612</v>
      </c>
      <c r="R3082" s="2">
        <f t="shared" ref="R3082:R3145" si="195">C3082+D3082+E3082+F3082+G3082+H3082+I3082+Q3082</f>
        <v>349.95596796365663</v>
      </c>
      <c r="S3082" s="2">
        <f t="shared" si="194"/>
        <v>3.5948141028772436</v>
      </c>
      <c r="T3082" s="2">
        <f t="shared" ref="T3082:T3145" si="196">L3082+M3082+N3082+O3082</f>
        <v>8.8009335922877057</v>
      </c>
      <c r="U3082" s="2">
        <f t="shared" ref="U3082:U3145" si="197">R3082+S3082+T3082</f>
        <v>362.3517156588216</v>
      </c>
    </row>
    <row r="3083" spans="1:21" x14ac:dyDescent="0.25">
      <c r="A3083">
        <v>4514533</v>
      </c>
      <c r="B3083">
        <v>49</v>
      </c>
      <c r="C3083" s="1">
        <f>10.2279710295888*(10.3/7.3)</f>
        <v>14.43124679517323</v>
      </c>
      <c r="D3083" s="1">
        <f>16.4363866422683*(10.3/7.3)</f>
        <v>23.191066084296335</v>
      </c>
      <c r="E3083" s="1">
        <f>57.8149142657479*(10.3/7.3)</f>
        <v>81.574468073589557</v>
      </c>
      <c r="F3083" s="1">
        <f>101.542975119614*(38.9/42.5)</f>
        <v>92.941687815364617</v>
      </c>
      <c r="G3083" s="1">
        <v>3.2817362048873044</v>
      </c>
      <c r="H3083" s="1">
        <v>8.9359228489287279</v>
      </c>
      <c r="I3083" s="1">
        <v>66.869234839377683</v>
      </c>
      <c r="J3083" s="1">
        <v>5.988182334176656E-2</v>
      </c>
      <c r="K3083" s="1">
        <v>3.3223872366160365</v>
      </c>
      <c r="L3083" s="1">
        <v>5.3981213201848508</v>
      </c>
      <c r="M3083" s="1">
        <v>0.26217108689747964</v>
      </c>
      <c r="N3083" s="1">
        <v>2.6750441897903445</v>
      </c>
      <c r="O3083" s="1">
        <v>0.21661278911564635</v>
      </c>
      <c r="P3083" s="1">
        <v>0.14900675484845829</v>
      </c>
      <c r="Q3083" s="1">
        <v>5.2447838890893053</v>
      </c>
      <c r="R3083" s="2">
        <f t="shared" si="195"/>
        <v>296.47014655070677</v>
      </c>
      <c r="S3083" s="2">
        <f t="shared" si="194"/>
        <v>3.5312758148062615</v>
      </c>
      <c r="T3083" s="2">
        <f t="shared" si="196"/>
        <v>8.5519493859883227</v>
      </c>
      <c r="U3083" s="2">
        <f t="shared" si="197"/>
        <v>308.55337175150134</v>
      </c>
    </row>
    <row r="3084" spans="1:21" x14ac:dyDescent="0.25">
      <c r="A3084">
        <v>4514541</v>
      </c>
      <c r="B3084">
        <v>68</v>
      </c>
      <c r="C3084" s="1">
        <f>9.63766599414707*(10.3/7.3)</f>
        <v>13.598350649276007</v>
      </c>
      <c r="D3084" s="1">
        <f>15.280107360545*(10.3/7.3)</f>
        <v>21.559603536111471</v>
      </c>
      <c r="E3084" s="1">
        <f>53.7688113481566*(10.3/7.3)</f>
        <v>75.865583135070224</v>
      </c>
      <c r="F3084" s="1">
        <f>94.6769559989812*(38.9/42.5)</f>
        <v>86.657260902596875</v>
      </c>
      <c r="G3084" s="1">
        <v>3.0627972067343605</v>
      </c>
      <c r="H3084" s="1">
        <v>5.9388640535814332</v>
      </c>
      <c r="I3084" s="1">
        <v>62.699781551286527</v>
      </c>
      <c r="J3084" s="1">
        <v>5.7387708414941875E-2</v>
      </c>
      <c r="K3084" s="1">
        <v>3.3015338575706474</v>
      </c>
      <c r="L3084" s="1">
        <v>5.3860061430614801</v>
      </c>
      <c r="M3084" s="1">
        <v>0.25578501307437435</v>
      </c>
      <c r="N3084" s="1">
        <v>2.6398047277133991</v>
      </c>
      <c r="O3084" s="1">
        <v>0.21245411764705877</v>
      </c>
      <c r="P3084" s="1">
        <v>0.14735969759427037</v>
      </c>
      <c r="Q3084" s="1">
        <v>4.894881380625697</v>
      </c>
      <c r="R3084" s="2">
        <f t="shared" si="195"/>
        <v>274.27712241528258</v>
      </c>
      <c r="S3084" s="2">
        <f t="shared" si="194"/>
        <v>3.5062812635798597</v>
      </c>
      <c r="T3084" s="2">
        <f t="shared" si="196"/>
        <v>8.4940500014963121</v>
      </c>
      <c r="U3084" s="2">
        <f t="shared" si="197"/>
        <v>286.27745368035875</v>
      </c>
    </row>
    <row r="3085" spans="1:21" x14ac:dyDescent="0.25">
      <c r="A3085">
        <v>4514549</v>
      </c>
      <c r="B3085">
        <v>55</v>
      </c>
      <c r="C3085" s="1">
        <f>12.0999602560749*(10.3/7.3)</f>
        <v>17.072546662681006</v>
      </c>
      <c r="D3085" s="1">
        <f>18.3628571337223*(10.3/7.3)</f>
        <v>25.909236777717737</v>
      </c>
      <c r="E3085" s="1">
        <f>64.6806190288214*(10.3/7.3)</f>
        <v>91.261695342035694</v>
      </c>
      <c r="F3085" s="1">
        <f>115.887890704511*(38.9/42.5)</f>
        <v>106.0715046683643</v>
      </c>
      <c r="G3085" s="1">
        <v>3.8143156458959999</v>
      </c>
      <c r="H3085" s="1">
        <v>6.6141624887979047</v>
      </c>
      <c r="I3085" s="1">
        <v>78.39339009337337</v>
      </c>
      <c r="J3085" s="1">
        <v>6.7224382783177619E-2</v>
      </c>
      <c r="K3085" s="1">
        <v>3.7351804600586651</v>
      </c>
      <c r="L3085" s="1">
        <v>6.53260626491865</v>
      </c>
      <c r="M3085" s="1">
        <v>0.29309278752461443</v>
      </c>
      <c r="N3085" s="1">
        <v>3.138654997164116</v>
      </c>
      <c r="O3085" s="1">
        <v>0.2393735757575757</v>
      </c>
      <c r="P3085" s="1">
        <v>0.16024625253451694</v>
      </c>
      <c r="Q3085" s="1">
        <v>6.0959382468657601</v>
      </c>
      <c r="R3085" s="2">
        <f t="shared" si="195"/>
        <v>335.23278992573182</v>
      </c>
      <c r="S3085" s="2">
        <f t="shared" si="194"/>
        <v>3.9626510953763594</v>
      </c>
      <c r="T3085" s="2">
        <f t="shared" si="196"/>
        <v>10.203727625364955</v>
      </c>
      <c r="U3085" s="2">
        <f t="shared" si="197"/>
        <v>349.39916864647313</v>
      </c>
    </row>
    <row r="3086" spans="1:21" x14ac:dyDescent="0.25">
      <c r="A3086">
        <v>4514557</v>
      </c>
      <c r="B3086">
        <v>65</v>
      </c>
      <c r="C3086" s="1">
        <f>12.2027418242789*(10.3/7.3)</f>
        <v>17.217567231516743</v>
      </c>
      <c r="D3086" s="1">
        <f>18.0340499656883*(10.3/7.3)</f>
        <v>25.445303376245167</v>
      </c>
      <c r="E3086" s="1">
        <f>63.5604039802166*(10.3/7.3)</f>
        <v>89.681117944689134</v>
      </c>
      <c r="F3086" s="1">
        <f>115.187293456957*(38.9/42.5)</f>
        <v>105.43025212883821</v>
      </c>
      <c r="G3086" s="1">
        <v>3.8347046859511997</v>
      </c>
      <c r="H3086" s="1">
        <v>6.6612225789987773</v>
      </c>
      <c r="I3086" s="1">
        <v>78.933175378108146</v>
      </c>
      <c r="J3086" s="1">
        <v>7.0507423712021358E-2</v>
      </c>
      <c r="K3086" s="1">
        <v>3.9472930559846655</v>
      </c>
      <c r="L3086" s="1">
        <v>7.0137185734514373</v>
      </c>
      <c r="M3086" s="1">
        <v>0.30581146552819577</v>
      </c>
      <c r="N3086" s="1">
        <v>3.1488488222702373</v>
      </c>
      <c r="O3086" s="1">
        <v>0.2489337435897436</v>
      </c>
      <c r="P3086" s="1">
        <v>0.16658076983645934</v>
      </c>
      <c r="Q3086" s="1">
        <v>6.1285234706982736</v>
      </c>
      <c r="R3086" s="2">
        <f t="shared" si="195"/>
        <v>333.33186679504564</v>
      </c>
      <c r="S3086" s="2">
        <f t="shared" si="194"/>
        <v>4.1843812495331463</v>
      </c>
      <c r="T3086" s="2">
        <f t="shared" si="196"/>
        <v>10.717312604839615</v>
      </c>
      <c r="U3086" s="2">
        <f t="shared" si="197"/>
        <v>348.23356064941839</v>
      </c>
    </row>
    <row r="3087" spans="1:21" x14ac:dyDescent="0.25">
      <c r="A3087">
        <v>4514565</v>
      </c>
      <c r="B3087">
        <v>36</v>
      </c>
      <c r="C3087" s="1">
        <f>10.1131821567769*(10.3/7.3)</f>
        <v>14.269284412986547</v>
      </c>
      <c r="D3087" s="1">
        <f>14.8409025257182*(10.3/7.3)</f>
        <v>20.939903563684567</v>
      </c>
      <c r="E3087" s="1">
        <f>52.2974516966605*(10.3/7.3)</f>
        <v>73.789555133644242</v>
      </c>
      <c r="F3087" s="1">
        <f>95.9344185627219*(38.9/42.5)</f>
        <v>87.808208990350124</v>
      </c>
      <c r="G3087" s="1">
        <v>3.2473708031074295</v>
      </c>
      <c r="H3087" s="1">
        <v>6.2996858750872029</v>
      </c>
      <c r="I3087" s="1">
        <v>66.144648293467014</v>
      </c>
      <c r="J3087" s="1">
        <v>6.4075912737128399E-2</v>
      </c>
      <c r="K3087" s="1">
        <v>3.6990232758036763</v>
      </c>
      <c r="L3087" s="1">
        <v>6.3660432951122283</v>
      </c>
      <c r="M3087" s="1">
        <v>0.27870677438584296</v>
      </c>
      <c r="N3087" s="1">
        <v>3.0474213599735114</v>
      </c>
      <c r="O3087" s="1">
        <v>0.23048000000000002</v>
      </c>
      <c r="P3087" s="1">
        <v>0.15651797133651843</v>
      </c>
      <c r="Q3087" s="1">
        <v>5.1898620140986376</v>
      </c>
      <c r="R3087" s="2">
        <f t="shared" si="195"/>
        <v>277.68851908642574</v>
      </c>
      <c r="S3087" s="2">
        <f t="shared" si="194"/>
        <v>3.9196171598773231</v>
      </c>
      <c r="T3087" s="2">
        <f t="shared" si="196"/>
        <v>9.922651429471582</v>
      </c>
      <c r="U3087" s="2">
        <f t="shared" si="197"/>
        <v>291.5307876757746</v>
      </c>
    </row>
    <row r="3088" spans="1:21" x14ac:dyDescent="0.25">
      <c r="A3088">
        <v>4514573</v>
      </c>
      <c r="B3088">
        <v>65</v>
      </c>
      <c r="C3088" s="1">
        <f>10.0010459921557*(10.3/7.3)</f>
        <v>14.111064893041627</v>
      </c>
      <c r="D3088" s="1">
        <f>14.5403675492624*(10.3/7.3)</f>
        <v>20.515861062657951</v>
      </c>
      <c r="E3088" s="1">
        <f>51.2367254650936*(10.3/7.3)</f>
        <v>72.292914012392387</v>
      </c>
      <c r="F3088" s="1">
        <f>95.0055585599067*(38.9/42.5)</f>
        <v>86.958028893655751</v>
      </c>
      <c r="G3088" s="1">
        <v>3.2602145577807042</v>
      </c>
      <c r="H3088" s="1">
        <v>6.2861418680616534</v>
      </c>
      <c r="I3088" s="1">
        <v>65.924163950261004</v>
      </c>
      <c r="J3088" s="1">
        <v>6.5623300347289595E-2</v>
      </c>
      <c r="K3088" s="1">
        <v>3.8218111417839293</v>
      </c>
      <c r="L3088" s="1">
        <v>6.6223094914531373</v>
      </c>
      <c r="M3088" s="1">
        <v>0.2850165055494619</v>
      </c>
      <c r="N3088" s="1">
        <v>2.999128883335282</v>
      </c>
      <c r="O3088" s="1">
        <v>0.23539446153846155</v>
      </c>
      <c r="P3088" s="1">
        <v>0.15926649428017461</v>
      </c>
      <c r="Q3088" s="1">
        <v>5.2103885626632325</v>
      </c>
      <c r="R3088" s="2">
        <f t="shared" si="195"/>
        <v>274.55877780051429</v>
      </c>
      <c r="S3088" s="2">
        <f t="shared" si="194"/>
        <v>4.0467009364113933</v>
      </c>
      <c r="T3088" s="2">
        <f t="shared" si="196"/>
        <v>10.141849341876343</v>
      </c>
      <c r="U3088" s="2">
        <f t="shared" si="197"/>
        <v>288.74732807880207</v>
      </c>
    </row>
    <row r="3089" spans="1:21" x14ac:dyDescent="0.25">
      <c r="A3089">
        <v>4514581</v>
      </c>
      <c r="B3089">
        <v>65</v>
      </c>
      <c r="C3089" s="1">
        <f>9.11340674403749*(10.3/7.3)</f>
        <v>12.858642392272074</v>
      </c>
      <c r="D3089" s="1">
        <f>13.0970882704679*(10.3/7.3)</f>
        <v>18.479453313125873</v>
      </c>
      <c r="E3089" s="1">
        <f>46.1563053860942*(10.3/7.3)</f>
        <v>65.124650065310959</v>
      </c>
      <c r="F3089" s="1">
        <f>86.3734740926732*(38.9/42.5)</f>
        <v>79.057132757764435</v>
      </c>
      <c r="G3089" s="1">
        <v>2.9955261916854283</v>
      </c>
      <c r="H3089" s="1">
        <v>6.2900177365268375</v>
      </c>
      <c r="I3089" s="1">
        <v>60.332131909921053</v>
      </c>
      <c r="J3089" s="1">
        <v>6.2999694824172572E-2</v>
      </c>
      <c r="K3089" s="1">
        <v>3.7268997304500107</v>
      </c>
      <c r="L3089" s="1">
        <v>6.3658650179262617</v>
      </c>
      <c r="M3089" s="1">
        <v>0.27322110786086418</v>
      </c>
      <c r="N3089" s="1">
        <v>2.9191368817118226</v>
      </c>
      <c r="O3089" s="1">
        <v>0.22698666666666664</v>
      </c>
      <c r="P3089" s="1">
        <v>0.15429012621358698</v>
      </c>
      <c r="Q3089" s="1">
        <v>4.787370625981282</v>
      </c>
      <c r="R3089" s="2">
        <f t="shared" si="195"/>
        <v>249.92492499258793</v>
      </c>
      <c r="S3089" s="2">
        <f t="shared" si="194"/>
        <v>3.9441895514877703</v>
      </c>
      <c r="T3089" s="2">
        <f t="shared" si="196"/>
        <v>9.7852096741656158</v>
      </c>
      <c r="U3089" s="2">
        <f t="shared" si="197"/>
        <v>263.6543242182413</v>
      </c>
    </row>
    <row r="3090" spans="1:21" x14ac:dyDescent="0.25">
      <c r="A3090">
        <v>4514589</v>
      </c>
      <c r="B3090">
        <v>63</v>
      </c>
      <c r="C3090" s="1">
        <f>7.28665377334606*(10.3/7.3)</f>
        <v>10.281169022666356</v>
      </c>
      <c r="D3090" s="1">
        <f>10.343125607879*(10.3/7.3)</f>
        <v>14.593725172760765</v>
      </c>
      <c r="E3090" s="1">
        <f>36.4558817315151*(10.3/7.3)</f>
        <v>51.437750936247397</v>
      </c>
      <c r="F3090" s="1">
        <f>68.8704465703606*(38.9/42.5)</f>
        <v>63.036714625577076</v>
      </c>
      <c r="G3090" s="1">
        <v>2.414033987802052</v>
      </c>
      <c r="H3090" s="1">
        <v>5.7033014827568742</v>
      </c>
      <c r="I3090" s="1">
        <v>48.43773999140631</v>
      </c>
      <c r="J3090" s="1">
        <v>5.3497639446603282E-2</v>
      </c>
      <c r="K3090" s="1">
        <v>3.3178281139835999</v>
      </c>
      <c r="L3090" s="1">
        <v>5.3491722426988861</v>
      </c>
      <c r="M3090" s="1">
        <v>0.23619200038105004</v>
      </c>
      <c r="N3090" s="1">
        <v>2.5569539132738166</v>
      </c>
      <c r="O3090" s="1">
        <v>0.19942941798941796</v>
      </c>
      <c r="P3090" s="1">
        <v>0.13951133129287271</v>
      </c>
      <c r="Q3090" s="1">
        <v>3.8580451859850204</v>
      </c>
      <c r="R3090" s="2">
        <f t="shared" si="195"/>
        <v>199.76248040520184</v>
      </c>
      <c r="S3090" s="2">
        <f t="shared" si="194"/>
        <v>3.5108370847230761</v>
      </c>
      <c r="T3090" s="2">
        <f t="shared" si="196"/>
        <v>8.3417475743431702</v>
      </c>
      <c r="U3090" s="2">
        <f t="shared" si="197"/>
        <v>211.61506506426809</v>
      </c>
    </row>
    <row r="3091" spans="1:21" x14ac:dyDescent="0.25">
      <c r="A3091">
        <v>4514597</v>
      </c>
      <c r="B3091">
        <v>62</v>
      </c>
      <c r="C3091" s="1">
        <f>4.01146017242729*(10.3/7.3)</f>
        <v>5.6600054487672748</v>
      </c>
      <c r="D3091" s="1">
        <f>5.61959287572973*(10.3/7.3)</f>
        <v>7.9290146054816724</v>
      </c>
      <c r="E3091" s="1">
        <f>19.8149387091326*(10.3/7.3)</f>
        <v>27.958064206036408</v>
      </c>
      <c r="F3091" s="1">
        <f>37.566301634383*(38.9/42.5)</f>
        <v>34.384214907705847</v>
      </c>
      <c r="G3091" s="1">
        <v>1.3194508846544706</v>
      </c>
      <c r="H3091" s="1">
        <v>3.7223549007563888</v>
      </c>
      <c r="I3091" s="1">
        <v>26.565988563340003</v>
      </c>
      <c r="J3091" s="1">
        <v>3.581962046549135E-2</v>
      </c>
      <c r="K3091" s="1">
        <v>2.4512469941786827</v>
      </c>
      <c r="L3091" s="1">
        <v>3.6245581286969082</v>
      </c>
      <c r="M3091" s="1">
        <v>0.16746625589024561</v>
      </c>
      <c r="N3091" s="1">
        <v>1.8331869577127675</v>
      </c>
      <c r="O3091" s="1">
        <v>0.14325075268817211</v>
      </c>
      <c r="P3091" s="1">
        <v>0.10980983907918632</v>
      </c>
      <c r="Q3091" s="1">
        <v>2.1087114594934486</v>
      </c>
      <c r="R3091" s="2">
        <f t="shared" si="195"/>
        <v>109.64780497623551</v>
      </c>
      <c r="S3091" s="2">
        <f t="shared" si="194"/>
        <v>2.5968764537233606</v>
      </c>
      <c r="T3091" s="2">
        <f t="shared" si="196"/>
        <v>5.7684620949880934</v>
      </c>
      <c r="U3091" s="2">
        <f t="shared" si="197"/>
        <v>118.01314352494695</v>
      </c>
    </row>
    <row r="3092" spans="1:21" x14ac:dyDescent="0.25">
      <c r="A3092">
        <v>4514605</v>
      </c>
      <c r="B3092">
        <v>43</v>
      </c>
      <c r="C3092" s="1">
        <f>6.68865324997299*(10.3/7.3)</f>
        <v>9.4374148595509357</v>
      </c>
      <c r="D3092" s="1">
        <f>9.24851490922421*(10.3/7.3)</f>
        <v>13.049274460960184</v>
      </c>
      <c r="E3092" s="1">
        <f>32.6077453163687*(10.3/7.3)</f>
        <v>46.008188597068205</v>
      </c>
      <c r="F3092" s="1">
        <f>62.8404642769706*(38.9/42.5)</f>
        <v>57.517507302921324</v>
      </c>
      <c r="G3092" s="1">
        <v>2.250773387644748</v>
      </c>
      <c r="H3092" s="1">
        <v>6.9364344782398941</v>
      </c>
      <c r="I3092" s="1">
        <v>44.828523961083391</v>
      </c>
      <c r="J3092" s="1">
        <v>5.1531242652488499E-2</v>
      </c>
      <c r="K3092" s="1">
        <v>3.2198017757066255</v>
      </c>
      <c r="L3092" s="1">
        <v>5.1425994581049448</v>
      </c>
      <c r="M3092" s="1">
        <v>0.22265313426762881</v>
      </c>
      <c r="N3092" s="1">
        <v>2.5496784285226872</v>
      </c>
      <c r="O3092" s="1">
        <v>0.18755224806201545</v>
      </c>
      <c r="P3092" s="1">
        <v>0.1325816618610253</v>
      </c>
      <c r="Q3092" s="1">
        <v>3.597126418610332</v>
      </c>
      <c r="R3092" s="2">
        <f t="shared" si="195"/>
        <v>183.62524346607904</v>
      </c>
      <c r="S3092" s="2">
        <f t="shared" si="194"/>
        <v>3.4039146802201392</v>
      </c>
      <c r="T3092" s="2">
        <f t="shared" si="196"/>
        <v>8.1024832689572772</v>
      </c>
      <c r="U3092" s="2">
        <f t="shared" si="197"/>
        <v>195.13164141525647</v>
      </c>
    </row>
    <row r="3093" spans="1:21" x14ac:dyDescent="0.25">
      <c r="A3093">
        <v>4514613</v>
      </c>
      <c r="B3093">
        <v>63</v>
      </c>
      <c r="C3093" s="1">
        <f>8.59817179418699*(10.3/7.3)</f>
        <v>12.131667052072061</v>
      </c>
      <c r="D3093" s="1">
        <f>11.6743368223635*(10.3/7.3)</f>
        <v>16.472009489088212</v>
      </c>
      <c r="E3093" s="1">
        <f>41.1666403682207*(10.3/7.3)</f>
        <v>58.084437779818302</v>
      </c>
      <c r="F3093" s="1">
        <f>80.5881537488307*(38.9/42.5)</f>
        <v>73.761863078341548</v>
      </c>
      <c r="G3093" s="1">
        <v>2.9355725559845669</v>
      </c>
      <c r="H3093" s="1">
        <v>6.5320359866785882</v>
      </c>
      <c r="I3093" s="1">
        <v>58.069911492662953</v>
      </c>
      <c r="J3093" s="1">
        <v>6.4723405424747749E-2</v>
      </c>
      <c r="K3093" s="1">
        <v>3.8376892052941725</v>
      </c>
      <c r="L3093" s="1">
        <v>6.5170681937398589</v>
      </c>
      <c r="M3093" s="1">
        <v>0.2633046365597016</v>
      </c>
      <c r="N3093" s="1">
        <v>3.0565057212332984</v>
      </c>
      <c r="O3093" s="1">
        <v>0.21888592592592598</v>
      </c>
      <c r="P3093" s="1">
        <v>0.15021490083815772</v>
      </c>
      <c r="Q3093" s="1">
        <v>4.6915543132173472</v>
      </c>
      <c r="R3093" s="2">
        <f t="shared" si="195"/>
        <v>232.67905174786358</v>
      </c>
      <c r="S3093" s="2">
        <f t="shared" si="194"/>
        <v>4.0526275115570778</v>
      </c>
      <c r="T3093" s="2">
        <f t="shared" si="196"/>
        <v>10.055764477458785</v>
      </c>
      <c r="U3093" s="2">
        <f t="shared" si="197"/>
        <v>246.78744373687945</v>
      </c>
    </row>
    <row r="3094" spans="1:21" x14ac:dyDescent="0.25">
      <c r="A3094">
        <v>4514621</v>
      </c>
      <c r="B3094">
        <v>64</v>
      </c>
      <c r="C3094" s="1">
        <f>7.70586360501392*(10.3/7.3)</f>
        <v>10.872656867348409</v>
      </c>
      <c r="D3094" s="1">
        <f>10.3150824926223*(10.3/7.3)</f>
        <v>14.554157489590411</v>
      </c>
      <c r="E3094" s="1">
        <f>36.3829723889867*(10.3/7.3)</f>
        <v>51.334878850214167</v>
      </c>
      <c r="F3094" s="1">
        <f>71.8441028012489*(38.9/42.5)</f>
        <v>65.758484681613723</v>
      </c>
      <c r="G3094" s="1">
        <v>2.6386676024265237</v>
      </c>
      <c r="H3094" s="1">
        <v>5.9646870272307018</v>
      </c>
      <c r="I3094" s="1">
        <v>52.124810065051108</v>
      </c>
      <c r="J3094" s="1">
        <v>5.9829968577483475E-2</v>
      </c>
      <c r="K3094" s="1">
        <v>3.6058438824911954</v>
      </c>
      <c r="L3094" s="1">
        <v>5.9695065574011137</v>
      </c>
      <c r="M3094" s="1">
        <v>0.24332723794445421</v>
      </c>
      <c r="N3094" s="1">
        <v>2.9270063328743774</v>
      </c>
      <c r="O3094" s="1">
        <v>0.20235750000000008</v>
      </c>
      <c r="P3094" s="1">
        <v>0.14069050216403919</v>
      </c>
      <c r="Q3094" s="1">
        <v>4.217048679677097</v>
      </c>
      <c r="R3094" s="2">
        <f t="shared" si="195"/>
        <v>207.46539126315216</v>
      </c>
      <c r="S3094" s="2">
        <f t="shared" si="194"/>
        <v>3.806364353232718</v>
      </c>
      <c r="T3094" s="2">
        <f t="shared" si="196"/>
        <v>9.3421976282199441</v>
      </c>
      <c r="U3094" s="2">
        <f t="shared" si="197"/>
        <v>220.6139532446048</v>
      </c>
    </row>
    <row r="3095" spans="1:21" x14ac:dyDescent="0.25">
      <c r="A3095">
        <v>4514629</v>
      </c>
      <c r="B3095">
        <v>46</v>
      </c>
      <c r="C3095" s="1">
        <f>7.22458044880344*(10.3/7.3)</f>
        <v>10.193586112695268</v>
      </c>
      <c r="D3095" s="1">
        <f>9.55904410184381*(10.3/7.3)</f>
        <v>13.487418390272774</v>
      </c>
      <c r="E3095" s="1">
        <f>33.7244676731974*(10.3/7.3)</f>
        <v>47.583837949853844</v>
      </c>
      <c r="F3095" s="1">
        <f>67.0229428197336*(38.9/42.5)</f>
        <v>61.345705310297305</v>
      </c>
      <c r="G3095" s="1">
        <v>2.4757841145853603</v>
      </c>
      <c r="H3095" s="1">
        <v>5.6696990316762932</v>
      </c>
      <c r="I3095" s="1">
        <v>48.889414669201052</v>
      </c>
      <c r="J3095" s="1">
        <v>5.6600094917535822E-2</v>
      </c>
      <c r="K3095" s="1">
        <v>3.4697065976753469</v>
      </c>
      <c r="L3095" s="1">
        <v>5.6014859934087573</v>
      </c>
      <c r="M3095" s="1">
        <v>0.22964376263658695</v>
      </c>
      <c r="N3095" s="1">
        <v>4.187760507350422</v>
      </c>
      <c r="O3095" s="1">
        <v>0.19188869565217392</v>
      </c>
      <c r="P3095" s="1">
        <v>0.13421554707601407</v>
      </c>
      <c r="Q3095" s="1">
        <v>3.9567326032186174</v>
      </c>
      <c r="R3095" s="2">
        <f t="shared" si="195"/>
        <v>193.60217818180053</v>
      </c>
      <c r="S3095" s="2">
        <f t="shared" si="194"/>
        <v>3.660522239668897</v>
      </c>
      <c r="T3095" s="2">
        <f t="shared" si="196"/>
        <v>10.210778959047941</v>
      </c>
      <c r="U3095" s="2">
        <f t="shared" si="197"/>
        <v>207.47347938051735</v>
      </c>
    </row>
    <row r="3096" spans="1:21" x14ac:dyDescent="0.25">
      <c r="A3096">
        <v>4514637</v>
      </c>
      <c r="B3096">
        <v>65</v>
      </c>
      <c r="C3096" s="1">
        <f>8.3087960187137*(10.3/7.3)</f>
        <v>11.723369725034397</v>
      </c>
      <c r="D3096" s="1">
        <f>10.8007930548049*(10.3/7.3)</f>
        <v>15.239475132122042</v>
      </c>
      <c r="E3096" s="1">
        <f>38.1131051338806*(10.3/7.3)</f>
        <v>53.776025051913749</v>
      </c>
      <c r="F3096" s="1">
        <f>76.8213286775145*(38.9/42.5)</f>
        <v>70.31411024836035</v>
      </c>
      <c r="G3096" s="1">
        <v>2.8778153879046107</v>
      </c>
      <c r="H3096" s="1">
        <v>6.1659382673948393</v>
      </c>
      <c r="I3096" s="1">
        <v>56.546470009492495</v>
      </c>
      <c r="J3096" s="1">
        <v>6.3692316237466212E-2</v>
      </c>
      <c r="K3096" s="1">
        <v>3.8261974367855958</v>
      </c>
      <c r="L3096" s="1">
        <v>6.2988702230885369</v>
      </c>
      <c r="M3096" s="1">
        <v>0.24714133458898055</v>
      </c>
      <c r="N3096" s="1">
        <v>3.169732666511365</v>
      </c>
      <c r="O3096" s="1">
        <v>0.20512164102564098</v>
      </c>
      <c r="P3096" s="1">
        <v>0.14145872812958601</v>
      </c>
      <c r="Q3096" s="1">
        <v>4.5992483368338553</v>
      </c>
      <c r="R3096" s="2">
        <f t="shared" si="195"/>
        <v>221.24245215905631</v>
      </c>
      <c r="S3096" s="2">
        <f t="shared" si="194"/>
        <v>4.0313484811526479</v>
      </c>
      <c r="T3096" s="2">
        <f t="shared" si="196"/>
        <v>9.9208658652145232</v>
      </c>
      <c r="U3096" s="2">
        <f t="shared" si="197"/>
        <v>235.19466650542347</v>
      </c>
    </row>
    <row r="3097" spans="1:21" x14ac:dyDescent="0.25">
      <c r="A3097">
        <v>4514645</v>
      </c>
      <c r="B3097">
        <v>65</v>
      </c>
      <c r="C3097" s="1">
        <f>7.26413788523699*(10.3/7.3)</f>
        <v>10.249400029854938</v>
      </c>
      <c r="D3097" s="1">
        <f>9.34939726535586*(10.3/7.3)</f>
        <v>13.191615319611696</v>
      </c>
      <c r="E3097" s="1">
        <f>32.9909436896057*(10.3/7.3)</f>
        <v>46.548865753827215</v>
      </c>
      <c r="F3097" s="1">
        <f>67.249239721755*(38.9/42.5)</f>
        <v>61.552833533559287</v>
      </c>
      <c r="G3097" s="1">
        <v>2.5490306747218408</v>
      </c>
      <c r="H3097" s="1">
        <v>5.6370114175131301</v>
      </c>
      <c r="I3097" s="1">
        <v>49.783855514771133</v>
      </c>
      <c r="J3097" s="1">
        <v>5.7925867611464281E-2</v>
      </c>
      <c r="K3097" s="1">
        <v>3.6320492669186457</v>
      </c>
      <c r="L3097" s="1">
        <v>5.6536931236980665</v>
      </c>
      <c r="M3097" s="1">
        <v>0.22509741738000466</v>
      </c>
      <c r="N3097" s="1">
        <v>2.7342274450657209</v>
      </c>
      <c r="O3097" s="1">
        <v>0.18717046153846159</v>
      </c>
      <c r="P3097" s="1">
        <v>0.13205190286881902</v>
      </c>
      <c r="Q3097" s="1">
        <v>4.0737933157655046</v>
      </c>
      <c r="R3097" s="2">
        <f t="shared" si="195"/>
        <v>193.58640555962472</v>
      </c>
      <c r="S3097" s="2">
        <f t="shared" si="194"/>
        <v>3.8220270373989291</v>
      </c>
      <c r="T3097" s="2">
        <f t="shared" si="196"/>
        <v>8.8001884476822525</v>
      </c>
      <c r="U3097" s="2">
        <f t="shared" si="197"/>
        <v>206.20862104470589</v>
      </c>
    </row>
    <row r="3098" spans="1:21" x14ac:dyDescent="0.25">
      <c r="A3098">
        <v>4514653</v>
      </c>
      <c r="B3098">
        <v>67</v>
      </c>
      <c r="C3098" s="1">
        <f>7.04774974205551*(10.3/7.3)</f>
        <v>9.9440852524892751</v>
      </c>
      <c r="D3098" s="1">
        <f>8.97589160483343*(10.3/7.3)</f>
        <v>12.664614182162232</v>
      </c>
      <c r="E3098" s="1">
        <f>31.6679206508472*(10.3/7.3)</f>
        <v>44.682134616948815</v>
      </c>
      <c r="F3098" s="1">
        <f>65.5499595357492*(38.9/42.5)</f>
        <v>59.997492375073996</v>
      </c>
      <c r="G3098" s="1">
        <v>2.525258501205728</v>
      </c>
      <c r="H3098" s="1">
        <v>5.5076977904896509</v>
      </c>
      <c r="I3098" s="1">
        <v>48.84854403737549</v>
      </c>
      <c r="J3098" s="1">
        <v>5.6410924027643139E-2</v>
      </c>
      <c r="K3098" s="1">
        <v>3.6970643135389465</v>
      </c>
      <c r="L3098" s="1">
        <v>5.4490489704629557</v>
      </c>
      <c r="M3098" s="1">
        <v>0.21536627378644679</v>
      </c>
      <c r="N3098" s="1">
        <v>2.5743187273336625</v>
      </c>
      <c r="O3098" s="1">
        <v>0.17999124378109457</v>
      </c>
      <c r="P3098" s="1">
        <v>0.12794159296101992</v>
      </c>
      <c r="Q3098" s="1">
        <v>4.0358012576347324</v>
      </c>
      <c r="R3098" s="2">
        <f t="shared" si="195"/>
        <v>188.20562801337994</v>
      </c>
      <c r="S3098" s="2">
        <f t="shared" si="194"/>
        <v>3.8814168305276091</v>
      </c>
      <c r="T3098" s="2">
        <f t="shared" si="196"/>
        <v>8.4187252153641605</v>
      </c>
      <c r="U3098" s="2">
        <f t="shared" si="197"/>
        <v>200.5057700592717</v>
      </c>
    </row>
    <row r="3099" spans="1:21" x14ac:dyDescent="0.25">
      <c r="A3099">
        <v>4514661</v>
      </c>
      <c r="B3099">
        <v>58</v>
      </c>
      <c r="C3099" s="1">
        <f>8.67040060722296*(10.3/7.3)</f>
        <v>12.233578938958425</v>
      </c>
      <c r="D3099" s="1">
        <f>10.8648879530432*(10.3/7.3)</f>
        <v>15.329910399499365</v>
      </c>
      <c r="E3099" s="1">
        <f>38.323034903724*(10.3/7.3)</f>
        <v>54.072227329911996</v>
      </c>
      <c r="F3099" s="1">
        <f>81.2073046196436*(38.9/42.5)</f>
        <v>74.328568228332571</v>
      </c>
      <c r="G3099" s="1">
        <v>3.2039194351731068</v>
      </c>
      <c r="H3099" s="1">
        <v>6.3268384869460563</v>
      </c>
      <c r="I3099" s="1">
        <v>61.116436695276334</v>
      </c>
      <c r="J3099" s="1">
        <v>6.5858033928931609E-2</v>
      </c>
      <c r="K3099" s="1">
        <v>4.3561812333829835</v>
      </c>
      <c r="L3099" s="1">
        <v>6.2834894817824569</v>
      </c>
      <c r="M3099" s="1">
        <v>0.23642517781566003</v>
      </c>
      <c r="N3099" s="1">
        <v>2.8441728691185029</v>
      </c>
      <c r="O3099" s="1">
        <v>0.1968183908045977</v>
      </c>
      <c r="P3099" s="1">
        <v>0.13685609141720098</v>
      </c>
      <c r="Q3099" s="1">
        <v>5.120419188632825</v>
      </c>
      <c r="R3099" s="2">
        <f t="shared" si="195"/>
        <v>231.73189870273066</v>
      </c>
      <c r="S3099" s="2">
        <f t="shared" si="194"/>
        <v>4.5588953587291154</v>
      </c>
      <c r="T3099" s="2">
        <f t="shared" si="196"/>
        <v>9.5609059195212183</v>
      </c>
      <c r="U3099" s="2">
        <f t="shared" si="197"/>
        <v>245.85169998098098</v>
      </c>
    </row>
    <row r="3100" spans="1:21" x14ac:dyDescent="0.25">
      <c r="A3100">
        <v>4514669</v>
      </c>
      <c r="B3100">
        <v>59</v>
      </c>
      <c r="C3100" s="1">
        <f>7.94747420789686*(10.3/7.3)</f>
        <v>11.213559498813375</v>
      </c>
      <c r="D3100" s="1">
        <f>10.4150717060953*(10.3/7.3)</f>
        <v>14.695238160654956</v>
      </c>
      <c r="E3100" s="1">
        <f>36.4208196703936*(10.3/7.3)</f>
        <v>51.388279808911456</v>
      </c>
      <c r="F3100" s="1">
        <f>89.4807653775187*(38.9/42.5)</f>
        <v>81.901218192599487</v>
      </c>
      <c r="G3100" s="1">
        <v>4.105031701959839</v>
      </c>
      <c r="H3100" s="1">
        <v>6.9933323902673505</v>
      </c>
      <c r="I3100" s="1">
        <v>68.287263200426892</v>
      </c>
      <c r="J3100" s="1">
        <v>6.3237256699610611E-2</v>
      </c>
      <c r="K3100" s="1">
        <v>4.3208938967429589</v>
      </c>
      <c r="L3100" s="1">
        <v>5.8242249151298537</v>
      </c>
      <c r="M3100" s="1">
        <v>0.22115033548530375</v>
      </c>
      <c r="N3100" s="1">
        <v>2.6745075450368176</v>
      </c>
      <c r="O3100" s="1">
        <v>0.18428564971751407</v>
      </c>
      <c r="P3100" s="1">
        <v>0.1304156116496368</v>
      </c>
      <c r="Q3100" s="1">
        <v>6.5605529483376479</v>
      </c>
      <c r="R3100" s="2">
        <f t="shared" si="195"/>
        <v>245.14447590197102</v>
      </c>
      <c r="S3100" s="2">
        <f t="shared" si="194"/>
        <v>4.5145467650922066</v>
      </c>
      <c r="T3100" s="2">
        <f t="shared" si="196"/>
        <v>8.9041684453694909</v>
      </c>
      <c r="U3100" s="2">
        <f t="shared" si="197"/>
        <v>258.56319111243272</v>
      </c>
    </row>
    <row r="3101" spans="1:21" x14ac:dyDescent="0.25">
      <c r="A3101">
        <v>4514677</v>
      </c>
      <c r="B3101">
        <v>18</v>
      </c>
      <c r="C3101" s="1">
        <f>11.8892317051008*(10.3/7.3)</f>
        <v>16.775217337333963</v>
      </c>
      <c r="D3101" s="1">
        <f>12.0837204838985*(10.3/7.3)</f>
        <v>17.049633011528091</v>
      </c>
      <c r="E3101" s="1">
        <f>43.0827851430763*(10.3/7.3)</f>
        <v>60.788039311463876</v>
      </c>
      <c r="F3101" s="1">
        <f>90.5927532584014*(38.9/42.5)</f>
        <v>82.919014158866233</v>
      </c>
      <c r="G3101" s="1">
        <v>3.3798502511448434</v>
      </c>
      <c r="H3101" s="1">
        <v>9.2923515800664216</v>
      </c>
      <c r="I3101" s="1">
        <v>73.163734246386241</v>
      </c>
      <c r="J3101" s="1">
        <v>6.2386881908213426E-2</v>
      </c>
      <c r="K3101" s="1">
        <v>3.9161065933319148</v>
      </c>
      <c r="L3101" s="1">
        <v>5.0997838684093777</v>
      </c>
      <c r="M3101" s="1">
        <v>0.19803247586212636</v>
      </c>
      <c r="N3101" s="1">
        <v>2.3956584509785182</v>
      </c>
      <c r="O3101" s="1">
        <v>0.16645925925925925</v>
      </c>
      <c r="P3101" s="1">
        <v>0.11846644926734887</v>
      </c>
      <c r="Q3101" s="1">
        <v>5.4015871593639098</v>
      </c>
      <c r="R3101" s="2">
        <f t="shared" si="195"/>
        <v>268.76942705615352</v>
      </c>
      <c r="S3101" s="2">
        <f t="shared" si="194"/>
        <v>4.0969599245074777</v>
      </c>
      <c r="T3101" s="2">
        <f t="shared" si="196"/>
        <v>7.8599340545092815</v>
      </c>
      <c r="U3101" s="2">
        <f t="shared" si="197"/>
        <v>280.72632103517026</v>
      </c>
    </row>
    <row r="3102" spans="1:21" x14ac:dyDescent="0.25">
      <c r="A3102">
        <v>4514709</v>
      </c>
      <c r="B3102">
        <v>18</v>
      </c>
      <c r="C3102" s="1">
        <f>4.13004263558347*(10.3/7.3)</f>
        <v>5.8273204310287294</v>
      </c>
      <c r="D3102" s="1">
        <f>5.07269676543191*(10.3/7.3)</f>
        <v>7.1573666690340723</v>
      </c>
      <c r="E3102" s="1">
        <f>17.8260700013783*(10.3/7.3)</f>
        <v>25.151852193725482</v>
      </c>
      <c r="F3102" s="1">
        <f>41.9642945843571*(38.9/42.5)</f>
        <v>38.409671984270389</v>
      </c>
      <c r="G3102" s="1">
        <v>1.8364125242459626</v>
      </c>
      <c r="H3102" s="1">
        <v>8.9848085948884986</v>
      </c>
      <c r="I3102" s="1">
        <v>32.369856961639876</v>
      </c>
      <c r="J3102" s="1">
        <v>4.1366521962037758E-2</v>
      </c>
      <c r="K3102" s="1">
        <v>2.5126269884998336</v>
      </c>
      <c r="L3102" s="1">
        <v>3.9564563043148815</v>
      </c>
      <c r="M3102" s="1">
        <v>0.12792685425569195</v>
      </c>
      <c r="N3102" s="1">
        <v>1.6334464845857848</v>
      </c>
      <c r="O3102" s="1">
        <v>0.11410074074074077</v>
      </c>
      <c r="P3102" s="1">
        <v>9.0104267682067224E-2</v>
      </c>
      <c r="Q3102" s="1">
        <v>2.934905860667067</v>
      </c>
      <c r="R3102" s="2">
        <f t="shared" si="195"/>
        <v>122.67219521950008</v>
      </c>
      <c r="S3102" s="2">
        <f t="shared" si="194"/>
        <v>2.6440977781439385</v>
      </c>
      <c r="T3102" s="2">
        <f t="shared" si="196"/>
        <v>5.8319303838970988</v>
      </c>
      <c r="U3102" s="2">
        <f t="shared" si="197"/>
        <v>131.14822338154113</v>
      </c>
    </row>
    <row r="3103" spans="1:21" x14ac:dyDescent="0.25">
      <c r="A3103">
        <v>4514717</v>
      </c>
      <c r="B3103">
        <v>24</v>
      </c>
      <c r="C3103" s="1">
        <f>3.84960648080779*(10.3/7.3)</f>
        <v>5.43163654141373</v>
      </c>
      <c r="D3103" s="1">
        <f>4.81488328531701*(10.3/7.3)</f>
        <v>6.793602443666467</v>
      </c>
      <c r="E3103" s="1">
        <f>16.8672974856692*(10.3/7.3)</f>
        <v>23.799063575670186</v>
      </c>
      <c r="F3103" s="1">
        <f>41.6803298603818*(38.9/42.5)</f>
        <v>38.149760742796559</v>
      </c>
      <c r="G3103" s="1">
        <v>1.9085087637965821</v>
      </c>
      <c r="H3103" s="1">
        <v>8.9533638175811703</v>
      </c>
      <c r="I3103" s="1">
        <v>32.238204661897569</v>
      </c>
      <c r="J3103" s="1">
        <v>3.5365688915162709E-2</v>
      </c>
      <c r="K3103" s="1">
        <v>2.4962175073520787</v>
      </c>
      <c r="L3103" s="1">
        <v>3.8187305575393236</v>
      </c>
      <c r="M3103" s="1">
        <v>0.12065314653367681</v>
      </c>
      <c r="N3103" s="1">
        <v>1.5359031677830071</v>
      </c>
      <c r="O3103" s="1">
        <v>0.10957777777777776</v>
      </c>
      <c r="P3103" s="1">
        <v>8.7905646171456339E-2</v>
      </c>
      <c r="Q3103" s="1">
        <v>3.0501281613187428</v>
      </c>
      <c r="R3103" s="2">
        <f t="shared" si="195"/>
        <v>120.32426870814101</v>
      </c>
      <c r="S3103" s="2">
        <f t="shared" si="194"/>
        <v>2.619488842438698</v>
      </c>
      <c r="T3103" s="2">
        <f t="shared" si="196"/>
        <v>5.5848646496337855</v>
      </c>
      <c r="U3103" s="2">
        <f t="shared" si="197"/>
        <v>128.52862220021348</v>
      </c>
    </row>
    <row r="3104" spans="1:21" x14ac:dyDescent="0.25">
      <c r="A3104">
        <v>4526233</v>
      </c>
      <c r="B3104">
        <v>40</v>
      </c>
      <c r="C3104" s="1">
        <f>0.734619365688799*(10.3/7.3)</f>
        <v>1.0365177351499499</v>
      </c>
      <c r="D3104" s="1">
        <f>0.997963458192913*(10.3/7.3)</f>
        <v>1.4080854273132879</v>
      </c>
      <c r="E3104" s="1">
        <f>3.47761614165769*(10.3/7.3)</f>
        <v>4.9067734601471544</v>
      </c>
      <c r="F3104" s="1">
        <f>8.89444557295819*(38.9/42.5)</f>
        <v>8.141033712660553</v>
      </c>
      <c r="G3104" s="1">
        <v>0.42336974311323922</v>
      </c>
      <c r="H3104" s="1">
        <v>1.7034764893509522</v>
      </c>
      <c r="I3104" s="1">
        <v>6.7732879680844409</v>
      </c>
      <c r="J3104" s="1">
        <v>7.5138227812447139E-2</v>
      </c>
      <c r="K3104" s="1">
        <v>3.5333697096907235</v>
      </c>
      <c r="L3104" s="1">
        <v>2.8332860040249472</v>
      </c>
      <c r="M3104" s="1">
        <v>0.34374511547214648</v>
      </c>
      <c r="N3104" s="1">
        <v>1.5980512496652866</v>
      </c>
      <c r="O3104" s="1">
        <v>0.83501333333333305</v>
      </c>
      <c r="P3104" s="1">
        <v>0.31903931939510149</v>
      </c>
      <c r="Q3104" s="1">
        <v>0.67661831091157032</v>
      </c>
      <c r="R3104" s="2">
        <f t="shared" si="195"/>
        <v>25.069162846731146</v>
      </c>
      <c r="S3104" s="2">
        <f t="shared" si="194"/>
        <v>3.9275472568982721</v>
      </c>
      <c r="T3104" s="2">
        <f t="shared" si="196"/>
        <v>5.6100957024957134</v>
      </c>
      <c r="U3104" s="2">
        <f t="shared" si="197"/>
        <v>34.606805806125131</v>
      </c>
    </row>
    <row r="3105" spans="1:21" x14ac:dyDescent="0.25">
      <c r="A3105">
        <v>4526241</v>
      </c>
      <c r="B3105">
        <v>32</v>
      </c>
      <c r="C3105" s="1">
        <f>1.0029858957619*(10.3/7.3)</f>
        <v>1.4151718803215845</v>
      </c>
      <c r="D3105" s="1">
        <f>1.38623932368957*(10.3/7.3)</f>
        <v>1.9559267169866543</v>
      </c>
      <c r="E3105" s="1">
        <f>4.8137171141636*(10.3/7.3)</f>
        <v>6.7919570240938443</v>
      </c>
      <c r="F3105" s="1">
        <f>12.9999672766729*(38.9/42.5)</f>
        <v>11.898793577942957</v>
      </c>
      <c r="G3105" s="1">
        <v>0.64514100972125199</v>
      </c>
      <c r="H3105" s="1">
        <v>2.1538564423679762</v>
      </c>
      <c r="I3105" s="1">
        <v>9.9523021357923209</v>
      </c>
      <c r="J3105" s="1">
        <v>0.16728565612598589</v>
      </c>
      <c r="K3105" s="1">
        <v>4.3338689196909508</v>
      </c>
      <c r="L3105" s="1">
        <v>4.1015765391202619</v>
      </c>
      <c r="M3105" s="1">
        <v>0.48058795739689464</v>
      </c>
      <c r="N3105" s="1">
        <v>2.492116614842883</v>
      </c>
      <c r="O3105" s="1">
        <v>1.1269500000000001</v>
      </c>
      <c r="P3105" s="1">
        <v>0.3615323246212887</v>
      </c>
      <c r="Q3105" s="1">
        <v>1.0310472758102212</v>
      </c>
      <c r="R3105" s="2">
        <f t="shared" si="195"/>
        <v>35.844196063036811</v>
      </c>
      <c r="S3105" s="2">
        <f t="shared" si="194"/>
        <v>4.8626869004382254</v>
      </c>
      <c r="T3105" s="2">
        <f t="shared" si="196"/>
        <v>8.2012311113600411</v>
      </c>
      <c r="U3105" s="2">
        <f t="shared" si="197"/>
        <v>48.908114074835083</v>
      </c>
    </row>
    <row r="3106" spans="1:21" x14ac:dyDescent="0.25">
      <c r="A3106">
        <v>4526745</v>
      </c>
      <c r="B3106">
        <v>41</v>
      </c>
      <c r="C3106" s="1">
        <f>15.5027799956754*(10.3/7.3)</f>
        <v>21.873785473350278</v>
      </c>
      <c r="D3106" s="1">
        <f>25.6330845093269*(10.3/7.3)</f>
        <v>36.167228828228424</v>
      </c>
      <c r="E3106" s="1">
        <f>90.0920497749903*(10.3/7.3)</f>
        <v>127.11617981950691</v>
      </c>
      <c r="F3106" s="1">
        <f>157.350545278569*(38.9/42.5)</f>
        <v>144.02202850203108</v>
      </c>
      <c r="G3106" s="1">
        <v>5.0725646090260792</v>
      </c>
      <c r="H3106" s="1">
        <v>8.1203036613876804</v>
      </c>
      <c r="I3106" s="1">
        <v>102.38806237229794</v>
      </c>
      <c r="J3106" s="1">
        <v>7.7272466158830891E-2</v>
      </c>
      <c r="K3106" s="1">
        <v>3.4834521667062277</v>
      </c>
      <c r="L3106" s="1">
        <v>5.7748352804990164</v>
      </c>
      <c r="M3106" s="1">
        <v>0.29144627187823341</v>
      </c>
      <c r="N3106" s="1">
        <v>2.9644586302735072</v>
      </c>
      <c r="O3106" s="1">
        <v>0.23692617886178863</v>
      </c>
      <c r="P3106" s="1">
        <v>0.15739839861667326</v>
      </c>
      <c r="Q3106" s="1">
        <v>8.1068384162517297</v>
      </c>
      <c r="R3106" s="2">
        <f t="shared" si="195"/>
        <v>452.86699168208008</v>
      </c>
      <c r="S3106" s="2">
        <f t="shared" si="194"/>
        <v>3.7181230314817317</v>
      </c>
      <c r="T3106" s="2">
        <f t="shared" si="196"/>
        <v>9.2676663615125445</v>
      </c>
      <c r="U3106" s="2">
        <f t="shared" si="197"/>
        <v>465.8527810750744</v>
      </c>
    </row>
    <row r="3107" spans="1:21" x14ac:dyDescent="0.25">
      <c r="A3107">
        <v>4526753</v>
      </c>
      <c r="B3107">
        <v>65</v>
      </c>
      <c r="C3107" s="1">
        <f>15.31321700811*(10.3/7.3)</f>
        <v>21.606319888155138</v>
      </c>
      <c r="D3107" s="1">
        <f>24.5184203608257*(10.3/7.3)</f>
        <v>34.594483522808808</v>
      </c>
      <c r="E3107" s="1">
        <f>86.2361014662924*(10.3/7.3)</f>
        <v>121.67559521956321</v>
      </c>
      <c r="F3107" s="1">
        <f>152.391969576665*(38.9/42.5)</f>
        <v>139.48347333017114</v>
      </c>
      <c r="G3107" s="1">
        <v>4.9692248856224399</v>
      </c>
      <c r="H3107" s="1">
        <v>7.908838798817456</v>
      </c>
      <c r="I3107" s="1">
        <v>100.70229677429631</v>
      </c>
      <c r="J3107" s="1">
        <v>7.7997657544378818E-2</v>
      </c>
      <c r="K3107" s="1">
        <v>3.7943545325670192</v>
      </c>
      <c r="L3107" s="1">
        <v>6.5946095016907869</v>
      </c>
      <c r="M3107" s="1">
        <v>0.31794411352795043</v>
      </c>
      <c r="N3107" s="1">
        <v>3.1868007570575854</v>
      </c>
      <c r="O3107" s="1">
        <v>0.2558785641025641</v>
      </c>
      <c r="P3107" s="1">
        <v>0.16819903598802199</v>
      </c>
      <c r="Q3107" s="1">
        <v>7.9416836071591588</v>
      </c>
      <c r="R3107" s="2">
        <f t="shared" si="195"/>
        <v>438.88191602659367</v>
      </c>
      <c r="S3107" s="2">
        <f t="shared" si="194"/>
        <v>4.0405512260994199</v>
      </c>
      <c r="T3107" s="2">
        <f t="shared" si="196"/>
        <v>10.355232936378888</v>
      </c>
      <c r="U3107" s="2">
        <f t="shared" si="197"/>
        <v>453.27770018907199</v>
      </c>
    </row>
    <row r="3108" spans="1:21" x14ac:dyDescent="0.25">
      <c r="A3108">
        <v>4526761</v>
      </c>
      <c r="B3108">
        <v>58</v>
      </c>
      <c r="C3108" s="1">
        <f>11.831189448893*(10.3/7.3)</f>
        <v>16.693322099122994</v>
      </c>
      <c r="D3108" s="1">
        <f>18.7667380390005*(10.3/7.3)</f>
        <v>26.479096137219862</v>
      </c>
      <c r="E3108" s="1">
        <f>66.0216012680318*(10.3/7.3)</f>
        <v>93.153766172702447</v>
      </c>
      <c r="F3108" s="1">
        <f>117.010844686366*(38.9/42.5)</f>
        <v>107.09933784234458</v>
      </c>
      <c r="G3108" s="1">
        <v>3.8249721525325366</v>
      </c>
      <c r="H3108" s="1">
        <v>9.2198223495269982</v>
      </c>
      <c r="I3108" s="1">
        <v>77.653586447316144</v>
      </c>
      <c r="J3108" s="1">
        <v>6.644462026902434E-2</v>
      </c>
      <c r="K3108" s="1">
        <v>3.4511981286450255</v>
      </c>
      <c r="L3108" s="1">
        <v>5.7289642573583937</v>
      </c>
      <c r="M3108" s="1">
        <v>0.28015578379268896</v>
      </c>
      <c r="N3108" s="1">
        <v>2.7878024257852791</v>
      </c>
      <c r="O3108" s="1">
        <v>0.2284229885057471</v>
      </c>
      <c r="P3108" s="1">
        <v>0.15456099230999781</v>
      </c>
      <c r="Q3108" s="1">
        <v>6.1129691935451547</v>
      </c>
      <c r="R3108" s="2">
        <f t="shared" si="195"/>
        <v>340.23687239431069</v>
      </c>
      <c r="S3108" s="2">
        <f t="shared" si="194"/>
        <v>3.6722037412240476</v>
      </c>
      <c r="T3108" s="2">
        <f t="shared" si="196"/>
        <v>9.0253454554421086</v>
      </c>
      <c r="U3108" s="2">
        <f t="shared" si="197"/>
        <v>352.93442159097685</v>
      </c>
    </row>
    <row r="3109" spans="1:21" x14ac:dyDescent="0.25">
      <c r="A3109">
        <v>4526769</v>
      </c>
      <c r="B3109">
        <v>64</v>
      </c>
      <c r="C3109" s="1">
        <f>12.7102383509442*(10.3/7.3)</f>
        <v>17.933623974619902</v>
      </c>
      <c r="D3109" s="1">
        <f>20.2368546077103*(10.3/7.3)</f>
        <v>28.553370199919968</v>
      </c>
      <c r="E3109" s="1">
        <f>71.2000289553942*(10.3/7.3)</f>
        <v>100.46031482747395</v>
      </c>
      <c r="F3109" s="1">
        <f>125.379357696138*(38.9/42.5)</f>
        <v>114.75898857364173</v>
      </c>
      <c r="G3109" s="1">
        <v>4.0604429250837342</v>
      </c>
      <c r="H3109" s="1">
        <v>7.4627868989198873</v>
      </c>
      <c r="I3109" s="1">
        <v>82.911612154419473</v>
      </c>
      <c r="J3109" s="1">
        <v>6.9130806013071339E-2</v>
      </c>
      <c r="K3109" s="1">
        <v>3.7557785962591597</v>
      </c>
      <c r="L3109" s="1">
        <v>6.5012417652704579</v>
      </c>
      <c r="M3109" s="1">
        <v>0.30257916726896444</v>
      </c>
      <c r="N3109" s="1">
        <v>3.2943384263606617</v>
      </c>
      <c r="O3109" s="1">
        <v>0.24514999999999995</v>
      </c>
      <c r="P3109" s="1">
        <v>0.16386619595296711</v>
      </c>
      <c r="Q3109" s="1">
        <v>6.4892923460242384</v>
      </c>
      <c r="R3109" s="2">
        <f t="shared" si="195"/>
        <v>362.63043190010285</v>
      </c>
      <c r="S3109" s="2">
        <f t="shared" si="194"/>
        <v>3.9887755982251982</v>
      </c>
      <c r="T3109" s="2">
        <f t="shared" si="196"/>
        <v>10.343309358900084</v>
      </c>
      <c r="U3109" s="2">
        <f t="shared" si="197"/>
        <v>376.96251685722808</v>
      </c>
    </row>
    <row r="3110" spans="1:21" x14ac:dyDescent="0.25">
      <c r="A3110">
        <v>4526777</v>
      </c>
      <c r="B3110">
        <v>64</v>
      </c>
      <c r="C3110" s="1">
        <f>12.0117963279284*(10.3/7.3)</f>
        <v>16.948150983241497</v>
      </c>
      <c r="D3110" s="1">
        <f>18.4339596047272*(10.3/7.3)</f>
        <v>26.009559442286303</v>
      </c>
      <c r="E3110" s="1">
        <f>64.9226385239807*(10.3/7.3)</f>
        <v>91.6031749036988</v>
      </c>
      <c r="F3110" s="1">
        <f>115.386502764474*(38.9/42.5)</f>
        <v>105.61258723618919</v>
      </c>
      <c r="G3110" s="1">
        <v>3.7598662066534039</v>
      </c>
      <c r="H3110" s="1">
        <v>6.6444820571195811</v>
      </c>
      <c r="I3110" s="1">
        <v>77.542291866914681</v>
      </c>
      <c r="J3110" s="1">
        <v>6.4396981821424587E-2</v>
      </c>
      <c r="K3110" s="1">
        <v>3.5965664486914712</v>
      </c>
      <c r="L3110" s="1">
        <v>6.0957366328331117</v>
      </c>
      <c r="M3110" s="1">
        <v>0.28424085615127931</v>
      </c>
      <c r="N3110" s="1">
        <v>2.95174332301672</v>
      </c>
      <c r="O3110" s="1">
        <v>0.2321349999999999</v>
      </c>
      <c r="P3110" s="1">
        <v>0.15677636341397194</v>
      </c>
      <c r="Q3110" s="1">
        <v>6.0089185951081845</v>
      </c>
      <c r="R3110" s="2">
        <f t="shared" si="195"/>
        <v>334.12903129121167</v>
      </c>
      <c r="S3110" s="2">
        <f t="shared" si="194"/>
        <v>3.8177397939268678</v>
      </c>
      <c r="T3110" s="2">
        <f t="shared" si="196"/>
        <v>9.5638558120011101</v>
      </c>
      <c r="U3110" s="2">
        <f t="shared" si="197"/>
        <v>347.51062689713967</v>
      </c>
    </row>
    <row r="3111" spans="1:21" x14ac:dyDescent="0.25">
      <c r="A3111">
        <v>4526785</v>
      </c>
      <c r="B3111">
        <v>65</v>
      </c>
      <c r="C3111" s="1">
        <f>12.4071574346421*(10.3/7.3)</f>
        <v>17.505989257097799</v>
      </c>
      <c r="D3111" s="1">
        <f>18.3170225847479*(10.3/7.3)</f>
        <v>25.844566112726454</v>
      </c>
      <c r="E3111" s="1">
        <f>64.5560837198159*(10.3/7.3)</f>
        <v>91.085981138918328</v>
      </c>
      <c r="F3111" s="1">
        <f>117.204809634785*(38.9/42.5)</f>
        <v>107.27687281866223</v>
      </c>
      <c r="G3111" s="1">
        <v>3.9117424536198406</v>
      </c>
      <c r="H3111" s="1">
        <v>6.641946593165275</v>
      </c>
      <c r="I3111" s="1">
        <v>80.389836317959819</v>
      </c>
      <c r="J3111" s="1">
        <v>6.6793641223588204E-2</v>
      </c>
      <c r="K3111" s="1">
        <v>3.7226297187229038</v>
      </c>
      <c r="L3111" s="1">
        <v>6.4453928420382374</v>
      </c>
      <c r="M3111" s="1">
        <v>0.29058284835392251</v>
      </c>
      <c r="N3111" s="1">
        <v>2.980889985602738</v>
      </c>
      <c r="O3111" s="1">
        <v>0.23645046153846158</v>
      </c>
      <c r="P3111" s="1">
        <v>0.159462355973534</v>
      </c>
      <c r="Q3111" s="1">
        <v>6.2516431907166474</v>
      </c>
      <c r="R3111" s="2">
        <f t="shared" si="195"/>
        <v>338.90857788286638</v>
      </c>
      <c r="S3111" s="2">
        <f t="shared" si="194"/>
        <v>3.9488857159200261</v>
      </c>
      <c r="T3111" s="2">
        <f t="shared" si="196"/>
        <v>9.9533161375333599</v>
      </c>
      <c r="U3111" s="2">
        <f t="shared" si="197"/>
        <v>352.81077973631977</v>
      </c>
    </row>
    <row r="3112" spans="1:21" x14ac:dyDescent="0.25">
      <c r="A3112">
        <v>4526793</v>
      </c>
      <c r="B3112">
        <v>46</v>
      </c>
      <c r="C3112" s="1">
        <f>11.2486264747402*(10.3/7.3)</f>
        <v>15.87134968353759</v>
      </c>
      <c r="D3112" s="1">
        <f>16.2170310330431*(10.3/7.3)</f>
        <v>22.881564334293756</v>
      </c>
      <c r="E3112" s="1">
        <f>57.2066202217526*(10.3/7.3)</f>
        <v>80.716190175897523</v>
      </c>
      <c r="F3112" s="1">
        <f>103.917547880608*(38.9/42.5)</f>
        <v>95.115120295427459</v>
      </c>
      <c r="G3112" s="1">
        <v>3.451818203265955</v>
      </c>
      <c r="H3112" s="1">
        <v>6.2870406201695221</v>
      </c>
      <c r="I3112" s="1">
        <v>71.889409678151395</v>
      </c>
      <c r="J3112" s="1">
        <v>6.387534448996654E-2</v>
      </c>
      <c r="K3112" s="1">
        <v>3.6178474537895653</v>
      </c>
      <c r="L3112" s="1">
        <v>6.1559721829199976</v>
      </c>
      <c r="M3112" s="1">
        <v>0.27767869391719152</v>
      </c>
      <c r="N3112" s="1">
        <v>2.8559336458864473</v>
      </c>
      <c r="O3112" s="1">
        <v>0.22806144927536237</v>
      </c>
      <c r="P3112" s="1">
        <v>0.15483911285337754</v>
      </c>
      <c r="Q3112" s="1">
        <v>5.5166044344433143</v>
      </c>
      <c r="R3112" s="2">
        <f t="shared" si="195"/>
        <v>301.72909742518652</v>
      </c>
      <c r="S3112" s="2">
        <f t="shared" si="194"/>
        <v>3.8365619111329097</v>
      </c>
      <c r="T3112" s="2">
        <f t="shared" si="196"/>
        <v>9.5176459719989985</v>
      </c>
      <c r="U3112" s="2">
        <f t="shared" si="197"/>
        <v>315.08330530831842</v>
      </c>
    </row>
    <row r="3113" spans="1:21" x14ac:dyDescent="0.25">
      <c r="A3113">
        <v>4526801</v>
      </c>
      <c r="B3113">
        <v>60</v>
      </c>
      <c r="C3113" s="1">
        <f>8.58677306200297*(10.3/7.3)</f>
        <v>12.115583909401449</v>
      </c>
      <c r="D3113" s="1">
        <f>12.5243564594442*(10.3/7.3)</f>
        <v>17.671352264695184</v>
      </c>
      <c r="E3113" s="1">
        <f>44.1347718721606*(10.3/7.3)</f>
        <v>62.272349353870489</v>
      </c>
      <c r="F3113" s="1">
        <f>81.4590293297504*(38.9/42.5)</f>
        <v>74.558970374759738</v>
      </c>
      <c r="G3113" s="1">
        <v>2.7785813232018097</v>
      </c>
      <c r="H3113" s="1">
        <v>5.6667780873257216</v>
      </c>
      <c r="I3113" s="1">
        <v>56.385382565974886</v>
      </c>
      <c r="J3113" s="1">
        <v>5.6689343636562639E-2</v>
      </c>
      <c r="K3113" s="1">
        <v>3.3676796475292785</v>
      </c>
      <c r="L3113" s="1">
        <v>5.5793944367179087</v>
      </c>
      <c r="M3113" s="1">
        <v>0.25003069518326881</v>
      </c>
      <c r="N3113" s="1">
        <v>2.6177870728391128</v>
      </c>
      <c r="O3113" s="1">
        <v>0.20805511111111114</v>
      </c>
      <c r="P3113" s="1">
        <v>0.14535396269200929</v>
      </c>
      <c r="Q3113" s="1">
        <v>4.4406550827426186</v>
      </c>
      <c r="R3113" s="2">
        <f t="shared" si="195"/>
        <v>235.88965296197188</v>
      </c>
      <c r="S3113" s="2">
        <f t="shared" si="194"/>
        <v>3.5697229538578505</v>
      </c>
      <c r="T3113" s="2">
        <f t="shared" si="196"/>
        <v>8.6552673158514022</v>
      </c>
      <c r="U3113" s="2">
        <f t="shared" si="197"/>
        <v>248.11464323168113</v>
      </c>
    </row>
    <row r="3114" spans="1:21" x14ac:dyDescent="0.25">
      <c r="A3114">
        <v>4526809</v>
      </c>
      <c r="B3114">
        <v>71</v>
      </c>
      <c r="C3114" s="1">
        <f>10.0405998638692*(10.3/7.3)</f>
        <v>14.166873780527714</v>
      </c>
      <c r="D3114" s="1">
        <f>14.5503692863729*(10.3/7.3)</f>
        <v>20.529973102690597</v>
      </c>
      <c r="E3114" s="1">
        <f>51.2697699558098*(10.3/7.3)</f>
        <v>72.339538430800189</v>
      </c>
      <c r="F3114" s="1">
        <f>95.5063199049725*(38.9/42.5)</f>
        <v>87.416372807139538</v>
      </c>
      <c r="G3114" s="1">
        <v>3.2968712989708617</v>
      </c>
      <c r="H3114" s="1">
        <v>6.3363716676451567</v>
      </c>
      <c r="I3114" s="1">
        <v>66.434400400796946</v>
      </c>
      <c r="J3114" s="1">
        <v>6.6333227411963153E-2</v>
      </c>
      <c r="K3114" s="1">
        <v>3.8614987216819419</v>
      </c>
      <c r="L3114" s="1">
        <v>6.7083558474480149</v>
      </c>
      <c r="M3114" s="1">
        <v>0.2874607231779866</v>
      </c>
      <c r="N3114" s="1">
        <v>3.0264270257117016</v>
      </c>
      <c r="O3114" s="1">
        <v>0.23756093896713612</v>
      </c>
      <c r="P3114" s="1">
        <v>0.16021714155542802</v>
      </c>
      <c r="Q3114" s="1">
        <v>5.2689723956155374</v>
      </c>
      <c r="R3114" s="2">
        <f t="shared" si="195"/>
        <v>275.78937388418655</v>
      </c>
      <c r="S3114" s="2">
        <f t="shared" si="194"/>
        <v>4.0880490906493332</v>
      </c>
      <c r="T3114" s="2">
        <f t="shared" si="196"/>
        <v>10.259804535304838</v>
      </c>
      <c r="U3114" s="2">
        <f t="shared" si="197"/>
        <v>290.13722751014075</v>
      </c>
    </row>
    <row r="3115" spans="1:21" x14ac:dyDescent="0.25">
      <c r="A3115">
        <v>4526817</v>
      </c>
      <c r="B3115">
        <v>71</v>
      </c>
      <c r="C3115" s="1">
        <f>5.33711021062386*(10.3/7.3)</f>
        <v>7.530443173893941</v>
      </c>
      <c r="D3115" s="1">
        <f>7.64409694584868*(10.3/7.3)</f>
        <v>10.785506649622112</v>
      </c>
      <c r="E3115" s="1">
        <f>26.940660858856*(10.3/7.3)</f>
        <v>38.012165321399607</v>
      </c>
      <c r="F3115" s="1">
        <f>50.5162315569599*(38.9/42.5)</f>
        <v>46.237209589782125</v>
      </c>
      <c r="G3115" s="1">
        <v>1.7556474747287065</v>
      </c>
      <c r="H3115" s="1">
        <v>4.4145959852756622</v>
      </c>
      <c r="I3115" s="1">
        <v>35.346851674018701</v>
      </c>
      <c r="J3115" s="1">
        <v>4.1772727377118436E-2</v>
      </c>
      <c r="K3115" s="1">
        <v>2.7646243953383367</v>
      </c>
      <c r="L3115" s="1">
        <v>4.1850802652785148</v>
      </c>
      <c r="M3115" s="1">
        <v>0.19506681552732938</v>
      </c>
      <c r="N3115" s="1">
        <v>2.0638158330492971</v>
      </c>
      <c r="O3115" s="1">
        <v>0.16668995305164316</v>
      </c>
      <c r="P3115" s="1">
        <v>0.12280854515309649</v>
      </c>
      <c r="Q3115" s="1">
        <v>2.805829297511635</v>
      </c>
      <c r="R3115" s="2">
        <f t="shared" si="195"/>
        <v>146.88824916623247</v>
      </c>
      <c r="S3115" s="2">
        <f t="shared" si="194"/>
        <v>2.9292056678685516</v>
      </c>
      <c r="T3115" s="2">
        <f t="shared" si="196"/>
        <v>6.6106528669067837</v>
      </c>
      <c r="U3115" s="2">
        <f t="shared" si="197"/>
        <v>156.4281077010078</v>
      </c>
    </row>
    <row r="3116" spans="1:21" x14ac:dyDescent="0.25">
      <c r="A3116">
        <v>4526825</v>
      </c>
      <c r="B3116">
        <v>72</v>
      </c>
      <c r="C3116" s="1">
        <f>5.6637094921695*(10.3/7.3)</f>
        <v>7.9912613382665496</v>
      </c>
      <c r="D3116" s="1">
        <f>8.01213576635983*(10.3/7.3)</f>
        <v>11.304794300480314</v>
      </c>
      <c r="E3116" s="1">
        <f>28.2411998832247*(10.3/7.3)</f>
        <v>39.847172437974606</v>
      </c>
      <c r="F3116" s="1">
        <f>53.4827980196586*(38.9/42.5)</f>
        <v>48.95249042269927</v>
      </c>
      <c r="G3116" s="1">
        <v>1.8796881504665082</v>
      </c>
      <c r="H3116" s="1">
        <v>4.6629712200489974</v>
      </c>
      <c r="I3116" s="1">
        <v>37.684226053988098</v>
      </c>
      <c r="J3116" s="1">
        <v>4.4653826206171664E-2</v>
      </c>
      <c r="K3116" s="1">
        <v>2.9000427944609788</v>
      </c>
      <c r="L3116" s="1">
        <v>4.4656882272094727</v>
      </c>
      <c r="M3116" s="1">
        <v>0.20379772632773666</v>
      </c>
      <c r="N3116" s="1">
        <v>2.19618934166804</v>
      </c>
      <c r="O3116" s="1">
        <v>0.17362962962962961</v>
      </c>
      <c r="P3116" s="1">
        <v>0.1257014839559942</v>
      </c>
      <c r="Q3116" s="1">
        <v>3.0040678203802664</v>
      </c>
      <c r="R3116" s="2">
        <f t="shared" si="195"/>
        <v>155.32667174430463</v>
      </c>
      <c r="S3116" s="2">
        <f t="shared" si="194"/>
        <v>3.0703981046231448</v>
      </c>
      <c r="T3116" s="2">
        <f t="shared" si="196"/>
        <v>7.0393049248348785</v>
      </c>
      <c r="U3116" s="2">
        <f t="shared" si="197"/>
        <v>165.43637477376265</v>
      </c>
    </row>
    <row r="3117" spans="1:21" x14ac:dyDescent="0.25">
      <c r="A3117">
        <v>4526833</v>
      </c>
      <c r="B3117">
        <v>71</v>
      </c>
      <c r="C3117" s="1">
        <f>3.95750592840952*(10.3/7.3)</f>
        <v>5.5838782277558927</v>
      </c>
      <c r="D3117" s="1">
        <f>5.52612298348523*(10.3/7.3)</f>
        <v>7.7971324287531321</v>
      </c>
      <c r="E3117" s="1">
        <f>19.4850816647458*(10.3/7.3)</f>
        <v>27.49264947217554</v>
      </c>
      <c r="F3117" s="1">
        <f>37.0834257441438*(38.9/42.5)</f>
        <v>33.942241445816286</v>
      </c>
      <c r="G3117" s="1">
        <v>1.3085298098512943</v>
      </c>
      <c r="H3117" s="1">
        <v>4.1142179988806866</v>
      </c>
      <c r="I3117" s="1">
        <v>26.280343851139804</v>
      </c>
      <c r="J3117" s="1">
        <v>3.5471151453616769E-2</v>
      </c>
      <c r="K3117" s="1">
        <v>2.4331542390499656</v>
      </c>
      <c r="L3117" s="1">
        <v>3.5779107799268965</v>
      </c>
      <c r="M3117" s="1">
        <v>0.16578337003120083</v>
      </c>
      <c r="N3117" s="1">
        <v>1.8263674168159048</v>
      </c>
      <c r="O3117" s="1">
        <v>0.1416856338028169</v>
      </c>
      <c r="P3117" s="1">
        <v>0.10845399858956133</v>
      </c>
      <c r="Q3117" s="1">
        <v>2.0912576869769568</v>
      </c>
      <c r="R3117" s="2">
        <f t="shared" si="195"/>
        <v>108.6102509213496</v>
      </c>
      <c r="S3117" s="2">
        <f t="shared" si="194"/>
        <v>2.5770793890931434</v>
      </c>
      <c r="T3117" s="2">
        <f t="shared" si="196"/>
        <v>5.7117472005768199</v>
      </c>
      <c r="U3117" s="2">
        <f t="shared" si="197"/>
        <v>116.89907751101957</v>
      </c>
    </row>
    <row r="3118" spans="1:21" x14ac:dyDescent="0.25">
      <c r="A3118">
        <v>4526841</v>
      </c>
      <c r="B3118">
        <v>61</v>
      </c>
      <c r="C3118" s="1">
        <f>5.78360838475292*(10.3/7.3)</f>
        <v>8.1604337483500053</v>
      </c>
      <c r="D3118" s="1">
        <f>7.97584455531744*(10.3/7.3)</f>
        <v>11.253588893119135</v>
      </c>
      <c r="E3118" s="1">
        <f>28.1201999766546*(10.3/7.3)</f>
        <v>39.676446542403042</v>
      </c>
      <c r="F3118" s="1">
        <f>54.3698717647724*(38.9/42.5)</f>
        <v>49.764423803521112</v>
      </c>
      <c r="G3118" s="1">
        <v>1.9548258791245532</v>
      </c>
      <c r="H3118" s="1">
        <v>7.5491878567013968</v>
      </c>
      <c r="I3118" s="1">
        <v>38.85311496757965</v>
      </c>
      <c r="J3118" s="1">
        <v>4.7381560853185609E-2</v>
      </c>
      <c r="K3118" s="1">
        <v>3.0489997331382268</v>
      </c>
      <c r="L3118" s="1">
        <v>4.7070859364189674</v>
      </c>
      <c r="M3118" s="1">
        <v>0.20797770169585339</v>
      </c>
      <c r="N3118" s="1">
        <v>2.3299085751921287</v>
      </c>
      <c r="O3118" s="1">
        <v>0.17593355191256832</v>
      </c>
      <c r="P3118" s="1">
        <v>0.12661335027993731</v>
      </c>
      <c r="Q3118" s="1">
        <v>3.1241509483725771</v>
      </c>
      <c r="R3118" s="2">
        <f t="shared" si="195"/>
        <v>160.33617263917148</v>
      </c>
      <c r="S3118" s="2">
        <f t="shared" si="194"/>
        <v>3.22299464427135</v>
      </c>
      <c r="T3118" s="2">
        <f t="shared" si="196"/>
        <v>7.4209057652195183</v>
      </c>
      <c r="U3118" s="2">
        <f t="shared" si="197"/>
        <v>170.98007304866235</v>
      </c>
    </row>
    <row r="3119" spans="1:21" x14ac:dyDescent="0.25">
      <c r="A3119">
        <v>4526849</v>
      </c>
      <c r="B3119">
        <v>71</v>
      </c>
      <c r="C3119" s="1">
        <f>8.0472896146144*(10.3/7.3)</f>
        <v>11.354394935688813</v>
      </c>
      <c r="D3119" s="1">
        <f>10.8873806821981*(10.3/7.3)</f>
        <v>15.361646715978141</v>
      </c>
      <c r="E3119" s="1">
        <f>38.3908871543939*(10.3/7.3)</f>
        <v>54.16796406715855</v>
      </c>
      <c r="F3119" s="1">
        <f>75.4810002988566*(38.9/42.5)</f>
        <v>69.087315567659331</v>
      </c>
      <c r="G3119" s="1">
        <v>2.7629958514841539</v>
      </c>
      <c r="H3119" s="1">
        <v>6.1933029905529491</v>
      </c>
      <c r="I3119" s="1">
        <v>54.512187785140199</v>
      </c>
      <c r="J3119" s="1">
        <v>6.150290768698545E-2</v>
      </c>
      <c r="K3119" s="1">
        <v>3.6998545671501688</v>
      </c>
      <c r="L3119" s="1">
        <v>6.134573425803671</v>
      </c>
      <c r="M3119" s="1">
        <v>0.25316670610005615</v>
      </c>
      <c r="N3119" s="1">
        <v>2.943350814174059</v>
      </c>
      <c r="O3119" s="1">
        <v>0.2102264788732395</v>
      </c>
      <c r="P3119" s="1">
        <v>0.14494000676254137</v>
      </c>
      <c r="Q3119" s="1">
        <v>4.4157467946093822</v>
      </c>
      <c r="R3119" s="2">
        <f t="shared" si="195"/>
        <v>217.85555470827154</v>
      </c>
      <c r="S3119" s="2">
        <f t="shared" si="194"/>
        <v>3.9062974815996956</v>
      </c>
      <c r="T3119" s="2">
        <f t="shared" si="196"/>
        <v>9.5413174249510266</v>
      </c>
      <c r="U3119" s="2">
        <f t="shared" si="197"/>
        <v>231.30316961482225</v>
      </c>
    </row>
    <row r="3120" spans="1:21" x14ac:dyDescent="0.25">
      <c r="A3120">
        <v>4526857</v>
      </c>
      <c r="B3120">
        <v>71</v>
      </c>
      <c r="C3120" s="1">
        <f>8.01497749057278*(10.3/7.3)</f>
        <v>11.308803856561598</v>
      </c>
      <c r="D3120" s="1">
        <f>10.6714030279374*(10.3/7.3)</f>
        <v>15.056911121610272</v>
      </c>
      <c r="E3120" s="1">
        <f>37.6403551956344*(10.3/7.3)</f>
        <v>53.108994317128001</v>
      </c>
      <c r="F3120" s="1">
        <f>74.7295968911542*(38.9/42.5)</f>
        <v>68.399560448609364</v>
      </c>
      <c r="G3120" s="1">
        <v>2.7605628253562848</v>
      </c>
      <c r="H3120" s="1">
        <v>6.1144827471549306</v>
      </c>
      <c r="I3120" s="1">
        <v>54.384248424744662</v>
      </c>
      <c r="J3120" s="1">
        <v>6.1845471686089351E-2</v>
      </c>
      <c r="K3120" s="1">
        <v>3.7144520525457985</v>
      </c>
      <c r="L3120" s="1">
        <v>6.1452736436672515</v>
      </c>
      <c r="M3120" s="1">
        <v>0.2493411786523029</v>
      </c>
      <c r="N3120" s="1">
        <v>3.1594395028071407</v>
      </c>
      <c r="O3120" s="1">
        <v>0.20651342723004693</v>
      </c>
      <c r="P3120" s="1">
        <v>0.14304935206968222</v>
      </c>
      <c r="Q3120" s="1">
        <v>4.4118583966881317</v>
      </c>
      <c r="R3120" s="2">
        <f t="shared" si="195"/>
        <v>215.54542213785325</v>
      </c>
      <c r="S3120" s="2">
        <f t="shared" si="194"/>
        <v>3.91934687630157</v>
      </c>
      <c r="T3120" s="2">
        <f t="shared" si="196"/>
        <v>9.7605677523567422</v>
      </c>
      <c r="U3120" s="2">
        <f t="shared" si="197"/>
        <v>229.22533676651156</v>
      </c>
    </row>
    <row r="3121" spans="1:21" x14ac:dyDescent="0.25">
      <c r="A3121">
        <v>4526865</v>
      </c>
      <c r="B3121">
        <v>41</v>
      </c>
      <c r="C3121" s="1">
        <f>7.25396238892801*(10.3/7.3)</f>
        <v>10.235042822734041</v>
      </c>
      <c r="D3121" s="1">
        <f>9.51818683667846*(10.3/7.3)</f>
        <v>13.429770468190156</v>
      </c>
      <c r="E3121" s="1">
        <f>33.5796498786694*(10.3/7.3)</f>
        <v>47.379505993191117</v>
      </c>
      <c r="F3121" s="1">
        <f>67.3755005548418*(38.9/42.5)</f>
        <v>61.668399331372825</v>
      </c>
      <c r="G3121" s="1">
        <v>2.5145747060752588</v>
      </c>
      <c r="H3121" s="1">
        <v>5.6379391050547154</v>
      </c>
      <c r="I3121" s="1">
        <v>49.389823124318653</v>
      </c>
      <c r="J3121" s="1">
        <v>5.757220254903711E-2</v>
      </c>
      <c r="K3121" s="1">
        <v>3.5515439524040571</v>
      </c>
      <c r="L3121" s="1">
        <v>5.6805047820215853</v>
      </c>
      <c r="M3121" s="1">
        <v>0.23110649178635231</v>
      </c>
      <c r="N3121" s="1">
        <v>3.1101422816053783</v>
      </c>
      <c r="O3121" s="1">
        <v>0.19274536585365853</v>
      </c>
      <c r="P3121" s="1">
        <v>0.13529513874242974</v>
      </c>
      <c r="Q3121" s="1">
        <v>4.018726699207039</v>
      </c>
      <c r="R3121" s="2">
        <f t="shared" si="195"/>
        <v>194.27378225014382</v>
      </c>
      <c r="S3121" s="2">
        <f t="shared" si="194"/>
        <v>3.7444112936955238</v>
      </c>
      <c r="T3121" s="2">
        <f t="shared" si="196"/>
        <v>9.2144989212669746</v>
      </c>
      <c r="U3121" s="2">
        <f t="shared" si="197"/>
        <v>207.23269246510631</v>
      </c>
    </row>
    <row r="3122" spans="1:21" x14ac:dyDescent="0.25">
      <c r="A3122">
        <v>4526873</v>
      </c>
      <c r="B3122">
        <v>71</v>
      </c>
      <c r="C3122" s="1">
        <f>6.5284290533707*(10.3/7.3)</f>
        <v>9.2113451027011308</v>
      </c>
      <c r="D3122" s="1">
        <f>8.50168689757546*(10.3/7.3)</f>
        <v>11.995530828085917</v>
      </c>
      <c r="E3122" s="1">
        <f>29.992908022072*(10.3/7.3)</f>
        <v>42.318760633882405</v>
      </c>
      <c r="F3122" s="1">
        <f>60.7031301414642*(38.9/42.5)</f>
        <v>55.561217941246063</v>
      </c>
      <c r="G3122" s="1">
        <v>2.2864551936194064</v>
      </c>
      <c r="H3122" s="1">
        <v>5.2854981704321773</v>
      </c>
      <c r="I3122" s="1">
        <v>44.695454932391179</v>
      </c>
      <c r="J3122" s="1">
        <v>5.2767884290435649E-2</v>
      </c>
      <c r="K3122" s="1">
        <v>3.3560898627007689</v>
      </c>
      <c r="L3122" s="1">
        <v>5.1496284670804569</v>
      </c>
      <c r="M3122" s="1">
        <v>0.2127894999859205</v>
      </c>
      <c r="N3122" s="1">
        <v>2.5870576865001893</v>
      </c>
      <c r="O3122" s="1">
        <v>0.17726272300469481</v>
      </c>
      <c r="P3122" s="1">
        <v>0.12655592907914773</v>
      </c>
      <c r="Q3122" s="1">
        <v>3.6541521359214268</v>
      </c>
      <c r="R3122" s="2">
        <f t="shared" si="195"/>
        <v>175.00841493827971</v>
      </c>
      <c r="S3122" s="2">
        <f t="shared" si="194"/>
        <v>3.5354136760703523</v>
      </c>
      <c r="T3122" s="2">
        <f t="shared" si="196"/>
        <v>8.1267383765712609</v>
      </c>
      <c r="U3122" s="2">
        <f t="shared" si="197"/>
        <v>186.67056699092134</v>
      </c>
    </row>
    <row r="3123" spans="1:21" x14ac:dyDescent="0.25">
      <c r="A3123">
        <v>4526881</v>
      </c>
      <c r="B3123">
        <v>71</v>
      </c>
      <c r="C3123" s="1">
        <f>7.96017029406469*(10.3/7.3)</f>
        <v>11.231473154639223</v>
      </c>
      <c r="D3123" s="1">
        <f>10.2174109775484*(10.3/7.3)</f>
        <v>14.416346995718943</v>
      </c>
      <c r="E3123" s="1">
        <f>36.0393599041158*(10.3/7.3)</f>
        <v>50.850055755122284</v>
      </c>
      <c r="F3123" s="1">
        <f>74.414048708635*(38.9/42.5)</f>
        <v>68.11074105331528</v>
      </c>
      <c r="G3123" s="1">
        <v>2.8628859303985315</v>
      </c>
      <c r="H3123" s="1">
        <v>6.0141359666944272</v>
      </c>
      <c r="I3123" s="1">
        <v>55.284964714192249</v>
      </c>
      <c r="J3123" s="1">
        <v>6.1527291167731139E-2</v>
      </c>
      <c r="K3123" s="1">
        <v>3.8863411501694936</v>
      </c>
      <c r="L3123" s="1">
        <v>5.973522231941625</v>
      </c>
      <c r="M3123" s="1">
        <v>0.23510292424009685</v>
      </c>
      <c r="N3123" s="1">
        <v>2.8180827446046468</v>
      </c>
      <c r="O3123" s="1">
        <v>0.19502347417840379</v>
      </c>
      <c r="P3123" s="1">
        <v>0.13626840852939956</v>
      </c>
      <c r="Q3123" s="1">
        <v>4.5753884732396672</v>
      </c>
      <c r="R3123" s="2">
        <f t="shared" si="195"/>
        <v>213.34599204332059</v>
      </c>
      <c r="S3123" s="2">
        <f t="shared" si="194"/>
        <v>4.0841368498666242</v>
      </c>
      <c r="T3123" s="2">
        <f t="shared" si="196"/>
        <v>9.221731374964774</v>
      </c>
      <c r="U3123" s="2">
        <f t="shared" si="197"/>
        <v>226.65186026815198</v>
      </c>
    </row>
    <row r="3124" spans="1:21" x14ac:dyDescent="0.25">
      <c r="A3124">
        <v>4526889</v>
      </c>
      <c r="B3124">
        <v>53</v>
      </c>
      <c r="C3124" s="1">
        <f>8.5247973538827*(10.3/7.3)</f>
        <v>12.028138732190659</v>
      </c>
      <c r="D3124" s="1">
        <f>10.8111945563269*(10.3/7.3)</f>
        <v>15.254151223310521</v>
      </c>
      <c r="E3124" s="1">
        <f>38.1224800819741*(10.3/7.3)</f>
        <v>53.789252718401819</v>
      </c>
      <c r="F3124" s="1">
        <f>80.3131580797645*(38.9/42.5)</f>
        <v>73.510161160066772</v>
      </c>
      <c r="G3124" s="1">
        <v>3.1552000624805969</v>
      </c>
      <c r="H3124" s="1">
        <v>6.2869414182859193</v>
      </c>
      <c r="I3124" s="1">
        <v>60.143487007714029</v>
      </c>
      <c r="J3124" s="1">
        <v>6.5076654996837874E-2</v>
      </c>
      <c r="K3124" s="1">
        <v>4.2741816536630974</v>
      </c>
      <c r="L3124" s="1">
        <v>6.2317948720727685</v>
      </c>
      <c r="M3124" s="1">
        <v>0.23857875105318632</v>
      </c>
      <c r="N3124" s="1">
        <v>2.8708325112879338</v>
      </c>
      <c r="O3124" s="1">
        <v>0.19909735849056601</v>
      </c>
      <c r="P3124" s="1">
        <v>0.13766559694562808</v>
      </c>
      <c r="Q3124" s="1">
        <v>5.0425571774804112</v>
      </c>
      <c r="R3124" s="2">
        <f t="shared" si="195"/>
        <v>229.20988949993071</v>
      </c>
      <c r="S3124" s="2">
        <f t="shared" si="194"/>
        <v>4.4769239056055632</v>
      </c>
      <c r="T3124" s="2">
        <f t="shared" si="196"/>
        <v>9.540303492904453</v>
      </c>
      <c r="U3124" s="2">
        <f t="shared" si="197"/>
        <v>243.22711689844073</v>
      </c>
    </row>
    <row r="3125" spans="1:21" x14ac:dyDescent="0.25">
      <c r="A3125">
        <v>4526897</v>
      </c>
      <c r="B3125">
        <v>66</v>
      </c>
      <c r="C3125" s="1">
        <f>8.13957584914897*(10.3/7.3)</f>
        <v>11.484607020032115</v>
      </c>
      <c r="D3125" s="1">
        <f>10.2205052896087*(10.3/7.3)</f>
        <v>14.420712942872614</v>
      </c>
      <c r="E3125" s="1">
        <f>36.0141643655817*(10.3/7.3)</f>
        <v>50.814505885683801</v>
      </c>
      <c r="F3125" s="1">
        <f>77.9680488765192*(38.9/42.5)</f>
        <v>71.363696501096371</v>
      </c>
      <c r="G3125" s="1">
        <v>3.1509923094753836</v>
      </c>
      <c r="H3125" s="1">
        <v>6.4913828058582723</v>
      </c>
      <c r="I3125" s="1">
        <v>58.878592718834248</v>
      </c>
      <c r="J3125" s="1">
        <v>6.4219860210043736E-2</v>
      </c>
      <c r="K3125" s="1">
        <v>4.544344327179588</v>
      </c>
      <c r="L3125" s="1">
        <v>5.8993143167282041</v>
      </c>
      <c r="M3125" s="1">
        <v>0.22665311951432754</v>
      </c>
      <c r="N3125" s="1">
        <v>2.7231678214183663</v>
      </c>
      <c r="O3125" s="1">
        <v>0.18844202020202017</v>
      </c>
      <c r="P3125" s="1">
        <v>0.13216333508136177</v>
      </c>
      <c r="Q3125" s="1">
        <v>5.0358324580656859</v>
      </c>
      <c r="R3125" s="2">
        <f t="shared" si="195"/>
        <v>221.64032264191852</v>
      </c>
      <c r="S3125" s="2">
        <f t="shared" si="194"/>
        <v>4.7407275224709942</v>
      </c>
      <c r="T3125" s="2">
        <f t="shared" si="196"/>
        <v>9.0375772778629173</v>
      </c>
      <c r="U3125" s="2">
        <f t="shared" si="197"/>
        <v>235.41862744225241</v>
      </c>
    </row>
    <row r="3126" spans="1:21" x14ac:dyDescent="0.25">
      <c r="A3126">
        <v>4526905</v>
      </c>
      <c r="B3126">
        <v>40</v>
      </c>
      <c r="C3126" s="1">
        <f>7.7151114429022*(10.3/7.3)</f>
        <v>10.885705186560637</v>
      </c>
      <c r="D3126" s="1">
        <f>9.96781240524576*(10.3/7.3)</f>
        <v>14.064173667675522</v>
      </c>
      <c r="E3126" s="1">
        <f>34.8258284362268*(10.3/7.3)</f>
        <v>49.13781272508713</v>
      </c>
      <c r="F3126" s="1">
        <f>88.2347826348548*(38.9/42.5)</f>
        <v>80.760777517549457</v>
      </c>
      <c r="G3126" s="1">
        <v>4.1419066090703849</v>
      </c>
      <c r="H3126" s="1">
        <v>8.6383935200184929</v>
      </c>
      <c r="I3126" s="1">
        <v>67.93812473513745</v>
      </c>
      <c r="J3126" s="1">
        <v>6.1340389994912328E-2</v>
      </c>
      <c r="K3126" s="1">
        <v>4.2320202686762789</v>
      </c>
      <c r="L3126" s="1">
        <v>5.206477884238911</v>
      </c>
      <c r="M3126" s="1">
        <v>0.20247965516381919</v>
      </c>
      <c r="N3126" s="1">
        <v>2.6145218043222038</v>
      </c>
      <c r="O3126" s="1">
        <v>0.16963733333333331</v>
      </c>
      <c r="P3126" s="1">
        <v>0.12123627270249518</v>
      </c>
      <c r="Q3126" s="1">
        <v>6.6194854482860119</v>
      </c>
      <c r="R3126" s="2">
        <f t="shared" si="195"/>
        <v>242.1863794093851</v>
      </c>
      <c r="S3126" s="2">
        <f t="shared" si="194"/>
        <v>4.4145969313736861</v>
      </c>
      <c r="T3126" s="2">
        <f t="shared" si="196"/>
        <v>8.1931166770582688</v>
      </c>
      <c r="U3126" s="2">
        <f t="shared" si="197"/>
        <v>254.79409301781706</v>
      </c>
    </row>
    <row r="3127" spans="1:21" x14ac:dyDescent="0.25">
      <c r="A3127">
        <v>4526945</v>
      </c>
      <c r="B3127">
        <v>26</v>
      </c>
      <c r="C3127" s="1">
        <f>3.6960100965196*(10.3/7.3)</f>
        <v>5.214918355363273</v>
      </c>
      <c r="D3127" s="1">
        <f>4.56375645226062*(10.3/7.3)</f>
        <v>6.4392728025047052</v>
      </c>
      <c r="E3127" s="1">
        <f>16.0306635058728*(10.3/7.3)</f>
        <v>22.618607412395871</v>
      </c>
      <c r="F3127" s="1">
        <f>37.8919690310001*(38.9/42.5)</f>
        <v>34.682296360138942</v>
      </c>
      <c r="G3127" s="1">
        <v>1.6658364942575632</v>
      </c>
      <c r="H3127" s="1">
        <v>8.3692919724809673</v>
      </c>
      <c r="I3127" s="1">
        <v>29.203420447315867</v>
      </c>
      <c r="J3127" s="1">
        <v>3.505343263866996E-2</v>
      </c>
      <c r="K3127" s="1">
        <v>2.3584802366879671</v>
      </c>
      <c r="L3127" s="1">
        <v>4.3942544743521665</v>
      </c>
      <c r="M3127" s="1">
        <v>0.1175084848128277</v>
      </c>
      <c r="N3127" s="1">
        <v>1.481582724274382</v>
      </c>
      <c r="O3127" s="1">
        <v>0.10682256410256409</v>
      </c>
      <c r="P3127" s="1">
        <v>8.5913379371622564E-2</v>
      </c>
      <c r="Q3127" s="1">
        <v>2.6622957670782998</v>
      </c>
      <c r="R3127" s="2">
        <f t="shared" si="195"/>
        <v>110.85593961153549</v>
      </c>
      <c r="S3127" s="2">
        <f t="shared" si="194"/>
        <v>2.4794470486982596</v>
      </c>
      <c r="T3127" s="2">
        <f t="shared" si="196"/>
        <v>6.1001682475419408</v>
      </c>
      <c r="U3127" s="2">
        <f t="shared" si="197"/>
        <v>119.4355549077757</v>
      </c>
    </row>
    <row r="3128" spans="1:21" x14ac:dyDescent="0.25">
      <c r="A3128">
        <v>4526953</v>
      </c>
      <c r="B3128">
        <v>35</v>
      </c>
      <c r="C3128" s="1">
        <f>3.9201472788839*(10.3/7.3)</f>
        <v>5.531166708562214</v>
      </c>
      <c r="D3128" s="1">
        <f>5.07440150483715*(10.3/7.3)</f>
        <v>7.1597719862770681</v>
      </c>
      <c r="E3128" s="1">
        <f>17.6905957487136*(10.3/7.3)</f>
        <v>24.960703590650638</v>
      </c>
      <c r="F3128" s="1">
        <f>46.709329605828*(38.9/42.5)</f>
        <v>42.752774627451942</v>
      </c>
      <c r="G3128" s="1">
        <v>2.2631875192618653</v>
      </c>
      <c r="H3128" s="1">
        <v>8.7830501593972965</v>
      </c>
      <c r="I3128" s="1">
        <v>36.185865482923354</v>
      </c>
      <c r="J3128" s="1">
        <v>3.4193433157168517E-2</v>
      </c>
      <c r="K3128" s="1">
        <v>2.486526058497363</v>
      </c>
      <c r="L3128" s="1">
        <v>3.7994425580350919</v>
      </c>
      <c r="M3128" s="1">
        <v>0.11841546784625062</v>
      </c>
      <c r="N3128" s="1">
        <v>1.4964436653953992</v>
      </c>
      <c r="O3128" s="1">
        <v>0.10766780952380953</v>
      </c>
      <c r="P3128" s="1">
        <v>8.6416950613931579E-2</v>
      </c>
      <c r="Q3128" s="1">
        <v>3.61696635498472</v>
      </c>
      <c r="R3128" s="2">
        <f t="shared" si="195"/>
        <v>131.25348642950908</v>
      </c>
      <c r="S3128" s="2">
        <f t="shared" si="194"/>
        <v>2.6071364422684629</v>
      </c>
      <c r="T3128" s="2">
        <f t="shared" si="196"/>
        <v>5.5219695008005516</v>
      </c>
      <c r="U3128" s="2">
        <f t="shared" si="197"/>
        <v>139.38259237257807</v>
      </c>
    </row>
    <row r="3129" spans="1:21" x14ac:dyDescent="0.25">
      <c r="A3129">
        <v>453517</v>
      </c>
      <c r="B3129">
        <v>3</v>
      </c>
      <c r="C3129" s="1">
        <f>0.57712482799955*(10.3/7.3)</f>
        <v>0.8142994148486804</v>
      </c>
      <c r="D3129" s="1">
        <f>0.723853266289504*(10.3/7.3)</f>
        <v>1.0213272113399856</v>
      </c>
      <c r="E3129" s="1">
        <f>2.55495254750713*(10.3/7.3)</f>
        <v>3.6049330464826617</v>
      </c>
      <c r="F3129" s="1">
        <f>5.32015602533799*(38.9/42.5)</f>
        <v>4.8695075149564238</v>
      </c>
      <c r="G3129" s="1">
        <v>0.20575593193950317</v>
      </c>
      <c r="H3129" s="1">
        <v>0.49356170339718991</v>
      </c>
      <c r="I3129" s="1">
        <v>3.9892648653194982</v>
      </c>
      <c r="J3129" s="1">
        <v>1.3714034543329772E-2</v>
      </c>
      <c r="K3129" s="1">
        <v>1.8170318043619023</v>
      </c>
      <c r="L3129" s="1">
        <v>0.79783459488067365</v>
      </c>
      <c r="M3129" s="1">
        <v>4.9308963557221995E-2</v>
      </c>
      <c r="N3129" s="1">
        <v>0.46647023130148391</v>
      </c>
      <c r="O3129" s="1">
        <v>4.5848888888888883E-2</v>
      </c>
      <c r="P3129" s="1">
        <v>4.2094356961734518E-2</v>
      </c>
      <c r="Q3129" s="1">
        <v>0.3288336811818548</v>
      </c>
      <c r="R3129" s="2">
        <f t="shared" si="195"/>
        <v>15.327483369465797</v>
      </c>
      <c r="S3129" s="2">
        <f t="shared" si="194"/>
        <v>1.8728401958669665</v>
      </c>
      <c r="T3129" s="2">
        <f t="shared" si="196"/>
        <v>1.3594626786282684</v>
      </c>
      <c r="U3129" s="2">
        <f t="shared" si="197"/>
        <v>18.559786243961032</v>
      </c>
    </row>
    <row r="3130" spans="1:21" x14ac:dyDescent="0.25">
      <c r="A3130">
        <v>453533</v>
      </c>
      <c r="B3130">
        <v>40</v>
      </c>
      <c r="C3130" s="1">
        <f>1.24788805976908*(10.3/7.3)</f>
        <v>1.760718769263216</v>
      </c>
      <c r="D3130" s="1">
        <f>1.888262386305*(10.3/7.3)</f>
        <v>2.6642606272522618</v>
      </c>
      <c r="E3130" s="1">
        <f>6.52856540170523*(10.3/7.3)</f>
        <v>9.2115374845977893</v>
      </c>
      <c r="F3130" s="1">
        <f>17.8950565143905*(38.9/42.5)</f>
        <v>16.379239962583316</v>
      </c>
      <c r="G3130" s="1">
        <v>0.90578120990873701</v>
      </c>
      <c r="H3130" s="1">
        <v>3.5653254860357451</v>
      </c>
      <c r="I3130" s="1">
        <v>13.465084823266105</v>
      </c>
      <c r="J3130" s="1">
        <v>3.112920356389327E-2</v>
      </c>
      <c r="K3130" s="1">
        <v>4.0480066822390546</v>
      </c>
      <c r="L3130" s="1">
        <v>1.496397155229793</v>
      </c>
      <c r="M3130" s="1">
        <v>8.1286662551465966E-2</v>
      </c>
      <c r="N3130" s="1">
        <v>1.020847426953035</v>
      </c>
      <c r="O3130" s="1">
        <v>7.7053333333333335E-2</v>
      </c>
      <c r="P3130" s="1">
        <v>6.5793887355398678E-2</v>
      </c>
      <c r="Q3130" s="1">
        <v>1.4475955409500376</v>
      </c>
      <c r="R3130" s="2">
        <f t="shared" si="195"/>
        <v>49.399543903857207</v>
      </c>
      <c r="S3130" s="2">
        <f t="shared" si="194"/>
        <v>4.1449297731583465</v>
      </c>
      <c r="T3130" s="2">
        <f t="shared" si="196"/>
        <v>2.6755845780676268</v>
      </c>
      <c r="U3130" s="2">
        <f t="shared" si="197"/>
        <v>56.220058255083181</v>
      </c>
    </row>
    <row r="3131" spans="1:21" x14ac:dyDescent="0.25">
      <c r="A3131">
        <v>453589</v>
      </c>
      <c r="B3131">
        <v>1</v>
      </c>
      <c r="C3131" s="1">
        <f>1.01405094001853*(10.3/7.3)</f>
        <v>1.4307842030398481</v>
      </c>
      <c r="D3131" s="1">
        <f>2.06652618954863*(10.3/7.3)</f>
        <v>2.9157835277193023</v>
      </c>
      <c r="E3131" s="1">
        <f>6.92643845690407*(10.3/7.3)</f>
        <v>9.7729200145358739</v>
      </c>
      <c r="F3131" s="1">
        <f>26.6352386738351*(38.9/42.5)</f>
        <v>24.379077280286747</v>
      </c>
      <c r="G3131" s="1">
        <v>1.6298101544382342</v>
      </c>
      <c r="H3131" s="1">
        <v>6.1672819017961018</v>
      </c>
      <c r="I3131" s="1">
        <v>20.326391727581239</v>
      </c>
      <c r="J3131" s="1">
        <v>2.0740779965283392E-2</v>
      </c>
      <c r="K3131" s="1">
        <v>2.447952072369346</v>
      </c>
      <c r="L3131" s="1">
        <v>1.1441885604924602</v>
      </c>
      <c r="M3131" s="1">
        <v>6.1561855686409997E-2</v>
      </c>
      <c r="N3131" s="1">
        <v>0.72571544746417926</v>
      </c>
      <c r="O3131" s="1">
        <v>6.3573333333333329E-2</v>
      </c>
      <c r="P3131" s="1">
        <v>5.483485795259152E-2</v>
      </c>
      <c r="Q3131" s="1">
        <v>2.6047194249012899</v>
      </c>
      <c r="R3131" s="2">
        <f t="shared" si="195"/>
        <v>69.226768234298632</v>
      </c>
      <c r="S3131" s="2">
        <f t="shared" si="194"/>
        <v>2.5235277102872211</v>
      </c>
      <c r="T3131" s="2">
        <f t="shared" si="196"/>
        <v>1.9950391969763825</v>
      </c>
      <c r="U3131" s="2">
        <f t="shared" si="197"/>
        <v>73.745335141562236</v>
      </c>
    </row>
    <row r="3132" spans="1:21" x14ac:dyDescent="0.25">
      <c r="A3132">
        <v>453597</v>
      </c>
      <c r="B3132">
        <v>11</v>
      </c>
      <c r="C3132" s="1">
        <f>0.938991038616747*(10.3/7.3)</f>
        <v>1.3248777668154101</v>
      </c>
      <c r="D3132" s="1">
        <f>1.48920293007459*(10.3/7.3)</f>
        <v>2.1012041342148313</v>
      </c>
      <c r="E3132" s="1">
        <f>5.13514341894119*(10.3/7.3)</f>
        <v>7.2454763308348253</v>
      </c>
      <c r="F3132" s="1">
        <f>14.3224415108112*(38.9/42.5)</f>
        <v>13.10924646518955</v>
      </c>
      <c r="G3132" s="1">
        <v>0.73651149165911889</v>
      </c>
      <c r="H3132" s="1">
        <v>5.0041220303393112</v>
      </c>
      <c r="I3132" s="1">
        <v>10.708901475581273</v>
      </c>
      <c r="J3132" s="1">
        <v>2.0328031963444879E-2</v>
      </c>
      <c r="K3132" s="1">
        <v>2.3541710782440912</v>
      </c>
      <c r="L3132" s="1">
        <v>1.0834307068343305</v>
      </c>
      <c r="M3132" s="1">
        <v>5.8902207228405577E-2</v>
      </c>
      <c r="N3132" s="1">
        <v>0.71304024835197199</v>
      </c>
      <c r="O3132" s="1">
        <v>6.0213333333333334E-2</v>
      </c>
      <c r="P3132" s="1">
        <v>5.3318934039541729E-2</v>
      </c>
      <c r="Q3132" s="1">
        <v>1.1770731601858075</v>
      </c>
      <c r="R3132" s="2">
        <f t="shared" si="195"/>
        <v>41.407412854820123</v>
      </c>
      <c r="S3132" s="2">
        <f t="shared" si="194"/>
        <v>2.4278180442470778</v>
      </c>
      <c r="T3132" s="2">
        <f t="shared" si="196"/>
        <v>1.9155864957480413</v>
      </c>
      <c r="U3132" s="2">
        <f t="shared" si="197"/>
        <v>45.750817394815243</v>
      </c>
    </row>
    <row r="3133" spans="1:21" x14ac:dyDescent="0.25">
      <c r="A3133">
        <v>4538469</v>
      </c>
      <c r="B3133">
        <v>53</v>
      </c>
      <c r="C3133" s="1">
        <f>0.685370020162076*(10.3/7.3)</f>
        <v>0.96702893255744993</v>
      </c>
      <c r="D3133" s="1">
        <f>0.935411748815196*(10.3/7.3)</f>
        <v>1.3198275359995231</v>
      </c>
      <c r="E3133" s="1">
        <f>3.25603379502359*(10.3/7.3)</f>
        <v>4.5941298751702728</v>
      </c>
      <c r="F3133" s="1">
        <f>8.47957447277002*(38.9/42.5)</f>
        <v>7.7613046350765629</v>
      </c>
      <c r="G3133" s="1">
        <v>0.40938890863045135</v>
      </c>
      <c r="H3133" s="1">
        <v>1.5386705400838006</v>
      </c>
      <c r="I3133" s="1">
        <v>6.4704249422298252</v>
      </c>
      <c r="J3133" s="1">
        <v>9.1163231212630425E-2</v>
      </c>
      <c r="K3133" s="1">
        <v>3.4149394836479217</v>
      </c>
      <c r="L3133" s="1">
        <v>2.8202069125235303</v>
      </c>
      <c r="M3133" s="1">
        <v>0.34417256607130881</v>
      </c>
      <c r="N3133" s="1">
        <v>1.6707567349380141</v>
      </c>
      <c r="O3133" s="1">
        <v>0.7893232704402513</v>
      </c>
      <c r="P3133" s="1">
        <v>0.3047941582987988</v>
      </c>
      <c r="Q3133" s="1">
        <v>0.65427451150985416</v>
      </c>
      <c r="R3133" s="2">
        <f t="shared" si="195"/>
        <v>23.715049881257741</v>
      </c>
      <c r="S3133" s="2">
        <f t="shared" si="194"/>
        <v>3.8108968731593507</v>
      </c>
      <c r="T3133" s="2">
        <f t="shared" si="196"/>
        <v>5.6244594839731041</v>
      </c>
      <c r="U3133" s="2">
        <f t="shared" si="197"/>
        <v>33.150406238390197</v>
      </c>
    </row>
    <row r="3134" spans="1:21" x14ac:dyDescent="0.25">
      <c r="A3134">
        <v>4538981</v>
      </c>
      <c r="B3134">
        <v>52</v>
      </c>
      <c r="C3134" s="1">
        <f>15.6468170341052*(10.3/7.3)</f>
        <v>22.077015815244373</v>
      </c>
      <c r="D3134" s="1">
        <f>25.8985807264647*(10.3/7.3)</f>
        <v>36.541833079806374</v>
      </c>
      <c r="E3134" s="1">
        <f>91.0245574644427*(10.3/7.3)</f>
        <v>128.43190984709031</v>
      </c>
      <c r="F3134" s="1">
        <f>158.844279271071*(38.9/42.5)</f>
        <v>145.38923443869766</v>
      </c>
      <c r="G3134" s="1">
        <v>5.1149355422868918</v>
      </c>
      <c r="H3134" s="1">
        <v>7.9640053266385324</v>
      </c>
      <c r="I3134" s="1">
        <v>103.28939033059585</v>
      </c>
      <c r="J3134" s="1">
        <v>8.0314871116195771E-2</v>
      </c>
      <c r="K3134" s="1">
        <v>3.5964866805540749</v>
      </c>
      <c r="L3134" s="1">
        <v>6.0596802232384288</v>
      </c>
      <c r="M3134" s="1">
        <v>0.30358588323059738</v>
      </c>
      <c r="N3134" s="1">
        <v>2.9761931380851174</v>
      </c>
      <c r="O3134" s="1">
        <v>0.24462769230769224</v>
      </c>
      <c r="P3134" s="1">
        <v>0.16232333530560145</v>
      </c>
      <c r="Q3134" s="1">
        <v>8.1745545196365939</v>
      </c>
      <c r="R3134" s="2">
        <f t="shared" si="195"/>
        <v>456.98287889999659</v>
      </c>
      <c r="S3134" s="2">
        <f t="shared" si="194"/>
        <v>3.8391248869758718</v>
      </c>
      <c r="T3134" s="2">
        <f t="shared" si="196"/>
        <v>9.5840869368618353</v>
      </c>
      <c r="U3134" s="2">
        <f t="shared" si="197"/>
        <v>470.40609072383427</v>
      </c>
    </row>
    <row r="3135" spans="1:21" x14ac:dyDescent="0.25">
      <c r="A3135">
        <v>4538989</v>
      </c>
      <c r="B3135">
        <v>53</v>
      </c>
      <c r="C3135" s="1">
        <f>13.5813748636299*(10.3/7.3)</f>
        <v>19.162761793888794</v>
      </c>
      <c r="D3135" s="1">
        <f>21.8445402893335*(10.3/7.3)</f>
        <v>30.821748627415776</v>
      </c>
      <c r="E3135" s="1">
        <f>76.8230013025422*(10.3/7.3)</f>
        <v>108.39409772824447</v>
      </c>
      <c r="F3135" s="1">
        <f>135.56424886717*(38.9/42.5)</f>
        <v>124.0811595513627</v>
      </c>
      <c r="G3135" s="1">
        <v>4.4150856022635834</v>
      </c>
      <c r="H3135" s="1">
        <v>8.6243582446336013</v>
      </c>
      <c r="I3135" s="1">
        <v>89.395869608735268</v>
      </c>
      <c r="J3135" s="1">
        <v>7.0198602234041702E-2</v>
      </c>
      <c r="K3135" s="1">
        <v>3.498630884786146</v>
      </c>
      <c r="L3135" s="1">
        <v>5.8086140915611892</v>
      </c>
      <c r="M3135" s="1">
        <v>0.28938933828879237</v>
      </c>
      <c r="N3135" s="1">
        <v>2.7955510392115075</v>
      </c>
      <c r="O3135" s="1">
        <v>0.23432955974842765</v>
      </c>
      <c r="P3135" s="1">
        <v>0.15702976222695228</v>
      </c>
      <c r="Q3135" s="1">
        <v>7.0560728803299417</v>
      </c>
      <c r="R3135" s="2">
        <f t="shared" si="195"/>
        <v>391.95115403687413</v>
      </c>
      <c r="S3135" s="2">
        <f t="shared" si="194"/>
        <v>3.7258592492471401</v>
      </c>
      <c r="T3135" s="2">
        <f t="shared" si="196"/>
        <v>9.1278840288099161</v>
      </c>
      <c r="U3135" s="2">
        <f t="shared" si="197"/>
        <v>404.80489731493117</v>
      </c>
    </row>
    <row r="3136" spans="1:21" x14ac:dyDescent="0.25">
      <c r="A3136">
        <v>4538997</v>
      </c>
      <c r="B3136">
        <v>59</v>
      </c>
      <c r="C3136" s="1">
        <f>11.558158203918*(10.3/7.3)</f>
        <v>16.308086232925334</v>
      </c>
      <c r="D3136" s="1">
        <f>18.3367053596686*(10.3/7.3)</f>
        <v>25.872337699258406</v>
      </c>
      <c r="E3136" s="1">
        <f>64.5115281873853*(10.3/7.3)</f>
        <v>91.023115113708059</v>
      </c>
      <c r="F3136" s="1">
        <f>114.175138682986*(38.9/42.5)</f>
        <v>104.50383281807459</v>
      </c>
      <c r="G3136" s="1">
        <v>3.7242255891744787</v>
      </c>
      <c r="H3136" s="1">
        <v>9.4022525238194259</v>
      </c>
      <c r="I3136" s="1">
        <v>75.730549836905368</v>
      </c>
      <c r="J3136" s="1">
        <v>6.1803916854163803E-2</v>
      </c>
      <c r="K3136" s="1">
        <v>3.4278091084285172</v>
      </c>
      <c r="L3136" s="1">
        <v>5.6508885320134592</v>
      </c>
      <c r="M3136" s="1">
        <v>0.27567898838955551</v>
      </c>
      <c r="N3136" s="1">
        <v>2.7367997858522126</v>
      </c>
      <c r="O3136" s="1">
        <v>0.225325197740113</v>
      </c>
      <c r="P3136" s="1">
        <v>0.1535459625009169</v>
      </c>
      <c r="Q3136" s="1">
        <v>5.9519587041601314</v>
      </c>
      <c r="R3136" s="2">
        <f t="shared" si="195"/>
        <v>332.51635851802575</v>
      </c>
      <c r="S3136" s="2">
        <f t="shared" si="194"/>
        <v>3.6431589877835981</v>
      </c>
      <c r="T3136" s="2">
        <f t="shared" si="196"/>
        <v>8.8886925039953404</v>
      </c>
      <c r="U3136" s="2">
        <f t="shared" si="197"/>
        <v>345.04821000980468</v>
      </c>
    </row>
    <row r="3137" spans="1:21" x14ac:dyDescent="0.25">
      <c r="A3137">
        <v>4539005</v>
      </c>
      <c r="B3137">
        <v>64</v>
      </c>
      <c r="C3137" s="1">
        <f>13.4757054170668*(10.3/7.3)</f>
        <v>19.01366654736821</v>
      </c>
      <c r="D3137" s="1">
        <f>20.8801677162587*(10.3/7.3)</f>
        <v>29.461058558556779</v>
      </c>
      <c r="E3137" s="1">
        <f>73.5264546885328*(10.3/7.3)</f>
        <v>103.74280593039553</v>
      </c>
      <c r="F3137" s="1">
        <f>129.946656747882*(38.9/42.5)</f>
        <v>118.93941052923812</v>
      </c>
      <c r="G3137" s="1">
        <v>4.2061796317218549</v>
      </c>
      <c r="H3137" s="1">
        <v>7.0516662635647576</v>
      </c>
      <c r="I3137" s="1">
        <v>86.867505272688021</v>
      </c>
      <c r="J3137" s="1">
        <v>6.8641246379582257E-2</v>
      </c>
      <c r="K3137" s="1">
        <v>3.7505020165769452</v>
      </c>
      <c r="L3137" s="1">
        <v>6.4674251377645318</v>
      </c>
      <c r="M3137" s="1">
        <v>0.30229570221419794</v>
      </c>
      <c r="N3137" s="1">
        <v>3.045776137230888</v>
      </c>
      <c r="O3137" s="1">
        <v>0.24462416666666661</v>
      </c>
      <c r="P3137" s="1">
        <v>0.16298557404838332</v>
      </c>
      <c r="Q3137" s="1">
        <v>6.7222048908796843</v>
      </c>
      <c r="R3137" s="2">
        <f t="shared" si="195"/>
        <v>376.00449762441298</v>
      </c>
      <c r="S3137" s="2">
        <f t="shared" si="194"/>
        <v>3.982128837004911</v>
      </c>
      <c r="T3137" s="2">
        <f t="shared" si="196"/>
        <v>10.060121143876284</v>
      </c>
      <c r="U3137" s="2">
        <f t="shared" si="197"/>
        <v>390.04674760529417</v>
      </c>
    </row>
    <row r="3138" spans="1:21" x14ac:dyDescent="0.25">
      <c r="A3138">
        <v>4539013</v>
      </c>
      <c r="B3138">
        <v>27</v>
      </c>
      <c r="C3138" s="1">
        <f>11.7410524014365*(10.3/7.3)</f>
        <v>16.566142429424165</v>
      </c>
      <c r="D3138" s="1">
        <f>17.5353961720572*(10.3/7.3)</f>
        <v>24.741723366053364</v>
      </c>
      <c r="E3138" s="1">
        <f>61.7444286222781*(10.3/7.3)</f>
        <v>87.118851343762287</v>
      </c>
      <c r="F3138" s="1">
        <f>113.58666397829*(38.9/42.5)</f>
        <v>103.96520538248164</v>
      </c>
      <c r="G3138" s="1">
        <v>3.8763277866695329</v>
      </c>
      <c r="H3138" s="1">
        <v>6.950322172309793</v>
      </c>
      <c r="I3138" s="1">
        <v>77.907188953178789</v>
      </c>
      <c r="J3138" s="1">
        <v>5.813440596500706E-2</v>
      </c>
      <c r="K3138" s="1">
        <v>3.2747659037503349</v>
      </c>
      <c r="L3138" s="1">
        <v>5.3139724072938357</v>
      </c>
      <c r="M3138" s="1">
        <v>0.2554538976799775</v>
      </c>
      <c r="N3138" s="1">
        <v>2.9275986257734594</v>
      </c>
      <c r="O3138" s="1">
        <v>0.21012148148148149</v>
      </c>
      <c r="P3138" s="1">
        <v>0.14447370110977348</v>
      </c>
      <c r="Q3138" s="1">
        <v>6.195044407919351</v>
      </c>
      <c r="R3138" s="2">
        <f t="shared" si="195"/>
        <v>327.32080584179892</v>
      </c>
      <c r="S3138" s="2">
        <f t="shared" si="194"/>
        <v>3.4773740108251152</v>
      </c>
      <c r="T3138" s="2">
        <f t="shared" si="196"/>
        <v>8.7071464122287541</v>
      </c>
      <c r="U3138" s="2">
        <f t="shared" si="197"/>
        <v>339.50532626485278</v>
      </c>
    </row>
    <row r="3139" spans="1:21" x14ac:dyDescent="0.25">
      <c r="A3139">
        <v>4539021</v>
      </c>
      <c r="B3139">
        <v>30</v>
      </c>
      <c r="C3139" s="1">
        <f>11.9543302881839*(10.3/7.3)</f>
        <v>16.867068762780047</v>
      </c>
      <c r="D3139" s="1">
        <f>16.9738296104613*(10.3/7.3)</f>
        <v>23.949376025719381</v>
      </c>
      <c r="E3139" s="1">
        <f>59.9217589411637*(10.3/7.3)</f>
        <v>84.54713932794337</v>
      </c>
      <c r="F3139" s="1">
        <f>108.38147040458*(38.9/42.5)</f>
        <v>99.200922323250595</v>
      </c>
      <c r="G3139" s="1">
        <v>3.5630861671255003</v>
      </c>
      <c r="H3139" s="1">
        <v>7.0171306605948045</v>
      </c>
      <c r="I3139" s="1">
        <v>75.293999637330401</v>
      </c>
      <c r="J3139" s="1">
        <v>6.1834228192189929E-2</v>
      </c>
      <c r="K3139" s="1">
        <v>3.5225724622043031</v>
      </c>
      <c r="L3139" s="1">
        <v>5.9541749086147453</v>
      </c>
      <c r="M3139" s="1">
        <v>0.27209109502219697</v>
      </c>
      <c r="N3139" s="1">
        <v>2.8186523487326229</v>
      </c>
      <c r="O3139" s="1">
        <v>0.22235555555555556</v>
      </c>
      <c r="P3139" s="1">
        <v>0.15189230737559659</v>
      </c>
      <c r="Q3139" s="1">
        <v>5.6944299474608515</v>
      </c>
      <c r="R3139" s="2">
        <f t="shared" si="195"/>
        <v>316.13315285220494</v>
      </c>
      <c r="S3139" s="2">
        <f t="shared" si="194"/>
        <v>3.7362989977720895</v>
      </c>
      <c r="T3139" s="2">
        <f t="shared" si="196"/>
        <v>9.2672739079251212</v>
      </c>
      <c r="U3139" s="2">
        <f t="shared" si="197"/>
        <v>329.13672575790218</v>
      </c>
    </row>
    <row r="3140" spans="1:21" x14ac:dyDescent="0.25">
      <c r="A3140">
        <v>4539037</v>
      </c>
      <c r="B3140">
        <v>58</v>
      </c>
      <c r="C3140" s="1">
        <f>9.22649837466547*(10.3/7.3)</f>
        <v>13.018210035486899</v>
      </c>
      <c r="D3140" s="1">
        <f>13.4603310579068*(10.3/7.3)</f>
        <v>18.991973958416494</v>
      </c>
      <c r="E3140" s="1">
        <f>47.4248340451753*(10.3/7.3)</f>
        <v>66.914491871959655</v>
      </c>
      <c r="F3140" s="1">
        <f>87.9257598184549*(38.9/42.5)</f>
        <v>80.477930751479889</v>
      </c>
      <c r="G3140" s="1">
        <v>3.019002154024387</v>
      </c>
      <c r="H3140" s="1">
        <v>5.890504798191154</v>
      </c>
      <c r="I3140" s="1">
        <v>60.937001019430639</v>
      </c>
      <c r="J3140" s="1">
        <v>5.9867654445335865E-2</v>
      </c>
      <c r="K3140" s="1">
        <v>3.5449442558073376</v>
      </c>
      <c r="L3140" s="1">
        <v>5.9245594790284919</v>
      </c>
      <c r="M3140" s="1">
        <v>0.26448780219172219</v>
      </c>
      <c r="N3140" s="1">
        <v>2.7442024535560505</v>
      </c>
      <c r="O3140" s="1">
        <v>0.21985655172413793</v>
      </c>
      <c r="P3140" s="1">
        <v>0.15074442010712533</v>
      </c>
      <c r="Q3140" s="1">
        <v>4.8248892872535905</v>
      </c>
      <c r="R3140" s="2">
        <f t="shared" si="195"/>
        <v>254.07400387624273</v>
      </c>
      <c r="S3140" s="2">
        <f t="shared" si="194"/>
        <v>3.755556330359799</v>
      </c>
      <c r="T3140" s="2">
        <f t="shared" si="196"/>
        <v>9.1531062865004031</v>
      </c>
      <c r="U3140" s="2">
        <f t="shared" si="197"/>
        <v>266.98266649310295</v>
      </c>
    </row>
    <row r="3141" spans="1:21" x14ac:dyDescent="0.25">
      <c r="A3141">
        <v>4539045</v>
      </c>
      <c r="B3141">
        <v>57</v>
      </c>
      <c r="C3141" s="1">
        <f>9.29473325473638*(10.3/7.3)</f>
        <v>13.11448664709379</v>
      </c>
      <c r="D3141" s="1">
        <f>13.4464716067314*(10.3/7.3)</f>
        <v>18.972418842374385</v>
      </c>
      <c r="E3141" s="1">
        <f>47.3776270747775*(10.3/7.3)</f>
        <v>66.847884776740884</v>
      </c>
      <c r="F3141" s="1">
        <f>88.5387663885679*(38.9/42.5)</f>
        <v>81.039012059183293</v>
      </c>
      <c r="G3141" s="1">
        <v>3.0692000240365207</v>
      </c>
      <c r="H3141" s="1">
        <v>6.0823618503829611</v>
      </c>
      <c r="I3141" s="1">
        <v>61.680305412677455</v>
      </c>
      <c r="J3141" s="1">
        <v>6.0739898498986193E-2</v>
      </c>
      <c r="K3141" s="1">
        <v>3.6308040318753232</v>
      </c>
      <c r="L3141" s="1">
        <v>6.1192504151096969</v>
      </c>
      <c r="M3141" s="1">
        <v>0.26932067395255904</v>
      </c>
      <c r="N3141" s="1">
        <v>2.7996874930043907</v>
      </c>
      <c r="O3141" s="1">
        <v>0.22362292397660816</v>
      </c>
      <c r="P3141" s="1">
        <v>0.1521954828368231</v>
      </c>
      <c r="Q3141" s="1">
        <v>4.9051141936656784</v>
      </c>
      <c r="R3141" s="2">
        <f t="shared" si="195"/>
        <v>255.71078380615495</v>
      </c>
      <c r="S3141" s="2">
        <f t="shared" si="194"/>
        <v>3.8437394132111327</v>
      </c>
      <c r="T3141" s="2">
        <f t="shared" si="196"/>
        <v>9.4118815060432546</v>
      </c>
      <c r="U3141" s="2">
        <f t="shared" si="197"/>
        <v>268.96640472540935</v>
      </c>
    </row>
    <row r="3142" spans="1:21" x14ac:dyDescent="0.25">
      <c r="A3142">
        <v>4539053</v>
      </c>
      <c r="B3142">
        <v>58</v>
      </c>
      <c r="C3142" s="1">
        <f>7.46632327277779*(10.3/7.3)</f>
        <v>10.534675302686468</v>
      </c>
      <c r="D3142" s="1">
        <f>10.6572324883047*(10.3/7.3)</f>
        <v>15.03691707253955</v>
      </c>
      <c r="E3142" s="1">
        <f>37.5560005088446*(10.3/7.3)</f>
        <v>52.989973320698496</v>
      </c>
      <c r="F3142" s="1">
        <f>70.8823424670257*(38.9/42.5)</f>
        <v>64.878191105112961</v>
      </c>
      <c r="G3142" s="1">
        <v>2.4843403633320764</v>
      </c>
      <c r="H3142" s="1">
        <v>5.5709862209598331</v>
      </c>
      <c r="I3142" s="1">
        <v>49.745304361398873</v>
      </c>
      <c r="J3142" s="1">
        <v>5.4230046143072967E-2</v>
      </c>
      <c r="K3142" s="1">
        <v>3.3519731326297895</v>
      </c>
      <c r="L3142" s="1">
        <v>5.4023955525584872</v>
      </c>
      <c r="M3142" s="1">
        <v>0.24148652787762545</v>
      </c>
      <c r="N3142" s="1">
        <v>2.5746442911983385</v>
      </c>
      <c r="O3142" s="1">
        <v>0.20305839080459778</v>
      </c>
      <c r="P3142" s="1">
        <v>0.14173849785901441</v>
      </c>
      <c r="Q3142" s="1">
        <v>3.9704069733617713</v>
      </c>
      <c r="R3142" s="2">
        <f t="shared" si="195"/>
        <v>205.21079472009004</v>
      </c>
      <c r="S3142" s="2">
        <f t="shared" si="194"/>
        <v>3.547941676631877</v>
      </c>
      <c r="T3142" s="2">
        <f t="shared" si="196"/>
        <v>8.4215847624390481</v>
      </c>
      <c r="U3142" s="2">
        <f t="shared" si="197"/>
        <v>217.18032115916094</v>
      </c>
    </row>
    <row r="3143" spans="1:21" x14ac:dyDescent="0.25">
      <c r="A3143">
        <v>4539061</v>
      </c>
      <c r="B3143">
        <v>58</v>
      </c>
      <c r="C3143" s="1">
        <f>4.39706600856196*(10.3/7.3)</f>
        <v>6.2040794367381027</v>
      </c>
      <c r="D3143" s="1">
        <f>6.19193992473643*(10.3/7.3)</f>
        <v>8.7365727705185297</v>
      </c>
      <c r="E3143" s="1">
        <f>21.8276101178083*(10.3/7.3)</f>
        <v>30.797860851154127</v>
      </c>
      <c r="F3143" s="1">
        <f>41.4255509778684*(38.9/42.5)</f>
        <v>37.916563130331326</v>
      </c>
      <c r="G3143" s="1">
        <v>1.4588042173695295</v>
      </c>
      <c r="H3143" s="1">
        <v>3.9386441692533181</v>
      </c>
      <c r="I3143" s="1">
        <v>29.251129331441522</v>
      </c>
      <c r="J3143" s="1">
        <v>3.7709059155657774E-2</v>
      </c>
      <c r="K3143" s="1">
        <v>2.5520860981502835</v>
      </c>
      <c r="L3143" s="1">
        <v>3.7738944455254999</v>
      </c>
      <c r="M3143" s="1">
        <v>0.17645094093461494</v>
      </c>
      <c r="N3143" s="1">
        <v>1.8967285995165963</v>
      </c>
      <c r="O3143" s="1">
        <v>0.1510537931034483</v>
      </c>
      <c r="P3143" s="1">
        <v>0.11372520865757987</v>
      </c>
      <c r="Q3143" s="1">
        <v>2.331422265202447</v>
      </c>
      <c r="R3143" s="2">
        <f t="shared" si="195"/>
        <v>120.63507617200891</v>
      </c>
      <c r="S3143" s="2">
        <f t="shared" si="194"/>
        <v>2.703520365963521</v>
      </c>
      <c r="T3143" s="2">
        <f t="shared" si="196"/>
        <v>5.9981277790801597</v>
      </c>
      <c r="U3143" s="2">
        <f t="shared" si="197"/>
        <v>129.33672431705259</v>
      </c>
    </row>
    <row r="3144" spans="1:21" x14ac:dyDescent="0.25">
      <c r="A3144">
        <v>4539069</v>
      </c>
      <c r="B3144">
        <v>20</v>
      </c>
      <c r="C3144" s="1">
        <f>5.60914351464297*(10.3/7.3)</f>
        <v>7.9142709864140564</v>
      </c>
      <c r="D3144" s="1">
        <f>7.85645446180034*(10.3/7.3)</f>
        <v>11.085134377608707</v>
      </c>
      <c r="E3144" s="1">
        <f>27.6921220314927*(10.3/7.3)</f>
        <v>39.072446154023908</v>
      </c>
      <c r="F3144" s="1">
        <f>53.0180243064726*(38.9/42.5)</f>
        <v>48.527085776983199</v>
      </c>
      <c r="G3144" s="1">
        <v>1.8874253078816967</v>
      </c>
      <c r="H3144" s="1">
        <v>9.5204895044474931</v>
      </c>
      <c r="I3144" s="1">
        <v>37.592554282448802</v>
      </c>
      <c r="J3144" s="1">
        <v>4.3563275693858108E-2</v>
      </c>
      <c r="K3144" s="1">
        <v>2.8815131183342446</v>
      </c>
      <c r="L3144" s="1">
        <v>4.2553538952132373</v>
      </c>
      <c r="M3144" s="1">
        <v>0.20023480426031828</v>
      </c>
      <c r="N3144" s="1">
        <v>2.2313956208313845</v>
      </c>
      <c r="O3144" s="1">
        <v>0.17044799999999999</v>
      </c>
      <c r="P3144" s="1">
        <v>0.12212698548740623</v>
      </c>
      <c r="Q3144" s="1">
        <v>3.0164331404502027</v>
      </c>
      <c r="R3144" s="2">
        <f t="shared" si="195"/>
        <v>158.61583953025809</v>
      </c>
      <c r="S3144" s="2">
        <f t="shared" si="194"/>
        <v>3.0472033795155089</v>
      </c>
      <c r="T3144" s="2">
        <f t="shared" si="196"/>
        <v>6.8574323203049401</v>
      </c>
      <c r="U3144" s="2">
        <f t="shared" si="197"/>
        <v>168.52047523007855</v>
      </c>
    </row>
    <row r="3145" spans="1:21" x14ac:dyDescent="0.25">
      <c r="A3145">
        <v>4539077</v>
      </c>
      <c r="B3145">
        <v>56</v>
      </c>
      <c r="C3145" s="1">
        <f>7.41078805312052*(10.3/7.3)</f>
        <v>10.456317390019365</v>
      </c>
      <c r="D3145" s="1">
        <f>10.1439470376219*(10.3/7.3)</f>
        <v>14.312692395548666</v>
      </c>
      <c r="E3145" s="1">
        <f>35.7618114094838*(10.3/7.3)</f>
        <v>50.458446235299128</v>
      </c>
      <c r="F3145" s="1">
        <f>69.8194175938312*(38.9/42.5)</f>
        <v>63.905302221177266</v>
      </c>
      <c r="G3145" s="1">
        <v>2.5387324237459947</v>
      </c>
      <c r="H3145" s="1">
        <v>7.1684094980941211</v>
      </c>
      <c r="I3145" s="1">
        <v>50.140437679067929</v>
      </c>
      <c r="J3145" s="1">
        <v>5.7456312818545963E-2</v>
      </c>
      <c r="K3145" s="1">
        <v>3.5228586958639641</v>
      </c>
      <c r="L3145" s="1">
        <v>5.7062327510863939</v>
      </c>
      <c r="M3145" s="1">
        <v>0.24314325706802697</v>
      </c>
      <c r="N3145" s="1">
        <v>2.7437705091946514</v>
      </c>
      <c r="O3145" s="1">
        <v>0.20250761904761902</v>
      </c>
      <c r="P3145" s="1">
        <v>0.14060700415897748</v>
      </c>
      <c r="Q3145" s="1">
        <v>4.057334923794973</v>
      </c>
      <c r="R3145" s="2">
        <f t="shared" si="195"/>
        <v>203.03767276674742</v>
      </c>
      <c r="S3145" s="2">
        <f t="shared" ref="S3145:S3208" si="198">J3145+K3145+P3145</f>
        <v>3.7209220128414873</v>
      </c>
      <c r="T3145" s="2">
        <f t="shared" si="196"/>
        <v>8.8956541363966917</v>
      </c>
      <c r="U3145" s="2">
        <f t="shared" si="197"/>
        <v>215.65424891598562</v>
      </c>
    </row>
    <row r="3146" spans="1:21" x14ac:dyDescent="0.25">
      <c r="A3146">
        <v>4539085</v>
      </c>
      <c r="B3146">
        <v>58</v>
      </c>
      <c r="C3146" s="1">
        <f>8.39949350762297*(10.3/7.3)</f>
        <v>11.851340154591316</v>
      </c>
      <c r="D3146" s="1">
        <f>11.2963019447038*(10.3/7.3)</f>
        <v>15.938617812390246</v>
      </c>
      <c r="E3146" s="1">
        <f>39.8335095802823*(10.3/7.3)</f>
        <v>56.203445024233922</v>
      </c>
      <c r="F3146" s="1">
        <f>78.7851823787026*(38.9/42.5)</f>
        <v>72.11161398897724</v>
      </c>
      <c r="G3146" s="1">
        <v>2.9024946473542541</v>
      </c>
      <c r="H3146" s="1">
        <v>6.3083055986527743</v>
      </c>
      <c r="I3146" s="1">
        <v>57.093009846595095</v>
      </c>
      <c r="J3146" s="1">
        <v>6.3776230375217721E-2</v>
      </c>
      <c r="K3146" s="1">
        <v>3.806493077973665</v>
      </c>
      <c r="L3146" s="1">
        <v>6.3368455920882836</v>
      </c>
      <c r="M3146" s="1">
        <v>0.25915527256172266</v>
      </c>
      <c r="N3146" s="1">
        <v>3.0796692211840564</v>
      </c>
      <c r="O3146" s="1">
        <v>0.21409379310344825</v>
      </c>
      <c r="P3146" s="1">
        <v>0.14683891268312349</v>
      </c>
      <c r="Q3146" s="1">
        <v>4.6386900756803202</v>
      </c>
      <c r="R3146" s="2">
        <f t="shared" ref="R3146:R3209" si="199">C3146+D3146+E3146+F3146+G3146+H3146+I3146+Q3146</f>
        <v>227.04751714847515</v>
      </c>
      <c r="S3146" s="2">
        <f t="shared" si="198"/>
        <v>4.0171082210320064</v>
      </c>
      <c r="T3146" s="2">
        <f t="shared" ref="T3146:T3209" si="200">L3146+M3146+N3146+O3146</f>
        <v>9.8897638789375097</v>
      </c>
      <c r="U3146" s="2">
        <f t="shared" ref="U3146:U3209" si="201">R3146+S3146+T3146</f>
        <v>240.95438924844467</v>
      </c>
    </row>
    <row r="3147" spans="1:21" x14ac:dyDescent="0.25">
      <c r="A3147">
        <v>4539093</v>
      </c>
      <c r="B3147">
        <v>58</v>
      </c>
      <c r="C3147" s="1">
        <f>7.5544281672738*(10.3/7.3)</f>
        <v>10.658987688071258</v>
      </c>
      <c r="D3147" s="1">
        <f>10.0250392094508*(10.3/7.3)</f>
        <v>14.144918336622387</v>
      </c>
      <c r="E3147" s="1">
        <f>35.358233720845*(10.3/7.3)</f>
        <v>49.889014702014109</v>
      </c>
      <c r="F3147" s="1">
        <f>70.5633285577291*(38.9/42.5)</f>
        <v>64.586199550486185</v>
      </c>
      <c r="G3147" s="1">
        <v>2.6220108721664888</v>
      </c>
      <c r="H3147" s="1">
        <v>5.789326811165032</v>
      </c>
      <c r="I3147" s="1">
        <v>51.470036749218842</v>
      </c>
      <c r="J3147" s="1">
        <v>5.9022817945536599E-2</v>
      </c>
      <c r="K3147" s="1">
        <v>3.5952226193567229</v>
      </c>
      <c r="L3147" s="1">
        <v>5.8194233739456704</v>
      </c>
      <c r="M3147" s="1">
        <v>0.24016449074295657</v>
      </c>
      <c r="N3147" s="1">
        <v>4.0455590838954416</v>
      </c>
      <c r="O3147" s="1">
        <v>0.1990721839080459</v>
      </c>
      <c r="P3147" s="1">
        <v>0.13829201000592081</v>
      </c>
      <c r="Q3147" s="1">
        <v>4.1904283345126574</v>
      </c>
      <c r="R3147" s="2">
        <f t="shared" si="199"/>
        <v>203.350923044257</v>
      </c>
      <c r="S3147" s="2">
        <f t="shared" si="198"/>
        <v>3.7925374473081805</v>
      </c>
      <c r="T3147" s="2">
        <f t="shared" si="200"/>
        <v>10.304219132492113</v>
      </c>
      <c r="U3147" s="2">
        <f t="shared" si="201"/>
        <v>217.44767962405729</v>
      </c>
    </row>
    <row r="3148" spans="1:21" x14ac:dyDescent="0.25">
      <c r="A3148">
        <v>4539101</v>
      </c>
      <c r="B3148">
        <v>58</v>
      </c>
      <c r="C3148" s="1">
        <f>6.73154356030126*(10.3/7.3)</f>
        <v>9.4979313248086328</v>
      </c>
      <c r="D3148" s="1">
        <f>8.84127449120972*(10.3/7.3)</f>
        <v>12.47467496704933</v>
      </c>
      <c r="E3148" s="1">
        <f>31.1837187199738*(10.3/7.3)</f>
        <v>43.998945591195849</v>
      </c>
      <c r="F3148" s="1">
        <f>62.8972571317016*(38.9/42.5)</f>
        <v>57.569489468780986</v>
      </c>
      <c r="G3148" s="1">
        <v>2.3632820712315139</v>
      </c>
      <c r="H3148" s="1">
        <v>5.3406340025295513</v>
      </c>
      <c r="I3148" s="1">
        <v>46.145778512482046</v>
      </c>
      <c r="J3148" s="1">
        <v>5.4589108971356215E-2</v>
      </c>
      <c r="K3148" s="1">
        <v>3.413201448003905</v>
      </c>
      <c r="L3148" s="1">
        <v>5.3504477574020539</v>
      </c>
      <c r="M3148" s="1">
        <v>0.22099162928545019</v>
      </c>
      <c r="N3148" s="1">
        <v>2.8035279796846591</v>
      </c>
      <c r="O3148" s="1">
        <v>0.18401471264367811</v>
      </c>
      <c r="P3148" s="1">
        <v>0.13031298354495618</v>
      </c>
      <c r="Q3148" s="1">
        <v>3.7769348170366706</v>
      </c>
      <c r="R3148" s="2">
        <f t="shared" si="199"/>
        <v>181.16767075511459</v>
      </c>
      <c r="S3148" s="2">
        <f t="shared" si="198"/>
        <v>3.5981035405202175</v>
      </c>
      <c r="T3148" s="2">
        <f t="shared" si="200"/>
        <v>8.5589820790158413</v>
      </c>
      <c r="U3148" s="2">
        <f t="shared" si="201"/>
        <v>193.32475637465063</v>
      </c>
    </row>
    <row r="3149" spans="1:21" x14ac:dyDescent="0.25">
      <c r="A3149">
        <v>4539109</v>
      </c>
      <c r="B3149">
        <v>59</v>
      </c>
      <c r="C3149" s="1">
        <f>8.03050792354405*(10.3/7.3)</f>
        <v>11.330716659247088</v>
      </c>
      <c r="D3149" s="1">
        <f>10.3820085117602*(10.3/7.3)</f>
        <v>14.648587352209665</v>
      </c>
      <c r="E3149" s="1">
        <f>36.6143667173816*(10.3/7.3)</f>
        <v>51.661366738223386</v>
      </c>
      <c r="F3149" s="1">
        <f>75.3001754693449*(38.9/42.5)</f>
        <v>68.921807664882735</v>
      </c>
      <c r="G3149" s="1">
        <v>2.8874705337074338</v>
      </c>
      <c r="H3149" s="1">
        <v>6.4143170571808108</v>
      </c>
      <c r="I3149" s="1">
        <v>55.765993124807771</v>
      </c>
      <c r="J3149" s="1">
        <v>6.2643639685846533E-2</v>
      </c>
      <c r="K3149" s="1">
        <v>3.8727330447555284</v>
      </c>
      <c r="L3149" s="1">
        <v>6.0942875976554243</v>
      </c>
      <c r="M3149" s="1">
        <v>0.24178905893830926</v>
      </c>
      <c r="N3149" s="1">
        <v>2.9293473909363166</v>
      </c>
      <c r="O3149" s="1">
        <v>0.19971796610169495</v>
      </c>
      <c r="P3149" s="1">
        <v>0.13916090244662946</v>
      </c>
      <c r="Q3149" s="1">
        <v>4.6146789351488717</v>
      </c>
      <c r="R3149" s="2">
        <f t="shared" si="199"/>
        <v>216.24493806540778</v>
      </c>
      <c r="S3149" s="2">
        <f t="shared" si="198"/>
        <v>4.0745375868880043</v>
      </c>
      <c r="T3149" s="2">
        <f t="shared" si="200"/>
        <v>9.4651420136317448</v>
      </c>
      <c r="U3149" s="2">
        <f t="shared" si="201"/>
        <v>229.78461766592753</v>
      </c>
    </row>
    <row r="3150" spans="1:21" x14ac:dyDescent="0.25">
      <c r="A3150">
        <v>4539117</v>
      </c>
      <c r="B3150">
        <v>62</v>
      </c>
      <c r="C3150" s="1">
        <f>7.4783783562728*(10.3/7.3)</f>
        <v>10.551684530083547</v>
      </c>
      <c r="D3150" s="1">
        <f>9.59540875890191*(10.3/7.3)</f>
        <v>13.538727426943797</v>
      </c>
      <c r="E3150" s="1">
        <f>33.8258648112456*(10.3/7.3)</f>
        <v>47.726905144634145</v>
      </c>
      <c r="F3150" s="1">
        <f>70.859161090381*(38.9/42.5)</f>
        <v>64.856973327431064</v>
      </c>
      <c r="G3150" s="1">
        <v>2.772172469465334</v>
      </c>
      <c r="H3150" s="1">
        <v>5.8451888971385584</v>
      </c>
      <c r="I3150" s="1">
        <v>52.805742343452252</v>
      </c>
      <c r="J3150" s="1">
        <v>5.9485336594903758E-2</v>
      </c>
      <c r="K3150" s="1">
        <v>3.9003205492826885</v>
      </c>
      <c r="L3150" s="1">
        <v>5.6820933522079304</v>
      </c>
      <c r="M3150" s="1">
        <v>0.22753315294244933</v>
      </c>
      <c r="N3150" s="1">
        <v>2.7007977264063991</v>
      </c>
      <c r="O3150" s="1">
        <v>0.18875784946236554</v>
      </c>
      <c r="P3150" s="1">
        <v>0.13272423221480145</v>
      </c>
      <c r="Q3150" s="1">
        <v>4.4304126224331872</v>
      </c>
      <c r="R3150" s="2">
        <f t="shared" si="199"/>
        <v>202.5278067615819</v>
      </c>
      <c r="S3150" s="2">
        <f t="shared" si="198"/>
        <v>4.0925301180923936</v>
      </c>
      <c r="T3150" s="2">
        <f t="shared" si="200"/>
        <v>8.7991820810191452</v>
      </c>
      <c r="U3150" s="2">
        <f t="shared" si="201"/>
        <v>215.41951896069344</v>
      </c>
    </row>
    <row r="3151" spans="1:21" x14ac:dyDescent="0.25">
      <c r="A3151">
        <v>4539125</v>
      </c>
      <c r="B3151">
        <v>46</v>
      </c>
      <c r="C3151" s="1">
        <f>8.54777509901035*(10.3/7.3)</f>
        <v>12.060559386274878</v>
      </c>
      <c r="D3151" s="1">
        <f>10.8427089308071*(10.3/7.3)</f>
        <v>15.298616710590807</v>
      </c>
      <c r="E3151" s="1">
        <f>38.1963489611736*(10.3/7.3)</f>
        <v>53.893478671244921</v>
      </c>
      <c r="F3151" s="1">
        <f>82.3343736599873*(38.9/42.5)</f>
        <v>75.360167891141316</v>
      </c>
      <c r="G3151" s="1">
        <v>3.3181893516934591</v>
      </c>
      <c r="H3151" s="1">
        <v>6.4763178140865394</v>
      </c>
      <c r="I3151" s="1">
        <v>61.927687793811934</v>
      </c>
      <c r="J3151" s="1">
        <v>6.4709964220299412E-2</v>
      </c>
      <c r="K3151" s="1">
        <v>4.5661753487554977</v>
      </c>
      <c r="L3151" s="1">
        <v>5.9819246406266737</v>
      </c>
      <c r="M3151" s="1">
        <v>0.2331083266636024</v>
      </c>
      <c r="N3151" s="1">
        <v>2.7916472347260552</v>
      </c>
      <c r="O3151" s="1">
        <v>0.19290202898550723</v>
      </c>
      <c r="P3151" s="1">
        <v>0.13394657024243317</v>
      </c>
      <c r="Q3151" s="1">
        <v>5.3030423428890945</v>
      </c>
      <c r="R3151" s="2">
        <f t="shared" si="199"/>
        <v>233.63805996173295</v>
      </c>
      <c r="S3151" s="2">
        <f t="shared" si="198"/>
        <v>4.7648318832182301</v>
      </c>
      <c r="T3151" s="2">
        <f t="shared" si="200"/>
        <v>9.1995822310018394</v>
      </c>
      <c r="U3151" s="2">
        <f t="shared" si="201"/>
        <v>247.60247407595301</v>
      </c>
    </row>
    <row r="3152" spans="1:21" x14ac:dyDescent="0.25">
      <c r="A3152">
        <v>4539133</v>
      </c>
      <c r="B3152">
        <v>50</v>
      </c>
      <c r="C3152" s="1">
        <f>7.98320165803436*(10.3/7.3)</f>
        <v>11.263969462706012</v>
      </c>
      <c r="D3152" s="1">
        <f>10.0676171218787*(10.3/7.3)</f>
        <v>14.204994021280886</v>
      </c>
      <c r="E3152" s="1">
        <f>35.4200026079083*(10.3/7.3)</f>
        <v>49.976168063213123</v>
      </c>
      <c r="F3152" s="1">
        <f>79.1400728692273*(38.9/42.5)</f>
        <v>72.43644316736335</v>
      </c>
      <c r="G3152" s="1">
        <v>3.3080532452631313</v>
      </c>
      <c r="H3152" s="1">
        <v>6.6288875003499275</v>
      </c>
      <c r="I3152" s="1">
        <v>60.032204680218264</v>
      </c>
      <c r="J3152" s="1">
        <v>6.4674402483071519E-2</v>
      </c>
      <c r="K3152" s="1">
        <v>5.0891653169773816</v>
      </c>
      <c r="L3152" s="1">
        <v>5.5722842806953601</v>
      </c>
      <c r="M3152" s="1">
        <v>0.2175560176486239</v>
      </c>
      <c r="N3152" s="1">
        <v>2.8496194409244762</v>
      </c>
      <c r="O3152" s="1">
        <v>0.18098133333333333</v>
      </c>
      <c r="P3152" s="1">
        <v>0.12737190759184822</v>
      </c>
      <c r="Q3152" s="1">
        <v>5.2868430860369742</v>
      </c>
      <c r="R3152" s="2">
        <f t="shared" si="199"/>
        <v>223.13756322643167</v>
      </c>
      <c r="S3152" s="2">
        <f t="shared" si="198"/>
        <v>5.2812116270523015</v>
      </c>
      <c r="T3152" s="2">
        <f t="shared" si="200"/>
        <v>8.8204410726017937</v>
      </c>
      <c r="U3152" s="2">
        <f t="shared" si="201"/>
        <v>237.23921592608576</v>
      </c>
    </row>
    <row r="3153" spans="1:21" x14ac:dyDescent="0.25">
      <c r="A3153">
        <v>4539173</v>
      </c>
      <c r="B3153">
        <v>2</v>
      </c>
      <c r="C3153" s="1">
        <f>3.59458355603585*(10.3/7.3)</f>
        <v>5.0718096749546859</v>
      </c>
      <c r="D3153" s="1">
        <f>4.41693415077483*(10.3/7.3)</f>
        <v>6.232112568901468</v>
      </c>
      <c r="E3153" s="1">
        <f>15.5349480460578*(10.3/7.3)</f>
        <v>21.919173270465102</v>
      </c>
      <c r="F3153" s="1">
        <f>35.8787561300408*(38.9/42.5)</f>
        <v>32.839614434319735</v>
      </c>
      <c r="G3153" s="1">
        <v>1.5423647774884539</v>
      </c>
      <c r="H3153" s="1">
        <v>6.9684239135490271</v>
      </c>
      <c r="I3153" s="1">
        <v>27.585560949751127</v>
      </c>
      <c r="J3153" s="1">
        <v>4.1821016231144252E-2</v>
      </c>
      <c r="K3153" s="1">
        <v>2.4434978963162139</v>
      </c>
      <c r="L3153" s="1">
        <v>3.7708171904956442</v>
      </c>
      <c r="M3153" s="1">
        <v>0.12139267056538527</v>
      </c>
      <c r="N3153" s="1">
        <v>1.5918619542189583</v>
      </c>
      <c r="O3153" s="1">
        <v>0.11042666666666667</v>
      </c>
      <c r="P3153" s="1">
        <v>8.8586045162339144E-2</v>
      </c>
      <c r="Q3153" s="1">
        <v>2.4649665393651112</v>
      </c>
      <c r="R3153" s="2">
        <f t="shared" si="199"/>
        <v>104.62402612879471</v>
      </c>
      <c r="S3153" s="2">
        <f t="shared" si="198"/>
        <v>2.5739049577096971</v>
      </c>
      <c r="T3153" s="2">
        <f t="shared" si="200"/>
        <v>5.5944984819466548</v>
      </c>
      <c r="U3153" s="2">
        <f t="shared" si="201"/>
        <v>112.79242956845107</v>
      </c>
    </row>
    <row r="3154" spans="1:21" x14ac:dyDescent="0.25">
      <c r="A3154">
        <v>4539181</v>
      </c>
      <c r="B3154">
        <v>25</v>
      </c>
      <c r="C3154" s="1">
        <f>3.8893991514018*(10.3/7.3)</f>
        <v>5.4877823643066481</v>
      </c>
      <c r="D3154" s="1">
        <f>4.83262913044729*(10.3/7.3)</f>
        <v>6.8186411018639816</v>
      </c>
      <c r="E3154" s="1">
        <f>16.9564476093536*(10.3/7.3)</f>
        <v>23.924850736485165</v>
      </c>
      <c r="F3154" s="1">
        <f>40.7836546523516*(38.9/42.5)</f>
        <v>37.329039199446505</v>
      </c>
      <c r="G3154" s="1">
        <v>1.8228981303386318</v>
      </c>
      <c r="H3154" s="1">
        <v>9.2029551045690727</v>
      </c>
      <c r="I3154" s="1">
        <v>31.46539039876529</v>
      </c>
      <c r="J3154" s="1">
        <v>3.3826480896244265E-2</v>
      </c>
      <c r="K3154" s="1">
        <v>2.3559080599955315</v>
      </c>
      <c r="L3154" s="1">
        <v>4.3359746478492518</v>
      </c>
      <c r="M3154" s="1">
        <v>0.11652846511849971</v>
      </c>
      <c r="N3154" s="1">
        <v>1.4491138608162968</v>
      </c>
      <c r="O3154" s="1">
        <v>0.10586453333333332</v>
      </c>
      <c r="P3154" s="1">
        <v>8.5093671111621583E-2</v>
      </c>
      <c r="Q3154" s="1">
        <v>2.913307514239825</v>
      </c>
      <c r="R3154" s="2">
        <f t="shared" si="199"/>
        <v>118.96486455001512</v>
      </c>
      <c r="S3154" s="2">
        <f t="shared" si="198"/>
        <v>2.4748282120033971</v>
      </c>
      <c r="T3154" s="2">
        <f t="shared" si="200"/>
        <v>6.0074815071173822</v>
      </c>
      <c r="U3154" s="2">
        <f t="shared" si="201"/>
        <v>127.4471742691359</v>
      </c>
    </row>
    <row r="3155" spans="1:21" x14ac:dyDescent="0.25">
      <c r="A3155">
        <v>4539189</v>
      </c>
      <c r="B3155">
        <v>29</v>
      </c>
      <c r="C3155" s="1">
        <f>3.9805420509894*(10.3/7.3)</f>
        <v>5.6163812500261407</v>
      </c>
      <c r="D3155" s="1">
        <f>4.97538111732407*(10.3/7.3)</f>
        <v>7.0200582888271104</v>
      </c>
      <c r="E3155" s="1">
        <f>17.4437880728289*(10.3/7.3)</f>
        <v>24.612468102758534</v>
      </c>
      <c r="F3155" s="1">
        <f>42.4056864484684*(38.9/42.5)</f>
        <v>38.813675361068732</v>
      </c>
      <c r="G3155" s="1">
        <v>1.9148077168008981</v>
      </c>
      <c r="H3155" s="1">
        <v>9.0198409017873242</v>
      </c>
      <c r="I3155" s="1">
        <v>32.71926011342628</v>
      </c>
      <c r="J3155" s="1">
        <v>3.3007735710030767E-2</v>
      </c>
      <c r="K3155" s="1">
        <v>2.3780850223036181</v>
      </c>
      <c r="L3155" s="1">
        <v>4.3037040719415094</v>
      </c>
      <c r="M3155" s="1">
        <v>0.11584431601605934</v>
      </c>
      <c r="N3155" s="1">
        <v>1.4605803457373712</v>
      </c>
      <c r="O3155" s="1">
        <v>0.10530206896551719</v>
      </c>
      <c r="P3155" s="1">
        <v>8.4392025162106588E-2</v>
      </c>
      <c r="Q3155" s="1">
        <v>3.060194981188654</v>
      </c>
      <c r="R3155" s="2">
        <f t="shared" si="199"/>
        <v>122.77668671588367</v>
      </c>
      <c r="S3155" s="2">
        <f t="shared" si="198"/>
        <v>2.4954847831757552</v>
      </c>
      <c r="T3155" s="2">
        <f t="shared" si="200"/>
        <v>5.9854308026604572</v>
      </c>
      <c r="U3155" s="2">
        <f t="shared" si="201"/>
        <v>131.25760230171988</v>
      </c>
    </row>
    <row r="3156" spans="1:21" x14ac:dyDescent="0.25">
      <c r="A3156">
        <v>4550705</v>
      </c>
      <c r="B3156">
        <v>10</v>
      </c>
      <c r="C3156" s="1">
        <f>0.909180707297842*(10.3/7.3)</f>
        <v>1.2828166144065443</v>
      </c>
      <c r="D3156" s="1">
        <f>1.25840578244789*(10.3/7.3)</f>
        <v>1.7755588437278458</v>
      </c>
      <c r="E3156" s="1">
        <f>4.3673827198199*(10.3/7.3)</f>
        <v>6.1621975361842409</v>
      </c>
      <c r="F3156" s="1">
        <f>11.9058408152818*(38.9/42.5)</f>
        <v>10.897346063869723</v>
      </c>
      <c r="G3156" s="1">
        <v>0.59476804668186056</v>
      </c>
      <c r="H3156" s="1">
        <v>1.949882243112528</v>
      </c>
      <c r="I3156" s="1">
        <v>9.1261305472766008</v>
      </c>
      <c r="J3156" s="1">
        <v>0.11708696447668369</v>
      </c>
      <c r="K3156" s="1">
        <v>3.4147610304839597</v>
      </c>
      <c r="L3156" s="1">
        <v>3.1934795039428705</v>
      </c>
      <c r="M3156" s="1">
        <v>0.37892856230634653</v>
      </c>
      <c r="N3156" s="1">
        <v>2.0265019678919396</v>
      </c>
      <c r="O3156" s="1">
        <v>0.84320000000000006</v>
      </c>
      <c r="P3156" s="1">
        <v>0.28525505364792536</v>
      </c>
      <c r="Q3156" s="1">
        <v>0.95054254035913899</v>
      </c>
      <c r="R3156" s="2">
        <f t="shared" si="199"/>
        <v>32.739242435618479</v>
      </c>
      <c r="S3156" s="2">
        <f t="shared" si="198"/>
        <v>3.8171030486085691</v>
      </c>
      <c r="T3156" s="2">
        <f t="shared" si="200"/>
        <v>6.442110034141157</v>
      </c>
      <c r="U3156" s="2">
        <f t="shared" si="201"/>
        <v>42.99845551836821</v>
      </c>
    </row>
    <row r="3157" spans="1:21" x14ac:dyDescent="0.25">
      <c r="A3157">
        <v>4551209</v>
      </c>
      <c r="B3157">
        <v>20</v>
      </c>
      <c r="C3157" s="1">
        <f>14.7230557828967*(10.3/7.3)</f>
        <v>20.773626652580329</v>
      </c>
      <c r="D3157" s="1">
        <f>25.2905720636024*(10.3/7.3)</f>
        <v>35.683957843165061</v>
      </c>
      <c r="E3157" s="1">
        <f>88.8152023371069*(10.3/7.3)</f>
        <v>125.3146005578357</v>
      </c>
      <c r="F3157" s="1">
        <f>153.025827623295*(38.9/42.5)</f>
        <v>140.06363987167489</v>
      </c>
      <c r="G3157" s="1">
        <v>4.8665766408726121</v>
      </c>
      <c r="H3157" s="1">
        <v>9.3004693712407196</v>
      </c>
      <c r="I3157" s="1">
        <v>97.754352111368092</v>
      </c>
      <c r="J3157" s="1">
        <v>7.0438879651327807E-2</v>
      </c>
      <c r="K3157" s="1">
        <v>3.2840004575796753</v>
      </c>
      <c r="L3157" s="1">
        <v>5.1439220138610553</v>
      </c>
      <c r="M3157" s="1">
        <v>0.27383213331328277</v>
      </c>
      <c r="N3157" s="1">
        <v>2.6997621253872182</v>
      </c>
      <c r="O3157" s="1">
        <v>0.22343999999999994</v>
      </c>
      <c r="P3157" s="1">
        <v>0.15229048875480417</v>
      </c>
      <c r="Q3157" s="1">
        <v>7.7776339009379729</v>
      </c>
      <c r="R3157" s="2">
        <f t="shared" si="199"/>
        <v>441.53485694967537</v>
      </c>
      <c r="S3157" s="2">
        <f t="shared" si="198"/>
        <v>3.5067298259858073</v>
      </c>
      <c r="T3157" s="2">
        <f t="shared" si="200"/>
        <v>8.3409562725615558</v>
      </c>
      <c r="U3157" s="2">
        <f t="shared" si="201"/>
        <v>453.38254304822271</v>
      </c>
    </row>
    <row r="3158" spans="1:21" x14ac:dyDescent="0.25">
      <c r="A3158">
        <v>4551217</v>
      </c>
      <c r="B3158">
        <v>39</v>
      </c>
      <c r="C3158" s="1">
        <f>15.9873309973615*(10.3/7.3)</f>
        <v>22.557467023674448</v>
      </c>
      <c r="D3158" s="1">
        <f>26.346383419478*(10.3/7.3)</f>
        <v>37.173664276797744</v>
      </c>
      <c r="E3158" s="1">
        <f>92.6032682385614*(10.3/7.3)</f>
        <v>130.65940587084688</v>
      </c>
      <c r="F3158" s="1">
        <f>162.060362368632*(38.9/42.5)</f>
        <v>148.33289637975943</v>
      </c>
      <c r="G3158" s="1">
        <v>5.2372861644797224</v>
      </c>
      <c r="H3158" s="1">
        <v>8.0245980703108639</v>
      </c>
      <c r="I3158" s="1">
        <v>105.65311282174626</v>
      </c>
      <c r="J3158" s="1">
        <v>7.5842588756135781E-2</v>
      </c>
      <c r="K3158" s="1">
        <v>3.7103784645104283</v>
      </c>
      <c r="L3158" s="1">
        <v>6.3135444442622717</v>
      </c>
      <c r="M3158" s="1">
        <v>0.31390877283957713</v>
      </c>
      <c r="N3158" s="1">
        <v>2.9854993117231312</v>
      </c>
      <c r="O3158" s="1">
        <v>0.25141470085470086</v>
      </c>
      <c r="P3158" s="1">
        <v>0.16712599767810266</v>
      </c>
      <c r="Q3158" s="1">
        <v>8.3700920436890627</v>
      </c>
      <c r="R3158" s="2">
        <f t="shared" si="199"/>
        <v>466.00852265130442</v>
      </c>
      <c r="S3158" s="2">
        <f t="shared" si="198"/>
        <v>3.9533470509446667</v>
      </c>
      <c r="T3158" s="2">
        <f t="shared" si="200"/>
        <v>9.8643672296796812</v>
      </c>
      <c r="U3158" s="2">
        <f t="shared" si="201"/>
        <v>479.82623693192875</v>
      </c>
    </row>
    <row r="3159" spans="1:21" x14ac:dyDescent="0.25">
      <c r="A3159">
        <v>4551225</v>
      </c>
      <c r="B3159">
        <v>57</v>
      </c>
      <c r="C3159" s="1">
        <f>8.90349889928622*(10.3/7.3)</f>
        <v>12.562471049677818</v>
      </c>
      <c r="D3159" s="1">
        <f>14.2452837439292*(10.3/7.3)</f>
        <v>20.099509940064515</v>
      </c>
      <c r="E3159" s="1">
        <f>50.102108656283*(10.3/7.3)</f>
        <v>70.692016323248666</v>
      </c>
      <c r="F3159" s="1">
        <f>88.6709216681229*(38.9/42.5)</f>
        <v>81.159973009176014</v>
      </c>
      <c r="G3159" s="1">
        <v>2.8977728261285129</v>
      </c>
      <c r="H3159" s="1">
        <v>6.6637194542626625</v>
      </c>
      <c r="I3159" s="1">
        <v>58.640553072306815</v>
      </c>
      <c r="J3159" s="1">
        <v>5.0705689361390097E-2</v>
      </c>
      <c r="K3159" s="1">
        <v>2.9086819489454148</v>
      </c>
      <c r="L3159" s="1">
        <v>4.5391994907524404</v>
      </c>
      <c r="M3159" s="1">
        <v>0.23109002007235541</v>
      </c>
      <c r="N3159" s="1">
        <v>2.2938131350996129</v>
      </c>
      <c r="O3159" s="1">
        <v>0.18875228070175434</v>
      </c>
      <c r="P3159" s="1">
        <v>0.13632552933047473</v>
      </c>
      <c r="Q3159" s="1">
        <v>4.6311437860501394</v>
      </c>
      <c r="R3159" s="2">
        <f t="shared" si="199"/>
        <v>257.34715946091512</v>
      </c>
      <c r="S3159" s="2">
        <f t="shared" si="198"/>
        <v>3.0957131676372796</v>
      </c>
      <c r="T3159" s="2">
        <f t="shared" si="200"/>
        <v>7.2528549266261635</v>
      </c>
      <c r="U3159" s="2">
        <f t="shared" si="201"/>
        <v>267.69572755517856</v>
      </c>
    </row>
    <row r="3160" spans="1:21" x14ac:dyDescent="0.25">
      <c r="A3160">
        <v>4551233</v>
      </c>
      <c r="B3160">
        <v>37</v>
      </c>
      <c r="C3160" s="1">
        <f>13.1688188887951*(10.3/7.3)</f>
        <v>18.58066226775194</v>
      </c>
      <c r="D3160" s="1">
        <f>20.6445815660963*(10.3/7.3)</f>
        <v>29.128656182300315</v>
      </c>
      <c r="E3160" s="1">
        <f>72.6660515592669*(10.3/7.3)</f>
        <v>102.52881247403411</v>
      </c>
      <c r="F3160" s="1">
        <f>128.416241331039*(38.9/42.5)</f>
        <v>117.53863030064474</v>
      </c>
      <c r="G3160" s="1">
        <v>4.1674805032610696</v>
      </c>
      <c r="H3160" s="1">
        <v>9.0421148038492642</v>
      </c>
      <c r="I3160" s="1">
        <v>85.488684087550126</v>
      </c>
      <c r="J3160" s="1">
        <v>6.2826021641201463E-2</v>
      </c>
      <c r="K3160" s="1">
        <v>3.4994197755323202</v>
      </c>
      <c r="L3160" s="1">
        <v>5.7940753903473396</v>
      </c>
      <c r="M3160" s="1">
        <v>0.28424120717045531</v>
      </c>
      <c r="N3160" s="1">
        <v>2.9815765878374139</v>
      </c>
      <c r="O3160" s="1">
        <v>0.23057729729729728</v>
      </c>
      <c r="P3160" s="1">
        <v>0.15479328634025535</v>
      </c>
      <c r="Q3160" s="1">
        <v>6.6603569686820832</v>
      </c>
      <c r="R3160" s="2">
        <f t="shared" si="199"/>
        <v>373.1353975880736</v>
      </c>
      <c r="S3160" s="2">
        <f t="shared" si="198"/>
        <v>3.717039083513777</v>
      </c>
      <c r="T3160" s="2">
        <f t="shared" si="200"/>
        <v>9.2904704826525073</v>
      </c>
      <c r="U3160" s="2">
        <f t="shared" si="201"/>
        <v>386.14290715423988</v>
      </c>
    </row>
    <row r="3161" spans="1:21" x14ac:dyDescent="0.25">
      <c r="A3161">
        <v>4551241</v>
      </c>
      <c r="B3161">
        <v>61</v>
      </c>
      <c r="C3161" s="1">
        <f>14.1444520517131*(10.3/7.3)</f>
        <v>19.957240566115686</v>
      </c>
      <c r="D3161" s="1">
        <f>21.1089941594992*(10.3/7.3)</f>
        <v>29.78392326614269</v>
      </c>
      <c r="E3161" s="1">
        <f>74.4438753846569*(10.3/7.3)</f>
        <v>105.03724883040637</v>
      </c>
      <c r="F3161" s="1">
        <f>131.202808088585*(38.9/42.5)</f>
        <v>120.08915846225779</v>
      </c>
      <c r="G3161" s="1">
        <v>4.1897795010434749</v>
      </c>
      <c r="H3161" s="1">
        <v>7.2594253886913664</v>
      </c>
      <c r="I3161" s="1">
        <v>88.814468126582284</v>
      </c>
      <c r="J3161" s="1">
        <v>6.8242959102321699E-2</v>
      </c>
      <c r="K3161" s="1">
        <v>3.6150440773358246</v>
      </c>
      <c r="L3161" s="1">
        <v>6.108986596492926</v>
      </c>
      <c r="M3161" s="1">
        <v>0.28832391344970965</v>
      </c>
      <c r="N3161" s="1">
        <v>2.8938538444382242</v>
      </c>
      <c r="O3161" s="1">
        <v>0.23456699453551921</v>
      </c>
      <c r="P3161" s="1">
        <v>0.15791802357035778</v>
      </c>
      <c r="Q3161" s="1">
        <v>6.6959946363708553</v>
      </c>
      <c r="R3161" s="2">
        <f t="shared" si="199"/>
        <v>381.82723877761043</v>
      </c>
      <c r="S3161" s="2">
        <f t="shared" si="198"/>
        <v>3.8412050600085039</v>
      </c>
      <c r="T3161" s="2">
        <f t="shared" si="200"/>
        <v>9.5257313489163806</v>
      </c>
      <c r="U3161" s="2">
        <f t="shared" si="201"/>
        <v>395.19417518653535</v>
      </c>
    </row>
    <row r="3162" spans="1:21" x14ac:dyDescent="0.25">
      <c r="A3162">
        <v>4551249</v>
      </c>
      <c r="B3162">
        <v>3</v>
      </c>
      <c r="C3162" s="1">
        <f>9.01334358704611*(10.3/7.3)</f>
        <v>12.717457389941778</v>
      </c>
      <c r="D3162" s="1">
        <f>12.7913688381699*(10.3/7.3)</f>
        <v>18.048095757965804</v>
      </c>
      <c r="E3162" s="1">
        <f>45.1791150939622*(10.3/7.3)</f>
        <v>63.745874721617866</v>
      </c>
      <c r="F3162" s="1">
        <f>80.6334168837819*(38.9/42.5)</f>
        <v>73.803292159508572</v>
      </c>
      <c r="G3162" s="1">
        <v>2.5951069740188339</v>
      </c>
      <c r="H3162" s="1">
        <v>5.1707530541928834</v>
      </c>
      <c r="I3162" s="1">
        <v>55.810644023868008</v>
      </c>
      <c r="J3162" s="1">
        <v>4.813207461938037E-2</v>
      </c>
      <c r="K3162" s="1">
        <v>2.906619123173614</v>
      </c>
      <c r="L3162" s="1">
        <v>4.3968559150883806</v>
      </c>
      <c r="M3162" s="1">
        <v>0.21570241951866923</v>
      </c>
      <c r="N3162" s="1">
        <v>2.3968008734805646</v>
      </c>
      <c r="O3162" s="1">
        <v>0.18325333333333335</v>
      </c>
      <c r="P3162" s="1">
        <v>0.13251323727460718</v>
      </c>
      <c r="Q3162" s="1">
        <v>4.1474312370164048</v>
      </c>
      <c r="R3162" s="2">
        <f t="shared" si="199"/>
        <v>236.03865531813017</v>
      </c>
      <c r="S3162" s="2">
        <f t="shared" si="198"/>
        <v>3.0872644350676017</v>
      </c>
      <c r="T3162" s="2">
        <f t="shared" si="200"/>
        <v>7.1926125414209476</v>
      </c>
      <c r="U3162" s="2">
        <f t="shared" si="201"/>
        <v>246.31853229461871</v>
      </c>
    </row>
    <row r="3163" spans="1:21" x14ac:dyDescent="0.25">
      <c r="A3163">
        <v>4551257</v>
      </c>
      <c r="B3163">
        <v>4</v>
      </c>
      <c r="C3163" s="1">
        <f>9.88062399627249*(10.3/7.3)</f>
        <v>13.941154405699542</v>
      </c>
      <c r="D3163" s="1">
        <f>13.511824202143*(10.3/7.3)</f>
        <v>19.064628668777114</v>
      </c>
      <c r="E3163" s="1">
        <f>47.7732463362172*(10.3/7.3)</f>
        <v>67.406087296306396</v>
      </c>
      <c r="F3163" s="1">
        <f>86.3953291250421*(38.9/42.5)</f>
        <v>79.07713654033266</v>
      </c>
      <c r="G3163" s="1">
        <v>2.813005116786333</v>
      </c>
      <c r="H3163" s="1">
        <v>5.3703387475471231</v>
      </c>
      <c r="I3163" s="1">
        <v>60.846864416198926</v>
      </c>
      <c r="J3163" s="1">
        <v>5.1247293377804856E-2</v>
      </c>
      <c r="K3163" s="1">
        <v>2.974721686623099</v>
      </c>
      <c r="L3163" s="1">
        <v>4.6008689718184064</v>
      </c>
      <c r="M3163" s="1">
        <v>0.22408567175824937</v>
      </c>
      <c r="N3163" s="1">
        <v>2.2990985321016089</v>
      </c>
      <c r="O3163" s="1">
        <v>0.18666666666666665</v>
      </c>
      <c r="P3163" s="1">
        <v>0.13240686007624469</v>
      </c>
      <c r="Q3163" s="1">
        <v>4.4956702779690305</v>
      </c>
      <c r="R3163" s="2">
        <f t="shared" si="199"/>
        <v>253.01488546961716</v>
      </c>
      <c r="S3163" s="2">
        <f t="shared" si="198"/>
        <v>3.1583758400771487</v>
      </c>
      <c r="T3163" s="2">
        <f t="shared" si="200"/>
        <v>7.3107198423449313</v>
      </c>
      <c r="U3163" s="2">
        <f t="shared" si="201"/>
        <v>263.48398115203923</v>
      </c>
    </row>
    <row r="3164" spans="1:21" x14ac:dyDescent="0.25">
      <c r="A3164">
        <v>4551265</v>
      </c>
      <c r="B3164">
        <v>62</v>
      </c>
      <c r="C3164" s="1">
        <f>8.62635812834609*(10.3/7.3)</f>
        <v>12.171436811228045</v>
      </c>
      <c r="D3164" s="1">
        <f>12.5688110845992*(10.3/7.3)</f>
        <v>17.734075913886507</v>
      </c>
      <c r="E3164" s="1">
        <f>44.2787746773466*(10.3/7.3)</f>
        <v>62.475531394064333</v>
      </c>
      <c r="F3164" s="1">
        <f>82.4530548538334*(38.9/42.5)</f>
        <v>75.468796089743989</v>
      </c>
      <c r="G3164" s="1">
        <v>2.848196126884766</v>
      </c>
      <c r="H3164" s="1">
        <v>5.7295713240621549</v>
      </c>
      <c r="I3164" s="1">
        <v>57.241777524088491</v>
      </c>
      <c r="J3164" s="1">
        <v>5.5471676473196854E-2</v>
      </c>
      <c r="K3164" s="1">
        <v>3.1947404199989258</v>
      </c>
      <c r="L3164" s="1">
        <v>5.0939745231319327</v>
      </c>
      <c r="M3164" s="1">
        <v>0.23887226820703289</v>
      </c>
      <c r="N3164" s="1">
        <v>2.4662544994821953</v>
      </c>
      <c r="O3164" s="1">
        <v>0.19843010752688173</v>
      </c>
      <c r="P3164" s="1">
        <v>0.14014497561222297</v>
      </c>
      <c r="Q3164" s="1">
        <v>4.551911618308992</v>
      </c>
      <c r="R3164" s="2">
        <f t="shared" si="199"/>
        <v>238.22129680226729</v>
      </c>
      <c r="S3164" s="2">
        <f t="shared" si="198"/>
        <v>3.3903570720843454</v>
      </c>
      <c r="T3164" s="2">
        <f t="shared" si="200"/>
        <v>7.9975313983480429</v>
      </c>
      <c r="U3164" s="2">
        <f t="shared" si="201"/>
        <v>249.60918527269968</v>
      </c>
    </row>
    <row r="3165" spans="1:21" x14ac:dyDescent="0.25">
      <c r="A3165">
        <v>4551273</v>
      </c>
      <c r="B3165">
        <v>67</v>
      </c>
      <c r="C3165" s="1">
        <f>9.13080994677203*(10.3/7.3)</f>
        <v>12.883197596130401</v>
      </c>
      <c r="D3165" s="1">
        <f>13.3022563507274*(10.3/7.3)</f>
        <v>18.768937042807206</v>
      </c>
      <c r="E3165" s="1">
        <f>46.86301895364*(10.3/7.3)</f>
        <v>66.121793866094777</v>
      </c>
      <c r="F3165" s="1">
        <f>87.2566892624583*(38.9/42.5)</f>
        <v>79.865534407285324</v>
      </c>
      <c r="G3165" s="1">
        <v>3.0136266388232538</v>
      </c>
      <c r="H3165" s="1">
        <v>5.9504453799505237</v>
      </c>
      <c r="I3165" s="1">
        <v>60.577334911779232</v>
      </c>
      <c r="J3165" s="1">
        <v>5.9913657063527227E-2</v>
      </c>
      <c r="K3165" s="1">
        <v>3.5759861508347188</v>
      </c>
      <c r="L3165" s="1">
        <v>5.9358969903267846</v>
      </c>
      <c r="M3165" s="1">
        <v>0.2674022160040373</v>
      </c>
      <c r="N3165" s="1">
        <v>2.8107265160420676</v>
      </c>
      <c r="O3165" s="1">
        <v>0.22136915422885561</v>
      </c>
      <c r="P3165" s="1">
        <v>0.15124242751565903</v>
      </c>
      <c r="Q3165" s="1">
        <v>4.8162982812243813</v>
      </c>
      <c r="R3165" s="2">
        <f t="shared" si="199"/>
        <v>251.99716812409511</v>
      </c>
      <c r="S3165" s="2">
        <f t="shared" si="198"/>
        <v>3.787142235413905</v>
      </c>
      <c r="T3165" s="2">
        <f t="shared" si="200"/>
        <v>9.2353948766017453</v>
      </c>
      <c r="U3165" s="2">
        <f t="shared" si="201"/>
        <v>265.01970523611078</v>
      </c>
    </row>
    <row r="3166" spans="1:21" x14ac:dyDescent="0.25">
      <c r="A3166">
        <v>4551281</v>
      </c>
      <c r="B3166">
        <v>67</v>
      </c>
      <c r="C3166" s="1">
        <f>9.04449357312728*(10.3/7.3)</f>
        <v>12.761408740165887</v>
      </c>
      <c r="D3166" s="1">
        <f>13.0294153427946*(10.3/7.3)</f>
        <v>18.383969593258151</v>
      </c>
      <c r="E3166" s="1">
        <f>45.9067767151772*(10.3/7.3)</f>
        <v>64.772575365249992</v>
      </c>
      <c r="F3166" s="1">
        <f>86.2426014640837*(38.9/42.5)</f>
        <v>78.937345810655458</v>
      </c>
      <c r="G3166" s="1">
        <v>3.009174699478498</v>
      </c>
      <c r="H3166" s="1">
        <v>6.1143888311493786</v>
      </c>
      <c r="I3166" s="1">
        <v>60.257065075157819</v>
      </c>
      <c r="J3166" s="1">
        <v>6.0391682465907578E-2</v>
      </c>
      <c r="K3166" s="1">
        <v>3.623649095837564</v>
      </c>
      <c r="L3166" s="1">
        <v>6.0444156690932269</v>
      </c>
      <c r="M3166" s="1">
        <v>0.26732490023163769</v>
      </c>
      <c r="N3166" s="1">
        <v>2.8055478871861865</v>
      </c>
      <c r="O3166" s="1">
        <v>0.22155303482587071</v>
      </c>
      <c r="P3166" s="1">
        <v>0.15117078392026947</v>
      </c>
      <c r="Q3166" s="1">
        <v>4.809183309668839</v>
      </c>
      <c r="R3166" s="2">
        <f t="shared" si="199"/>
        <v>249.04511142478401</v>
      </c>
      <c r="S3166" s="2">
        <f t="shared" si="198"/>
        <v>3.835211562223741</v>
      </c>
      <c r="T3166" s="2">
        <f t="shared" si="200"/>
        <v>9.3388414913369218</v>
      </c>
      <c r="U3166" s="2">
        <f t="shared" si="201"/>
        <v>262.21916447834468</v>
      </c>
    </row>
    <row r="3167" spans="1:21" x14ac:dyDescent="0.25">
      <c r="A3167">
        <v>4551289</v>
      </c>
      <c r="B3167">
        <v>67</v>
      </c>
      <c r="C3167" s="1">
        <f>9.05578841540862*(10.3/7.3)</f>
        <v>12.777345298453254</v>
      </c>
      <c r="D3167" s="1">
        <f>12.8505596981474*(10.3/7.3)</f>
        <v>18.13161162889293</v>
      </c>
      <c r="E3167" s="1">
        <f>45.2845786451404*(10.3/7.3)</f>
        <v>63.894679458211797</v>
      </c>
      <c r="F3167" s="1">
        <f>86.0356040687513*(38.9/42.5)</f>
        <v>78.747882312339442</v>
      </c>
      <c r="G3167" s="1">
        <v>3.039345396332886</v>
      </c>
      <c r="H3167" s="1">
        <v>6.539238007130745</v>
      </c>
      <c r="I3167" s="1">
        <v>60.609649162077446</v>
      </c>
      <c r="J3167" s="1">
        <v>6.3663509219719749E-2</v>
      </c>
      <c r="K3167" s="1">
        <v>3.7756335736412416</v>
      </c>
      <c r="L3167" s="1">
        <v>6.3898057688731518</v>
      </c>
      <c r="M3167" s="1">
        <v>0.27492637429550265</v>
      </c>
      <c r="N3167" s="1">
        <v>2.9429750365055702</v>
      </c>
      <c r="O3167" s="1">
        <v>0.2278829850746269</v>
      </c>
      <c r="P3167" s="1">
        <v>0.15467469721126689</v>
      </c>
      <c r="Q3167" s="1">
        <v>4.8574013183402354</v>
      </c>
      <c r="R3167" s="2">
        <f t="shared" si="199"/>
        <v>248.59715258177874</v>
      </c>
      <c r="S3167" s="2">
        <f t="shared" si="198"/>
        <v>3.9939717800722283</v>
      </c>
      <c r="T3167" s="2">
        <f t="shared" si="200"/>
        <v>9.8355901647488526</v>
      </c>
      <c r="U3167" s="2">
        <f t="shared" si="201"/>
        <v>262.42671452659982</v>
      </c>
    </row>
    <row r="3168" spans="1:21" x14ac:dyDescent="0.25">
      <c r="A3168">
        <v>4551297</v>
      </c>
      <c r="B3168">
        <v>67</v>
      </c>
      <c r="C3168" s="1">
        <f>4.03356057362697*(10.3/7.3)</f>
        <v>5.69118820662435</v>
      </c>
      <c r="D3168" s="1">
        <f>5.66127076731001*(10.3/7.3)</f>
        <v>7.9878203977113884</v>
      </c>
      <c r="E3168" s="1">
        <f>19.9575944450374*(10.3/7.3)</f>
        <v>28.159345586833549</v>
      </c>
      <c r="F3168" s="1">
        <f>37.9764692283385*(38.9/42.5)</f>
        <v>34.759638893702729</v>
      </c>
      <c r="G3168" s="1">
        <v>1.3412508197146569</v>
      </c>
      <c r="H3168" s="1">
        <v>4.0717637275580483</v>
      </c>
      <c r="I3168" s="1">
        <v>26.864920951063041</v>
      </c>
      <c r="J3168" s="1">
        <v>3.5969574918540734E-2</v>
      </c>
      <c r="K3168" s="1">
        <v>2.4666244688156258</v>
      </c>
      <c r="L3168" s="1">
        <v>3.5949698546657811</v>
      </c>
      <c r="M3168" s="1">
        <v>0.1695552012552381</v>
      </c>
      <c r="N3168" s="1">
        <v>1.8445071658119045</v>
      </c>
      <c r="O3168" s="1">
        <v>0.14470447761194033</v>
      </c>
      <c r="P3168" s="1">
        <v>0.1103422727476364</v>
      </c>
      <c r="Q3168" s="1">
        <v>2.1435515383567605</v>
      </c>
      <c r="R3168" s="2">
        <f t="shared" si="199"/>
        <v>111.01948012156453</v>
      </c>
      <c r="S3168" s="2">
        <f t="shared" si="198"/>
        <v>2.6129363164818029</v>
      </c>
      <c r="T3168" s="2">
        <f t="shared" si="200"/>
        <v>5.7537366993448638</v>
      </c>
      <c r="U3168" s="2">
        <f t="shared" si="201"/>
        <v>119.3861531373912</v>
      </c>
    </row>
    <row r="3169" spans="1:21" x14ac:dyDescent="0.25">
      <c r="A3169">
        <v>4551305</v>
      </c>
      <c r="B3169">
        <v>65</v>
      </c>
      <c r="C3169" s="1">
        <f>6.35059128698041*(10.3/7.3)</f>
        <v>8.9604233227257843</v>
      </c>
      <c r="D3169" s="1">
        <f>8.80149398624301*(10.3/7.3)</f>
        <v>12.418546309356577</v>
      </c>
      <c r="E3169" s="1">
        <f>31.0236818863244*(10.3/7.3)</f>
        <v>43.773140195772797</v>
      </c>
      <c r="F3169" s="1">
        <f>60.0417379202542*(38.9/42.5)</f>
        <v>54.95584953171501</v>
      </c>
      <c r="G3169" s="1">
        <v>2.163858343292643</v>
      </c>
      <c r="H3169" s="1">
        <v>9.0696355650160854</v>
      </c>
      <c r="I3169" s="1">
        <v>42.844645081955854</v>
      </c>
      <c r="J3169" s="1">
        <v>5.0782270886042626E-2</v>
      </c>
      <c r="K3169" s="1">
        <v>3.2134474084053464</v>
      </c>
      <c r="L3169" s="1">
        <v>4.9991915228221888</v>
      </c>
      <c r="M3169" s="1">
        <v>0.2220454889573098</v>
      </c>
      <c r="N3169" s="1">
        <v>2.452311613853047</v>
      </c>
      <c r="O3169" s="1">
        <v>0.1872705641025641</v>
      </c>
      <c r="P3169" s="1">
        <v>0.13243714146228194</v>
      </c>
      <c r="Q3169" s="1">
        <v>3.4582210965864215</v>
      </c>
      <c r="R3169" s="2">
        <f t="shared" si="199"/>
        <v>177.64431944642118</v>
      </c>
      <c r="S3169" s="2">
        <f t="shared" si="198"/>
        <v>3.396666820753671</v>
      </c>
      <c r="T3169" s="2">
        <f t="shared" si="200"/>
        <v>7.8608191897351096</v>
      </c>
      <c r="U3169" s="2">
        <f t="shared" si="201"/>
        <v>188.90180545690995</v>
      </c>
    </row>
    <row r="3170" spans="1:21" x14ac:dyDescent="0.25">
      <c r="A3170">
        <v>4551313</v>
      </c>
      <c r="B3170">
        <v>67</v>
      </c>
      <c r="C3170" s="1">
        <f>6.9945867028334*(10.3/7.3)</f>
        <v>9.8690743889293149</v>
      </c>
      <c r="D3170" s="1">
        <f>9.52778584408064*(10.3/7.3)</f>
        <v>13.443314273154876</v>
      </c>
      <c r="E3170" s="1">
        <f>33.5894067546921*(10.3/7.3)</f>
        <v>47.393272544291627</v>
      </c>
      <c r="F3170" s="1">
        <f>65.9282443935148*(38.9/42.5)</f>
        <v>60.34373428018182</v>
      </c>
      <c r="G3170" s="1">
        <v>2.411461807019275</v>
      </c>
      <c r="H3170" s="1">
        <v>5.6820193133698931</v>
      </c>
      <c r="I3170" s="1">
        <v>47.48521253860207</v>
      </c>
      <c r="J3170" s="1">
        <v>5.490958987438016E-2</v>
      </c>
      <c r="K3170" s="1">
        <v>3.4103755855125106</v>
      </c>
      <c r="L3170" s="1">
        <v>5.4348220346375822</v>
      </c>
      <c r="M3170" s="1">
        <v>0.23316331894785752</v>
      </c>
      <c r="N3170" s="1">
        <v>2.6546396670527082</v>
      </c>
      <c r="O3170" s="1">
        <v>0.19543004975124378</v>
      </c>
      <c r="P3170" s="1">
        <v>0.13652619291724447</v>
      </c>
      <c r="Q3170" s="1">
        <v>3.8539343947796656</v>
      </c>
      <c r="R3170" s="2">
        <f t="shared" si="199"/>
        <v>190.48202354032853</v>
      </c>
      <c r="S3170" s="2">
        <f t="shared" si="198"/>
        <v>3.6018113683041353</v>
      </c>
      <c r="T3170" s="2">
        <f t="shared" si="200"/>
        <v>8.5180550703893907</v>
      </c>
      <c r="U3170" s="2">
        <f t="shared" si="201"/>
        <v>202.60188997902205</v>
      </c>
    </row>
    <row r="3171" spans="1:21" x14ac:dyDescent="0.25">
      <c r="A3171">
        <v>4551321</v>
      </c>
      <c r="B3171">
        <v>67</v>
      </c>
      <c r="C3171" s="1">
        <f>7.36242404801358*(10.3/7.3)</f>
        <v>10.38807776637533</v>
      </c>
      <c r="D3171" s="1">
        <f>9.86383428459431*(10.3/7.3)</f>
        <v>13.917464812509785</v>
      </c>
      <c r="E3171" s="1">
        <f>34.7825603435806*(10.3/7.3)</f>
        <v>49.076763224504184</v>
      </c>
      <c r="F3171" s="1">
        <f>69.0633145277419*(38.9/42.5)</f>
        <v>63.213245532450777</v>
      </c>
      <c r="G3171" s="1">
        <v>2.5549487729509721</v>
      </c>
      <c r="H3171" s="1">
        <v>5.7533121536160028</v>
      </c>
      <c r="I3171" s="1">
        <v>50.157450601466834</v>
      </c>
      <c r="J3171" s="1">
        <v>5.7705671156188978E-2</v>
      </c>
      <c r="K3171" s="1">
        <v>3.536724375511286</v>
      </c>
      <c r="L3171" s="1">
        <v>5.6781945985052813</v>
      </c>
      <c r="M3171" s="1">
        <v>0.23904063583505145</v>
      </c>
      <c r="N3171" s="1">
        <v>2.9251719753763141</v>
      </c>
      <c r="O3171" s="1">
        <v>0.19793830845771146</v>
      </c>
      <c r="P3171" s="1">
        <v>0.13801485234909955</v>
      </c>
      <c r="Q3171" s="1">
        <v>4.0832514636202761</v>
      </c>
      <c r="R3171" s="2">
        <f t="shared" si="199"/>
        <v>199.14451432749416</v>
      </c>
      <c r="S3171" s="2">
        <f t="shared" si="198"/>
        <v>3.7324448990165746</v>
      </c>
      <c r="T3171" s="2">
        <f t="shared" si="200"/>
        <v>9.0403455181743588</v>
      </c>
      <c r="U3171" s="2">
        <f t="shared" si="201"/>
        <v>211.91730474468508</v>
      </c>
    </row>
    <row r="3172" spans="1:21" x14ac:dyDescent="0.25">
      <c r="A3172">
        <v>4551329</v>
      </c>
      <c r="B3172">
        <v>58</v>
      </c>
      <c r="C3172" s="1">
        <f>7.71862053106178*(10.3/7.3)</f>
        <v>10.890656365744704</v>
      </c>
      <c r="D3172" s="1">
        <f>10.1889756555951*(10.3/7.3)</f>
        <v>14.376225925017765</v>
      </c>
      <c r="E3172" s="1">
        <f>35.931997472633*(10.3/7.3)</f>
        <v>50.698571776454806</v>
      </c>
      <c r="F3172" s="1">
        <f>72.3415278583821*(38.9/42.5)</f>
        <v>66.213774910377978</v>
      </c>
      <c r="G3172" s="1">
        <v>2.7148024970406373</v>
      </c>
      <c r="H3172" s="1">
        <v>5.9115280433488451</v>
      </c>
      <c r="I3172" s="1">
        <v>52.964651366699229</v>
      </c>
      <c r="J3172" s="1">
        <v>6.044385225209193E-2</v>
      </c>
      <c r="K3172" s="1">
        <v>3.6856660050036196</v>
      </c>
      <c r="L3172" s="1">
        <v>5.9264523923230179</v>
      </c>
      <c r="M3172" s="1">
        <v>0.24308536350239535</v>
      </c>
      <c r="N3172" s="1">
        <v>3.6278560873308305</v>
      </c>
      <c r="O3172" s="1">
        <v>0.20185011494252872</v>
      </c>
      <c r="P3172" s="1">
        <v>0.13977354380592052</v>
      </c>
      <c r="Q3172" s="1">
        <v>4.3387254518914329</v>
      </c>
      <c r="R3172" s="2">
        <f t="shared" si="199"/>
        <v>208.1089363365754</v>
      </c>
      <c r="S3172" s="2">
        <f t="shared" si="198"/>
        <v>3.8858834010616321</v>
      </c>
      <c r="T3172" s="2">
        <f t="shared" si="200"/>
        <v>9.9992439580987718</v>
      </c>
      <c r="U3172" s="2">
        <f t="shared" si="201"/>
        <v>221.99406369573578</v>
      </c>
    </row>
    <row r="3173" spans="1:21" x14ac:dyDescent="0.25">
      <c r="A3173">
        <v>4551337</v>
      </c>
      <c r="B3173">
        <v>65</v>
      </c>
      <c r="C3173" s="1">
        <f>7.60447517033283*(10.3/7.3)</f>
        <v>10.729601952661394</v>
      </c>
      <c r="D3173" s="1">
        <f>9.92849277310799*(10.3/7.3)</f>
        <v>14.008695282604418</v>
      </c>
      <c r="E3173" s="1">
        <f>35.0104159800504*(10.3/7.3)</f>
        <v>49.398258163632711</v>
      </c>
      <c r="F3173" s="1">
        <f>71.4733385502772*(38.9/42.5)</f>
        <v>65.419126343665511</v>
      </c>
      <c r="G3173" s="1">
        <v>2.7220726542526656</v>
      </c>
      <c r="H3173" s="1">
        <v>6.0572589156311629</v>
      </c>
      <c r="I3173" s="1">
        <v>52.679277389676983</v>
      </c>
      <c r="J3173" s="1">
        <v>5.977525164903344E-2</v>
      </c>
      <c r="K3173" s="1">
        <v>3.690199803098734</v>
      </c>
      <c r="L3173" s="1">
        <v>5.8107774087089989</v>
      </c>
      <c r="M3173" s="1">
        <v>0.23610072263346768</v>
      </c>
      <c r="N3173" s="1">
        <v>2.8949604265648854</v>
      </c>
      <c r="O3173" s="1">
        <v>0.19571364102564104</v>
      </c>
      <c r="P3173" s="1">
        <v>0.13650360066685774</v>
      </c>
      <c r="Q3173" s="1">
        <v>4.3503444246047236</v>
      </c>
      <c r="R3173" s="2">
        <f t="shared" si="199"/>
        <v>205.36463512672958</v>
      </c>
      <c r="S3173" s="2">
        <f t="shared" si="198"/>
        <v>3.8864786554146251</v>
      </c>
      <c r="T3173" s="2">
        <f t="shared" si="200"/>
        <v>9.1375521989329922</v>
      </c>
      <c r="U3173" s="2">
        <f t="shared" si="201"/>
        <v>218.3886659810772</v>
      </c>
    </row>
    <row r="3174" spans="1:21" x14ac:dyDescent="0.25">
      <c r="A3174">
        <v>4551345</v>
      </c>
      <c r="B3174">
        <v>64</v>
      </c>
      <c r="C3174" s="1">
        <f>8.15925659391876*(10.3/7.3)</f>
        <v>11.512375742104556</v>
      </c>
      <c r="D3174" s="1">
        <f>10.5307743774426*(10.3/7.3)</f>
        <v>14.858489875021814</v>
      </c>
      <c r="E3174" s="1">
        <f>37.1219542746088*(10.3/7.3)</f>
        <v>52.377551921708296</v>
      </c>
      <c r="F3174" s="1">
        <f>77.3440852303012*(38.9/42.5)</f>
        <v>70.792586246087424</v>
      </c>
      <c r="G3174" s="1">
        <v>3.0105283973120822</v>
      </c>
      <c r="H3174" s="1">
        <v>6.1905855609430018</v>
      </c>
      <c r="I3174" s="1">
        <v>57.46608715908522</v>
      </c>
      <c r="J3174" s="1">
        <v>6.3287649239146801E-2</v>
      </c>
      <c r="K3174" s="1">
        <v>3.9663860883326234</v>
      </c>
      <c r="L3174" s="1">
        <v>6.0972606100984548</v>
      </c>
      <c r="M3174" s="1">
        <v>0.24222514660495781</v>
      </c>
      <c r="N3174" s="1">
        <v>2.8899363294810847</v>
      </c>
      <c r="O3174" s="1">
        <v>0.1999566666666667</v>
      </c>
      <c r="P3174" s="1">
        <v>0.13930968393669291</v>
      </c>
      <c r="Q3174" s="1">
        <v>4.8113467536951129</v>
      </c>
      <c r="R3174" s="2">
        <f t="shared" si="199"/>
        <v>221.01955165595751</v>
      </c>
      <c r="S3174" s="2">
        <f t="shared" si="198"/>
        <v>4.1689834215084636</v>
      </c>
      <c r="T3174" s="2">
        <f t="shared" si="200"/>
        <v>9.4293787528511643</v>
      </c>
      <c r="U3174" s="2">
        <f t="shared" si="201"/>
        <v>234.61791383031715</v>
      </c>
    </row>
    <row r="3175" spans="1:21" x14ac:dyDescent="0.25">
      <c r="A3175">
        <v>4551353</v>
      </c>
      <c r="B3175">
        <v>60</v>
      </c>
      <c r="C3175" s="1">
        <f>7.76582726629668*(10.3/7.3)</f>
        <v>10.957263129158335</v>
      </c>
      <c r="D3175" s="1">
        <f>9.96737439130195*(10.3/7.3)</f>
        <v>14.06355564800138</v>
      </c>
      <c r="E3175" s="1">
        <f>35.0999567106225*(10.3/7.3)</f>
        <v>49.524596454713965</v>
      </c>
      <c r="F3175" s="1">
        <f>75.3828946258647*(38.9/42.5)</f>
        <v>68.997520022262051</v>
      </c>
      <c r="G3175" s="1">
        <v>3.0326020961203421</v>
      </c>
      <c r="H3175" s="1">
        <v>6.1033472982026824</v>
      </c>
      <c r="I3175" s="1">
        <v>56.451138675488814</v>
      </c>
      <c r="J3175" s="1">
        <v>6.2302395006736365E-2</v>
      </c>
      <c r="K3175" s="1">
        <v>4.168805820261869</v>
      </c>
      <c r="L3175" s="1">
        <v>5.7930647543013807</v>
      </c>
      <c r="M3175" s="1">
        <v>0.23102046757324604</v>
      </c>
      <c r="N3175" s="1">
        <v>2.7629134332928644</v>
      </c>
      <c r="O3175" s="1">
        <v>0.19113155555555558</v>
      </c>
      <c r="P3175" s="1">
        <v>0.13354210481765383</v>
      </c>
      <c r="Q3175" s="1">
        <v>4.8466243545302303</v>
      </c>
      <c r="R3175" s="2">
        <f t="shared" si="199"/>
        <v>213.9766476784778</v>
      </c>
      <c r="S3175" s="2">
        <f t="shared" si="198"/>
        <v>4.364650320086259</v>
      </c>
      <c r="T3175" s="2">
        <f t="shared" si="200"/>
        <v>8.9781302107230463</v>
      </c>
      <c r="U3175" s="2">
        <f t="shared" si="201"/>
        <v>227.31942820928711</v>
      </c>
    </row>
    <row r="3176" spans="1:21" x14ac:dyDescent="0.25">
      <c r="A3176">
        <v>4551361</v>
      </c>
      <c r="B3176">
        <v>58</v>
      </c>
      <c r="C3176" s="1">
        <f>7.85129290531455*(10.3/7.3)</f>
        <v>11.077851633526015</v>
      </c>
      <c r="D3176" s="1">
        <f>9.9828279880674*(10.3/7.3)</f>
        <v>14.085360037958115</v>
      </c>
      <c r="E3176" s="1">
        <f>35.1335166778219*(10.3/7.3)</f>
        <v>49.571948189255515</v>
      </c>
      <c r="F3176" s="1">
        <f>77.249776751165*(38.9/42.5)</f>
        <v>70.706266249889879</v>
      </c>
      <c r="G3176" s="1">
        <v>3.1809620176155273</v>
      </c>
      <c r="H3176" s="1">
        <v>6.4426111235031351</v>
      </c>
      <c r="I3176" s="1">
        <v>58.279746466058498</v>
      </c>
      <c r="J3176" s="1">
        <v>6.648558913288713E-2</v>
      </c>
      <c r="K3176" s="1">
        <v>4.9058832475901974</v>
      </c>
      <c r="L3176" s="1">
        <v>5.6616476869040566</v>
      </c>
      <c r="M3176" s="1">
        <v>0.22346764724120291</v>
      </c>
      <c r="N3176" s="1">
        <v>2.8630589408953013</v>
      </c>
      <c r="O3176" s="1">
        <v>0.18526344827586202</v>
      </c>
      <c r="P3176" s="1">
        <v>0.13001739464540538</v>
      </c>
      <c r="Q3176" s="1">
        <v>5.0837292518969637</v>
      </c>
      <c r="R3176" s="2">
        <f t="shared" si="199"/>
        <v>218.42847496970361</v>
      </c>
      <c r="S3176" s="2">
        <f t="shared" si="198"/>
        <v>5.1023862313684907</v>
      </c>
      <c r="T3176" s="2">
        <f t="shared" si="200"/>
        <v>8.9334377233164233</v>
      </c>
      <c r="U3176" s="2">
        <f t="shared" si="201"/>
        <v>232.46429892438852</v>
      </c>
    </row>
    <row r="3177" spans="1:21" x14ac:dyDescent="0.25">
      <c r="A3177">
        <v>4551385</v>
      </c>
      <c r="B3177">
        <v>9</v>
      </c>
      <c r="C3177" s="1">
        <f>7.64941542210891*(10.3/7.3)</f>
        <v>10.793010801057772</v>
      </c>
      <c r="D3177" s="1">
        <f>8.54298401446325*(10.3/7.3)</f>
        <v>12.053799362872807</v>
      </c>
      <c r="E3177" s="1">
        <f>30.2080166271245*(10.3/7.3)</f>
        <v>42.622270035531812</v>
      </c>
      <c r="F3177" s="1">
        <f>68.5947656652137*(38.9/42.5)</f>
        <v>62.784385514748578</v>
      </c>
      <c r="G3177" s="1">
        <v>2.8501112838969251</v>
      </c>
      <c r="H3177" s="1">
        <v>12.529390791775306</v>
      </c>
      <c r="I3177" s="1">
        <v>54.166092351416331</v>
      </c>
      <c r="J3177" s="1">
        <v>5.1165493838707374E-2</v>
      </c>
      <c r="K3177" s="1">
        <v>3.6422018811461925</v>
      </c>
      <c r="L3177" s="1">
        <v>4.6299139505350579</v>
      </c>
      <c r="M3177" s="1">
        <v>0.17358140409851391</v>
      </c>
      <c r="N3177" s="1">
        <v>2.2936501368946063</v>
      </c>
      <c r="O3177" s="1">
        <v>0.1559348148148148</v>
      </c>
      <c r="P3177" s="1">
        <v>0.11352382269738445</v>
      </c>
      <c r="Q3177" s="1">
        <v>4.5549723715247703</v>
      </c>
      <c r="R3177" s="2">
        <f t="shared" si="199"/>
        <v>202.35403251282429</v>
      </c>
      <c r="S3177" s="2">
        <f t="shared" si="198"/>
        <v>3.8068911976822841</v>
      </c>
      <c r="T3177" s="2">
        <f t="shared" si="200"/>
        <v>7.2530803063429934</v>
      </c>
      <c r="U3177" s="2">
        <f t="shared" si="201"/>
        <v>213.41400401684956</v>
      </c>
    </row>
    <row r="3178" spans="1:21" x14ac:dyDescent="0.25">
      <c r="A3178">
        <v>4551417</v>
      </c>
      <c r="B3178">
        <v>13</v>
      </c>
      <c r="C3178" s="1">
        <f>4.51181894917969*(10.3/7.3)</f>
        <v>6.3659911200754475</v>
      </c>
      <c r="D3178" s="1">
        <f>5.63896424386115*(10.3/7.3)</f>
        <v>7.9563468098314827</v>
      </c>
      <c r="E3178" s="1">
        <f>19.7649537920879*(10.3/7.3)</f>
        <v>27.887537542260947</v>
      </c>
      <c r="F3178" s="1">
        <f>48.3255963373022*(38.9/42.5)</f>
        <v>44.232134059318987</v>
      </c>
      <c r="G3178" s="1">
        <v>2.1928609912021795</v>
      </c>
      <c r="H3178" s="1">
        <v>10.968190974000377</v>
      </c>
      <c r="I3178" s="1">
        <v>37.322361419826059</v>
      </c>
      <c r="J3178" s="1">
        <v>3.402200772537689E-2</v>
      </c>
      <c r="K3178" s="1">
        <v>2.3870834620186936</v>
      </c>
      <c r="L3178" s="1">
        <v>4.5575151567323271</v>
      </c>
      <c r="M3178" s="1">
        <v>0.11826873332510722</v>
      </c>
      <c r="N3178" s="1">
        <v>1.454451198298826</v>
      </c>
      <c r="O3178" s="1">
        <v>0.10804512820512821</v>
      </c>
      <c r="P3178" s="1">
        <v>8.5510367670710505E-2</v>
      </c>
      <c r="Q3178" s="1">
        <v>3.5045723603687837</v>
      </c>
      <c r="R3178" s="2">
        <f t="shared" si="199"/>
        <v>140.42999527688428</v>
      </c>
      <c r="S3178" s="2">
        <f t="shared" si="198"/>
        <v>2.5066158374147811</v>
      </c>
      <c r="T3178" s="2">
        <f t="shared" si="200"/>
        <v>6.238280216561388</v>
      </c>
      <c r="U3178" s="2">
        <f t="shared" si="201"/>
        <v>149.17489133086045</v>
      </c>
    </row>
    <row r="3179" spans="1:21" x14ac:dyDescent="0.25">
      <c r="A3179">
        <v>4551425</v>
      </c>
      <c r="B3179">
        <v>17</v>
      </c>
      <c r="C3179" s="1">
        <f>4.1621962385327*(10.3/7.3)</f>
        <v>5.8726878434091585</v>
      </c>
      <c r="D3179" s="1">
        <f>5.20088504835882*(10.3/7.3)</f>
        <v>7.3382350682323016</v>
      </c>
      <c r="E3179" s="1">
        <f>18.245494448806*(10.3/7.3)</f>
        <v>25.743642852424895</v>
      </c>
      <c r="F3179" s="1">
        <f>43.8028475997677*(38.9/42.5)</f>
        <v>40.09248874425797</v>
      </c>
      <c r="G3179" s="1">
        <v>1.9563654632351757</v>
      </c>
      <c r="H3179" s="1">
        <v>9.4570126586525447</v>
      </c>
      <c r="I3179" s="1">
        <v>33.731253075986352</v>
      </c>
      <c r="J3179" s="1">
        <v>3.1714204081892121E-2</v>
      </c>
      <c r="K3179" s="1">
        <v>2.2567390826495779</v>
      </c>
      <c r="L3179" s="1">
        <v>4.2196433888763636</v>
      </c>
      <c r="M3179" s="1">
        <v>0.1127015178481133</v>
      </c>
      <c r="N3179" s="1">
        <v>1.5661600220821852</v>
      </c>
      <c r="O3179" s="1">
        <v>0.1022305882352941</v>
      </c>
      <c r="P3179" s="1">
        <v>8.1906895382739889E-2</v>
      </c>
      <c r="Q3179" s="1">
        <v>3.1266114709237995</v>
      </c>
      <c r="R3179" s="2">
        <f t="shared" si="199"/>
        <v>127.3182971771222</v>
      </c>
      <c r="S3179" s="2">
        <f t="shared" si="198"/>
        <v>2.3703601821142102</v>
      </c>
      <c r="T3179" s="2">
        <f t="shared" si="200"/>
        <v>6.0007355170419556</v>
      </c>
      <c r="U3179" s="2">
        <f t="shared" si="201"/>
        <v>135.68939287627836</v>
      </c>
    </row>
    <row r="3180" spans="1:21" x14ac:dyDescent="0.25">
      <c r="A3180">
        <v>4562933</v>
      </c>
      <c r="B3180">
        <v>18</v>
      </c>
      <c r="C3180" s="1">
        <f>0.510499459657144*(10.3/7.3)</f>
        <v>0.72029375814638086</v>
      </c>
      <c r="D3180" s="1">
        <f>0.688090306719311*(10.3/7.3)</f>
        <v>0.97086714509711058</v>
      </c>
      <c r="E3180" s="1">
        <f>2.40155534447268*(10.3/7.3)</f>
        <v>3.3884958969957015</v>
      </c>
      <c r="F3180" s="1">
        <f>5.99059053658538*(38.9/42.5)</f>
        <v>5.4831522793687384</v>
      </c>
      <c r="G3180" s="1">
        <v>0.27933045734448858</v>
      </c>
      <c r="H3180" s="1">
        <v>1.2118462604055775</v>
      </c>
      <c r="I3180" s="1">
        <v>4.5506709407236494</v>
      </c>
      <c r="J3180" s="1">
        <v>6.8253818303194019E-2</v>
      </c>
      <c r="K3180" s="1">
        <v>2.9180707734294189</v>
      </c>
      <c r="L3180" s="1">
        <v>2.180347150151059</v>
      </c>
      <c r="M3180" s="1">
        <v>0.28282638015212547</v>
      </c>
      <c r="N3180" s="1">
        <v>1.3316922101748618</v>
      </c>
      <c r="O3180" s="1">
        <v>0.58057777777777786</v>
      </c>
      <c r="P3180" s="1">
        <v>0.2682435860593122</v>
      </c>
      <c r="Q3180" s="1">
        <v>0.44641853913502794</v>
      </c>
      <c r="R3180" s="2">
        <f t="shared" si="199"/>
        <v>17.051075277216675</v>
      </c>
      <c r="S3180" s="2">
        <f t="shared" si="198"/>
        <v>3.2545681777919251</v>
      </c>
      <c r="T3180" s="2">
        <f t="shared" si="200"/>
        <v>4.3754435182558238</v>
      </c>
      <c r="U3180" s="2">
        <f t="shared" si="201"/>
        <v>24.681086973264424</v>
      </c>
    </row>
    <row r="3181" spans="1:21" x14ac:dyDescent="0.25">
      <c r="A3181">
        <v>4563445</v>
      </c>
      <c r="B3181">
        <v>49</v>
      </c>
      <c r="C3181" s="1">
        <f>15.5902792932936*(10.3/7.3)</f>
        <v>21.997243386427918</v>
      </c>
      <c r="D3181" s="1">
        <f>26.6530126481214*(10.3/7.3)</f>
        <v>37.606305517212391</v>
      </c>
      <c r="E3181" s="1">
        <f>93.5992325762139*(10.3/7.3)</f>
        <v>132.06467062123332</v>
      </c>
      <c r="F3181" s="1">
        <f>162.042877795287*(38.9/42.5)</f>
        <v>148.31689285262723</v>
      </c>
      <c r="G3181" s="1">
        <v>5.1883892041423847</v>
      </c>
      <c r="H3181" s="1">
        <v>8.4134135934988894</v>
      </c>
      <c r="I3181" s="1">
        <v>103.88149361456789</v>
      </c>
      <c r="J3181" s="1">
        <v>7.7362956861555754E-2</v>
      </c>
      <c r="K3181" s="1">
        <v>3.5750996863885125</v>
      </c>
      <c r="L3181" s="1">
        <v>5.8954087348210225</v>
      </c>
      <c r="M3181" s="1">
        <v>0.30174640389128626</v>
      </c>
      <c r="N3181" s="1">
        <v>2.9508885314273123</v>
      </c>
      <c r="O3181" s="1">
        <v>0.24166857142857137</v>
      </c>
      <c r="P3181" s="1">
        <v>0.16267229303217803</v>
      </c>
      <c r="Q3181" s="1">
        <v>8.2919462166659201</v>
      </c>
      <c r="R3181" s="2">
        <f t="shared" si="199"/>
        <v>465.7603550063759</v>
      </c>
      <c r="S3181" s="2">
        <f t="shared" si="198"/>
        <v>3.8151349362822464</v>
      </c>
      <c r="T3181" s="2">
        <f t="shared" si="200"/>
        <v>9.3897122415681924</v>
      </c>
      <c r="U3181" s="2">
        <f t="shared" si="201"/>
        <v>478.96520218422631</v>
      </c>
    </row>
    <row r="3182" spans="1:21" x14ac:dyDescent="0.25">
      <c r="A3182">
        <v>4563453</v>
      </c>
      <c r="B3182">
        <v>43</v>
      </c>
      <c r="C3182" s="1">
        <f>13.9334515385893*(10.3/7.3)</f>
        <v>19.659527513352021</v>
      </c>
      <c r="D3182" s="1">
        <f>22.8692372835458*(10.3/7.3)</f>
        <v>32.267553975413982</v>
      </c>
      <c r="E3182" s="1">
        <f>80.3744774809833*(10.3/7.3)</f>
        <v>113.40508466494911</v>
      </c>
      <c r="F3182" s="1">
        <f>141.584770610045*(38.9/42.5)</f>
        <v>129.59170768778213</v>
      </c>
      <c r="G3182" s="1">
        <v>4.6193715919414764</v>
      </c>
      <c r="H3182" s="1">
        <v>10.995147789403168</v>
      </c>
      <c r="I3182" s="1">
        <v>92.656554069029212</v>
      </c>
      <c r="J3182" s="1">
        <v>6.4977856679956356E-2</v>
      </c>
      <c r="K3182" s="1">
        <v>3.4917524059865959</v>
      </c>
      <c r="L3182" s="1">
        <v>5.7043942366752471</v>
      </c>
      <c r="M3182" s="1">
        <v>0.28996346070053836</v>
      </c>
      <c r="N3182" s="1">
        <v>2.7977772140588075</v>
      </c>
      <c r="O3182" s="1">
        <v>0.23386914728682165</v>
      </c>
      <c r="P3182" s="1">
        <v>0.15842221512291169</v>
      </c>
      <c r="Q3182" s="1">
        <v>7.3825573387192627</v>
      </c>
      <c r="R3182" s="2">
        <f t="shared" si="199"/>
        <v>410.5775046305904</v>
      </c>
      <c r="S3182" s="2">
        <f t="shared" si="198"/>
        <v>3.7151524777894638</v>
      </c>
      <c r="T3182" s="2">
        <f t="shared" si="200"/>
        <v>9.0260040587214139</v>
      </c>
      <c r="U3182" s="2">
        <f t="shared" si="201"/>
        <v>423.31866116710125</v>
      </c>
    </row>
    <row r="3183" spans="1:21" x14ac:dyDescent="0.25">
      <c r="A3183">
        <v>4563461</v>
      </c>
      <c r="B3183">
        <v>62</v>
      </c>
      <c r="C3183" s="1">
        <f>9.60936800368271*(10.3/7.3)</f>
        <v>13.558423347661906</v>
      </c>
      <c r="D3183" s="1">
        <f>15.2860487268392*(10.3/7.3)</f>
        <v>21.567986559786753</v>
      </c>
      <c r="E3183" s="1">
        <f>53.7724172782762*(10.3/7.3)</f>
        <v>75.870670954280101</v>
      </c>
      <c r="F3183" s="1">
        <f>95.2299080393877*(38.9/42.5)</f>
        <v>87.163374652521924</v>
      </c>
      <c r="G3183" s="1">
        <v>3.1113110113384481</v>
      </c>
      <c r="H3183" s="1">
        <v>5.6783181731107613</v>
      </c>
      <c r="I3183" s="1">
        <v>63.119504139495604</v>
      </c>
      <c r="J3183" s="1">
        <v>4.8209364803947337E-2</v>
      </c>
      <c r="K3183" s="1">
        <v>2.8440858869121213</v>
      </c>
      <c r="L3183" s="1">
        <v>4.3586040968599686</v>
      </c>
      <c r="M3183" s="1">
        <v>0.22636532346570115</v>
      </c>
      <c r="N3183" s="1">
        <v>2.1958779691365891</v>
      </c>
      <c r="O3183" s="1">
        <v>0.18417376344086026</v>
      </c>
      <c r="P3183" s="1">
        <v>0.1329490432443132</v>
      </c>
      <c r="Q3183" s="1">
        <v>4.9724148583034582</v>
      </c>
      <c r="R3183" s="2">
        <f t="shared" si="199"/>
        <v>275.04200369649897</v>
      </c>
      <c r="S3183" s="2">
        <f t="shared" si="198"/>
        <v>3.0252442949603817</v>
      </c>
      <c r="T3183" s="2">
        <f t="shared" si="200"/>
        <v>6.9650211529031187</v>
      </c>
      <c r="U3183" s="2">
        <f t="shared" si="201"/>
        <v>285.03226914436243</v>
      </c>
    </row>
    <row r="3184" spans="1:21" x14ac:dyDescent="0.25">
      <c r="A3184">
        <v>4563469</v>
      </c>
      <c r="B3184">
        <v>18</v>
      </c>
      <c r="C3184" s="1">
        <f>14.7830429544598*(10.3/7.3)</f>
        <v>20.858266086429527</v>
      </c>
      <c r="D3184" s="1">
        <f>21.9347515870854*(10.3/7.3)</f>
        <v>30.949033061230047</v>
      </c>
      <c r="E3184" s="1">
        <f>77.3714443754669*(10.3/7.3)</f>
        <v>109.16792836538482</v>
      </c>
      <c r="F3184" s="1">
        <f>136.44612999448*(38.9/42.5)</f>
        <v>124.88834015965325</v>
      </c>
      <c r="G3184" s="1">
        <v>4.3553400901244972</v>
      </c>
      <c r="H3184" s="1">
        <v>7.7378412241610262</v>
      </c>
      <c r="I3184" s="1">
        <v>92.576459255943973</v>
      </c>
      <c r="J3184" s="1">
        <v>6.4649452444979078E-2</v>
      </c>
      <c r="K3184" s="1">
        <v>3.542815605661449</v>
      </c>
      <c r="L3184" s="1">
        <v>5.8962405321965949</v>
      </c>
      <c r="M3184" s="1">
        <v>0.28647164571530176</v>
      </c>
      <c r="N3184" s="1">
        <v>2.8347799476373869</v>
      </c>
      <c r="O3184" s="1">
        <v>0.23223407407407404</v>
      </c>
      <c r="P3184" s="1">
        <v>0.15571489887020443</v>
      </c>
      <c r="Q3184" s="1">
        <v>6.9605891851304822</v>
      </c>
      <c r="R3184" s="2">
        <f t="shared" si="199"/>
        <v>397.49379742805758</v>
      </c>
      <c r="S3184" s="2">
        <f t="shared" si="198"/>
        <v>3.7631799569766327</v>
      </c>
      <c r="T3184" s="2">
        <f t="shared" si="200"/>
        <v>9.2497261996233568</v>
      </c>
      <c r="U3184" s="2">
        <f t="shared" si="201"/>
        <v>410.50670358465754</v>
      </c>
    </row>
    <row r="3185" spans="1:21" x14ac:dyDescent="0.25">
      <c r="A3185">
        <v>4563477</v>
      </c>
      <c r="B3185">
        <v>6</v>
      </c>
      <c r="C3185" s="1">
        <f>11.5252372483646*(10.3/7.3)</f>
        <v>16.26163611755554</v>
      </c>
      <c r="D3185" s="1">
        <f>16.5023659175049*(10.3/7.3)</f>
        <v>23.284160130178211</v>
      </c>
      <c r="E3185" s="1">
        <f>58.3129197270309*(10.3/7.3)</f>
        <v>82.277133313481997</v>
      </c>
      <c r="F3185" s="1">
        <f>101.702161995541*(38.9/42.5)</f>
        <v>93.087390626506959</v>
      </c>
      <c r="G3185" s="1">
        <v>3.1576901148859271</v>
      </c>
      <c r="H3185" s="1">
        <v>6.4057770080202445</v>
      </c>
      <c r="I3185" s="1">
        <v>69.677605469212011</v>
      </c>
      <c r="J3185" s="1">
        <v>5.1382368697409642E-2</v>
      </c>
      <c r="K3185" s="1">
        <v>2.7279741968944307</v>
      </c>
      <c r="L3185" s="1">
        <v>4.0135785940581803</v>
      </c>
      <c r="M3185" s="1">
        <v>0.20688894940177649</v>
      </c>
      <c r="N3185" s="1">
        <v>2.1075555780845079</v>
      </c>
      <c r="O3185" s="1">
        <v>0.17452444444444445</v>
      </c>
      <c r="P3185" s="1">
        <v>0.12636142914436729</v>
      </c>
      <c r="Q3185" s="1">
        <v>5.0465367132880159</v>
      </c>
      <c r="R3185" s="2">
        <f t="shared" si="199"/>
        <v>299.19792949312887</v>
      </c>
      <c r="S3185" s="2">
        <f t="shared" si="198"/>
        <v>2.9057179947362077</v>
      </c>
      <c r="T3185" s="2">
        <f t="shared" si="200"/>
        <v>6.5025475659889098</v>
      </c>
      <c r="U3185" s="2">
        <f t="shared" si="201"/>
        <v>308.60619505385398</v>
      </c>
    </row>
    <row r="3186" spans="1:21" x14ac:dyDescent="0.25">
      <c r="A3186">
        <v>4563493</v>
      </c>
      <c r="B3186">
        <v>7</v>
      </c>
      <c r="C3186" s="1">
        <f>9.0019638211386*(10.3/7.3)</f>
        <v>12.70140100790789</v>
      </c>
      <c r="D3186" s="1">
        <f>12.9742631788653*(10.3/7.3)</f>
        <v>18.306152156481165</v>
      </c>
      <c r="E3186" s="1">
        <f>45.6928716721789*(10.3/7.3)</f>
        <v>64.470764140197616</v>
      </c>
      <c r="F3186" s="1">
        <f>86.7842208834517*(38.9/42.5)</f>
        <v>79.433086879206328</v>
      </c>
      <c r="G3186" s="1">
        <v>3.0747664533086594</v>
      </c>
      <c r="H3186" s="1">
        <v>5.8985550215435483</v>
      </c>
      <c r="I3186" s="1">
        <v>60.811007675410401</v>
      </c>
      <c r="J3186" s="1">
        <v>5.346436734095146E-2</v>
      </c>
      <c r="K3186" s="1">
        <v>2.9198409806405086</v>
      </c>
      <c r="L3186" s="1">
        <v>4.3683574162079752</v>
      </c>
      <c r="M3186" s="1">
        <v>0.21820717830667125</v>
      </c>
      <c r="N3186" s="1">
        <v>2.3302816533179742</v>
      </c>
      <c r="O3186" s="1">
        <v>0.18220190476190479</v>
      </c>
      <c r="P3186" s="1">
        <v>0.13008827417382021</v>
      </c>
      <c r="Q3186" s="1">
        <v>4.9140103135069948</v>
      </c>
      <c r="R3186" s="2">
        <f t="shared" si="199"/>
        <v>249.6097436475626</v>
      </c>
      <c r="S3186" s="2">
        <f t="shared" si="198"/>
        <v>3.1033936221552803</v>
      </c>
      <c r="T3186" s="2">
        <f t="shared" si="200"/>
        <v>7.0990481525945253</v>
      </c>
      <c r="U3186" s="2">
        <f t="shared" si="201"/>
        <v>259.81218542231238</v>
      </c>
    </row>
    <row r="3187" spans="1:21" x14ac:dyDescent="0.25">
      <c r="A3187">
        <v>4563501</v>
      </c>
      <c r="B3187">
        <v>55</v>
      </c>
      <c r="C3187" s="1">
        <f>8.79008292518243*(10.3/7.3)</f>
        <v>12.402445771147816</v>
      </c>
      <c r="D3187" s="1">
        <f>12.8851518105204*(10.3/7.3)</f>
        <v>18.180419677857561</v>
      </c>
      <c r="E3187" s="1">
        <f>45.3854647143303*(10.3/7.3)</f>
        <v>64.037025555835896</v>
      </c>
      <c r="F3187" s="1">
        <f>84.3666569557366*(38.9/42.5)</f>
        <v>77.220304837132986</v>
      </c>
      <c r="G3187" s="1">
        <v>2.9109117504877737</v>
      </c>
      <c r="H3187" s="1">
        <v>5.617124688769966</v>
      </c>
      <c r="I3187" s="1">
        <v>58.419112474175613</v>
      </c>
      <c r="J3187" s="1">
        <v>5.635977528655884E-2</v>
      </c>
      <c r="K3187" s="1">
        <v>3.3710338647285005</v>
      </c>
      <c r="L3187" s="1">
        <v>5.4974452568468299</v>
      </c>
      <c r="M3187" s="1">
        <v>0.25302963732703559</v>
      </c>
      <c r="N3187" s="1">
        <v>2.6653577894504701</v>
      </c>
      <c r="O3187" s="1">
        <v>0.20893381818181811</v>
      </c>
      <c r="P3187" s="1">
        <v>0.14570781669398949</v>
      </c>
      <c r="Q3187" s="1">
        <v>4.6521420669895974</v>
      </c>
      <c r="R3187" s="2">
        <f t="shared" si="199"/>
        <v>243.43948682239721</v>
      </c>
      <c r="S3187" s="2">
        <f t="shared" si="198"/>
        <v>3.5731014567090491</v>
      </c>
      <c r="T3187" s="2">
        <f t="shared" si="200"/>
        <v>8.6247665018061532</v>
      </c>
      <c r="U3187" s="2">
        <f t="shared" si="201"/>
        <v>255.63735478091243</v>
      </c>
    </row>
    <row r="3188" spans="1:21" x14ac:dyDescent="0.25">
      <c r="A3188">
        <v>4563509</v>
      </c>
      <c r="B3188">
        <v>55</v>
      </c>
      <c r="C3188" s="1">
        <f>10.0957558844436*(10.3/7.3)</f>
        <v>14.244696658872474</v>
      </c>
      <c r="D3188" s="1">
        <f>14.6695344329972*(10.3/7.3)</f>
        <v>20.698110227379615</v>
      </c>
      <c r="E3188" s="1">
        <f>51.6768232459133*(10.3/7.3)</f>
        <v>72.913873894918737</v>
      </c>
      <c r="F3188" s="1">
        <f>96.6383155371539*(38.9/42.5)</f>
        <v>88.452481750477375</v>
      </c>
      <c r="G3188" s="1">
        <v>3.3564393620391595</v>
      </c>
      <c r="H3188" s="1">
        <v>6.6592963898221402</v>
      </c>
      <c r="I3188" s="1">
        <v>67.23464675101863</v>
      </c>
      <c r="J3188" s="1">
        <v>6.5587894817757328E-2</v>
      </c>
      <c r="K3188" s="1">
        <v>3.834864352747585</v>
      </c>
      <c r="L3188" s="1">
        <v>6.5694148236528243</v>
      </c>
      <c r="M3188" s="1">
        <v>0.28815867013501623</v>
      </c>
      <c r="N3188" s="1">
        <v>3.0041044499171687</v>
      </c>
      <c r="O3188" s="1">
        <v>0.23631612121212123</v>
      </c>
      <c r="P3188" s="1">
        <v>0.15927361901184184</v>
      </c>
      <c r="Q3188" s="1">
        <v>5.36417249640962</v>
      </c>
      <c r="R3188" s="2">
        <f t="shared" si="199"/>
        <v>278.92371753093772</v>
      </c>
      <c r="S3188" s="2">
        <f t="shared" si="198"/>
        <v>4.0597258665771845</v>
      </c>
      <c r="T3188" s="2">
        <f t="shared" si="200"/>
        <v>10.097994064917131</v>
      </c>
      <c r="U3188" s="2">
        <f t="shared" si="201"/>
        <v>293.08143746243206</v>
      </c>
    </row>
    <row r="3189" spans="1:21" x14ac:dyDescent="0.25">
      <c r="A3189">
        <v>4563517</v>
      </c>
      <c r="B3189">
        <v>55</v>
      </c>
      <c r="C3189" s="1">
        <f>9.14094179859454*(10.3/7.3)</f>
        <v>12.897493222674496</v>
      </c>
      <c r="D3189" s="1">
        <f>13.1008584589095*(10.3/7.3)</f>
        <v>18.484772894077775</v>
      </c>
      <c r="E3189" s="1">
        <f>46.1581608538277*(10.3/7.3)</f>
        <v>65.127268054030807</v>
      </c>
      <c r="F3189" s="1">
        <f>87.2031291710776*(38.9/42.5)</f>
        <v>79.816511170704004</v>
      </c>
      <c r="G3189" s="1">
        <v>3.0632705667683733</v>
      </c>
      <c r="H3189" s="1">
        <v>6.6010315162401101</v>
      </c>
      <c r="I3189" s="1">
        <v>61.13070257161425</v>
      </c>
      <c r="J3189" s="1">
        <v>6.2527233373096111E-2</v>
      </c>
      <c r="K3189" s="1">
        <v>3.7276712567110502</v>
      </c>
      <c r="L3189" s="1">
        <v>6.2568509777588108</v>
      </c>
      <c r="M3189" s="1">
        <v>0.27472501579170566</v>
      </c>
      <c r="N3189" s="1">
        <v>2.9154896531818517</v>
      </c>
      <c r="O3189" s="1">
        <v>0.22714278787878783</v>
      </c>
      <c r="P3189" s="1">
        <v>0.1540713374251412</v>
      </c>
      <c r="Q3189" s="1">
        <v>4.8956378920955785</v>
      </c>
      <c r="R3189" s="2">
        <f t="shared" si="199"/>
        <v>252.01668788820541</v>
      </c>
      <c r="S3189" s="2">
        <f t="shared" si="198"/>
        <v>3.9442698275092876</v>
      </c>
      <c r="T3189" s="2">
        <f t="shared" si="200"/>
        <v>9.6742084346111579</v>
      </c>
      <c r="U3189" s="2">
        <f t="shared" si="201"/>
        <v>265.63516615032586</v>
      </c>
    </row>
    <row r="3190" spans="1:21" x14ac:dyDescent="0.25">
      <c r="A3190">
        <v>4563525</v>
      </c>
      <c r="B3190">
        <v>55</v>
      </c>
      <c r="C3190" s="1">
        <f>7.28445299558782*(10.3/7.3)</f>
        <v>10.278063815692404</v>
      </c>
      <c r="D3190" s="1">
        <f>10.3059716239577*(10.3/7.3)</f>
        <v>14.54130242832386</v>
      </c>
      <c r="E3190" s="1">
        <f>36.3174965281561*(10.3/7.3)</f>
        <v>51.242495101370999</v>
      </c>
      <c r="F3190" s="1">
        <f>69.2244799386751*(38.9/42.5)</f>
        <v>63.360759285046164</v>
      </c>
      <c r="G3190" s="1">
        <v>2.4548497265431091</v>
      </c>
      <c r="H3190" s="1">
        <v>5.5843277945209602</v>
      </c>
      <c r="I3190" s="1">
        <v>48.85933129235265</v>
      </c>
      <c r="J3190" s="1">
        <v>5.4024470236904272E-2</v>
      </c>
      <c r="K3190" s="1">
        <v>3.3308854741176801</v>
      </c>
      <c r="L3190" s="1">
        <v>5.3735226126275686</v>
      </c>
      <c r="M3190" s="1">
        <v>0.23917933119015905</v>
      </c>
      <c r="N3190" s="1">
        <v>2.5594207983186577</v>
      </c>
      <c r="O3190" s="1">
        <v>0.19945696969696972</v>
      </c>
      <c r="P3190" s="1">
        <v>0.13947755452225732</v>
      </c>
      <c r="Q3190" s="1">
        <v>3.9232758186762062</v>
      </c>
      <c r="R3190" s="2">
        <f t="shared" si="199"/>
        <v>200.24440526252633</v>
      </c>
      <c r="S3190" s="2">
        <f t="shared" si="198"/>
        <v>3.5243874988768416</v>
      </c>
      <c r="T3190" s="2">
        <f t="shared" si="200"/>
        <v>8.3715797118333537</v>
      </c>
      <c r="U3190" s="2">
        <f t="shared" si="201"/>
        <v>212.14037247323654</v>
      </c>
    </row>
    <row r="3191" spans="1:21" x14ac:dyDescent="0.25">
      <c r="A3191">
        <v>4563533</v>
      </c>
      <c r="B3191">
        <v>26</v>
      </c>
      <c r="C3191" s="1">
        <f>5.28802840489814*(10.3/7.3)</f>
        <v>7.4611907630754644</v>
      </c>
      <c r="D3191" s="1">
        <f>7.42942436323539*(10.3/7.3)</f>
        <v>10.482612457715691</v>
      </c>
      <c r="E3191" s="1">
        <f>26.1828288839833*(10.3/7.3)</f>
        <v>36.942895548634034</v>
      </c>
      <c r="F3191" s="1">
        <f>50.172325442723*(38.9/42.5)</f>
        <v>45.922434346398191</v>
      </c>
      <c r="G3191" s="1">
        <v>1.7894320128817212</v>
      </c>
      <c r="H3191" s="1">
        <v>6.9082187567232163</v>
      </c>
      <c r="I3191" s="1">
        <v>35.546055970955045</v>
      </c>
      <c r="J3191" s="1">
        <v>4.269511620513123E-2</v>
      </c>
      <c r="K3191" s="1">
        <v>2.8546115739549225</v>
      </c>
      <c r="L3191" s="1">
        <v>4.1480795570543725</v>
      </c>
      <c r="M3191" s="1">
        <v>0.19678225606347713</v>
      </c>
      <c r="N3191" s="1">
        <v>2.1965907941539808</v>
      </c>
      <c r="O3191" s="1">
        <v>0.16990974358974359</v>
      </c>
      <c r="P3191" s="1">
        <v>0.12260406670270153</v>
      </c>
      <c r="Q3191" s="1">
        <v>2.8598228516374573</v>
      </c>
      <c r="R3191" s="2">
        <f t="shared" si="199"/>
        <v>147.91266270802083</v>
      </c>
      <c r="S3191" s="2">
        <f t="shared" si="198"/>
        <v>3.0199107568627555</v>
      </c>
      <c r="T3191" s="2">
        <f t="shared" si="200"/>
        <v>6.7113623508615738</v>
      </c>
      <c r="U3191" s="2">
        <f t="shared" si="201"/>
        <v>157.64393581574515</v>
      </c>
    </row>
    <row r="3192" spans="1:21" x14ac:dyDescent="0.25">
      <c r="A3192">
        <v>4563541</v>
      </c>
      <c r="B3192">
        <v>55</v>
      </c>
      <c r="C3192" s="1">
        <f>8.07699575769243*(10.3/7.3)</f>
        <v>11.396309082771509</v>
      </c>
      <c r="D3192" s="1">
        <f>11.1007600862068*(10.3/7.3)</f>
        <v>15.662716286017757</v>
      </c>
      <c r="E3192" s="1">
        <f>39.125934260959*(10.3/7.3)</f>
        <v>55.205085327106609</v>
      </c>
      <c r="F3192" s="1">
        <f>76.5139792470544*(38.9/42.5)</f>
        <v>70.032795122598017</v>
      </c>
      <c r="G3192" s="1">
        <v>2.7905853511511882</v>
      </c>
      <c r="H3192" s="1">
        <v>6.8808128431575986</v>
      </c>
      <c r="I3192" s="1">
        <v>54.896012129775116</v>
      </c>
      <c r="J3192" s="1">
        <v>6.1487108408463075E-2</v>
      </c>
      <c r="K3192" s="1">
        <v>3.7054583131544767</v>
      </c>
      <c r="L3192" s="1">
        <v>6.0893754938500715</v>
      </c>
      <c r="M3192" s="1">
        <v>0.258608254975216</v>
      </c>
      <c r="N3192" s="1">
        <v>2.8849110129219637</v>
      </c>
      <c r="O3192" s="1">
        <v>0.21455612121212117</v>
      </c>
      <c r="P3192" s="1">
        <v>0.14717605959677219</v>
      </c>
      <c r="Q3192" s="1">
        <v>4.4598396022964248</v>
      </c>
      <c r="R3192" s="2">
        <f t="shared" si="199"/>
        <v>221.32415574487419</v>
      </c>
      <c r="S3192" s="2">
        <f t="shared" si="198"/>
        <v>3.9141214811597123</v>
      </c>
      <c r="T3192" s="2">
        <f t="shared" si="200"/>
        <v>9.4474508829593713</v>
      </c>
      <c r="U3192" s="2">
        <f t="shared" si="201"/>
        <v>234.68572810899329</v>
      </c>
    </row>
    <row r="3193" spans="1:21" x14ac:dyDescent="0.25">
      <c r="A3193">
        <v>4563549</v>
      </c>
      <c r="B3193">
        <v>55</v>
      </c>
      <c r="C3193" s="1">
        <f>8.42148196219633*(10.3/7.3)</f>
        <v>11.882364960359208</v>
      </c>
      <c r="D3193" s="1">
        <f>11.3874526107985*(10.3/7.3)</f>
        <v>16.067227656332154</v>
      </c>
      <c r="E3193" s="1">
        <f>40.1436279003205*(10.3/7.3)</f>
        <v>56.641009229219314</v>
      </c>
      <c r="F3193" s="1">
        <f>79.507925162793*(38.9/42.5)</f>
        <v>72.77313620782698</v>
      </c>
      <c r="G3193" s="1">
        <v>2.9376184367218512</v>
      </c>
      <c r="H3193" s="1">
        <v>6.3178300290284968</v>
      </c>
      <c r="I3193" s="1">
        <v>57.531487961398966</v>
      </c>
      <c r="J3193" s="1">
        <v>6.3333596385286045E-2</v>
      </c>
      <c r="K3193" s="1">
        <v>3.8071844028243991</v>
      </c>
      <c r="L3193" s="1">
        <v>6.2699124742614876</v>
      </c>
      <c r="M3193" s="1">
        <v>0.26225025198363167</v>
      </c>
      <c r="N3193" s="1">
        <v>3.0367270180012285</v>
      </c>
      <c r="O3193" s="1">
        <v>0.21595830303030303</v>
      </c>
      <c r="P3193" s="1">
        <v>0.14805238272783136</v>
      </c>
      <c r="Q3193" s="1">
        <v>4.6948239856285339</v>
      </c>
      <c r="R3193" s="2">
        <f t="shared" si="199"/>
        <v>228.84549846651552</v>
      </c>
      <c r="S3193" s="2">
        <f t="shared" si="198"/>
        <v>4.0185703819375167</v>
      </c>
      <c r="T3193" s="2">
        <f t="shared" si="200"/>
        <v>9.7848480472766521</v>
      </c>
      <c r="U3193" s="2">
        <f t="shared" si="201"/>
        <v>242.64891689572968</v>
      </c>
    </row>
    <row r="3194" spans="1:21" x14ac:dyDescent="0.25">
      <c r="A3194">
        <v>4563557</v>
      </c>
      <c r="B3194">
        <v>53</v>
      </c>
      <c r="C3194" s="1">
        <f>7.05307155319475*(10.3/7.3)</f>
        <v>9.9515941093021887</v>
      </c>
      <c r="D3194" s="1">
        <f>9.40699744162581*(10.3/7.3)</f>
        <v>13.272886801198068</v>
      </c>
      <c r="E3194" s="1">
        <f>33.1701431223726*(10.3/7.3)</f>
        <v>46.80170878910112</v>
      </c>
      <c r="F3194" s="1">
        <f>66.2550722081658*(38.9/42.5)</f>
        <v>60.642877856415247</v>
      </c>
      <c r="G3194" s="1">
        <v>2.4672572914405615</v>
      </c>
      <c r="H3194" s="1">
        <v>5.6363561763537353</v>
      </c>
      <c r="I3194" s="1">
        <v>48.256395407420683</v>
      </c>
      <c r="J3194" s="1">
        <v>5.6102359110769329E-2</v>
      </c>
      <c r="K3194" s="1">
        <v>3.4779907659224576</v>
      </c>
      <c r="L3194" s="1">
        <v>5.4839017714027554</v>
      </c>
      <c r="M3194" s="1">
        <v>0.23278602378511359</v>
      </c>
      <c r="N3194" s="1">
        <v>3.6347201386529995</v>
      </c>
      <c r="O3194" s="1">
        <v>0.19410716981132076</v>
      </c>
      <c r="P3194" s="1">
        <v>0.13524803231719432</v>
      </c>
      <c r="Q3194" s="1">
        <v>3.9431052602931405</v>
      </c>
      <c r="R3194" s="2">
        <f t="shared" si="199"/>
        <v>190.97218169152475</v>
      </c>
      <c r="S3194" s="2">
        <f t="shared" si="198"/>
        <v>3.6693411573504213</v>
      </c>
      <c r="T3194" s="2">
        <f t="shared" si="200"/>
        <v>9.545515103652189</v>
      </c>
      <c r="U3194" s="2">
        <f t="shared" si="201"/>
        <v>204.18703795252736</v>
      </c>
    </row>
    <row r="3195" spans="1:21" x14ac:dyDescent="0.25">
      <c r="A3195">
        <v>4563565</v>
      </c>
      <c r="B3195">
        <v>55</v>
      </c>
      <c r="C3195" s="1">
        <f>8.03760107716896*(10.3/7.3)</f>
        <v>11.340724807512377</v>
      </c>
      <c r="D3195" s="1">
        <f>10.5707851940472*(10.3/7.3)</f>
        <v>14.914943492970655</v>
      </c>
      <c r="E3195" s="1">
        <f>37.2711446654529*(10.3/7.3)</f>
        <v>52.588053432077437</v>
      </c>
      <c r="F3195" s="1">
        <f>75.7067615868663*(38.9/42.5)</f>
        <v>69.293953546567039</v>
      </c>
      <c r="G3195" s="1">
        <v>2.8700421320360641</v>
      </c>
      <c r="H3195" s="1">
        <v>6.0869081348842027</v>
      </c>
      <c r="I3195" s="1">
        <v>55.605472115565419</v>
      </c>
      <c r="J3195" s="1">
        <v>6.229424291224521E-2</v>
      </c>
      <c r="K3195" s="1">
        <v>3.7830120183944613</v>
      </c>
      <c r="L3195" s="1">
        <v>6.0692612819654457</v>
      </c>
      <c r="M3195" s="1">
        <v>0.24740108858727275</v>
      </c>
      <c r="N3195" s="1">
        <v>3.1736926748515573</v>
      </c>
      <c r="O3195" s="1">
        <v>0.20515006060606061</v>
      </c>
      <c r="P3195" s="1">
        <v>0.14140359904150482</v>
      </c>
      <c r="Q3195" s="1">
        <v>4.5868253251717954</v>
      </c>
      <c r="R3195" s="2">
        <f t="shared" si="199"/>
        <v>217.28692298678499</v>
      </c>
      <c r="S3195" s="2">
        <f t="shared" si="198"/>
        <v>3.9867098603482112</v>
      </c>
      <c r="T3195" s="2">
        <f t="shared" si="200"/>
        <v>9.6955051060103354</v>
      </c>
      <c r="U3195" s="2">
        <f t="shared" si="201"/>
        <v>230.96913795314353</v>
      </c>
    </row>
    <row r="3196" spans="1:21" x14ac:dyDescent="0.25">
      <c r="A3196">
        <v>4563573</v>
      </c>
      <c r="B3196">
        <v>54</v>
      </c>
      <c r="C3196" s="1">
        <f>7.73821974346865*(10.3/7.3)</f>
        <v>10.918310049003709</v>
      </c>
      <c r="D3196" s="1">
        <f>10.0637523607725*(10.3/7.3)</f>
        <v>14.199541002185793</v>
      </c>
      <c r="E3196" s="1">
        <f>35.47511992628*(10.3/7.3)</f>
        <v>50.0539363343403</v>
      </c>
      <c r="F3196" s="1">
        <f>73.3444921256523*(38.9/42.5)</f>
        <v>67.131782204420546</v>
      </c>
      <c r="G3196" s="1">
        <v>2.8335203069023631</v>
      </c>
      <c r="H3196" s="1">
        <v>7.6454663590742094</v>
      </c>
      <c r="I3196" s="1">
        <v>54.273295523598051</v>
      </c>
      <c r="J3196" s="1">
        <v>6.0776193193112282E-2</v>
      </c>
      <c r="K3196" s="1">
        <v>3.7766098071649776</v>
      </c>
      <c r="L3196" s="1">
        <v>5.8424840180262132</v>
      </c>
      <c r="M3196" s="1">
        <v>0.23857210297372189</v>
      </c>
      <c r="N3196" s="1">
        <v>2.8602102849945124</v>
      </c>
      <c r="O3196" s="1">
        <v>0.19680493827160497</v>
      </c>
      <c r="P3196" s="1">
        <v>0.13707869408645248</v>
      </c>
      <c r="Q3196" s="1">
        <v>4.5284571114877989</v>
      </c>
      <c r="R3196" s="2">
        <f t="shared" si="199"/>
        <v>211.58430889101277</v>
      </c>
      <c r="S3196" s="2">
        <f t="shared" si="198"/>
        <v>3.9744646944445425</v>
      </c>
      <c r="T3196" s="2">
        <f t="shared" si="200"/>
        <v>9.1380713442660522</v>
      </c>
      <c r="U3196" s="2">
        <f t="shared" si="201"/>
        <v>224.69684492972337</v>
      </c>
    </row>
    <row r="3197" spans="1:21" x14ac:dyDescent="0.25">
      <c r="A3197">
        <v>4563581</v>
      </c>
      <c r="B3197">
        <v>56</v>
      </c>
      <c r="C3197" s="1">
        <f>8.01235092840645*(10.3/7.3)</f>
        <v>11.305097885285816</v>
      </c>
      <c r="D3197" s="1">
        <f>10.3340960593439*(10.3/7.3)</f>
        <v>14.580984850855058</v>
      </c>
      <c r="E3197" s="1">
        <f>36.4011777778558*(10.3/7.3)</f>
        <v>51.360565905741687</v>
      </c>
      <c r="F3197" s="1">
        <f>77.2861192055374*(38.9/42.5)</f>
        <v>70.739530284597748</v>
      </c>
      <c r="G3197" s="1">
        <v>3.0729845908949143</v>
      </c>
      <c r="H3197" s="1">
        <v>6.2229467555627043</v>
      </c>
      <c r="I3197" s="1">
        <v>57.656353756035472</v>
      </c>
      <c r="J3197" s="1">
        <v>6.3396494992669014E-2</v>
      </c>
      <c r="K3197" s="1">
        <v>4.0274697976314053</v>
      </c>
      <c r="L3197" s="1">
        <v>5.9616640223224016</v>
      </c>
      <c r="M3197" s="1">
        <v>0.23904565518341325</v>
      </c>
      <c r="N3197" s="1">
        <v>2.831255759653355</v>
      </c>
      <c r="O3197" s="1">
        <v>0.19650761904761901</v>
      </c>
      <c r="P3197" s="1">
        <v>0.13688342603172091</v>
      </c>
      <c r="Q3197" s="1">
        <v>4.9111625881882253</v>
      </c>
      <c r="R3197" s="2">
        <f t="shared" si="199"/>
        <v>219.84962661716162</v>
      </c>
      <c r="S3197" s="2">
        <f t="shared" si="198"/>
        <v>4.2277497186557955</v>
      </c>
      <c r="T3197" s="2">
        <f t="shared" si="200"/>
        <v>9.2284730562067878</v>
      </c>
      <c r="U3197" s="2">
        <f t="shared" si="201"/>
        <v>233.30584939202419</v>
      </c>
    </row>
    <row r="3198" spans="1:21" x14ac:dyDescent="0.25">
      <c r="A3198">
        <v>4563589</v>
      </c>
      <c r="B3198">
        <v>54</v>
      </c>
      <c r="C3198" s="1">
        <f>7.1073697762013*(10.3/7.3)</f>
        <v>10.028206670530597</v>
      </c>
      <c r="D3198" s="1">
        <f>9.49274145664521*(10.3/7.3)</f>
        <v>13.39386808266379</v>
      </c>
      <c r="E3198" s="1">
        <f>33.2080199505045*(10.3/7.3)</f>
        <v>46.855151437013198</v>
      </c>
      <c r="F3198" s="1">
        <f>79.5777213109729*(38.9/42.5)</f>
        <v>72.837020211690501</v>
      </c>
      <c r="G3198" s="1">
        <v>3.5839689417617699</v>
      </c>
      <c r="H3198" s="1">
        <v>6.3157037388985549</v>
      </c>
      <c r="I3198" s="1">
        <v>60.153931183697843</v>
      </c>
      <c r="J3198" s="1">
        <v>6.1223615455956747E-2</v>
      </c>
      <c r="K3198" s="1">
        <v>4.2652436704481556</v>
      </c>
      <c r="L3198" s="1">
        <v>5.4356869169216564</v>
      </c>
      <c r="M3198" s="1">
        <v>0.2188664325293119</v>
      </c>
      <c r="N3198" s="1">
        <v>2.6821921169237624</v>
      </c>
      <c r="O3198" s="1">
        <v>0.18101827160493825</v>
      </c>
      <c r="P3198" s="1">
        <v>0.1277771716811856</v>
      </c>
      <c r="Q3198" s="1">
        <v>5.7278042448247515</v>
      </c>
      <c r="R3198" s="2">
        <f t="shared" si="199"/>
        <v>218.89565451108098</v>
      </c>
      <c r="S3198" s="2">
        <f t="shared" si="198"/>
        <v>4.4542444575852977</v>
      </c>
      <c r="T3198" s="2">
        <f t="shared" si="200"/>
        <v>8.5177637379796689</v>
      </c>
      <c r="U3198" s="2">
        <f t="shared" si="201"/>
        <v>231.86766270664594</v>
      </c>
    </row>
    <row r="3199" spans="1:21" x14ac:dyDescent="0.25">
      <c r="A3199">
        <v>4563613</v>
      </c>
      <c r="B3199">
        <v>1</v>
      </c>
      <c r="C3199" s="1">
        <f>5.9186162484978*(10.3/7.3)</f>
        <v>8.3509242958256653</v>
      </c>
      <c r="D3199" s="1">
        <f>6.91342290412352*(10.3/7.3)</f>
        <v>9.7545556044482602</v>
      </c>
      <c r="E3199" s="1">
        <f>24.3773761549664*(10.3/7.3)</f>
        <v>34.395475944678559</v>
      </c>
      <c r="F3199" s="1">
        <f>56.0971146041173*(38.9/42.5)</f>
        <v>51.34535901412152</v>
      </c>
      <c r="G3199" s="1">
        <v>2.3819476911473862</v>
      </c>
      <c r="H3199" s="1">
        <v>11.017802090354692</v>
      </c>
      <c r="I3199" s="1">
        <v>43.765714965554835</v>
      </c>
      <c r="J3199" s="1">
        <v>4.331462395368512E-2</v>
      </c>
      <c r="K3199" s="1">
        <v>3.2351542235045101</v>
      </c>
      <c r="L3199" s="1">
        <v>3.8669933607875273</v>
      </c>
      <c r="M3199" s="1">
        <v>0.15436191482147046</v>
      </c>
      <c r="N3199" s="1">
        <v>1.9683828435515567</v>
      </c>
      <c r="O3199" s="1">
        <v>0.13882666666666665</v>
      </c>
      <c r="P3199" s="1">
        <v>0.10289406715941964</v>
      </c>
      <c r="Q3199" s="1">
        <v>3.8067657164455984</v>
      </c>
      <c r="R3199" s="2">
        <f t="shared" si="199"/>
        <v>164.81854532257651</v>
      </c>
      <c r="S3199" s="2">
        <f t="shared" si="198"/>
        <v>3.3813629146176152</v>
      </c>
      <c r="T3199" s="2">
        <f t="shared" si="200"/>
        <v>6.128564785827221</v>
      </c>
      <c r="U3199" s="2">
        <f t="shared" si="201"/>
        <v>174.32847302302136</v>
      </c>
    </row>
    <row r="3200" spans="1:21" x14ac:dyDescent="0.25">
      <c r="A3200">
        <v>4563653</v>
      </c>
      <c r="B3200">
        <v>54</v>
      </c>
      <c r="C3200" s="1">
        <f>3.93684898198083*(10.3/7.3)</f>
        <v>5.5547321252606219</v>
      </c>
      <c r="D3200" s="1">
        <f>4.94189043226473*(10.3/7.3)</f>
        <v>6.9728043085379028</v>
      </c>
      <c r="E3200" s="1">
        <f>17.342971452049*(10.3/7.3)</f>
        <v>24.47021999398693</v>
      </c>
      <c r="F3200" s="1">
        <f>41.1454290669387*(38.9/42.5)</f>
        <v>37.660169193033262</v>
      </c>
      <c r="G3200" s="1">
        <v>1.8196824612167162</v>
      </c>
      <c r="H3200" s="1">
        <v>8.9415759139219411</v>
      </c>
      <c r="I3200" s="1">
        <v>31.581987726464767</v>
      </c>
      <c r="J3200" s="1">
        <v>3.5565590958836109E-2</v>
      </c>
      <c r="K3200" s="1">
        <v>2.4771647865002793</v>
      </c>
      <c r="L3200" s="1">
        <v>3.9984746330929202</v>
      </c>
      <c r="M3200" s="1">
        <v>0.12279308806369615</v>
      </c>
      <c r="N3200" s="1">
        <v>1.6051737707983702</v>
      </c>
      <c r="O3200" s="1">
        <v>0.11150814814814811</v>
      </c>
      <c r="P3200" s="1">
        <v>8.8927817040823254E-2</v>
      </c>
      <c r="Q3200" s="1">
        <v>2.9081683170130193</v>
      </c>
      <c r="R3200" s="2">
        <f t="shared" si="199"/>
        <v>119.90934003943515</v>
      </c>
      <c r="S3200" s="2">
        <f t="shared" si="198"/>
        <v>2.6016581944999388</v>
      </c>
      <c r="T3200" s="2">
        <f t="shared" si="200"/>
        <v>5.8379496401031341</v>
      </c>
      <c r="U3200" s="2">
        <f t="shared" si="201"/>
        <v>128.34894787403823</v>
      </c>
    </row>
    <row r="3201" spans="1:21" x14ac:dyDescent="0.25">
      <c r="A3201">
        <v>4575681</v>
      </c>
      <c r="B3201">
        <v>10</v>
      </c>
      <c r="C3201" s="1">
        <f>15.9364517722001*(10.3/7.3)</f>
        <v>22.485678527898827</v>
      </c>
      <c r="D3201" s="1">
        <f>26.9681468404913*(10.3/7.3)</f>
        <v>38.050946911926012</v>
      </c>
      <c r="E3201" s="1">
        <f>94.7295434297975*(10.3/7.3)</f>
        <v>133.65949278450879</v>
      </c>
      <c r="F3201" s="1">
        <f>164.441920611859*(38.9/42.5)</f>
        <v>150.51272263061892</v>
      </c>
      <c r="G3201" s="1">
        <v>5.276336020714588</v>
      </c>
      <c r="H3201" s="1">
        <v>9.0030223056611742</v>
      </c>
      <c r="I3201" s="1">
        <v>105.90190718861984</v>
      </c>
      <c r="J3201" s="1">
        <v>6.9797307243236406E-2</v>
      </c>
      <c r="K3201" s="1">
        <v>3.4862743464269443</v>
      </c>
      <c r="L3201" s="1">
        <v>5.7367837209188135</v>
      </c>
      <c r="M3201" s="1">
        <v>0.29390843402416483</v>
      </c>
      <c r="N3201" s="1">
        <v>2.8060750694477727</v>
      </c>
      <c r="O3201" s="1">
        <v>0.23565866666666663</v>
      </c>
      <c r="P3201" s="1">
        <v>0.1592382758052299</v>
      </c>
      <c r="Q3201" s="1">
        <v>8.4325004897265199</v>
      </c>
      <c r="R3201" s="2">
        <f t="shared" si="199"/>
        <v>473.32260685967469</v>
      </c>
      <c r="S3201" s="2">
        <f t="shared" si="198"/>
        <v>3.7153099294754108</v>
      </c>
      <c r="T3201" s="2">
        <f t="shared" si="200"/>
        <v>9.0724258910574171</v>
      </c>
      <c r="U3201" s="2">
        <f t="shared" si="201"/>
        <v>486.11034268020757</v>
      </c>
    </row>
    <row r="3202" spans="1:21" x14ac:dyDescent="0.25">
      <c r="A3202">
        <v>4575689</v>
      </c>
      <c r="B3202">
        <v>67</v>
      </c>
      <c r="C3202" s="1">
        <f>15.9254303839951*(10.3/7.3)</f>
        <v>22.470127802075258</v>
      </c>
      <c r="D3202" s="1">
        <f>25.7915459458901*(10.3/7.3)</f>
        <v>36.390811403105239</v>
      </c>
      <c r="E3202" s="1">
        <f>90.6489792072251*(10.3/7.3)</f>
        <v>127.9019843608793</v>
      </c>
      <c r="F3202" s="1">
        <f>161.6126235058*(38.9/42.5)</f>
        <v>147.92308363236722</v>
      </c>
      <c r="G3202" s="1">
        <v>5.3565317827673491</v>
      </c>
      <c r="H3202" s="1">
        <v>8.1528025433337667</v>
      </c>
      <c r="I3202" s="1">
        <v>106.70903745781354</v>
      </c>
      <c r="J3202" s="1">
        <v>7.0077586684250542E-2</v>
      </c>
      <c r="K3202" s="1">
        <v>3.7397037112813223</v>
      </c>
      <c r="L3202" s="1">
        <v>6.3416085116721161</v>
      </c>
      <c r="M3202" s="1">
        <v>0.31367853585504007</v>
      </c>
      <c r="N3202" s="1">
        <v>3.0210440713608122</v>
      </c>
      <c r="O3202" s="1">
        <v>0.24981731343283578</v>
      </c>
      <c r="P3202" s="1">
        <v>0.16665622019146312</v>
      </c>
      <c r="Q3202" s="1">
        <v>8.5606672327332163</v>
      </c>
      <c r="R3202" s="2">
        <f t="shared" si="199"/>
        <v>463.46504621507489</v>
      </c>
      <c r="S3202" s="2">
        <f t="shared" si="198"/>
        <v>3.9764375181570357</v>
      </c>
      <c r="T3202" s="2">
        <f t="shared" si="200"/>
        <v>9.9261484323208045</v>
      </c>
      <c r="U3202" s="2">
        <f t="shared" si="201"/>
        <v>477.36763216555272</v>
      </c>
    </row>
    <row r="3203" spans="1:21" x14ac:dyDescent="0.25">
      <c r="A3203">
        <v>4575697</v>
      </c>
      <c r="B3203">
        <v>34</v>
      </c>
      <c r="C3203" s="1">
        <f>13.5434443103788*(10.3/7.3)</f>
        <v>19.109243342041264</v>
      </c>
      <c r="D3203" s="1">
        <f>21.6728664099625*(10.3/7.3)</f>
        <v>30.579523838714223</v>
      </c>
      <c r="E3203" s="1">
        <f>76.1538067219839*(10.3/7.3)</f>
        <v>107.4498916762238</v>
      </c>
      <c r="F3203" s="1">
        <f>138.363804245949*(38.9/42.5)</f>
        <v>126.64357612158669</v>
      </c>
      <c r="G3203" s="1">
        <v>4.7062716874877353</v>
      </c>
      <c r="H3203" s="1">
        <v>8.0844308397743365</v>
      </c>
      <c r="I3203" s="1">
        <v>92.333126903922334</v>
      </c>
      <c r="J3203" s="1">
        <v>6.1195484586603337E-2</v>
      </c>
      <c r="K3203" s="1">
        <v>3.3743953844564887</v>
      </c>
      <c r="L3203" s="1">
        <v>5.4477860540963938</v>
      </c>
      <c r="M3203" s="1">
        <v>0.27394464433060906</v>
      </c>
      <c r="N3203" s="1">
        <v>2.7017385033074763</v>
      </c>
      <c r="O3203" s="1">
        <v>0.22202980392156857</v>
      </c>
      <c r="P3203" s="1">
        <v>0.15194305946649156</v>
      </c>
      <c r="Q3203" s="1">
        <v>7.5214387699575731</v>
      </c>
      <c r="R3203" s="2">
        <f t="shared" si="199"/>
        <v>396.42750317970797</v>
      </c>
      <c r="S3203" s="2">
        <f t="shared" si="198"/>
        <v>3.5875339285095835</v>
      </c>
      <c r="T3203" s="2">
        <f t="shared" si="200"/>
        <v>8.6454990056560472</v>
      </c>
      <c r="U3203" s="2">
        <f t="shared" si="201"/>
        <v>408.6605361138736</v>
      </c>
    </row>
    <row r="3204" spans="1:21" x14ac:dyDescent="0.25">
      <c r="A3204">
        <v>4575705</v>
      </c>
      <c r="B3204">
        <v>7</v>
      </c>
      <c r="C3204" s="1">
        <f>12.4995348728129*(10.3/7.3)</f>
        <v>17.636330026023668</v>
      </c>
      <c r="D3204" s="1">
        <f>18.3888679136021*(10.3/7.3)</f>
        <v>25.945936919191968</v>
      </c>
      <c r="E3204" s="1">
        <f>64.8958892354956*(10.3/7.3)</f>
        <v>91.565432756932097</v>
      </c>
      <c r="F3204" s="1">
        <f>113.906935310648*(38.9/42.5)</f>
        <v>104.25834784904062</v>
      </c>
      <c r="G3204" s="1">
        <v>3.6000518289561563</v>
      </c>
      <c r="H3204" s="1">
        <v>7.2306725565097789</v>
      </c>
      <c r="I3204" s="1">
        <v>77.409815895299772</v>
      </c>
      <c r="J3204" s="1">
        <v>5.2181707462340889E-2</v>
      </c>
      <c r="K3204" s="1">
        <v>2.8729813880233905</v>
      </c>
      <c r="L3204" s="1">
        <v>4.3325826318959759</v>
      </c>
      <c r="M3204" s="1">
        <v>0.22158416817643692</v>
      </c>
      <c r="N3204" s="1">
        <v>2.2223327075819865</v>
      </c>
      <c r="O3204" s="1">
        <v>0.18559238095238095</v>
      </c>
      <c r="P3204" s="1">
        <v>0.13174443937953781</v>
      </c>
      <c r="Q3204" s="1">
        <v>5.7535074891993423</v>
      </c>
      <c r="R3204" s="2">
        <f t="shared" si="199"/>
        <v>333.40009532115346</v>
      </c>
      <c r="S3204" s="2">
        <f t="shared" si="198"/>
        <v>3.0569075348652692</v>
      </c>
      <c r="T3204" s="2">
        <f t="shared" si="200"/>
        <v>6.9620918886067802</v>
      </c>
      <c r="U3204" s="2">
        <f t="shared" si="201"/>
        <v>343.41909474462551</v>
      </c>
    </row>
    <row r="3205" spans="1:21" x14ac:dyDescent="0.25">
      <c r="A3205">
        <v>4575729</v>
      </c>
      <c r="B3205">
        <v>58</v>
      </c>
      <c r="C3205" s="1">
        <f>10.839374179052*(10.3/7.3)</f>
        <v>15.293911512909016</v>
      </c>
      <c r="D3205" s="1">
        <f>16.0011281088499*(10.3/7.3)</f>
        <v>22.576934180979933</v>
      </c>
      <c r="E3205" s="1">
        <f>56.2446321477276*(10.3/7.3)</f>
        <v>79.358864537204738</v>
      </c>
      <c r="F3205" s="1">
        <f>109.635402993916*(38.9/42.5)</f>
        <v>100.3486394461958</v>
      </c>
      <c r="G3205" s="1">
        <v>4.0402280032174609</v>
      </c>
      <c r="H3205" s="1">
        <v>8.5613835776323199</v>
      </c>
      <c r="I3205" s="1">
        <v>76.770849491524942</v>
      </c>
      <c r="J3205" s="1">
        <v>6.1462952740678985E-2</v>
      </c>
      <c r="K3205" s="1">
        <v>3.5378124133766797</v>
      </c>
      <c r="L3205" s="1">
        <v>5.84167467635175</v>
      </c>
      <c r="M3205" s="1">
        <v>0.2703113621646594</v>
      </c>
      <c r="N3205" s="1">
        <v>2.8369439505818272</v>
      </c>
      <c r="O3205" s="1">
        <v>0.22226758620689652</v>
      </c>
      <c r="P3205" s="1">
        <v>0.15210684056172952</v>
      </c>
      <c r="Q3205" s="1">
        <v>6.456985393269921</v>
      </c>
      <c r="R3205" s="2">
        <f t="shared" si="199"/>
        <v>313.40779614293416</v>
      </c>
      <c r="S3205" s="2">
        <f t="shared" si="198"/>
        <v>3.7513822066790881</v>
      </c>
      <c r="T3205" s="2">
        <f t="shared" si="200"/>
        <v>9.1711975753051327</v>
      </c>
      <c r="U3205" s="2">
        <f t="shared" si="201"/>
        <v>326.33037592491837</v>
      </c>
    </row>
    <row r="3206" spans="1:21" x14ac:dyDescent="0.25">
      <c r="A3206">
        <v>4575737</v>
      </c>
      <c r="B3206">
        <v>71</v>
      </c>
      <c r="C3206" s="1">
        <f>6.19411076441512*(10.3/7.3)</f>
        <v>8.7396357360925698</v>
      </c>
      <c r="D3206" s="1">
        <f>9.07143881110336*(10.3/7.3)</f>
        <v>12.799427363611587</v>
      </c>
      <c r="E3206" s="1">
        <f>31.9546807313562*(10.3/7.3)</f>
        <v>45.086741305886143</v>
      </c>
      <c r="F3206" s="1">
        <f>59.3425573732957*(38.9/42.5)</f>
        <v>54.315893689910688</v>
      </c>
      <c r="G3206" s="1">
        <v>2.0442255302429206</v>
      </c>
      <c r="H3206" s="1">
        <v>4.5031149981194201</v>
      </c>
      <c r="I3206" s="1">
        <v>41.092635731102952</v>
      </c>
      <c r="J3206" s="1">
        <v>4.3927796778319761E-2</v>
      </c>
      <c r="K3206" s="1">
        <v>2.8179431386131628</v>
      </c>
      <c r="L3206" s="1">
        <v>4.3156804219268201</v>
      </c>
      <c r="M3206" s="1">
        <v>0.20644276747061352</v>
      </c>
      <c r="N3206" s="1">
        <v>2.113014963627152</v>
      </c>
      <c r="O3206" s="1">
        <v>0.17307868544600938</v>
      </c>
      <c r="P3206" s="1">
        <v>0.12660059447557809</v>
      </c>
      <c r="Q3206" s="1">
        <v>3.2670271031279579</v>
      </c>
      <c r="R3206" s="2">
        <f t="shared" si="199"/>
        <v>171.84870145809424</v>
      </c>
      <c r="S3206" s="2">
        <f t="shared" si="198"/>
        <v>2.9884715298670605</v>
      </c>
      <c r="T3206" s="2">
        <f t="shared" si="200"/>
        <v>6.808216838470595</v>
      </c>
      <c r="U3206" s="2">
        <f t="shared" si="201"/>
        <v>181.64538982643191</v>
      </c>
    </row>
    <row r="3207" spans="1:21" x14ac:dyDescent="0.25">
      <c r="A3207">
        <v>4575745</v>
      </c>
      <c r="B3207">
        <v>71</v>
      </c>
      <c r="C3207" s="1">
        <f>9.89121238761425*(10.3/7.3)</f>
        <v>13.956094190743396</v>
      </c>
      <c r="D3207" s="1">
        <f>14.3148398055293*(10.3/7.3)</f>
        <v>20.197650684513977</v>
      </c>
      <c r="E3207" s="1">
        <f>50.4260152131246*(10.3/7.3)</f>
        <v>71.149035163723767</v>
      </c>
      <c r="F3207" s="1">
        <f>94.7635221352336*(38.9/42.5)</f>
        <v>86.736494377896207</v>
      </c>
      <c r="G3207" s="1">
        <v>3.3113334480663323</v>
      </c>
      <c r="H3207" s="1">
        <v>6.3826892056323485</v>
      </c>
      <c r="I3207" s="1">
        <v>66.112865020710927</v>
      </c>
      <c r="J3207" s="1">
        <v>6.539733204804711E-2</v>
      </c>
      <c r="K3207" s="1">
        <v>3.8435897542891979</v>
      </c>
      <c r="L3207" s="1">
        <v>6.5358469529142633</v>
      </c>
      <c r="M3207" s="1">
        <v>0.28791420628700198</v>
      </c>
      <c r="N3207" s="1">
        <v>2.992886123313844</v>
      </c>
      <c r="O3207" s="1">
        <v>0.23594892018779351</v>
      </c>
      <c r="P3207" s="1">
        <v>0.15898157288922618</v>
      </c>
      <c r="Q3207" s="1">
        <v>5.2920854192840983</v>
      </c>
      <c r="R3207" s="2">
        <f t="shared" si="199"/>
        <v>273.13824751057103</v>
      </c>
      <c r="S3207" s="2">
        <f t="shared" si="198"/>
        <v>4.0679686592264712</v>
      </c>
      <c r="T3207" s="2">
        <f t="shared" si="200"/>
        <v>10.052596202702903</v>
      </c>
      <c r="U3207" s="2">
        <f t="shared" si="201"/>
        <v>287.25881237250042</v>
      </c>
    </row>
    <row r="3208" spans="1:21" x14ac:dyDescent="0.25">
      <c r="A3208">
        <v>4575753</v>
      </c>
      <c r="B3208">
        <v>72</v>
      </c>
      <c r="C3208" s="1">
        <f>7.80906405465307*(10.3/7.3)</f>
        <v>11.018268460674873</v>
      </c>
      <c r="D3208" s="1">
        <f>11.1404115352629*(10.3/7.3)</f>
        <v>15.718662851124318</v>
      </c>
      <c r="E3208" s="1">
        <f>39.2510509745959*(10.3/7.3)</f>
        <v>55.381619868265417</v>
      </c>
      <c r="F3208" s="1">
        <f>74.5103114189264*(38.9/42.5)</f>
        <v>68.198849745793851</v>
      </c>
      <c r="G3208" s="1">
        <v>2.6321982390542815</v>
      </c>
      <c r="H3208" s="1">
        <v>5.779260814459211</v>
      </c>
      <c r="I3208" s="1">
        <v>52.383909490275379</v>
      </c>
      <c r="J3208" s="1">
        <v>5.593626926307322E-2</v>
      </c>
      <c r="K3208" s="1">
        <v>3.4239202942012912</v>
      </c>
      <c r="L3208" s="1">
        <v>5.5280757787426618</v>
      </c>
      <c r="M3208" s="1">
        <v>0.24939034981884264</v>
      </c>
      <c r="N3208" s="1">
        <v>2.6338436683529727</v>
      </c>
      <c r="O3208" s="1">
        <v>0.20783555555555552</v>
      </c>
      <c r="P3208" s="1">
        <v>0.14362155694809692</v>
      </c>
      <c r="Q3208" s="1">
        <v>4.2067095144703153</v>
      </c>
      <c r="R3208" s="2">
        <f t="shared" si="199"/>
        <v>215.31947898411764</v>
      </c>
      <c r="S3208" s="2">
        <f t="shared" si="198"/>
        <v>3.6234781204124613</v>
      </c>
      <c r="T3208" s="2">
        <f t="shared" si="200"/>
        <v>8.6191453524700314</v>
      </c>
      <c r="U3208" s="2">
        <f t="shared" si="201"/>
        <v>227.56210245700015</v>
      </c>
    </row>
    <row r="3209" spans="1:21" x14ac:dyDescent="0.25">
      <c r="A3209">
        <v>4575761</v>
      </c>
      <c r="B3209">
        <v>72</v>
      </c>
      <c r="C3209" s="1">
        <f>7.43395615014208*(10.3/7.3)</f>
        <v>10.489006622803215</v>
      </c>
      <c r="D3209" s="1">
        <f>10.4727888070399*(10.3/7.3)</f>
        <v>14.77667461815221</v>
      </c>
      <c r="E3209" s="1">
        <f>36.9026010683869*(10.3/7.3)</f>
        <v>52.068053562244572</v>
      </c>
      <c r="F3209" s="1">
        <f>70.7960711500265*(38.9/42.5)</f>
        <v>64.799227476141922</v>
      </c>
      <c r="G3209" s="1">
        <v>2.5304468699654779</v>
      </c>
      <c r="H3209" s="1">
        <v>6.1135831797178577</v>
      </c>
      <c r="I3209" s="1">
        <v>50.126855812171101</v>
      </c>
      <c r="J3209" s="1">
        <v>5.4920847030616657E-2</v>
      </c>
      <c r="K3209" s="1">
        <v>3.3729525048502067</v>
      </c>
      <c r="L3209" s="1">
        <v>5.4081598860909699</v>
      </c>
      <c r="M3209" s="1">
        <v>0.24111717491986814</v>
      </c>
      <c r="N3209" s="1">
        <v>2.6171118650693335</v>
      </c>
      <c r="O3209" s="1">
        <v>0.20126444444444447</v>
      </c>
      <c r="P3209" s="1">
        <v>0.14012831072039314</v>
      </c>
      <c r="Q3209" s="1">
        <v>4.0440931711777086</v>
      </c>
      <c r="R3209" s="2">
        <f t="shared" si="199"/>
        <v>204.9479413123741</v>
      </c>
      <c r="S3209" s="2">
        <f t="shared" ref="S3209:S3272" si="202">J3209+K3209+P3209</f>
        <v>3.5680016626012168</v>
      </c>
      <c r="T3209" s="2">
        <f t="shared" si="200"/>
        <v>8.4676533705246158</v>
      </c>
      <c r="U3209" s="2">
        <f t="shared" si="201"/>
        <v>216.9835963454999</v>
      </c>
    </row>
    <row r="3210" spans="1:21" x14ac:dyDescent="0.25">
      <c r="A3210">
        <v>4575769</v>
      </c>
      <c r="B3210">
        <v>70</v>
      </c>
      <c r="C3210" s="1">
        <f>7.42671972539104*(10.3/7.3)</f>
        <v>10.478796324866805</v>
      </c>
      <c r="D3210" s="1">
        <f>10.3096540063126*(10.3/7.3)</f>
        <v>14.546498118495917</v>
      </c>
      <c r="E3210" s="1">
        <f>36.330954770689*(10.3/7.3)</f>
        <v>51.261484128506353</v>
      </c>
      <c r="F3210" s="1">
        <f>70.6313269738454*(38.9/42.5)</f>
        <v>64.648438100766739</v>
      </c>
      <c r="G3210" s="1">
        <v>2.5616513895451458</v>
      </c>
      <c r="H3210" s="1">
        <v>7.3342763662357191</v>
      </c>
      <c r="I3210" s="1">
        <v>50.431572053360114</v>
      </c>
      <c r="J3210" s="1">
        <v>5.7373206642101021E-2</v>
      </c>
      <c r="K3210" s="1">
        <v>3.5113901336253242</v>
      </c>
      <c r="L3210" s="1">
        <v>5.6318835903926789</v>
      </c>
      <c r="M3210" s="1">
        <v>0.24711259274565642</v>
      </c>
      <c r="N3210" s="1">
        <v>2.7014876018468428</v>
      </c>
      <c r="O3210" s="1">
        <v>0.20572571428571432</v>
      </c>
      <c r="P3210" s="1">
        <v>0.14242646957029381</v>
      </c>
      <c r="Q3210" s="1">
        <v>4.0939634079488689</v>
      </c>
      <c r="R3210" s="2">
        <f t="shared" ref="R3210:R3273" si="203">C3210+D3210+E3210+F3210+G3210+H3210+I3210+Q3210</f>
        <v>205.35667988972568</v>
      </c>
      <c r="S3210" s="2">
        <f t="shared" si="202"/>
        <v>3.7111898098377187</v>
      </c>
      <c r="T3210" s="2">
        <f t="shared" ref="T3210:T3273" si="204">L3210+M3210+N3210+O3210</f>
        <v>8.7862094992708926</v>
      </c>
      <c r="U3210" s="2">
        <f t="shared" ref="U3210:U3273" si="205">R3210+S3210+T3210</f>
        <v>217.85407919883428</v>
      </c>
    </row>
    <row r="3211" spans="1:21" x14ac:dyDescent="0.25">
      <c r="A3211">
        <v>4575777</v>
      </c>
      <c r="B3211">
        <v>71</v>
      </c>
      <c r="C3211" s="1">
        <f>8.66267850478198*(10.3/7.3)</f>
        <v>12.222683369760876</v>
      </c>
      <c r="D3211" s="1">
        <f>11.8255710709028*(10.3/7.3)</f>
        <v>16.685394798671133</v>
      </c>
      <c r="E3211" s="1">
        <f>41.6803709066239*(10.3/7.3)</f>
        <v>58.809290457291247</v>
      </c>
      <c r="F3211" s="1">
        <f>82.1084734155638*(38.9/42.5)</f>
        <v>75.153402726245446</v>
      </c>
      <c r="G3211" s="1">
        <v>3.0188716179256438</v>
      </c>
      <c r="H3211" s="1">
        <v>6.951652139068476</v>
      </c>
      <c r="I3211" s="1">
        <v>59.148964355346386</v>
      </c>
      <c r="J3211" s="1">
        <v>6.4977075585782904E-2</v>
      </c>
      <c r="K3211" s="1">
        <v>3.8673251225092233</v>
      </c>
      <c r="L3211" s="1">
        <v>6.4203931224100597</v>
      </c>
      <c r="M3211" s="1">
        <v>0.26961360200213108</v>
      </c>
      <c r="N3211" s="1">
        <v>3.055782472050256</v>
      </c>
      <c r="O3211" s="1">
        <v>0.22152187793427236</v>
      </c>
      <c r="P3211" s="1">
        <v>0.1513336891406987</v>
      </c>
      <c r="Q3211" s="1">
        <v>4.8246806679176997</v>
      </c>
      <c r="R3211" s="2">
        <f t="shared" si="203"/>
        <v>236.81494013222689</v>
      </c>
      <c r="S3211" s="2">
        <f t="shared" si="202"/>
        <v>4.0836358872357046</v>
      </c>
      <c r="T3211" s="2">
        <f t="shared" si="204"/>
        <v>9.9673110743967186</v>
      </c>
      <c r="U3211" s="2">
        <f t="shared" si="205"/>
        <v>250.86588709385933</v>
      </c>
    </row>
    <row r="3212" spans="1:21" x14ac:dyDescent="0.25">
      <c r="A3212">
        <v>4575785</v>
      </c>
      <c r="B3212">
        <v>70</v>
      </c>
      <c r="C3212" s="1">
        <f>8.21880833138352*(10.3/7.3)</f>
        <v>11.596400796335651</v>
      </c>
      <c r="D3212" s="1">
        <f>11.0598982445678*(10.3/7.3)</f>
        <v>15.605061906719014</v>
      </c>
      <c r="E3212" s="1">
        <f>38.9865600669728*(10.3/7.3)</f>
        <v>55.008434067098662</v>
      </c>
      <c r="F3212" s="1">
        <f>77.7333056716214*(38.9/42.5)</f>
        <v>71.148837426495831</v>
      </c>
      <c r="G3212" s="1">
        <v>2.8935146421901403</v>
      </c>
      <c r="H3212" s="1">
        <v>6.3289978993766587</v>
      </c>
      <c r="I3212" s="1">
        <v>56.426153828192035</v>
      </c>
      <c r="J3212" s="1">
        <v>6.1646718997585219E-2</v>
      </c>
      <c r="K3212" s="1">
        <v>3.7383752849352172</v>
      </c>
      <c r="L3212" s="1">
        <v>6.0582935566334895</v>
      </c>
      <c r="M3212" s="1">
        <v>0.25535590190227997</v>
      </c>
      <c r="N3212" s="1">
        <v>3.1237473997164718</v>
      </c>
      <c r="O3212" s="1">
        <v>0.21094476190476183</v>
      </c>
      <c r="P3212" s="1">
        <v>0.14537034383323624</v>
      </c>
      <c r="Q3212" s="1">
        <v>4.6243384692536544</v>
      </c>
      <c r="R3212" s="2">
        <f t="shared" si="203"/>
        <v>223.63173903566161</v>
      </c>
      <c r="S3212" s="2">
        <f t="shared" si="202"/>
        <v>3.9453923477660386</v>
      </c>
      <c r="T3212" s="2">
        <f t="shared" si="204"/>
        <v>9.6483416201570016</v>
      </c>
      <c r="U3212" s="2">
        <f t="shared" si="205"/>
        <v>237.22547300358465</v>
      </c>
    </row>
    <row r="3213" spans="1:21" x14ac:dyDescent="0.25">
      <c r="A3213">
        <v>4575793</v>
      </c>
      <c r="B3213">
        <v>68</v>
      </c>
      <c r="C3213" s="1">
        <f>7.89039498127262*(10.3/7.3)</f>
        <v>11.133023055768223</v>
      </c>
      <c r="D3213" s="1">
        <f>10.4540479745339*(10.3/7.3)</f>
        <v>14.750232073657392</v>
      </c>
      <c r="E3213" s="1">
        <f>36.8562607040941*(10.3/7.3)</f>
        <v>52.002669212625953</v>
      </c>
      <c r="F3213" s="1">
        <f>74.4417768697617*(38.9/42.5)</f>
        <v>68.136120476087768</v>
      </c>
      <c r="G3213" s="1">
        <v>2.8068672150119802</v>
      </c>
      <c r="H3213" s="1">
        <v>6.1436695031268513</v>
      </c>
      <c r="I3213" s="1">
        <v>54.475660029421711</v>
      </c>
      <c r="J3213" s="1">
        <v>6.1021638032667892E-2</v>
      </c>
      <c r="K3213" s="1">
        <v>3.7061804175044939</v>
      </c>
      <c r="L3213" s="1">
        <v>5.9211975538137063</v>
      </c>
      <c r="M3213" s="1">
        <v>0.24680291747209071</v>
      </c>
      <c r="N3213" s="1">
        <v>4.3171770534478222</v>
      </c>
      <c r="O3213" s="1">
        <v>0.20473411764705873</v>
      </c>
      <c r="P3213" s="1">
        <v>0.14083217156041772</v>
      </c>
      <c r="Q3213" s="1">
        <v>4.4858608459095626</v>
      </c>
      <c r="R3213" s="2">
        <f t="shared" si="203"/>
        <v>213.93410241160944</v>
      </c>
      <c r="S3213" s="2">
        <f t="shared" si="202"/>
        <v>3.9080342270975796</v>
      </c>
      <c r="T3213" s="2">
        <f t="shared" si="204"/>
        <v>10.689911642380677</v>
      </c>
      <c r="U3213" s="2">
        <f t="shared" si="205"/>
        <v>228.5320482810877</v>
      </c>
    </row>
    <row r="3214" spans="1:21" x14ac:dyDescent="0.25">
      <c r="A3214">
        <v>4575801</v>
      </c>
      <c r="B3214">
        <v>71</v>
      </c>
      <c r="C3214" s="1">
        <f>6.84001105087825*(10.3/7.3)</f>
        <v>9.6509744964446522</v>
      </c>
      <c r="D3214" s="1">
        <f>8.97853532727169*(10.3/7.3)</f>
        <v>12.668344365876489</v>
      </c>
      <c r="E3214" s="1">
        <f>31.6498613429345*(10.3/7.3)</f>
        <v>44.656653675647284</v>
      </c>
      <c r="F3214" s="1">
        <f>64.7853525791802*(38.9/42.5)</f>
        <v>59.297652125414317</v>
      </c>
      <c r="G3214" s="1">
        <v>2.4779691073988181</v>
      </c>
      <c r="H3214" s="1">
        <v>5.6077338713829077</v>
      </c>
      <c r="I3214" s="1">
        <v>47.693710646369745</v>
      </c>
      <c r="J3214" s="1">
        <v>5.5022639098214997E-2</v>
      </c>
      <c r="K3214" s="1">
        <v>3.4597412184840435</v>
      </c>
      <c r="L3214" s="1">
        <v>5.2851778435207519</v>
      </c>
      <c r="M3214" s="1">
        <v>0.22343524435963355</v>
      </c>
      <c r="N3214" s="1">
        <v>2.7177976372298756</v>
      </c>
      <c r="O3214" s="1">
        <v>0.1860597183098591</v>
      </c>
      <c r="P3214" s="1">
        <v>0.13090486791973088</v>
      </c>
      <c r="Q3214" s="1">
        <v>3.9602246008656929</v>
      </c>
      <c r="R3214" s="2">
        <f t="shared" si="203"/>
        <v>186.01326288939993</v>
      </c>
      <c r="S3214" s="2">
        <f t="shared" si="202"/>
        <v>3.6456687255019893</v>
      </c>
      <c r="T3214" s="2">
        <f t="shared" si="204"/>
        <v>8.412470443420121</v>
      </c>
      <c r="U3214" s="2">
        <f t="shared" si="205"/>
        <v>198.07140205832204</v>
      </c>
    </row>
    <row r="3215" spans="1:21" x14ac:dyDescent="0.25">
      <c r="A3215">
        <v>4575809</v>
      </c>
      <c r="B3215">
        <v>71</v>
      </c>
      <c r="C3215" s="1">
        <f>8.26494767239473*(10.3/7.3)</f>
        <v>11.661501510365161</v>
      </c>
      <c r="D3215" s="1">
        <f>10.7115345510253*(10.3/7.3)</f>
        <v>15.113535051446718</v>
      </c>
      <c r="E3215" s="1">
        <f>37.7399470721224*(10.3/7.3)</f>
        <v>53.249514362035718</v>
      </c>
      <c r="F3215" s="1">
        <f>79.2567377831181*(38.9/42.5)</f>
        <v>72.543225876783353</v>
      </c>
      <c r="G3215" s="1">
        <v>3.115663744316957</v>
      </c>
      <c r="H3215" s="1">
        <v>6.3765860775421048</v>
      </c>
      <c r="I3215" s="1">
        <v>58.904928496491166</v>
      </c>
      <c r="J3215" s="1">
        <v>6.425238419479655E-2</v>
      </c>
      <c r="K3215" s="1">
        <v>3.9675928706973171</v>
      </c>
      <c r="L3215" s="1">
        <v>6.0915299997252008</v>
      </c>
      <c r="M3215" s="1">
        <v>0.24557513413050494</v>
      </c>
      <c r="N3215" s="1">
        <v>2.9394363793732277</v>
      </c>
      <c r="O3215" s="1">
        <v>0.20256901408450698</v>
      </c>
      <c r="P3215" s="1">
        <v>0.14014653452770032</v>
      </c>
      <c r="Q3215" s="1">
        <v>4.9793712808718569</v>
      </c>
      <c r="R3215" s="2">
        <f t="shared" si="203"/>
        <v>225.944326399853</v>
      </c>
      <c r="S3215" s="2">
        <f t="shared" si="202"/>
        <v>4.1719917894198133</v>
      </c>
      <c r="T3215" s="2">
        <f t="shared" si="204"/>
        <v>9.4791105273134395</v>
      </c>
      <c r="U3215" s="2">
        <f t="shared" si="205"/>
        <v>239.59542871658627</v>
      </c>
    </row>
    <row r="3216" spans="1:21" x14ac:dyDescent="0.25">
      <c r="A3216">
        <v>4575817</v>
      </c>
      <c r="B3216">
        <v>24</v>
      </c>
      <c r="C3216" s="1">
        <f>6.47854814683875*(10.3/7.3)</f>
        <v>9.1409651934848135</v>
      </c>
      <c r="D3216" s="1">
        <f>8.44323053897321*(10.3/7.3)</f>
        <v>11.913051308414262</v>
      </c>
      <c r="E3216" s="1">
        <f>29.6819832137242*(10.3/7.3)</f>
        <v>41.880058507035493</v>
      </c>
      <c r="F3216" s="1">
        <f>65.3104472022835*(38.9/42.5)</f>
        <v>59.778268145148871</v>
      </c>
      <c r="G3216" s="1">
        <v>2.7031172146684601</v>
      </c>
      <c r="H3216" s="1">
        <v>5.8250750152244919</v>
      </c>
      <c r="I3216" s="1">
        <v>48.912340561435492</v>
      </c>
      <c r="J3216" s="1">
        <v>5.5674369297836028E-2</v>
      </c>
      <c r="K3216" s="1">
        <v>3.7503346955817887</v>
      </c>
      <c r="L3216" s="1">
        <v>5.0293875089375133</v>
      </c>
      <c r="M3216" s="1">
        <v>0.20954622113535762</v>
      </c>
      <c r="N3216" s="1">
        <v>2.4924315708145213</v>
      </c>
      <c r="O3216" s="1">
        <v>0.17394666666666667</v>
      </c>
      <c r="P3216" s="1">
        <v>0.1238179145759354</v>
      </c>
      <c r="Q3216" s="1">
        <v>4.3200503430774519</v>
      </c>
      <c r="R3216" s="2">
        <f t="shared" si="203"/>
        <v>184.47292628848933</v>
      </c>
      <c r="S3216" s="2">
        <f t="shared" si="202"/>
        <v>3.92982697945556</v>
      </c>
      <c r="T3216" s="2">
        <f t="shared" si="204"/>
        <v>7.9053119675540584</v>
      </c>
      <c r="U3216" s="2">
        <f t="shared" si="205"/>
        <v>196.30806523549896</v>
      </c>
    </row>
    <row r="3217" spans="1:21" x14ac:dyDescent="0.25">
      <c r="A3217">
        <v>4575825</v>
      </c>
      <c r="B3217">
        <v>10</v>
      </c>
      <c r="C3217" s="1">
        <f>7.4106173566319*(10.3/7.3)</f>
        <v>10.456076544288852</v>
      </c>
      <c r="D3217" s="1">
        <f>9.92232229621768*(10.3/7.3)</f>
        <v>13.999988993293433</v>
      </c>
      <c r="E3217" s="1">
        <f>34.664377673675*(10.3/7.3)</f>
        <v>48.910012334089416</v>
      </c>
      <c r="F3217" s="1">
        <f>85.2442020761596*(38.9/42.5)</f>
        <v>78.023516723826091</v>
      </c>
      <c r="G3217" s="1">
        <v>3.9253854180462668</v>
      </c>
      <c r="H3217" s="1">
        <v>5.994624881233837</v>
      </c>
      <c r="I3217" s="1">
        <v>64.699753206005752</v>
      </c>
      <c r="J3217" s="1">
        <v>6.4858218069834231E-2</v>
      </c>
      <c r="K3217" s="1">
        <v>4.3605319104389935</v>
      </c>
      <c r="L3217" s="1">
        <v>5.3754920760158393</v>
      </c>
      <c r="M3217" s="1">
        <v>0.21573651633722193</v>
      </c>
      <c r="N3217" s="1">
        <v>3.1815573018094816</v>
      </c>
      <c r="O3217" s="1">
        <v>0.17921599999999999</v>
      </c>
      <c r="P3217" s="1">
        <v>0.12621606122159346</v>
      </c>
      <c r="Q3217" s="1">
        <v>6.273447015142442</v>
      </c>
      <c r="R3217" s="2">
        <f t="shared" si="203"/>
        <v>232.28280511592607</v>
      </c>
      <c r="S3217" s="2">
        <f t="shared" si="202"/>
        <v>4.5516061897304212</v>
      </c>
      <c r="T3217" s="2">
        <f t="shared" si="204"/>
        <v>8.9520018941625423</v>
      </c>
      <c r="U3217" s="2">
        <f t="shared" si="205"/>
        <v>245.78641319981904</v>
      </c>
    </row>
    <row r="3218" spans="1:21" x14ac:dyDescent="0.25">
      <c r="A3218">
        <v>4575849</v>
      </c>
      <c r="B3218">
        <v>11</v>
      </c>
      <c r="C3218" s="1">
        <f>7.46435054219884*(10.3/7.3)</f>
        <v>10.531891860910687</v>
      </c>
      <c r="D3218" s="1">
        <f>8.75000735692337*(10.3/7.3)</f>
        <v>12.345900791275447</v>
      </c>
      <c r="E3218" s="1">
        <f>30.8577164472319*(10.3/7.3)</f>
        <v>43.53896978171074</v>
      </c>
      <c r="F3218" s="1">
        <f>70.5202545527595*(38.9/42.5)</f>
        <v>64.546774167114023</v>
      </c>
      <c r="G3218" s="1">
        <v>2.975971501101832</v>
      </c>
      <c r="H3218" s="1">
        <v>10.473630157843273</v>
      </c>
      <c r="I3218" s="1">
        <v>54.901180001651078</v>
      </c>
      <c r="J3218" s="1">
        <v>5.4559113910313789E-2</v>
      </c>
      <c r="K3218" s="1">
        <v>3.8158801276729206</v>
      </c>
      <c r="L3218" s="1">
        <v>4.9187095670915504</v>
      </c>
      <c r="M3218" s="1">
        <v>0.18156784228292036</v>
      </c>
      <c r="N3218" s="1">
        <v>2.3635949872864384</v>
      </c>
      <c r="O3218" s="1">
        <v>0.16357333333333335</v>
      </c>
      <c r="P3218" s="1">
        <v>0.11807744984319694</v>
      </c>
      <c r="Q3218" s="1">
        <v>4.756118837377362</v>
      </c>
      <c r="R3218" s="2">
        <f t="shared" si="203"/>
        <v>204.07043709898446</v>
      </c>
      <c r="S3218" s="2">
        <f t="shared" si="202"/>
        <v>3.9885166914264314</v>
      </c>
      <c r="T3218" s="2">
        <f t="shared" si="204"/>
        <v>7.6274457299942426</v>
      </c>
      <c r="U3218" s="2">
        <f t="shared" si="205"/>
        <v>215.68639952040513</v>
      </c>
    </row>
    <row r="3219" spans="1:21" x14ac:dyDescent="0.25">
      <c r="A3219">
        <v>4575857</v>
      </c>
      <c r="B3219">
        <v>8</v>
      </c>
      <c r="C3219" s="1">
        <f>5.65026714369125*(10.3/7.3)</f>
        <v>7.9722947369890198</v>
      </c>
      <c r="D3219" s="1">
        <f>6.82565326655293*(10.3/7.3)</f>
        <v>9.6307162528075612</v>
      </c>
      <c r="E3219" s="1">
        <f>23.9653798583602*(10.3/7.3)</f>
        <v>33.814166101521913</v>
      </c>
      <c r="F3219" s="1">
        <f>58.4096307232811*(38.9/42.5)</f>
        <v>53.461991414956088</v>
      </c>
      <c r="G3219" s="1">
        <v>2.629530767603359</v>
      </c>
      <c r="H3219" s="1">
        <v>10.603374854715208</v>
      </c>
      <c r="I3219" s="1">
        <v>45.514976618242834</v>
      </c>
      <c r="J3219" s="1">
        <v>4.3405852834465311E-2</v>
      </c>
      <c r="K3219" s="1">
        <v>3.0339385298320836</v>
      </c>
      <c r="L3219" s="1">
        <v>3.8597911011221524</v>
      </c>
      <c r="M3219" s="1">
        <v>0.15173386931132291</v>
      </c>
      <c r="N3219" s="1">
        <v>1.9155039514696752</v>
      </c>
      <c r="O3219" s="1">
        <v>0.13649333333333333</v>
      </c>
      <c r="P3219" s="1">
        <v>0.10274459841567359</v>
      </c>
      <c r="Q3219" s="1">
        <v>4.202446432242815</v>
      </c>
      <c r="R3219" s="2">
        <f t="shared" si="203"/>
        <v>167.8294971790788</v>
      </c>
      <c r="S3219" s="2">
        <f t="shared" si="202"/>
        <v>3.1800889810822222</v>
      </c>
      <c r="T3219" s="2">
        <f t="shared" si="204"/>
        <v>6.0635222552364842</v>
      </c>
      <c r="U3219" s="2">
        <f t="shared" si="205"/>
        <v>177.07310841539751</v>
      </c>
    </row>
    <row r="3220" spans="1:21" x14ac:dyDescent="0.25">
      <c r="A3220">
        <v>4575881</v>
      </c>
      <c r="B3220">
        <v>15</v>
      </c>
      <c r="C3220" s="1">
        <f>3.95663080838339*(10.3/7.3)</f>
        <v>5.5826434693628642</v>
      </c>
      <c r="D3220" s="1">
        <f>5.07928934840454*(10.3/7.3)</f>
        <v>7.1666685326803803</v>
      </c>
      <c r="E3220" s="1">
        <f>17.782151131804*(10.3/7.3)</f>
        <v>25.089884473641206</v>
      </c>
      <c r="F3220" s="1">
        <f>43.47154781259*(38.9/42.5)</f>
        <v>39.789251997876448</v>
      </c>
      <c r="G3220" s="1">
        <v>1.9801639019229156</v>
      </c>
      <c r="H3220" s="1">
        <v>8.6151598418299855</v>
      </c>
      <c r="I3220" s="1">
        <v>33.32972868535289</v>
      </c>
      <c r="J3220" s="1">
        <v>3.5847716861982716E-2</v>
      </c>
      <c r="K3220" s="1">
        <v>2.4269055240828137</v>
      </c>
      <c r="L3220" s="1">
        <v>3.557689408717752</v>
      </c>
      <c r="M3220" s="1">
        <v>0.12235799382783677</v>
      </c>
      <c r="N3220" s="1">
        <v>1.5731087585494683</v>
      </c>
      <c r="O3220" s="1">
        <v>0.11103644444444445</v>
      </c>
      <c r="P3220" s="1">
        <v>8.8470524392452204E-2</v>
      </c>
      <c r="Q3220" s="1">
        <v>3.164645505356261</v>
      </c>
      <c r="R3220" s="2">
        <f t="shared" si="203"/>
        <v>124.71814640802296</v>
      </c>
      <c r="S3220" s="2">
        <f t="shared" si="202"/>
        <v>2.5512237653372485</v>
      </c>
      <c r="T3220" s="2">
        <f t="shared" si="204"/>
        <v>5.3641926055395013</v>
      </c>
      <c r="U3220" s="2">
        <f t="shared" si="205"/>
        <v>132.63356277889972</v>
      </c>
    </row>
    <row r="3221" spans="1:21" x14ac:dyDescent="0.25">
      <c r="A3221">
        <v>4575889</v>
      </c>
      <c r="B3221">
        <v>18</v>
      </c>
      <c r="C3221" s="1">
        <f>3.79580942774154*(10.3/7.3)</f>
        <v>5.3557311103750491</v>
      </c>
      <c r="D3221" s="1">
        <f>4.8310493863365*(10.3/7.3)</f>
        <v>6.8164121478446509</v>
      </c>
      <c r="E3221" s="1">
        <f>16.9514113144749*(10.3/7.3)</f>
        <v>23.91774473138241</v>
      </c>
      <c r="F3221" s="1">
        <f>39.8167481740312*(38.9/42.5)</f>
        <v>36.444035387525034</v>
      </c>
      <c r="G3221" s="1">
        <v>1.748847930695024</v>
      </c>
      <c r="H3221" s="1">
        <v>9.2421519059081323</v>
      </c>
      <c r="I3221" s="1">
        <v>30.391290603627851</v>
      </c>
      <c r="J3221" s="1">
        <v>3.254537281786489E-2</v>
      </c>
      <c r="K3221" s="1">
        <v>2.2580610593874084</v>
      </c>
      <c r="L3221" s="1">
        <v>4.0000202049837092</v>
      </c>
      <c r="M3221" s="1">
        <v>0.11411013296394507</v>
      </c>
      <c r="N3221" s="1">
        <v>1.5288090992762222</v>
      </c>
      <c r="O3221" s="1">
        <v>0.10314666666666666</v>
      </c>
      <c r="P3221" s="1">
        <v>8.3273739151211279E-2</v>
      </c>
      <c r="Q3221" s="1">
        <v>2.7949624463162519</v>
      </c>
      <c r="R3221" s="2">
        <f t="shared" si="203"/>
        <v>116.71117626367439</v>
      </c>
      <c r="S3221" s="2">
        <f t="shared" si="202"/>
        <v>2.3738801713564843</v>
      </c>
      <c r="T3221" s="2">
        <f t="shared" si="204"/>
        <v>5.7460861038905433</v>
      </c>
      <c r="U3221" s="2">
        <f t="shared" si="205"/>
        <v>124.83114253892143</v>
      </c>
    </row>
    <row r="3222" spans="1:21" x14ac:dyDescent="0.25">
      <c r="A3222">
        <v>4587421</v>
      </c>
      <c r="B3222">
        <v>21</v>
      </c>
      <c r="C3222" s="1">
        <f>0.999390008274353*(10.3/7.3)</f>
        <v>1.4100982308528545</v>
      </c>
      <c r="D3222" s="1">
        <f>1.4130805406577*(10.3/7.3)</f>
        <v>1.9937985710649708</v>
      </c>
      <c r="E3222" s="1">
        <f>4.89838870217855*(10.3/7.3)</f>
        <v>6.9114251551286436</v>
      </c>
      <c r="F3222" s="1">
        <f>13.4337518345963*(38.9/42.5)</f>
        <v>12.295834032136336</v>
      </c>
      <c r="G3222" s="1">
        <v>0.67540632601491901</v>
      </c>
      <c r="H3222" s="1">
        <v>2.4798212483591433</v>
      </c>
      <c r="I3222" s="1">
        <v>10.258693094113758</v>
      </c>
      <c r="J3222" s="1">
        <v>0.1063342820412488</v>
      </c>
      <c r="K3222" s="1">
        <v>4.1190308466468881</v>
      </c>
      <c r="L3222" s="1">
        <v>3.4959100121087996</v>
      </c>
      <c r="M3222" s="1">
        <v>0.48914204444922504</v>
      </c>
      <c r="N3222" s="1">
        <v>2.6531780676632897</v>
      </c>
      <c r="O3222" s="1">
        <v>0.8930285714285715</v>
      </c>
      <c r="P3222" s="1">
        <v>0.33900993182107503</v>
      </c>
      <c r="Q3222" s="1">
        <v>1.0794165027635703</v>
      </c>
      <c r="R3222" s="2">
        <f t="shared" si="203"/>
        <v>37.104493160434195</v>
      </c>
      <c r="S3222" s="2">
        <f t="shared" si="202"/>
        <v>4.5643750605092119</v>
      </c>
      <c r="T3222" s="2">
        <f t="shared" si="204"/>
        <v>7.5312586956498855</v>
      </c>
      <c r="U3222" s="2">
        <f t="shared" si="205"/>
        <v>49.200126916593291</v>
      </c>
    </row>
    <row r="3223" spans="1:21" x14ac:dyDescent="0.25">
      <c r="A3223">
        <v>4587581</v>
      </c>
      <c r="B3223">
        <v>1</v>
      </c>
      <c r="C3223" s="1">
        <f>1.27055086357389*(10.3/7.3)</f>
        <v>1.7926950540837061</v>
      </c>
      <c r="D3223" s="1">
        <f>2.12626403720487*(10.3/7.3)</f>
        <v>3.0000711757822107</v>
      </c>
      <c r="E3223" s="1">
        <f>7.1507515587705*(10.3/7.3)</f>
        <v>10.089416582922766</v>
      </c>
      <c r="F3223" s="1">
        <f>28.5238191924484*(38.9/42.5)</f>
        <v>26.10768391967628</v>
      </c>
      <c r="G3223" s="1">
        <v>1.7521263872268837</v>
      </c>
      <c r="H3223" s="1">
        <v>10.460193813830644</v>
      </c>
      <c r="I3223" s="1">
        <v>22.423524429619711</v>
      </c>
      <c r="J3223" s="1">
        <v>4.1328804595306919E-2</v>
      </c>
      <c r="K3223" s="1">
        <v>3.1463785707731358</v>
      </c>
      <c r="L3223" s="1">
        <v>3.3533035077506632</v>
      </c>
      <c r="M3223" s="1">
        <v>0.60371619282798006</v>
      </c>
      <c r="N3223" s="1">
        <v>1.9079264054793592</v>
      </c>
      <c r="O3223" s="1">
        <v>0.35152</v>
      </c>
      <c r="P3223" s="1">
        <v>0.24443765764034714</v>
      </c>
      <c r="Q3223" s="1">
        <v>2.8002019887187668</v>
      </c>
      <c r="R3223" s="2">
        <f t="shared" si="203"/>
        <v>78.425913351860956</v>
      </c>
      <c r="S3223" s="2">
        <f t="shared" si="202"/>
        <v>3.4321450330087897</v>
      </c>
      <c r="T3223" s="2">
        <f t="shared" si="204"/>
        <v>6.2164661060580029</v>
      </c>
      <c r="U3223" s="2">
        <f t="shared" si="205"/>
        <v>88.074524490927757</v>
      </c>
    </row>
    <row r="3224" spans="1:21" x14ac:dyDescent="0.25">
      <c r="A3224">
        <v>4587909</v>
      </c>
      <c r="B3224">
        <v>5</v>
      </c>
      <c r="C3224" s="1">
        <f>15.0817175548868*(10.3/7.3)</f>
        <v>21.279683673333423</v>
      </c>
      <c r="D3224" s="1">
        <f>27.2335241286227*(10.3/7.3)</f>
        <v>38.42538335956354</v>
      </c>
      <c r="E3224" s="1">
        <f>95.3449884233576*(10.3/7.3)</f>
        <v>134.5278603781621</v>
      </c>
      <c r="F3224" s="1">
        <f>171.233285137002*(38.9/42.5)</f>
        <v>156.7288186312793</v>
      </c>
      <c r="G3224" s="1">
        <v>5.866243606567215</v>
      </c>
      <c r="H3224" s="1">
        <v>9.3181045727572922</v>
      </c>
      <c r="I3224" s="1">
        <v>109.38740406810362</v>
      </c>
      <c r="J3224" s="1">
        <v>5.6040840662334446E-2</v>
      </c>
      <c r="K3224" s="1">
        <v>2.9151553075777761</v>
      </c>
      <c r="L3224" s="1">
        <v>4.248606076305486</v>
      </c>
      <c r="M3224" s="1">
        <v>0.23811333292193063</v>
      </c>
      <c r="N3224" s="1">
        <v>2.4342999587478387</v>
      </c>
      <c r="O3224" s="1">
        <v>0.19432533333333332</v>
      </c>
      <c r="P3224" s="1">
        <v>0.13710505502164186</v>
      </c>
      <c r="Q3224" s="1">
        <v>9.3752751703129125</v>
      </c>
      <c r="R3224" s="2">
        <f t="shared" si="203"/>
        <v>484.90877346007943</v>
      </c>
      <c r="S3224" s="2">
        <f t="shared" si="202"/>
        <v>3.1083012032617523</v>
      </c>
      <c r="T3224" s="2">
        <f t="shared" si="204"/>
        <v>7.1153447013085884</v>
      </c>
      <c r="U3224" s="2">
        <f t="shared" si="205"/>
        <v>495.13241936464976</v>
      </c>
    </row>
    <row r="3225" spans="1:21" x14ac:dyDescent="0.25">
      <c r="A3225">
        <v>4587917</v>
      </c>
      <c r="B3225">
        <v>23</v>
      </c>
      <c r="C3225" s="1">
        <f>13.9452351768763*(10.3/7.3)</f>
        <v>19.676153742715929</v>
      </c>
      <c r="D3225" s="1">
        <f>22.8177522291286*(10.3/7.3)</f>
        <v>32.194910679455369</v>
      </c>
      <c r="E3225" s="1">
        <f>80.2066075433063*(10.3/7.3)</f>
        <v>113.16822708165131</v>
      </c>
      <c r="F3225" s="1">
        <f>141.066469291743*(38.9/42.5)</f>
        <v>129.11730953997187</v>
      </c>
      <c r="G3225" s="1">
        <v>4.5878383790360537</v>
      </c>
      <c r="H3225" s="1">
        <v>9.4837221174346809</v>
      </c>
      <c r="I3225" s="1">
        <v>92.362796029409949</v>
      </c>
      <c r="J3225" s="1">
        <v>5.9142511916589167E-2</v>
      </c>
      <c r="K3225" s="1">
        <v>3.2735516785718279</v>
      </c>
      <c r="L3225" s="1">
        <v>5.1380272658105586</v>
      </c>
      <c r="M3225" s="1">
        <v>0.2687023708066385</v>
      </c>
      <c r="N3225" s="1">
        <v>2.6208574359885115</v>
      </c>
      <c r="O3225" s="1">
        <v>0.21859942028985507</v>
      </c>
      <c r="P3225" s="1">
        <v>0.15070111523095747</v>
      </c>
      <c r="Q3225" s="1">
        <v>7.3321617929800018</v>
      </c>
      <c r="R3225" s="2">
        <f t="shared" si="203"/>
        <v>407.92311936265514</v>
      </c>
      <c r="S3225" s="2">
        <f t="shared" si="202"/>
        <v>3.4833953057193745</v>
      </c>
      <c r="T3225" s="2">
        <f t="shared" si="204"/>
        <v>8.2461864928955642</v>
      </c>
      <c r="U3225" s="2">
        <f t="shared" si="205"/>
        <v>419.6527011612701</v>
      </c>
    </row>
    <row r="3226" spans="1:21" x14ac:dyDescent="0.25">
      <c r="A3226">
        <v>4587925</v>
      </c>
      <c r="B3226">
        <v>55</v>
      </c>
      <c r="C3226" s="1">
        <f>15.1004734781507*(10.3/7.3)</f>
        <v>21.306147510267461</v>
      </c>
      <c r="D3226" s="1">
        <f>24.2940076049813*(10.3/7.3)</f>
        <v>34.277846346754465</v>
      </c>
      <c r="E3226" s="1">
        <f>85.4058281694724*(10.3/7.3)</f>
        <v>120.50411371857072</v>
      </c>
      <c r="F3226" s="1">
        <f>152.252606712095*(38.9/42.5)</f>
        <v>139.35591532001138</v>
      </c>
      <c r="G3226" s="1">
        <v>5.038355841481934</v>
      </c>
      <c r="H3226" s="1">
        <v>7.2675352535574094</v>
      </c>
      <c r="I3226" s="1">
        <v>100.75401742312128</v>
      </c>
      <c r="J3226" s="1">
        <v>6.488414018733285E-2</v>
      </c>
      <c r="K3226" s="1">
        <v>3.4332673720242179</v>
      </c>
      <c r="L3226" s="1">
        <v>5.5530649278997721</v>
      </c>
      <c r="M3226" s="1">
        <v>0.2833471495641332</v>
      </c>
      <c r="N3226" s="1">
        <v>2.7424538463099704</v>
      </c>
      <c r="O3226" s="1">
        <v>0.2279204848484849</v>
      </c>
      <c r="P3226" s="1">
        <v>0.15476775372180959</v>
      </c>
      <c r="Q3226" s="1">
        <v>8.0521668699483069</v>
      </c>
      <c r="R3226" s="2">
        <f t="shared" si="203"/>
        <v>436.55609828371291</v>
      </c>
      <c r="S3226" s="2">
        <f t="shared" si="202"/>
        <v>3.6529192659333605</v>
      </c>
      <c r="T3226" s="2">
        <f t="shared" si="204"/>
        <v>8.8067864086223597</v>
      </c>
      <c r="U3226" s="2">
        <f t="shared" si="205"/>
        <v>449.01580395826863</v>
      </c>
    </row>
    <row r="3227" spans="1:21" x14ac:dyDescent="0.25">
      <c r="A3227">
        <v>4587957</v>
      </c>
      <c r="B3227">
        <v>50</v>
      </c>
      <c r="C3227" s="1">
        <f>14.6531555708098*(10.3/7.3)</f>
        <v>20.675000325937159</v>
      </c>
      <c r="D3227" s="1">
        <f>20.5246653310422*(10.3/7.3)</f>
        <v>28.959459302703447</v>
      </c>
      <c r="E3227" s="1">
        <f>72.4257558741921*(10.3/7.3)</f>
        <v>102.18976513755874</v>
      </c>
      <c r="F3227" s="1">
        <f>134.565359814039*(38.9/42.5)</f>
        <v>123.1668822768501</v>
      </c>
      <c r="G3227" s="1">
        <v>4.5920088867444067</v>
      </c>
      <c r="H3227" s="1">
        <v>7.9667442736872651</v>
      </c>
      <c r="I3227" s="1">
        <v>94.649886731474666</v>
      </c>
      <c r="J3227" s="1">
        <v>6.4770129159834378E-2</v>
      </c>
      <c r="K3227" s="1">
        <v>3.5469029509420285</v>
      </c>
      <c r="L3227" s="1">
        <v>5.865778126872752</v>
      </c>
      <c r="M3227" s="1">
        <v>0.27589950021221116</v>
      </c>
      <c r="N3227" s="1">
        <v>3.1218433203555866</v>
      </c>
      <c r="O3227" s="1">
        <v>0.2249685333333333</v>
      </c>
      <c r="P3227" s="1">
        <v>0.15296274187436867</v>
      </c>
      <c r="Q3227" s="1">
        <v>7.3388269879476926</v>
      </c>
      <c r="R3227" s="2">
        <f t="shared" si="203"/>
        <v>389.53857392290348</v>
      </c>
      <c r="S3227" s="2">
        <f t="shared" si="202"/>
        <v>3.7646358219762313</v>
      </c>
      <c r="T3227" s="2">
        <f t="shared" si="204"/>
        <v>9.4884894807738842</v>
      </c>
      <c r="U3227" s="2">
        <f t="shared" si="205"/>
        <v>402.79169922565359</v>
      </c>
    </row>
    <row r="3228" spans="1:21" x14ac:dyDescent="0.25">
      <c r="A3228">
        <v>4587965</v>
      </c>
      <c r="B3228">
        <v>65</v>
      </c>
      <c r="C3228" s="1">
        <f>7.4879472428065*(10.3/7.3)</f>
        <v>10.56518583574068</v>
      </c>
      <c r="D3228" s="1">
        <f>11.021787031763*(10.3/7.3)</f>
        <v>15.551288551665564</v>
      </c>
      <c r="E3228" s="1">
        <f>38.8184889823043*(10.3/7.3)</f>
        <v>54.771292673662167</v>
      </c>
      <c r="F3228" s="1">
        <f>72.0304970896205*(38.9/42.5)</f>
        <v>65.929090277323198</v>
      </c>
      <c r="G3228" s="1">
        <v>2.4811542443268442</v>
      </c>
      <c r="H3228" s="1">
        <v>5.007156952798109</v>
      </c>
      <c r="I3228" s="1">
        <v>49.78037343792176</v>
      </c>
      <c r="J3228" s="1">
        <v>4.7926137797030054E-2</v>
      </c>
      <c r="K3228" s="1">
        <v>3.0039353885307318</v>
      </c>
      <c r="L3228" s="1">
        <v>4.5974617698278148</v>
      </c>
      <c r="M3228" s="1">
        <v>0.22343943439745925</v>
      </c>
      <c r="N3228" s="1">
        <v>2.2874682670884652</v>
      </c>
      <c r="O3228" s="1">
        <v>0.18674543589743589</v>
      </c>
      <c r="P3228" s="1">
        <v>0.13403781206240223</v>
      </c>
      <c r="Q3228" s="1">
        <v>3.965315002348841</v>
      </c>
      <c r="R3228" s="2">
        <f t="shared" si="203"/>
        <v>208.05085697578716</v>
      </c>
      <c r="S3228" s="2">
        <f t="shared" si="202"/>
        <v>3.1858993383901644</v>
      </c>
      <c r="T3228" s="2">
        <f t="shared" si="204"/>
        <v>7.2951149072111754</v>
      </c>
      <c r="U3228" s="2">
        <f t="shared" si="205"/>
        <v>218.53187122138849</v>
      </c>
    </row>
    <row r="3229" spans="1:21" x14ac:dyDescent="0.25">
      <c r="A3229">
        <v>4587973</v>
      </c>
      <c r="B3229">
        <v>65</v>
      </c>
      <c r="C3229" s="1">
        <f>5.73442160678557*(10.3/7.3)</f>
        <v>8.0910332260125166</v>
      </c>
      <c r="D3229" s="1">
        <f>8.38405586927788*(10.3/7.3)</f>
        <v>11.829558281309891</v>
      </c>
      <c r="E3229" s="1">
        <f>29.5335995913476*(10.3/7.3)</f>
        <v>41.670695313819223</v>
      </c>
      <c r="F3229" s="1">
        <f>54.9302865629189*(38.9/42.5)</f>
        <v>50.277368171706911</v>
      </c>
      <c r="G3229" s="1">
        <v>1.8956870183419829</v>
      </c>
      <c r="H3229" s="1">
        <v>4.3064516125395746</v>
      </c>
      <c r="I3229" s="1">
        <v>38.076290933391597</v>
      </c>
      <c r="J3229" s="1">
        <v>4.0835679038660332E-2</v>
      </c>
      <c r="K3229" s="1">
        <v>2.6747714550509931</v>
      </c>
      <c r="L3229" s="1">
        <v>4.0220442102583052</v>
      </c>
      <c r="M3229" s="1">
        <v>0.19643670708211808</v>
      </c>
      <c r="N3229" s="1">
        <v>1.9594155411285441</v>
      </c>
      <c r="O3229" s="1">
        <v>0.164547282051282</v>
      </c>
      <c r="P3229" s="1">
        <v>0.12043647079249861</v>
      </c>
      <c r="Q3229" s="1">
        <v>3.0296367873045424</v>
      </c>
      <c r="R3229" s="2">
        <f t="shared" si="203"/>
        <v>159.17672134442626</v>
      </c>
      <c r="S3229" s="2">
        <f t="shared" si="202"/>
        <v>2.836043604882152</v>
      </c>
      <c r="T3229" s="2">
        <f t="shared" si="204"/>
        <v>6.3424437405202498</v>
      </c>
      <c r="U3229" s="2">
        <f t="shared" si="205"/>
        <v>168.35520868982866</v>
      </c>
    </row>
    <row r="3230" spans="1:21" x14ac:dyDescent="0.25">
      <c r="A3230">
        <v>4587981</v>
      </c>
      <c r="B3230">
        <v>63</v>
      </c>
      <c r="C3230" s="1">
        <f>7.97437095969013*(10.3/7.3)</f>
        <v>11.251509710247717</v>
      </c>
      <c r="D3230" s="1">
        <f>11.514941653077*(10.3/7.3)</f>
        <v>16.247109455711442</v>
      </c>
      <c r="E3230" s="1">
        <f>40.5608492474518*(10.3/7.3)</f>
        <v>57.229691403938865</v>
      </c>
      <c r="F3230" s="1">
        <f>76.5111692503218*(38.9/42.5)</f>
        <v>70.030223149118044</v>
      </c>
      <c r="G3230" s="1">
        <v>2.6863247048481309</v>
      </c>
      <c r="H3230" s="1">
        <v>5.7552873375676343</v>
      </c>
      <c r="I3230" s="1">
        <v>53.476071762204135</v>
      </c>
      <c r="J3230" s="1">
        <v>5.5470527136388073E-2</v>
      </c>
      <c r="K3230" s="1">
        <v>3.411981142151137</v>
      </c>
      <c r="L3230" s="1">
        <v>5.4667241268298383</v>
      </c>
      <c r="M3230" s="1">
        <v>0.25074783153061908</v>
      </c>
      <c r="N3230" s="1">
        <v>2.6103217369349192</v>
      </c>
      <c r="O3230" s="1">
        <v>0.20978708994708992</v>
      </c>
      <c r="P3230" s="1">
        <v>0.14480823944366003</v>
      </c>
      <c r="Q3230" s="1">
        <v>4.2932129986157381</v>
      </c>
      <c r="R3230" s="2">
        <f t="shared" si="203"/>
        <v>220.96943052225168</v>
      </c>
      <c r="S3230" s="2">
        <f t="shared" si="202"/>
        <v>3.6122599087311849</v>
      </c>
      <c r="T3230" s="2">
        <f t="shared" si="204"/>
        <v>8.5375807852424668</v>
      </c>
      <c r="U3230" s="2">
        <f t="shared" si="205"/>
        <v>233.11927121622531</v>
      </c>
    </row>
    <row r="3231" spans="1:21" x14ac:dyDescent="0.25">
      <c r="A3231">
        <v>4587989</v>
      </c>
      <c r="B3231">
        <v>62</v>
      </c>
      <c r="C3231" s="1">
        <f>7.10867362273717*(10.3/7.3)</f>
        <v>10.030046344409985</v>
      </c>
      <c r="D3231" s="1">
        <f>10.1028108977379*(10.3/7.3)</f>
        <v>14.254650992698664</v>
      </c>
      <c r="E3231" s="1">
        <f>35.5937736730856*(10.3/7.3)</f>
        <v>50.221351894901666</v>
      </c>
      <c r="F3231" s="1">
        <f>67.9140581578958*(38.9/42.5)</f>
        <v>62.161337937462271</v>
      </c>
      <c r="G3231" s="1">
        <v>2.4140842565532323</v>
      </c>
      <c r="H3231" s="1">
        <v>5.5397829648837895</v>
      </c>
      <c r="I3231" s="1">
        <v>47.87427369568443</v>
      </c>
      <c r="J3231" s="1">
        <v>5.3073718840206265E-2</v>
      </c>
      <c r="K3231" s="1">
        <v>3.2857570519585075</v>
      </c>
      <c r="L3231" s="1">
        <v>5.1905090519167461</v>
      </c>
      <c r="M3231" s="1">
        <v>0.23733959834311305</v>
      </c>
      <c r="N3231" s="1">
        <v>2.5140652774111034</v>
      </c>
      <c r="O3231" s="1">
        <v>0.19889806451612901</v>
      </c>
      <c r="P3231" s="1">
        <v>0.1384810149473136</v>
      </c>
      <c r="Q3231" s="1">
        <v>3.8581255241718382</v>
      </c>
      <c r="R3231" s="2">
        <f t="shared" si="203"/>
        <v>196.35365361076586</v>
      </c>
      <c r="S3231" s="2">
        <f t="shared" si="202"/>
        <v>3.4773117857460276</v>
      </c>
      <c r="T3231" s="2">
        <f t="shared" si="204"/>
        <v>8.140811992187091</v>
      </c>
      <c r="U3231" s="2">
        <f t="shared" si="205"/>
        <v>207.97177738869897</v>
      </c>
    </row>
    <row r="3232" spans="1:21" x14ac:dyDescent="0.25">
      <c r="A3232">
        <v>4587997</v>
      </c>
      <c r="B3232">
        <v>59</v>
      </c>
      <c r="C3232" s="1">
        <f>7.64423237806986*(10.3/7.3)</f>
        <v>10.785697738920488</v>
      </c>
      <c r="D3232" s="1">
        <f>10.7158908421612*(10.3/7.3)</f>
        <v>15.119681599213695</v>
      </c>
      <c r="E3232" s="1">
        <f>37.755961265164*(10.3/7.3)</f>
        <v>53.272109730299867</v>
      </c>
      <c r="F3232" s="1">
        <f>72.9764963910995*(38.9/42.5)</f>
        <v>66.794957873265233</v>
      </c>
      <c r="G3232" s="1">
        <v>2.6318721614439093</v>
      </c>
      <c r="H3232" s="1">
        <v>7.1953899534064014</v>
      </c>
      <c r="I3232" s="1">
        <v>51.858157226544698</v>
      </c>
      <c r="J3232" s="1">
        <v>5.8184248293133282E-2</v>
      </c>
      <c r="K3232" s="1">
        <v>3.5029553091407184</v>
      </c>
      <c r="L3232" s="1">
        <v>5.6116056868336059</v>
      </c>
      <c r="M3232" s="1">
        <v>0.25045712555414784</v>
      </c>
      <c r="N3232" s="1">
        <v>2.7193538160531867</v>
      </c>
      <c r="O3232" s="1">
        <v>0.20819344632768363</v>
      </c>
      <c r="P3232" s="1">
        <v>0.1431685122113022</v>
      </c>
      <c r="Q3232" s="1">
        <v>4.2061883858692646</v>
      </c>
      <c r="R3232" s="2">
        <f t="shared" si="203"/>
        <v>211.86405466896355</v>
      </c>
      <c r="S3232" s="2">
        <f t="shared" si="202"/>
        <v>3.7043080696451538</v>
      </c>
      <c r="T3232" s="2">
        <f t="shared" si="204"/>
        <v>8.7896100747686248</v>
      </c>
      <c r="U3232" s="2">
        <f t="shared" si="205"/>
        <v>224.35797281337733</v>
      </c>
    </row>
    <row r="3233" spans="1:21" x14ac:dyDescent="0.25">
      <c r="A3233">
        <v>4588005</v>
      </c>
      <c r="B3233">
        <v>62</v>
      </c>
      <c r="C3233" s="1">
        <f>7.12807428816337*(10.3/7.3)</f>
        <v>10.057419886038726</v>
      </c>
      <c r="D3233" s="1">
        <f>9.86990734393679*(10.3/7.3)</f>
        <v>13.926033649664236</v>
      </c>
      <c r="E3233" s="1">
        <f>34.7743588459191*(10.3/7.3)</f>
        <v>49.065191248351617</v>
      </c>
      <c r="F3233" s="1">
        <f>68.1375012456093*(38.9/42.5)</f>
        <v>62.365854081275309</v>
      </c>
      <c r="G3233" s="1">
        <v>2.495316910303929</v>
      </c>
      <c r="H3233" s="1">
        <v>8.2968340701845822</v>
      </c>
      <c r="I3233" s="1">
        <v>48.788694545901954</v>
      </c>
      <c r="J3233" s="1">
        <v>5.5710390903925558E-2</v>
      </c>
      <c r="K3233" s="1">
        <v>3.4368645394099868</v>
      </c>
      <c r="L3233" s="1">
        <v>5.3966429612201976</v>
      </c>
      <c r="M3233" s="1">
        <v>0.2406190409644933</v>
      </c>
      <c r="N3233" s="1">
        <v>2.6359700941823632</v>
      </c>
      <c r="O3233" s="1">
        <v>0.20029247311827961</v>
      </c>
      <c r="P3233" s="1">
        <v>0.13913448623316146</v>
      </c>
      <c r="Q3233" s="1">
        <v>3.9879494000291142</v>
      </c>
      <c r="R3233" s="2">
        <f t="shared" si="203"/>
        <v>198.98329379174947</v>
      </c>
      <c r="S3233" s="2">
        <f t="shared" si="202"/>
        <v>3.631709416547074</v>
      </c>
      <c r="T3233" s="2">
        <f t="shared" si="204"/>
        <v>8.4735245694853347</v>
      </c>
      <c r="U3233" s="2">
        <f t="shared" si="205"/>
        <v>211.08852777778188</v>
      </c>
    </row>
    <row r="3234" spans="1:21" x14ac:dyDescent="0.25">
      <c r="A3234">
        <v>4588013</v>
      </c>
      <c r="B3234">
        <v>65</v>
      </c>
      <c r="C3234" s="1">
        <f>8.5105154999235*(10.3/7.3)</f>
        <v>12.007987623179735</v>
      </c>
      <c r="D3234" s="1">
        <f>11.5600576145666*(10.3/7.3)</f>
        <v>16.310766223292667</v>
      </c>
      <c r="E3234" s="1">
        <f>40.7418572582404*(10.3/7.3)</f>
        <v>57.485086268476188</v>
      </c>
      <c r="F3234" s="1">
        <f>80.8211505225766*(38.9/42.5)</f>
        <v>73.975123654781854</v>
      </c>
      <c r="G3234" s="1">
        <v>2.9949979704372183</v>
      </c>
      <c r="H3234" s="1">
        <v>6.4673257992473179</v>
      </c>
      <c r="I3234" s="1">
        <v>58.416107850532583</v>
      </c>
      <c r="J3234" s="1">
        <v>6.41426180761938E-2</v>
      </c>
      <c r="K3234" s="1">
        <v>3.838889996720785</v>
      </c>
      <c r="L3234" s="1">
        <v>6.286753982736867</v>
      </c>
      <c r="M3234" s="1">
        <v>0.26590499871888773</v>
      </c>
      <c r="N3234" s="1">
        <v>3.1358961965259615</v>
      </c>
      <c r="O3234" s="1">
        <v>0.21879056410256412</v>
      </c>
      <c r="P3234" s="1">
        <v>0.14958258158477106</v>
      </c>
      <c r="Q3234" s="1">
        <v>4.7865264367718154</v>
      </c>
      <c r="R3234" s="2">
        <f t="shared" si="203"/>
        <v>232.44392182671939</v>
      </c>
      <c r="S3234" s="2">
        <f t="shared" si="202"/>
        <v>4.0526151963817494</v>
      </c>
      <c r="T3234" s="2">
        <f t="shared" si="204"/>
        <v>9.9073457420842796</v>
      </c>
      <c r="U3234" s="2">
        <f t="shared" si="205"/>
        <v>246.40388276518541</v>
      </c>
    </row>
    <row r="3235" spans="1:21" x14ac:dyDescent="0.25">
      <c r="A3235">
        <v>4588021</v>
      </c>
      <c r="B3235">
        <v>63</v>
      </c>
      <c r="C3235" s="1">
        <f>7.23651958243129*(10.3/7.3)</f>
        <v>10.210431739594833</v>
      </c>
      <c r="D3235" s="1">
        <f>9.71417916457462*(10.3/7.3)</f>
        <v>13.706307588372406</v>
      </c>
      <c r="E3235" s="1">
        <f>34.2391750281655*(10.3/7.3)</f>
        <v>48.31006887535677</v>
      </c>
      <c r="F3235" s="1">
        <f>68.6316796999407*(38.9/42.5)</f>
        <v>62.818172713592759</v>
      </c>
      <c r="G3235" s="1">
        <v>2.5704631994650637</v>
      </c>
      <c r="H3235" s="1">
        <v>6.2341970277320069</v>
      </c>
      <c r="I3235" s="1">
        <v>49.921378499236695</v>
      </c>
      <c r="J3235" s="1">
        <v>5.6744700607484211E-2</v>
      </c>
      <c r="K3235" s="1">
        <v>3.4950327082024941</v>
      </c>
      <c r="L3235" s="1">
        <v>5.462685184780109</v>
      </c>
      <c r="M3235" s="1">
        <v>0.23687892720539941</v>
      </c>
      <c r="N3235" s="1">
        <v>3.5220129455026044</v>
      </c>
      <c r="O3235" s="1">
        <v>0.19621248677248676</v>
      </c>
      <c r="P3235" s="1">
        <v>0.13660647096975359</v>
      </c>
      <c r="Q3235" s="1">
        <v>4.1080462091907446</v>
      </c>
      <c r="R3235" s="2">
        <f t="shared" si="203"/>
        <v>197.87906585254123</v>
      </c>
      <c r="S3235" s="2">
        <f t="shared" si="202"/>
        <v>3.6883838797797317</v>
      </c>
      <c r="T3235" s="2">
        <f t="shared" si="204"/>
        <v>9.4177895442605983</v>
      </c>
      <c r="U3235" s="2">
        <f t="shared" si="205"/>
        <v>210.98523927658155</v>
      </c>
    </row>
    <row r="3236" spans="1:21" x14ac:dyDescent="0.25">
      <c r="A3236">
        <v>4588029</v>
      </c>
      <c r="B3236">
        <v>65</v>
      </c>
      <c r="C3236" s="1">
        <f>8.33054887892922*(10.3/7.3)</f>
        <v>11.754062116845335</v>
      </c>
      <c r="D3236" s="1">
        <f>10.9822019570312*(10.3/7.3)</f>
        <v>15.495435638002967</v>
      </c>
      <c r="E3236" s="1">
        <f>38.7104513886692*(10.3/7.3)</f>
        <v>54.618856068944268</v>
      </c>
      <c r="F3236" s="1">
        <f>79.0006320874326*(38.9/42.5)</f>
        <v>72.308813840026517</v>
      </c>
      <c r="G3236" s="1">
        <v>3.0134361933825522</v>
      </c>
      <c r="H3236" s="1">
        <v>6.2107949850985342</v>
      </c>
      <c r="I3236" s="1">
        <v>58.039420228000829</v>
      </c>
      <c r="J3236" s="1">
        <v>6.383136276058736E-2</v>
      </c>
      <c r="K3236" s="1">
        <v>3.8479365137433978</v>
      </c>
      <c r="L3236" s="1">
        <v>6.1703978345875949</v>
      </c>
      <c r="M3236" s="1">
        <v>0.25437022928010544</v>
      </c>
      <c r="N3236" s="1">
        <v>3.2844885768916594</v>
      </c>
      <c r="O3236" s="1">
        <v>0.21037948717948715</v>
      </c>
      <c r="P3236" s="1">
        <v>0.14444732070944818</v>
      </c>
      <c r="Q3236" s="1">
        <v>4.8159939163648149</v>
      </c>
      <c r="R3236" s="2">
        <f t="shared" si="203"/>
        <v>226.25681298666584</v>
      </c>
      <c r="S3236" s="2">
        <f t="shared" si="202"/>
        <v>4.056215197213433</v>
      </c>
      <c r="T3236" s="2">
        <f t="shared" si="204"/>
        <v>9.9196361279388476</v>
      </c>
      <c r="U3236" s="2">
        <f t="shared" si="205"/>
        <v>240.23266431181813</v>
      </c>
    </row>
    <row r="3237" spans="1:21" x14ac:dyDescent="0.25">
      <c r="A3237">
        <v>4588037</v>
      </c>
      <c r="B3237">
        <v>65</v>
      </c>
      <c r="C3237" s="1">
        <f>8.21767910845885*(10.3/7.3)</f>
        <v>11.594807509195366</v>
      </c>
      <c r="D3237" s="1">
        <f>10.7208210676976*(10.3/7.3)</f>
        <v>15.12663794483356</v>
      </c>
      <c r="E3237" s="1">
        <f>37.7766407413152*(10.3/7.3)</f>
        <v>53.30128762130775</v>
      </c>
      <c r="F3237" s="1">
        <f>78.5850182741417*(38.9/42.5)</f>
        <v>71.928404961508491</v>
      </c>
      <c r="G3237" s="1">
        <v>3.0597380871709676</v>
      </c>
      <c r="H3237" s="1">
        <v>6.3097588265761599</v>
      </c>
      <c r="I3237" s="1">
        <v>58.16792165152988</v>
      </c>
      <c r="J3237" s="1">
        <v>6.3962183996425309E-2</v>
      </c>
      <c r="K3237" s="1">
        <v>3.8935803227600223</v>
      </c>
      <c r="L3237" s="1">
        <v>6.0894067275930599</v>
      </c>
      <c r="M3237" s="1">
        <v>0.24849537156594448</v>
      </c>
      <c r="N3237" s="1">
        <v>3.0166278496570627</v>
      </c>
      <c r="O3237" s="1">
        <v>0.20545723076923075</v>
      </c>
      <c r="P3237" s="1">
        <v>0.14162366521850123</v>
      </c>
      <c r="Q3237" s="1">
        <v>4.8899923767572595</v>
      </c>
      <c r="R3237" s="2">
        <f t="shared" si="203"/>
        <v>224.37854897887942</v>
      </c>
      <c r="S3237" s="2">
        <f t="shared" si="202"/>
        <v>4.0991661719749484</v>
      </c>
      <c r="T3237" s="2">
        <f t="shared" si="204"/>
        <v>9.5599871795852973</v>
      </c>
      <c r="U3237" s="2">
        <f t="shared" si="205"/>
        <v>238.03770233043969</v>
      </c>
    </row>
    <row r="3238" spans="1:21" x14ac:dyDescent="0.25">
      <c r="A3238">
        <v>4588045</v>
      </c>
      <c r="B3238">
        <v>54</v>
      </c>
      <c r="C3238" s="1">
        <f>7.12533716215082*(10.3/7.3)</f>
        <v>10.053557913719658</v>
      </c>
      <c r="D3238" s="1">
        <f>9.2617870893438*(10.3/7.3)</f>
        <v>13.068000961676864</v>
      </c>
      <c r="E3238" s="1">
        <f>32.6026359311679*(10.3/7.3)</f>
        <v>46.000979464524526</v>
      </c>
      <c r="F3238" s="1">
        <f>69.7443660063443*(38.9/42.5)</f>
        <v>63.836607944630423</v>
      </c>
      <c r="G3238" s="1">
        <v>2.800318483479713</v>
      </c>
      <c r="H3238" s="1">
        <v>6.8486787180661164</v>
      </c>
      <c r="I3238" s="1">
        <v>51.982537496071942</v>
      </c>
      <c r="J3238" s="1">
        <v>5.9665888209973462E-2</v>
      </c>
      <c r="K3238" s="1">
        <v>3.6986144522965057</v>
      </c>
      <c r="L3238" s="1">
        <v>5.3781923771191043</v>
      </c>
      <c r="M3238" s="1">
        <v>0.22038724608021221</v>
      </c>
      <c r="N3238" s="1">
        <v>2.6667706077106668</v>
      </c>
      <c r="O3238" s="1">
        <v>0.18564938271604933</v>
      </c>
      <c r="P3238" s="1">
        <v>0.13025714927207824</v>
      </c>
      <c r="Q3238" s="1">
        <v>4.475394836611418</v>
      </c>
      <c r="R3238" s="2">
        <f t="shared" si="203"/>
        <v>199.06607581878069</v>
      </c>
      <c r="S3238" s="2">
        <f t="shared" si="202"/>
        <v>3.8885374897785572</v>
      </c>
      <c r="T3238" s="2">
        <f t="shared" si="204"/>
        <v>8.4509996136260312</v>
      </c>
      <c r="U3238" s="2">
        <f t="shared" si="205"/>
        <v>211.4056129221853</v>
      </c>
    </row>
    <row r="3239" spans="1:21" x14ac:dyDescent="0.25">
      <c r="A3239">
        <v>4588053</v>
      </c>
      <c r="B3239">
        <v>1</v>
      </c>
      <c r="C3239" s="1">
        <f>4.68789456560021*(10.3/7.3)</f>
        <v>6.6144265788605709</v>
      </c>
      <c r="D3239" s="1">
        <f>6.46163485542425*(10.3/7.3)</f>
        <v>9.1171012343657285</v>
      </c>
      <c r="E3239" s="1">
        <f>22.5399720608737*(10.3/7.3)</f>
        <v>31.802974277671058</v>
      </c>
      <c r="F3239" s="1">
        <f>55.7829617667533*(38.9/42.5)</f>
        <v>51.057816770040112</v>
      </c>
      <c r="G3239" s="1">
        <v>2.5922457755910293</v>
      </c>
      <c r="H3239" s="1">
        <v>6.9398716825221936</v>
      </c>
      <c r="I3239" s="1">
        <v>42.0738605719784</v>
      </c>
      <c r="J3239" s="1">
        <v>4.3934131702238997E-2</v>
      </c>
      <c r="K3239" s="1">
        <v>3.180830999550265</v>
      </c>
      <c r="L3239" s="1">
        <v>3.7647651385991288</v>
      </c>
      <c r="M3239" s="1">
        <v>0.16850552557375745</v>
      </c>
      <c r="N3239" s="1">
        <v>2.042981128551042</v>
      </c>
      <c r="O3239" s="1">
        <v>0.14341333333333331</v>
      </c>
      <c r="P3239" s="1">
        <v>0.10531435059429564</v>
      </c>
      <c r="Q3239" s="1">
        <v>4.1428585454651197</v>
      </c>
      <c r="R3239" s="2">
        <f t="shared" si="203"/>
        <v>154.3411554364942</v>
      </c>
      <c r="S3239" s="2">
        <f t="shared" si="202"/>
        <v>3.3300794818467998</v>
      </c>
      <c r="T3239" s="2">
        <f t="shared" si="204"/>
        <v>6.1196651260572619</v>
      </c>
      <c r="U3239" s="2">
        <f t="shared" si="205"/>
        <v>163.79090004439828</v>
      </c>
    </row>
    <row r="3240" spans="1:21" x14ac:dyDescent="0.25">
      <c r="A3240">
        <v>4588085</v>
      </c>
      <c r="B3240">
        <v>7</v>
      </c>
      <c r="C3240" s="1">
        <f>7.36498449534277*(10.3/7.3)</f>
        <v>10.391690452332957</v>
      </c>
      <c r="D3240" s="1">
        <f>8.64313604470406*(10.3/7.3)</f>
        <v>12.195109761705723</v>
      </c>
      <c r="E3240" s="1">
        <f>30.4632769919281*(10.3/7.3)</f>
        <v>42.982431920117662</v>
      </c>
      <c r="F3240" s="1">
        <f>70.4270182367615*(38.9/42.5)</f>
        <v>64.461435515529956</v>
      </c>
      <c r="G3240" s="1">
        <v>3.0064042480157549</v>
      </c>
      <c r="H3240" s="1">
        <v>10.258648653641229</v>
      </c>
      <c r="I3240" s="1">
        <v>54.90584678787225</v>
      </c>
      <c r="J3240" s="1">
        <v>5.3266755280258142E-2</v>
      </c>
      <c r="K3240" s="1">
        <v>3.650273578234438</v>
      </c>
      <c r="L3240" s="1">
        <v>4.8035892807643128</v>
      </c>
      <c r="M3240" s="1">
        <v>0.17830953288450166</v>
      </c>
      <c r="N3240" s="1">
        <v>2.287158195533451</v>
      </c>
      <c r="O3240" s="1">
        <v>0.1606704761904762</v>
      </c>
      <c r="P3240" s="1">
        <v>0.11628280505549671</v>
      </c>
      <c r="Q3240" s="1">
        <v>4.804755647513768</v>
      </c>
      <c r="R3240" s="2">
        <f t="shared" si="203"/>
        <v>203.00632298672926</v>
      </c>
      <c r="S3240" s="2">
        <f t="shared" si="202"/>
        <v>3.8198231385701931</v>
      </c>
      <c r="T3240" s="2">
        <f t="shared" si="204"/>
        <v>7.4297274853727417</v>
      </c>
      <c r="U3240" s="2">
        <f t="shared" si="205"/>
        <v>214.25587361067221</v>
      </c>
    </row>
    <row r="3241" spans="1:21" x14ac:dyDescent="0.25">
      <c r="A3241">
        <v>4588109</v>
      </c>
      <c r="B3241">
        <v>1</v>
      </c>
      <c r="C3241" s="1">
        <f>4.58035577777421*(10.3/7.3)</f>
        <v>6.462693768640321</v>
      </c>
      <c r="D3241" s="1">
        <f>5.72029574422778*(10.3/7.3)</f>
        <v>8.0711022144583744</v>
      </c>
      <c r="E3241" s="1">
        <f>20.076225221361*(10.3/7.3)</f>
        <v>28.326728736988738</v>
      </c>
      <c r="F3241" s="1">
        <f>47.7875214838807*(38.9/42.5)</f>
        <v>43.739637311128433</v>
      </c>
      <c r="G3241" s="1">
        <v>2.1180021361824055</v>
      </c>
      <c r="H3241" s="1">
        <v>9.8824310212876529</v>
      </c>
      <c r="I3241" s="1">
        <v>36.753527032730453</v>
      </c>
      <c r="J3241" s="1">
        <v>3.7934241589532222E-2</v>
      </c>
      <c r="K3241" s="1">
        <v>2.4662330322129047</v>
      </c>
      <c r="L3241" s="1">
        <v>3.6635483286875989</v>
      </c>
      <c r="M3241" s="1">
        <v>0.12646796821282086</v>
      </c>
      <c r="N3241" s="1">
        <v>1.6564404546036826</v>
      </c>
      <c r="O3241" s="1">
        <v>0.11525333333333332</v>
      </c>
      <c r="P3241" s="1">
        <v>8.9862623529807895E-2</v>
      </c>
      <c r="Q3241" s="1">
        <v>3.3849349208394646</v>
      </c>
      <c r="R3241" s="2">
        <f t="shared" si="203"/>
        <v>138.73905714225586</v>
      </c>
      <c r="S3241" s="2">
        <f t="shared" si="202"/>
        <v>2.5940298973322449</v>
      </c>
      <c r="T3241" s="2">
        <f t="shared" si="204"/>
        <v>5.5617100848374363</v>
      </c>
      <c r="U3241" s="2">
        <f t="shared" si="205"/>
        <v>146.89479712442554</v>
      </c>
    </row>
    <row r="3242" spans="1:21" x14ac:dyDescent="0.25">
      <c r="A3242">
        <v>4588117</v>
      </c>
      <c r="B3242">
        <v>38</v>
      </c>
      <c r="C3242" s="1">
        <f>3.72331566052697*(10.3/7.3)</f>
        <v>5.2534453840312079</v>
      </c>
      <c r="D3242" s="1">
        <f>4.76764073293215*(10.3/7.3)</f>
        <v>6.7269451437261809</v>
      </c>
      <c r="E3242" s="1">
        <f>16.7336188437265*(10.3/7.3)</f>
        <v>23.610448505531849</v>
      </c>
      <c r="F3242" s="1">
        <f>38.8382225463905*(38.9/42.5)</f>
        <v>35.548396636578637</v>
      </c>
      <c r="G3242" s="1">
        <v>1.6887941365009045</v>
      </c>
      <c r="H3242" s="1">
        <v>8.9928036124515689</v>
      </c>
      <c r="I3242" s="1">
        <v>29.531003190850463</v>
      </c>
      <c r="J3242" s="1">
        <v>3.4729506120264667E-2</v>
      </c>
      <c r="K3242" s="1">
        <v>2.3509641819942457</v>
      </c>
      <c r="L3242" s="1">
        <v>3.7530923332860109</v>
      </c>
      <c r="M3242" s="1">
        <v>0.1189080478650109</v>
      </c>
      <c r="N3242" s="1">
        <v>1.5605081782005705</v>
      </c>
      <c r="O3242" s="1">
        <v>0.1075845614035088</v>
      </c>
      <c r="P3242" s="1">
        <v>8.6372494130883756E-2</v>
      </c>
      <c r="Q3242" s="1">
        <v>2.6989860629009921</v>
      </c>
      <c r="R3242" s="2">
        <f t="shared" si="203"/>
        <v>114.0508226725718</v>
      </c>
      <c r="S3242" s="2">
        <f t="shared" si="202"/>
        <v>2.4720661822453942</v>
      </c>
      <c r="T3242" s="2">
        <f t="shared" si="204"/>
        <v>5.5400931207551007</v>
      </c>
      <c r="U3242" s="2">
        <f t="shared" si="205"/>
        <v>122.0629819755723</v>
      </c>
    </row>
    <row r="3243" spans="1:21" x14ac:dyDescent="0.25">
      <c r="A3243">
        <v>4599649</v>
      </c>
      <c r="B3243">
        <v>36</v>
      </c>
      <c r="C3243" s="1">
        <f>0.928816493371257*(10.3/7.3)</f>
        <v>1.3105219016060197</v>
      </c>
      <c r="D3243" s="1">
        <f>1.30525029315988*(10.3/7.3)</f>
        <v>1.8416545232255848</v>
      </c>
      <c r="E3243" s="1">
        <f>4.53005077856247*(10.3/7.3)</f>
        <v>6.3917154820812963</v>
      </c>
      <c r="F3243" s="1">
        <f>12.2016427435626*(38.9/42.5)</f>
        <v>11.168091828813775</v>
      </c>
      <c r="G3243" s="1">
        <v>0.60554880392462629</v>
      </c>
      <c r="H3243" s="1">
        <v>2.2912325627533345</v>
      </c>
      <c r="I3243" s="1">
        <v>9.3015515484924904</v>
      </c>
      <c r="J3243" s="1">
        <v>0.10924363806500761</v>
      </c>
      <c r="K3243" s="1">
        <v>4.1391248543141517</v>
      </c>
      <c r="L3243" s="1">
        <v>3.4488215120769312</v>
      </c>
      <c r="M3243" s="1">
        <v>0.48899275924982682</v>
      </c>
      <c r="N3243" s="1">
        <v>2.784335709740891</v>
      </c>
      <c r="O3243" s="1">
        <v>0.91247407407407422</v>
      </c>
      <c r="P3243" s="1">
        <v>0.34237593554051876</v>
      </c>
      <c r="Q3243" s="1">
        <v>0.96777206106675551</v>
      </c>
      <c r="R3243" s="2">
        <f t="shared" si="203"/>
        <v>33.878088711963883</v>
      </c>
      <c r="S3243" s="2">
        <f t="shared" si="202"/>
        <v>4.5907444279196774</v>
      </c>
      <c r="T3243" s="2">
        <f t="shared" si="204"/>
        <v>7.6346240551417228</v>
      </c>
      <c r="U3243" s="2">
        <f t="shared" si="205"/>
        <v>46.103457195025278</v>
      </c>
    </row>
    <row r="3244" spans="1:21" x14ac:dyDescent="0.25">
      <c r="A3244">
        <v>4599657</v>
      </c>
      <c r="B3244">
        <v>28</v>
      </c>
      <c r="C3244" s="1">
        <f>0.788745799757149*(10.3/7.3)</f>
        <v>1.1128879092463886</v>
      </c>
      <c r="D3244" s="1">
        <f>1.11527635635204*(10.3/7.3)</f>
        <v>1.5736091055378096</v>
      </c>
      <c r="E3244" s="1">
        <f>3.86772982870425*(10.3/7.3)</f>
        <v>5.4572078405005175</v>
      </c>
      <c r="F3244" s="1">
        <f>10.5215264641233*(38.9/42.5)</f>
        <v>9.6302912812799146</v>
      </c>
      <c r="G3244" s="1">
        <v>0.52609775162967642</v>
      </c>
      <c r="H3244" s="1">
        <v>2.1369065543797254</v>
      </c>
      <c r="I3244" s="1">
        <v>8.023451130377131</v>
      </c>
      <c r="J3244" s="1">
        <v>7.9231828328625312E-2</v>
      </c>
      <c r="K3244" s="1">
        <v>3.7612534823567065</v>
      </c>
      <c r="L3244" s="1">
        <v>2.9765328134656306</v>
      </c>
      <c r="M3244" s="1">
        <v>0.43802624669479701</v>
      </c>
      <c r="N3244" s="1">
        <v>2.7973330853484017</v>
      </c>
      <c r="O3244" s="1">
        <v>0.78217142857142841</v>
      </c>
      <c r="P3244" s="1">
        <v>0.31776342304912364</v>
      </c>
      <c r="Q3244" s="1">
        <v>0.8407954934720866</v>
      </c>
      <c r="R3244" s="2">
        <f t="shared" si="203"/>
        <v>29.301247066423251</v>
      </c>
      <c r="S3244" s="2">
        <f t="shared" si="202"/>
        <v>4.1582487337344558</v>
      </c>
      <c r="T3244" s="2">
        <f t="shared" si="204"/>
        <v>6.9940635740802568</v>
      </c>
      <c r="U3244" s="2">
        <f t="shared" si="205"/>
        <v>40.453559374237962</v>
      </c>
    </row>
    <row r="3245" spans="1:21" x14ac:dyDescent="0.25">
      <c r="A3245">
        <v>4600153</v>
      </c>
      <c r="B3245">
        <v>17</v>
      </c>
      <c r="C3245" s="1">
        <f>18.483082726783*(10.3/7.3)</f>
        <v>26.078870148748582</v>
      </c>
      <c r="D3245" s="1">
        <f>26.7595574078405*(10.3/7.3)</f>
        <v>37.756635794624309</v>
      </c>
      <c r="E3245" s="1">
        <f>94.5303488843875*(10.3/7.3)</f>
        <v>133.37843746701245</v>
      </c>
      <c r="F3245" s="1">
        <f>164.177465055513*(38.9/42.5)</f>
        <v>150.27066801551638</v>
      </c>
      <c r="G3245" s="1">
        <v>5.0758712020441505</v>
      </c>
      <c r="H3245" s="1">
        <v>9.0517488120363776</v>
      </c>
      <c r="I3245" s="1">
        <v>111.8669426657649</v>
      </c>
      <c r="J3245" s="1">
        <v>6.4003487072997842E-2</v>
      </c>
      <c r="K3245" s="1">
        <v>3.4575779815972512</v>
      </c>
      <c r="L3245" s="1">
        <v>5.6556235491035869</v>
      </c>
      <c r="M3245" s="1">
        <v>0.28843848968207614</v>
      </c>
      <c r="N3245" s="1">
        <v>2.807977530796125</v>
      </c>
      <c r="O3245" s="1">
        <v>0.23103686274509797</v>
      </c>
      <c r="P3245" s="1">
        <v>0.15648870374940005</v>
      </c>
      <c r="Q3245" s="1">
        <v>8.1121229256413443</v>
      </c>
      <c r="R3245" s="2">
        <f t="shared" si="203"/>
        <v>481.59129703138848</v>
      </c>
      <c r="S3245" s="2">
        <f t="shared" si="202"/>
        <v>3.6780701724196492</v>
      </c>
      <c r="T3245" s="2">
        <f t="shared" si="204"/>
        <v>8.9830764323268859</v>
      </c>
      <c r="U3245" s="2">
        <f t="shared" si="205"/>
        <v>494.25244363613501</v>
      </c>
    </row>
    <row r="3246" spans="1:21" x14ac:dyDescent="0.25">
      <c r="A3246">
        <v>4600185</v>
      </c>
      <c r="B3246">
        <v>24</v>
      </c>
      <c r="C3246" s="1">
        <f>14.5462806026618*(10.3/7.3)</f>
        <v>20.524204138002229</v>
      </c>
      <c r="D3246" s="1">
        <f>23.8959019416042*(10.3/7.3)</f>
        <v>33.716135616235995</v>
      </c>
      <c r="E3246" s="1">
        <f>83.1758854843208*(10.3/7.3)</f>
        <v>117.35775623130201</v>
      </c>
      <c r="F3246" s="1">
        <f>186.92208991402*(38.9/42.5)</f>
        <v>171.08868935659706</v>
      </c>
      <c r="G3246" s="1">
        <v>8.1787357058796424</v>
      </c>
      <c r="H3246" s="1">
        <v>8.8111625101141939</v>
      </c>
      <c r="I3246" s="1">
        <v>131.97184655832893</v>
      </c>
      <c r="J3246" s="1">
        <v>5.8805146470036963E-2</v>
      </c>
      <c r="K3246" s="1">
        <v>3.3645320652192248</v>
      </c>
      <c r="L3246" s="1">
        <v>5.3950138891672301</v>
      </c>
      <c r="M3246" s="1">
        <v>0.26251201004093033</v>
      </c>
      <c r="N3246" s="1">
        <v>3.0778469425240265</v>
      </c>
      <c r="O3246" s="1">
        <v>0.21375777777777774</v>
      </c>
      <c r="P3246" s="1">
        <v>0.14657623964713076</v>
      </c>
      <c r="Q3246" s="1">
        <v>13.071038799351042</v>
      </c>
      <c r="R3246" s="2">
        <f t="shared" si="203"/>
        <v>504.71956891581107</v>
      </c>
      <c r="S3246" s="2">
        <f t="shared" si="202"/>
        <v>3.5699134513363924</v>
      </c>
      <c r="T3246" s="2">
        <f t="shared" si="204"/>
        <v>8.9491306195099636</v>
      </c>
      <c r="U3246" s="2">
        <f t="shared" si="205"/>
        <v>517.23861298665747</v>
      </c>
    </row>
    <row r="3247" spans="1:21" x14ac:dyDescent="0.25">
      <c r="A3247">
        <v>4600193</v>
      </c>
      <c r="B3247">
        <v>68</v>
      </c>
      <c r="C3247" s="1">
        <f>11.7320366021506*(10.3/7.3)</f>
        <v>16.553421507143938</v>
      </c>
      <c r="D3247" s="1">
        <f>17.3596792519523*(10.3/7.3)</f>
        <v>24.493794013028559</v>
      </c>
      <c r="E3247" s="1">
        <f>61.1365894566174*(10.3/7.3)</f>
        <v>86.261215260706805</v>
      </c>
      <c r="F3247" s="1">
        <f>113.014159494137*(38.9/42.5)</f>
        <v>103.4411953958099</v>
      </c>
      <c r="G3247" s="1">
        <v>3.876092859837839</v>
      </c>
      <c r="H3247" s="1">
        <v>6.4342304423999286</v>
      </c>
      <c r="I3247" s="1">
        <v>77.876152418884033</v>
      </c>
      <c r="J3247" s="1">
        <v>6.1461308821982016E-2</v>
      </c>
      <c r="K3247" s="1">
        <v>3.5737275295890512</v>
      </c>
      <c r="L3247" s="1">
        <v>5.8748210506235523</v>
      </c>
      <c r="M3247" s="1">
        <v>0.27696756173320075</v>
      </c>
      <c r="N3247" s="1">
        <v>3.0209599860477661</v>
      </c>
      <c r="O3247" s="1">
        <v>0.22574274509803915</v>
      </c>
      <c r="P3247" s="1">
        <v>0.15391364208892838</v>
      </c>
      <c r="Q3247" s="1">
        <v>6.1946689540787432</v>
      </c>
      <c r="R3247" s="2">
        <f t="shared" si="203"/>
        <v>325.13077085188974</v>
      </c>
      <c r="S3247" s="2">
        <f t="shared" si="202"/>
        <v>3.7891024804999618</v>
      </c>
      <c r="T3247" s="2">
        <f t="shared" si="204"/>
        <v>9.3984913435025579</v>
      </c>
      <c r="U3247" s="2">
        <f t="shared" si="205"/>
        <v>338.31836467589221</v>
      </c>
    </row>
    <row r="3248" spans="1:21" x14ac:dyDescent="0.25">
      <c r="A3248">
        <v>4600201</v>
      </c>
      <c r="B3248">
        <v>68</v>
      </c>
      <c r="C3248" s="1">
        <f>5.80182303339701*(10.3/7.3)</f>
        <v>8.1861338690396188</v>
      </c>
      <c r="D3248" s="1">
        <f>8.52380445333539*(10.3/7.3)</f>
        <v>12.026737790322535</v>
      </c>
      <c r="E3248" s="1">
        <f>30.026027013004*(10.3/7.3)</f>
        <v>42.365490169033031</v>
      </c>
      <c r="F3248" s="1">
        <f>55.5549970909484*(38.9/42.5)</f>
        <v>50.849162043244512</v>
      </c>
      <c r="G3248" s="1">
        <v>1.9048796702024919</v>
      </c>
      <c r="H3248" s="1">
        <v>4.2269157517372218</v>
      </c>
      <c r="I3248" s="1">
        <v>38.386399439009246</v>
      </c>
      <c r="J3248" s="1">
        <v>4.0716535253162399E-2</v>
      </c>
      <c r="K3248" s="1">
        <v>2.6782729231243345</v>
      </c>
      <c r="L3248" s="1">
        <v>3.9646523353133194</v>
      </c>
      <c r="M3248" s="1">
        <v>0.19595640645746987</v>
      </c>
      <c r="N3248" s="1">
        <v>1.9955521331783843</v>
      </c>
      <c r="O3248" s="1">
        <v>0.16455215686274513</v>
      </c>
      <c r="P3248" s="1">
        <v>0.12240401161043665</v>
      </c>
      <c r="Q3248" s="1">
        <v>3.0443282400496487</v>
      </c>
      <c r="R3248" s="2">
        <f t="shared" si="203"/>
        <v>160.99004697263831</v>
      </c>
      <c r="S3248" s="2">
        <f t="shared" si="202"/>
        <v>2.8413934699879335</v>
      </c>
      <c r="T3248" s="2">
        <f t="shared" si="204"/>
        <v>6.3207130318119198</v>
      </c>
      <c r="U3248" s="2">
        <f t="shared" si="205"/>
        <v>170.15215347443817</v>
      </c>
    </row>
    <row r="3249" spans="1:21" x14ac:dyDescent="0.25">
      <c r="A3249">
        <v>4600209</v>
      </c>
      <c r="B3249">
        <v>67</v>
      </c>
      <c r="C3249" s="1">
        <f>8.15582727173926*(10.3/7.3)</f>
        <v>11.50753710944033</v>
      </c>
      <c r="D3249" s="1">
        <f>11.8716986952271*(10.3/7.3)</f>
        <v>16.750478980936858</v>
      </c>
      <c r="E3249" s="1">
        <f>41.8135887624858*(10.3/7.3)</f>
        <v>58.997255377205924</v>
      </c>
      <c r="F3249" s="1">
        <f>78.4114782807927*(38.9/42.5)</f>
        <v>71.769564826419696</v>
      </c>
      <c r="G3249" s="1">
        <v>2.7351882597323609</v>
      </c>
      <c r="H3249" s="1">
        <v>5.6078186076285199</v>
      </c>
      <c r="I3249" s="1">
        <v>54.564148673819709</v>
      </c>
      <c r="J3249" s="1">
        <v>5.4555060700754672E-2</v>
      </c>
      <c r="K3249" s="1">
        <v>3.3496027241407491</v>
      </c>
      <c r="L3249" s="1">
        <v>5.3432680474860268</v>
      </c>
      <c r="M3249" s="1">
        <v>0.24984408391217366</v>
      </c>
      <c r="N3249" s="1">
        <v>2.5459007132771059</v>
      </c>
      <c r="O3249" s="1">
        <v>0.20733850746268659</v>
      </c>
      <c r="P3249" s="1">
        <v>0.14343108241700628</v>
      </c>
      <c r="Q3249" s="1">
        <v>4.3713054379284344</v>
      </c>
      <c r="R3249" s="2">
        <f t="shared" si="203"/>
        <v>226.30329727311184</v>
      </c>
      <c r="S3249" s="2">
        <f t="shared" si="202"/>
        <v>3.5475888672585101</v>
      </c>
      <c r="T3249" s="2">
        <f t="shared" si="204"/>
        <v>8.3463513521379937</v>
      </c>
      <c r="U3249" s="2">
        <f t="shared" si="205"/>
        <v>238.19723749250832</v>
      </c>
    </row>
    <row r="3250" spans="1:21" x14ac:dyDescent="0.25">
      <c r="A3250">
        <v>4600217</v>
      </c>
      <c r="B3250">
        <v>69</v>
      </c>
      <c r="C3250" s="1">
        <f>8.12792358357695*(10.3/7.3)</f>
        <v>11.468166152170213</v>
      </c>
      <c r="D3250" s="1">
        <f>11.6754971886085*(10.3/7.3)</f>
        <v>16.473646718173597</v>
      </c>
      <c r="E3250" s="1">
        <f>41.1243022130072*(10.3/7.3)</f>
        <v>58.02470038273615</v>
      </c>
      <c r="F3250" s="1">
        <f>78.1059219193107*(38.9/42.5)</f>
        <v>71.489890886145545</v>
      </c>
      <c r="G3250" s="1">
        <v>2.765254980524479</v>
      </c>
      <c r="H3250" s="1">
        <v>5.8604366977685949</v>
      </c>
      <c r="I3250" s="1">
        <v>54.791426370657661</v>
      </c>
      <c r="J3250" s="1">
        <v>5.7187809385763899E-2</v>
      </c>
      <c r="K3250" s="1">
        <v>3.4887236784790954</v>
      </c>
      <c r="L3250" s="1">
        <v>5.6079376431051431</v>
      </c>
      <c r="M3250" s="1">
        <v>0.25694750380701392</v>
      </c>
      <c r="N3250" s="1">
        <v>2.7011484186240784</v>
      </c>
      <c r="O3250" s="1">
        <v>0.21402357487922705</v>
      </c>
      <c r="P3250" s="1">
        <v>0.14678098499284017</v>
      </c>
      <c r="Q3250" s="1">
        <v>4.4193572748108156</v>
      </c>
      <c r="R3250" s="2">
        <f t="shared" si="203"/>
        <v>225.29287946298706</v>
      </c>
      <c r="S3250" s="2">
        <f t="shared" si="202"/>
        <v>3.6926924728576997</v>
      </c>
      <c r="T3250" s="2">
        <f t="shared" si="204"/>
        <v>8.7800571404154635</v>
      </c>
      <c r="U3250" s="2">
        <f t="shared" si="205"/>
        <v>237.76562907626021</v>
      </c>
    </row>
    <row r="3251" spans="1:21" x14ac:dyDescent="0.25">
      <c r="A3251">
        <v>4600225</v>
      </c>
      <c r="B3251">
        <v>64</v>
      </c>
      <c r="C3251" s="1">
        <f>6.39094054484285*(10.3/7.3)</f>
        <v>9.0173544673810007</v>
      </c>
      <c r="D3251" s="1">
        <f>9.05289233187208*(10.3/7.3)</f>
        <v>12.77325904360033</v>
      </c>
      <c r="E3251" s="1">
        <f>31.8938798679948*(10.3/7.3)</f>
        <v>45.000953786348852</v>
      </c>
      <c r="F3251" s="1">
        <f>61.1098187163669*(38.9/42.5)</f>
        <v>55.933457601568755</v>
      </c>
      <c r="G3251" s="1">
        <v>2.183066459024066</v>
      </c>
      <c r="H3251" s="1">
        <v>5.7553214949401825</v>
      </c>
      <c r="I3251" s="1">
        <v>43.174191432248087</v>
      </c>
      <c r="J3251" s="1">
        <v>5.1524162422963364E-2</v>
      </c>
      <c r="K3251" s="1">
        <v>3.1202808587853439</v>
      </c>
      <c r="L3251" s="1">
        <v>4.7717057380186612</v>
      </c>
      <c r="M3251" s="1">
        <v>0.22298085276101248</v>
      </c>
      <c r="N3251" s="1">
        <v>2.4164011821366609</v>
      </c>
      <c r="O3251" s="1">
        <v>0.18770416666666664</v>
      </c>
      <c r="P3251" s="1">
        <v>0.13239494636145199</v>
      </c>
      <c r="Q3251" s="1">
        <v>3.4889189984402904</v>
      </c>
      <c r="R3251" s="2">
        <f t="shared" si="203"/>
        <v>177.32652328355155</v>
      </c>
      <c r="S3251" s="2">
        <f t="shared" si="202"/>
        <v>3.3041999675697591</v>
      </c>
      <c r="T3251" s="2">
        <f t="shared" si="204"/>
        <v>7.598791939583001</v>
      </c>
      <c r="U3251" s="2">
        <f t="shared" si="205"/>
        <v>188.22951519070432</v>
      </c>
    </row>
    <row r="3252" spans="1:21" x14ac:dyDescent="0.25">
      <c r="A3252">
        <v>4600233</v>
      </c>
      <c r="B3252">
        <v>69</v>
      </c>
      <c r="C3252" s="1">
        <f>7.18547281125534*(10.3/7.3)</f>
        <v>10.13840684327808</v>
      </c>
      <c r="D3252" s="1">
        <f>10.0659429271453*(10.3/7.3)</f>
        <v>14.20263180131457</v>
      </c>
      <c r="E3252" s="1">
        <f>35.4404716086689*(10.3/7.3)</f>
        <v>50.005048982094522</v>
      </c>
      <c r="F3252" s="1">
        <f>69.8348788713354*(38.9/42.5)</f>
        <v>63.919453837528181</v>
      </c>
      <c r="G3252" s="1">
        <v>2.5822160311022579</v>
      </c>
      <c r="H3252" s="1">
        <v>9.8971817902580455</v>
      </c>
      <c r="I3252" s="1">
        <v>49.883023178029759</v>
      </c>
      <c r="J3252" s="1">
        <v>5.7005536111323377E-2</v>
      </c>
      <c r="K3252" s="1">
        <v>3.4422252546266194</v>
      </c>
      <c r="L3252" s="1">
        <v>5.4277367127134841</v>
      </c>
      <c r="M3252" s="1">
        <v>0.24353465087225307</v>
      </c>
      <c r="N3252" s="1">
        <v>2.6500743205128994</v>
      </c>
      <c r="O3252" s="1">
        <v>0.20389024154589375</v>
      </c>
      <c r="P3252" s="1">
        <v>0.14060782811355554</v>
      </c>
      <c r="Q3252" s="1">
        <v>4.1268292734511025</v>
      </c>
      <c r="R3252" s="2">
        <f t="shared" si="203"/>
        <v>204.75479173705651</v>
      </c>
      <c r="S3252" s="2">
        <f t="shared" si="202"/>
        <v>3.6398386188514986</v>
      </c>
      <c r="T3252" s="2">
        <f t="shared" si="204"/>
        <v>8.5252359256445303</v>
      </c>
      <c r="U3252" s="2">
        <f t="shared" si="205"/>
        <v>216.91986628155252</v>
      </c>
    </row>
    <row r="3253" spans="1:21" x14ac:dyDescent="0.25">
      <c r="A3253">
        <v>4600241</v>
      </c>
      <c r="B3253">
        <v>66</v>
      </c>
      <c r="C3253" s="1">
        <f>8.14699856009319*(10.3/7.3)</f>
        <v>11.495080160131495</v>
      </c>
      <c r="D3253" s="1">
        <f>11.178336521107*(10.3/7.3)</f>
        <v>15.772173447589269</v>
      </c>
      <c r="E3253" s="1">
        <f>39.3880603983341*(10.3/7.3)</f>
        <v>55.574934534635744</v>
      </c>
      <c r="F3253" s="1">
        <f>77.7329125521799*(38.9/42.5)</f>
        <v>71.148477606583526</v>
      </c>
      <c r="G3253" s="1">
        <v>2.8676523810764762</v>
      </c>
      <c r="H3253" s="1">
        <v>8.4576696035244012</v>
      </c>
      <c r="I3253" s="1">
        <v>55.927044999843964</v>
      </c>
      <c r="J3253" s="1">
        <v>6.194987478186393E-2</v>
      </c>
      <c r="K3253" s="1">
        <v>3.7239347066352413</v>
      </c>
      <c r="L3253" s="1">
        <v>6.0287062654064254</v>
      </c>
      <c r="M3253" s="1">
        <v>0.26095848507068947</v>
      </c>
      <c r="N3253" s="1">
        <v>3.0074645849196693</v>
      </c>
      <c r="O3253" s="1">
        <v>0.21559999999999996</v>
      </c>
      <c r="P3253" s="1">
        <v>0.14719688922501831</v>
      </c>
      <c r="Q3253" s="1">
        <v>4.5830060884783945</v>
      </c>
      <c r="R3253" s="2">
        <f t="shared" si="203"/>
        <v>225.82603882186328</v>
      </c>
      <c r="S3253" s="2">
        <f t="shared" si="202"/>
        <v>3.9330814706421235</v>
      </c>
      <c r="T3253" s="2">
        <f t="shared" si="204"/>
        <v>9.5127293353967843</v>
      </c>
      <c r="U3253" s="2">
        <f t="shared" si="205"/>
        <v>239.27184962790218</v>
      </c>
    </row>
    <row r="3254" spans="1:21" x14ac:dyDescent="0.25">
      <c r="A3254">
        <v>4600249</v>
      </c>
      <c r="B3254">
        <v>66</v>
      </c>
      <c r="C3254" s="1">
        <f>8.24174373230803*(10.3/7.3)</f>
        <v>11.628761704489408</v>
      </c>
      <c r="D3254" s="1">
        <f>11.1477414483053*(10.3/7.3)</f>
        <v>15.729005057197925</v>
      </c>
      <c r="E3254" s="1">
        <f>39.2836267340411*(10.3/7.3)</f>
        <v>55.427582926112855</v>
      </c>
      <c r="F3254" s="1">
        <f>78.5345736798099*(38.9/42.5)</f>
        <v>71.882233321049554</v>
      </c>
      <c r="G3254" s="1">
        <v>2.9362073456790472</v>
      </c>
      <c r="H3254" s="1">
        <v>6.2344636218592413</v>
      </c>
      <c r="I3254" s="1">
        <v>56.947106281351715</v>
      </c>
      <c r="J3254" s="1">
        <v>6.2522964452952481E-2</v>
      </c>
      <c r="K3254" s="1">
        <v>3.7733102564316288</v>
      </c>
      <c r="L3254" s="1">
        <v>6.0866684533441795</v>
      </c>
      <c r="M3254" s="1">
        <v>0.25973994071088674</v>
      </c>
      <c r="N3254" s="1">
        <v>3.1652556895510373</v>
      </c>
      <c r="O3254" s="1">
        <v>0.2141826262626263</v>
      </c>
      <c r="P3254" s="1">
        <v>0.14691979936808627</v>
      </c>
      <c r="Q3254" s="1">
        <v>4.6925688172952862</v>
      </c>
      <c r="R3254" s="2">
        <f t="shared" si="203"/>
        <v>225.47792907503506</v>
      </c>
      <c r="S3254" s="2">
        <f t="shared" si="202"/>
        <v>3.9827530202526678</v>
      </c>
      <c r="T3254" s="2">
        <f t="shared" si="204"/>
        <v>9.7258467098687298</v>
      </c>
      <c r="U3254" s="2">
        <f t="shared" si="205"/>
        <v>239.18652880515646</v>
      </c>
    </row>
    <row r="3255" spans="1:21" x14ac:dyDescent="0.25">
      <c r="A3255">
        <v>4600257</v>
      </c>
      <c r="B3255">
        <v>68</v>
      </c>
      <c r="C3255" s="1">
        <f>8.09200092228411*(10.3/7.3)</f>
        <v>11.417480753359779</v>
      </c>
      <c r="D3255" s="1">
        <f>10.7636769969632*(10.3/7.3)</f>
        <v>15.187105899824836</v>
      </c>
      <c r="E3255" s="1">
        <f>37.9361070526239*(10.3/7.3)</f>
        <v>53.52628803315433</v>
      </c>
      <c r="F3255" s="1">
        <f>76.8939716173003*(38.9/42.5)</f>
        <v>70.380599903834863</v>
      </c>
      <c r="G3255" s="1">
        <v>2.9142252707258565</v>
      </c>
      <c r="H3255" s="1">
        <v>6.1301837607906497</v>
      </c>
      <c r="I3255" s="1">
        <v>56.241780545912171</v>
      </c>
      <c r="J3255" s="1">
        <v>6.2454093701060608E-2</v>
      </c>
      <c r="K3255" s="1">
        <v>3.7658833405198719</v>
      </c>
      <c r="L3255" s="1">
        <v>6.0171013593544131</v>
      </c>
      <c r="M3255" s="1">
        <v>0.25350713687772558</v>
      </c>
      <c r="N3255" s="1">
        <v>3.7746288536309245</v>
      </c>
      <c r="O3255" s="1">
        <v>0.2087796078431372</v>
      </c>
      <c r="P3255" s="1">
        <v>0.14351536863721098</v>
      </c>
      <c r="Q3255" s="1">
        <v>4.6574376472787709</v>
      </c>
      <c r="R3255" s="2">
        <f t="shared" si="203"/>
        <v>220.45510181488129</v>
      </c>
      <c r="S3255" s="2">
        <f t="shared" si="202"/>
        <v>3.9718528028581432</v>
      </c>
      <c r="T3255" s="2">
        <f t="shared" si="204"/>
        <v>10.254016957706201</v>
      </c>
      <c r="U3255" s="2">
        <f t="shared" si="205"/>
        <v>234.68097157544562</v>
      </c>
    </row>
    <row r="3256" spans="1:21" x14ac:dyDescent="0.25">
      <c r="A3256">
        <v>4600265</v>
      </c>
      <c r="B3256">
        <v>67</v>
      </c>
      <c r="C3256" s="1">
        <f>8.10387099724511*(10.3/7.3)</f>
        <v>11.434228941318439</v>
      </c>
      <c r="D3256" s="1">
        <f>10.6494664857916*(10.3/7.3)</f>
        <v>15.02595956214428</v>
      </c>
      <c r="E3256" s="1">
        <f>37.5269405857223*(10.3/7.3)</f>
        <v>52.948970963416421</v>
      </c>
      <c r="F3256" s="1">
        <f>77.3832558593751*(38.9/42.5)</f>
        <v>70.828438892463296</v>
      </c>
      <c r="G3256" s="1">
        <v>2.9864826201564876</v>
      </c>
      <c r="H3256" s="1">
        <v>6.2680043462788229</v>
      </c>
      <c r="I3256" s="1">
        <v>57.038097316509749</v>
      </c>
      <c r="J3256" s="1">
        <v>6.3094286602258867E-2</v>
      </c>
      <c r="K3256" s="1">
        <v>3.8108219457036592</v>
      </c>
      <c r="L3256" s="1">
        <v>6.0034205717889026</v>
      </c>
      <c r="M3256" s="1">
        <v>0.24625403420931888</v>
      </c>
      <c r="N3256" s="1">
        <v>3.0927269433106508</v>
      </c>
      <c r="O3256" s="1">
        <v>0.2061619900497513</v>
      </c>
      <c r="P3256" s="1">
        <v>0.1419425957582634</v>
      </c>
      <c r="Q3256" s="1">
        <v>4.7729174294738446</v>
      </c>
      <c r="R3256" s="2">
        <f t="shared" si="203"/>
        <v>221.30310007176132</v>
      </c>
      <c r="S3256" s="2">
        <f t="shared" si="202"/>
        <v>4.0158588280641814</v>
      </c>
      <c r="T3256" s="2">
        <f t="shared" si="204"/>
        <v>9.5485635393586215</v>
      </c>
      <c r="U3256" s="2">
        <f t="shared" si="205"/>
        <v>234.86752243918411</v>
      </c>
    </row>
    <row r="3257" spans="1:21" x14ac:dyDescent="0.25">
      <c r="A3257">
        <v>4600273</v>
      </c>
      <c r="B3257">
        <v>65</v>
      </c>
      <c r="C3257" s="1">
        <f>7.66723983151242*(10.3/7.3)</f>
        <v>10.818160310216152</v>
      </c>
      <c r="D3257" s="1">
        <f>9.9902429032254*(10.3/7.3)</f>
        <v>14.095822178523505</v>
      </c>
      <c r="E3257" s="1">
        <f>35.1826346909949*(10.3/7.3)</f>
        <v>49.641251687294123</v>
      </c>
      <c r="F3257" s="1">
        <f>74.2803796354218*(38.9/42.5)</f>
        <v>67.988394536891931</v>
      </c>
      <c r="G3257" s="1">
        <v>2.9406572095276049</v>
      </c>
      <c r="H3257" s="1">
        <v>6.3187508414153797</v>
      </c>
      <c r="I3257" s="1">
        <v>55.173307622266705</v>
      </c>
      <c r="J3257" s="1">
        <v>6.1242094547874937E-2</v>
      </c>
      <c r="K3257" s="1">
        <v>3.7322608993759627</v>
      </c>
      <c r="L3257" s="1">
        <v>5.6426584687065233</v>
      </c>
      <c r="M3257" s="1">
        <v>0.22527145359147702</v>
      </c>
      <c r="N3257" s="1">
        <v>2.8223524533213902</v>
      </c>
      <c r="O3257" s="1">
        <v>0.19433271794871793</v>
      </c>
      <c r="P3257" s="1">
        <v>0.13522818254524699</v>
      </c>
      <c r="Q3257" s="1">
        <v>4.699680471847774</v>
      </c>
      <c r="R3257" s="2">
        <f t="shared" si="203"/>
        <v>211.67602485798318</v>
      </c>
      <c r="S3257" s="2">
        <f t="shared" si="202"/>
        <v>3.9287311764690847</v>
      </c>
      <c r="T3257" s="2">
        <f t="shared" si="204"/>
        <v>8.8846150935681081</v>
      </c>
      <c r="U3257" s="2">
        <f t="shared" si="205"/>
        <v>224.48937112802037</v>
      </c>
    </row>
    <row r="3258" spans="1:21" x14ac:dyDescent="0.25">
      <c r="A3258">
        <v>4600345</v>
      </c>
      <c r="B3258">
        <v>58</v>
      </c>
      <c r="C3258" s="1">
        <f>4.02007594636068*(10.3/7.3)</f>
        <v>5.6721619517143909</v>
      </c>
      <c r="D3258" s="1">
        <f>5.28781783502138*(10.3/7.3)</f>
        <v>7.4608936576329024</v>
      </c>
      <c r="E3258" s="1">
        <f>18.4659466136614*(10.3/7.3)</f>
        <v>26.05469179735784</v>
      </c>
      <c r="F3258" s="1">
        <f>46.5016520022349*(38.9/42.5)</f>
        <v>42.562688538516191</v>
      </c>
      <c r="G3258" s="1">
        <v>2.1776433240999205</v>
      </c>
      <c r="H3258" s="1">
        <v>9.0421961982910943</v>
      </c>
      <c r="I3258" s="1">
        <v>35.604311355880711</v>
      </c>
      <c r="J3258" s="1">
        <v>3.6654988815416352E-2</v>
      </c>
      <c r="K3258" s="1">
        <v>2.3922450023301223</v>
      </c>
      <c r="L3258" s="1">
        <v>3.9465457830343653</v>
      </c>
      <c r="M3258" s="1">
        <v>0.12222557920847715</v>
      </c>
      <c r="N3258" s="1">
        <v>1.6040449699034611</v>
      </c>
      <c r="O3258" s="1">
        <v>0.11122114942528735</v>
      </c>
      <c r="P3258" s="1">
        <v>8.7931431525247933E-2</v>
      </c>
      <c r="Q3258" s="1">
        <v>3.4802518878309265</v>
      </c>
      <c r="R3258" s="2">
        <f t="shared" si="203"/>
        <v>132.05483871132398</v>
      </c>
      <c r="S3258" s="2">
        <f t="shared" si="202"/>
        <v>2.5168314226707862</v>
      </c>
      <c r="T3258" s="2">
        <f t="shared" si="204"/>
        <v>5.784037481571592</v>
      </c>
      <c r="U3258" s="2">
        <f t="shared" si="205"/>
        <v>140.35570761556636</v>
      </c>
    </row>
    <row r="3259" spans="1:21" x14ac:dyDescent="0.25">
      <c r="A3259">
        <v>4600353</v>
      </c>
      <c r="B3259">
        <v>7</v>
      </c>
      <c r="C3259" s="1">
        <f>4.31867806073093*(10.3/7.3)</f>
        <v>6.0934772637710433</v>
      </c>
      <c r="D3259" s="1">
        <f>5.68757140383969*(10.3/7.3)</f>
        <v>8.0249295150066811</v>
      </c>
      <c r="E3259" s="1">
        <f>19.9484524464108*(10.3/7.3)</f>
        <v>28.146446602470057</v>
      </c>
      <c r="F3259" s="1">
        <f>45.770863474984*(38.9/42.5)</f>
        <v>41.893802098279437</v>
      </c>
      <c r="G3259" s="1">
        <v>1.9777523203909091</v>
      </c>
      <c r="H3259" s="1">
        <v>9.7778194857607694</v>
      </c>
      <c r="I3259" s="1">
        <v>34.451684008306735</v>
      </c>
      <c r="J3259" s="1">
        <v>3.4172338372775481E-2</v>
      </c>
      <c r="K3259" s="1">
        <v>2.2826585670034341</v>
      </c>
      <c r="L3259" s="1">
        <v>4.3426364212214761</v>
      </c>
      <c r="M3259" s="1">
        <v>0.11747132712942281</v>
      </c>
      <c r="N3259" s="1">
        <v>1.638932266040942</v>
      </c>
      <c r="O3259" s="1">
        <v>0.10633904761904762</v>
      </c>
      <c r="P3259" s="1">
        <v>8.4361889563702178E-2</v>
      </c>
      <c r="Q3259" s="1">
        <v>3.1607913796201772</v>
      </c>
      <c r="R3259" s="2">
        <f t="shared" si="203"/>
        <v>133.52670267360583</v>
      </c>
      <c r="S3259" s="2">
        <f t="shared" si="202"/>
        <v>2.4011927949399117</v>
      </c>
      <c r="T3259" s="2">
        <f t="shared" si="204"/>
        <v>6.2053790620108886</v>
      </c>
      <c r="U3259" s="2">
        <f t="shared" si="205"/>
        <v>142.1332745305566</v>
      </c>
    </row>
    <row r="3260" spans="1:21" x14ac:dyDescent="0.25">
      <c r="A3260">
        <v>4600449</v>
      </c>
      <c r="B3260">
        <v>4</v>
      </c>
      <c r="C3260" s="1">
        <f>9.48332791902642*(10.3/7.3)</f>
        <v>13.380585967941393</v>
      </c>
      <c r="D3260" s="1">
        <f>10.4236271727712*(10.3/7.3)</f>
        <v>14.707309572540179</v>
      </c>
      <c r="E3260" s="1">
        <f>36.840238856646*(10.3/7.3)</f>
        <v>51.980063044308707</v>
      </c>
      <c r="F3260" s="1">
        <f>86.0641833790703*(38.9/42.5)</f>
        <v>78.774040786960825</v>
      </c>
      <c r="G3260" s="1">
        <v>3.6673410848386334</v>
      </c>
      <c r="H3260" s="1">
        <v>10.236814594620709</v>
      </c>
      <c r="I3260" s="1">
        <v>68.558416572808241</v>
      </c>
      <c r="J3260" s="1">
        <v>3.6606118813522874E-2</v>
      </c>
      <c r="K3260" s="1">
        <v>2.4745382710759105</v>
      </c>
      <c r="L3260" s="1">
        <v>2.9144910067314536</v>
      </c>
      <c r="M3260" s="1">
        <v>0.11882044049591578</v>
      </c>
      <c r="N3260" s="1">
        <v>1.5080778879335062</v>
      </c>
      <c r="O3260" s="1">
        <v>0.11334666666666665</v>
      </c>
      <c r="P3260" s="1">
        <v>8.5589572601574959E-2</v>
      </c>
      <c r="Q3260" s="1">
        <v>5.8610473958608358</v>
      </c>
      <c r="R3260" s="2">
        <f t="shared" si="203"/>
        <v>247.16561901987953</v>
      </c>
      <c r="S3260" s="2">
        <f t="shared" si="202"/>
        <v>2.5967339624910082</v>
      </c>
      <c r="T3260" s="2">
        <f t="shared" si="204"/>
        <v>4.6547360018275423</v>
      </c>
      <c r="U3260" s="2">
        <f t="shared" si="205"/>
        <v>254.41708898419807</v>
      </c>
    </row>
    <row r="3261" spans="1:21" x14ac:dyDescent="0.25">
      <c r="A3261">
        <v>4611877</v>
      </c>
      <c r="B3261">
        <v>36</v>
      </c>
      <c r="C3261" s="1">
        <f>0.748412432230227*(10.3/7.3)</f>
        <v>1.0559791852015536</v>
      </c>
      <c r="D3261" s="1">
        <f>1.04046324428075*(10.3/7.3)</f>
        <v>1.4680508789166726</v>
      </c>
      <c r="E3261" s="1">
        <f>3.61651948280904*(10.3/7.3)</f>
        <v>5.1027603661552225</v>
      </c>
      <c r="F3261" s="1">
        <f>9.54296622700984*(38.9/42.5)</f>
        <v>8.7346208524866569</v>
      </c>
      <c r="G3261" s="1">
        <v>0.46619949924545206</v>
      </c>
      <c r="H3261" s="1">
        <v>1.7893011367316118</v>
      </c>
      <c r="I3261" s="1">
        <v>7.2667086994734706</v>
      </c>
      <c r="J3261" s="1">
        <v>9.4458194572980173E-2</v>
      </c>
      <c r="K3261" s="1">
        <v>3.3814951838133647</v>
      </c>
      <c r="L3261" s="1">
        <v>2.6781020929365362</v>
      </c>
      <c r="M3261" s="1">
        <v>0.38002747154512423</v>
      </c>
      <c r="N3261" s="1">
        <v>1.9580058676897498</v>
      </c>
      <c r="O3261" s="1">
        <v>0.68127259259259254</v>
      </c>
      <c r="P3261" s="1">
        <v>0.29179808439266458</v>
      </c>
      <c r="Q3261" s="1">
        <v>0.74506769285802932</v>
      </c>
      <c r="R3261" s="2">
        <f t="shared" si="203"/>
        <v>26.628688311068672</v>
      </c>
      <c r="S3261" s="2">
        <f t="shared" si="202"/>
        <v>3.7677514627790094</v>
      </c>
      <c r="T3261" s="2">
        <f t="shared" si="204"/>
        <v>5.6974080247640027</v>
      </c>
      <c r="U3261" s="2">
        <f t="shared" si="205"/>
        <v>36.093847798611684</v>
      </c>
    </row>
    <row r="3262" spans="1:21" x14ac:dyDescent="0.25">
      <c r="A3262">
        <v>4611885</v>
      </c>
      <c r="B3262">
        <v>62</v>
      </c>
      <c r="C3262" s="1">
        <f>0.805275368599341*(10.3/7.3)</f>
        <v>1.1362104515853721</v>
      </c>
      <c r="D3262" s="1">
        <f>1.12764288038966*(10.3/7.3)</f>
        <v>1.5910577627415725</v>
      </c>
      <c r="E3262" s="1">
        <f>3.9170488936934*(10.3/7.3)</f>
        <v>5.5267950143893136</v>
      </c>
      <c r="F3262" s="1">
        <f>10.4047239569548*(38.9/42.5)</f>
        <v>9.523382633542143</v>
      </c>
      <c r="G3262" s="1">
        <v>0.51114444630947797</v>
      </c>
      <c r="H3262" s="1">
        <v>2.1157528263722867</v>
      </c>
      <c r="I3262" s="1">
        <v>7.9188213082364625</v>
      </c>
      <c r="J3262" s="1">
        <v>8.1390807552773281E-2</v>
      </c>
      <c r="K3262" s="1">
        <v>3.8428552463038432</v>
      </c>
      <c r="L3262" s="1">
        <v>2.9447986485741784</v>
      </c>
      <c r="M3262" s="1">
        <v>0.44500247257167136</v>
      </c>
      <c r="N3262" s="1">
        <v>2.118130625730414</v>
      </c>
      <c r="O3262" s="1">
        <v>0.81249892473118279</v>
      </c>
      <c r="P3262" s="1">
        <v>0.32744962460772553</v>
      </c>
      <c r="Q3262" s="1">
        <v>0.81689751693295631</v>
      </c>
      <c r="R3262" s="2">
        <f t="shared" si="203"/>
        <v>29.140061960109588</v>
      </c>
      <c r="S3262" s="2">
        <f t="shared" si="202"/>
        <v>4.2516956784643423</v>
      </c>
      <c r="T3262" s="2">
        <f t="shared" si="204"/>
        <v>6.3204306716074461</v>
      </c>
      <c r="U3262" s="2">
        <f t="shared" si="205"/>
        <v>39.712188310181375</v>
      </c>
    </row>
    <row r="3263" spans="1:21" x14ac:dyDescent="0.25">
      <c r="A3263">
        <v>4611893</v>
      </c>
      <c r="B3263">
        <v>29</v>
      </c>
      <c r="C3263" s="1">
        <f>0.836234249599215*(10.3/7.3)</f>
        <v>1.1798921603934127</v>
      </c>
      <c r="D3263" s="1">
        <f>1.18882230312755*(10.3/7.3)</f>
        <v>1.6773794140018825</v>
      </c>
      <c r="E3263" s="1">
        <f>4.12070449146796*(10.3/7.3)</f>
        <v>5.814144693441099</v>
      </c>
      <c r="F3263" s="1">
        <f>11.2706232842825*(38.9/42.5)</f>
        <v>10.31593519431976</v>
      </c>
      <c r="G3263" s="1">
        <v>0.56595861504679157</v>
      </c>
      <c r="H3263" s="1">
        <v>2.3696035141235399</v>
      </c>
      <c r="I3263" s="1">
        <v>8.5924744287607542</v>
      </c>
      <c r="J3263" s="1">
        <v>7.823267925868975E-2</v>
      </c>
      <c r="K3263" s="1">
        <v>3.9209481245093731</v>
      </c>
      <c r="L3263" s="1">
        <v>3.0429036456082317</v>
      </c>
      <c r="M3263" s="1">
        <v>0.46696391373462487</v>
      </c>
      <c r="N3263" s="1">
        <v>2.9784578076033474</v>
      </c>
      <c r="O3263" s="1">
        <v>0.79965057471264367</v>
      </c>
      <c r="P3263" s="1">
        <v>0.33353182749412225</v>
      </c>
      <c r="Q3263" s="1">
        <v>0.9045000697094856</v>
      </c>
      <c r="R3263" s="2">
        <f t="shared" si="203"/>
        <v>31.419888089796729</v>
      </c>
      <c r="S3263" s="2">
        <f t="shared" si="202"/>
        <v>4.3327126312621846</v>
      </c>
      <c r="T3263" s="2">
        <f t="shared" si="204"/>
        <v>7.2879759416588472</v>
      </c>
      <c r="U3263" s="2">
        <f t="shared" si="205"/>
        <v>43.040576662717761</v>
      </c>
    </row>
    <row r="3264" spans="1:21" x14ac:dyDescent="0.25">
      <c r="A3264">
        <v>4612045</v>
      </c>
      <c r="B3264">
        <v>19</v>
      </c>
      <c r="C3264" s="1">
        <f>1.53164162427035*(10.3/7.3)</f>
        <v>2.1610833876691307</v>
      </c>
      <c r="D3264" s="1">
        <f>2.41464175346061*(10.3/7.3)</f>
        <v>3.4069602822800396</v>
      </c>
      <c r="E3264" s="1">
        <f>8.17041595569321*(10.3/7.3)</f>
        <v>11.528121142964388</v>
      </c>
      <c r="F3264" s="1">
        <f>30.870197780974*(38.9/42.5)</f>
        <v>28.255310439526788</v>
      </c>
      <c r="G3264" s="1">
        <v>1.8507247909429421</v>
      </c>
      <c r="H3264" s="1">
        <v>13.919875603082101</v>
      </c>
      <c r="I3264" s="1">
        <v>24.286167644968128</v>
      </c>
      <c r="J3264" s="1">
        <v>4.1811189864548584E-2</v>
      </c>
      <c r="K3264" s="1">
        <v>3.1666923288075464</v>
      </c>
      <c r="L3264" s="1">
        <v>3.3753940390246937</v>
      </c>
      <c r="M3264" s="1">
        <v>0.65369720503715423</v>
      </c>
      <c r="N3264" s="1">
        <v>1.9154505552410932</v>
      </c>
      <c r="O3264" s="1">
        <v>0.35909333333333338</v>
      </c>
      <c r="P3264" s="1">
        <v>0.24237337378854446</v>
      </c>
      <c r="Q3264" s="1">
        <v>2.9577793462558466</v>
      </c>
      <c r="R3264" s="2">
        <f t="shared" si="203"/>
        <v>88.366022637689369</v>
      </c>
      <c r="S3264" s="2">
        <f t="shared" si="202"/>
        <v>3.4508768924606392</v>
      </c>
      <c r="T3264" s="2">
        <f t="shared" si="204"/>
        <v>6.3036351326362743</v>
      </c>
      <c r="U3264" s="2">
        <f t="shared" si="205"/>
        <v>98.120534662786284</v>
      </c>
    </row>
    <row r="3265" spans="1:21" x14ac:dyDescent="0.25">
      <c r="A3265">
        <v>4612053</v>
      </c>
      <c r="B3265">
        <v>4</v>
      </c>
      <c r="C3265" s="1">
        <f>1.59545740494079*(10.3/7.3)</f>
        <v>2.2511248316287795</v>
      </c>
      <c r="D3265" s="1">
        <f>2.68943487964268*(10.3/7.3)</f>
        <v>3.7946820904547405</v>
      </c>
      <c r="E3265" s="1">
        <f>9.05642076451024*(10.3/7.3)</f>
        <v>12.778237517048689</v>
      </c>
      <c r="F3265" s="1">
        <f>35.3950953831503*(38.9/42.5)</f>
        <v>32.396922597754056</v>
      </c>
      <c r="G3265" s="1">
        <v>2.1585059764260155</v>
      </c>
      <c r="H3265" s="1">
        <v>14.119078242769318</v>
      </c>
      <c r="I3265" s="1">
        <v>27.720093344884198</v>
      </c>
      <c r="J3265" s="1">
        <v>4.3533148947181868E-2</v>
      </c>
      <c r="K3265" s="1">
        <v>3.2981358609737006</v>
      </c>
      <c r="L3265" s="1">
        <v>3.5211527332240493</v>
      </c>
      <c r="M3265" s="1">
        <v>0.69047618592022997</v>
      </c>
      <c r="N3265" s="1">
        <v>1.987299475461672</v>
      </c>
      <c r="O3265" s="1">
        <v>0.36891999999999997</v>
      </c>
      <c r="P3265" s="1">
        <v>0.24959594523253775</v>
      </c>
      <c r="Q3265" s="1">
        <v>3.4496670856123566</v>
      </c>
      <c r="R3265" s="2">
        <f t="shared" si="203"/>
        <v>98.668311686578164</v>
      </c>
      <c r="S3265" s="2">
        <f t="shared" si="202"/>
        <v>3.5912649551534201</v>
      </c>
      <c r="T3265" s="2">
        <f t="shared" si="204"/>
        <v>6.5678483946059512</v>
      </c>
      <c r="U3265" s="2">
        <f t="shared" si="205"/>
        <v>108.82742503633753</v>
      </c>
    </row>
    <row r="3266" spans="1:21" x14ac:dyDescent="0.25">
      <c r="A3266">
        <v>4612421</v>
      </c>
      <c r="B3266">
        <v>55</v>
      </c>
      <c r="C3266" s="1">
        <f>12.4537157971725*(10.3/7.3)</f>
        <v>17.571681193270855</v>
      </c>
      <c r="D3266" s="1">
        <f>19.2031484969323*(10.3/7.3)</f>
        <v>27.094853358685324</v>
      </c>
      <c r="E3266" s="1">
        <f>67.453589087414*(10.3/7.3)</f>
        <v>95.174242137036202</v>
      </c>
      <c r="F3266" s="1">
        <f>128.235435906696*(38.9/42.5)</f>
        <v>117.37314015930534</v>
      </c>
      <c r="G3266" s="1">
        <v>4.6128436134777848</v>
      </c>
      <c r="H3266" s="1">
        <v>6.5527217520856178</v>
      </c>
      <c r="I3266" s="1">
        <v>87.898935412820094</v>
      </c>
      <c r="J3266" s="1">
        <v>5.9411950323705637E-2</v>
      </c>
      <c r="K3266" s="1">
        <v>3.4443910399009581</v>
      </c>
      <c r="L3266" s="1">
        <v>5.5701515252505107</v>
      </c>
      <c r="M3266" s="1">
        <v>0.26847740439689138</v>
      </c>
      <c r="N3266" s="1">
        <v>2.7286747370894955</v>
      </c>
      <c r="O3266" s="1">
        <v>0.21844072727272729</v>
      </c>
      <c r="P3266" s="1">
        <v>0.15002463791458368</v>
      </c>
      <c r="Q3266" s="1">
        <v>7.3721244964256902</v>
      </c>
      <c r="R3266" s="2">
        <f t="shared" si="203"/>
        <v>363.65054212310685</v>
      </c>
      <c r="S3266" s="2">
        <f t="shared" si="202"/>
        <v>3.6538276281392474</v>
      </c>
      <c r="T3266" s="2">
        <f t="shared" si="204"/>
        <v>8.7857443940096243</v>
      </c>
      <c r="U3266" s="2">
        <f t="shared" si="205"/>
        <v>376.09011414525571</v>
      </c>
    </row>
    <row r="3267" spans="1:21" x14ac:dyDescent="0.25">
      <c r="A3267">
        <v>4612429</v>
      </c>
      <c r="B3267">
        <v>55</v>
      </c>
      <c r="C3267" s="1">
        <f>7.89501261034782*(10.3/7.3)</f>
        <v>11.139538340627745</v>
      </c>
      <c r="D3267" s="1">
        <f>11.6878061951927*(10.3/7.3)</f>
        <v>16.491014220614407</v>
      </c>
      <c r="E3267" s="1">
        <f>41.1666465604518*(10.3/7.3)</f>
        <v>58.084446516801911</v>
      </c>
      <c r="F3267" s="1">
        <f>75.8072273415307*(38.9/42.5)</f>
        <v>69.385909260836314</v>
      </c>
      <c r="G3267" s="1">
        <v>2.5857690627862717</v>
      </c>
      <c r="H3267" s="1">
        <v>4.9986864184432944</v>
      </c>
      <c r="I3267" s="1">
        <v>52.16876204950276</v>
      </c>
      <c r="J3267" s="1">
        <v>4.7704874008380908E-2</v>
      </c>
      <c r="K3267" s="1">
        <v>2.9869974680071447</v>
      </c>
      <c r="L3267" s="1">
        <v>4.5808571873416408</v>
      </c>
      <c r="M3267" s="1">
        <v>0.22499645803819909</v>
      </c>
      <c r="N3267" s="1">
        <v>2.4292173747449923</v>
      </c>
      <c r="O3267" s="1">
        <v>0.18600533333333336</v>
      </c>
      <c r="P3267" s="1">
        <v>0.1336978467525391</v>
      </c>
      <c r="Q3267" s="1">
        <v>4.1325076345899356</v>
      </c>
      <c r="R3267" s="2">
        <f t="shared" si="203"/>
        <v>218.98663350420264</v>
      </c>
      <c r="S3267" s="2">
        <f t="shared" si="202"/>
        <v>3.1684001887680644</v>
      </c>
      <c r="T3267" s="2">
        <f t="shared" si="204"/>
        <v>7.4210763534581661</v>
      </c>
      <c r="U3267" s="2">
        <f t="shared" si="205"/>
        <v>229.57611004642888</v>
      </c>
    </row>
    <row r="3268" spans="1:21" x14ac:dyDescent="0.25">
      <c r="A3268">
        <v>4612437</v>
      </c>
      <c r="B3268">
        <v>55</v>
      </c>
      <c r="C3268" s="1">
        <f>8.81716676804231*(10.3/7.3)</f>
        <v>12.440659960388471</v>
      </c>
      <c r="D3268" s="1">
        <f>12.9076995912591*(10.3/7.3)</f>
        <v>18.212233669858769</v>
      </c>
      <c r="E3268" s="1">
        <f>45.4643122175814*(10.3/7.3)</f>
        <v>64.148276142614833</v>
      </c>
      <c r="F3268" s="1">
        <f>84.6598110326937*(38.9/42.5)</f>
        <v>77.488627039336151</v>
      </c>
      <c r="G3268" s="1">
        <v>2.9274351714083466</v>
      </c>
      <c r="H3268" s="1">
        <v>5.7293792355663733</v>
      </c>
      <c r="I3268" s="1">
        <v>58.678433290623474</v>
      </c>
      <c r="J3268" s="1">
        <v>5.5835006705529745E-2</v>
      </c>
      <c r="K3268" s="1">
        <v>3.4069766431002657</v>
      </c>
      <c r="L3268" s="1">
        <v>5.4213939936401667</v>
      </c>
      <c r="M3268" s="1">
        <v>0.25691896854971152</v>
      </c>
      <c r="N3268" s="1">
        <v>2.6459082915345635</v>
      </c>
      <c r="O3268" s="1">
        <v>0.21326545454545459</v>
      </c>
      <c r="P3268" s="1">
        <v>0.14667834888680834</v>
      </c>
      <c r="Q3268" s="1">
        <v>4.6785493606982751</v>
      </c>
      <c r="R3268" s="2">
        <f t="shared" si="203"/>
        <v>244.30359387049469</v>
      </c>
      <c r="S3268" s="2">
        <f t="shared" si="202"/>
        <v>3.6094899986926037</v>
      </c>
      <c r="T3268" s="2">
        <f t="shared" si="204"/>
        <v>8.5374867082698973</v>
      </c>
      <c r="U3268" s="2">
        <f t="shared" si="205"/>
        <v>256.4505705774572</v>
      </c>
    </row>
    <row r="3269" spans="1:21" x14ac:dyDescent="0.25">
      <c r="A3269">
        <v>4612445</v>
      </c>
      <c r="B3269">
        <v>55</v>
      </c>
      <c r="C3269" s="1">
        <f>9.81535845248247*(10.3/7.3)</f>
        <v>13.849067405557454</v>
      </c>
      <c r="D3269" s="1">
        <f>14.2105269817198*(10.3/7.3)</f>
        <v>20.050469576947169</v>
      </c>
      <c r="E3269" s="1">
        <f>50.0468461165572*(10.3/7.3)</f>
        <v>70.614043150758832</v>
      </c>
      <c r="F3269" s="1">
        <f>94.6027137589668*(38.9/42.5)</f>
        <v>86.589307417030781</v>
      </c>
      <c r="G3269" s="1">
        <v>3.3330880812340529</v>
      </c>
      <c r="H3269" s="1">
        <v>6.4227556609089271</v>
      </c>
      <c r="I3269" s="1">
        <v>66.100918194705713</v>
      </c>
      <c r="J3269" s="1">
        <v>6.4651149726481935E-2</v>
      </c>
      <c r="K3269" s="1">
        <v>3.8229831291799949</v>
      </c>
      <c r="L3269" s="1">
        <v>6.3962930394126456</v>
      </c>
      <c r="M3269" s="1">
        <v>0.28843506054273294</v>
      </c>
      <c r="N3269" s="1">
        <v>2.9723240263524762</v>
      </c>
      <c r="O3269" s="1">
        <v>0.23556363636363642</v>
      </c>
      <c r="P3269" s="1">
        <v>0.15869829457877851</v>
      </c>
      <c r="Q3269" s="1">
        <v>5.3268530978626485</v>
      </c>
      <c r="R3269" s="2">
        <f t="shared" si="203"/>
        <v>272.28650258500551</v>
      </c>
      <c r="S3269" s="2">
        <f t="shared" si="202"/>
        <v>4.0463325734852553</v>
      </c>
      <c r="T3269" s="2">
        <f t="shared" si="204"/>
        <v>9.8926157626714915</v>
      </c>
      <c r="U3269" s="2">
        <f t="shared" si="205"/>
        <v>286.22545092116223</v>
      </c>
    </row>
    <row r="3270" spans="1:21" x14ac:dyDescent="0.25">
      <c r="A3270">
        <v>4612453</v>
      </c>
      <c r="B3270">
        <v>55</v>
      </c>
      <c r="C3270" s="1">
        <f>8.76480949962602*(10.3/7.3)</f>
        <v>12.366786006321645</v>
      </c>
      <c r="D3270" s="1">
        <f>12.4988217622302*(10.3/7.3)</f>
        <v>17.635323856297418</v>
      </c>
      <c r="E3270" s="1">
        <f>44.0246879291605*(10.3/7.3)</f>
        <v>62.117025434294945</v>
      </c>
      <c r="F3270" s="1">
        <f>84.2351210689334*(38.9/42.5)</f>
        <v>77.099910813682527</v>
      </c>
      <c r="G3270" s="1">
        <v>3.0077893281637604</v>
      </c>
      <c r="H3270" s="1">
        <v>6.2883311464916831</v>
      </c>
      <c r="I3270" s="1">
        <v>59.356239101332619</v>
      </c>
      <c r="J3270" s="1">
        <v>6.2126366341777831E-2</v>
      </c>
      <c r="K3270" s="1">
        <v>3.6810244060436612</v>
      </c>
      <c r="L3270" s="1">
        <v>6.0241861867958102</v>
      </c>
      <c r="M3270" s="1">
        <v>0.27130459564312898</v>
      </c>
      <c r="N3270" s="1">
        <v>2.8762147667371782</v>
      </c>
      <c r="O3270" s="1">
        <v>0.2241997575757575</v>
      </c>
      <c r="P3270" s="1">
        <v>0.15206190294125246</v>
      </c>
      <c r="Q3270" s="1">
        <v>4.806969245923824</v>
      </c>
      <c r="R3270" s="2">
        <f t="shared" si="203"/>
        <v>242.67837493250843</v>
      </c>
      <c r="S3270" s="2">
        <f t="shared" si="202"/>
        <v>3.8952126753266918</v>
      </c>
      <c r="T3270" s="2">
        <f t="shared" si="204"/>
        <v>9.3959053067518745</v>
      </c>
      <c r="U3270" s="2">
        <f t="shared" si="205"/>
        <v>255.96949291458699</v>
      </c>
    </row>
    <row r="3271" spans="1:21" x14ac:dyDescent="0.25">
      <c r="A3271">
        <v>4612461</v>
      </c>
      <c r="B3271">
        <v>33</v>
      </c>
      <c r="C3271" s="1">
        <f>7.02912622244511*(10.3/7.3)</f>
        <v>9.9178082316691309</v>
      </c>
      <c r="D3271" s="1">
        <f>9.90378324538603*(10.3/7.3)</f>
        <v>13.973831154448776</v>
      </c>
      <c r="E3271" s="1">
        <f>34.8881560757697*(10.3/7.3)</f>
        <v>49.225754463072299</v>
      </c>
      <c r="F3271" s="1">
        <f>67.3987806093471*(38.9/42.5)</f>
        <v>61.689707428320091</v>
      </c>
      <c r="G3271" s="1">
        <v>2.4316610138304919</v>
      </c>
      <c r="H3271" s="1">
        <v>8.8728729916115849</v>
      </c>
      <c r="I3271" s="1">
        <v>47.806755100117499</v>
      </c>
      <c r="J3271" s="1">
        <v>5.8521751891827616E-2</v>
      </c>
      <c r="K3271" s="1">
        <v>3.2513486657912654</v>
      </c>
      <c r="L3271" s="1">
        <v>4.9812790744243571</v>
      </c>
      <c r="M3271" s="1">
        <v>0.23111284735407284</v>
      </c>
      <c r="N3271" s="1">
        <v>2.4948721230890136</v>
      </c>
      <c r="O3271" s="1">
        <v>0.19526464646464645</v>
      </c>
      <c r="P3271" s="1">
        <v>0.13549471150775211</v>
      </c>
      <c r="Q3271" s="1">
        <v>3.8862162321491924</v>
      </c>
      <c r="R3271" s="2">
        <f t="shared" si="203"/>
        <v>197.80460661521906</v>
      </c>
      <c r="S3271" s="2">
        <f t="shared" si="202"/>
        <v>3.4453651291908454</v>
      </c>
      <c r="T3271" s="2">
        <f t="shared" si="204"/>
        <v>7.9025286913320896</v>
      </c>
      <c r="U3271" s="2">
        <f t="shared" si="205"/>
        <v>209.15250043574198</v>
      </c>
    </row>
    <row r="3272" spans="1:21" x14ac:dyDescent="0.25">
      <c r="A3272">
        <v>4612469</v>
      </c>
      <c r="B3272">
        <v>51</v>
      </c>
      <c r="C3272" s="1">
        <f>7.37386517540393*(10.3/7.3)</f>
        <v>10.404220726939796</v>
      </c>
      <c r="D3272" s="1">
        <f>10.2320768868441*(10.3/7.3)</f>
        <v>14.4370399910266</v>
      </c>
      <c r="E3272" s="1">
        <f>36.04333040805*(10.3/7.3)</f>
        <v>50.855657973002003</v>
      </c>
      <c r="F3272" s="1">
        <f>70.8207989510138*(38.9/42.5)</f>
        <v>64.821860686927934</v>
      </c>
      <c r="G3272" s="1">
        <v>2.6040692573294577</v>
      </c>
      <c r="H3272" s="1">
        <v>9.7652581977657693</v>
      </c>
      <c r="I3272" s="1">
        <v>50.709471014368674</v>
      </c>
      <c r="J3272" s="1">
        <v>5.7138316194113206E-2</v>
      </c>
      <c r="K3272" s="1">
        <v>3.4538930675166237</v>
      </c>
      <c r="L3272" s="1">
        <v>5.4126199843699139</v>
      </c>
      <c r="M3272" s="1">
        <v>0.24407683657469917</v>
      </c>
      <c r="N3272" s="1">
        <v>2.779886518199961</v>
      </c>
      <c r="O3272" s="1">
        <v>0.2037877124183006</v>
      </c>
      <c r="P3272" s="1">
        <v>0.14035604849290617</v>
      </c>
      <c r="Q3272" s="1">
        <v>4.161754520846169</v>
      </c>
      <c r="R3272" s="2">
        <f t="shared" si="203"/>
        <v>207.7593323682064</v>
      </c>
      <c r="S3272" s="2">
        <f t="shared" si="202"/>
        <v>3.6513874322036433</v>
      </c>
      <c r="T3272" s="2">
        <f t="shared" si="204"/>
        <v>8.6403710515628749</v>
      </c>
      <c r="U3272" s="2">
        <f t="shared" si="205"/>
        <v>220.05109085197293</v>
      </c>
    </row>
    <row r="3273" spans="1:21" x14ac:dyDescent="0.25">
      <c r="A3273">
        <v>4612477</v>
      </c>
      <c r="B3273">
        <v>43</v>
      </c>
      <c r="C3273" s="1">
        <f>8.27391021649057*(10.3/7.3)</f>
        <v>11.67414729176067</v>
      </c>
      <c r="D3273" s="1">
        <f>11.2864870803747*(10.3/7.3)</f>
        <v>15.924769442172485</v>
      </c>
      <c r="E3273" s="1">
        <f>39.7675630177811*(10.3/7.3)</f>
        <v>56.110397134677484</v>
      </c>
      <c r="F3273" s="1">
        <f>79.0453725056574*(38.9/42.5)</f>
        <v>72.349764481648748</v>
      </c>
      <c r="G3273" s="1">
        <v>2.9391328152131853</v>
      </c>
      <c r="H3273" s="1">
        <v>6.3278930837144873</v>
      </c>
      <c r="I3273" s="1">
        <v>57.079754785240354</v>
      </c>
      <c r="J3273" s="1">
        <v>6.1977023511188674E-2</v>
      </c>
      <c r="K3273" s="1">
        <v>3.7313977154995701</v>
      </c>
      <c r="L3273" s="1">
        <v>6.0139072706792369</v>
      </c>
      <c r="M3273" s="1">
        <v>0.26006980100613336</v>
      </c>
      <c r="N3273" s="1">
        <v>3.1283367743805215</v>
      </c>
      <c r="O3273" s="1">
        <v>0.21505488372093023</v>
      </c>
      <c r="P3273" s="1">
        <v>0.14674889253023859</v>
      </c>
      <c r="Q3273" s="1">
        <v>4.697244225226556</v>
      </c>
      <c r="R3273" s="2">
        <f t="shared" si="203"/>
        <v>227.10310325965398</v>
      </c>
      <c r="S3273" s="2">
        <f t="shared" ref="S3273:S3336" si="206">J3273+K3273+P3273</f>
        <v>3.9401236315409975</v>
      </c>
      <c r="T3273" s="2">
        <f t="shared" si="204"/>
        <v>9.6173687297868202</v>
      </c>
      <c r="U3273" s="2">
        <f t="shared" si="205"/>
        <v>240.66059562098178</v>
      </c>
    </row>
    <row r="3274" spans="1:21" x14ac:dyDescent="0.25">
      <c r="A3274">
        <v>4612485</v>
      </c>
      <c r="B3274">
        <v>54</v>
      </c>
      <c r="C3274" s="1">
        <f>7.6548734950164*(10.3/7.3)</f>
        <v>10.800711917625877</v>
      </c>
      <c r="D3274" s="1">
        <f>10.3081402818581*(10.3/7.3)</f>
        <v>14.544362315498354</v>
      </c>
      <c r="E3274" s="1">
        <f>36.3219937738232*(10.3/7.3)</f>
        <v>51.248840530188865</v>
      </c>
      <c r="F3274" s="1">
        <f>73.1036796662538*(38.9/42.5)</f>
        <v>66.911367976876988</v>
      </c>
      <c r="G3274" s="1">
        <v>2.7535458369585171</v>
      </c>
      <c r="H3274" s="1">
        <v>5.9177142528208133</v>
      </c>
      <c r="I3274" s="1">
        <v>53.169451025561592</v>
      </c>
      <c r="J3274" s="1">
        <v>5.9271741727636287E-2</v>
      </c>
      <c r="K3274" s="1">
        <v>3.6236214723699209</v>
      </c>
      <c r="L3274" s="1">
        <v>5.6805020703554883</v>
      </c>
      <c r="M3274" s="1">
        <v>0.24741849527637111</v>
      </c>
      <c r="N3274" s="1">
        <v>3.7192705363081253</v>
      </c>
      <c r="O3274" s="1">
        <v>0.20468444444444445</v>
      </c>
      <c r="P3274" s="1">
        <v>0.14083588661959937</v>
      </c>
      <c r="Q3274" s="1">
        <v>4.4006440316688673</v>
      </c>
      <c r="R3274" s="2">
        <f t="shared" ref="R3274:R3337" si="207">C3274+D3274+E3274+F3274+G3274+H3274+I3274+Q3274</f>
        <v>209.74663788719985</v>
      </c>
      <c r="S3274" s="2">
        <f t="shared" si="206"/>
        <v>3.823729100717157</v>
      </c>
      <c r="T3274" s="2">
        <f t="shared" ref="T3274:T3337" si="208">L3274+M3274+N3274+O3274</f>
        <v>9.851875546384429</v>
      </c>
      <c r="U3274" s="2">
        <f t="shared" ref="U3274:U3337" si="209">R3274+S3274+T3274</f>
        <v>223.42224253430143</v>
      </c>
    </row>
    <row r="3275" spans="1:21" x14ac:dyDescent="0.25">
      <c r="A3275">
        <v>4612493</v>
      </c>
      <c r="B3275">
        <v>55</v>
      </c>
      <c r="C3275" s="1">
        <f>8.15122286713462*(10.3/7.3)</f>
        <v>11.501040483765287</v>
      </c>
      <c r="D3275" s="1">
        <f>10.7841673398683*(10.3/7.3)</f>
        <v>15.216016931594949</v>
      </c>
      <c r="E3275" s="1">
        <f>38.0019991388017*(10.3/7.3)</f>
        <v>53.619259058857246</v>
      </c>
      <c r="F3275" s="1">
        <f>77.7878940173001*(38.9/42.5)</f>
        <v>71.198801818187604</v>
      </c>
      <c r="G3275" s="1">
        <v>2.979990184348158</v>
      </c>
      <c r="H3275" s="1">
        <v>6.114208342946224</v>
      </c>
      <c r="I3275" s="1">
        <v>57.119978170325687</v>
      </c>
      <c r="J3275" s="1">
        <v>6.2781054106937004E-2</v>
      </c>
      <c r="K3275" s="1">
        <v>3.7902970052840788</v>
      </c>
      <c r="L3275" s="1">
        <v>6.0018181087603164</v>
      </c>
      <c r="M3275" s="1">
        <v>0.24597403947439228</v>
      </c>
      <c r="N3275" s="1">
        <v>3.2110035362173726</v>
      </c>
      <c r="O3275" s="1">
        <v>0.20847127272727284</v>
      </c>
      <c r="P3275" s="1">
        <v>0.14304607630132579</v>
      </c>
      <c r="Q3275" s="1">
        <v>4.7625413905107603</v>
      </c>
      <c r="R3275" s="2">
        <f t="shared" si="207"/>
        <v>222.51183638053593</v>
      </c>
      <c r="S3275" s="2">
        <f t="shared" si="206"/>
        <v>3.9961241356923414</v>
      </c>
      <c r="T3275" s="2">
        <f t="shared" si="208"/>
        <v>9.6672669571793541</v>
      </c>
      <c r="U3275" s="2">
        <f t="shared" si="209"/>
        <v>236.17522747340763</v>
      </c>
    </row>
    <row r="3276" spans="1:21" x14ac:dyDescent="0.25">
      <c r="A3276">
        <v>4612501</v>
      </c>
      <c r="B3276">
        <v>47</v>
      </c>
      <c r="C3276" s="1">
        <f>8.37633092503818*(10.3/7.3)</f>
        <v>11.818658702451133</v>
      </c>
      <c r="D3276" s="1">
        <f>10.9610555690826*(10.3/7.3)</f>
        <v>15.465598953637102</v>
      </c>
      <c r="E3276" s="1">
        <f>38.6110982078093*(10.3/7.3)</f>
        <v>54.478672813758287</v>
      </c>
      <c r="F3276" s="1">
        <f>80.673518513263*(38.9/42.5)</f>
        <v>73.839996945080756</v>
      </c>
      <c r="G3276" s="1">
        <v>3.1588087217180734</v>
      </c>
      <c r="H3276" s="1">
        <v>8.0816035740207379</v>
      </c>
      <c r="I3276" s="1">
        <v>59.710908654092776</v>
      </c>
      <c r="J3276" s="1">
        <v>6.4601061865960596E-2</v>
      </c>
      <c r="K3276" s="1">
        <v>3.8763244107606587</v>
      </c>
      <c r="L3276" s="1">
        <v>6.0614689050699511</v>
      </c>
      <c r="M3276" s="1">
        <v>0.23686337416520375</v>
      </c>
      <c r="N3276" s="1">
        <v>3.0715303073973366</v>
      </c>
      <c r="O3276" s="1">
        <v>0.20719659574468091</v>
      </c>
      <c r="P3276" s="1">
        <v>0.14230988418052351</v>
      </c>
      <c r="Q3276" s="1">
        <v>5.0483244411019497</v>
      </c>
      <c r="R3276" s="2">
        <f t="shared" si="207"/>
        <v>231.6025728058608</v>
      </c>
      <c r="S3276" s="2">
        <f t="shared" si="206"/>
        <v>4.0832353568071431</v>
      </c>
      <c r="T3276" s="2">
        <f t="shared" si="208"/>
        <v>9.5770591823771731</v>
      </c>
      <c r="U3276" s="2">
        <f t="shared" si="209"/>
        <v>245.26286734504512</v>
      </c>
    </row>
    <row r="3277" spans="1:21" x14ac:dyDescent="0.25">
      <c r="A3277">
        <v>4612509</v>
      </c>
      <c r="B3277">
        <v>3</v>
      </c>
      <c r="C3277" s="1">
        <f>5.86683831361861*(10.3/7.3)</f>
        <v>8.2778677575714692</v>
      </c>
      <c r="D3277" s="1">
        <f>7.7099941679036*(10.3/7.3)</f>
        <v>10.878484921836584</v>
      </c>
      <c r="E3277" s="1">
        <f>27.1287332411851*(10.3/7.3)</f>
        <v>38.277527723863976</v>
      </c>
      <c r="F3277" s="1">
        <f>57.9606903020562*(38.9/42.5)</f>
        <v>53.051078888234976</v>
      </c>
      <c r="G3277" s="1">
        <v>2.3286578704295242</v>
      </c>
      <c r="H3277" s="1">
        <v>8.2017683243748092</v>
      </c>
      <c r="I3277" s="1">
        <v>43.042094839463722</v>
      </c>
      <c r="J3277" s="1">
        <v>5.1818004283150733E-2</v>
      </c>
      <c r="K3277" s="1">
        <v>3.2073735699480426</v>
      </c>
      <c r="L3277" s="1">
        <v>4.4652223882967954</v>
      </c>
      <c r="M3277" s="1">
        <v>0.18997141953991867</v>
      </c>
      <c r="N3277" s="1">
        <v>2.4290797537834727</v>
      </c>
      <c r="O3277" s="1">
        <v>0.16833777777777778</v>
      </c>
      <c r="P3277" s="1">
        <v>0.12013259920901424</v>
      </c>
      <c r="Q3277" s="1">
        <v>3.7215993363028965</v>
      </c>
      <c r="R3277" s="2">
        <f t="shared" si="207"/>
        <v>167.77907966207795</v>
      </c>
      <c r="S3277" s="2">
        <f t="shared" si="206"/>
        <v>3.3793241734402075</v>
      </c>
      <c r="T3277" s="2">
        <f t="shared" si="208"/>
        <v>7.2526113393979639</v>
      </c>
      <c r="U3277" s="2">
        <f t="shared" si="209"/>
        <v>178.41101517491612</v>
      </c>
    </row>
    <row r="3278" spans="1:21" x14ac:dyDescent="0.25">
      <c r="A3278">
        <v>4612549</v>
      </c>
      <c r="B3278">
        <v>17</v>
      </c>
      <c r="C3278" s="1">
        <f>5.84856374836714*(10.3/7.3)</f>
        <v>8.2520830970111678</v>
      </c>
      <c r="D3278" s="1">
        <f>7.33287213054174*(10.3/7.3)</f>
        <v>10.346381225284928</v>
      </c>
      <c r="E3278" s="1">
        <f>25.7370937683807*(10.3/7.3)</f>
        <v>36.31398161840017</v>
      </c>
      <c r="F3278" s="1">
        <f>60.964766932465*(38.9/42.5)</f>
        <v>55.800692557009171</v>
      </c>
      <c r="G3278" s="1">
        <v>2.6919038414183141</v>
      </c>
      <c r="H3278" s="1">
        <v>12.386135653405379</v>
      </c>
      <c r="I3278" s="1">
        <v>46.798268002415355</v>
      </c>
      <c r="J3278" s="1">
        <v>4.8659063886012155E-2</v>
      </c>
      <c r="K3278" s="1">
        <v>3.3649569269034747</v>
      </c>
      <c r="L3278" s="1">
        <v>4.2833491605082425</v>
      </c>
      <c r="M3278" s="1">
        <v>0.16665979557667501</v>
      </c>
      <c r="N3278" s="1">
        <v>2.4838324013076045</v>
      </c>
      <c r="O3278" s="1">
        <v>0.15051294117647057</v>
      </c>
      <c r="P3278" s="1">
        <v>0.11027725266926187</v>
      </c>
      <c r="Q3278" s="1">
        <v>4.3021294269242496</v>
      </c>
      <c r="R3278" s="2">
        <f t="shared" si="207"/>
        <v>176.89157542186871</v>
      </c>
      <c r="S3278" s="2">
        <f t="shared" si="206"/>
        <v>3.5238932434587489</v>
      </c>
      <c r="T3278" s="2">
        <f t="shared" si="208"/>
        <v>7.0843542985689929</v>
      </c>
      <c r="U3278" s="2">
        <f t="shared" si="209"/>
        <v>187.49982296389646</v>
      </c>
    </row>
    <row r="3279" spans="1:21" x14ac:dyDescent="0.25">
      <c r="A3279">
        <v>4612573</v>
      </c>
      <c r="B3279">
        <v>21</v>
      </c>
      <c r="C3279" s="1">
        <f>3.93009698754237*(10.3/7.3)</f>
        <v>5.5452053385871789</v>
      </c>
      <c r="D3279" s="1">
        <f>4.94357065781856*(10.3/7.3)</f>
        <v>6.9751750377439894</v>
      </c>
      <c r="E3279" s="1">
        <f>17.3669666271397*(10.3/7.3)</f>
        <v>24.504076199936893</v>
      </c>
      <c r="F3279" s="1">
        <f>40.2007213717578*(38.9/42.5)</f>
        <v>36.795483796738296</v>
      </c>
      <c r="G3279" s="1">
        <v>1.7386378803529472</v>
      </c>
      <c r="H3279" s="1">
        <v>9.1688651803313199</v>
      </c>
      <c r="I3279" s="1">
        <v>30.709623504668063</v>
      </c>
      <c r="J3279" s="1">
        <v>3.6683506767761678E-2</v>
      </c>
      <c r="K3279" s="1">
        <v>2.3124666190890109</v>
      </c>
      <c r="L3279" s="1">
        <v>4.1306008712649671</v>
      </c>
      <c r="M3279" s="1">
        <v>0.11947612976295256</v>
      </c>
      <c r="N3279" s="1">
        <v>1.9121674273582716</v>
      </c>
      <c r="O3279" s="1">
        <v>0.10828952380952384</v>
      </c>
      <c r="P3279" s="1">
        <v>8.6061236810899555E-2</v>
      </c>
      <c r="Q3279" s="1">
        <v>2.7786450142627039</v>
      </c>
      <c r="R3279" s="2">
        <f t="shared" si="207"/>
        <v>118.2157119526214</v>
      </c>
      <c r="S3279" s="2">
        <f t="shared" si="206"/>
        <v>2.4352113626676721</v>
      </c>
      <c r="T3279" s="2">
        <f t="shared" si="208"/>
        <v>6.2705339521957155</v>
      </c>
      <c r="U3279" s="2">
        <f t="shared" si="209"/>
        <v>126.9214572674848</v>
      </c>
    </row>
    <row r="3280" spans="1:21" x14ac:dyDescent="0.25">
      <c r="A3280">
        <v>4612581</v>
      </c>
      <c r="B3280">
        <v>19</v>
      </c>
      <c r="C3280" s="1">
        <f>4.27327279475995*(10.3/7.3)</f>
        <v>6.0294122994558261</v>
      </c>
      <c r="D3280" s="1">
        <f>5.55354910562157*(10.3/7.3)</f>
        <v>7.8358295599866024</v>
      </c>
      <c r="E3280" s="1">
        <f>19.4882177658156*(10.3/7.3)</f>
        <v>27.497074381904216</v>
      </c>
      <c r="F3280" s="1">
        <f>44.7829055689719*(38.9/42.5)</f>
        <v>40.98953003842373</v>
      </c>
      <c r="G3280" s="1">
        <v>1.9337371926970119</v>
      </c>
      <c r="H3280" s="1">
        <v>9.5219480549488686</v>
      </c>
      <c r="I3280" s="1">
        <v>33.845642252327686</v>
      </c>
      <c r="J3280" s="1">
        <v>3.5802813344327382E-2</v>
      </c>
      <c r="K3280" s="1">
        <v>2.3189725964124199</v>
      </c>
      <c r="L3280" s="1">
        <v>4.3564557145430962</v>
      </c>
      <c r="M3280" s="1">
        <v>0.11969667940719309</v>
      </c>
      <c r="N3280" s="1">
        <v>1.5736036015953048</v>
      </c>
      <c r="O3280" s="1">
        <v>0.10874385964912277</v>
      </c>
      <c r="P3280" s="1">
        <v>8.5607584542245804E-2</v>
      </c>
      <c r="Q3280" s="1">
        <v>3.0904475682372365</v>
      </c>
      <c r="R3280" s="2">
        <f t="shared" si="207"/>
        <v>130.74362134798116</v>
      </c>
      <c r="S3280" s="2">
        <f t="shared" si="206"/>
        <v>2.440382994298993</v>
      </c>
      <c r="T3280" s="2">
        <f t="shared" si="208"/>
        <v>6.1584998551947168</v>
      </c>
      <c r="U3280" s="2">
        <f t="shared" si="209"/>
        <v>139.34250419747488</v>
      </c>
    </row>
    <row r="3281" spans="1:21" x14ac:dyDescent="0.25">
      <c r="A3281">
        <v>4612677</v>
      </c>
      <c r="B3281">
        <v>18</v>
      </c>
      <c r="C3281" s="1">
        <f>8.98170151573105*(10.3/7.3)</f>
        <v>12.672811727675324</v>
      </c>
      <c r="D3281" s="1">
        <f>9.35484507903652*(10.3/7.3)</f>
        <v>13.199301960832354</v>
      </c>
      <c r="E3281" s="1">
        <f>33.191232244039*(10.3/7.3)</f>
        <v>46.831464673096143</v>
      </c>
      <c r="F3281" s="1">
        <f>75.753393897884*(38.9/42.5)</f>
        <v>69.336635826533865</v>
      </c>
      <c r="G3281" s="1">
        <v>3.1201368855209912</v>
      </c>
      <c r="H3281" s="1">
        <v>9.9352433178928425</v>
      </c>
      <c r="I3281" s="1">
        <v>61.223188811635687</v>
      </c>
      <c r="J3281" s="1">
        <v>3.6234602751224206E-2</v>
      </c>
      <c r="K3281" s="1">
        <v>2.4273014247217564</v>
      </c>
      <c r="L3281" s="1">
        <v>2.8901439100820916</v>
      </c>
      <c r="M3281" s="1">
        <v>0.11753923952007164</v>
      </c>
      <c r="N3281" s="1">
        <v>1.5023278635558548</v>
      </c>
      <c r="O3281" s="1">
        <v>0.11139851851851852</v>
      </c>
      <c r="P3281" s="1">
        <v>8.5236090517545229E-2</v>
      </c>
      <c r="Q3281" s="1">
        <v>4.9865201366773864</v>
      </c>
      <c r="R3281" s="2">
        <f t="shared" si="207"/>
        <v>221.30530333986459</v>
      </c>
      <c r="S3281" s="2">
        <f t="shared" si="206"/>
        <v>2.5487721179905258</v>
      </c>
      <c r="T3281" s="2">
        <f t="shared" si="208"/>
        <v>4.6214095316765365</v>
      </c>
      <c r="U3281" s="2">
        <f t="shared" si="209"/>
        <v>228.47548498953165</v>
      </c>
    </row>
    <row r="3282" spans="1:21" x14ac:dyDescent="0.25">
      <c r="A3282">
        <v>4624105</v>
      </c>
      <c r="B3282">
        <v>12</v>
      </c>
      <c r="C3282" s="1">
        <f>0.636802217046202*(10.3/7.3)</f>
        <v>0.89850175829806656</v>
      </c>
      <c r="D3282" s="1">
        <f>0.878874283500545*(10.3/7.3)</f>
        <v>1.2400554958980288</v>
      </c>
      <c r="E3282" s="1">
        <f>3.05767875644283*(10.3/7.3)</f>
        <v>4.3142590673097478</v>
      </c>
      <c r="F3282" s="1">
        <f>7.97061005869789*(38.9/42.5)</f>
        <v>7.2954525007846609</v>
      </c>
      <c r="G3282" s="1">
        <v>0.38560907686228724</v>
      </c>
      <c r="H3282" s="1">
        <v>1.5292239029371872</v>
      </c>
      <c r="I3282" s="1">
        <v>6.0668321571236703</v>
      </c>
      <c r="J3282" s="1">
        <v>6.8342454115011483E-2</v>
      </c>
      <c r="K3282" s="1">
        <v>2.9934659651367395</v>
      </c>
      <c r="L3282" s="1">
        <v>2.35012121054914</v>
      </c>
      <c r="M3282" s="1">
        <v>0.34015417683450883</v>
      </c>
      <c r="N3282" s="1">
        <v>1.5408703205495027</v>
      </c>
      <c r="O3282" s="1">
        <v>0.59850666666666641</v>
      </c>
      <c r="P3282" s="1">
        <v>0.25844289414039801</v>
      </c>
      <c r="Q3282" s="1">
        <v>0.61627021416347338</v>
      </c>
      <c r="R3282" s="2">
        <f t="shared" si="207"/>
        <v>22.346204173377124</v>
      </c>
      <c r="S3282" s="2">
        <f t="shared" si="206"/>
        <v>3.3202513133921485</v>
      </c>
      <c r="T3282" s="2">
        <f t="shared" si="208"/>
        <v>4.8296523745998181</v>
      </c>
      <c r="U3282" s="2">
        <f t="shared" si="209"/>
        <v>30.49610786136909</v>
      </c>
    </row>
    <row r="3283" spans="1:21" x14ac:dyDescent="0.25">
      <c r="A3283">
        <v>4624113</v>
      </c>
      <c r="B3283">
        <v>48</v>
      </c>
      <c r="C3283" s="1">
        <f>0.900969257881745*(10.3/7.3)</f>
        <v>1.271230596737257</v>
      </c>
      <c r="D3283" s="1">
        <f>1.26438246784229*(10.3/7.3)</f>
        <v>1.7839917012021351</v>
      </c>
      <c r="E3283" s="1">
        <f>4.38905780668537*(10.3/7.3)</f>
        <v>6.1927801929944204</v>
      </c>
      <c r="F3283" s="1">
        <f>11.7910945285159*(38.9/42.5)</f>
        <v>10.792319462571001</v>
      </c>
      <c r="G3283" s="1">
        <v>0.58402424658545427</v>
      </c>
      <c r="H3283" s="1">
        <v>2.202419728449033</v>
      </c>
      <c r="I3283" s="1">
        <v>8.9872997155488488</v>
      </c>
      <c r="J3283" s="1">
        <v>7.9820320278287171E-2</v>
      </c>
      <c r="K3283" s="1">
        <v>3.7488944886524305</v>
      </c>
      <c r="L3283" s="1">
        <v>3.1096352512696157</v>
      </c>
      <c r="M3283" s="1">
        <v>0.45463990755682121</v>
      </c>
      <c r="N3283" s="1">
        <v>1.9043927076224374</v>
      </c>
      <c r="O3283" s="1">
        <v>0.7966000000000002</v>
      </c>
      <c r="P3283" s="1">
        <v>0.31077899771205558</v>
      </c>
      <c r="Q3283" s="1">
        <v>0.93337208358405999</v>
      </c>
      <c r="R3283" s="2">
        <f t="shared" si="207"/>
        <v>32.747437727672214</v>
      </c>
      <c r="S3283" s="2">
        <f t="shared" si="206"/>
        <v>4.1394938066427729</v>
      </c>
      <c r="T3283" s="2">
        <f t="shared" si="208"/>
        <v>6.265267866448875</v>
      </c>
      <c r="U3283" s="2">
        <f t="shared" si="209"/>
        <v>43.152199400763863</v>
      </c>
    </row>
    <row r="3284" spans="1:21" x14ac:dyDescent="0.25">
      <c r="A3284">
        <v>4624121</v>
      </c>
      <c r="B3284">
        <v>57</v>
      </c>
      <c r="C3284" s="1">
        <f>0.821836711589833*(10.3/7.3)</f>
        <v>1.1595778259418192</v>
      </c>
      <c r="D3284" s="1">
        <f>1.15730951983238*(10.3/7.3)</f>
        <v>1.632916171818285</v>
      </c>
      <c r="E3284" s="1">
        <f>4.01691614923184*(10.3/7.3)</f>
        <v>5.6677036078202612</v>
      </c>
      <c r="F3284" s="1">
        <f>10.786286074462*(38.9/42.5)</f>
        <v>9.8726241952134774</v>
      </c>
      <c r="G3284" s="1">
        <v>0.53428739431001404</v>
      </c>
      <c r="H3284" s="1">
        <v>2.2196309926860422</v>
      </c>
      <c r="I3284" s="1">
        <v>8.2143028337799464</v>
      </c>
      <c r="J3284" s="1">
        <v>7.3217448579028288E-2</v>
      </c>
      <c r="K3284" s="1">
        <v>3.8269372185527057</v>
      </c>
      <c r="L3284" s="1">
        <v>2.9662290765523909</v>
      </c>
      <c r="M3284" s="1">
        <v>0.45697148285328854</v>
      </c>
      <c r="N3284" s="1">
        <v>2.1141911939411129</v>
      </c>
      <c r="O3284" s="1">
        <v>0.78267134502923974</v>
      </c>
      <c r="P3284" s="1">
        <v>0.32501941541371621</v>
      </c>
      <c r="Q3284" s="1">
        <v>0.85388396350915574</v>
      </c>
      <c r="R3284" s="2">
        <f t="shared" si="207"/>
        <v>30.154926985079001</v>
      </c>
      <c r="S3284" s="2">
        <f t="shared" si="206"/>
        <v>4.2251740825454505</v>
      </c>
      <c r="T3284" s="2">
        <f t="shared" si="208"/>
        <v>6.320063098376032</v>
      </c>
      <c r="U3284" s="2">
        <f t="shared" si="209"/>
        <v>40.700164166000484</v>
      </c>
    </row>
    <row r="3285" spans="1:21" x14ac:dyDescent="0.25">
      <c r="A3285">
        <v>4624129</v>
      </c>
      <c r="B3285">
        <v>2</v>
      </c>
      <c r="C3285" s="1">
        <f>1.00230133171903*(10.3/7.3)</f>
        <v>1.4142059885898577</v>
      </c>
      <c r="D3285" s="1">
        <f>1.44406210958949*(10.3/7.3)</f>
        <v>2.0375122916125701</v>
      </c>
      <c r="E3285" s="1">
        <f>4.9945454350008*(10.3/7.3)</f>
        <v>7.0470983534942793</v>
      </c>
      <c r="F3285" s="1">
        <f>14.0818942501825*(38.9/42.5)</f>
        <v>12.889074972519946</v>
      </c>
      <c r="G3285" s="1">
        <v>0.7223631905698098</v>
      </c>
      <c r="H3285" s="1">
        <v>3.8448098392134087</v>
      </c>
      <c r="I3285" s="1">
        <v>10.760965747329475</v>
      </c>
      <c r="J3285" s="1">
        <v>8.2386044150151869E-2</v>
      </c>
      <c r="K3285" s="1">
        <v>4.0661079193446046</v>
      </c>
      <c r="L3285" s="1">
        <v>3.454697062168111</v>
      </c>
      <c r="M3285" s="1">
        <v>0.52118843244513557</v>
      </c>
      <c r="N3285" s="1">
        <v>2.2864496301940038</v>
      </c>
      <c r="O3285" s="1">
        <v>0.81173333333333331</v>
      </c>
      <c r="P3285" s="1">
        <v>0.33525049018028896</v>
      </c>
      <c r="Q3285" s="1">
        <v>1.1544617200887384</v>
      </c>
      <c r="R3285" s="2">
        <f t="shared" si="207"/>
        <v>39.870492103418087</v>
      </c>
      <c r="S3285" s="2">
        <f t="shared" si="206"/>
        <v>4.4837444536750448</v>
      </c>
      <c r="T3285" s="2">
        <f t="shared" si="208"/>
        <v>7.0740684581405846</v>
      </c>
      <c r="U3285" s="2">
        <f t="shared" si="209"/>
        <v>51.428305015233718</v>
      </c>
    </row>
    <row r="3286" spans="1:21" x14ac:dyDescent="0.25">
      <c r="A3286">
        <v>4624281</v>
      </c>
      <c r="B3286">
        <v>33</v>
      </c>
      <c r="C3286" s="1">
        <f>1.62650304433309*(10.3/7.3)</f>
        <v>2.2949289529631272</v>
      </c>
      <c r="D3286" s="1">
        <f>2.60712781848271*(10.3/7.3)</f>
        <v>3.6785502096399942</v>
      </c>
      <c r="E3286" s="1">
        <f>8.81610240199907*(10.3/7.3)</f>
        <v>12.439158183642531</v>
      </c>
      <c r="F3286" s="1">
        <f>33.329783943836*(38.9/42.5)</f>
        <v>30.50655518624044</v>
      </c>
      <c r="G3286" s="1">
        <v>2.0006604870239162</v>
      </c>
      <c r="H3286" s="1">
        <v>13.565719718991687</v>
      </c>
      <c r="I3286" s="1">
        <v>26.16109498011366</v>
      </c>
      <c r="J3286" s="1">
        <v>4.4076600482935914E-2</v>
      </c>
      <c r="K3286" s="1">
        <v>3.3230121346042725</v>
      </c>
      <c r="L3286" s="1">
        <v>3.536746658195566</v>
      </c>
      <c r="M3286" s="1">
        <v>0.70384790257500862</v>
      </c>
      <c r="N3286" s="1">
        <v>1.9866794880326752</v>
      </c>
      <c r="O3286" s="1">
        <v>0.37424323232323237</v>
      </c>
      <c r="P3286" s="1">
        <v>0.25090103604049885</v>
      </c>
      <c r="Q3286" s="1">
        <v>3.1974026048327469</v>
      </c>
      <c r="R3286" s="2">
        <f t="shared" si="207"/>
        <v>93.844070323448108</v>
      </c>
      <c r="S3286" s="2">
        <f t="shared" si="206"/>
        <v>3.6179897711277071</v>
      </c>
      <c r="T3286" s="2">
        <f t="shared" si="208"/>
        <v>6.6015172811264824</v>
      </c>
      <c r="U3286" s="2">
        <f t="shared" si="209"/>
        <v>104.06357737570229</v>
      </c>
    </row>
    <row r="3287" spans="1:21" x14ac:dyDescent="0.25">
      <c r="A3287">
        <v>4624289</v>
      </c>
      <c r="B3287">
        <v>5</v>
      </c>
      <c r="C3287" s="1">
        <f>1.45193295237375*(10.3/7.3)</f>
        <v>2.0486177273218633</v>
      </c>
      <c r="D3287" s="1">
        <f>3.04933616715745*(10.3/7.3)</f>
        <v>4.3024880166742037</v>
      </c>
      <c r="E3287" s="1">
        <f>10.1461443128507*(10.3/7.3)</f>
        <v>14.315792660597523</v>
      </c>
      <c r="F3287" s="1">
        <f>42.4626357865014*(38.9/42.5)</f>
        <v>38.86580075517422</v>
      </c>
      <c r="G3287" s="1">
        <v>2.6806568070101933</v>
      </c>
      <c r="H3287" s="1">
        <v>9.3953635508299023</v>
      </c>
      <c r="I3287" s="1">
        <v>32.747868219615938</v>
      </c>
      <c r="J3287" s="1">
        <v>4.1834594483167342E-2</v>
      </c>
      <c r="K3287" s="1">
        <v>3.1633796896639792</v>
      </c>
      <c r="L3287" s="1">
        <v>3.4085183229711538</v>
      </c>
      <c r="M3287" s="1">
        <v>0.66313032114237236</v>
      </c>
      <c r="N3287" s="1">
        <v>1.9332051533479677</v>
      </c>
      <c r="O3287" s="1">
        <v>0.34965333333333332</v>
      </c>
      <c r="P3287" s="1">
        <v>0.23820498316126448</v>
      </c>
      <c r="Q3287" s="1">
        <v>4.2841547143998566</v>
      </c>
      <c r="R3287" s="2">
        <f t="shared" si="207"/>
        <v>108.64074245162371</v>
      </c>
      <c r="S3287" s="2">
        <f t="shared" si="206"/>
        <v>3.443419267308411</v>
      </c>
      <c r="T3287" s="2">
        <f t="shared" si="208"/>
        <v>6.3545071307948264</v>
      </c>
      <c r="U3287" s="2">
        <f t="shared" si="209"/>
        <v>118.43866884972695</v>
      </c>
    </row>
    <row r="3288" spans="1:21" x14ac:dyDescent="0.25">
      <c r="A3288">
        <v>4624649</v>
      </c>
      <c r="B3288">
        <v>34</v>
      </c>
      <c r="C3288" s="1">
        <f>13.0417137785065*(10.3/7.3)</f>
        <v>18.401322180632405</v>
      </c>
      <c r="D3288" s="1">
        <f>21.4714749263744*(10.3/7.3)</f>
        <v>30.295368731733777</v>
      </c>
      <c r="E3288" s="1">
        <f>75.1792334749681*(10.3/7.3)</f>
        <v>106.07480887563989</v>
      </c>
      <c r="F3288" s="1">
        <f>146.234054961699*(38.9/42.5)</f>
        <v>133.84717030611989</v>
      </c>
      <c r="G3288" s="1">
        <v>5.4842546820539342</v>
      </c>
      <c r="H3288" s="1">
        <v>7.7967350032686644</v>
      </c>
      <c r="I3288" s="1">
        <v>98.912034709684335</v>
      </c>
      <c r="J3288" s="1">
        <v>5.5380548237667089E-2</v>
      </c>
      <c r="K3288" s="1">
        <v>3.202984856901085</v>
      </c>
      <c r="L3288" s="1">
        <v>4.9502561649291055</v>
      </c>
      <c r="M3288" s="1">
        <v>0.249443748064864</v>
      </c>
      <c r="N3288" s="1">
        <v>2.6500355223167542</v>
      </c>
      <c r="O3288" s="1">
        <v>0.20432941176470584</v>
      </c>
      <c r="P3288" s="1">
        <v>0.14141057056359879</v>
      </c>
      <c r="Q3288" s="1">
        <v>8.764790587757437</v>
      </c>
      <c r="R3288" s="2">
        <f t="shared" si="207"/>
        <v>409.57648507689032</v>
      </c>
      <c r="S3288" s="2">
        <f t="shared" si="206"/>
        <v>3.3997759757023509</v>
      </c>
      <c r="T3288" s="2">
        <f t="shared" si="208"/>
        <v>8.0540648470754288</v>
      </c>
      <c r="U3288" s="2">
        <f t="shared" si="209"/>
        <v>421.03032589966813</v>
      </c>
    </row>
    <row r="3289" spans="1:21" x14ac:dyDescent="0.25">
      <c r="A3289">
        <v>4624657</v>
      </c>
      <c r="B3289">
        <v>66</v>
      </c>
      <c r="C3289" s="1">
        <f>11.0052250515651*(10.3/7.3)</f>
        <v>15.52792027823573</v>
      </c>
      <c r="D3289" s="1">
        <f>16.5981194756206*(10.3/7.3)</f>
        <v>23.419264465601614</v>
      </c>
      <c r="E3289" s="1">
        <f>58.4255280603095*(10.3/7.3)</f>
        <v>82.4360190439984</v>
      </c>
      <c r="F3289" s="1">
        <f>107.328801018731*(38.9/42.5)</f>
        <v>98.237420226555969</v>
      </c>
      <c r="G3289" s="1">
        <v>3.6630818008154233</v>
      </c>
      <c r="H3289" s="1">
        <v>6.0709881030389372</v>
      </c>
      <c r="I3289" s="1">
        <v>73.336372503982147</v>
      </c>
      <c r="J3289" s="1">
        <v>5.764083707544268E-2</v>
      </c>
      <c r="K3289" s="1">
        <v>3.4193439963878021</v>
      </c>
      <c r="L3289" s="1">
        <v>5.4798432795729601</v>
      </c>
      <c r="M3289" s="1">
        <v>0.26554781479057149</v>
      </c>
      <c r="N3289" s="1">
        <v>2.6700597158676711</v>
      </c>
      <c r="O3289" s="1">
        <v>0.21723959595959599</v>
      </c>
      <c r="P3289" s="1">
        <v>0.14914194212544771</v>
      </c>
      <c r="Q3289" s="1">
        <v>5.8542403209378984</v>
      </c>
      <c r="R3289" s="2">
        <f t="shared" si="207"/>
        <v>308.54530674316612</v>
      </c>
      <c r="S3289" s="2">
        <f t="shared" si="206"/>
        <v>3.6261267755886926</v>
      </c>
      <c r="T3289" s="2">
        <f t="shared" si="208"/>
        <v>8.6326904061907985</v>
      </c>
      <c r="U3289" s="2">
        <f t="shared" si="209"/>
        <v>320.80412392494566</v>
      </c>
    </row>
    <row r="3290" spans="1:21" x14ac:dyDescent="0.25">
      <c r="A3290">
        <v>4624665</v>
      </c>
      <c r="B3290">
        <v>67</v>
      </c>
      <c r="C3290" s="1">
        <f>9.26034395377748*(10.3/7.3)</f>
        <v>13.065964756699737</v>
      </c>
      <c r="D3290" s="1">
        <f>13.3982835883346*(10.3/7.3)</f>
        <v>18.904427528746016</v>
      </c>
      <c r="E3290" s="1">
        <f>47.2324276964296*(10.3/7.3)</f>
        <v>66.643014420989743</v>
      </c>
      <c r="F3290" s="1">
        <f>87.0187950220754*(38.9/42.5)</f>
        <v>79.647791208440736</v>
      </c>
      <c r="G3290" s="1">
        <v>2.954918690485576</v>
      </c>
      <c r="H3290" s="1">
        <v>5.581898496231025</v>
      </c>
      <c r="I3290" s="1">
        <v>60.371376542222372</v>
      </c>
      <c r="J3290" s="1">
        <v>5.2674371465316505E-2</v>
      </c>
      <c r="K3290" s="1">
        <v>3.2392738335603277</v>
      </c>
      <c r="L3290" s="1">
        <v>5.0617953398074267</v>
      </c>
      <c r="M3290" s="1">
        <v>0.24743583756312967</v>
      </c>
      <c r="N3290" s="1">
        <v>2.7036574019177575</v>
      </c>
      <c r="O3290" s="1">
        <v>0.20350089552238806</v>
      </c>
      <c r="P3290" s="1">
        <v>0.14144686400582279</v>
      </c>
      <c r="Q3290" s="1">
        <v>4.7224727930134822</v>
      </c>
      <c r="R3290" s="2">
        <f t="shared" si="207"/>
        <v>251.89186443682868</v>
      </c>
      <c r="S3290" s="2">
        <f t="shared" si="206"/>
        <v>3.4333950690314667</v>
      </c>
      <c r="T3290" s="2">
        <f t="shared" si="208"/>
        <v>8.2163894748107023</v>
      </c>
      <c r="U3290" s="2">
        <f t="shared" si="209"/>
        <v>263.54164898067086</v>
      </c>
    </row>
    <row r="3291" spans="1:21" x14ac:dyDescent="0.25">
      <c r="A3291">
        <v>4624673</v>
      </c>
      <c r="B3291">
        <v>66</v>
      </c>
      <c r="C3291" s="1">
        <f>9.04719839062097*(10.3/7.3)</f>
        <v>12.7652251264926</v>
      </c>
      <c r="D3291" s="1">
        <f>13.1859338135242*(10.3/7.3)</f>
        <v>18.604810723191704</v>
      </c>
      <c r="E3291" s="1">
        <f>46.4405228106961*(10.3/7.3)</f>
        <v>65.525669171256212</v>
      </c>
      <c r="F3291" s="1">
        <f>87.0713172862004*(38.9/42.5)</f>
        <v>79.695864527839916</v>
      </c>
      <c r="G3291" s="1">
        <v>3.0372759287793962</v>
      </c>
      <c r="H3291" s="1">
        <v>5.9273108335402682</v>
      </c>
      <c r="I3291" s="1">
        <v>60.560699169831253</v>
      </c>
      <c r="J3291" s="1">
        <v>5.7029815734403223E-2</v>
      </c>
      <c r="K3291" s="1">
        <v>3.4674374150201577</v>
      </c>
      <c r="L3291" s="1">
        <v>5.5546754557880478</v>
      </c>
      <c r="M3291" s="1">
        <v>0.26219147268475146</v>
      </c>
      <c r="N3291" s="1">
        <v>2.8327275120999329</v>
      </c>
      <c r="O3291" s="1">
        <v>0.21666424242424245</v>
      </c>
      <c r="P3291" s="1">
        <v>0.14759895865434752</v>
      </c>
      <c r="Q3291" s="1">
        <v>4.8540939501040636</v>
      </c>
      <c r="R3291" s="2">
        <f t="shared" si="207"/>
        <v>250.97094943103542</v>
      </c>
      <c r="S3291" s="2">
        <f t="shared" si="206"/>
        <v>3.6720661894089082</v>
      </c>
      <c r="T3291" s="2">
        <f t="shared" si="208"/>
        <v>8.8662586829969747</v>
      </c>
      <c r="U3291" s="2">
        <f t="shared" si="209"/>
        <v>263.50927430344132</v>
      </c>
    </row>
    <row r="3292" spans="1:21" x14ac:dyDescent="0.25">
      <c r="A3292">
        <v>4624681</v>
      </c>
      <c r="B3292">
        <v>67</v>
      </c>
      <c r="C3292" s="1">
        <f>8.43064861840571*(10.3/7.3)</f>
        <v>11.895298735558749</v>
      </c>
      <c r="D3292" s="1">
        <f>12.1461572560577*(10.3/7.3)</f>
        <v>17.137728731149888</v>
      </c>
      <c r="E3292" s="1">
        <f>42.7746302287756*(10.3/7.3)</f>
        <v>60.353245391286094</v>
      </c>
      <c r="F3292" s="1">
        <f>81.3655581599962*(38.9/42.5)</f>
        <v>74.473416762914155</v>
      </c>
      <c r="G3292" s="1">
        <v>2.8885719829124721</v>
      </c>
      <c r="H3292" s="1">
        <v>5.8214965859188901</v>
      </c>
      <c r="I3292" s="1">
        <v>57.045548043379753</v>
      </c>
      <c r="J3292" s="1">
        <v>5.85869909097032E-2</v>
      </c>
      <c r="K3292" s="1">
        <v>3.5409770604648694</v>
      </c>
      <c r="L3292" s="1">
        <v>5.7194367670098911</v>
      </c>
      <c r="M3292" s="1">
        <v>0.26390393130607914</v>
      </c>
      <c r="N3292" s="1">
        <v>2.7591777738635521</v>
      </c>
      <c r="O3292" s="1">
        <v>0.21728955223880586</v>
      </c>
      <c r="P3292" s="1">
        <v>0.14873118170983829</v>
      </c>
      <c r="Q3292" s="1">
        <v>4.6164392420975622</v>
      </c>
      <c r="R3292" s="2">
        <f t="shared" si="207"/>
        <v>234.23174547521756</v>
      </c>
      <c r="S3292" s="2">
        <f t="shared" si="206"/>
        <v>3.748295233084411</v>
      </c>
      <c r="T3292" s="2">
        <f t="shared" si="208"/>
        <v>8.9598080244183294</v>
      </c>
      <c r="U3292" s="2">
        <f t="shared" si="209"/>
        <v>246.93984873272029</v>
      </c>
    </row>
    <row r="3293" spans="1:21" x14ac:dyDescent="0.25">
      <c r="A3293">
        <v>4624689</v>
      </c>
      <c r="B3293">
        <v>56</v>
      </c>
      <c r="C3293" s="1">
        <f>8.0669026812256*(10.3/7.3)</f>
        <v>11.382068166660773</v>
      </c>
      <c r="D3293" s="1">
        <f>11.4683761350293*(10.3/7.3)</f>
        <v>16.181407423397534</v>
      </c>
      <c r="E3293" s="1">
        <f>40.3925117200773*(10.3/7.3)</f>
        <v>56.992174070794022</v>
      </c>
      <c r="F3293" s="1">
        <f>77.6664881880152*(38.9/42.5)</f>
        <v>71.087679776795113</v>
      </c>
      <c r="G3293" s="1">
        <v>2.7898600652185559</v>
      </c>
      <c r="H3293" s="1">
        <v>6.555796188268376</v>
      </c>
      <c r="I3293" s="1">
        <v>54.85641308473123</v>
      </c>
      <c r="J3293" s="1">
        <v>5.9275737972444668E-2</v>
      </c>
      <c r="K3293" s="1">
        <v>3.4177324388260089</v>
      </c>
      <c r="L3293" s="1">
        <v>5.4161778582358693</v>
      </c>
      <c r="M3293" s="1">
        <v>0.25072510000730913</v>
      </c>
      <c r="N3293" s="1">
        <v>2.7785447411144708</v>
      </c>
      <c r="O3293" s="1">
        <v>0.20811428571428575</v>
      </c>
      <c r="P3293" s="1">
        <v>0.14257580793364596</v>
      </c>
      <c r="Q3293" s="1">
        <v>4.4586804695273763</v>
      </c>
      <c r="R3293" s="2">
        <f t="shared" si="207"/>
        <v>224.30407924539296</v>
      </c>
      <c r="S3293" s="2">
        <f t="shared" si="206"/>
        <v>3.6195839847320994</v>
      </c>
      <c r="T3293" s="2">
        <f t="shared" si="208"/>
        <v>8.653561985071935</v>
      </c>
      <c r="U3293" s="2">
        <f t="shared" si="209"/>
        <v>236.57722521519699</v>
      </c>
    </row>
    <row r="3294" spans="1:21" x14ac:dyDescent="0.25">
      <c r="A3294">
        <v>4624697</v>
      </c>
      <c r="B3294">
        <v>21</v>
      </c>
      <c r="C3294" s="1">
        <f>6.60633343484187*(10.3/7.3)</f>
        <v>9.3212649834070227</v>
      </c>
      <c r="D3294" s="1">
        <f>9.25893378039193*(10.3/7.3)</f>
        <v>13.063975060005049</v>
      </c>
      <c r="E3294" s="1">
        <f>32.6147209147024*(10.3/7.3)</f>
        <v>46.018030879648592</v>
      </c>
      <c r="F3294" s="1">
        <f>63.4494900114849*(38.9/42.5)</f>
        <v>58.074944975217925</v>
      </c>
      <c r="G3294" s="1">
        <v>2.3078630889988725</v>
      </c>
      <c r="H3294" s="1">
        <v>9.4230360212368645</v>
      </c>
      <c r="I3294" s="1">
        <v>45.167105884809445</v>
      </c>
      <c r="J3294" s="1">
        <v>5.3572265950777874E-2</v>
      </c>
      <c r="K3294" s="1">
        <v>3.1818220219262563</v>
      </c>
      <c r="L3294" s="1">
        <v>4.7809293207628949</v>
      </c>
      <c r="M3294" s="1">
        <v>0.2262905228275503</v>
      </c>
      <c r="N3294" s="1">
        <v>2.5555828854276776</v>
      </c>
      <c r="O3294" s="1">
        <v>0.19013079365079366</v>
      </c>
      <c r="P3294" s="1">
        <v>0.13261336199040794</v>
      </c>
      <c r="Q3294" s="1">
        <v>3.6883656673498004</v>
      </c>
      <c r="R3294" s="2">
        <f t="shared" si="207"/>
        <v>187.0645865606736</v>
      </c>
      <c r="S3294" s="2">
        <f t="shared" si="206"/>
        <v>3.3680076498674421</v>
      </c>
      <c r="T3294" s="2">
        <f t="shared" si="208"/>
        <v>7.7529335226689176</v>
      </c>
      <c r="U3294" s="2">
        <f t="shared" si="209"/>
        <v>198.18552773320997</v>
      </c>
    </row>
    <row r="3295" spans="1:21" x14ac:dyDescent="0.25">
      <c r="A3295">
        <v>4624705</v>
      </c>
      <c r="B3295">
        <v>59</v>
      </c>
      <c r="C3295" s="1">
        <f>7.32644952194172*(10.3/7.3)</f>
        <v>10.337319188493115</v>
      </c>
      <c r="D3295" s="1">
        <f>10.1045992140866*(10.3/7.3)</f>
        <v>14.257174233574315</v>
      </c>
      <c r="E3295" s="1">
        <f>35.5969604205624*(10.3/7.3)</f>
        <v>50.225848264629121</v>
      </c>
      <c r="F3295" s="1">
        <f>70.2558708827554*(38.9/42.5)</f>
        <v>64.304785349157314</v>
      </c>
      <c r="G3295" s="1">
        <v>2.5948099428261169</v>
      </c>
      <c r="H3295" s="1">
        <v>6.2836543050241147</v>
      </c>
      <c r="I3295" s="1">
        <v>50.461994661090429</v>
      </c>
      <c r="J3295" s="1">
        <v>5.5919096673856181E-2</v>
      </c>
      <c r="K3295" s="1">
        <v>3.4226887262898091</v>
      </c>
      <c r="L3295" s="1">
        <v>5.3179604581063877</v>
      </c>
      <c r="M3295" s="1">
        <v>0.24070859693508725</v>
      </c>
      <c r="N3295" s="1">
        <v>2.6921113709826141</v>
      </c>
      <c r="O3295" s="1">
        <v>0.20108474576271182</v>
      </c>
      <c r="P3295" s="1">
        <v>0.13873599830938957</v>
      </c>
      <c r="Q3295" s="1">
        <v>4.146956529630784</v>
      </c>
      <c r="R3295" s="2">
        <f t="shared" si="207"/>
        <v>202.61254247442534</v>
      </c>
      <c r="S3295" s="2">
        <f t="shared" si="206"/>
        <v>3.6173438212730549</v>
      </c>
      <c r="T3295" s="2">
        <f t="shared" si="208"/>
        <v>8.4518651717868014</v>
      </c>
      <c r="U3295" s="2">
        <f t="shared" si="209"/>
        <v>214.68175146748521</v>
      </c>
    </row>
    <row r="3296" spans="1:21" x14ac:dyDescent="0.25">
      <c r="A3296">
        <v>4624713</v>
      </c>
      <c r="B3296">
        <v>67</v>
      </c>
      <c r="C3296" s="1">
        <f>8.268656801476*(10.3/7.3)</f>
        <v>11.666734939068876</v>
      </c>
      <c r="D3296" s="1">
        <f>11.2135831571954*(10.3/7.3)</f>
        <v>15.821905002618138</v>
      </c>
      <c r="E3296" s="1">
        <f>39.5071229542856*(10.3/7.3)</f>
        <v>55.74292690810163</v>
      </c>
      <c r="F3296" s="1">
        <f>79.1925713950522*(38.9/42.5)</f>
        <v>72.484494759236014</v>
      </c>
      <c r="G3296" s="1">
        <v>2.9722460227554528</v>
      </c>
      <c r="H3296" s="1">
        <v>6.2626899714081548</v>
      </c>
      <c r="I3296" s="1">
        <v>57.410796129574393</v>
      </c>
      <c r="J3296" s="1">
        <v>6.3209296423499317E-2</v>
      </c>
      <c r="K3296" s="1">
        <v>3.7823137843073154</v>
      </c>
      <c r="L3296" s="1">
        <v>6.0514485679192713</v>
      </c>
      <c r="M3296" s="1">
        <v>0.25758919619267245</v>
      </c>
      <c r="N3296" s="1">
        <v>3.0762518773907841</v>
      </c>
      <c r="O3296" s="1">
        <v>0.21675383084577113</v>
      </c>
      <c r="P3296" s="1">
        <v>0.1474894392815124</v>
      </c>
      <c r="Q3296" s="1">
        <v>4.7501648765498166</v>
      </c>
      <c r="R3296" s="2">
        <f t="shared" si="207"/>
        <v>227.11195860931244</v>
      </c>
      <c r="S3296" s="2">
        <f t="shared" si="206"/>
        <v>3.9930125200123268</v>
      </c>
      <c r="T3296" s="2">
        <f t="shared" si="208"/>
        <v>9.6020434723484982</v>
      </c>
      <c r="U3296" s="2">
        <f t="shared" si="209"/>
        <v>240.70701460167325</v>
      </c>
    </row>
    <row r="3297" spans="1:21" x14ac:dyDescent="0.25">
      <c r="A3297">
        <v>4624721</v>
      </c>
      <c r="B3297">
        <v>64</v>
      </c>
      <c r="C3297" s="1">
        <f>7.74565544583333*(10.3/7.3)</f>
        <v>10.928801519463471</v>
      </c>
      <c r="D3297" s="1">
        <f>10.3548713003102*(10.3/7.3)</f>
        <v>14.610297862081492</v>
      </c>
      <c r="E3297" s="1">
        <f>36.4840247282726*(10.3/7.3)</f>
        <v>51.477459548110673</v>
      </c>
      <c r="F3297" s="1">
        <f>74.1269806059777*(38.9/42.5)</f>
        <v>67.847989307589017</v>
      </c>
      <c r="G3297" s="1">
        <v>2.8203313494794036</v>
      </c>
      <c r="H3297" s="1">
        <v>5.9440076540237659</v>
      </c>
      <c r="I3297" s="1">
        <v>54.158374167843313</v>
      </c>
      <c r="J3297" s="1">
        <v>6.0016271742448862E-2</v>
      </c>
      <c r="K3297" s="1">
        <v>3.6449656699853121</v>
      </c>
      <c r="L3297" s="1">
        <v>5.6810338121014095</v>
      </c>
      <c r="M3297" s="1">
        <v>0.2357273684059692</v>
      </c>
      <c r="N3297" s="1">
        <v>3.9322399519693998</v>
      </c>
      <c r="O3297" s="1">
        <v>0.2046291666666667</v>
      </c>
      <c r="P3297" s="1">
        <v>0.14021043406241895</v>
      </c>
      <c r="Q3297" s="1">
        <v>4.5073788690310144</v>
      </c>
      <c r="R3297" s="2">
        <f t="shared" si="207"/>
        <v>212.29464027762216</v>
      </c>
      <c r="S3297" s="2">
        <f t="shared" si="206"/>
        <v>3.8451923757901803</v>
      </c>
      <c r="T3297" s="2">
        <f t="shared" si="208"/>
        <v>10.053630299143446</v>
      </c>
      <c r="U3297" s="2">
        <f t="shared" si="209"/>
        <v>226.19346295255579</v>
      </c>
    </row>
    <row r="3298" spans="1:21" x14ac:dyDescent="0.25">
      <c r="A3298">
        <v>4624729</v>
      </c>
      <c r="B3298">
        <v>66</v>
      </c>
      <c r="C3298" s="1">
        <f>8.34692897763952*(10.3/7.3)</f>
        <v>11.777173762970827</v>
      </c>
      <c r="D3298" s="1">
        <f>10.9968592490269*(10.3/7.3)</f>
        <v>15.516116474654371</v>
      </c>
      <c r="E3298" s="1">
        <f>38.7397286572994*(10.3/7.3)</f>
        <v>54.660165091805972</v>
      </c>
      <c r="F3298" s="1">
        <f>80.2441808787155*(38.9/42.5)</f>
        <v>73.447026733694869</v>
      </c>
      <c r="G3298" s="1">
        <v>3.1148046520873551</v>
      </c>
      <c r="H3298" s="1">
        <v>6.3022560848320444</v>
      </c>
      <c r="I3298" s="1">
        <v>59.155695278252963</v>
      </c>
      <c r="J3298" s="1">
        <v>6.4402189389672071E-2</v>
      </c>
      <c r="K3298" s="1">
        <v>3.8505483641094456</v>
      </c>
      <c r="L3298" s="1">
        <v>6.0669992432113995</v>
      </c>
      <c r="M3298" s="1">
        <v>0.23963639137260634</v>
      </c>
      <c r="N3298" s="1">
        <v>3.1739945868266242</v>
      </c>
      <c r="O3298" s="1">
        <v>0.20980040404040404</v>
      </c>
      <c r="P3298" s="1">
        <v>0.14366675431459208</v>
      </c>
      <c r="Q3298" s="1">
        <v>4.9779983024227175</v>
      </c>
      <c r="R3298" s="2">
        <f t="shared" si="207"/>
        <v>228.9512363807211</v>
      </c>
      <c r="S3298" s="2">
        <f t="shared" si="206"/>
        <v>4.0586173078137096</v>
      </c>
      <c r="T3298" s="2">
        <f t="shared" si="208"/>
        <v>9.6904306254510342</v>
      </c>
      <c r="U3298" s="2">
        <f t="shared" si="209"/>
        <v>242.70028431398583</v>
      </c>
    </row>
    <row r="3299" spans="1:21" x14ac:dyDescent="0.25">
      <c r="A3299">
        <v>4624737</v>
      </c>
      <c r="B3299">
        <v>64</v>
      </c>
      <c r="C3299" s="1">
        <f>8.17624622880099*(10.3/7.3)</f>
        <v>11.53634741871921</v>
      </c>
      <c r="D3299" s="1">
        <f>10.6808545360785*(10.3/7.3)</f>
        <v>15.070246811179205</v>
      </c>
      <c r="E3299" s="1">
        <f>37.6001557281095*(10.3/7.3)</f>
        <v>53.05227452048323</v>
      </c>
      <c r="F3299" s="1">
        <f>79.9117285796033*(38.9/42.5)</f>
        <v>73.142735099919278</v>
      </c>
      <c r="G3299" s="1">
        <v>3.1885541752702342</v>
      </c>
      <c r="H3299" s="1">
        <v>6.7792128972774552</v>
      </c>
      <c r="I3299" s="1">
        <v>59.389195596077442</v>
      </c>
      <c r="J3299" s="1">
        <v>6.5235544963944847E-2</v>
      </c>
      <c r="K3299" s="1">
        <v>3.8585367301367417</v>
      </c>
      <c r="L3299" s="1">
        <v>5.9371055439091585</v>
      </c>
      <c r="M3299" s="1">
        <v>0.23186081783145068</v>
      </c>
      <c r="N3299" s="1">
        <v>3.0424547054668776</v>
      </c>
      <c r="O3299" s="1">
        <v>0.20340500000000003</v>
      </c>
      <c r="P3299" s="1">
        <v>0.14035890385923075</v>
      </c>
      <c r="Q3299" s="1">
        <v>5.0958628371898751</v>
      </c>
      <c r="R3299" s="2">
        <f t="shared" si="207"/>
        <v>227.25442935611596</v>
      </c>
      <c r="S3299" s="2">
        <f t="shared" si="206"/>
        <v>4.0641311789599177</v>
      </c>
      <c r="T3299" s="2">
        <f t="shared" si="208"/>
        <v>9.4148260672074873</v>
      </c>
      <c r="U3299" s="2">
        <f t="shared" si="209"/>
        <v>240.73338660228336</v>
      </c>
    </row>
    <row r="3300" spans="1:21" x14ac:dyDescent="0.25">
      <c r="A3300">
        <v>4624785</v>
      </c>
      <c r="B3300">
        <v>8</v>
      </c>
      <c r="C3300" s="1">
        <f>7.58048881221631*(10.3/7.3)</f>
        <v>10.695758187099729</v>
      </c>
      <c r="D3300" s="1">
        <f>9.51578464153991*(10.3/7.3)</f>
        <v>13.426381069570009</v>
      </c>
      <c r="E3300" s="1">
        <f>33.3918258330982*(10.3/7.3)</f>
        <v>47.114493983686529</v>
      </c>
      <c r="F3300" s="1">
        <f>79.3562762201253*(38.9/42.5)</f>
        <v>72.634332822655864</v>
      </c>
      <c r="G3300" s="1">
        <v>3.5149822685580348</v>
      </c>
      <c r="H3300" s="1">
        <v>12.764106926245894</v>
      </c>
      <c r="I3300" s="1">
        <v>60.928818937518514</v>
      </c>
      <c r="J3300" s="1">
        <v>5.7622707023025466E-2</v>
      </c>
      <c r="K3300" s="1">
        <v>3.7084693299220515</v>
      </c>
      <c r="L3300" s="1">
        <v>5.0955586325674798</v>
      </c>
      <c r="M3300" s="1">
        <v>0.18835901115809117</v>
      </c>
      <c r="N3300" s="1">
        <v>2.4504940468467908</v>
      </c>
      <c r="O3300" s="1">
        <v>0.16850000000000001</v>
      </c>
      <c r="P3300" s="1">
        <v>0.12057906843870385</v>
      </c>
      <c r="Q3300" s="1">
        <v>5.6175515707548573</v>
      </c>
      <c r="R3300" s="2">
        <f t="shared" si="207"/>
        <v>226.69642576608945</v>
      </c>
      <c r="S3300" s="2">
        <f t="shared" si="206"/>
        <v>3.8866711053837806</v>
      </c>
      <c r="T3300" s="2">
        <f t="shared" si="208"/>
        <v>7.9029116905723615</v>
      </c>
      <c r="U3300" s="2">
        <f t="shared" si="209"/>
        <v>238.48600856204558</v>
      </c>
    </row>
    <row r="3301" spans="1:21" x14ac:dyDescent="0.25">
      <c r="A3301">
        <v>4624809</v>
      </c>
      <c r="B3301">
        <v>14</v>
      </c>
      <c r="C3301" s="1">
        <f>4.26152318646045*(10.3/7.3)</f>
        <v>6.012834085005835</v>
      </c>
      <c r="D3301" s="1">
        <f>5.40696245159947*(10.3/7.3)</f>
        <v>7.6290018152704819</v>
      </c>
      <c r="E3301" s="1">
        <f>18.9870223813583*(10.3/7.3)</f>
        <v>26.789908291505519</v>
      </c>
      <c r="F3301" s="1">
        <f>43.9779120003344*(38.9/42.5)</f>
        <v>40.252724160306052</v>
      </c>
      <c r="G3301" s="1">
        <v>1.9057880706487147</v>
      </c>
      <c r="H3301" s="1">
        <v>10.005997399260925</v>
      </c>
      <c r="I3301" s="1">
        <v>33.514943611187256</v>
      </c>
      <c r="J3301" s="1">
        <v>4.1590670884323826E-2</v>
      </c>
      <c r="K3301" s="1">
        <v>2.4478253563107799</v>
      </c>
      <c r="L3301" s="1">
        <v>4.3972629703326751</v>
      </c>
      <c r="M3301" s="1">
        <v>0.12614308412968941</v>
      </c>
      <c r="N3301" s="1">
        <v>1.9802520267428676</v>
      </c>
      <c r="O3301" s="1">
        <v>0.11486476190476191</v>
      </c>
      <c r="P3301" s="1">
        <v>9.0070572006189772E-2</v>
      </c>
      <c r="Q3301" s="1">
        <v>3.0457800215847071</v>
      </c>
      <c r="R3301" s="2">
        <f t="shared" si="207"/>
        <v>129.15697745476947</v>
      </c>
      <c r="S3301" s="2">
        <f t="shared" si="206"/>
        <v>2.5794865992012936</v>
      </c>
      <c r="T3301" s="2">
        <f t="shared" si="208"/>
        <v>6.6185228431099947</v>
      </c>
      <c r="U3301" s="2">
        <f t="shared" si="209"/>
        <v>138.35498689708075</v>
      </c>
    </row>
    <row r="3302" spans="1:21" x14ac:dyDescent="0.25">
      <c r="A3302">
        <v>4624905</v>
      </c>
      <c r="B3302">
        <v>7</v>
      </c>
      <c r="C3302" s="1">
        <f>22.5768865722115*(10.3/7.3)</f>
        <v>31.85505913613407</v>
      </c>
      <c r="D3302" s="1">
        <f>16.7953837102941*(10.3/7.3)</f>
        <v>23.697596193976644</v>
      </c>
      <c r="E3302" s="1">
        <f>61.345749357222*(10.3/7.3)</f>
        <v>86.556331284847488</v>
      </c>
      <c r="F3302" s="1">
        <f>115.844249120046*(38.9/42.5)</f>
        <v>106.03155978281825</v>
      </c>
      <c r="G3302" s="1">
        <v>3.2737219296992199</v>
      </c>
      <c r="H3302" s="1">
        <v>8.6333308975423027</v>
      </c>
      <c r="I3302" s="1">
        <v>105.91706512334544</v>
      </c>
      <c r="J3302" s="1">
        <v>3.798879706641075E-2</v>
      </c>
      <c r="K3302" s="1">
        <v>2.4946624910691648</v>
      </c>
      <c r="L3302" s="1">
        <v>3.0295556952959006</v>
      </c>
      <c r="M3302" s="1">
        <v>0.12144848504408853</v>
      </c>
      <c r="N3302" s="1">
        <v>1.5605425699535806</v>
      </c>
      <c r="O3302" s="1">
        <v>0.11483428571428569</v>
      </c>
      <c r="P3302" s="1">
        <v>8.7262443207860002E-2</v>
      </c>
      <c r="Q3302" s="1">
        <v>5.231975686733918</v>
      </c>
      <c r="R3302" s="2">
        <f t="shared" si="207"/>
        <v>371.19664003509729</v>
      </c>
      <c r="S3302" s="2">
        <f t="shared" si="206"/>
        <v>2.6199137313434355</v>
      </c>
      <c r="T3302" s="2">
        <f t="shared" si="208"/>
        <v>4.8263810360078558</v>
      </c>
      <c r="U3302" s="2">
        <f t="shared" si="209"/>
        <v>378.64293480244856</v>
      </c>
    </row>
    <row r="3303" spans="1:21" x14ac:dyDescent="0.25">
      <c r="A3303">
        <v>4624913</v>
      </c>
      <c r="B3303">
        <v>17</v>
      </c>
      <c r="C3303" s="1">
        <f>8.06564337624833*(10.3/7.3)</f>
        <v>11.38029133909011</v>
      </c>
      <c r="D3303" s="1">
        <f>8.5949507203729*(10.3/7.3)</f>
        <v>12.127122249293265</v>
      </c>
      <c r="E3303" s="1">
        <f>30.4205824690489*(10.3/7.3)</f>
        <v>42.922191702904641</v>
      </c>
      <c r="F3303" s="1">
        <f>71.3358051085882*(38.9/42.5)</f>
        <v>65.293242793507758</v>
      </c>
      <c r="G3303" s="1">
        <v>3.0331017539340213</v>
      </c>
      <c r="H3303" s="1">
        <v>9.3113864007509797</v>
      </c>
      <c r="I3303" s="1">
        <v>57.406460255515192</v>
      </c>
      <c r="J3303" s="1">
        <v>3.4000542106369783E-2</v>
      </c>
      <c r="K3303" s="1">
        <v>2.3202660449177852</v>
      </c>
      <c r="L3303" s="1">
        <v>2.7101482576870728</v>
      </c>
      <c r="M3303" s="1">
        <v>0.11212685952352265</v>
      </c>
      <c r="N3303" s="1">
        <v>1.4319909649425051</v>
      </c>
      <c r="O3303" s="1">
        <v>0.10569098039215685</v>
      </c>
      <c r="P3303" s="1">
        <v>8.1994899721600886E-2</v>
      </c>
      <c r="Q3303" s="1">
        <v>4.8474228944151063</v>
      </c>
      <c r="R3303" s="2">
        <f t="shared" si="207"/>
        <v>206.32121938941108</v>
      </c>
      <c r="S3303" s="2">
        <f t="shared" si="206"/>
        <v>2.4362614867457557</v>
      </c>
      <c r="T3303" s="2">
        <f t="shared" si="208"/>
        <v>4.3599570625452575</v>
      </c>
      <c r="U3303" s="2">
        <f t="shared" si="209"/>
        <v>213.1174379387021</v>
      </c>
    </row>
    <row r="3304" spans="1:21" x14ac:dyDescent="0.25">
      <c r="A3304">
        <v>4636341</v>
      </c>
      <c r="B3304">
        <v>55</v>
      </c>
      <c r="C3304" s="1">
        <f>0.656580422614157*(10.3/7.3)</f>
        <v>0.92640799355148118</v>
      </c>
      <c r="D3304" s="1">
        <f>0.905669326081697*(10.3/7.3)</f>
        <v>1.2778621998139019</v>
      </c>
      <c r="E3304" s="1">
        <f>3.15298109883822*(10.3/7.3)</f>
        <v>4.448726755895021</v>
      </c>
      <c r="F3304" s="1">
        <f>8.11644762855559*(38.9/42.5)</f>
        <v>7.4289367706073488</v>
      </c>
      <c r="G3304" s="1">
        <v>0.38897927598767468</v>
      </c>
      <c r="H3304" s="1">
        <v>1.6188168340704787</v>
      </c>
      <c r="I3304" s="1">
        <v>6.1648936054965819</v>
      </c>
      <c r="J3304" s="1">
        <v>6.2178827770048892E-2</v>
      </c>
      <c r="K3304" s="1">
        <v>3.1687785973992777</v>
      </c>
      <c r="L3304" s="1">
        <v>2.4167478623842014</v>
      </c>
      <c r="M3304" s="1">
        <v>0.36359872151957828</v>
      </c>
      <c r="N3304" s="1">
        <v>1.5390010464392443</v>
      </c>
      <c r="O3304" s="1">
        <v>0.599283393939394</v>
      </c>
      <c r="P3304" s="1">
        <v>0.27623350406638197</v>
      </c>
      <c r="Q3304" s="1">
        <v>0.62165637714925237</v>
      </c>
      <c r="R3304" s="2">
        <f t="shared" si="207"/>
        <v>22.876279812571742</v>
      </c>
      <c r="S3304" s="2">
        <f t="shared" si="206"/>
        <v>3.5071909292357084</v>
      </c>
      <c r="T3304" s="2">
        <f t="shared" si="208"/>
        <v>4.9186310242824183</v>
      </c>
      <c r="U3304" s="2">
        <f t="shared" si="209"/>
        <v>31.302101766089869</v>
      </c>
    </row>
    <row r="3305" spans="1:21" x14ac:dyDescent="0.25">
      <c r="A3305">
        <v>4636349</v>
      </c>
      <c r="B3305">
        <v>67</v>
      </c>
      <c r="C3305" s="1">
        <f>0.78250072859727*(10.3/7.3)</f>
        <v>1.1040763704865595</v>
      </c>
      <c r="D3305" s="1">
        <f>1.09260546804279*(10.3/7.3)</f>
        <v>1.5416214138137971</v>
      </c>
      <c r="E3305" s="1">
        <f>3.79679253251865*(10.3/7.3)</f>
        <v>5.3571182308139793</v>
      </c>
      <c r="F3305" s="1">
        <f>10.0336722291967*(38.9/42.5)</f>
        <v>9.1837611697824233</v>
      </c>
      <c r="G3305" s="1">
        <v>0.49094962187067126</v>
      </c>
      <c r="H3305" s="1">
        <v>2.0455480097701981</v>
      </c>
      <c r="I3305" s="1">
        <v>7.6346060139031344</v>
      </c>
      <c r="J3305" s="1">
        <v>6.7296071624294837E-2</v>
      </c>
      <c r="K3305" s="1">
        <v>3.6434854113603858</v>
      </c>
      <c r="L3305" s="1">
        <v>2.8212578925686524</v>
      </c>
      <c r="M3305" s="1">
        <v>0.4471039423642813</v>
      </c>
      <c r="N3305" s="1">
        <v>1.8517514974923246</v>
      </c>
      <c r="O3305" s="1">
        <v>0.74653930348258712</v>
      </c>
      <c r="P3305" s="1">
        <v>0.30776564123872713</v>
      </c>
      <c r="Q3305" s="1">
        <v>0.78462268335495489</v>
      </c>
      <c r="R3305" s="2">
        <f t="shared" si="207"/>
        <v>28.142303513795717</v>
      </c>
      <c r="S3305" s="2">
        <f t="shared" si="206"/>
        <v>4.0185471242234074</v>
      </c>
      <c r="T3305" s="2">
        <f t="shared" si="208"/>
        <v>5.8666526359078457</v>
      </c>
      <c r="U3305" s="2">
        <f t="shared" si="209"/>
        <v>38.027503273926975</v>
      </c>
    </row>
    <row r="3306" spans="1:21" x14ac:dyDescent="0.25">
      <c r="A3306">
        <v>4636357</v>
      </c>
      <c r="B3306">
        <v>65</v>
      </c>
      <c r="C3306" s="1">
        <f>0.995582455317247*(10.3/7.3)</f>
        <v>1.4047259301051569</v>
      </c>
      <c r="D3306" s="1">
        <f>1.42178118000069*(10.3/7.3)</f>
        <v>2.0060748156174149</v>
      </c>
      <c r="E3306" s="1">
        <f>4.9241646135484*(10.3/7.3)</f>
        <v>6.9477939067874637</v>
      </c>
      <c r="F3306" s="1">
        <f>13.6287539164397*(38.9/42.5)</f>
        <v>12.474318290576615</v>
      </c>
      <c r="G3306" s="1">
        <v>0.69013591700909205</v>
      </c>
      <c r="H3306" s="1">
        <v>2.7923358448796636</v>
      </c>
      <c r="I3306" s="1">
        <v>10.401288198624897</v>
      </c>
      <c r="J3306" s="1">
        <v>8.263463061026706E-2</v>
      </c>
      <c r="K3306" s="1">
        <v>4.2529903698605578</v>
      </c>
      <c r="L3306" s="1">
        <v>3.5591184677141738</v>
      </c>
      <c r="M3306" s="1">
        <v>0.55447744773883978</v>
      </c>
      <c r="N3306" s="1">
        <v>2.3546748353853029</v>
      </c>
      <c r="O3306" s="1">
        <v>0.86902153846153851</v>
      </c>
      <c r="P3306" s="1">
        <v>0.34888164708496283</v>
      </c>
      <c r="Q3306" s="1">
        <v>1.1029569449917007</v>
      </c>
      <c r="R3306" s="2">
        <f t="shared" si="207"/>
        <v>37.819629848592001</v>
      </c>
      <c r="S3306" s="2">
        <f t="shared" si="206"/>
        <v>4.6845066475557875</v>
      </c>
      <c r="T3306" s="2">
        <f t="shared" si="208"/>
        <v>7.3372922892998549</v>
      </c>
      <c r="U3306" s="2">
        <f t="shared" si="209"/>
        <v>49.84142878544764</v>
      </c>
    </row>
    <row r="3307" spans="1:21" x14ac:dyDescent="0.25">
      <c r="A3307">
        <v>4636509</v>
      </c>
      <c r="B3307">
        <v>12</v>
      </c>
      <c r="C3307" s="1">
        <f>1.39558129991357*(10.3/7.3)</f>
        <v>1.9691078615218809</v>
      </c>
      <c r="D3307" s="1">
        <f>2.12413255539958*(10.3/7.3)</f>
        <v>2.9970637425500968</v>
      </c>
      <c r="E3307" s="1">
        <f>7.21630800369826*(10.3/7.3)</f>
        <v>10.181914032615358</v>
      </c>
      <c r="F3307" s="1">
        <f>26.2411189554914*(38.9/42.5)</f>
        <v>24.018341820438035</v>
      </c>
      <c r="G3307" s="1">
        <v>1.5449577385636519</v>
      </c>
      <c r="H3307" s="1">
        <v>10.292519437506396</v>
      </c>
      <c r="I3307" s="1">
        <v>20.644457523284796</v>
      </c>
      <c r="J3307" s="1">
        <v>4.0259517248487892E-2</v>
      </c>
      <c r="K3307" s="1">
        <v>3.0745371328103475</v>
      </c>
      <c r="L3307" s="1">
        <v>3.272726084010976</v>
      </c>
      <c r="M3307" s="1">
        <v>0.64948807009497156</v>
      </c>
      <c r="N3307" s="1">
        <v>1.8929951289393045</v>
      </c>
      <c r="O3307" s="1">
        <v>0.34699999999999998</v>
      </c>
      <c r="P3307" s="1">
        <v>0.23605473276075328</v>
      </c>
      <c r="Q3307" s="1">
        <v>2.4691105410834644</v>
      </c>
      <c r="R3307" s="2">
        <f t="shared" si="207"/>
        <v>74.117472697563684</v>
      </c>
      <c r="S3307" s="2">
        <f t="shared" si="206"/>
        <v>3.3508513828195885</v>
      </c>
      <c r="T3307" s="2">
        <f t="shared" si="208"/>
        <v>6.162209283045252</v>
      </c>
      <c r="U3307" s="2">
        <f t="shared" si="209"/>
        <v>83.630533363428526</v>
      </c>
    </row>
    <row r="3308" spans="1:21" x14ac:dyDescent="0.25">
      <c r="A3308">
        <v>4636517</v>
      </c>
      <c r="B3308">
        <v>9</v>
      </c>
      <c r="C3308" s="1">
        <f>1.59768120086188*(10.3/7.3)</f>
        <v>2.2542625162845691</v>
      </c>
      <c r="D3308" s="1">
        <f>2.74411831829648*(10.3/7.3)</f>
        <v>3.8718381751306459</v>
      </c>
      <c r="E3308" s="1">
        <f>9.26167830871681*(10.3/7.3)</f>
        <v>13.067847476682628</v>
      </c>
      <c r="F3308" s="1">
        <f>34.787153929138*(38.9/42.5)</f>
        <v>31.840477361022788</v>
      </c>
      <c r="G3308" s="1">
        <v>2.0910591843205779</v>
      </c>
      <c r="H3308" s="1">
        <v>10.290373354782156</v>
      </c>
      <c r="I3308" s="1">
        <v>27.018948924939348</v>
      </c>
      <c r="J3308" s="1">
        <v>4.0388699229540991E-2</v>
      </c>
      <c r="K3308" s="1">
        <v>3.0401023728452445</v>
      </c>
      <c r="L3308" s="1">
        <v>3.3209836969756434</v>
      </c>
      <c r="M3308" s="1">
        <v>0.66669875364059883</v>
      </c>
      <c r="N3308" s="1">
        <v>1.8202840114471901</v>
      </c>
      <c r="O3308" s="1">
        <v>0.34049185185185193</v>
      </c>
      <c r="P3308" s="1">
        <v>0.22678899599912697</v>
      </c>
      <c r="Q3308" s="1">
        <v>3.341875408731521</v>
      </c>
      <c r="R3308" s="2">
        <f t="shared" si="207"/>
        <v>93.776682401894234</v>
      </c>
      <c r="S3308" s="2">
        <f t="shared" si="206"/>
        <v>3.3072800680739127</v>
      </c>
      <c r="T3308" s="2">
        <f t="shared" si="208"/>
        <v>6.1484583139152846</v>
      </c>
      <c r="U3308" s="2">
        <f t="shared" si="209"/>
        <v>103.23242078388343</v>
      </c>
    </row>
    <row r="3309" spans="1:21" x14ac:dyDescent="0.25">
      <c r="A3309">
        <v>4636525</v>
      </c>
      <c r="B3309">
        <v>7</v>
      </c>
      <c r="C3309" s="1">
        <f>2.72579532782672*(10.3/7.3)</f>
        <v>3.8459851885774312</v>
      </c>
      <c r="D3309" s="1">
        <f>7.74528016520973*(10.3/7.3)</f>
        <v>10.928272013926053</v>
      </c>
      <c r="E3309" s="1">
        <f>26.4817668727237*(10.3/7.3)</f>
        <v>37.364684765623785</v>
      </c>
      <c r="F3309" s="1">
        <f>63.7249644669293*(38.9/42.5)</f>
        <v>58.327085123848207</v>
      </c>
      <c r="G3309" s="1">
        <v>3.1041959228517935</v>
      </c>
      <c r="H3309" s="1">
        <v>13.918132919366181</v>
      </c>
      <c r="I3309" s="1">
        <v>41.231720016061395</v>
      </c>
      <c r="J3309" s="1">
        <v>4.2092581271606221E-2</v>
      </c>
      <c r="K3309" s="1">
        <v>3.1660375495011199</v>
      </c>
      <c r="L3309" s="1">
        <v>3.4027489901005268</v>
      </c>
      <c r="M3309" s="1">
        <v>0.68407387444130485</v>
      </c>
      <c r="N3309" s="1">
        <v>1.9165643542614155</v>
      </c>
      <c r="O3309" s="1">
        <v>0.34563809523809524</v>
      </c>
      <c r="P3309" s="1">
        <v>0.2348943079206782</v>
      </c>
      <c r="Q3309" s="1">
        <v>4.9610437123202233</v>
      </c>
      <c r="R3309" s="2">
        <f t="shared" si="207"/>
        <v>173.68111966257507</v>
      </c>
      <c r="S3309" s="2">
        <f t="shared" si="206"/>
        <v>3.4430244386934041</v>
      </c>
      <c r="T3309" s="2">
        <f t="shared" si="208"/>
        <v>6.3490253140413424</v>
      </c>
      <c r="U3309" s="2">
        <f t="shared" si="209"/>
        <v>183.47316941530983</v>
      </c>
    </row>
    <row r="3310" spans="1:21" x14ac:dyDescent="0.25">
      <c r="A3310">
        <v>4636885</v>
      </c>
      <c r="B3310">
        <v>59</v>
      </c>
      <c r="C3310" s="1">
        <f>7.03774871841587*(10.3/7.3)</f>
        <v>9.9299742191347224</v>
      </c>
      <c r="D3310" s="1">
        <f>10.9883995959248*(10.3/7.3)</f>
        <v>15.504180251784254</v>
      </c>
      <c r="E3310" s="1">
        <f>38.6421813406464*(10.3/7.3)</f>
        <v>54.522529836802484</v>
      </c>
      <c r="F3310" s="1">
        <f>70.3563067194578*(38.9/42.5)</f>
        <v>64.396713679691956</v>
      </c>
      <c r="G3310" s="1">
        <v>2.3879125624460298</v>
      </c>
      <c r="H3310" s="1">
        <v>4.3667548704429233</v>
      </c>
      <c r="I3310" s="1">
        <v>47.374719840137111</v>
      </c>
      <c r="J3310" s="1">
        <v>4.0168899676723567E-2</v>
      </c>
      <c r="K3310" s="1">
        <v>2.5678616697757084</v>
      </c>
      <c r="L3310" s="1">
        <v>3.6792845400169338</v>
      </c>
      <c r="M3310" s="1">
        <v>0.19271366011409166</v>
      </c>
      <c r="N3310" s="1">
        <v>1.9064107600911919</v>
      </c>
      <c r="O3310" s="1">
        <v>0.15935186440677965</v>
      </c>
      <c r="P3310" s="1">
        <v>0.11987808655865126</v>
      </c>
      <c r="Q3310" s="1">
        <v>3.8162986157813292</v>
      </c>
      <c r="R3310" s="2">
        <f t="shared" si="207"/>
        <v>202.29908387622081</v>
      </c>
      <c r="S3310" s="2">
        <f t="shared" si="206"/>
        <v>2.7279086560110835</v>
      </c>
      <c r="T3310" s="2">
        <f t="shared" si="208"/>
        <v>5.937760824628997</v>
      </c>
      <c r="U3310" s="2">
        <f t="shared" si="209"/>
        <v>210.96475335686091</v>
      </c>
    </row>
    <row r="3311" spans="1:21" x14ac:dyDescent="0.25">
      <c r="A3311">
        <v>4636893</v>
      </c>
      <c r="B3311">
        <v>58</v>
      </c>
      <c r="C3311" s="1">
        <f>8.43726255826429*(10.3/7.3)</f>
        <v>11.904630732893446</v>
      </c>
      <c r="D3311" s="1">
        <f>12.2785002050375*(10.3/7.3)</f>
        <v>17.324459193409126</v>
      </c>
      <c r="E3311" s="1">
        <f>43.287441949692*(10.3/7.3)</f>
        <v>61.076801655044854</v>
      </c>
      <c r="F3311" s="1">
        <f>79.1284360906907*(38.9/42.5)</f>
        <v>72.425792092420437</v>
      </c>
      <c r="G3311" s="1">
        <v>2.6593976093815304</v>
      </c>
      <c r="H3311" s="1">
        <v>5.0491695849521809</v>
      </c>
      <c r="I3311" s="1">
        <v>54.660175768444454</v>
      </c>
      <c r="J3311" s="1">
        <v>4.7555340315597536E-2</v>
      </c>
      <c r="K3311" s="1">
        <v>2.9804654551895116</v>
      </c>
      <c r="L3311" s="1">
        <v>4.5481878054793485</v>
      </c>
      <c r="M3311" s="1">
        <v>0.22726376518573954</v>
      </c>
      <c r="N3311" s="1">
        <v>2.3366573328199398</v>
      </c>
      <c r="O3311" s="1">
        <v>0.18697655172413791</v>
      </c>
      <c r="P3311" s="1">
        <v>0.13365151277542661</v>
      </c>
      <c r="Q3311" s="1">
        <v>4.2501788277787069</v>
      </c>
      <c r="R3311" s="2">
        <f t="shared" si="207"/>
        <v>229.35060546432473</v>
      </c>
      <c r="S3311" s="2">
        <f t="shared" si="206"/>
        <v>3.1616723082805356</v>
      </c>
      <c r="T3311" s="2">
        <f t="shared" si="208"/>
        <v>7.2990854552091662</v>
      </c>
      <c r="U3311" s="2">
        <f t="shared" si="209"/>
        <v>239.81136322781444</v>
      </c>
    </row>
    <row r="3312" spans="1:21" x14ac:dyDescent="0.25">
      <c r="A3312">
        <v>4636901</v>
      </c>
      <c r="B3312">
        <v>58</v>
      </c>
      <c r="C3312" s="1">
        <f>10.495675818216*(10.3/7.3)</f>
        <v>14.808967250359618</v>
      </c>
      <c r="D3312" s="1">
        <f>15.1153851881583*(10.3/7.3)</f>
        <v>21.327187320278082</v>
      </c>
      <c r="E3312" s="1">
        <f>53.2820460625353*(10.3/7.3)</f>
        <v>75.178777321111383</v>
      </c>
      <c r="F3312" s="1">
        <f>98.8344724709549*(38.9/42.5)</f>
        <v>90.462611273415206</v>
      </c>
      <c r="G3312" s="1">
        <v>3.3861728419235275</v>
      </c>
      <c r="H3312" s="1">
        <v>6.1844827387433012</v>
      </c>
      <c r="I3312" s="1">
        <v>68.814138430815817</v>
      </c>
      <c r="J3312" s="1">
        <v>6.0659377739484432E-2</v>
      </c>
      <c r="K3312" s="1">
        <v>3.6224811724267543</v>
      </c>
      <c r="L3312" s="1">
        <v>5.8962556165368936</v>
      </c>
      <c r="M3312" s="1">
        <v>0.27861942327584271</v>
      </c>
      <c r="N3312" s="1">
        <v>2.9565285291756727</v>
      </c>
      <c r="O3312" s="1">
        <v>0.22833655172413792</v>
      </c>
      <c r="P3312" s="1">
        <v>0.15413852187484173</v>
      </c>
      <c r="Q3312" s="1">
        <v>5.4116917564987936</v>
      </c>
      <c r="R3312" s="2">
        <f t="shared" si="207"/>
        <v>285.57402893314571</v>
      </c>
      <c r="S3312" s="2">
        <f t="shared" si="206"/>
        <v>3.8372790720410803</v>
      </c>
      <c r="T3312" s="2">
        <f t="shared" si="208"/>
        <v>9.3597401207125461</v>
      </c>
      <c r="U3312" s="2">
        <f t="shared" si="209"/>
        <v>298.77104812589937</v>
      </c>
    </row>
    <row r="3313" spans="1:21" x14ac:dyDescent="0.25">
      <c r="A3313">
        <v>4636909</v>
      </c>
      <c r="B3313">
        <v>58</v>
      </c>
      <c r="C3313" s="1">
        <f>9.0184252411324*(10.3/7.3)</f>
        <v>12.724627395022429</v>
      </c>
      <c r="D3313" s="1">
        <f>13.1146691033151*(10.3/7.3)</f>
        <v>18.504259145773418</v>
      </c>
      <c r="E3313" s="1">
        <f>46.1812905729863*(10.3/7.3)</f>
        <v>65.159903137227289</v>
      </c>
      <c r="F3313" s="1">
        <f>87.2026355814809*(38.9/42.5)</f>
        <v>79.81605939104962</v>
      </c>
      <c r="G3313" s="1">
        <v>3.0707442143858268</v>
      </c>
      <c r="H3313" s="1">
        <v>5.9740186260627457</v>
      </c>
      <c r="I3313" s="1">
        <v>60.820938096306264</v>
      </c>
      <c r="J3313" s="1">
        <v>5.9090562888281128E-2</v>
      </c>
      <c r="K3313" s="1">
        <v>3.5614664489021983</v>
      </c>
      <c r="L3313" s="1">
        <v>5.7414761392686495</v>
      </c>
      <c r="M3313" s="1">
        <v>0.26944484435287974</v>
      </c>
      <c r="N3313" s="1">
        <v>2.9895472912489813</v>
      </c>
      <c r="O3313" s="1">
        <v>0.22141885057471267</v>
      </c>
      <c r="P3313" s="1">
        <v>0.15015284334174192</v>
      </c>
      <c r="Q3313" s="1">
        <v>4.9075820777855759</v>
      </c>
      <c r="R3313" s="2">
        <f t="shared" si="207"/>
        <v>250.97813208361316</v>
      </c>
      <c r="S3313" s="2">
        <f t="shared" si="206"/>
        <v>3.7707098551322216</v>
      </c>
      <c r="T3313" s="2">
        <f t="shared" si="208"/>
        <v>9.2218871254452228</v>
      </c>
      <c r="U3313" s="2">
        <f t="shared" si="209"/>
        <v>263.97072906419061</v>
      </c>
    </row>
    <row r="3314" spans="1:21" x14ac:dyDescent="0.25">
      <c r="A3314">
        <v>4636917</v>
      </c>
      <c r="B3314">
        <v>55</v>
      </c>
      <c r="C3314" s="1">
        <f>8.29750458525484*(10.3/7.3)</f>
        <v>11.707437976455457</v>
      </c>
      <c r="D3314" s="1">
        <f>11.8872193304201*(10.3/7.3)</f>
        <v>16.772377959359925</v>
      </c>
      <c r="E3314" s="1">
        <f>41.8624189417514*(10.3/7.3)</f>
        <v>59.066152753430124</v>
      </c>
      <c r="F3314" s="1">
        <f>80.1152731117409*(38.9/42.5)</f>
        <v>73.329038212864006</v>
      </c>
      <c r="G3314" s="1">
        <v>2.8643262379041547</v>
      </c>
      <c r="H3314" s="1">
        <v>5.9163887145057625</v>
      </c>
      <c r="I3314" s="1">
        <v>56.369052966619165</v>
      </c>
      <c r="J3314" s="1">
        <v>5.82503925824569E-2</v>
      </c>
      <c r="K3314" s="1">
        <v>3.5128067072026683</v>
      </c>
      <c r="L3314" s="1">
        <v>5.593338027290411</v>
      </c>
      <c r="M3314" s="1">
        <v>0.26005080136571118</v>
      </c>
      <c r="N3314" s="1">
        <v>2.9475185658415155</v>
      </c>
      <c r="O3314" s="1">
        <v>0.21520290909090906</v>
      </c>
      <c r="P3314" s="1">
        <v>0.14684964276837101</v>
      </c>
      <c r="Q3314" s="1">
        <v>4.5776903345500211</v>
      </c>
      <c r="R3314" s="2">
        <f t="shared" si="207"/>
        <v>230.60246515568863</v>
      </c>
      <c r="S3314" s="2">
        <f t="shared" si="206"/>
        <v>3.7179067425534962</v>
      </c>
      <c r="T3314" s="2">
        <f t="shared" si="208"/>
        <v>9.0161103035885475</v>
      </c>
      <c r="U3314" s="2">
        <f t="shared" si="209"/>
        <v>243.33648220183068</v>
      </c>
    </row>
    <row r="3315" spans="1:21" x14ac:dyDescent="0.25">
      <c r="A3315">
        <v>4636925</v>
      </c>
      <c r="B3315">
        <v>48</v>
      </c>
      <c r="C3315" s="1">
        <f>7.16643128810231*(10.3/7.3)</f>
        <v>10.1115400366375</v>
      </c>
      <c r="D3315" s="1">
        <f>10.1379977685301*(10.3/7.3)</f>
        <v>14.304298221350676</v>
      </c>
      <c r="E3315" s="1">
        <f>35.7051121112415*(10.3/7.3)</f>
        <v>50.378445855587302</v>
      </c>
      <c r="F3315" s="1">
        <f>69.0948928416324*(38.9/42.5)</f>
        <v>63.242148977399992</v>
      </c>
      <c r="G3315" s="1">
        <v>2.5006203665631284</v>
      </c>
      <c r="H3315" s="1">
        <v>7.5099365696412832</v>
      </c>
      <c r="I3315" s="1">
        <v>48.965928785991423</v>
      </c>
      <c r="J3315" s="1">
        <v>5.5438694689153856E-2</v>
      </c>
      <c r="K3315" s="1">
        <v>3.2076193092507563</v>
      </c>
      <c r="L3315" s="1">
        <v>4.8852825060190668</v>
      </c>
      <c r="M3315" s="1">
        <v>0.23167492374014684</v>
      </c>
      <c r="N3315" s="1">
        <v>2.6123409908618629</v>
      </c>
      <c r="O3315" s="1">
        <v>0.19385111111111109</v>
      </c>
      <c r="P3315" s="1">
        <v>0.13442015741531907</v>
      </c>
      <c r="Q3315" s="1">
        <v>3.9964252433657332</v>
      </c>
      <c r="R3315" s="2">
        <f t="shared" si="207"/>
        <v>201.00934405653706</v>
      </c>
      <c r="S3315" s="2">
        <f t="shared" si="206"/>
        <v>3.3974781613552292</v>
      </c>
      <c r="T3315" s="2">
        <f t="shared" si="208"/>
        <v>7.9231495317321867</v>
      </c>
      <c r="U3315" s="2">
        <f t="shared" si="209"/>
        <v>212.32997174962446</v>
      </c>
    </row>
    <row r="3316" spans="1:21" x14ac:dyDescent="0.25">
      <c r="A3316">
        <v>4636933</v>
      </c>
      <c r="B3316">
        <v>39</v>
      </c>
      <c r="C3316" s="1">
        <f>5.44185074319209*(10.3/7.3)</f>
        <v>7.6782277609422653</v>
      </c>
      <c r="D3316" s="1">
        <f>7.5899831193767*(10.3/7.3)</f>
        <v>10.709154264326022</v>
      </c>
      <c r="E3316" s="1">
        <f>26.7370660309528*(10.3/7.3)</f>
        <v>37.724901386138846</v>
      </c>
      <c r="F3316" s="1">
        <f>52.217052353935*(38.9/42.5)</f>
        <v>47.793960860425194</v>
      </c>
      <c r="G3316" s="1">
        <v>1.9070162636551555</v>
      </c>
      <c r="H3316" s="1">
        <v>6.7501263885489964</v>
      </c>
      <c r="I3316" s="1">
        <v>37.268132005029507</v>
      </c>
      <c r="J3316" s="1">
        <v>4.6990761608784966E-2</v>
      </c>
      <c r="K3316" s="1">
        <v>2.9468651549552054</v>
      </c>
      <c r="L3316" s="1">
        <v>4.2439295917472108</v>
      </c>
      <c r="M3316" s="1">
        <v>0.20464111038204039</v>
      </c>
      <c r="N3316" s="1">
        <v>2.2358497943700595</v>
      </c>
      <c r="O3316" s="1">
        <v>0.17490871794871793</v>
      </c>
      <c r="P3316" s="1">
        <v>0.12499880683683906</v>
      </c>
      <c r="Q3316" s="1">
        <v>3.0477428871201147</v>
      </c>
      <c r="R3316" s="2">
        <f t="shared" si="207"/>
        <v>152.87926181618607</v>
      </c>
      <c r="S3316" s="2">
        <f t="shared" si="206"/>
        <v>3.1188547234008297</v>
      </c>
      <c r="T3316" s="2">
        <f t="shared" si="208"/>
        <v>6.859329214448028</v>
      </c>
      <c r="U3316" s="2">
        <f t="shared" si="209"/>
        <v>162.85744575403493</v>
      </c>
    </row>
    <row r="3317" spans="1:21" x14ac:dyDescent="0.25">
      <c r="A3317">
        <v>4636941</v>
      </c>
      <c r="B3317">
        <v>43</v>
      </c>
      <c r="C3317" s="1">
        <f>8.19249196110809*(10.3/7.3)</f>
        <v>11.559269479371697</v>
      </c>
      <c r="D3317" s="1">
        <f>11.2160467224494*(10.3/7.3)</f>
        <v>15.825380991949222</v>
      </c>
      <c r="E3317" s="1">
        <f>39.5093172580483*(10.3/7.3)</f>
        <v>55.746022980533887</v>
      </c>
      <c r="F3317" s="1">
        <f>78.7395791317397*(38.9/42.5)</f>
        <v>72.069873605286475</v>
      </c>
      <c r="G3317" s="1">
        <v>2.9396568137624635</v>
      </c>
      <c r="H3317" s="1">
        <v>6.2249331918037729</v>
      </c>
      <c r="I3317" s="1">
        <v>56.827253745824265</v>
      </c>
      <c r="J3317" s="1">
        <v>6.1842622499157694E-2</v>
      </c>
      <c r="K3317" s="1">
        <v>3.704606010949882</v>
      </c>
      <c r="L3317" s="1">
        <v>5.8799898996328519</v>
      </c>
      <c r="M3317" s="1">
        <v>0.24870893081488529</v>
      </c>
      <c r="N3317" s="1">
        <v>2.8996199928147575</v>
      </c>
      <c r="O3317" s="1">
        <v>0.21472124031007744</v>
      </c>
      <c r="P3317" s="1">
        <v>0.14682451941482283</v>
      </c>
      <c r="Q3317" s="1">
        <v>4.6980816658304247</v>
      </c>
      <c r="R3317" s="2">
        <f t="shared" si="207"/>
        <v>225.89047247436221</v>
      </c>
      <c r="S3317" s="2">
        <f t="shared" si="206"/>
        <v>3.9132731528638622</v>
      </c>
      <c r="T3317" s="2">
        <f t="shared" si="208"/>
        <v>9.2430400635725718</v>
      </c>
      <c r="U3317" s="2">
        <f t="shared" si="209"/>
        <v>239.04678569079866</v>
      </c>
    </row>
    <row r="3318" spans="1:21" x14ac:dyDescent="0.25">
      <c r="A3318">
        <v>4636949</v>
      </c>
      <c r="B3318">
        <v>58</v>
      </c>
      <c r="C3318" s="1">
        <f>8.35492602786622*(10.3/7.3)</f>
        <v>11.788457272194799</v>
      </c>
      <c r="D3318" s="1">
        <f>11.2543088817795*(10.3/7.3)</f>
        <v>15.879367326346374</v>
      </c>
      <c r="E3318" s="1">
        <f>39.6480103219047*(10.3/7.3)</f>
        <v>55.941713193920322</v>
      </c>
      <c r="F3318" s="1">
        <f>80.1719343599785*(38.9/42.5)</f>
        <v>73.380899920074398</v>
      </c>
      <c r="G3318" s="1">
        <v>3.0373162905127051</v>
      </c>
      <c r="H3318" s="1">
        <v>6.2313361969597469</v>
      </c>
      <c r="I3318" s="1">
        <v>58.367409011494551</v>
      </c>
      <c r="J3318" s="1">
        <v>6.3875287235343123E-2</v>
      </c>
      <c r="K3318" s="1">
        <v>3.8227892866621516</v>
      </c>
      <c r="L3318" s="1">
        <v>6.0778570190802466</v>
      </c>
      <c r="M3318" s="1">
        <v>0.24837485948131294</v>
      </c>
      <c r="N3318" s="1">
        <v>3.3862419366260039</v>
      </c>
      <c r="O3318" s="1">
        <v>0.21739494252873565</v>
      </c>
      <c r="P3318" s="1">
        <v>0.14797316675121891</v>
      </c>
      <c r="Q3318" s="1">
        <v>4.8541584551572958</v>
      </c>
      <c r="R3318" s="2">
        <f t="shared" si="207"/>
        <v>229.48065766666016</v>
      </c>
      <c r="S3318" s="2">
        <f t="shared" si="206"/>
        <v>4.0346377406487131</v>
      </c>
      <c r="T3318" s="2">
        <f t="shared" si="208"/>
        <v>9.9298687577162994</v>
      </c>
      <c r="U3318" s="2">
        <f t="shared" si="209"/>
        <v>243.44516416502518</v>
      </c>
    </row>
    <row r="3319" spans="1:21" x14ac:dyDescent="0.25">
      <c r="A3319">
        <v>4636957</v>
      </c>
      <c r="B3319">
        <v>57</v>
      </c>
      <c r="C3319" s="1">
        <f>8.18287023206753*(10.3/7.3)</f>
        <v>11.545693615108977</v>
      </c>
      <c r="D3319" s="1">
        <f>10.866170204573*(10.3/7.3)</f>
        <v>15.331719603712541</v>
      </c>
      <c r="E3319" s="1">
        <f>38.279225926006*(10.3/7.3)</f>
        <v>54.010414662720855</v>
      </c>
      <c r="F3319" s="1">
        <f>78.6432242218312*(38.9/42.5)</f>
        <v>71.981680523040794</v>
      </c>
      <c r="G3319" s="1">
        <v>3.0281267676584296</v>
      </c>
      <c r="H3319" s="1">
        <v>6.1526669311157001</v>
      </c>
      <c r="I3319" s="1">
        <v>57.72569835282048</v>
      </c>
      <c r="J3319" s="1">
        <v>6.3558427984175714E-2</v>
      </c>
      <c r="K3319" s="1">
        <v>3.7891845640644566</v>
      </c>
      <c r="L3319" s="1">
        <v>5.9579072344409285</v>
      </c>
      <c r="M3319" s="1">
        <v>0.24005052390729123</v>
      </c>
      <c r="N3319" s="1">
        <v>3.45509122035718</v>
      </c>
      <c r="O3319" s="1">
        <v>0.2104533333333333</v>
      </c>
      <c r="P3319" s="1">
        <v>0.14381157121536048</v>
      </c>
      <c r="Q3319" s="1">
        <v>4.8394720031070841</v>
      </c>
      <c r="R3319" s="2">
        <f t="shared" si="207"/>
        <v>224.61547245928483</v>
      </c>
      <c r="S3319" s="2">
        <f t="shared" si="206"/>
        <v>3.9965545632639925</v>
      </c>
      <c r="T3319" s="2">
        <f t="shared" si="208"/>
        <v>9.8635023120387331</v>
      </c>
      <c r="U3319" s="2">
        <f t="shared" si="209"/>
        <v>238.47552933458758</v>
      </c>
    </row>
    <row r="3320" spans="1:21" x14ac:dyDescent="0.25">
      <c r="A3320">
        <v>4636965</v>
      </c>
      <c r="B3320">
        <v>59</v>
      </c>
      <c r="C3320" s="1">
        <f>8.31376765594701*(10.3/7.3)</f>
        <v>11.730384500856742</v>
      </c>
      <c r="D3320" s="1">
        <f>10.9202166009264*(10.3/7.3)</f>
        <v>15.407976847882527</v>
      </c>
      <c r="E3320" s="1">
        <f>38.4534434073074*(10.3/7.3)</f>
        <v>54.256228369214512</v>
      </c>
      <c r="F3320" s="1">
        <f>80.7261694912577*(38.9/42.5)</f>
        <v>73.888188075527594</v>
      </c>
      <c r="G3320" s="1">
        <v>3.1802947948377995</v>
      </c>
      <c r="H3320" s="1">
        <v>6.4015639171010283</v>
      </c>
      <c r="I3320" s="1">
        <v>59.738258202909662</v>
      </c>
      <c r="J3320" s="1">
        <v>6.5127136501851021E-2</v>
      </c>
      <c r="K3320" s="1">
        <v>3.862868233675679</v>
      </c>
      <c r="L3320" s="1">
        <v>6.0317174197883139</v>
      </c>
      <c r="M3320" s="1">
        <v>0.23787732490450531</v>
      </c>
      <c r="N3320" s="1">
        <v>3.1535818865983121</v>
      </c>
      <c r="O3320" s="1">
        <v>0.20918870056497174</v>
      </c>
      <c r="P3320" s="1">
        <v>0.1429355982671571</v>
      </c>
      <c r="Q3320" s="1">
        <v>5.0826629141243416</v>
      </c>
      <c r="R3320" s="2">
        <f t="shared" si="207"/>
        <v>229.68555762245421</v>
      </c>
      <c r="S3320" s="2">
        <f t="shared" si="206"/>
        <v>4.0709309684446868</v>
      </c>
      <c r="T3320" s="2">
        <f t="shared" si="208"/>
        <v>9.6323653318561036</v>
      </c>
      <c r="U3320" s="2">
        <f t="shared" si="209"/>
        <v>243.388853922755</v>
      </c>
    </row>
    <row r="3321" spans="1:21" x14ac:dyDescent="0.25">
      <c r="A3321">
        <v>4636973</v>
      </c>
      <c r="B3321">
        <v>33</v>
      </c>
      <c r="C3321" s="1">
        <f>7.23334129427631*(10.3/7.3)</f>
        <v>10.205947305622743</v>
      </c>
      <c r="D3321" s="1">
        <f>9.50075124549582*(10.3/7.3)</f>
        <v>13.405169565562595</v>
      </c>
      <c r="E3321" s="1">
        <f>33.410243455646*(10.3/7.3)</f>
        <v>47.140480492212795</v>
      </c>
      <c r="F3321" s="1">
        <f>72.408176796045*(38.9/42.5)</f>
        <v>66.274778290968257</v>
      </c>
      <c r="G3321" s="1">
        <v>2.9538622405233417</v>
      </c>
      <c r="H3321" s="1">
        <v>7.370241852866056</v>
      </c>
      <c r="I3321" s="1">
        <v>53.936996881261031</v>
      </c>
      <c r="J3321" s="1">
        <v>5.915771812768221E-2</v>
      </c>
      <c r="K3321" s="1">
        <v>3.5245839531940986</v>
      </c>
      <c r="L3321" s="1">
        <v>5.1857865194176904</v>
      </c>
      <c r="M3321" s="1">
        <v>0.211292899365563</v>
      </c>
      <c r="N3321" s="1">
        <v>3.2874941226043686</v>
      </c>
      <c r="O3321" s="1">
        <v>0.18591838383838383</v>
      </c>
      <c r="P3321" s="1">
        <v>0.12956327791312322</v>
      </c>
      <c r="Q3321" s="1">
        <v>4.7207844026628809</v>
      </c>
      <c r="R3321" s="2">
        <f t="shared" si="207"/>
        <v>206.00826103167969</v>
      </c>
      <c r="S3321" s="2">
        <f t="shared" si="206"/>
        <v>3.713304949234904</v>
      </c>
      <c r="T3321" s="2">
        <f t="shared" si="208"/>
        <v>8.8704919252260055</v>
      </c>
      <c r="U3321" s="2">
        <f t="shared" si="209"/>
        <v>218.59205790614061</v>
      </c>
    </row>
    <row r="3322" spans="1:21" x14ac:dyDescent="0.25">
      <c r="A3322">
        <v>4637013</v>
      </c>
      <c r="B3322">
        <v>7</v>
      </c>
      <c r="C3322" s="1">
        <f>7.24435897672313*(10.3/7.3)</f>
        <v>10.221492802773735</v>
      </c>
      <c r="D3322" s="1">
        <f>9.30038166703048*(10.3/7.3)</f>
        <v>13.122456324714243</v>
      </c>
      <c r="E3322" s="1">
        <f>32.5692004031967*(10.3/7.3)</f>
        <v>45.953803308619939</v>
      </c>
      <c r="F3322" s="1">
        <f>79.139960017262*(38.9/42.5)</f>
        <v>72.4363398746233</v>
      </c>
      <c r="G3322" s="1">
        <v>3.5864100435950159</v>
      </c>
      <c r="H3322" s="1">
        <v>14.63697732404176</v>
      </c>
      <c r="I3322" s="1">
        <v>60.61366230284618</v>
      </c>
      <c r="J3322" s="1">
        <v>5.7257791499904682E-2</v>
      </c>
      <c r="K3322" s="1">
        <v>3.8128361758541773</v>
      </c>
      <c r="L3322" s="1">
        <v>5.0862829521695065</v>
      </c>
      <c r="M3322" s="1">
        <v>0.18973487214701576</v>
      </c>
      <c r="N3322" s="1">
        <v>2.444665426462131</v>
      </c>
      <c r="O3322" s="1">
        <v>0.1701104761904762</v>
      </c>
      <c r="P3322" s="1">
        <v>0.1215788921398793</v>
      </c>
      <c r="Q3322" s="1">
        <v>5.7317055491244586</v>
      </c>
      <c r="R3322" s="2">
        <f t="shared" si="207"/>
        <v>226.30284753033862</v>
      </c>
      <c r="S3322" s="2">
        <f t="shared" si="206"/>
        <v>3.9916728594939612</v>
      </c>
      <c r="T3322" s="2">
        <f t="shared" si="208"/>
        <v>7.8907937269691297</v>
      </c>
      <c r="U3322" s="2">
        <f t="shared" si="209"/>
        <v>238.18531411680172</v>
      </c>
    </row>
    <row r="3323" spans="1:21" x14ac:dyDescent="0.25">
      <c r="A3323">
        <v>4637021</v>
      </c>
      <c r="B3323">
        <v>11</v>
      </c>
      <c r="C3323" s="1">
        <f>6.12427965417177*(10.3/7.3)</f>
        <v>8.6411069093108583</v>
      </c>
      <c r="D3323" s="1">
        <f>7.94775400206793*(10.3/7.3)</f>
        <v>11.213954276890364</v>
      </c>
      <c r="E3323" s="1">
        <f>27.7480859430277*(10.3/7.3)</f>
        <v>39.151408933313114</v>
      </c>
      <c r="F3323" s="1">
        <f>71.0482107461725*(38.9/42.5)</f>
        <v>65.030009365320282</v>
      </c>
      <c r="G3323" s="1">
        <v>3.3647693510982895</v>
      </c>
      <c r="H3323" s="1">
        <v>10.096191039670368</v>
      </c>
      <c r="I3323" s="1">
        <v>54.737060862580755</v>
      </c>
      <c r="J3323" s="1">
        <v>4.8589311969703661E-2</v>
      </c>
      <c r="K3323" s="1">
        <v>3.1975541448941907</v>
      </c>
      <c r="L3323" s="1">
        <v>4.2529714177440292</v>
      </c>
      <c r="M3323" s="1">
        <v>0.16574032949285475</v>
      </c>
      <c r="N3323" s="1">
        <v>2.1876713992325048</v>
      </c>
      <c r="O3323" s="1">
        <v>0.14795151515151514</v>
      </c>
      <c r="P3323" s="1">
        <v>0.10891669141216616</v>
      </c>
      <c r="Q3323" s="1">
        <v>5.377485264312341</v>
      </c>
      <c r="R3323" s="2">
        <f t="shared" si="207"/>
        <v>197.61198600249639</v>
      </c>
      <c r="S3323" s="2">
        <f t="shared" si="206"/>
        <v>3.3550601482760603</v>
      </c>
      <c r="T3323" s="2">
        <f t="shared" si="208"/>
        <v>6.7543346616209039</v>
      </c>
      <c r="U3323" s="2">
        <f t="shared" si="209"/>
        <v>207.72138081239336</v>
      </c>
    </row>
    <row r="3324" spans="1:21" x14ac:dyDescent="0.25">
      <c r="A3324">
        <v>4637037</v>
      </c>
      <c r="B3324">
        <v>6</v>
      </c>
      <c r="C3324" s="1">
        <f>4.12836095906602*(10.3/7.3)</f>
        <v>5.8249476545726102</v>
      </c>
      <c r="D3324" s="1">
        <f>5.20200802161102*(10.3/7.3)</f>
        <v>7.339819537341576</v>
      </c>
      <c r="E3324" s="1">
        <f>18.2732266954058*(10.3/7.3)</f>
        <v>25.782771912695814</v>
      </c>
      <c r="F3324" s="1">
        <f>42.3094861357913*(38.9/42.5)</f>
        <v>38.72562378075952</v>
      </c>
      <c r="G3324" s="1">
        <v>1.8308093439915119</v>
      </c>
      <c r="H3324" s="1">
        <v>10.233455508617553</v>
      </c>
      <c r="I3324" s="1">
        <v>32.30569457210914</v>
      </c>
      <c r="J3324" s="1">
        <v>4.1545207986925056E-2</v>
      </c>
      <c r="K3324" s="1">
        <v>2.3557031224459637</v>
      </c>
      <c r="L3324" s="1">
        <v>4.2294506913234775</v>
      </c>
      <c r="M3324" s="1">
        <v>0.12224066221373259</v>
      </c>
      <c r="N3324" s="1">
        <v>2.7807594770165021</v>
      </c>
      <c r="O3324" s="1">
        <v>0.11122666666666665</v>
      </c>
      <c r="P3324" s="1">
        <v>8.793525018828903E-2</v>
      </c>
      <c r="Q3324" s="1">
        <v>2.9259510063791314</v>
      </c>
      <c r="R3324" s="2">
        <f t="shared" si="207"/>
        <v>124.96907331646688</v>
      </c>
      <c r="S3324" s="2">
        <f t="shared" si="206"/>
        <v>2.4851835806211779</v>
      </c>
      <c r="T3324" s="2">
        <f t="shared" si="208"/>
        <v>7.2436774972203786</v>
      </c>
      <c r="U3324" s="2">
        <f t="shared" si="209"/>
        <v>134.69793439430845</v>
      </c>
    </row>
    <row r="3325" spans="1:21" x14ac:dyDescent="0.25">
      <c r="A3325">
        <v>4637141</v>
      </c>
      <c r="B3325">
        <v>10</v>
      </c>
      <c r="C3325" s="1">
        <f>12.4888378928598*(10.3/7.3)</f>
        <v>17.621237026911814</v>
      </c>
      <c r="D3325" s="1">
        <f>12.0511247316952*(10.3/7.3)</f>
        <v>17.003641744720557</v>
      </c>
      <c r="E3325" s="1">
        <f>42.9841902364602*(10.3/7.3)</f>
        <v>60.648925950074023</v>
      </c>
      <c r="F3325" s="1">
        <f>95.8509653539637*(38.9/42.5)</f>
        <v>87.731824759275042</v>
      </c>
      <c r="G3325" s="1">
        <v>3.7854728149266186</v>
      </c>
      <c r="H3325" s="1">
        <v>11.073898826607413</v>
      </c>
      <c r="I3325" s="1">
        <v>79.3228390198489</v>
      </c>
      <c r="J3325" s="1">
        <v>4.1224421782879349E-2</v>
      </c>
      <c r="K3325" s="1">
        <v>2.6960375559577492</v>
      </c>
      <c r="L3325" s="1">
        <v>3.3074936898136471</v>
      </c>
      <c r="M3325" s="1">
        <v>0.12961703917239237</v>
      </c>
      <c r="N3325" s="1">
        <v>1.6972715808336729</v>
      </c>
      <c r="O3325" s="1">
        <v>0.12294399999999998</v>
      </c>
      <c r="P3325" s="1">
        <v>9.2075541899305183E-2</v>
      </c>
      <c r="Q3325" s="1">
        <v>6.0498423982845564</v>
      </c>
      <c r="R3325" s="2">
        <f t="shared" si="207"/>
        <v>283.2376825406489</v>
      </c>
      <c r="S3325" s="2">
        <f t="shared" si="206"/>
        <v>2.829337519639934</v>
      </c>
      <c r="T3325" s="2">
        <f t="shared" si="208"/>
        <v>5.2573263098197129</v>
      </c>
      <c r="U3325" s="2">
        <f t="shared" si="209"/>
        <v>291.32434637010851</v>
      </c>
    </row>
    <row r="3326" spans="1:21" x14ac:dyDescent="0.25">
      <c r="A3326">
        <v>4637245</v>
      </c>
      <c r="B3326">
        <v>3</v>
      </c>
      <c r="C3326" s="1">
        <f>8.13046341538819*(10.3/7.3)</f>
        <v>11.471749750479223</v>
      </c>
      <c r="D3326" s="1">
        <f>8.81666476143421*(10.3/7.3)</f>
        <v>12.439951649694846</v>
      </c>
      <c r="E3326" s="1">
        <f>31.1238406374573*(10.3/7.3)</f>
        <v>43.914460077508259</v>
      </c>
      <c r="F3326" s="1">
        <f>75.6833837733888*(38.9/42.5)</f>
        <v>69.272555971407641</v>
      </c>
      <c r="G3326" s="1">
        <v>3.3400915146584746</v>
      </c>
      <c r="H3326" s="1">
        <v>10.096292830155312</v>
      </c>
      <c r="I3326" s="1">
        <v>60.835258349606796</v>
      </c>
      <c r="J3326" s="1">
        <v>3.3911684427689208E-2</v>
      </c>
      <c r="K3326" s="1">
        <v>2.2591850377385021</v>
      </c>
      <c r="L3326" s="1">
        <v>2.5260911828828161</v>
      </c>
      <c r="M3326" s="1">
        <v>0.10753090339371563</v>
      </c>
      <c r="N3326" s="1">
        <v>1.6388482877565436</v>
      </c>
      <c r="O3326" s="1">
        <v>0.10318222222222223</v>
      </c>
      <c r="P3326" s="1">
        <v>7.9688551777938307E-2</v>
      </c>
      <c r="Q3326" s="1">
        <v>5.3380457996824981</v>
      </c>
      <c r="R3326" s="2">
        <f t="shared" si="207"/>
        <v>216.70840594319304</v>
      </c>
      <c r="S3326" s="2">
        <f t="shared" si="206"/>
        <v>2.3727852739441295</v>
      </c>
      <c r="T3326" s="2">
        <f t="shared" si="208"/>
        <v>4.3756525962552972</v>
      </c>
      <c r="U3326" s="2">
        <f t="shared" si="209"/>
        <v>223.45684381339245</v>
      </c>
    </row>
    <row r="3327" spans="1:21" x14ac:dyDescent="0.25">
      <c r="A3327">
        <v>4637253</v>
      </c>
      <c r="B3327">
        <v>23</v>
      </c>
      <c r="C3327" s="1">
        <f>5.58474381221997*(10.3/7.3)</f>
        <v>7.8798440090226975</v>
      </c>
      <c r="D3327" s="1">
        <f>5.93739417280599*(10.3/7.3)</f>
        <v>8.3774191753289937</v>
      </c>
      <c r="E3327" s="1">
        <f>21.0674241357465*(10.3/7.3)</f>
        <v>29.725269670984744</v>
      </c>
      <c r="F3327" s="1">
        <f>46.8464561828792*(38.9/42.5)</f>
        <v>42.878285776799984</v>
      </c>
      <c r="G3327" s="1">
        <v>1.8849855142223348</v>
      </c>
      <c r="H3327" s="1">
        <v>4.2816662762848434</v>
      </c>
      <c r="I3327" s="1">
        <v>37.489617216566664</v>
      </c>
      <c r="J3327" s="1">
        <v>2.6259896643585336E-2</v>
      </c>
      <c r="K3327" s="1">
        <v>1.8608369565652083</v>
      </c>
      <c r="L3327" s="1">
        <v>1.9869869402866664</v>
      </c>
      <c r="M3327" s="1">
        <v>8.973248079332255E-2</v>
      </c>
      <c r="N3327" s="1">
        <v>1.1113308060626637</v>
      </c>
      <c r="O3327" s="1">
        <v>8.3675362318840568E-2</v>
      </c>
      <c r="P3327" s="1">
        <v>6.7569819042001794E-2</v>
      </c>
      <c r="Q3327" s="1">
        <v>3.0125339268393518</v>
      </c>
      <c r="R3327" s="2">
        <f t="shared" si="207"/>
        <v>135.5296215660496</v>
      </c>
      <c r="S3327" s="2">
        <f t="shared" si="206"/>
        <v>1.9546666722507955</v>
      </c>
      <c r="T3327" s="2">
        <f t="shared" si="208"/>
        <v>3.2717255894614934</v>
      </c>
      <c r="U3327" s="2">
        <f t="shared" si="209"/>
        <v>140.75601382776188</v>
      </c>
    </row>
    <row r="3328" spans="1:21" x14ac:dyDescent="0.25">
      <c r="A3328">
        <v>4637261</v>
      </c>
      <c r="B3328">
        <v>3</v>
      </c>
      <c r="C3328" s="1">
        <f>5.74204021416622*(10.3/7.3)</f>
        <v>8.1017827679331553</v>
      </c>
      <c r="D3328" s="1">
        <f>5.68484293483688*(10.3/7.3)</f>
        <v>8.0210797573725898</v>
      </c>
      <c r="E3328" s="1">
        <f>20.2655086408907*(10.3/7.3)</f>
        <v>28.593799863174503</v>
      </c>
      <c r="F3328" s="1">
        <f>44.2610473521246*(38.9/42.5)</f>
        <v>40.51187628229755</v>
      </c>
      <c r="G3328" s="1">
        <v>1.7174343562897521</v>
      </c>
      <c r="H3328" s="1">
        <v>3.7845702302234616</v>
      </c>
      <c r="I3328" s="1">
        <v>36.228780279354197</v>
      </c>
      <c r="J3328" s="1">
        <v>2.5411132900728411E-2</v>
      </c>
      <c r="K3328" s="1">
        <v>1.8287362523595501</v>
      </c>
      <c r="L3328" s="1">
        <v>1.9328851451050715</v>
      </c>
      <c r="M3328" s="1">
        <v>8.8032740466577497E-2</v>
      </c>
      <c r="N3328" s="1">
        <v>1.0898196518300394</v>
      </c>
      <c r="O3328" s="1">
        <v>8.1724444444444433E-2</v>
      </c>
      <c r="P3328" s="1">
        <v>6.6793435703634593E-2</v>
      </c>
      <c r="Q3328" s="1">
        <v>2.7447581036594237</v>
      </c>
      <c r="R3328" s="2">
        <f t="shared" si="207"/>
        <v>129.70408164030465</v>
      </c>
      <c r="S3328" s="2">
        <f t="shared" si="206"/>
        <v>1.9209408209639132</v>
      </c>
      <c r="T3328" s="2">
        <f t="shared" si="208"/>
        <v>3.1924619818461322</v>
      </c>
      <c r="U3328" s="2">
        <f t="shared" si="209"/>
        <v>134.81748444311469</v>
      </c>
    </row>
    <row r="3329" spans="1:21" x14ac:dyDescent="0.25">
      <c r="A3329">
        <v>4648577</v>
      </c>
      <c r="B3329">
        <v>65</v>
      </c>
      <c r="C3329" s="1">
        <f>0.71365313179164*(10.3/7.3)</f>
        <v>1.0069352407471088</v>
      </c>
      <c r="D3329" s="1">
        <f>0.989361130976807*(10.3/7.3)</f>
        <v>1.3959478971316597</v>
      </c>
      <c r="E3329" s="1">
        <f>3.44144161277954*(10.3/7.3)</f>
        <v>4.8557326865245614</v>
      </c>
      <c r="F3329" s="1">
        <f>8.97093802958622*(38.9/42.5)</f>
        <v>8.2110468082565635</v>
      </c>
      <c r="G3329" s="1">
        <v>0.43423583193091098</v>
      </c>
      <c r="H3329" s="1">
        <v>1.817529086763525</v>
      </c>
      <c r="I3329" s="1">
        <v>6.8209428480792145</v>
      </c>
      <c r="J3329" s="1">
        <v>6.0913866417239643E-2</v>
      </c>
      <c r="K3329" s="1">
        <v>3.4183156406850559</v>
      </c>
      <c r="L3329" s="1">
        <v>2.6586364049358364</v>
      </c>
      <c r="M3329" s="1">
        <v>0.42222541771514738</v>
      </c>
      <c r="N3329" s="1">
        <v>1.6567525588780445</v>
      </c>
      <c r="O3329" s="1">
        <v>0.69155035897435913</v>
      </c>
      <c r="P3329" s="1">
        <v>0.28881572737151484</v>
      </c>
      <c r="Q3329" s="1">
        <v>0.69398420628227886</v>
      </c>
      <c r="R3329" s="2">
        <f t="shared" si="207"/>
        <v>25.236354605715825</v>
      </c>
      <c r="S3329" s="2">
        <f t="shared" si="206"/>
        <v>3.76804523447381</v>
      </c>
      <c r="T3329" s="2">
        <f t="shared" si="208"/>
        <v>5.4291647405033876</v>
      </c>
      <c r="U3329" s="2">
        <f t="shared" si="209"/>
        <v>34.433564580693023</v>
      </c>
    </row>
    <row r="3330" spans="1:21" x14ac:dyDescent="0.25">
      <c r="A3330">
        <v>4648585</v>
      </c>
      <c r="B3330">
        <v>67</v>
      </c>
      <c r="C3330" s="1">
        <f>1.06019334306472*(10.3/7.3)</f>
        <v>1.4958892374748722</v>
      </c>
      <c r="D3330" s="1">
        <f>1.50276255326353*(10.3/7.3)</f>
        <v>2.1203362052896315</v>
      </c>
      <c r="E3330" s="1">
        <f>5.20971502651593*(10.3/7.3)</f>
        <v>7.3506938045361698</v>
      </c>
      <c r="F3330" s="1">
        <f>14.2382588571874*(38.9/42.5)</f>
        <v>13.032194577519789</v>
      </c>
      <c r="G3330" s="1">
        <v>0.71438092738134396</v>
      </c>
      <c r="H3330" s="1">
        <v>2.6795278640346765</v>
      </c>
      <c r="I3330" s="1">
        <v>10.860603642610499</v>
      </c>
      <c r="J3330" s="1">
        <v>7.8810986656197013E-2</v>
      </c>
      <c r="K3330" s="1">
        <v>4.2147729481808529</v>
      </c>
      <c r="L3330" s="1">
        <v>3.616810383781826</v>
      </c>
      <c r="M3330" s="1">
        <v>0.5671908612791311</v>
      </c>
      <c r="N3330" s="1">
        <v>2.1643469402730724</v>
      </c>
      <c r="O3330" s="1">
        <v>0.86799044776119394</v>
      </c>
      <c r="P3330" s="1">
        <v>0.34049079954438416</v>
      </c>
      <c r="Q3330" s="1">
        <v>1.1417046784633358</v>
      </c>
      <c r="R3330" s="2">
        <f t="shared" si="207"/>
        <v>39.395330937310312</v>
      </c>
      <c r="S3330" s="2">
        <f t="shared" si="206"/>
        <v>4.6340747343814348</v>
      </c>
      <c r="T3330" s="2">
        <f t="shared" si="208"/>
        <v>7.2163386330952228</v>
      </c>
      <c r="U3330" s="2">
        <f t="shared" si="209"/>
        <v>51.245744304786967</v>
      </c>
    </row>
    <row r="3331" spans="1:21" x14ac:dyDescent="0.25">
      <c r="A3331">
        <v>4648593</v>
      </c>
      <c r="B3331">
        <v>47</v>
      </c>
      <c r="C3331" s="1">
        <f>1.01090697703323*(10.3/7.3)</f>
        <v>1.4263482004715491</v>
      </c>
      <c r="D3331" s="1">
        <f>1.45308942553154*(10.3/7.3)</f>
        <v>2.0502494634212116</v>
      </c>
      <c r="E3331" s="1">
        <f>5.02830895969102*(10.3/7.3)</f>
        <v>7.0947372992900686</v>
      </c>
      <c r="F3331" s="1">
        <f>14.0703066047223*(38.9/42.5)</f>
        <v>12.878468868792837</v>
      </c>
      <c r="G3331" s="1">
        <v>0.71809992881667795</v>
      </c>
      <c r="H3331" s="1">
        <v>2.9019358391017511</v>
      </c>
      <c r="I3331" s="1">
        <v>10.74347158111245</v>
      </c>
      <c r="J3331" s="1">
        <v>8.1678783336661481E-2</v>
      </c>
      <c r="K3331" s="1">
        <v>4.1927589863232182</v>
      </c>
      <c r="L3331" s="1">
        <v>3.4900599482806607</v>
      </c>
      <c r="M3331" s="1">
        <v>0.56177996479635428</v>
      </c>
      <c r="N3331" s="1">
        <v>2.2848836507628252</v>
      </c>
      <c r="O3331" s="1">
        <v>0.83091063829787248</v>
      </c>
      <c r="P3331" s="1">
        <v>0.3433963050460811</v>
      </c>
      <c r="Q3331" s="1">
        <v>1.1476482880631855</v>
      </c>
      <c r="R3331" s="2">
        <f t="shared" si="207"/>
        <v>38.960959469069728</v>
      </c>
      <c r="S3331" s="2">
        <f t="shared" si="206"/>
        <v>4.6178340747059607</v>
      </c>
      <c r="T3331" s="2">
        <f t="shared" si="208"/>
        <v>7.1676342021377124</v>
      </c>
      <c r="U3331" s="2">
        <f t="shared" si="209"/>
        <v>50.746427745913401</v>
      </c>
    </row>
    <row r="3332" spans="1:21" x14ac:dyDescent="0.25">
      <c r="A3332">
        <v>4648745</v>
      </c>
      <c r="B3332">
        <v>8</v>
      </c>
      <c r="C3332" s="1">
        <f>1.45042940080322*(10.3/7.3)</f>
        <v>2.0464962778456353</v>
      </c>
      <c r="D3332" s="1">
        <f>2.26521164054941*(10.3/7.3)</f>
        <v>3.1961205339258791</v>
      </c>
      <c r="E3332" s="1">
        <f>7.68353655532989*(10.3/7.3)</f>
        <v>10.841154317794235</v>
      </c>
      <c r="F3332" s="1">
        <f>28.1876876381269*(38.9/42.5)</f>
        <v>25.80002468525025</v>
      </c>
      <c r="G3332" s="1">
        <v>1.6685704518899005</v>
      </c>
      <c r="H3332" s="1">
        <v>9.3529550900400462</v>
      </c>
      <c r="I3332" s="1">
        <v>22.116196946950637</v>
      </c>
      <c r="J3332" s="1">
        <v>3.9051264978619965E-2</v>
      </c>
      <c r="K3332" s="1">
        <v>2.9286784674700126</v>
      </c>
      <c r="L3332" s="1">
        <v>3.1686215260768775</v>
      </c>
      <c r="M3332" s="1">
        <v>0.65583599472412835</v>
      </c>
      <c r="N3332" s="1">
        <v>1.7394256677384248</v>
      </c>
      <c r="O3332" s="1">
        <v>0.33112000000000003</v>
      </c>
      <c r="P3332" s="1">
        <v>0.22095319357798476</v>
      </c>
      <c r="Q3332" s="1">
        <v>2.6666651057601172</v>
      </c>
      <c r="R3332" s="2">
        <f t="shared" si="207"/>
        <v>77.688183409456698</v>
      </c>
      <c r="S3332" s="2">
        <f t="shared" si="206"/>
        <v>3.1886829260266176</v>
      </c>
      <c r="T3332" s="2">
        <f t="shared" si="208"/>
        <v>5.8950031885394303</v>
      </c>
      <c r="U3332" s="2">
        <f t="shared" si="209"/>
        <v>86.771869524022748</v>
      </c>
    </row>
    <row r="3333" spans="1:21" x14ac:dyDescent="0.25">
      <c r="A3333">
        <v>4648753</v>
      </c>
      <c r="B3333">
        <v>33</v>
      </c>
      <c r="C3333" s="1">
        <f>1.51610379716761*(10.3/7.3)</f>
        <v>2.1391601521679946</v>
      </c>
      <c r="D3333" s="1">
        <f>2.54028509630854*(10.3/7.3)</f>
        <v>3.584237875613423</v>
      </c>
      <c r="E3333" s="1">
        <f>8.63880680385954*(10.3/7.3)</f>
        <v>12.189001380788126</v>
      </c>
      <c r="F3333" s="1">
        <f>29.421611908772*(38.9/42.5)</f>
        <v>26.929428311793643</v>
      </c>
      <c r="G3333" s="1">
        <v>1.693211710508906</v>
      </c>
      <c r="H3333" s="1">
        <v>9.3550545187920164</v>
      </c>
      <c r="I3333" s="1">
        <v>22.583043107069809</v>
      </c>
      <c r="J3333" s="1">
        <v>4.0854851593818839E-2</v>
      </c>
      <c r="K3333" s="1">
        <v>3.1048124526296226</v>
      </c>
      <c r="L3333" s="1">
        <v>3.3647462176337535</v>
      </c>
      <c r="M3333" s="1">
        <v>0.69167285837530235</v>
      </c>
      <c r="N3333" s="1">
        <v>1.8721166173053188</v>
      </c>
      <c r="O3333" s="1">
        <v>0.345341414141414</v>
      </c>
      <c r="P3333" s="1">
        <v>0.23102340502134744</v>
      </c>
      <c r="Q3333" s="1">
        <v>2.7060461126854678</v>
      </c>
      <c r="R3333" s="2">
        <f t="shared" si="207"/>
        <v>81.179183169419389</v>
      </c>
      <c r="S3333" s="2">
        <f t="shared" si="206"/>
        <v>3.3766907092447891</v>
      </c>
      <c r="T3333" s="2">
        <f t="shared" si="208"/>
        <v>6.2738771074557889</v>
      </c>
      <c r="U3333" s="2">
        <f t="shared" si="209"/>
        <v>90.829750986119961</v>
      </c>
    </row>
    <row r="3334" spans="1:21" x14ac:dyDescent="0.25">
      <c r="A3334">
        <v>4649113</v>
      </c>
      <c r="B3334">
        <v>26</v>
      </c>
      <c r="C3334" s="1">
        <f>11.4107538854463*(10.3/7.3)</f>
        <v>16.100104797273584</v>
      </c>
      <c r="D3334" s="1">
        <f>17.920256373661*(10.3/7.3)</f>
        <v>25.284745294343555</v>
      </c>
      <c r="E3334" s="1">
        <f>63.0819007837359*(10.3/7.3)</f>
        <v>89.00596959896987</v>
      </c>
      <c r="F3334" s="1">
        <f>111.019148638865*(38.9/42.5)</f>
        <v>101.61517369533777</v>
      </c>
      <c r="G3334" s="1">
        <v>3.580638519019149</v>
      </c>
      <c r="H3334" s="1">
        <v>6.6476312002475408</v>
      </c>
      <c r="I3334" s="1">
        <v>73.755782003363223</v>
      </c>
      <c r="J3334" s="1">
        <v>5.2592552168987582E-2</v>
      </c>
      <c r="K3334" s="1">
        <v>3.0658785070049501</v>
      </c>
      <c r="L3334" s="1">
        <v>4.5577497418029473</v>
      </c>
      <c r="M3334" s="1">
        <v>0.23640316519752885</v>
      </c>
      <c r="N3334" s="1">
        <v>2.303812028852366</v>
      </c>
      <c r="O3334" s="1">
        <v>0.19373948717948716</v>
      </c>
      <c r="P3334" s="1">
        <v>0.13804757380385849</v>
      </c>
      <c r="Q3334" s="1">
        <v>5.7224816514004715</v>
      </c>
      <c r="R3334" s="2">
        <f t="shared" si="207"/>
        <v>321.71252675995515</v>
      </c>
      <c r="S3334" s="2">
        <f t="shared" si="206"/>
        <v>3.2565186329777962</v>
      </c>
      <c r="T3334" s="2">
        <f t="shared" si="208"/>
        <v>7.2917044230323285</v>
      </c>
      <c r="U3334" s="2">
        <f t="shared" si="209"/>
        <v>332.26074981596531</v>
      </c>
    </row>
    <row r="3335" spans="1:21" x14ac:dyDescent="0.25">
      <c r="A3335">
        <v>4649121</v>
      </c>
      <c r="B3335">
        <v>71</v>
      </c>
      <c r="C3335" s="1">
        <f>6.2689447461365*(10.3/7.3)</f>
        <v>8.8452234089323287</v>
      </c>
      <c r="D3335" s="1">
        <f>9.52651401695392*(10.3/7.3)</f>
        <v>13.441519777345947</v>
      </c>
      <c r="E3335" s="1">
        <f>33.5390194937596*(10.3/7.3)</f>
        <v>47.322178189825195</v>
      </c>
      <c r="F3335" s="1">
        <f>60.8516058354716*(38.9/42.5)</f>
        <v>55.697116870584587</v>
      </c>
      <c r="G3335" s="1">
        <v>2.0423516467655571</v>
      </c>
      <c r="H3335" s="1">
        <v>4.1512625670563468</v>
      </c>
      <c r="I3335" s="1">
        <v>41.310098339650708</v>
      </c>
      <c r="J3335" s="1">
        <v>3.8942689761353406E-2</v>
      </c>
      <c r="K3335" s="1">
        <v>2.5459461409781232</v>
      </c>
      <c r="L3335" s="1">
        <v>3.6576215661377631</v>
      </c>
      <c r="M3335" s="1">
        <v>0.19154542446222025</v>
      </c>
      <c r="N3335" s="1">
        <v>1.8656193644588586</v>
      </c>
      <c r="O3335" s="1">
        <v>0.15762553990610331</v>
      </c>
      <c r="P3335" s="1">
        <v>0.11938008031766469</v>
      </c>
      <c r="Q3335" s="1">
        <v>3.2640323121823993</v>
      </c>
      <c r="R3335" s="2">
        <f t="shared" si="207"/>
        <v>176.07378311234305</v>
      </c>
      <c r="S3335" s="2">
        <f t="shared" si="206"/>
        <v>2.7042689110571412</v>
      </c>
      <c r="T3335" s="2">
        <f t="shared" si="208"/>
        <v>5.8724118949649453</v>
      </c>
      <c r="U3335" s="2">
        <f t="shared" si="209"/>
        <v>184.65046391836515</v>
      </c>
    </row>
    <row r="3336" spans="1:21" x14ac:dyDescent="0.25">
      <c r="A3336">
        <v>4649129</v>
      </c>
      <c r="B3336">
        <v>71</v>
      </c>
      <c r="C3336" s="1">
        <f>15.1195496667855*(10.3/7.3)</f>
        <v>21.333063228478206</v>
      </c>
      <c r="D3336" s="1">
        <f>16.9584098445337*(10.3/7.3)</f>
        <v>23.927619369684482</v>
      </c>
      <c r="E3336" s="1">
        <f>60.5724372073841*(10.3/7.3)</f>
        <v>85.465219621377514</v>
      </c>
      <c r="F3336" s="1">
        <f>106.066101126507*(38.9/42.5)</f>
        <v>97.081678442849906</v>
      </c>
      <c r="G3336" s="1">
        <v>3.0763424152193459</v>
      </c>
      <c r="H3336" s="1">
        <v>5.7395425137039657</v>
      </c>
      <c r="I3336" s="1">
        <v>80.213326211787972</v>
      </c>
      <c r="J3336" s="1">
        <v>5.4513574174215172E-2</v>
      </c>
      <c r="K3336" s="1">
        <v>3.3380911630020935</v>
      </c>
      <c r="L3336" s="1">
        <v>5.2291855238678613</v>
      </c>
      <c r="M3336" s="1">
        <v>0.25631847373445005</v>
      </c>
      <c r="N3336" s="1">
        <v>2.542672173308326</v>
      </c>
      <c r="O3336" s="1">
        <v>0.21103549295774648</v>
      </c>
      <c r="P3336" s="1">
        <v>0.14574112965087149</v>
      </c>
      <c r="Q3336" s="1">
        <v>4.9165289740948506</v>
      </c>
      <c r="R3336" s="2">
        <f t="shared" si="207"/>
        <v>321.75332077719622</v>
      </c>
      <c r="S3336" s="2">
        <f t="shared" si="206"/>
        <v>3.5383458668271803</v>
      </c>
      <c r="T3336" s="2">
        <f t="shared" si="208"/>
        <v>8.2392116638683834</v>
      </c>
      <c r="U3336" s="2">
        <f t="shared" si="209"/>
        <v>333.53087830789178</v>
      </c>
    </row>
    <row r="3337" spans="1:21" x14ac:dyDescent="0.25">
      <c r="A3337">
        <v>4649137</v>
      </c>
      <c r="B3337">
        <v>71</v>
      </c>
      <c r="C3337" s="1">
        <f>8.58717135380973*(10.3/7.3)</f>
        <v>12.116145882772638</v>
      </c>
      <c r="D3337" s="1">
        <f>12.5188824574446*(10.3/7.3)</f>
        <v>17.663628672832814</v>
      </c>
      <c r="E3337" s="1">
        <f>44.0947081804901*(10.3/7.3)</f>
        <v>62.215821131376401</v>
      </c>
      <c r="F3337" s="1">
        <f>82.472152411683*(38.9/42.5)</f>
        <v>75.486275972105176</v>
      </c>
      <c r="G3337" s="1">
        <v>2.8671323921496579</v>
      </c>
      <c r="H3337" s="1">
        <v>5.7144203352859888</v>
      </c>
      <c r="I3337" s="1">
        <v>57.316430920762315</v>
      </c>
      <c r="J3337" s="1">
        <v>5.4339184476136858E-2</v>
      </c>
      <c r="K3337" s="1">
        <v>3.3622010199960259</v>
      </c>
      <c r="L3337" s="1">
        <v>5.2154709454988408</v>
      </c>
      <c r="M3337" s="1">
        <v>0.25482785974963912</v>
      </c>
      <c r="N3337" s="1">
        <v>2.615034042787169</v>
      </c>
      <c r="O3337" s="1">
        <v>0.21195868544600935</v>
      </c>
      <c r="P3337" s="1">
        <v>0.14519050421451465</v>
      </c>
      <c r="Q3337" s="1">
        <v>4.5821750559469443</v>
      </c>
      <c r="R3337" s="2">
        <f t="shared" si="207"/>
        <v>237.96203036323195</v>
      </c>
      <c r="S3337" s="2">
        <f t="shared" ref="S3337:S3400" si="210">J3337+K3337+P3337</f>
        <v>3.5617307086866772</v>
      </c>
      <c r="T3337" s="2">
        <f t="shared" si="208"/>
        <v>8.2972915334816566</v>
      </c>
      <c r="U3337" s="2">
        <f t="shared" si="209"/>
        <v>249.82105260540027</v>
      </c>
    </row>
    <row r="3338" spans="1:21" x14ac:dyDescent="0.25">
      <c r="A3338">
        <v>4649145</v>
      </c>
      <c r="B3338">
        <v>70</v>
      </c>
      <c r="C3338" s="1">
        <f>9.25334285003557*(10.3/7.3)</f>
        <v>13.056086487036497</v>
      </c>
      <c r="D3338" s="1">
        <f>13.3917541615298*(10.3/7.3)</f>
        <v>18.895214775857124</v>
      </c>
      <c r="E3338" s="1">
        <f>47.1537352662397*(10.3/7.3)</f>
        <v>66.531982635927221</v>
      </c>
      <c r="F3338" s="1">
        <f>89.6500153232108*(38.9/42.5)</f>
        <v>82.056131672303522</v>
      </c>
      <c r="G3338" s="1">
        <v>3.1835328678284913</v>
      </c>
      <c r="H3338" s="1">
        <v>6.1339789634219448</v>
      </c>
      <c r="I3338" s="1">
        <v>62.74963988917591</v>
      </c>
      <c r="J3338" s="1">
        <v>6.0673812993251579E-2</v>
      </c>
      <c r="K3338" s="1">
        <v>3.6303393490976981</v>
      </c>
      <c r="L3338" s="1">
        <v>5.8944633791141259</v>
      </c>
      <c r="M3338" s="1">
        <v>0.27416067062697341</v>
      </c>
      <c r="N3338" s="1">
        <v>3.0617260983208379</v>
      </c>
      <c r="O3338" s="1">
        <v>0.22497828571428566</v>
      </c>
      <c r="P3338" s="1">
        <v>0.15187030183322464</v>
      </c>
      <c r="Q3338" s="1">
        <v>5.0878379166208827</v>
      </c>
      <c r="R3338" s="2">
        <f t="shared" ref="R3338:R3401" si="211">C3338+D3338+E3338+F3338+G3338+H3338+I3338+Q3338</f>
        <v>257.69440520817159</v>
      </c>
      <c r="S3338" s="2">
        <f t="shared" si="210"/>
        <v>3.8428834639241742</v>
      </c>
      <c r="T3338" s="2">
        <f t="shared" ref="T3338:T3401" si="212">L3338+M3338+N3338+O3338</f>
        <v>9.4553284337762236</v>
      </c>
      <c r="U3338" s="2">
        <f t="shared" ref="U3338:U3401" si="213">R3338+S3338+T3338</f>
        <v>270.992617105872</v>
      </c>
    </row>
    <row r="3339" spans="1:21" x14ac:dyDescent="0.25">
      <c r="A3339">
        <v>4649153</v>
      </c>
      <c r="B3339">
        <v>71</v>
      </c>
      <c r="C3339" s="1">
        <f>8.58212258442823*(10.3/7.3)</f>
        <v>12.109022276659008</v>
      </c>
      <c r="D3339" s="1">
        <f>12.2297460939969*(10.3/7.3)</f>
        <v>17.255669146324372</v>
      </c>
      <c r="E3339" s="1">
        <f>43.0663006210557*(10.3/7.3)</f>
        <v>60.764780328338801</v>
      </c>
      <c r="F3339" s="1">
        <f>82.9968901179714*(38.9/42.5)</f>
        <v>75.96656530797857</v>
      </c>
      <c r="G3339" s="1">
        <v>2.9919269869567575</v>
      </c>
      <c r="H3339" s="1">
        <v>6.0481053152897344</v>
      </c>
      <c r="I3339" s="1">
        <v>58.610775324666115</v>
      </c>
      <c r="J3339" s="1">
        <v>6.1799214788792349E-2</v>
      </c>
      <c r="K3339" s="1">
        <v>3.6286375313590393</v>
      </c>
      <c r="L3339" s="1">
        <v>5.8320148417817324</v>
      </c>
      <c r="M3339" s="1">
        <v>0.26786233023604311</v>
      </c>
      <c r="N3339" s="1">
        <v>3.0477341295685272</v>
      </c>
      <c r="O3339" s="1">
        <v>0.22128225352112674</v>
      </c>
      <c r="P3339" s="1">
        <v>0.14999317109137705</v>
      </c>
      <c r="Q3339" s="1">
        <v>4.7816184723053254</v>
      </c>
      <c r="R3339" s="2">
        <f t="shared" si="211"/>
        <v>238.52846315851872</v>
      </c>
      <c r="S3339" s="2">
        <f t="shared" si="210"/>
        <v>3.8404299172392085</v>
      </c>
      <c r="T3339" s="2">
        <f t="shared" si="212"/>
        <v>9.3688935551074284</v>
      </c>
      <c r="U3339" s="2">
        <f t="shared" si="213"/>
        <v>251.73778663086537</v>
      </c>
    </row>
    <row r="3340" spans="1:21" x14ac:dyDescent="0.25">
      <c r="A3340">
        <v>4649161</v>
      </c>
      <c r="B3340">
        <v>43</v>
      </c>
      <c r="C3340" s="1">
        <f>8.10384887760294*(10.3/7.3)</f>
        <v>11.434197731412366</v>
      </c>
      <c r="D3340" s="1">
        <f>11.4004953204504*(10.3/7.3)</f>
        <v>16.08563038364926</v>
      </c>
      <c r="E3340" s="1">
        <f>40.1489803987135*(10.3/7.3)</f>
        <v>56.64856138448615</v>
      </c>
      <c r="F3340" s="1">
        <f>78.2747673472749*(38.9/42.5)</f>
        <v>71.644434113152798</v>
      </c>
      <c r="G3340" s="1">
        <v>2.857339136902048</v>
      </c>
      <c r="H3340" s="1">
        <v>7.2403927023860239</v>
      </c>
      <c r="I3340" s="1">
        <v>55.682020648296593</v>
      </c>
      <c r="J3340" s="1">
        <v>6.0481639563819196E-2</v>
      </c>
      <c r="K3340" s="1">
        <v>3.4969022808907031</v>
      </c>
      <c r="L3340" s="1">
        <v>5.5141667764780484</v>
      </c>
      <c r="M3340" s="1">
        <v>0.24941982090068496</v>
      </c>
      <c r="N3340" s="1">
        <v>2.725747062079229</v>
      </c>
      <c r="O3340" s="1">
        <v>0.21036031007751937</v>
      </c>
      <c r="P3340" s="1">
        <v>0.14328079890363749</v>
      </c>
      <c r="Q3340" s="1">
        <v>4.5665237347749672</v>
      </c>
      <c r="R3340" s="2">
        <f t="shared" si="211"/>
        <v>226.15909983506023</v>
      </c>
      <c r="S3340" s="2">
        <f t="shared" si="210"/>
        <v>3.7006647193581594</v>
      </c>
      <c r="T3340" s="2">
        <f t="shared" si="212"/>
        <v>8.6996939695354811</v>
      </c>
      <c r="U3340" s="2">
        <f t="shared" si="213"/>
        <v>238.55945852395388</v>
      </c>
    </row>
    <row r="3341" spans="1:21" x14ac:dyDescent="0.25">
      <c r="A3341">
        <v>4649169</v>
      </c>
      <c r="B3341">
        <v>71</v>
      </c>
      <c r="C3341" s="1">
        <f>7.07604662920725*(10.3/7.3)</f>
        <v>9.9840109973746127</v>
      </c>
      <c r="D3341" s="1">
        <f>9.78311698613402*(10.3/7.3)</f>
        <v>13.803576021531558</v>
      </c>
      <c r="E3341" s="1">
        <f>34.4582824270083*(10.3/7.3)</f>
        <v>48.619220410710341</v>
      </c>
      <c r="F3341" s="1">
        <f>68.1443394212048*(38.9/42.5)</f>
        <v>62.372113023173299</v>
      </c>
      <c r="G3341" s="1">
        <v>2.5244837311353456</v>
      </c>
      <c r="H3341" s="1">
        <v>5.9517799758189227</v>
      </c>
      <c r="I3341" s="1">
        <v>48.930077815527454</v>
      </c>
      <c r="J3341" s="1">
        <v>5.589363137367559E-2</v>
      </c>
      <c r="K3341" s="1">
        <v>3.4127202232981833</v>
      </c>
      <c r="L3341" s="1">
        <v>5.2566841335803929</v>
      </c>
      <c r="M3341" s="1">
        <v>0.2286516721579214</v>
      </c>
      <c r="N3341" s="1">
        <v>2.6970695437144316</v>
      </c>
      <c r="O3341" s="1">
        <v>0.19999549295774652</v>
      </c>
      <c r="P3341" s="1">
        <v>0.13873433836333823</v>
      </c>
      <c r="Q3341" s="1">
        <v>4.0345630406272699</v>
      </c>
      <c r="R3341" s="2">
        <f t="shared" si="211"/>
        <v>196.21982501589881</v>
      </c>
      <c r="S3341" s="2">
        <f t="shared" si="210"/>
        <v>3.6073481930351972</v>
      </c>
      <c r="T3341" s="2">
        <f t="shared" si="212"/>
        <v>8.3824008424104939</v>
      </c>
      <c r="U3341" s="2">
        <f t="shared" si="213"/>
        <v>208.2095740513445</v>
      </c>
    </row>
    <row r="3342" spans="1:21" x14ac:dyDescent="0.25">
      <c r="A3342">
        <v>4649177</v>
      </c>
      <c r="B3342">
        <v>71</v>
      </c>
      <c r="C3342" s="1">
        <f>8.38202302460801*(10.3/7.3)</f>
        <v>11.826690021022264</v>
      </c>
      <c r="D3342" s="1">
        <f>11.3995329743546*(10.3/7.3)</f>
        <v>16.08427255285644</v>
      </c>
      <c r="E3342" s="1">
        <f>40.1530129343922*(10.3/7.3)</f>
        <v>56.654251126608159</v>
      </c>
      <c r="F3342" s="1">
        <f>80.714623793159*(38.9/42.5)</f>
        <v>73.877620365973783</v>
      </c>
      <c r="G3342" s="1">
        <v>3.0416755708880938</v>
      </c>
      <c r="H3342" s="1">
        <v>6.3031119851068569</v>
      </c>
      <c r="I3342" s="1">
        <v>58.499048035023627</v>
      </c>
      <c r="J3342" s="1">
        <v>6.3885436714946967E-2</v>
      </c>
      <c r="K3342" s="1">
        <v>3.800658968657936</v>
      </c>
      <c r="L3342" s="1">
        <v>6.0454593556527136</v>
      </c>
      <c r="M3342" s="1">
        <v>0.24998645023539748</v>
      </c>
      <c r="N3342" s="1">
        <v>3.0416573051873792</v>
      </c>
      <c r="O3342" s="1">
        <v>0.21850516431924888</v>
      </c>
      <c r="P3342" s="1">
        <v>0.14872318817268904</v>
      </c>
      <c r="Q3342" s="1">
        <v>4.8611253416019817</v>
      </c>
      <c r="R3342" s="2">
        <f t="shared" si="211"/>
        <v>231.14779499908121</v>
      </c>
      <c r="S3342" s="2">
        <f t="shared" si="210"/>
        <v>4.0132675935455717</v>
      </c>
      <c r="T3342" s="2">
        <f t="shared" si="212"/>
        <v>9.5556082753947376</v>
      </c>
      <c r="U3342" s="2">
        <f t="shared" si="213"/>
        <v>244.71667086802154</v>
      </c>
    </row>
    <row r="3343" spans="1:21" x14ac:dyDescent="0.25">
      <c r="A3343">
        <v>4649185</v>
      </c>
      <c r="B3343">
        <v>67</v>
      </c>
      <c r="C3343" s="1">
        <f>7.57806636577966*(10.3/7.3)</f>
        <v>10.692340214730203</v>
      </c>
      <c r="D3343" s="1">
        <f>10.1867873972886*(10.3/7.3)</f>
        <v>14.3731383824757</v>
      </c>
      <c r="E3343" s="1">
        <f>35.8804459486337*(10.3/7.3)</f>
        <v>50.625834694647502</v>
      </c>
      <c r="F3343" s="1">
        <f>73.053004347758*(38.9/42.5)</f>
        <v>66.864985155947934</v>
      </c>
      <c r="G3343" s="1">
        <v>2.7895243395768063</v>
      </c>
      <c r="H3343" s="1">
        <v>5.8333285903479206</v>
      </c>
      <c r="I3343" s="1">
        <v>53.303834290450354</v>
      </c>
      <c r="J3343" s="1">
        <v>5.8569638106278132E-2</v>
      </c>
      <c r="K3343" s="1">
        <v>3.5380134379904091</v>
      </c>
      <c r="L3343" s="1">
        <v>5.4136244116389474</v>
      </c>
      <c r="M3343" s="1">
        <v>0.22767547027211851</v>
      </c>
      <c r="N3343" s="1">
        <v>3.8978134391024888</v>
      </c>
      <c r="O3343" s="1">
        <v>0.20009313432835821</v>
      </c>
      <c r="P3343" s="1">
        <v>0.13776690077603615</v>
      </c>
      <c r="Q3343" s="1">
        <v>4.4581439216980989</v>
      </c>
      <c r="R3343" s="2">
        <f t="shared" si="211"/>
        <v>208.94112958987452</v>
      </c>
      <c r="S3343" s="2">
        <f t="shared" si="210"/>
        <v>3.7343499768727231</v>
      </c>
      <c r="T3343" s="2">
        <f t="shared" si="212"/>
        <v>9.7392064553419146</v>
      </c>
      <c r="U3343" s="2">
        <f t="shared" si="213"/>
        <v>222.41468602208914</v>
      </c>
    </row>
    <row r="3344" spans="1:21" x14ac:dyDescent="0.25">
      <c r="A3344">
        <v>4649193</v>
      </c>
      <c r="B3344">
        <v>71</v>
      </c>
      <c r="C3344" s="1">
        <f>7.81599987950401*(10.3/7.3)</f>
        <v>11.028054624505655</v>
      </c>
      <c r="D3344" s="1">
        <f>10.3381212595695*(10.3/7.3)</f>
        <v>14.586664242954258</v>
      </c>
      <c r="E3344" s="1">
        <f>36.4100152937801*(10.3/7.3)</f>
        <v>51.37303527752529</v>
      </c>
      <c r="F3344" s="1">
        <f>75.5677863943113*(38.9/42.5)</f>
        <v>69.166750370322532</v>
      </c>
      <c r="G3344" s="1">
        <v>2.9422841867701108</v>
      </c>
      <c r="H3344" s="1">
        <v>6.0320195513309516</v>
      </c>
      <c r="I3344" s="1">
        <v>55.661790596795164</v>
      </c>
      <c r="J3344" s="1">
        <v>6.2054763229156637E-2</v>
      </c>
      <c r="K3344" s="1">
        <v>3.7078000050918445</v>
      </c>
      <c r="L3344" s="1">
        <v>5.7214804032379778</v>
      </c>
      <c r="M3344" s="1">
        <v>0.23273721162963654</v>
      </c>
      <c r="N3344" s="1">
        <v>3.2996089820168084</v>
      </c>
      <c r="O3344" s="1">
        <v>0.20469708920187799</v>
      </c>
      <c r="P3344" s="1">
        <v>0.14062165872115981</v>
      </c>
      <c r="Q3344" s="1">
        <v>4.7022806637878549</v>
      </c>
      <c r="R3344" s="2">
        <f t="shared" si="211"/>
        <v>215.49287951399182</v>
      </c>
      <c r="S3344" s="2">
        <f t="shared" si="210"/>
        <v>3.9104764270421608</v>
      </c>
      <c r="T3344" s="2">
        <f t="shared" si="212"/>
        <v>9.4585236860863002</v>
      </c>
      <c r="U3344" s="2">
        <f t="shared" si="213"/>
        <v>228.86187962712029</v>
      </c>
    </row>
    <row r="3345" spans="1:21" x14ac:dyDescent="0.25">
      <c r="A3345">
        <v>4649201</v>
      </c>
      <c r="B3345">
        <v>71</v>
      </c>
      <c r="C3345" s="1">
        <f>8.10377973424965*(10.3/7.3)</f>
        <v>11.434100172982385</v>
      </c>
      <c r="D3345" s="1">
        <f>10.6242362686981*(10.3/7.3)</f>
        <v>14.990360762683686</v>
      </c>
      <c r="E3345" s="1">
        <f>37.3883369683986*(10.3/7.3)</f>
        <v>52.753406955411755</v>
      </c>
      <c r="F3345" s="1">
        <f>79.8011133049303*(38.9/42.5)</f>
        <v>73.041489589689135</v>
      </c>
      <c r="G3345" s="1">
        <v>3.2012427937711356</v>
      </c>
      <c r="H3345" s="1">
        <v>6.4853069174752678</v>
      </c>
      <c r="I3345" s="1">
        <v>59.292789939839793</v>
      </c>
      <c r="J3345" s="1">
        <v>6.3956077092989685E-2</v>
      </c>
      <c r="K3345" s="1">
        <v>3.7820615113247222</v>
      </c>
      <c r="L3345" s="1">
        <v>5.7997444521431563</v>
      </c>
      <c r="M3345" s="1">
        <v>0.23124104373185236</v>
      </c>
      <c r="N3345" s="1">
        <v>3.3392913125698875</v>
      </c>
      <c r="O3345" s="1">
        <v>0.20376713615023484</v>
      </c>
      <c r="P3345" s="1">
        <v>0.13962178151032725</v>
      </c>
      <c r="Q3345" s="1">
        <v>5.1161414512324148</v>
      </c>
      <c r="R3345" s="2">
        <f t="shared" si="211"/>
        <v>226.31483858308559</v>
      </c>
      <c r="S3345" s="2">
        <f t="shared" si="210"/>
        <v>3.9856393699280392</v>
      </c>
      <c r="T3345" s="2">
        <f t="shared" si="212"/>
        <v>9.5740439445951306</v>
      </c>
      <c r="U3345" s="2">
        <f t="shared" si="213"/>
        <v>239.87452189760876</v>
      </c>
    </row>
    <row r="3346" spans="1:21" x14ac:dyDescent="0.25">
      <c r="A3346">
        <v>4649233</v>
      </c>
      <c r="B3346">
        <v>4</v>
      </c>
      <c r="C3346" s="1">
        <f>4.37423976777437*(10.3/7.3)</f>
        <v>6.1718725490515061</v>
      </c>
      <c r="D3346" s="1">
        <f>5.94433811741505*(10.3/7.3)</f>
        <v>8.3872167958047985</v>
      </c>
      <c r="E3346" s="1">
        <f>20.7065233284937*(10.3/7.3)</f>
        <v>29.216053463491058</v>
      </c>
      <c r="F3346" s="1">
        <f>53.3419392570409*(38.9/42.5)</f>
        <v>48.823563225856276</v>
      </c>
      <c r="G3346" s="1">
        <v>2.5530831221104524</v>
      </c>
      <c r="H3346" s="1">
        <v>10.12680452801732</v>
      </c>
      <c r="I3346" s="1">
        <v>40.668724677848267</v>
      </c>
      <c r="J3346" s="1">
        <v>4.0815376940683497E-2</v>
      </c>
      <c r="K3346" s="1">
        <v>3.0445944589061162</v>
      </c>
      <c r="L3346" s="1">
        <v>3.5381029945195834</v>
      </c>
      <c r="M3346" s="1">
        <v>0.15059260555913401</v>
      </c>
      <c r="N3346" s="1">
        <v>1.9327314709476138</v>
      </c>
      <c r="O3346" s="1">
        <v>0.13536000000000001</v>
      </c>
      <c r="P3346" s="1">
        <v>0.10250271390321548</v>
      </c>
      <c r="Q3346" s="1">
        <v>4.080269829856892</v>
      </c>
      <c r="R3346" s="2">
        <f t="shared" si="211"/>
        <v>150.02758819203657</v>
      </c>
      <c r="S3346" s="2">
        <f t="shared" si="210"/>
        <v>3.1879125497500151</v>
      </c>
      <c r="T3346" s="2">
        <f t="shared" si="212"/>
        <v>5.7567870710263316</v>
      </c>
      <c r="U3346" s="2">
        <f t="shared" si="213"/>
        <v>158.97228781281294</v>
      </c>
    </row>
    <row r="3347" spans="1:21" x14ac:dyDescent="0.25">
      <c r="A3347">
        <v>4649249</v>
      </c>
      <c r="B3347">
        <v>28</v>
      </c>
      <c r="C3347" s="1">
        <f>6.81420382541912*(10.3/7.3)</f>
        <v>9.614561561892728</v>
      </c>
      <c r="D3347" s="1">
        <f>8.92823778475363*(10.3/7.3)</f>
        <v>12.597376600405806</v>
      </c>
      <c r="E3347" s="1">
        <f>31.1712279632427*(10.3/7.3)</f>
        <v>43.981321646767142</v>
      </c>
      <c r="F3347" s="1">
        <f>79.1545333000442*(38.9/42.5)</f>
        <v>72.449678714628718</v>
      </c>
      <c r="G3347" s="1">
        <v>3.7293039132907788</v>
      </c>
      <c r="H3347" s="1">
        <v>12.280578492827185</v>
      </c>
      <c r="I3347" s="1">
        <v>60.750946632822085</v>
      </c>
      <c r="J3347" s="1">
        <v>5.2803639898756034E-2</v>
      </c>
      <c r="K3347" s="1">
        <v>3.4605868701952409</v>
      </c>
      <c r="L3347" s="1">
        <v>4.6748818427423</v>
      </c>
      <c r="M3347" s="1">
        <v>0.17846505920163055</v>
      </c>
      <c r="N3347" s="1">
        <v>2.2601685954416544</v>
      </c>
      <c r="O3347" s="1">
        <v>0.16011809523809523</v>
      </c>
      <c r="P3347" s="1">
        <v>0.11551414022269647</v>
      </c>
      <c r="Q3347" s="1">
        <v>5.9600747472683748</v>
      </c>
      <c r="R3347" s="2">
        <f t="shared" si="211"/>
        <v>221.36384230990282</v>
      </c>
      <c r="S3347" s="2">
        <f t="shared" si="210"/>
        <v>3.6289046503166937</v>
      </c>
      <c r="T3347" s="2">
        <f t="shared" si="212"/>
        <v>7.2736335926236801</v>
      </c>
      <c r="U3347" s="2">
        <f t="shared" si="213"/>
        <v>232.26638055284317</v>
      </c>
    </row>
    <row r="3348" spans="1:21" x14ac:dyDescent="0.25">
      <c r="A3348">
        <v>4649265</v>
      </c>
      <c r="B3348">
        <v>1</v>
      </c>
      <c r="C3348" s="1">
        <f>4.11435436386153*(10.3/7.3)</f>
        <v>5.8051849243525657</v>
      </c>
      <c r="D3348" s="1">
        <f>5.16712291876391*(10.3/7.3)</f>
        <v>7.2905980908586709</v>
      </c>
      <c r="E3348" s="1">
        <f>18.147528515993*(10.3/7.3)</f>
        <v>25.605416947222938</v>
      </c>
      <c r="F3348" s="1">
        <f>42.31640210132*(38.9/42.5)</f>
        <v>38.731953923325825</v>
      </c>
      <c r="G3348" s="1">
        <v>1.8422541377027306</v>
      </c>
      <c r="H3348" s="1">
        <v>8.2062471057123521</v>
      </c>
      <c r="I3348" s="1">
        <v>32.381479971711798</v>
      </c>
      <c r="J3348" s="1">
        <v>3.8791368748490332E-2</v>
      </c>
      <c r="K3348" s="1">
        <v>2.4509277240493335</v>
      </c>
      <c r="L3348" s="1">
        <v>3.345833499633351</v>
      </c>
      <c r="M3348" s="1">
        <v>0.12845734543435022</v>
      </c>
      <c r="N3348" s="1">
        <v>2.2032918870417366</v>
      </c>
      <c r="O3348" s="1">
        <v>0.11573333333333333</v>
      </c>
      <c r="P3348" s="1">
        <v>9.0625101276541484E-2</v>
      </c>
      <c r="Q3348" s="1">
        <v>2.9442417725842756</v>
      </c>
      <c r="R3348" s="2">
        <f t="shared" si="211"/>
        <v>122.80737687347114</v>
      </c>
      <c r="S3348" s="2">
        <f t="shared" si="210"/>
        <v>2.5803441940743652</v>
      </c>
      <c r="T3348" s="2">
        <f t="shared" si="212"/>
        <v>5.7933160654427702</v>
      </c>
      <c r="U3348" s="2">
        <f t="shared" si="213"/>
        <v>131.18103713298828</v>
      </c>
    </row>
    <row r="3349" spans="1:21" x14ac:dyDescent="0.25">
      <c r="A3349">
        <v>4649473</v>
      </c>
      <c r="B3349">
        <v>19</v>
      </c>
      <c r="C3349" s="1">
        <f>8.61316513488268*(10.3/7.3)</f>
        <v>12.15282203962899</v>
      </c>
      <c r="D3349" s="1">
        <f>9.68986169231262*(10.3/7.3)</f>
        <v>13.671996634358898</v>
      </c>
      <c r="E3349" s="1">
        <f>34.0158794685443*(10.3/7.3)</f>
        <v>47.995008017261128</v>
      </c>
      <c r="F3349" s="1">
        <f>89.164669383881*(38.9/42.5)</f>
        <v>81.611897389011048</v>
      </c>
      <c r="G3349" s="1">
        <v>4.2151664653938914</v>
      </c>
      <c r="H3349" s="1">
        <v>9.7249075671396099</v>
      </c>
      <c r="I3349" s="1">
        <v>71.553159333796998</v>
      </c>
      <c r="J3349" s="1">
        <v>3.6175768621935521E-2</v>
      </c>
      <c r="K3349" s="1">
        <v>2.3650554954132716</v>
      </c>
      <c r="L3349" s="1">
        <v>2.6664385057824385</v>
      </c>
      <c r="M3349" s="1">
        <v>0.11239180008834627</v>
      </c>
      <c r="N3349" s="1">
        <v>1.6855358940560821</v>
      </c>
      <c r="O3349" s="1">
        <v>0.10750877192982455</v>
      </c>
      <c r="P3349" s="1">
        <v>8.2638542103219415E-2</v>
      </c>
      <c r="Q3349" s="1">
        <v>6.7365674104468649</v>
      </c>
      <c r="R3349" s="2">
        <f t="shared" si="211"/>
        <v>247.66152485703742</v>
      </c>
      <c r="S3349" s="2">
        <f t="shared" si="210"/>
        <v>2.4838698061384266</v>
      </c>
      <c r="T3349" s="2">
        <f t="shared" si="212"/>
        <v>4.5718749718566913</v>
      </c>
      <c r="U3349" s="2">
        <f t="shared" si="213"/>
        <v>254.71726963503252</v>
      </c>
    </row>
    <row r="3350" spans="1:21" x14ac:dyDescent="0.25">
      <c r="A3350">
        <v>4649481</v>
      </c>
      <c r="B3350">
        <v>42</v>
      </c>
      <c r="C3350" s="1">
        <f>7.79011358337097*(10.3/7.3)</f>
        <v>10.991530124482328</v>
      </c>
      <c r="D3350" s="1">
        <f>8.27014771839588*(10.3/7.3)</f>
        <v>11.668838561572263</v>
      </c>
      <c r="E3350" s="1">
        <f>29.3164072659458*(10.3/7.3)</f>
        <v>41.36424586838929</v>
      </c>
      <c r="F3350" s="1">
        <f>66.7330744460342*(38.9/42.5)</f>
        <v>61.08039049295833</v>
      </c>
      <c r="G3350" s="1">
        <v>2.7518597735992749</v>
      </c>
      <c r="H3350" s="1">
        <v>5.9463020297312799</v>
      </c>
      <c r="I3350" s="1">
        <v>53.580304219220139</v>
      </c>
      <c r="J3350" s="1">
        <v>3.388359845996286E-2</v>
      </c>
      <c r="K3350" s="1">
        <v>2.2754769974160922</v>
      </c>
      <c r="L3350" s="1">
        <v>2.5383025995997159</v>
      </c>
      <c r="M3350" s="1">
        <v>0.10849373163163149</v>
      </c>
      <c r="N3350" s="1">
        <v>1.4051964954985625</v>
      </c>
      <c r="O3350" s="1">
        <v>0.10320253968253972</v>
      </c>
      <c r="P3350" s="1">
        <v>8.0002125427372589E-2</v>
      </c>
      <c r="Q3350" s="1">
        <v>4.3979494098618606</v>
      </c>
      <c r="R3350" s="2">
        <f t="shared" si="211"/>
        <v>191.78142047981478</v>
      </c>
      <c r="S3350" s="2">
        <f t="shared" si="210"/>
        <v>2.3893627213034274</v>
      </c>
      <c r="T3350" s="2">
        <f t="shared" si="212"/>
        <v>4.1551953664124497</v>
      </c>
      <c r="U3350" s="2">
        <f t="shared" si="213"/>
        <v>198.32597856753065</v>
      </c>
    </row>
    <row r="3351" spans="1:21" x14ac:dyDescent="0.25">
      <c r="A3351">
        <v>4649489</v>
      </c>
      <c r="B3351">
        <v>57</v>
      </c>
      <c r="C3351" s="1">
        <f>5.08325159062914*(10.3/7.3)</f>
        <v>7.17225909362742</v>
      </c>
      <c r="D3351" s="1">
        <f>5.30385941891903*(10.3/7.3)</f>
        <v>7.4835276732693234</v>
      </c>
      <c r="E3351" s="1">
        <f>18.846186546764*(10.3/7.3)</f>
        <v>26.591194716666962</v>
      </c>
      <c r="F3351" s="1">
        <f>41.5032804363468*(38.9/42.5)</f>
        <v>37.987708446444479</v>
      </c>
      <c r="G3351" s="1">
        <v>1.6455279221172914</v>
      </c>
      <c r="H3351" s="1">
        <v>3.935788031698912</v>
      </c>
      <c r="I3351" s="1">
        <v>33.386154034115592</v>
      </c>
      <c r="J3351" s="1">
        <v>2.4173457362701871E-2</v>
      </c>
      <c r="K3351" s="1">
        <v>1.737552378670131</v>
      </c>
      <c r="L3351" s="1">
        <v>1.8275528326416428</v>
      </c>
      <c r="M3351" s="1">
        <v>8.4340702744576224E-2</v>
      </c>
      <c r="N3351" s="1">
        <v>1.0324674832586935</v>
      </c>
      <c r="O3351" s="1">
        <v>7.7759064327485389E-2</v>
      </c>
      <c r="P3351" s="1">
        <v>6.4095598410896765E-2</v>
      </c>
      <c r="Q3351" s="1">
        <v>2.6298391449363159</v>
      </c>
      <c r="R3351" s="2">
        <f t="shared" si="211"/>
        <v>120.83199906287629</v>
      </c>
      <c r="S3351" s="2">
        <f t="shared" si="210"/>
        <v>1.8258214344437298</v>
      </c>
      <c r="T3351" s="2">
        <f t="shared" si="212"/>
        <v>3.022120082972398</v>
      </c>
      <c r="U3351" s="2">
        <f t="shared" si="213"/>
        <v>125.67994058029241</v>
      </c>
    </row>
    <row r="3352" spans="1:21" x14ac:dyDescent="0.25">
      <c r="A3352">
        <v>465745</v>
      </c>
      <c r="B3352">
        <v>1</v>
      </c>
      <c r="C3352" s="1">
        <f>1.37450502513903*(10.3/7.3)</f>
        <v>1.9393701039632822</v>
      </c>
      <c r="D3352" s="1">
        <f>1.7689189396325*(10.3/7.3)</f>
        <v>2.495871928522575</v>
      </c>
      <c r="E3352" s="1">
        <f>6.22668184003912*(10.3/7.3)</f>
        <v>8.7855921852606738</v>
      </c>
      <c r="F3352" s="1">
        <f>13.4640831440536*(38.9/42.5)</f>
        <v>12.323596101263218</v>
      </c>
      <c r="G3352" s="1">
        <v>0.54591666002513073</v>
      </c>
      <c r="H3352" s="1">
        <v>1.0554248221919038</v>
      </c>
      <c r="I3352" s="1">
        <v>10.087738441943458</v>
      </c>
      <c r="J3352" s="1">
        <v>3.3758929092429349E-2</v>
      </c>
      <c r="K3352" s="1">
        <v>4.4052715980077304</v>
      </c>
      <c r="L3352" s="1">
        <v>2.4428848732222646</v>
      </c>
      <c r="M3352" s="1">
        <v>9.6832326663242776E-2</v>
      </c>
      <c r="N3352" s="1">
        <v>1.0355001167804632</v>
      </c>
      <c r="O3352" s="1">
        <v>8.6933333333333335E-2</v>
      </c>
      <c r="P3352" s="1">
        <v>7.4266493577512596E-2</v>
      </c>
      <c r="Q3352" s="1">
        <v>0.87246954798536958</v>
      </c>
      <c r="R3352" s="2">
        <f t="shared" si="211"/>
        <v>38.105979791155612</v>
      </c>
      <c r="S3352" s="2">
        <f t="shared" si="210"/>
        <v>4.5132970206776726</v>
      </c>
      <c r="T3352" s="2">
        <f t="shared" si="212"/>
        <v>3.6621506499993037</v>
      </c>
      <c r="U3352" s="2">
        <f t="shared" si="213"/>
        <v>46.281427461832592</v>
      </c>
    </row>
    <row r="3353" spans="1:21" x14ac:dyDescent="0.25">
      <c r="A3353">
        <v>465769</v>
      </c>
      <c r="B3353">
        <v>23</v>
      </c>
      <c r="C3353" s="1">
        <f>1.07074691285949*(10.3/7.3)</f>
        <v>1.5107798907469501</v>
      </c>
      <c r="D3353" s="1">
        <f>1.7045508808928*(10.3/7.3)</f>
        <v>2.4050512429035469</v>
      </c>
      <c r="E3353" s="1">
        <f>5.8860495923214*(10.3/7.3)</f>
        <v>8.3049740823164946</v>
      </c>
      <c r="F3353" s="1">
        <f>15.9491163429335*(38.9/42.5)</f>
        <v>14.598132370355616</v>
      </c>
      <c r="G3353" s="1">
        <v>0.80518322256116337</v>
      </c>
      <c r="H3353" s="1">
        <v>3.7382391845828162</v>
      </c>
      <c r="I3353" s="1">
        <v>11.847470523475463</v>
      </c>
      <c r="J3353" s="1">
        <v>2.5942947771633119E-2</v>
      </c>
      <c r="K3353" s="1">
        <v>3.4757949121308407</v>
      </c>
      <c r="L3353" s="1">
        <v>1.3018169825988479</v>
      </c>
      <c r="M3353" s="1">
        <v>7.146352818662087E-2</v>
      </c>
      <c r="N3353" s="1">
        <v>1.0216583397102261</v>
      </c>
      <c r="O3353" s="1">
        <v>6.80463768115942E-2</v>
      </c>
      <c r="P3353" s="1">
        <v>5.9101568800505232E-2</v>
      </c>
      <c r="Q3353" s="1">
        <v>1.2868225018100801</v>
      </c>
      <c r="R3353" s="2">
        <f t="shared" si="211"/>
        <v>44.496653018752127</v>
      </c>
      <c r="S3353" s="2">
        <f t="shared" si="210"/>
        <v>3.5608394287029794</v>
      </c>
      <c r="T3353" s="2">
        <f t="shared" si="212"/>
        <v>2.4629852273072892</v>
      </c>
      <c r="U3353" s="2">
        <f t="shared" si="213"/>
        <v>50.52047767476239</v>
      </c>
    </row>
    <row r="3354" spans="1:21" x14ac:dyDescent="0.25">
      <c r="A3354">
        <v>465825</v>
      </c>
      <c r="B3354">
        <v>16</v>
      </c>
      <c r="C3354" s="1">
        <f>1.14949504755587*(10.3/7.3)</f>
        <v>1.6218902725788267</v>
      </c>
      <c r="D3354" s="1">
        <f>1.92054820172839*(10.3/7.3)</f>
        <v>2.7098145860003351</v>
      </c>
      <c r="E3354" s="1">
        <f>6.58764469873362*(10.3/7.3)</f>
        <v>9.2948959447885304</v>
      </c>
      <c r="F3354" s="1">
        <f>19.5432441319187*(38.9/42.5)</f>
        <v>17.887816393685576</v>
      </c>
      <c r="G3354" s="1">
        <v>1.0476881577450154</v>
      </c>
      <c r="H3354" s="1">
        <v>6.8000497276407872</v>
      </c>
      <c r="I3354" s="1">
        <v>14.643314129388955</v>
      </c>
      <c r="J3354" s="1">
        <v>2.4140116575284958E-2</v>
      </c>
      <c r="K3354" s="1">
        <v>2.7375672076586697</v>
      </c>
      <c r="L3354" s="1">
        <v>1.2574023958697902</v>
      </c>
      <c r="M3354" s="1">
        <v>6.7850324559570338E-2</v>
      </c>
      <c r="N3354" s="1">
        <v>0.82880536305457997</v>
      </c>
      <c r="O3354" s="1">
        <v>6.7469999999999988E-2</v>
      </c>
      <c r="P3354" s="1">
        <v>5.8662409379382704E-2</v>
      </c>
      <c r="Q3354" s="1">
        <v>1.6743874667157803</v>
      </c>
      <c r="R3354" s="2">
        <f t="shared" si="211"/>
        <v>55.679856678543807</v>
      </c>
      <c r="S3354" s="2">
        <f t="shared" si="210"/>
        <v>2.8203697336133375</v>
      </c>
      <c r="T3354" s="2">
        <f t="shared" si="212"/>
        <v>2.2215280834839408</v>
      </c>
      <c r="U3354" s="2">
        <f t="shared" si="213"/>
        <v>60.721754495641086</v>
      </c>
    </row>
    <row r="3355" spans="1:21" x14ac:dyDescent="0.25">
      <c r="A3355">
        <v>4660805</v>
      </c>
      <c r="B3355">
        <v>5</v>
      </c>
      <c r="C3355" s="1">
        <f>0.507025470009267*(10.3/7.3)</f>
        <v>0.71539210151992405</v>
      </c>
      <c r="D3355" s="1">
        <f>0.690264084518999*(10.3/7.3)</f>
        <v>0.97393425623913576</v>
      </c>
      <c r="E3355" s="1">
        <f>2.40654075866853*(10.3/7.3)</f>
        <v>3.3955301115460101</v>
      </c>
      <c r="F3355" s="1">
        <f>6.08442494402433*(38.9/42.5)</f>
        <v>5.5690383605305023</v>
      </c>
      <c r="G3355" s="1">
        <v>0.28712126223019846</v>
      </c>
      <c r="H3355" s="1">
        <v>1.248706630813553</v>
      </c>
      <c r="I3355" s="1">
        <v>4.6214658064069738</v>
      </c>
      <c r="J3355" s="1">
        <v>4.4898187595879012E-2</v>
      </c>
      <c r="K3355" s="1">
        <v>2.6966127443576804</v>
      </c>
      <c r="L3355" s="1">
        <v>2.1213509522527025</v>
      </c>
      <c r="M3355" s="1">
        <v>0.33070598832676157</v>
      </c>
      <c r="N3355" s="1">
        <v>1.2618798765623118</v>
      </c>
      <c r="O3355" s="1">
        <v>0.46066133333333326</v>
      </c>
      <c r="P3355" s="1">
        <v>0.23395012281482042</v>
      </c>
      <c r="Q3355" s="1">
        <v>0.45886959717155051</v>
      </c>
      <c r="R3355" s="2">
        <f t="shared" si="211"/>
        <v>17.270058126457847</v>
      </c>
      <c r="S3355" s="2">
        <f t="shared" si="210"/>
        <v>2.9754610547683802</v>
      </c>
      <c r="T3355" s="2">
        <f t="shared" si="212"/>
        <v>4.1745981504751093</v>
      </c>
      <c r="U3355" s="2">
        <f t="shared" si="213"/>
        <v>24.420117331701338</v>
      </c>
    </row>
    <row r="3356" spans="1:21" x14ac:dyDescent="0.25">
      <c r="A3356">
        <v>4660813</v>
      </c>
      <c r="B3356">
        <v>70</v>
      </c>
      <c r="C3356" s="1">
        <f>0.69513869034342*(10.3/7.3)</f>
        <v>0.98081212473112633</v>
      </c>
      <c r="D3356" s="1">
        <f>0.963902023225534*(10.3/7.3)</f>
        <v>1.3600261423593158</v>
      </c>
      <c r="E3356" s="1">
        <f>3.35220575335712*(10.3/7.3)</f>
        <v>4.7298245561066157</v>
      </c>
      <c r="F3356" s="1">
        <f>8.77142762131512*(38.9/42.5)</f>
        <v>8.0284361051566613</v>
      </c>
      <c r="G3356" s="1">
        <v>0.42576931783041516</v>
      </c>
      <c r="H3356" s="1">
        <v>1.7941598147004636</v>
      </c>
      <c r="I3356" s="1">
        <v>6.6733747835926946</v>
      </c>
      <c r="J3356" s="1">
        <v>5.6539962658576394E-2</v>
      </c>
      <c r="K3356" s="1">
        <v>3.371435065122395</v>
      </c>
      <c r="L3356" s="1">
        <v>2.6321516935487193</v>
      </c>
      <c r="M3356" s="1">
        <v>0.43068795082119038</v>
      </c>
      <c r="N3356" s="1">
        <v>1.6497187356598255</v>
      </c>
      <c r="O3356" s="1">
        <v>0.64814857142857141</v>
      </c>
      <c r="P3356" s="1">
        <v>0.28413386708997151</v>
      </c>
      <c r="Q3356" s="1">
        <v>0.68045324767418014</v>
      </c>
      <c r="R3356" s="2">
        <f t="shared" si="211"/>
        <v>24.672856092151473</v>
      </c>
      <c r="S3356" s="2">
        <f t="shared" si="210"/>
        <v>3.7121088948709429</v>
      </c>
      <c r="T3356" s="2">
        <f t="shared" si="212"/>
        <v>5.3607069514583063</v>
      </c>
      <c r="U3356" s="2">
        <f t="shared" si="213"/>
        <v>33.745671938480726</v>
      </c>
    </row>
    <row r="3357" spans="1:21" x14ac:dyDescent="0.25">
      <c r="A3357">
        <v>4660821</v>
      </c>
      <c r="B3357">
        <v>69</v>
      </c>
      <c r="C3357" s="1">
        <f>1.29354788615568*(10.3/7.3)</f>
        <v>1.825142907863496</v>
      </c>
      <c r="D3357" s="1">
        <f>1.85685602792164*(10.3/7.3)</f>
        <v>2.6199475462456014</v>
      </c>
      <c r="E3357" s="1">
        <f>6.42433849158851*(10.3/7.3)</f>
        <v>9.0644775977207779</v>
      </c>
      <c r="F3357" s="1">
        <f>18.0544835446426*(38.9/42.5)</f>
        <v>16.525162585567024</v>
      </c>
      <c r="G3357" s="1">
        <v>0.92387941733898171</v>
      </c>
      <c r="H3357" s="1">
        <v>3.2240604823111796</v>
      </c>
      <c r="I3357" s="1">
        <v>13.799805582706156</v>
      </c>
      <c r="J3357" s="1">
        <v>8.6575254676952318E-2</v>
      </c>
      <c r="K3357" s="1">
        <v>4.5536754394315198</v>
      </c>
      <c r="L3357" s="1">
        <v>4.2269765520057865</v>
      </c>
      <c r="M3357" s="1">
        <v>0.66026921337016797</v>
      </c>
      <c r="N3357" s="1">
        <v>2.3416007265745642</v>
      </c>
      <c r="O3357" s="1">
        <v>0.92470724637681168</v>
      </c>
      <c r="P3357" s="1">
        <v>0.35698240195670655</v>
      </c>
      <c r="Q3357" s="1">
        <v>1.4765196167517991</v>
      </c>
      <c r="R3357" s="2">
        <f t="shared" si="211"/>
        <v>49.458995736505017</v>
      </c>
      <c r="S3357" s="2">
        <f t="shared" si="210"/>
        <v>4.9972330960651785</v>
      </c>
      <c r="T3357" s="2">
        <f t="shared" si="212"/>
        <v>8.1535537383273304</v>
      </c>
      <c r="U3357" s="2">
        <f t="shared" si="213"/>
        <v>62.609782570897529</v>
      </c>
    </row>
    <row r="3358" spans="1:21" x14ac:dyDescent="0.25">
      <c r="A3358">
        <v>4660829</v>
      </c>
      <c r="B3358">
        <v>14</v>
      </c>
      <c r="C3358" s="1">
        <f>1.14895806485211*(10.3/7.3)</f>
        <v>1.6211326120516021</v>
      </c>
      <c r="D3358" s="1">
        <f>1.67608920194415*(10.3/7.3)</f>
        <v>2.3648929835650399</v>
      </c>
      <c r="E3358" s="1">
        <f>5.78552996204585*(10.3/7.3)</f>
        <v>8.1631450149414029</v>
      </c>
      <c r="F3358" s="1">
        <f>16.7582362518379*(38.9/42.5)</f>
        <v>15.338715063446916</v>
      </c>
      <c r="G3358" s="1">
        <v>0.87531979295050344</v>
      </c>
      <c r="H3358" s="1">
        <v>3.1491911149025138</v>
      </c>
      <c r="I3358" s="1">
        <v>12.831744676224348</v>
      </c>
      <c r="J3358" s="1">
        <v>8.9433399418926265E-2</v>
      </c>
      <c r="K3358" s="1">
        <v>4.1698235238784775</v>
      </c>
      <c r="L3358" s="1">
        <v>3.8316969506017524</v>
      </c>
      <c r="M3358" s="1">
        <v>0.60490177957002333</v>
      </c>
      <c r="N3358" s="1">
        <v>2.2425191993074498</v>
      </c>
      <c r="O3358" s="1">
        <v>0.80914285714285727</v>
      </c>
      <c r="P3358" s="1">
        <v>0.33164852508750647</v>
      </c>
      <c r="Q3358" s="1">
        <v>1.3989129111081113</v>
      </c>
      <c r="R3358" s="2">
        <f t="shared" si="211"/>
        <v>45.743054169190437</v>
      </c>
      <c r="S3358" s="2">
        <f t="shared" si="210"/>
        <v>4.5909054483849099</v>
      </c>
      <c r="T3358" s="2">
        <f t="shared" si="212"/>
        <v>7.4882607866220834</v>
      </c>
      <c r="U3358" s="2">
        <f t="shared" si="213"/>
        <v>57.822220404197431</v>
      </c>
    </row>
    <row r="3359" spans="1:21" x14ac:dyDescent="0.25">
      <c r="A3359">
        <v>4660981</v>
      </c>
      <c r="B3359">
        <v>17</v>
      </c>
      <c r="C3359" s="1">
        <f>1.42094116402163*(10.3/7.3)</f>
        <v>2.0048895875921571</v>
      </c>
      <c r="D3359" s="1">
        <f>2.1476489375815*(10.3/7.3)</f>
        <v>3.0302443913821131</v>
      </c>
      <c r="E3359" s="1">
        <f>7.32276766629458*(10.3/7.3)</f>
        <v>10.332124241484141</v>
      </c>
      <c r="F3359" s="1">
        <f>25.3435673940078*(38.9/42.5)</f>
        <v>23.196818155927179</v>
      </c>
      <c r="G3359" s="1">
        <v>1.4590218541667763</v>
      </c>
      <c r="H3359" s="1">
        <v>6.2245839571440724</v>
      </c>
      <c r="I3359" s="1">
        <v>19.822492587196869</v>
      </c>
      <c r="J3359" s="1">
        <v>4.1985752377012721E-2</v>
      </c>
      <c r="K3359" s="1">
        <v>3.1015797181791385</v>
      </c>
      <c r="L3359" s="1">
        <v>3.3198046558271983</v>
      </c>
      <c r="M3359" s="1">
        <v>0.71889184830686759</v>
      </c>
      <c r="N3359" s="1">
        <v>1.8444861006604167</v>
      </c>
      <c r="O3359" s="1">
        <v>0.34669803921568626</v>
      </c>
      <c r="P3359" s="1">
        <v>0.23120234635330994</v>
      </c>
      <c r="Q3359" s="1">
        <v>2.3317700865679094</v>
      </c>
      <c r="R3359" s="2">
        <f t="shared" si="211"/>
        <v>68.401944861461217</v>
      </c>
      <c r="S3359" s="2">
        <f t="shared" si="210"/>
        <v>3.3747678169094613</v>
      </c>
      <c r="T3359" s="2">
        <f t="shared" si="212"/>
        <v>6.2298806440101693</v>
      </c>
      <c r="U3359" s="2">
        <f t="shared" si="213"/>
        <v>78.006593322380837</v>
      </c>
    </row>
    <row r="3360" spans="1:21" x14ac:dyDescent="0.25">
      <c r="A3360">
        <v>4660989</v>
      </c>
      <c r="B3360">
        <v>32</v>
      </c>
      <c r="C3360" s="1">
        <f>1.48606407088954*(10.3/7.3)</f>
        <v>2.0967753328989436</v>
      </c>
      <c r="D3360" s="1">
        <f>2.43509023110871*(10.3/7.3)</f>
        <v>3.4358122438931087</v>
      </c>
      <c r="E3360" s="1">
        <f>8.2943892593048*(10.3/7.3)</f>
        <v>11.70304237956705</v>
      </c>
      <c r="F3360" s="1">
        <f>27.887041598272*(38.9/42.5)</f>
        <v>25.524845133477161</v>
      </c>
      <c r="G3360" s="1">
        <v>1.5928939887857385</v>
      </c>
      <c r="H3360" s="1">
        <v>11.280335655788928</v>
      </c>
      <c r="I3360" s="1">
        <v>21.434515352503304</v>
      </c>
      <c r="J3360" s="1">
        <v>4.1403060661058227E-2</v>
      </c>
      <c r="K3360" s="1">
        <v>3.1590772706199579</v>
      </c>
      <c r="L3360" s="1">
        <v>3.3981263131530168</v>
      </c>
      <c r="M3360" s="1">
        <v>0.71645328073164771</v>
      </c>
      <c r="N3360" s="1">
        <v>1.9104061839046134</v>
      </c>
      <c r="O3360" s="1">
        <v>0.34603000000000006</v>
      </c>
      <c r="P3360" s="1">
        <v>0.23414131952513878</v>
      </c>
      <c r="Q3360" s="1">
        <v>2.545720986643877</v>
      </c>
      <c r="R3360" s="2">
        <f t="shared" si="211"/>
        <v>79.613941073558109</v>
      </c>
      <c r="S3360" s="2">
        <f t="shared" si="210"/>
        <v>3.4346216508061551</v>
      </c>
      <c r="T3360" s="2">
        <f t="shared" si="212"/>
        <v>6.3710157777892782</v>
      </c>
      <c r="U3360" s="2">
        <f t="shared" si="213"/>
        <v>89.419578502153541</v>
      </c>
    </row>
    <row r="3361" spans="1:21" x14ac:dyDescent="0.25">
      <c r="A3361">
        <v>4660997</v>
      </c>
      <c r="B3361">
        <v>18</v>
      </c>
      <c r="C3361" s="1">
        <f>1.76569396134806*(10.3/7.3)</f>
        <v>2.4913216166965775</v>
      </c>
      <c r="D3361" s="1">
        <f>2.48813113886193*(10.3/7.3)</f>
        <v>3.5106507849695734</v>
      </c>
      <c r="E3361" s="1">
        <f>8.46034163506463*(10.3/7.3)</f>
        <v>11.937194361803517</v>
      </c>
      <c r="F3361" s="1">
        <f>31.6959875219758*(38.9/42.5)</f>
        <v>29.011150931878991</v>
      </c>
      <c r="G3361" s="1">
        <v>1.879986191969405</v>
      </c>
      <c r="H3361" s="1">
        <v>11.976261296588799</v>
      </c>
      <c r="I3361" s="1">
        <v>25.335091362494424</v>
      </c>
      <c r="J3361" s="1">
        <v>4.0703639241743417E-2</v>
      </c>
      <c r="K3361" s="1">
        <v>3.1384290079638695</v>
      </c>
      <c r="L3361" s="1">
        <v>3.4383514294290376</v>
      </c>
      <c r="M3361" s="1">
        <v>0.70553130310678103</v>
      </c>
      <c r="N3361" s="1">
        <v>1.9314144167003435</v>
      </c>
      <c r="O3361" s="1">
        <v>0.33145481481481487</v>
      </c>
      <c r="P3361" s="1">
        <v>0.22992843875329616</v>
      </c>
      <c r="Q3361" s="1">
        <v>3.0045441424168597</v>
      </c>
      <c r="R3361" s="2">
        <f t="shared" si="211"/>
        <v>89.146200688818155</v>
      </c>
      <c r="S3361" s="2">
        <f t="shared" si="210"/>
        <v>3.4090610859589088</v>
      </c>
      <c r="T3361" s="2">
        <f t="shared" si="212"/>
        <v>6.4067519640509767</v>
      </c>
      <c r="U3361" s="2">
        <f t="shared" si="213"/>
        <v>98.962013738828048</v>
      </c>
    </row>
    <row r="3362" spans="1:21" x14ac:dyDescent="0.25">
      <c r="A3362">
        <v>4661349</v>
      </c>
      <c r="B3362">
        <v>65</v>
      </c>
      <c r="C3362" s="1">
        <f>10.5619634074031*(10.3/7.3)</f>
        <v>14.90249631455511</v>
      </c>
      <c r="D3362" s="1">
        <f>16.2935186045293*(10.3/7.3)</f>
        <v>22.989485154335792</v>
      </c>
      <c r="E3362" s="1">
        <f>57.364544737228*(10.3/7.3)</f>
        <v>80.939015177184686</v>
      </c>
      <c r="F3362" s="1">
        <f>102.387324498921*(38.9/42.5)</f>
        <v>93.714515835482871</v>
      </c>
      <c r="G3362" s="1">
        <v>3.3626564661054488</v>
      </c>
      <c r="H3362" s="1">
        <v>6.0958625655443655</v>
      </c>
      <c r="I3362" s="1">
        <v>68.777272551338655</v>
      </c>
      <c r="J3362" s="1">
        <v>5.1906393481416478E-2</v>
      </c>
      <c r="K3362" s="1">
        <v>3.1024310992786095</v>
      </c>
      <c r="L3362" s="1">
        <v>4.5773402366099045</v>
      </c>
      <c r="M3362" s="1">
        <v>0.24053825363715747</v>
      </c>
      <c r="N3362" s="1">
        <v>2.3130284274555239</v>
      </c>
      <c r="O3362" s="1">
        <v>0.19725948717948713</v>
      </c>
      <c r="P3362" s="1">
        <v>0.14098942209893586</v>
      </c>
      <c r="Q3362" s="1">
        <v>5.3741085074744666</v>
      </c>
      <c r="R3362" s="2">
        <f t="shared" si="211"/>
        <v>296.15541257202142</v>
      </c>
      <c r="S3362" s="2">
        <f t="shared" si="210"/>
        <v>3.2953269148589621</v>
      </c>
      <c r="T3362" s="2">
        <f t="shared" si="212"/>
        <v>7.3281664048820723</v>
      </c>
      <c r="U3362" s="2">
        <f t="shared" si="213"/>
        <v>306.77890589176246</v>
      </c>
    </row>
    <row r="3363" spans="1:21" x14ac:dyDescent="0.25">
      <c r="A3363">
        <v>4661357</v>
      </c>
      <c r="B3363">
        <v>65</v>
      </c>
      <c r="C3363" s="1">
        <f>8.72308077340977*(10.3/7.3)</f>
        <v>12.30790848850968</v>
      </c>
      <c r="D3363" s="1">
        <f>12.7608124547025*(10.3/7.3)</f>
        <v>18.004981956635095</v>
      </c>
      <c r="E3363" s="1">
        <f>44.9868449455402*(10.3/7.3)</f>
        <v>63.474589443707451</v>
      </c>
      <c r="F3363" s="1">
        <f>81.8248883271043*(38.9/42.5)</f>
        <v>74.893838962926012</v>
      </c>
      <c r="G3363" s="1">
        <v>2.7326700930448817</v>
      </c>
      <c r="H3363" s="1">
        <v>5.2172290236109209</v>
      </c>
      <c r="I3363" s="1">
        <v>56.335254655868447</v>
      </c>
      <c r="J3363" s="1">
        <v>4.7452857377955682E-2</v>
      </c>
      <c r="K3363" s="1">
        <v>2.9990388856640156</v>
      </c>
      <c r="L3363" s="1">
        <v>4.4508880101990691</v>
      </c>
      <c r="M3363" s="1">
        <v>0.22708667962737974</v>
      </c>
      <c r="N3363" s="1">
        <v>2.2227750130015846</v>
      </c>
      <c r="O3363" s="1">
        <v>0.18914297435897431</v>
      </c>
      <c r="P3363" s="1">
        <v>0.13509514910708534</v>
      </c>
      <c r="Q3363" s="1">
        <v>4.3672809706196789</v>
      </c>
      <c r="R3363" s="2">
        <f t="shared" si="211"/>
        <v>237.33375359492217</v>
      </c>
      <c r="S3363" s="2">
        <f t="shared" si="210"/>
        <v>3.1815868921490567</v>
      </c>
      <c r="T3363" s="2">
        <f t="shared" si="212"/>
        <v>7.0898926771870077</v>
      </c>
      <c r="U3363" s="2">
        <f t="shared" si="213"/>
        <v>247.60523316425824</v>
      </c>
    </row>
    <row r="3364" spans="1:21" x14ac:dyDescent="0.25">
      <c r="A3364">
        <v>4661365</v>
      </c>
      <c r="B3364">
        <v>64</v>
      </c>
      <c r="C3364" s="1">
        <f>8.31371913522903*(10.3/7.3)</f>
        <v>11.730316040117669</v>
      </c>
      <c r="D3364" s="1">
        <f>11.8085628231991*(10.3/7.3)</f>
        <v>16.661396860130186</v>
      </c>
      <c r="E3364" s="1">
        <f>41.6596463123377*(10.3/7.3)</f>
        <v>58.780048906449068</v>
      </c>
      <c r="F3364" s="1">
        <f>76.7029035610015*(38.9/42.5)</f>
        <v>70.20571643583429</v>
      </c>
      <c r="G3364" s="1">
        <v>2.5910554723388373</v>
      </c>
      <c r="H3364" s="1">
        <v>5.2013347330132911</v>
      </c>
      <c r="I3364" s="1">
        <v>53.551091561325194</v>
      </c>
      <c r="J3364" s="1">
        <v>4.8265647137654487E-2</v>
      </c>
      <c r="K3364" s="1">
        <v>3.0477102618432768</v>
      </c>
      <c r="L3364" s="1">
        <v>4.6230939453832045</v>
      </c>
      <c r="M3364" s="1">
        <v>0.2324112033186494</v>
      </c>
      <c r="N3364" s="1">
        <v>2.267491420615031</v>
      </c>
      <c r="O3364" s="1">
        <v>0.19132083333333344</v>
      </c>
      <c r="P3364" s="1">
        <v>0.1345073739907594</v>
      </c>
      <c r="Q3364" s="1">
        <v>4.1409562343314787</v>
      </c>
      <c r="R3364" s="2">
        <f t="shared" si="211"/>
        <v>222.86191624353998</v>
      </c>
      <c r="S3364" s="2">
        <f t="shared" si="210"/>
        <v>3.2304832829716905</v>
      </c>
      <c r="T3364" s="2">
        <f t="shared" si="212"/>
        <v>7.3143174026502171</v>
      </c>
      <c r="U3364" s="2">
        <f t="shared" si="213"/>
        <v>233.40671692916189</v>
      </c>
    </row>
    <row r="3365" spans="1:21" x14ac:dyDescent="0.25">
      <c r="A3365">
        <v>4661373</v>
      </c>
      <c r="B3365">
        <v>63</v>
      </c>
      <c r="C3365" s="1">
        <f>6.21221420891165*(10.3/7.3)</f>
        <v>8.7651789523000012</v>
      </c>
      <c r="D3365" s="1">
        <f>9.05933806826839*(10.3/7.3)</f>
        <v>12.782353712762255</v>
      </c>
      <c r="E3365" s="1">
        <f>31.9037141760356*(10.3/7.3)</f>
        <v>45.014829590844819</v>
      </c>
      <c r="F3365" s="1">
        <f>59.9330299029313*(38.9/42.5)</f>
        <v>54.856349722918289</v>
      </c>
      <c r="G3365" s="1">
        <v>2.0966283026889836</v>
      </c>
      <c r="H3365" s="1">
        <v>4.6576126780915796</v>
      </c>
      <c r="I3365" s="1">
        <v>41.700232116561835</v>
      </c>
      <c r="J3365" s="1">
        <v>4.3646402076035241E-2</v>
      </c>
      <c r="K3365" s="1">
        <v>2.853366450515987</v>
      </c>
      <c r="L3365" s="1">
        <v>4.1885306479849236</v>
      </c>
      <c r="M3365" s="1">
        <v>0.21157234375447725</v>
      </c>
      <c r="N3365" s="1">
        <v>2.1331679195505369</v>
      </c>
      <c r="O3365" s="1">
        <v>0.17741798941798939</v>
      </c>
      <c r="P3365" s="1">
        <v>0.12725309905385901</v>
      </c>
      <c r="Q3365" s="1">
        <v>3.3507758262152758</v>
      </c>
      <c r="R3365" s="2">
        <f t="shared" si="211"/>
        <v>173.22396090238306</v>
      </c>
      <c r="S3365" s="2">
        <f t="shared" si="210"/>
        <v>3.0242659516458814</v>
      </c>
      <c r="T3365" s="2">
        <f t="shared" si="212"/>
        <v>6.7106889007079271</v>
      </c>
      <c r="U3365" s="2">
        <f t="shared" si="213"/>
        <v>182.95891575473686</v>
      </c>
    </row>
    <row r="3366" spans="1:21" x14ac:dyDescent="0.25">
      <c r="A3366">
        <v>4661381</v>
      </c>
      <c r="B3366">
        <v>62</v>
      </c>
      <c r="C3366" s="1">
        <f>9.19899896148885*(10.3/7.3)</f>
        <v>12.979409493607557</v>
      </c>
      <c r="D3366" s="1">
        <f>13.2241644529444*(10.3/7.3)</f>
        <v>18.658752584291364</v>
      </c>
      <c r="E3366" s="1">
        <f>46.5630265102556*(10.3/7.3)</f>
        <v>65.69851685693601</v>
      </c>
      <c r="F3366" s="1">
        <f>89.1760284587587*(38.9/42.5)</f>
        <v>81.622294283428516</v>
      </c>
      <c r="G3366" s="1">
        <v>3.1937204483134831</v>
      </c>
      <c r="H3366" s="1">
        <v>6.1854859807809524</v>
      </c>
      <c r="I3366" s="1">
        <v>62.684401328676202</v>
      </c>
      <c r="J3366" s="1">
        <v>6.3390179071869099E-2</v>
      </c>
      <c r="K3366" s="1">
        <v>3.7583652881108911</v>
      </c>
      <c r="L3366" s="1">
        <v>6.1186446074693563</v>
      </c>
      <c r="M3366" s="1">
        <v>0.27792531352605288</v>
      </c>
      <c r="N3366" s="1">
        <v>2.9649981683725741</v>
      </c>
      <c r="O3366" s="1">
        <v>0.23164731182795695</v>
      </c>
      <c r="P3366" s="1">
        <v>0.1559075081340574</v>
      </c>
      <c r="Q3366" s="1">
        <v>5.1041194379439281</v>
      </c>
      <c r="R3366" s="2">
        <f t="shared" si="211"/>
        <v>256.12670041397803</v>
      </c>
      <c r="S3366" s="2">
        <f t="shared" si="210"/>
        <v>3.9776629753168176</v>
      </c>
      <c r="T3366" s="2">
        <f t="shared" si="212"/>
        <v>9.5932154011959412</v>
      </c>
      <c r="U3366" s="2">
        <f t="shared" si="213"/>
        <v>269.69757879049081</v>
      </c>
    </row>
    <row r="3367" spans="1:21" x14ac:dyDescent="0.25">
      <c r="A3367">
        <v>4661389</v>
      </c>
      <c r="B3367">
        <v>62</v>
      </c>
      <c r="C3367" s="1">
        <f>8.06418851528435*(10.3/7.3)</f>
        <v>11.378238590058736</v>
      </c>
      <c r="D3367" s="1">
        <f>11.4548175153675*(10.3/7.3)</f>
        <v>16.162276768258323</v>
      </c>
      <c r="E3367" s="1">
        <f>40.3336850584007*(10.3/7.3)</f>
        <v>56.909172068702297</v>
      </c>
      <c r="F3367" s="1">
        <f>78.1800192418835*(38.9/42.5)</f>
        <v>71.557711729629858</v>
      </c>
      <c r="G3367" s="1">
        <v>2.8379684962144069</v>
      </c>
      <c r="H3367" s="1">
        <v>5.8378747582607131</v>
      </c>
      <c r="I3367" s="1">
        <v>55.35295079925541</v>
      </c>
      <c r="J3367" s="1">
        <v>5.9100436950861895E-2</v>
      </c>
      <c r="K3367" s="1">
        <v>3.4497083846738175</v>
      </c>
      <c r="L3367" s="1">
        <v>5.4080354008780427</v>
      </c>
      <c r="M3367" s="1">
        <v>0.24383147102064159</v>
      </c>
      <c r="N3367" s="1">
        <v>3.0142865458720851</v>
      </c>
      <c r="O3367" s="1">
        <v>0.21067440860215059</v>
      </c>
      <c r="P3367" s="1">
        <v>0.14350019465157693</v>
      </c>
      <c r="Q3367" s="1">
        <v>4.5355660898403816</v>
      </c>
      <c r="R3367" s="2">
        <f t="shared" si="211"/>
        <v>224.57175930022015</v>
      </c>
      <c r="S3367" s="2">
        <f t="shared" si="210"/>
        <v>3.6523090162762566</v>
      </c>
      <c r="T3367" s="2">
        <f t="shared" si="212"/>
        <v>8.876827826372919</v>
      </c>
      <c r="U3367" s="2">
        <f t="shared" si="213"/>
        <v>237.10089614286935</v>
      </c>
    </row>
    <row r="3368" spans="1:21" x14ac:dyDescent="0.25">
      <c r="A3368">
        <v>4661397</v>
      </c>
      <c r="B3368">
        <v>59</v>
      </c>
      <c r="C3368" s="1">
        <f>8.33624751554906*(10.3/7.3)</f>
        <v>11.762102658925384</v>
      </c>
      <c r="D3368" s="1">
        <f>11.6270311856236*(10.3/7.3)</f>
        <v>16.40526317971544</v>
      </c>
      <c r="E3368" s="1">
        <f>40.9451063297305*(10.3/7.3)</f>
        <v>57.771862355647194</v>
      </c>
      <c r="F3368" s="1">
        <f>80.6289354233549*(38.9/42.5)</f>
        <v>73.799190305141266</v>
      </c>
      <c r="G3368" s="1">
        <v>2.9761979942747572</v>
      </c>
      <c r="H3368" s="1">
        <v>6.7439629547787554</v>
      </c>
      <c r="I3368" s="1">
        <v>57.666477317008621</v>
      </c>
      <c r="J3368" s="1">
        <v>6.2080228529337256E-2</v>
      </c>
      <c r="K3368" s="1">
        <v>3.6495657884072421</v>
      </c>
      <c r="L3368" s="1">
        <v>5.7889947523686898</v>
      </c>
      <c r="M3368" s="1">
        <v>0.24849089533813995</v>
      </c>
      <c r="N3368" s="1">
        <v>2.8499008074095786</v>
      </c>
      <c r="O3368" s="1">
        <v>0.21761807909604522</v>
      </c>
      <c r="P3368" s="1">
        <v>0.14723858347157415</v>
      </c>
      <c r="Q3368" s="1">
        <v>4.7564808127678821</v>
      </c>
      <c r="R3368" s="2">
        <f t="shared" si="211"/>
        <v>231.88153757825933</v>
      </c>
      <c r="S3368" s="2">
        <f t="shared" si="210"/>
        <v>3.8588846004081532</v>
      </c>
      <c r="T3368" s="2">
        <f t="shared" si="212"/>
        <v>9.105004534212453</v>
      </c>
      <c r="U3368" s="2">
        <f t="shared" si="213"/>
        <v>244.84542671287991</v>
      </c>
    </row>
    <row r="3369" spans="1:21" x14ac:dyDescent="0.25">
      <c r="A3369">
        <v>4661405</v>
      </c>
      <c r="B3369">
        <v>64</v>
      </c>
      <c r="C3369" s="1">
        <f>8.29511143988182*(10.3/7.3)</f>
        <v>11.704061346682565</v>
      </c>
      <c r="D3369" s="1">
        <f>11.3938757118837*(10.3/7.3)</f>
        <v>16.076290388000267</v>
      </c>
      <c r="E3369" s="1">
        <f>40.126400150013*(10.3/7.3)</f>
        <v>56.616701581525241</v>
      </c>
      <c r="F3369" s="1">
        <f>80.1659040727849*(38.9/42.5)</f>
        <v>73.375380433678401</v>
      </c>
      <c r="G3369" s="1">
        <v>3.0040739360149842</v>
      </c>
      <c r="H3369" s="1">
        <v>6.2615987384784937</v>
      </c>
      <c r="I3369" s="1">
        <v>57.828820254975852</v>
      </c>
      <c r="J3369" s="1">
        <v>6.3562927082896348E-2</v>
      </c>
      <c r="K3369" s="1">
        <v>3.7701098696354278</v>
      </c>
      <c r="L3369" s="1">
        <v>5.9911660294715334</v>
      </c>
      <c r="M3369" s="1">
        <v>0.25121770962566659</v>
      </c>
      <c r="N3369" s="1">
        <v>3.041675772774949</v>
      </c>
      <c r="O3369" s="1">
        <v>0.21979583333333336</v>
      </c>
      <c r="P3369" s="1">
        <v>0.14893795246216793</v>
      </c>
      <c r="Q3369" s="1">
        <v>4.8010314045901605</v>
      </c>
      <c r="R3369" s="2">
        <f t="shared" si="211"/>
        <v>229.66795808394596</v>
      </c>
      <c r="S3369" s="2">
        <f t="shared" si="210"/>
        <v>3.9826107491804921</v>
      </c>
      <c r="T3369" s="2">
        <f t="shared" si="212"/>
        <v>9.5038553452054817</v>
      </c>
      <c r="U3369" s="2">
        <f t="shared" si="213"/>
        <v>243.15442417833194</v>
      </c>
    </row>
    <row r="3370" spans="1:21" x14ac:dyDescent="0.25">
      <c r="A3370">
        <v>4661413</v>
      </c>
      <c r="B3370">
        <v>53</v>
      </c>
      <c r="C3370" s="1">
        <f>7.60962799109789*(10.3/7.3)</f>
        <v>10.736872371001128</v>
      </c>
      <c r="D3370" s="1">
        <f>10.3007756047998*(10.3/7.3)</f>
        <v>14.533971058827133</v>
      </c>
      <c r="E3370" s="1">
        <f>36.278732497522*(10.3/7.3)</f>
        <v>51.187800647188539</v>
      </c>
      <c r="F3370" s="1">
        <f>73.4902715701123*(38.9/42.5)</f>
        <v>67.265213272408687</v>
      </c>
      <c r="G3370" s="1">
        <v>2.7929682926548272</v>
      </c>
      <c r="H3370" s="1">
        <v>5.9036887190200744</v>
      </c>
      <c r="I3370" s="1">
        <v>53.440010158701199</v>
      </c>
      <c r="J3370" s="1">
        <v>5.9304937161641917E-2</v>
      </c>
      <c r="K3370" s="1">
        <v>3.5674485075798947</v>
      </c>
      <c r="L3370" s="1">
        <v>5.4814032757765894</v>
      </c>
      <c r="M3370" s="1">
        <v>0.23235069998305988</v>
      </c>
      <c r="N3370" s="1">
        <v>2.9287481049342561</v>
      </c>
      <c r="O3370" s="1">
        <v>0.20383698113207546</v>
      </c>
      <c r="P3370" s="1">
        <v>0.14031334517015501</v>
      </c>
      <c r="Q3370" s="1">
        <v>4.4636479562976721</v>
      </c>
      <c r="R3370" s="2">
        <f t="shared" si="211"/>
        <v>210.32417247609925</v>
      </c>
      <c r="S3370" s="2">
        <f t="shared" si="210"/>
        <v>3.7670667899116919</v>
      </c>
      <c r="T3370" s="2">
        <f t="shared" si="212"/>
        <v>8.8463390618259812</v>
      </c>
      <c r="U3370" s="2">
        <f t="shared" si="213"/>
        <v>222.93757832783692</v>
      </c>
    </row>
    <row r="3371" spans="1:21" x14ac:dyDescent="0.25">
      <c r="A3371">
        <v>4661421</v>
      </c>
      <c r="B3371">
        <v>58</v>
      </c>
      <c r="C3371" s="1">
        <f>7.44125835735219*(10.3/7.3)</f>
        <v>10.499309737085962</v>
      </c>
      <c r="D3371" s="1">
        <f>9.94171141912037*(10.3/7.3)</f>
        <v>14.027346248895864</v>
      </c>
      <c r="E3371" s="1">
        <f>35.0115098344372*(10.3/7.3)</f>
        <v>49.39980154721956</v>
      </c>
      <c r="F3371" s="1">
        <f>72.0305110687577*(38.9/42.5)</f>
        <v>65.929103072345285</v>
      </c>
      <c r="G3371" s="1">
        <v>2.7813993569981594</v>
      </c>
      <c r="H3371" s="1">
        <v>5.8184581949510292</v>
      </c>
      <c r="I3371" s="1">
        <v>52.784996595791874</v>
      </c>
      <c r="J3371" s="1">
        <v>5.9017843154924705E-2</v>
      </c>
      <c r="K3371" s="1">
        <v>3.533162799018891</v>
      </c>
      <c r="L3371" s="1">
        <v>5.3578765042021059</v>
      </c>
      <c r="M3371" s="1">
        <v>0.22589351032672769</v>
      </c>
      <c r="N3371" s="1">
        <v>3.9023727384201456</v>
      </c>
      <c r="O3371" s="1">
        <v>0.19843770114942522</v>
      </c>
      <c r="P3371" s="1">
        <v>0.13686007530367233</v>
      </c>
      <c r="Q3371" s="1">
        <v>4.4451587897230889</v>
      </c>
      <c r="R3371" s="2">
        <f t="shared" si="211"/>
        <v>205.6855735430108</v>
      </c>
      <c r="S3371" s="2">
        <f t="shared" si="210"/>
        <v>3.729040717477488</v>
      </c>
      <c r="T3371" s="2">
        <f t="shared" si="212"/>
        <v>9.6845804540984037</v>
      </c>
      <c r="U3371" s="2">
        <f t="shared" si="213"/>
        <v>219.0991947145867</v>
      </c>
    </row>
    <row r="3372" spans="1:21" x14ac:dyDescent="0.25">
      <c r="A3372">
        <v>4661429</v>
      </c>
      <c r="B3372">
        <v>65</v>
      </c>
      <c r="C3372" s="1">
        <f>7.49101102593545*(10.3/7.3)</f>
        <v>10.569508707826724</v>
      </c>
      <c r="D3372" s="1">
        <f>9.87562990928184*(10.3/7.3)</f>
        <v>13.934107954192186</v>
      </c>
      <c r="E3372" s="1">
        <f>34.7684279819029*(10.3/7.3)</f>
        <v>49.056823042958911</v>
      </c>
      <c r="F3372" s="1">
        <f>73.0525090891614*(38.9/42.5)</f>
        <v>66.864531848667752</v>
      </c>
      <c r="G3372" s="1">
        <v>2.8827674621065786</v>
      </c>
      <c r="H3372" s="1">
        <v>5.9629977945579595</v>
      </c>
      <c r="I3372" s="1">
        <v>54.007020923339937</v>
      </c>
      <c r="J3372" s="1">
        <v>6.0260413038628002E-2</v>
      </c>
      <c r="K3372" s="1">
        <v>3.6047433100142343</v>
      </c>
      <c r="L3372" s="1">
        <v>5.4525209124170591</v>
      </c>
      <c r="M3372" s="1">
        <v>0.22446792431708124</v>
      </c>
      <c r="N3372" s="1">
        <v>3.152262240854184</v>
      </c>
      <c r="O3372" s="1">
        <v>0.19775261538461536</v>
      </c>
      <c r="P3372" s="1">
        <v>0.1369258061010068</v>
      </c>
      <c r="Q3372" s="1">
        <v>4.6071626106726216</v>
      </c>
      <c r="R3372" s="2">
        <f t="shared" si="211"/>
        <v>207.88492034432267</v>
      </c>
      <c r="S3372" s="2">
        <f t="shared" si="210"/>
        <v>3.8019295291538695</v>
      </c>
      <c r="T3372" s="2">
        <f t="shared" si="212"/>
        <v>9.02700369297294</v>
      </c>
      <c r="U3372" s="2">
        <f t="shared" si="213"/>
        <v>220.71385356644947</v>
      </c>
    </row>
    <row r="3373" spans="1:21" x14ac:dyDescent="0.25">
      <c r="A3373">
        <v>4661437</v>
      </c>
      <c r="B3373">
        <v>65</v>
      </c>
      <c r="C3373" s="1">
        <f>7.59236097184098*(10.3/7.3)</f>
        <v>10.712509316433161</v>
      </c>
      <c r="D3373" s="1">
        <f>9.98230398105486*(10.3/7.3)</f>
        <v>14.084620685597949</v>
      </c>
      <c r="E3373" s="1">
        <f>35.082994350027*(10.3/7.3)</f>
        <v>49.500663260997051</v>
      </c>
      <c r="F3373" s="1">
        <f>77.0037227510968*(38.9/42.5)</f>
        <v>70.481054471003915</v>
      </c>
      <c r="G3373" s="1">
        <v>3.1838370666723268</v>
      </c>
      <c r="H3373" s="1">
        <v>7.5507602308809298</v>
      </c>
      <c r="I3373" s="1">
        <v>57.489415525301133</v>
      </c>
      <c r="J3373" s="1">
        <v>6.1563794672729877E-2</v>
      </c>
      <c r="K3373" s="1">
        <v>3.6549749452900571</v>
      </c>
      <c r="L3373" s="1">
        <v>5.4713873920243472</v>
      </c>
      <c r="M3373" s="1">
        <v>0.22116303520009234</v>
      </c>
      <c r="N3373" s="1">
        <v>3.1257296348732964</v>
      </c>
      <c r="O3373" s="1">
        <v>0.19486851282051279</v>
      </c>
      <c r="P3373" s="1">
        <v>0.13516517628970817</v>
      </c>
      <c r="Q3373" s="1">
        <v>5.0883240791566928</v>
      </c>
      <c r="R3373" s="2">
        <f t="shared" si="211"/>
        <v>218.09118463604318</v>
      </c>
      <c r="S3373" s="2">
        <f t="shared" si="210"/>
        <v>3.8517039162524953</v>
      </c>
      <c r="T3373" s="2">
        <f t="shared" si="212"/>
        <v>9.0131485749182492</v>
      </c>
      <c r="U3373" s="2">
        <f t="shared" si="213"/>
        <v>230.95603712721393</v>
      </c>
    </row>
    <row r="3374" spans="1:21" x14ac:dyDescent="0.25">
      <c r="A3374">
        <v>4661461</v>
      </c>
      <c r="B3374">
        <v>5</v>
      </c>
      <c r="C3374" s="1">
        <f>3.63441273671214*(10.3/7.3)</f>
        <v>5.1280070120732963</v>
      </c>
      <c r="D3374" s="1">
        <f>5.09776667486192*(10.3/7.3)</f>
        <v>7.1927392809695565</v>
      </c>
      <c r="E3374" s="1">
        <f>17.7039734677756*(10.3/7.3)</f>
        <v>24.979579002477863</v>
      </c>
      <c r="F3374" s="1">
        <f>47.1672922283951*(38.9/42.5)</f>
        <v>43.171945121989864</v>
      </c>
      <c r="G3374" s="1">
        <v>2.3225062938097438</v>
      </c>
      <c r="H3374" s="1">
        <v>7.5377889910841249</v>
      </c>
      <c r="I3374" s="1">
        <v>35.903259954627416</v>
      </c>
      <c r="J3374" s="1">
        <v>3.7313036559475453E-2</v>
      </c>
      <c r="K3374" s="1">
        <v>2.8031687540311321</v>
      </c>
      <c r="L3374" s="1">
        <v>3.2792554759036605</v>
      </c>
      <c r="M3374" s="1">
        <v>0.13888970742181489</v>
      </c>
      <c r="N3374" s="1">
        <v>1.8082989916247176</v>
      </c>
      <c r="O3374" s="1">
        <v>0.12444799999999998</v>
      </c>
      <c r="P3374" s="1">
        <v>9.7342994643528441E-2</v>
      </c>
      <c r="Q3374" s="1">
        <v>3.7117680494676319</v>
      </c>
      <c r="R3374" s="2">
        <f t="shared" si="211"/>
        <v>129.94759370649948</v>
      </c>
      <c r="S3374" s="2">
        <f t="shared" si="210"/>
        <v>2.9378247852341359</v>
      </c>
      <c r="T3374" s="2">
        <f t="shared" si="212"/>
        <v>5.350892174950193</v>
      </c>
      <c r="U3374" s="2">
        <f t="shared" si="213"/>
        <v>138.23631066668381</v>
      </c>
    </row>
    <row r="3375" spans="1:21" x14ac:dyDescent="0.25">
      <c r="A3375">
        <v>4661469</v>
      </c>
      <c r="B3375">
        <v>7</v>
      </c>
      <c r="C3375" s="1">
        <f>4.34024271712567*(10.3/7.3)</f>
        <v>6.1239041077252621</v>
      </c>
      <c r="D3375" s="1">
        <f>6.02653239838558*(10.3/7.3)</f>
        <v>8.5031895484070485</v>
      </c>
      <c r="E3375" s="1">
        <f>20.9568049692734*(10.3/7.3)</f>
        <v>29.569190573084448</v>
      </c>
      <c r="F3375" s="1">
        <f>54.8753881907688*(38.9/42.5)</f>
        <v>50.227120014609575</v>
      </c>
      <c r="G3375" s="1">
        <v>2.6655128924744562</v>
      </c>
      <c r="H3375" s="1">
        <v>10.102211219779921</v>
      </c>
      <c r="I3375" s="1">
        <v>41.741505384680458</v>
      </c>
      <c r="J3375" s="1">
        <v>4.0845079366984026E-2</v>
      </c>
      <c r="K3375" s="1">
        <v>2.9970945544793421</v>
      </c>
      <c r="L3375" s="1">
        <v>3.5426810727287363</v>
      </c>
      <c r="M3375" s="1">
        <v>0.15033302504923968</v>
      </c>
      <c r="N3375" s="1">
        <v>1.9196060937229846</v>
      </c>
      <c r="O3375" s="1">
        <v>0.13510857142857141</v>
      </c>
      <c r="P3375" s="1">
        <v>0.10236593991883715</v>
      </c>
      <c r="Q3375" s="1">
        <v>4.2599521112605512</v>
      </c>
      <c r="R3375" s="2">
        <f t="shared" si="211"/>
        <v>153.19258585202172</v>
      </c>
      <c r="S3375" s="2">
        <f t="shared" si="210"/>
        <v>3.1403055737651635</v>
      </c>
      <c r="T3375" s="2">
        <f t="shared" si="212"/>
        <v>5.7477287629295324</v>
      </c>
      <c r="U3375" s="2">
        <f t="shared" si="213"/>
        <v>162.08062018871644</v>
      </c>
    </row>
    <row r="3376" spans="1:21" x14ac:dyDescent="0.25">
      <c r="A3376">
        <v>4661477</v>
      </c>
      <c r="B3376">
        <v>4</v>
      </c>
      <c r="C3376" s="1">
        <f>5.16584473371578*(10.3/7.3)</f>
        <v>7.2887946242839101</v>
      </c>
      <c r="D3376" s="1">
        <f>7.46778591267201*(10.3/7.3)</f>
        <v>10.536739027468721</v>
      </c>
      <c r="E3376" s="1">
        <f>25.7755725679723*(10.3/7.3)</f>
        <v>36.368273623303438</v>
      </c>
      <c r="F3376" s="1">
        <f>75.2208326916276*(38.9/42.5)</f>
        <v>68.849185687160357</v>
      </c>
      <c r="G3376" s="1">
        <v>3.9433573206709145</v>
      </c>
      <c r="H3376" s="1">
        <v>9.7111176351266515</v>
      </c>
      <c r="I3376" s="1">
        <v>57.775088797350094</v>
      </c>
      <c r="J3376" s="1">
        <v>4.5321659330849404E-2</v>
      </c>
      <c r="K3376" s="1">
        <v>3.1582204113168073</v>
      </c>
      <c r="L3376" s="1">
        <v>3.9967934100959974</v>
      </c>
      <c r="M3376" s="1">
        <v>0.16116996366757161</v>
      </c>
      <c r="N3376" s="1">
        <v>2.0174082302756187</v>
      </c>
      <c r="O3376" s="1">
        <v>0.14424000000000001</v>
      </c>
      <c r="P3376" s="1">
        <v>0.10692883801545175</v>
      </c>
      <c r="Q3376" s="1">
        <v>6.3021692339489572</v>
      </c>
      <c r="R3376" s="2">
        <f t="shared" si="211"/>
        <v>200.77472594931302</v>
      </c>
      <c r="S3376" s="2">
        <f t="shared" si="210"/>
        <v>3.3104709086631083</v>
      </c>
      <c r="T3376" s="2">
        <f t="shared" si="212"/>
        <v>6.3196116040391876</v>
      </c>
      <c r="U3376" s="2">
        <f t="shared" si="213"/>
        <v>210.40480846201532</v>
      </c>
    </row>
    <row r="3377" spans="1:21" x14ac:dyDescent="0.25">
      <c r="A3377">
        <v>4661485</v>
      </c>
      <c r="B3377">
        <v>4</v>
      </c>
      <c r="C3377" s="1">
        <f>6.07096286458464*(10.3/7.3)</f>
        <v>8.5658791103043566</v>
      </c>
      <c r="D3377" s="1">
        <f>7.88836396735922*(10.3/7.3)</f>
        <v>11.130157378602741</v>
      </c>
      <c r="E3377" s="1">
        <f>27.5807474017396*(10.3/7.3)</f>
        <v>38.915301128481836</v>
      </c>
      <c r="F3377" s="1">
        <f>68.5018924120062*(38.9/42.5)</f>
        <v>62.699379172400981</v>
      </c>
      <c r="G3377" s="1">
        <v>3.1670784222271608</v>
      </c>
      <c r="H3377" s="1">
        <v>12.270741169532224</v>
      </c>
      <c r="I3377" s="1">
        <v>52.492352686290467</v>
      </c>
      <c r="J3377" s="1">
        <v>4.9117205091681243E-2</v>
      </c>
      <c r="K3377" s="1">
        <v>3.2741662619947025</v>
      </c>
      <c r="L3377" s="1">
        <v>4.315908194590512</v>
      </c>
      <c r="M3377" s="1">
        <v>0.17002563731058318</v>
      </c>
      <c r="N3377" s="1">
        <v>2.1460663948594894</v>
      </c>
      <c r="O3377" s="1">
        <v>0.15285333333333334</v>
      </c>
      <c r="P3377" s="1">
        <v>0.11131886429390939</v>
      </c>
      <c r="Q3377" s="1">
        <v>5.0615408574406731</v>
      </c>
      <c r="R3377" s="2">
        <f t="shared" si="211"/>
        <v>194.30242992528045</v>
      </c>
      <c r="S3377" s="2">
        <f t="shared" si="210"/>
        <v>3.4346023313802934</v>
      </c>
      <c r="T3377" s="2">
        <f t="shared" si="212"/>
        <v>6.7848535600939179</v>
      </c>
      <c r="U3377" s="2">
        <f t="shared" si="213"/>
        <v>204.52188581675466</v>
      </c>
    </row>
    <row r="3378" spans="1:21" x14ac:dyDescent="0.25">
      <c r="A3378">
        <v>4661501</v>
      </c>
      <c r="B3378">
        <v>7</v>
      </c>
      <c r="C3378" s="1">
        <f>3.45557971547557*(10.3/7.3)</f>
        <v>4.8756809684107321</v>
      </c>
      <c r="D3378" s="1">
        <f>4.38461461837176*(10.3/7.3)</f>
        <v>6.186511036880697</v>
      </c>
      <c r="E3378" s="1">
        <f>15.4111099985696*(10.3/7.3)</f>
        <v>21.744442874694052</v>
      </c>
      <c r="F3378" s="1">
        <f>34.9748509842583*(38.9/42.5)</f>
        <v>32.012275371474082</v>
      </c>
      <c r="G3378" s="1">
        <v>1.486341490415457</v>
      </c>
      <c r="H3378" s="1">
        <v>8.485051243974377</v>
      </c>
      <c r="I3378" s="1">
        <v>26.556832774060094</v>
      </c>
      <c r="J3378" s="1">
        <v>4.068020059241783E-2</v>
      </c>
      <c r="K3378" s="1">
        <v>2.3124457333777366</v>
      </c>
      <c r="L3378" s="1">
        <v>3.8860544579718517</v>
      </c>
      <c r="M3378" s="1">
        <v>0.12024604660204437</v>
      </c>
      <c r="N3378" s="1">
        <v>1.6791082347302455</v>
      </c>
      <c r="O3378" s="1">
        <v>0.10882285714285714</v>
      </c>
      <c r="P3378" s="1">
        <v>8.6909260049765069E-2</v>
      </c>
      <c r="Q3378" s="1">
        <v>2.3754316056868063</v>
      </c>
      <c r="R3378" s="2">
        <f t="shared" si="211"/>
        <v>103.72256736559629</v>
      </c>
      <c r="S3378" s="2">
        <f t="shared" si="210"/>
        <v>2.4400351940199196</v>
      </c>
      <c r="T3378" s="2">
        <f t="shared" si="212"/>
        <v>5.7942315964469984</v>
      </c>
      <c r="U3378" s="2">
        <f t="shared" si="213"/>
        <v>111.95683415606319</v>
      </c>
    </row>
    <row r="3379" spans="1:21" x14ac:dyDescent="0.25">
      <c r="A3379">
        <v>4661709</v>
      </c>
      <c r="B3379">
        <v>6</v>
      </c>
      <c r="C3379" s="1">
        <f>6.69063853394003*(10.3/7.3)</f>
        <v>9.4402160136414182</v>
      </c>
      <c r="D3379" s="1">
        <f>7.68127061416688*(10.3/7.3)</f>
        <v>10.837957167934096</v>
      </c>
      <c r="E3379" s="1">
        <f>26.919255404741*(10.3/7.3)</f>
        <v>37.981963105319544</v>
      </c>
      <c r="F3379" s="1">
        <f>71.5096410769206*(38.9/42.5)</f>
        <v>65.452353832757893</v>
      </c>
      <c r="G3379" s="1">
        <v>3.4252121678856629</v>
      </c>
      <c r="H3379" s="1">
        <v>6.8659717904527424</v>
      </c>
      <c r="I3379" s="1">
        <v>57.166422239868211</v>
      </c>
      <c r="J3379" s="1">
        <v>2.9603418212860156E-2</v>
      </c>
      <c r="K3379" s="1">
        <v>2.0062042194050447</v>
      </c>
      <c r="L3379" s="1">
        <v>2.1800784952270673</v>
      </c>
      <c r="M3379" s="1">
        <v>9.6537850429282701E-2</v>
      </c>
      <c r="N3379" s="1">
        <v>1.4012385241673815</v>
      </c>
      <c r="O3379" s="1">
        <v>9.118222222222222E-2</v>
      </c>
      <c r="P3379" s="1">
        <v>7.2132127744968563E-2</v>
      </c>
      <c r="Q3379" s="1">
        <v>5.474083373333257</v>
      </c>
      <c r="R3379" s="2">
        <f t="shared" si="211"/>
        <v>196.64417969119282</v>
      </c>
      <c r="S3379" s="2">
        <f t="shared" si="210"/>
        <v>2.1079397653628735</v>
      </c>
      <c r="T3379" s="2">
        <f t="shared" si="212"/>
        <v>3.7690370920459535</v>
      </c>
      <c r="U3379" s="2">
        <f t="shared" si="213"/>
        <v>202.52115654860165</v>
      </c>
    </row>
    <row r="3380" spans="1:21" x14ac:dyDescent="0.25">
      <c r="A3380">
        <v>4661717</v>
      </c>
      <c r="B3380">
        <v>71</v>
      </c>
      <c r="C3380" s="1">
        <f>5.67088996417875*(10.3/7.3)</f>
        <v>8.0013926891837102</v>
      </c>
      <c r="D3380" s="1">
        <f>6.06553657117315*(10.3/7.3)</f>
        <v>8.5582228332991068</v>
      </c>
      <c r="E3380" s="1">
        <f>21.5095988540579*(10.3/7.3)</f>
        <v>30.349160026958401</v>
      </c>
      <c r="F3380" s="1">
        <f>48.1177713668151*(38.9/42.5)</f>
        <v>44.041913086331974</v>
      </c>
      <c r="G3380" s="1">
        <v>1.9512113947333909</v>
      </c>
      <c r="H3380" s="1">
        <v>4.485136791341958</v>
      </c>
      <c r="I3380" s="1">
        <v>38.45797402680212</v>
      </c>
      <c r="J3380" s="1">
        <v>2.6097974117354587E-2</v>
      </c>
      <c r="K3380" s="1">
        <v>1.8301899070778733</v>
      </c>
      <c r="L3380" s="1">
        <v>1.9552053874567339</v>
      </c>
      <c r="M3380" s="1">
        <v>8.8842169371583457E-2</v>
      </c>
      <c r="N3380" s="1">
        <v>1.1013631206960677</v>
      </c>
      <c r="O3380" s="1">
        <v>8.2909295774647909E-2</v>
      </c>
      <c r="P3380" s="1">
        <v>6.7025585092441844E-2</v>
      </c>
      <c r="Q3380" s="1">
        <v>3.1183743751446915</v>
      </c>
      <c r="R3380" s="2">
        <f t="shared" si="211"/>
        <v>138.96338522379534</v>
      </c>
      <c r="S3380" s="2">
        <f t="shared" si="210"/>
        <v>1.9233134662876699</v>
      </c>
      <c r="T3380" s="2">
        <f t="shared" si="212"/>
        <v>3.2283199732990329</v>
      </c>
      <c r="U3380" s="2">
        <f t="shared" si="213"/>
        <v>144.11501866338205</v>
      </c>
    </row>
    <row r="3381" spans="1:21" x14ac:dyDescent="0.25">
      <c r="A3381">
        <v>4661725</v>
      </c>
      <c r="B3381">
        <v>24</v>
      </c>
      <c r="C3381" s="1">
        <f>6.28604044023665*(10.3/7.3)</f>
        <v>8.8693447307448565</v>
      </c>
      <c r="D3381" s="1">
        <f>6.48607250832747*(10.3/7.3)</f>
        <v>9.1515817583250616</v>
      </c>
      <c r="E3381" s="1">
        <f>23.0419679338191*(10.3/7.3)</f>
        <v>32.511269824429704</v>
      </c>
      <c r="F3381" s="1">
        <f>51.6971520299739*(38.9/42.5)</f>
        <v>47.318099152140817</v>
      </c>
      <c r="G3381" s="1">
        <v>2.0869313095054642</v>
      </c>
      <c r="H3381" s="1">
        <v>5.3094553137399059</v>
      </c>
      <c r="I3381" s="1">
        <v>41.832358653627452</v>
      </c>
      <c r="J3381" s="1">
        <v>2.6780626913370641E-2</v>
      </c>
      <c r="K3381" s="1">
        <v>1.8632334082451207</v>
      </c>
      <c r="L3381" s="1">
        <v>2.0068848801210346</v>
      </c>
      <c r="M3381" s="1">
        <v>9.0205714168141063E-2</v>
      </c>
      <c r="N3381" s="1">
        <v>1.119219047299844</v>
      </c>
      <c r="O3381" s="1">
        <v>8.5175555555555546E-2</v>
      </c>
      <c r="P3381" s="1">
        <v>6.8264911855143384E-2</v>
      </c>
      <c r="Q3381" s="1">
        <v>3.3352783485247177</v>
      </c>
      <c r="R3381" s="2">
        <f t="shared" si="211"/>
        <v>150.41431909103798</v>
      </c>
      <c r="S3381" s="2">
        <f t="shared" si="210"/>
        <v>1.9582789470136346</v>
      </c>
      <c r="T3381" s="2">
        <f t="shared" si="212"/>
        <v>3.3014851971445753</v>
      </c>
      <c r="U3381" s="2">
        <f t="shared" si="213"/>
        <v>155.67408323519621</v>
      </c>
    </row>
    <row r="3382" spans="1:21" x14ac:dyDescent="0.25">
      <c r="A3382">
        <v>4673041</v>
      </c>
      <c r="B3382">
        <v>20</v>
      </c>
      <c r="C3382" s="1">
        <f>0.598055062444944*(10.3/7.3)</f>
        <v>0.8438311155045104</v>
      </c>
      <c r="D3382" s="1">
        <f>0.820671090638049*(10.3/7.3)</f>
        <v>1.1579331826810824</v>
      </c>
      <c r="E3382" s="1">
        <f>2.85817784917919*(10.3/7.3)</f>
        <v>4.0327714858281745</v>
      </c>
      <c r="F3382" s="1">
        <f>7.33214786517802*(38.9/42.5)</f>
        <v>6.7110718107158842</v>
      </c>
      <c r="G3382" s="1">
        <v>0.35024824079265632</v>
      </c>
      <c r="H3382" s="1">
        <v>1.4644271339362902</v>
      </c>
      <c r="I3382" s="1">
        <v>5.5727590836582959</v>
      </c>
      <c r="J3382" s="1">
        <v>4.538785330946201E-2</v>
      </c>
      <c r="K3382" s="1">
        <v>2.9014482111786211</v>
      </c>
      <c r="L3382" s="1">
        <v>2.2416561582766272</v>
      </c>
      <c r="M3382" s="1">
        <v>0.3586818214153939</v>
      </c>
      <c r="N3382" s="1">
        <v>1.3406962670731837</v>
      </c>
      <c r="O3382" s="1">
        <v>0.4881386666666665</v>
      </c>
      <c r="P3382" s="1">
        <v>0.25233248046492057</v>
      </c>
      <c r="Q3382" s="1">
        <v>0.55975746245401758</v>
      </c>
      <c r="R3382" s="2">
        <f t="shared" si="211"/>
        <v>20.692799515570911</v>
      </c>
      <c r="S3382" s="2">
        <f t="shared" si="210"/>
        <v>3.1991685449530038</v>
      </c>
      <c r="T3382" s="2">
        <f t="shared" si="212"/>
        <v>4.4291729134318718</v>
      </c>
      <c r="U3382" s="2">
        <f t="shared" si="213"/>
        <v>28.321140973955785</v>
      </c>
    </row>
    <row r="3383" spans="1:21" x14ac:dyDescent="0.25">
      <c r="A3383">
        <v>4673049</v>
      </c>
      <c r="B3383">
        <v>64</v>
      </c>
      <c r="C3383" s="1">
        <f>0.921105812924705*(10.3/7.3)</f>
        <v>1.2996424483732139</v>
      </c>
      <c r="D3383" s="1">
        <f>1.29786599779002*(10.3/7.3)</f>
        <v>1.8312355859229013</v>
      </c>
      <c r="E3383" s="1">
        <f>4.50356159956914*(10.3/7.3)</f>
        <v>6.3543403391180968</v>
      </c>
      <c r="F3383" s="1">
        <f>12.1496309879943*(38.9/42.5)</f>
        <v>11.120485774893641</v>
      </c>
      <c r="G3383" s="1">
        <v>0.60381233961837655</v>
      </c>
      <c r="H3383" s="1">
        <v>2.3409365384562957</v>
      </c>
      <c r="I3383" s="1">
        <v>9.2588846091425108</v>
      </c>
      <c r="J3383" s="1">
        <v>6.589589354866196E-2</v>
      </c>
      <c r="K3383" s="1">
        <v>3.8492895979734376</v>
      </c>
      <c r="L3383" s="1">
        <v>3.1970215321996984</v>
      </c>
      <c r="M3383" s="1">
        <v>0.52938643219417858</v>
      </c>
      <c r="N3383" s="1">
        <v>1.8996128411654716</v>
      </c>
      <c r="O3383" s="1">
        <v>0.7637691666666665</v>
      </c>
      <c r="P3383" s="1">
        <v>0.31291660612081262</v>
      </c>
      <c r="Q3383" s="1">
        <v>0.96499688980106002</v>
      </c>
      <c r="R3383" s="2">
        <f t="shared" si="211"/>
        <v>33.774334525326097</v>
      </c>
      <c r="S3383" s="2">
        <f t="shared" si="210"/>
        <v>4.2281020976429122</v>
      </c>
      <c r="T3383" s="2">
        <f t="shared" si="212"/>
        <v>6.3897899722260147</v>
      </c>
      <c r="U3383" s="2">
        <f t="shared" si="213"/>
        <v>44.392226595195019</v>
      </c>
    </row>
    <row r="3384" spans="1:21" x14ac:dyDescent="0.25">
      <c r="A3384">
        <v>4673057</v>
      </c>
      <c r="B3384">
        <v>64</v>
      </c>
      <c r="C3384" s="1">
        <f>1.1337065114034*(10.3/7.3)</f>
        <v>1.5996132969116512</v>
      </c>
      <c r="D3384" s="1">
        <f>1.62940503310855*(10.3/7.3)</f>
        <v>2.299023539865491</v>
      </c>
      <c r="E3384" s="1">
        <f>5.63828775710317*(10.3/7.3)</f>
        <v>7.9553923148168035</v>
      </c>
      <c r="F3384" s="1">
        <f>15.7861532504014*(38.9/42.5)</f>
        <v>14.448973210367367</v>
      </c>
      <c r="G3384" s="1">
        <v>0.80595768502623022</v>
      </c>
      <c r="H3384" s="1">
        <v>3.0378681555331588</v>
      </c>
      <c r="I3384" s="1">
        <v>12.055112510709453</v>
      </c>
      <c r="J3384" s="1">
        <v>8.2060643462020202E-2</v>
      </c>
      <c r="K3384" s="1">
        <v>4.4242158080163705</v>
      </c>
      <c r="L3384" s="1">
        <v>3.8322352450893393</v>
      </c>
      <c r="M3384" s="1">
        <v>0.64130846327534541</v>
      </c>
      <c r="N3384" s="1">
        <v>2.3256840687235445</v>
      </c>
      <c r="O3384" s="1">
        <v>0.87357499999999999</v>
      </c>
      <c r="P3384" s="1">
        <v>0.35116324280764266</v>
      </c>
      <c r="Q3384" s="1">
        <v>1.2880602272108714</v>
      </c>
      <c r="R3384" s="2">
        <f t="shared" si="211"/>
        <v>43.490000940441021</v>
      </c>
      <c r="S3384" s="2">
        <f t="shared" si="210"/>
        <v>4.8574396942860334</v>
      </c>
      <c r="T3384" s="2">
        <f t="shared" si="212"/>
        <v>7.6728027770882283</v>
      </c>
      <c r="U3384" s="2">
        <f t="shared" si="213"/>
        <v>56.020243411815287</v>
      </c>
    </row>
    <row r="3385" spans="1:21" x14ac:dyDescent="0.25">
      <c r="A3385">
        <v>4673065</v>
      </c>
      <c r="B3385">
        <v>6</v>
      </c>
      <c r="C3385" s="1">
        <f>0.96180833136479*(10.3/7.3)</f>
        <v>1.3570720291859362</v>
      </c>
      <c r="D3385" s="1">
        <f>1.41887603577116*(10.3/7.3)</f>
        <v>2.0019757764990298</v>
      </c>
      <c r="E3385" s="1">
        <f>4.89404883051632*(10.3/7.3)</f>
        <v>6.9053017745641263</v>
      </c>
      <c r="F3385" s="1">
        <f>14.2535720659201*(38.9/42.5)</f>
        <v>13.046210667395108</v>
      </c>
      <c r="G3385" s="1">
        <v>0.74775632661657621</v>
      </c>
      <c r="H3385" s="1">
        <v>2.9933935069465689</v>
      </c>
      <c r="I3385" s="1">
        <v>10.899277040926068</v>
      </c>
      <c r="J3385" s="1">
        <v>7.5738358263843078E-2</v>
      </c>
      <c r="K3385" s="1">
        <v>3.9178599141542101</v>
      </c>
      <c r="L3385" s="1">
        <v>3.1853135217878008</v>
      </c>
      <c r="M3385" s="1">
        <v>0.55882480178594829</v>
      </c>
      <c r="N3385" s="1">
        <v>2.1878030411072698</v>
      </c>
      <c r="O3385" s="1">
        <v>0.72462222222222217</v>
      </c>
      <c r="P3385" s="1">
        <v>0.32124091756941575</v>
      </c>
      <c r="Q3385" s="1">
        <v>1.1950443576064014</v>
      </c>
      <c r="R3385" s="2">
        <f t="shared" si="211"/>
        <v>39.146031479739811</v>
      </c>
      <c r="S3385" s="2">
        <f t="shared" si="210"/>
        <v>4.3148391899874685</v>
      </c>
      <c r="T3385" s="2">
        <f t="shared" si="212"/>
        <v>6.6565635869032409</v>
      </c>
      <c r="U3385" s="2">
        <f t="shared" si="213"/>
        <v>50.117434256630517</v>
      </c>
    </row>
    <row r="3386" spans="1:21" x14ac:dyDescent="0.25">
      <c r="A3386">
        <v>4673217</v>
      </c>
      <c r="B3386">
        <v>47</v>
      </c>
      <c r="C3386" s="1">
        <f>1.65735152799706*(10.3/7.3)</f>
        <v>2.3384548956670894</v>
      </c>
      <c r="D3386" s="1">
        <f>2.52059593489701*(10.3/7.3)</f>
        <v>3.556457278005364</v>
      </c>
      <c r="E3386" s="1">
        <f>8.59439894099561*(10.3/7.3)</f>
        <v>12.126343711267777</v>
      </c>
      <c r="F3386" s="1">
        <f>29.6402026893111*(38.9/42.5)</f>
        <v>27.129503167393018</v>
      </c>
      <c r="G3386" s="1">
        <v>1.704368724107463</v>
      </c>
      <c r="H3386" s="1">
        <v>7.9979837735166228</v>
      </c>
      <c r="I3386" s="1">
        <v>23.147785984610287</v>
      </c>
      <c r="J3386" s="1">
        <v>4.5955341185571021E-2</v>
      </c>
      <c r="K3386" s="1">
        <v>3.3856370469211221</v>
      </c>
      <c r="L3386" s="1">
        <v>3.5973497202899045</v>
      </c>
      <c r="M3386" s="1">
        <v>0.81181026581084337</v>
      </c>
      <c r="N3386" s="1">
        <v>2.021903599875118</v>
      </c>
      <c r="O3386" s="1">
        <v>0.37528397163120558</v>
      </c>
      <c r="P3386" s="1">
        <v>0.24731132700880532</v>
      </c>
      <c r="Q3386" s="1">
        <v>2.7238769563361305</v>
      </c>
      <c r="R3386" s="2">
        <f t="shared" si="211"/>
        <v>80.724774490903755</v>
      </c>
      <c r="S3386" s="2">
        <f t="shared" si="210"/>
        <v>3.6789037151154984</v>
      </c>
      <c r="T3386" s="2">
        <f t="shared" si="212"/>
        <v>6.8063475576070704</v>
      </c>
      <c r="U3386" s="2">
        <f t="shared" si="213"/>
        <v>91.210025763626319</v>
      </c>
    </row>
    <row r="3387" spans="1:21" x14ac:dyDescent="0.25">
      <c r="A3387">
        <v>4673225</v>
      </c>
      <c r="B3387">
        <v>21</v>
      </c>
      <c r="C3387" s="1">
        <f>1.53131819934456*(10.3/7.3)</f>
        <v>2.160627048390273</v>
      </c>
      <c r="D3387" s="1">
        <f>2.4462125300203*(10.3/7.3)</f>
        <v>3.4515053505765887</v>
      </c>
      <c r="E3387" s="1">
        <f>8.26450878330096*(10.3/7.3)</f>
        <v>11.660882255890398</v>
      </c>
      <c r="F3387" s="1">
        <f>31.6862411471475*(38.9/42.5)</f>
        <v>29.002230132330332</v>
      </c>
      <c r="G3387" s="1">
        <v>1.9122513135258092</v>
      </c>
      <c r="H3387" s="1">
        <v>11.293247142613561</v>
      </c>
      <c r="I3387" s="1">
        <v>24.93117124389137</v>
      </c>
      <c r="J3387" s="1">
        <v>4.1653712768716787E-2</v>
      </c>
      <c r="K3387" s="1">
        <v>3.1777958301640412</v>
      </c>
      <c r="L3387" s="1">
        <v>3.4358642806481856</v>
      </c>
      <c r="M3387" s="1">
        <v>0.74068349937660316</v>
      </c>
      <c r="N3387" s="1">
        <v>1.9345624310989762</v>
      </c>
      <c r="O3387" s="1">
        <v>0.34094730158730163</v>
      </c>
      <c r="P3387" s="1">
        <v>0.23267399032629377</v>
      </c>
      <c r="Q3387" s="1">
        <v>3.0561094051782369</v>
      </c>
      <c r="R3387" s="2">
        <f t="shared" si="211"/>
        <v>87.468023892396559</v>
      </c>
      <c r="S3387" s="2">
        <f t="shared" si="210"/>
        <v>3.4521235332590514</v>
      </c>
      <c r="T3387" s="2">
        <f t="shared" si="212"/>
        <v>6.4520575127110673</v>
      </c>
      <c r="U3387" s="2">
        <f t="shared" si="213"/>
        <v>97.372204938366679</v>
      </c>
    </row>
    <row r="3388" spans="1:21" x14ac:dyDescent="0.25">
      <c r="A3388">
        <v>4673577</v>
      </c>
      <c r="B3388">
        <v>19</v>
      </c>
      <c r="C3388" s="1">
        <f>13.5389866482071*(10.3/7.3)</f>
        <v>19.102953763908641</v>
      </c>
      <c r="D3388" s="1">
        <f>20.4729681047013*(10.3/7.3)</f>
        <v>28.886516640879986</v>
      </c>
      <c r="E3388" s="1">
        <f>72.152365909463*(10.3/7.3)</f>
        <v>101.80402313252995</v>
      </c>
      <c r="F3388" s="1">
        <f>127.795004649588*(38.9/42.5)</f>
        <v>116.97001602044627</v>
      </c>
      <c r="G3388" s="1">
        <v>4.1269587296524923</v>
      </c>
      <c r="H3388" s="1">
        <v>8.4924765919813545</v>
      </c>
      <c r="I3388" s="1">
        <v>86.236215140867074</v>
      </c>
      <c r="J3388" s="1">
        <v>6.5045633679995149E-2</v>
      </c>
      <c r="K3388" s="1">
        <v>3.3836149466247121</v>
      </c>
      <c r="L3388" s="1">
        <v>5.1777480467955872</v>
      </c>
      <c r="M3388" s="1">
        <v>0.26751777437474727</v>
      </c>
      <c r="N3388" s="1">
        <v>2.5503633603307523</v>
      </c>
      <c r="O3388" s="1">
        <v>0.21793403508771925</v>
      </c>
      <c r="P3388" s="1">
        <v>0.15245906624582667</v>
      </c>
      <c r="Q3388" s="1">
        <v>6.5955961432802459</v>
      </c>
      <c r="R3388" s="2">
        <f t="shared" si="211"/>
        <v>372.21475616354604</v>
      </c>
      <c r="S3388" s="2">
        <f t="shared" si="210"/>
        <v>3.6011196465505337</v>
      </c>
      <c r="T3388" s="2">
        <f t="shared" si="212"/>
        <v>8.2135632165888062</v>
      </c>
      <c r="U3388" s="2">
        <f t="shared" si="213"/>
        <v>384.0294390266854</v>
      </c>
    </row>
    <row r="3389" spans="1:21" x14ac:dyDescent="0.25">
      <c r="A3389">
        <v>4673585</v>
      </c>
      <c r="B3389">
        <v>68</v>
      </c>
      <c r="C3389" s="1">
        <f>9.12410385272094*(10.3/7.3)</f>
        <v>12.873735573017214</v>
      </c>
      <c r="D3389" s="1">
        <f>13.9402639853139*(10.3/7.3)</f>
        <v>19.669139595716842</v>
      </c>
      <c r="E3389" s="1">
        <f>49.0710119838712*(10.3/7.3)</f>
        <v>69.23718129231149</v>
      </c>
      <c r="F3389" s="1">
        <f>88.8900100608272*(38.9/42.5)</f>
        <v>81.360503326262986</v>
      </c>
      <c r="G3389" s="1">
        <v>2.9798329714398926</v>
      </c>
      <c r="H3389" s="1">
        <v>5.4406424416602537</v>
      </c>
      <c r="I3389" s="1">
        <v>60.201250733412181</v>
      </c>
      <c r="J3389" s="1">
        <v>4.8537882978710409E-2</v>
      </c>
      <c r="K3389" s="1">
        <v>3.0070648304212284</v>
      </c>
      <c r="L3389" s="1">
        <v>4.4699379261004131</v>
      </c>
      <c r="M3389" s="1">
        <v>0.22940985059499019</v>
      </c>
      <c r="N3389" s="1">
        <v>2.2180103935080702</v>
      </c>
      <c r="O3389" s="1">
        <v>0.19031372549019612</v>
      </c>
      <c r="P3389" s="1">
        <v>0.13717718827067765</v>
      </c>
      <c r="Q3389" s="1">
        <v>4.7622901370043991</v>
      </c>
      <c r="R3389" s="2">
        <f t="shared" si="211"/>
        <v>256.52457607082528</v>
      </c>
      <c r="S3389" s="2">
        <f t="shared" si="210"/>
        <v>3.1927799016706162</v>
      </c>
      <c r="T3389" s="2">
        <f t="shared" si="212"/>
        <v>7.1076718956936702</v>
      </c>
      <c r="U3389" s="2">
        <f t="shared" si="213"/>
        <v>266.82502786818958</v>
      </c>
    </row>
    <row r="3390" spans="1:21" x14ac:dyDescent="0.25">
      <c r="A3390">
        <v>4673593</v>
      </c>
      <c r="B3390">
        <v>68</v>
      </c>
      <c r="C3390" s="1">
        <f>10.140919406457*(10.3/7.3)</f>
        <v>14.308420532398234</v>
      </c>
      <c r="D3390" s="1">
        <f>14.6279135773546*(10.3/7.3)</f>
        <v>20.639384910514014</v>
      </c>
      <c r="E3390" s="1">
        <f>51.5824874876699*(10.3/7.3)</f>
        <v>72.780770016849345</v>
      </c>
      <c r="F3390" s="1">
        <f>94.5725814707342*(38.9/42.5)</f>
        <v>86.561727510860266</v>
      </c>
      <c r="G3390" s="1">
        <v>3.1861074955944351</v>
      </c>
      <c r="H3390" s="1">
        <v>5.8858596523845579</v>
      </c>
      <c r="I3390" s="1">
        <v>65.589279015869565</v>
      </c>
      <c r="J3390" s="1">
        <v>5.4248112034931781E-2</v>
      </c>
      <c r="K3390" s="1">
        <v>3.3392062217841958</v>
      </c>
      <c r="L3390" s="1">
        <v>5.1197037631150542</v>
      </c>
      <c r="M3390" s="1">
        <v>0.25759525769283587</v>
      </c>
      <c r="N3390" s="1">
        <v>2.4920484501310365</v>
      </c>
      <c r="O3390" s="1">
        <v>0.21169176470588233</v>
      </c>
      <c r="P3390" s="1">
        <v>0.14715837382288341</v>
      </c>
      <c r="Q3390" s="1">
        <v>5.0919526185299251</v>
      </c>
      <c r="R3390" s="2">
        <f t="shared" si="211"/>
        <v>274.04350175300038</v>
      </c>
      <c r="S3390" s="2">
        <f t="shared" si="210"/>
        <v>3.5406127076420111</v>
      </c>
      <c r="T3390" s="2">
        <f t="shared" si="212"/>
        <v>8.0810392356448091</v>
      </c>
      <c r="U3390" s="2">
        <f t="shared" si="213"/>
        <v>285.66515369628723</v>
      </c>
    </row>
    <row r="3391" spans="1:21" x14ac:dyDescent="0.25">
      <c r="A3391">
        <v>4673601</v>
      </c>
      <c r="B3391">
        <v>69</v>
      </c>
      <c r="C3391" s="1">
        <f>5.77771330642412*(10.3/7.3)</f>
        <v>8.1521160350915629</v>
      </c>
      <c r="D3391" s="1">
        <f>8.4311693539474*(10.3/7.3)</f>
        <v>11.896033472007971</v>
      </c>
      <c r="E3391" s="1">
        <f>29.7004205780077*(10.3/7.3)</f>
        <v>41.906072870339649</v>
      </c>
      <c r="F3391" s="1">
        <f>55.3086786936388*(38.9/42.5)</f>
        <v>50.623708263118772</v>
      </c>
      <c r="G3391" s="1">
        <v>1.9113116497564289</v>
      </c>
      <c r="H3391" s="1">
        <v>4.337358948569066</v>
      </c>
      <c r="I3391" s="1">
        <v>38.377534883369812</v>
      </c>
      <c r="J3391" s="1">
        <v>4.0140584551872527E-2</v>
      </c>
      <c r="K3391" s="1">
        <v>2.6768525440509818</v>
      </c>
      <c r="L3391" s="1">
        <v>3.8368618452550707</v>
      </c>
      <c r="M3391" s="1">
        <v>0.19809046375500283</v>
      </c>
      <c r="N3391" s="1">
        <v>1.9531124828015243</v>
      </c>
      <c r="O3391" s="1">
        <v>0.16614106280193239</v>
      </c>
      <c r="P3391" s="1">
        <v>0.12192394222592769</v>
      </c>
      <c r="Q3391" s="1">
        <v>3.0546076594280871</v>
      </c>
      <c r="R3391" s="2">
        <f t="shared" si="211"/>
        <v>160.25874378168135</v>
      </c>
      <c r="S3391" s="2">
        <f t="shared" si="210"/>
        <v>2.8389170708287819</v>
      </c>
      <c r="T3391" s="2">
        <f t="shared" si="212"/>
        <v>6.1542058546135294</v>
      </c>
      <c r="U3391" s="2">
        <f t="shared" si="213"/>
        <v>169.25186670712367</v>
      </c>
    </row>
    <row r="3392" spans="1:21" x14ac:dyDescent="0.25">
      <c r="A3392">
        <v>4673609</v>
      </c>
      <c r="B3392">
        <v>69</v>
      </c>
      <c r="C3392" s="1">
        <f>8.76622949650231*(10.3/7.3)</f>
        <v>12.368789563558048</v>
      </c>
      <c r="D3392" s="1">
        <f>12.6355618906575*(10.3/7.3)</f>
        <v>17.828258558050987</v>
      </c>
      <c r="E3392" s="1">
        <f>44.5009930782346*(10.3/7.3)</f>
        <v>62.7890724254543</v>
      </c>
      <c r="F3392" s="1">
        <f>84.464638636901*(38.9/42.5)</f>
        <v>77.309986893540014</v>
      </c>
      <c r="G3392" s="1">
        <v>2.9899212570729663</v>
      </c>
      <c r="H3392" s="1">
        <v>5.8434465381294372</v>
      </c>
      <c r="I3392" s="1">
        <v>59.173124125682442</v>
      </c>
      <c r="J3392" s="1">
        <v>5.8039401931125618E-2</v>
      </c>
      <c r="K3392" s="1">
        <v>3.5315616973716666</v>
      </c>
      <c r="L3392" s="1">
        <v>5.582218791831516</v>
      </c>
      <c r="M3392" s="1">
        <v>0.25847632957310596</v>
      </c>
      <c r="N3392" s="1">
        <v>2.7124534274672332</v>
      </c>
      <c r="O3392" s="1">
        <v>0.21951536231884058</v>
      </c>
      <c r="P3392" s="1">
        <v>0.14972315422417981</v>
      </c>
      <c r="Q3392" s="1">
        <v>4.7784129679248393</v>
      </c>
      <c r="R3392" s="2">
        <f t="shared" si="211"/>
        <v>243.08101232941306</v>
      </c>
      <c r="S3392" s="2">
        <f t="shared" si="210"/>
        <v>3.7393242535269722</v>
      </c>
      <c r="T3392" s="2">
        <f t="shared" si="212"/>
        <v>8.7726639111906959</v>
      </c>
      <c r="U3392" s="2">
        <f t="shared" si="213"/>
        <v>255.59300049413073</v>
      </c>
    </row>
    <row r="3393" spans="1:21" x14ac:dyDescent="0.25">
      <c r="A3393">
        <v>4673617</v>
      </c>
      <c r="B3393">
        <v>70</v>
      </c>
      <c r="C3393" s="1">
        <f>8.82546365191306*(10.3/7.3)</f>
        <v>12.45236652256227</v>
      </c>
      <c r="D3393" s="1">
        <f>12.6241177035815*(10.3/7.3)</f>
        <v>17.812111280395783</v>
      </c>
      <c r="E3393" s="1">
        <f>44.446546112332*(10.3/7.3)</f>
        <v>62.712249994112206</v>
      </c>
      <c r="F3393" s="1">
        <f>85.7496090377386*(38.9/42.5)</f>
        <v>78.486112742777237</v>
      </c>
      <c r="G3393" s="1">
        <v>3.0980494555149192</v>
      </c>
      <c r="H3393" s="1">
        <v>6.0602710191241043</v>
      </c>
      <c r="I3393" s="1">
        <v>60.496174934253979</v>
      </c>
      <c r="J3393" s="1">
        <v>6.2696851310300256E-2</v>
      </c>
      <c r="K3393" s="1">
        <v>3.7109064179103459</v>
      </c>
      <c r="L3393" s="1">
        <v>5.9732027692701823</v>
      </c>
      <c r="M3393" s="1">
        <v>0.26194156466260282</v>
      </c>
      <c r="N3393" s="1">
        <v>2.9369417873381454</v>
      </c>
      <c r="O3393" s="1">
        <v>0.22783542857142858</v>
      </c>
      <c r="P3393" s="1">
        <v>0.15374926410928783</v>
      </c>
      <c r="Q3393" s="1">
        <v>4.9512205910055842</v>
      </c>
      <c r="R3393" s="2">
        <f t="shared" si="211"/>
        <v>246.06855653974608</v>
      </c>
      <c r="S3393" s="2">
        <f t="shared" si="210"/>
        <v>3.9273525333299339</v>
      </c>
      <c r="T3393" s="2">
        <f t="shared" si="212"/>
        <v>9.3999215498423592</v>
      </c>
      <c r="U3393" s="2">
        <f t="shared" si="213"/>
        <v>259.39583062291837</v>
      </c>
    </row>
    <row r="3394" spans="1:21" x14ac:dyDescent="0.25">
      <c r="A3394">
        <v>4673625</v>
      </c>
      <c r="B3394">
        <v>68</v>
      </c>
      <c r="C3394" s="1">
        <f>8.39089549432992*(10.3/7.3)</f>
        <v>11.839208711177832</v>
      </c>
      <c r="D3394" s="1">
        <f>11.8205446867084*(10.3/7.3)</f>
        <v>16.678302777136526</v>
      </c>
      <c r="E3394" s="1">
        <f>41.6200484864911*(10.3/7.3)</f>
        <v>58.724178001487424</v>
      </c>
      <c r="F3394" s="1">
        <f>81.4408485929478*(38.9/42.5)</f>
        <v>74.542329653309906</v>
      </c>
      <c r="G3394" s="1">
        <v>2.9879274280214942</v>
      </c>
      <c r="H3394" s="1">
        <v>6.0789083009189309</v>
      </c>
      <c r="I3394" s="1">
        <v>57.962808146214144</v>
      </c>
      <c r="J3394" s="1">
        <v>6.2374471230557497E-2</v>
      </c>
      <c r="K3394" s="1">
        <v>3.6481417054819536</v>
      </c>
      <c r="L3394" s="1">
        <v>5.7836780552313538</v>
      </c>
      <c r="M3394" s="1">
        <v>0.25141578774280982</v>
      </c>
      <c r="N3394" s="1">
        <v>2.908841633142123</v>
      </c>
      <c r="O3394" s="1">
        <v>0.22037647058823534</v>
      </c>
      <c r="P3394" s="1">
        <v>0.14914637247000226</v>
      </c>
      <c r="Q3394" s="1">
        <v>4.77522648313938</v>
      </c>
      <c r="R3394" s="2">
        <f t="shared" si="211"/>
        <v>233.58888950140565</v>
      </c>
      <c r="S3394" s="2">
        <f t="shared" si="210"/>
        <v>3.8596625491825134</v>
      </c>
      <c r="T3394" s="2">
        <f t="shared" si="212"/>
        <v>9.1643119467045207</v>
      </c>
      <c r="U3394" s="2">
        <f t="shared" si="213"/>
        <v>246.61286399729266</v>
      </c>
    </row>
    <row r="3395" spans="1:21" x14ac:dyDescent="0.25">
      <c r="A3395">
        <v>4673633</v>
      </c>
      <c r="B3395">
        <v>69</v>
      </c>
      <c r="C3395" s="1">
        <f>7.99683362804669*(10.3/7.3)</f>
        <v>11.283203612175472</v>
      </c>
      <c r="D3395" s="1">
        <f>11.0994365979754*(10.3/7.3)</f>
        <v>15.660848898513215</v>
      </c>
      <c r="E3395" s="1">
        <f>39.0831454579596*(10.3/7.3)</f>
        <v>55.144712084518325</v>
      </c>
      <c r="F3395" s="1">
        <f>77.5558155758806*(38.9/42.5)</f>
        <v>70.986381785923655</v>
      </c>
      <c r="G3395" s="1">
        <v>2.8878977631336946</v>
      </c>
      <c r="H3395" s="1">
        <v>6.1245387494660735</v>
      </c>
      <c r="I3395" s="1">
        <v>55.66376991756929</v>
      </c>
      <c r="J3395" s="1">
        <v>6.1404446997719658E-2</v>
      </c>
      <c r="K3395" s="1">
        <v>3.6581457315276795</v>
      </c>
      <c r="L3395" s="1">
        <v>5.7231152048214788</v>
      </c>
      <c r="M3395" s="1">
        <v>0.24663402045646474</v>
      </c>
      <c r="N3395" s="1">
        <v>2.8854810514572788</v>
      </c>
      <c r="O3395" s="1">
        <v>0.21673739130434788</v>
      </c>
      <c r="P3395" s="1">
        <v>0.14706528128352073</v>
      </c>
      <c r="Q3395" s="1">
        <v>4.6153617219031675</v>
      </c>
      <c r="R3395" s="2">
        <f t="shared" si="211"/>
        <v>222.36671453320287</v>
      </c>
      <c r="S3395" s="2">
        <f t="shared" si="210"/>
        <v>3.8666154598089202</v>
      </c>
      <c r="T3395" s="2">
        <f t="shared" si="212"/>
        <v>9.0719676680395693</v>
      </c>
      <c r="U3395" s="2">
        <f t="shared" si="213"/>
        <v>235.30529766105136</v>
      </c>
    </row>
    <row r="3396" spans="1:21" x14ac:dyDescent="0.25">
      <c r="A3396">
        <v>4673641</v>
      </c>
      <c r="B3396">
        <v>68</v>
      </c>
      <c r="C3396" s="1">
        <f>8.51366308653215*(10.3/7.3)</f>
        <v>12.012428738531669</v>
      </c>
      <c r="D3396" s="1">
        <f>11.6035720443451*(10.3/7.3)</f>
        <v>16.372163295445798</v>
      </c>
      <c r="E3396" s="1">
        <f>40.8628581606414*(10.3/7.3)</f>
        <v>57.65581356912412</v>
      </c>
      <c r="F3396" s="1">
        <f>82.4032267622964*(38.9/42.5)</f>
        <v>75.423188730666553</v>
      </c>
      <c r="G3396" s="1">
        <v>3.1187799200901556</v>
      </c>
      <c r="H3396" s="1">
        <v>6.3278264534175737</v>
      </c>
      <c r="I3396" s="1">
        <v>59.725792582084722</v>
      </c>
      <c r="J3396" s="1">
        <v>6.5027471979703058E-2</v>
      </c>
      <c r="K3396" s="1">
        <v>3.8258650399807226</v>
      </c>
      <c r="L3396" s="1">
        <v>6.049022341002309</v>
      </c>
      <c r="M3396" s="1">
        <v>0.25391163622960583</v>
      </c>
      <c r="N3396" s="1">
        <v>3.0547986947684653</v>
      </c>
      <c r="O3396" s="1">
        <v>0.22158196078431378</v>
      </c>
      <c r="P3396" s="1">
        <v>0.14956889540195517</v>
      </c>
      <c r="Q3396" s="1">
        <v>4.984351470463726</v>
      </c>
      <c r="R3396" s="2">
        <f t="shared" si="211"/>
        <v>235.62034475982432</v>
      </c>
      <c r="S3396" s="2">
        <f t="shared" si="210"/>
        <v>4.0404614073623808</v>
      </c>
      <c r="T3396" s="2">
        <f t="shared" si="212"/>
        <v>9.5793146327846923</v>
      </c>
      <c r="U3396" s="2">
        <f t="shared" si="213"/>
        <v>249.24012079997141</v>
      </c>
    </row>
    <row r="3397" spans="1:21" x14ac:dyDescent="0.25">
      <c r="A3397">
        <v>4673649</v>
      </c>
      <c r="B3397">
        <v>58</v>
      </c>
      <c r="C3397" s="1">
        <f>7.84009953212449*(10.3/7.3)</f>
        <v>11.062058243956471</v>
      </c>
      <c r="D3397" s="1">
        <f>10.5399887296051*(10.3/7.3)</f>
        <v>14.871490947250964</v>
      </c>
      <c r="E3397" s="1">
        <f>37.1171031124675*(10.3/7.3)</f>
        <v>52.370707131289763</v>
      </c>
      <c r="F3397" s="1">
        <f>75.9377695053235*(38.9/42.5)</f>
        <v>69.505393735460814</v>
      </c>
      <c r="G3397" s="1">
        <v>2.916553984456399</v>
      </c>
      <c r="H3397" s="1">
        <v>5.9860650034533771</v>
      </c>
      <c r="I3397" s="1">
        <v>55.467991889248054</v>
      </c>
      <c r="J3397" s="1">
        <v>6.1429299745363167E-2</v>
      </c>
      <c r="K3397" s="1">
        <v>3.626777998959426</v>
      </c>
      <c r="L3397" s="1">
        <v>5.5720418196556976</v>
      </c>
      <c r="M3397" s="1">
        <v>0.2359251649318137</v>
      </c>
      <c r="N3397" s="1">
        <v>3.4019656885188185</v>
      </c>
      <c r="O3397" s="1">
        <v>0.20618850574712647</v>
      </c>
      <c r="P3397" s="1">
        <v>0.14113795640294469</v>
      </c>
      <c r="Q3397" s="1">
        <v>4.6611593358892245</v>
      </c>
      <c r="R3397" s="2">
        <f t="shared" si="211"/>
        <v>216.84142027100506</v>
      </c>
      <c r="S3397" s="2">
        <f t="shared" si="210"/>
        <v>3.829345255107734</v>
      </c>
      <c r="T3397" s="2">
        <f t="shared" si="212"/>
        <v>9.4161211788534569</v>
      </c>
      <c r="U3397" s="2">
        <f t="shared" si="213"/>
        <v>230.08688670496625</v>
      </c>
    </row>
    <row r="3398" spans="1:21" x14ac:dyDescent="0.25">
      <c r="A3398">
        <v>4673657</v>
      </c>
      <c r="B3398">
        <v>68</v>
      </c>
      <c r="C3398" s="1">
        <f>7.70360783836569*(10.3/7.3)</f>
        <v>10.869474073310498</v>
      </c>
      <c r="D3398" s="1">
        <f>10.2198501370889*(10.3/7.3)</f>
        <v>14.419788549591221</v>
      </c>
      <c r="E3398" s="1">
        <f>35.9839604811597*(10.3/7.3)</f>
        <v>50.771889446019863</v>
      </c>
      <c r="F3398" s="1">
        <f>74.9332158457905*(38.9/42.5)</f>
        <v>68.585931680029447</v>
      </c>
      <c r="G3398" s="1">
        <v>2.9305088558958627</v>
      </c>
      <c r="H3398" s="1">
        <v>5.9838659263590186</v>
      </c>
      <c r="I3398" s="1">
        <v>55.181995018569765</v>
      </c>
      <c r="J3398" s="1">
        <v>6.0532171999261676E-2</v>
      </c>
      <c r="K3398" s="1">
        <v>3.5714204591689849</v>
      </c>
      <c r="L3398" s="1">
        <v>5.4221069034718496</v>
      </c>
      <c r="M3398" s="1">
        <v>0.22730697048910398</v>
      </c>
      <c r="N3398" s="1">
        <v>3.9383662843917042</v>
      </c>
      <c r="O3398" s="1">
        <v>0.19943764705882355</v>
      </c>
      <c r="P3398" s="1">
        <v>0.13723716008459921</v>
      </c>
      <c r="Q3398" s="1">
        <v>4.6834616418427055</v>
      </c>
      <c r="R3398" s="2">
        <f t="shared" si="211"/>
        <v>213.42691519161838</v>
      </c>
      <c r="S3398" s="2">
        <f t="shared" si="210"/>
        <v>3.7691897912528458</v>
      </c>
      <c r="T3398" s="2">
        <f t="shared" si="212"/>
        <v>9.7872178054114816</v>
      </c>
      <c r="U3398" s="2">
        <f t="shared" si="213"/>
        <v>226.98332278828269</v>
      </c>
    </row>
    <row r="3399" spans="1:21" x14ac:dyDescent="0.25">
      <c r="A3399">
        <v>4673665</v>
      </c>
      <c r="B3399">
        <v>57</v>
      </c>
      <c r="C3399" s="1">
        <f>7.92104577593755*(10.3/7.3)</f>
        <v>11.176270067418734</v>
      </c>
      <c r="D3399" s="1">
        <f>10.387198143302*(10.3/7.3)</f>
        <v>14.655909709042543</v>
      </c>
      <c r="E3399" s="1">
        <f>36.5518732578279*(10.3/7.3)</f>
        <v>51.573191035017473</v>
      </c>
      <c r="F3399" s="1">
        <f>78.1122324943683*(38.9/42.5)</f>
        <v>71.495666918374781</v>
      </c>
      <c r="G3399" s="1">
        <v>3.1378687863038319</v>
      </c>
      <c r="H3399" s="1">
        <v>6.2219112478474417</v>
      </c>
      <c r="I3399" s="1">
        <v>58.048304594413409</v>
      </c>
      <c r="J3399" s="1">
        <v>6.1426701970286116E-2</v>
      </c>
      <c r="K3399" s="1">
        <v>3.6130297356808181</v>
      </c>
      <c r="L3399" s="1">
        <v>5.4826836624509898</v>
      </c>
      <c r="M3399" s="1">
        <v>0.22415278862794089</v>
      </c>
      <c r="N3399" s="1">
        <v>3.5881629978456808</v>
      </c>
      <c r="O3399" s="1">
        <v>0.19765894736842107</v>
      </c>
      <c r="P3399" s="1">
        <v>0.13619966557630167</v>
      </c>
      <c r="Q3399" s="1">
        <v>5.0148587908965396</v>
      </c>
      <c r="R3399" s="2">
        <f t="shared" si="211"/>
        <v>221.32398114931476</v>
      </c>
      <c r="S3399" s="2">
        <f t="shared" si="210"/>
        <v>3.810656103227406</v>
      </c>
      <c r="T3399" s="2">
        <f t="shared" si="212"/>
        <v>9.4926583962930327</v>
      </c>
      <c r="U3399" s="2">
        <f t="shared" si="213"/>
        <v>234.6272956488352</v>
      </c>
    </row>
    <row r="3400" spans="1:21" x14ac:dyDescent="0.25">
      <c r="A3400">
        <v>4673673</v>
      </c>
      <c r="B3400">
        <v>33</v>
      </c>
      <c r="C3400" s="1">
        <f>7.04626483958461*(10.3/7.3)</f>
        <v>9.9419901161262327</v>
      </c>
      <c r="D3400" s="1">
        <f>9.43749497211171*(10.3/7.3)</f>
        <v>13.315917563390494</v>
      </c>
      <c r="E3400" s="1">
        <f>33.0525921009878*(10.3/7.3)</f>
        <v>46.635849128791044</v>
      </c>
      <c r="F3400" s="1">
        <f>77.0818216021006*(38.9/42.5)</f>
        <v>70.552537889922689</v>
      </c>
      <c r="G3400" s="1">
        <v>3.390195000763554</v>
      </c>
      <c r="H3400" s="1">
        <v>8.7999910043915719</v>
      </c>
      <c r="I3400" s="1">
        <v>57.925671835209769</v>
      </c>
      <c r="J3400" s="1">
        <v>5.6779209548863264E-2</v>
      </c>
      <c r="K3400" s="1">
        <v>3.4299899061744945</v>
      </c>
      <c r="L3400" s="1">
        <v>4.9742649329638144</v>
      </c>
      <c r="M3400" s="1">
        <v>0.20767008735119089</v>
      </c>
      <c r="N3400" s="1">
        <v>2.7462066892041892</v>
      </c>
      <c r="O3400" s="1">
        <v>0.18277979797979799</v>
      </c>
      <c r="P3400" s="1">
        <v>0.12789058833028785</v>
      </c>
      <c r="Q3400" s="1">
        <v>5.4181198642339963</v>
      </c>
      <c r="R3400" s="2">
        <f t="shared" si="211"/>
        <v>215.98027240282934</v>
      </c>
      <c r="S3400" s="2">
        <f t="shared" si="210"/>
        <v>3.6146597040536457</v>
      </c>
      <c r="T3400" s="2">
        <f t="shared" si="212"/>
        <v>8.1109215074989915</v>
      </c>
      <c r="U3400" s="2">
        <f t="shared" si="213"/>
        <v>227.70585361438199</v>
      </c>
    </row>
    <row r="3401" spans="1:21" x14ac:dyDescent="0.25">
      <c r="A3401">
        <v>4673697</v>
      </c>
      <c r="B3401">
        <v>24</v>
      </c>
      <c r="C3401" s="1">
        <f>4.73710019922739*(10.3/7.3)</f>
        <v>6.683853705759188</v>
      </c>
      <c r="D3401" s="1">
        <f>6.44495216392119*(10.3/7.3)</f>
        <v>9.0935626422449705</v>
      </c>
      <c r="E3401" s="1">
        <f>22.4773157082515*(10.3/7.3)</f>
        <v>31.714568739039798</v>
      </c>
      <c r="F3401" s="1">
        <f>56.4722118964031*(38.9/42.5)</f>
        <v>51.688683359296043</v>
      </c>
      <c r="G3401" s="1">
        <v>2.6515262305171072</v>
      </c>
      <c r="H3401" s="1">
        <v>10.140520795863543</v>
      </c>
      <c r="I3401" s="1">
        <v>42.8522310956129</v>
      </c>
      <c r="J3401" s="1">
        <v>4.3105292568329012E-2</v>
      </c>
      <c r="K3401" s="1">
        <v>3.0910716528160145</v>
      </c>
      <c r="L3401" s="1">
        <v>3.7530829522236533</v>
      </c>
      <c r="M3401" s="1">
        <v>0.15636747423767647</v>
      </c>
      <c r="N3401" s="1">
        <v>1.9999923908615944</v>
      </c>
      <c r="O3401" s="1">
        <v>0.14062444444444444</v>
      </c>
      <c r="P3401" s="1">
        <v>0.10494370168963348</v>
      </c>
      <c r="Q3401" s="1">
        <v>4.2375989985433256</v>
      </c>
      <c r="R3401" s="2">
        <f t="shared" si="211"/>
        <v>159.06254556687688</v>
      </c>
      <c r="S3401" s="2">
        <f t="shared" ref="S3401:S3464" si="214">J3401+K3401+P3401</f>
        <v>3.2391206470739768</v>
      </c>
      <c r="T3401" s="2">
        <f t="shared" si="212"/>
        <v>6.050067261767369</v>
      </c>
      <c r="U3401" s="2">
        <f t="shared" si="213"/>
        <v>168.35173347571822</v>
      </c>
    </row>
    <row r="3402" spans="1:21" x14ac:dyDescent="0.25">
      <c r="A3402">
        <v>4673713</v>
      </c>
      <c r="B3402">
        <v>5</v>
      </c>
      <c r="C3402" s="1">
        <f>5.44942850013102*(10.3/7.3)</f>
        <v>7.6889196645684228</v>
      </c>
      <c r="D3402" s="1">
        <f>7.36967729542665*(10.3/7.3)</f>
        <v>10.398311800396511</v>
      </c>
      <c r="E3402" s="1">
        <f>25.6565210086518*(10.3/7.3)</f>
        <v>36.200296765631947</v>
      </c>
      <c r="F3402" s="1">
        <f>67.1259431188958*(38.9/42.5)</f>
        <v>61.439980878236383</v>
      </c>
      <c r="G3402" s="1">
        <v>3.2482470451259444</v>
      </c>
      <c r="H3402" s="1">
        <v>13.0943890575063</v>
      </c>
      <c r="I3402" s="1">
        <v>51.375068058667424</v>
      </c>
      <c r="J3402" s="1">
        <v>4.558728388605128E-2</v>
      </c>
      <c r="K3402" s="1">
        <v>3.0915677864137812</v>
      </c>
      <c r="L3402" s="1">
        <v>3.976529436693645</v>
      </c>
      <c r="M3402" s="1">
        <v>0.16126090873212046</v>
      </c>
      <c r="N3402" s="1">
        <v>2.0169890618284696</v>
      </c>
      <c r="O3402" s="1">
        <v>0.14463999999999999</v>
      </c>
      <c r="P3402" s="1">
        <v>0.10662789180344126</v>
      </c>
      <c r="Q3402" s="1">
        <v>5.1912624008862185</v>
      </c>
      <c r="R3402" s="2">
        <f t="shared" ref="R3402:R3465" si="215">C3402+D3402+E3402+F3402+G3402+H3402+I3402+Q3402</f>
        <v>188.63647567101913</v>
      </c>
      <c r="S3402" s="2">
        <f t="shared" si="214"/>
        <v>3.2437829621032739</v>
      </c>
      <c r="T3402" s="2">
        <f t="shared" ref="T3402:T3465" si="216">L3402+M3402+N3402+O3402</f>
        <v>6.2994194072542351</v>
      </c>
      <c r="U3402" s="2">
        <f t="shared" ref="U3402:U3465" si="217">R3402+S3402+T3402</f>
        <v>198.17967804037664</v>
      </c>
    </row>
    <row r="3403" spans="1:21" x14ac:dyDescent="0.25">
      <c r="A3403">
        <v>4673945</v>
      </c>
      <c r="B3403">
        <v>46</v>
      </c>
      <c r="C3403" s="1">
        <f>5.95723323671873*(10.3/7.3)</f>
        <v>8.4054112792058842</v>
      </c>
      <c r="D3403" s="1">
        <f>6.56803399651065*(10.3/7.3)</f>
        <v>9.2672260498711907</v>
      </c>
      <c r="E3403" s="1">
        <f>23.179477993495*(10.3/7.3)</f>
        <v>32.705290867533996</v>
      </c>
      <c r="F3403" s="1">
        <f>55.6904846440894*(38.9/42.5)</f>
        <v>50.973173003648874</v>
      </c>
      <c r="G3403" s="1">
        <v>2.4380676103101417</v>
      </c>
      <c r="H3403" s="1">
        <v>5.6754678967686729</v>
      </c>
      <c r="I3403" s="1">
        <v>44.477345932507752</v>
      </c>
      <c r="J3403" s="1">
        <v>2.8558237183038671E-2</v>
      </c>
      <c r="K3403" s="1">
        <v>1.9383011323486294</v>
      </c>
      <c r="L3403" s="1">
        <v>2.0999866249594494</v>
      </c>
      <c r="M3403" s="1">
        <v>9.3818785633476051E-2</v>
      </c>
      <c r="N3403" s="1">
        <v>1.2080219864455426</v>
      </c>
      <c r="O3403" s="1">
        <v>8.8485797101449257E-2</v>
      </c>
      <c r="P3403" s="1">
        <v>7.0673386763334803E-2</v>
      </c>
      <c r="Q3403" s="1">
        <v>3.8964550849705515</v>
      </c>
      <c r="R3403" s="2">
        <f t="shared" si="215"/>
        <v>157.83843772481706</v>
      </c>
      <c r="S3403" s="2">
        <f t="shared" si="214"/>
        <v>2.0375327562950027</v>
      </c>
      <c r="T3403" s="2">
        <f t="shared" si="216"/>
        <v>3.4903131941399175</v>
      </c>
      <c r="U3403" s="2">
        <f t="shared" si="217"/>
        <v>163.36628367525199</v>
      </c>
    </row>
    <row r="3404" spans="1:21" x14ac:dyDescent="0.25">
      <c r="A3404">
        <v>4673953</v>
      </c>
      <c r="B3404">
        <v>61</v>
      </c>
      <c r="C3404" s="1">
        <f>5.16244945929747*(10.3/7.3)</f>
        <v>7.284004031611504</v>
      </c>
      <c r="D3404" s="1">
        <f>5.52322946450148*(10.3/7.3)</f>
        <v>7.7930497923788078</v>
      </c>
      <c r="E3404" s="1">
        <f>19.5966692318481*(10.3/7.3)</f>
        <v>27.650094943566508</v>
      </c>
      <c r="F3404" s="1">
        <f>43.3070129201329*(38.9/42.5)</f>
        <v>39.638654178662847</v>
      </c>
      <c r="G3404" s="1">
        <v>1.7331650845311453</v>
      </c>
      <c r="H3404" s="1">
        <v>4.0443395478009307</v>
      </c>
      <c r="I3404" s="1">
        <v>34.55731116978064</v>
      </c>
      <c r="J3404" s="1">
        <v>2.4169149479681171E-2</v>
      </c>
      <c r="K3404" s="1">
        <v>1.7029416865253639</v>
      </c>
      <c r="L3404" s="1">
        <v>1.7984111784344403</v>
      </c>
      <c r="M3404" s="1">
        <v>8.3288343105225662E-2</v>
      </c>
      <c r="N3404" s="1">
        <v>1.0171505998358021</v>
      </c>
      <c r="O3404" s="1">
        <v>7.693814207650275E-2</v>
      </c>
      <c r="P3404" s="1">
        <v>6.3513704940510993E-2</v>
      </c>
      <c r="Q3404" s="1">
        <v>2.7698985369219247</v>
      </c>
      <c r="R3404" s="2">
        <f t="shared" si="215"/>
        <v>125.47051728525433</v>
      </c>
      <c r="S3404" s="2">
        <f t="shared" si="214"/>
        <v>1.7906245409455561</v>
      </c>
      <c r="T3404" s="2">
        <f t="shared" si="216"/>
        <v>2.975788263451971</v>
      </c>
      <c r="U3404" s="2">
        <f t="shared" si="217"/>
        <v>130.23693008965185</v>
      </c>
    </row>
    <row r="3405" spans="1:21" x14ac:dyDescent="0.25">
      <c r="A3405">
        <v>4685277</v>
      </c>
      <c r="B3405">
        <v>50</v>
      </c>
      <c r="C3405" s="1">
        <f>0.672077594731843*(10.3/7.3)</f>
        <v>0.94827386653945012</v>
      </c>
      <c r="D3405" s="1">
        <f>0.930482358391088*(10.3/7.3)</f>
        <v>1.312872368688796</v>
      </c>
      <c r="E3405" s="1">
        <f>3.23710246820925*(10.3/7.3)</f>
        <v>4.5674185510349705</v>
      </c>
      <c r="F3405" s="1">
        <f>8.42340332558616*(38.9/42.5)</f>
        <v>7.7098915144776816</v>
      </c>
      <c r="G3405" s="1">
        <v>0.40713709148289295</v>
      </c>
      <c r="H3405" s="1">
        <v>1.6759554977270879</v>
      </c>
      <c r="I3405" s="1">
        <v>6.4046590315956236</v>
      </c>
      <c r="J3405" s="1">
        <v>4.6477847490616286E-2</v>
      </c>
      <c r="K3405" s="1">
        <v>3.0686369169904339</v>
      </c>
      <c r="L3405" s="1">
        <v>2.350100226832248</v>
      </c>
      <c r="M3405" s="1">
        <v>0.38633415015164618</v>
      </c>
      <c r="N3405" s="1">
        <v>1.4165378870987733</v>
      </c>
      <c r="O3405" s="1">
        <v>0.53460479999999988</v>
      </c>
      <c r="P3405" s="1">
        <v>0.26419565187859845</v>
      </c>
      <c r="Q3405" s="1">
        <v>0.65067571698179316</v>
      </c>
      <c r="R3405" s="2">
        <f t="shared" si="215"/>
        <v>23.676883638528295</v>
      </c>
      <c r="S3405" s="2">
        <f t="shared" si="214"/>
        <v>3.3793104163596488</v>
      </c>
      <c r="T3405" s="2">
        <f t="shared" si="216"/>
        <v>4.6875770640826673</v>
      </c>
      <c r="U3405" s="2">
        <f t="shared" si="217"/>
        <v>31.74377111897061</v>
      </c>
    </row>
    <row r="3406" spans="1:21" x14ac:dyDescent="0.25">
      <c r="A3406">
        <v>4685285</v>
      </c>
      <c r="B3406">
        <v>61</v>
      </c>
      <c r="C3406" s="1">
        <f>0.886649796845432*(10.3/7.3)</f>
        <v>1.2510264256860206</v>
      </c>
      <c r="D3406" s="1">
        <f>1.25352900701834*(10.3/7.3)</f>
        <v>1.7686779140121835</v>
      </c>
      <c r="E3406" s="1">
        <f>4.34810147731459*(10.3/7.3)</f>
        <v>6.1349924953890778</v>
      </c>
      <c r="F3406" s="1">
        <f>11.7826286037917*(38.9/42.5)</f>
        <v>10.784570651470565</v>
      </c>
      <c r="G3406" s="1">
        <v>0.5875910704861812</v>
      </c>
      <c r="H3406" s="1">
        <v>2.3683759001602613</v>
      </c>
      <c r="I3406" s="1">
        <v>8.9793750042313292</v>
      </c>
      <c r="J3406" s="1">
        <v>6.469369306120186E-2</v>
      </c>
      <c r="K3406" s="1">
        <v>3.8794302964529255</v>
      </c>
      <c r="L3406" s="1">
        <v>3.1430080888788026</v>
      </c>
      <c r="M3406" s="1">
        <v>0.54864619547026905</v>
      </c>
      <c r="N3406" s="1">
        <v>1.9482695697436903</v>
      </c>
      <c r="O3406" s="1">
        <v>0.76736874316939896</v>
      </c>
      <c r="P3406" s="1">
        <v>0.31320506464685594</v>
      </c>
      <c r="Q3406" s="1">
        <v>0.93907248707837321</v>
      </c>
      <c r="R3406" s="2">
        <f t="shared" si="215"/>
        <v>32.813681948513988</v>
      </c>
      <c r="S3406" s="2">
        <f t="shared" si="214"/>
        <v>4.2573290541609836</v>
      </c>
      <c r="T3406" s="2">
        <f t="shared" si="216"/>
        <v>6.4072925972621615</v>
      </c>
      <c r="U3406" s="2">
        <f t="shared" si="217"/>
        <v>43.478303599937135</v>
      </c>
    </row>
    <row r="3407" spans="1:21" x14ac:dyDescent="0.25">
      <c r="A3407">
        <v>4685293</v>
      </c>
      <c r="B3407">
        <v>45</v>
      </c>
      <c r="C3407" s="1">
        <f>0.88156138323109*(10.3/7.3)</f>
        <v>1.2438468831890721</v>
      </c>
      <c r="D3407" s="1">
        <f>1.26882529566053*(10.3/7.3)</f>
        <v>1.7902603486717064</v>
      </c>
      <c r="E3407" s="1">
        <f>4.39150451362531*(10.3/7.3)</f>
        <v>6.1962323959370877</v>
      </c>
      <c r="F3407" s="1">
        <f>12.2343237787802*(38.9/42.5)</f>
        <v>11.198004588107013</v>
      </c>
      <c r="G3407" s="1">
        <v>0.62269691983526898</v>
      </c>
      <c r="H3407" s="1">
        <v>2.5441642741554888</v>
      </c>
      <c r="I3407" s="1">
        <v>9.33186195381621</v>
      </c>
      <c r="J3407" s="1">
        <v>6.3034394801564933E-2</v>
      </c>
      <c r="K3407" s="1">
        <v>3.7509138277355198</v>
      </c>
      <c r="L3407" s="1">
        <v>2.9161821233347611</v>
      </c>
      <c r="M3407" s="1">
        <v>0.53279606438920035</v>
      </c>
      <c r="N3407" s="1">
        <v>1.9556731031358539</v>
      </c>
      <c r="O3407" s="1">
        <v>0.6999644444444445</v>
      </c>
      <c r="P3407" s="1">
        <v>0.31174968115909268</v>
      </c>
      <c r="Q3407" s="1">
        <v>0.99517772576412977</v>
      </c>
      <c r="R3407" s="2">
        <f t="shared" si="215"/>
        <v>33.922245089475979</v>
      </c>
      <c r="S3407" s="2">
        <f t="shared" si="214"/>
        <v>4.1256979036961772</v>
      </c>
      <c r="T3407" s="2">
        <f t="shared" si="216"/>
        <v>6.10461573530426</v>
      </c>
      <c r="U3407" s="2">
        <f t="shared" si="217"/>
        <v>44.152558728476414</v>
      </c>
    </row>
    <row r="3408" spans="1:21" x14ac:dyDescent="0.25">
      <c r="A3408">
        <v>4685301</v>
      </c>
      <c r="B3408">
        <v>18</v>
      </c>
      <c r="C3408" s="1">
        <f>0.774279272347222*(10.3/7.3)</f>
        <v>1.0924762335858071</v>
      </c>
      <c r="D3408" s="1">
        <f>1.14249857502821*(10.3/7.3)</f>
        <v>1.612018537368568</v>
      </c>
      <c r="E3408" s="1">
        <f>3.94128993640819*(10.3/7.3)</f>
        <v>5.5609981294526483</v>
      </c>
      <c r="F3408" s="1">
        <f>11.4494447764846*(38.9/42.5)</f>
        <v>10.479609454241228</v>
      </c>
      <c r="G3408" s="1">
        <v>0.599736994618148</v>
      </c>
      <c r="H3408" s="1">
        <v>2.5460565592705988</v>
      </c>
      <c r="I3408" s="1">
        <v>8.7508207867838372</v>
      </c>
      <c r="J3408" s="1">
        <v>6.6214723164308514E-2</v>
      </c>
      <c r="K3408" s="1">
        <v>3.4265758899595102</v>
      </c>
      <c r="L3408" s="1">
        <v>2.7014878935172053</v>
      </c>
      <c r="M3408" s="1">
        <v>0.48041047721835828</v>
      </c>
      <c r="N3408" s="1">
        <v>2.1038288330011188</v>
      </c>
      <c r="O3408" s="1">
        <v>0.59239407407407407</v>
      </c>
      <c r="P3408" s="1">
        <v>0.28537366399304565</v>
      </c>
      <c r="Q3408" s="1">
        <v>0.95848378135320567</v>
      </c>
      <c r="R3408" s="2">
        <f t="shared" si="215"/>
        <v>31.600200476674043</v>
      </c>
      <c r="S3408" s="2">
        <f t="shared" si="214"/>
        <v>3.7781642771168644</v>
      </c>
      <c r="T3408" s="2">
        <f t="shared" si="216"/>
        <v>5.8781212778107559</v>
      </c>
      <c r="U3408" s="2">
        <f t="shared" si="217"/>
        <v>41.256486031601661</v>
      </c>
    </row>
    <row r="3409" spans="1:21" x14ac:dyDescent="0.25">
      <c r="A3409">
        <v>4685445</v>
      </c>
      <c r="B3409">
        <v>33</v>
      </c>
      <c r="C3409" s="1">
        <f>1.65746118022239*(10.3/7.3)</f>
        <v>2.3386096104507752</v>
      </c>
      <c r="D3409" s="1">
        <f>2.51459452407122*(10.3/7.3)</f>
        <v>3.5479895339635079</v>
      </c>
      <c r="E3409" s="1">
        <f>8.5588815598939*(10.3/7.3)</f>
        <v>12.076230146151673</v>
      </c>
      <c r="F3409" s="1">
        <f>30.3401721029303*(38.9/42.5)</f>
        <v>27.770181054211502</v>
      </c>
      <c r="G3409" s="1">
        <v>1.7661722704179246</v>
      </c>
      <c r="H3409" s="1">
        <v>7.7903311842305589</v>
      </c>
      <c r="I3409" s="1">
        <v>23.797070693382409</v>
      </c>
      <c r="J3409" s="1">
        <v>4.5438025979342822E-2</v>
      </c>
      <c r="K3409" s="1">
        <v>3.1553087842690148</v>
      </c>
      <c r="L3409" s="1">
        <v>3.344899111429974</v>
      </c>
      <c r="M3409" s="1">
        <v>0.7895580101815256</v>
      </c>
      <c r="N3409" s="1">
        <v>1.8613135190490508</v>
      </c>
      <c r="O3409" s="1">
        <v>0.35491717171717169</v>
      </c>
      <c r="P3409" s="1">
        <v>0.23104720987066901</v>
      </c>
      <c r="Q3409" s="1">
        <v>2.8226497472432612</v>
      </c>
      <c r="R3409" s="2">
        <f t="shared" si="215"/>
        <v>81.909234240051617</v>
      </c>
      <c r="S3409" s="2">
        <f t="shared" si="214"/>
        <v>3.4317940201190269</v>
      </c>
      <c r="T3409" s="2">
        <f t="shared" si="216"/>
        <v>6.3506878123777222</v>
      </c>
      <c r="U3409" s="2">
        <f t="shared" si="217"/>
        <v>91.691716072548374</v>
      </c>
    </row>
    <row r="3410" spans="1:21" x14ac:dyDescent="0.25">
      <c r="A3410">
        <v>4685453</v>
      </c>
      <c r="B3410">
        <v>51</v>
      </c>
      <c r="C3410" s="1">
        <f>1.39448209262333*(10.3/7.3)</f>
        <v>1.9675569252082641</v>
      </c>
      <c r="D3410" s="1">
        <f>2.06974393226599*(10.3/7.3)</f>
        <v>2.9203236304574904</v>
      </c>
      <c r="E3410" s="1">
        <f>7.06828495291999*(10.3/7.3)</f>
        <v>9.973059591106292</v>
      </c>
      <c r="F3410" s="1">
        <f>24.1363357644179*(38.9/42.5)</f>
        <v>22.091846146726013</v>
      </c>
      <c r="G3410" s="1">
        <v>1.3790345275306486</v>
      </c>
      <c r="H3410" s="1">
        <v>9.7227097750591103</v>
      </c>
      <c r="I3410" s="1">
        <v>18.898780573810214</v>
      </c>
      <c r="J3410" s="1">
        <v>4.1757617775007E-2</v>
      </c>
      <c r="K3410" s="1">
        <v>3.1481174219789363</v>
      </c>
      <c r="L3410" s="1">
        <v>3.362799671835516</v>
      </c>
      <c r="M3410" s="1">
        <v>0.75465655505918938</v>
      </c>
      <c r="N3410" s="1">
        <v>1.8889612621239988</v>
      </c>
      <c r="O3410" s="1">
        <v>0.34311633986928097</v>
      </c>
      <c r="P3410" s="1">
        <v>0.23137212733660165</v>
      </c>
      <c r="Q3410" s="1">
        <v>2.2039364595238693</v>
      </c>
      <c r="R3410" s="2">
        <f t="shared" si="215"/>
        <v>69.157247629421903</v>
      </c>
      <c r="S3410" s="2">
        <f t="shared" si="214"/>
        <v>3.4212471670905451</v>
      </c>
      <c r="T3410" s="2">
        <f t="shared" si="216"/>
        <v>6.3495338288879859</v>
      </c>
      <c r="U3410" s="2">
        <f t="shared" si="217"/>
        <v>78.92802862540043</v>
      </c>
    </row>
    <row r="3411" spans="1:21" x14ac:dyDescent="0.25">
      <c r="A3411">
        <v>4685461</v>
      </c>
      <c r="B3411">
        <v>8</v>
      </c>
      <c r="C3411" s="1">
        <f>1.59914160415334*(10.3/7.3)</f>
        <v>2.2563230853122507</v>
      </c>
      <c r="D3411" s="1">
        <f>2.57525841073058*(10.3/7.3)</f>
        <v>3.6335837850034247</v>
      </c>
      <c r="E3411" s="1">
        <f>8.6698904650065*(10.3/7.3)</f>
        <v>12.232859149255741</v>
      </c>
      <c r="F3411" s="1">
        <f>34.7105795480385*(38.9/42.5)</f>
        <v>31.770389280439939</v>
      </c>
      <c r="G3411" s="1">
        <v>2.13060929175492</v>
      </c>
      <c r="H3411" s="1">
        <v>9.7589846106716376</v>
      </c>
      <c r="I3411" s="1">
        <v>27.438852866061701</v>
      </c>
      <c r="J3411" s="1">
        <v>4.2178506147689893E-2</v>
      </c>
      <c r="K3411" s="1">
        <v>3.2072675570758902</v>
      </c>
      <c r="L3411" s="1">
        <v>3.4784508289965497</v>
      </c>
      <c r="M3411" s="1">
        <v>0.75363042318854379</v>
      </c>
      <c r="N3411" s="1">
        <v>1.9596265722578698</v>
      </c>
      <c r="O3411" s="1">
        <v>0.34148000000000001</v>
      </c>
      <c r="P3411" s="1">
        <v>0.23355140977104763</v>
      </c>
      <c r="Q3411" s="1">
        <v>3.4050833429873184</v>
      </c>
      <c r="R3411" s="2">
        <f t="shared" si="215"/>
        <v>92.626685411486946</v>
      </c>
      <c r="S3411" s="2">
        <f t="shared" si="214"/>
        <v>3.4829974729946276</v>
      </c>
      <c r="T3411" s="2">
        <f t="shared" si="216"/>
        <v>6.5331878244429626</v>
      </c>
      <c r="U3411" s="2">
        <f t="shared" si="217"/>
        <v>102.64287070892453</v>
      </c>
    </row>
    <row r="3412" spans="1:21" x14ac:dyDescent="0.25">
      <c r="A3412">
        <v>4685565</v>
      </c>
      <c r="B3412">
        <v>9</v>
      </c>
      <c r="C3412" s="1">
        <f>2.21007698108255*(10.3/7.3)</f>
        <v>3.1183277952260635</v>
      </c>
      <c r="D3412" s="1">
        <f>3.2493861166124*(10.3/7.3)</f>
        <v>4.5847502741243504</v>
      </c>
      <c r="E3412" s="1">
        <f>11.2065304710782*(10.3/7.3)</f>
        <v>15.811953952343174</v>
      </c>
      <c r="F3412" s="1">
        <f>32.7845632325937*(38.9/42.5)</f>
        <v>30.007517876421041</v>
      </c>
      <c r="G3412" s="1">
        <v>1.7239912693534709</v>
      </c>
      <c r="H3412" s="1">
        <v>9.428954410861472</v>
      </c>
      <c r="I3412" s="1">
        <v>25.10533209501909</v>
      </c>
      <c r="J3412" s="1">
        <v>5.8444945617757559E-2</v>
      </c>
      <c r="K3412" s="1">
        <v>3.3591818450204602</v>
      </c>
      <c r="L3412" s="1">
        <v>5.5812524880450463</v>
      </c>
      <c r="M3412" s="1">
        <v>0.52927040579236939</v>
      </c>
      <c r="N3412" s="1">
        <v>2.7474993055664214</v>
      </c>
      <c r="O3412" s="1">
        <v>0.28341333333333335</v>
      </c>
      <c r="P3412" s="1">
        <v>0.20264578959233687</v>
      </c>
      <c r="Q3412" s="1">
        <v>2.755237188464454</v>
      </c>
      <c r="R3412" s="2">
        <f t="shared" si="215"/>
        <v>92.536064861813117</v>
      </c>
      <c r="S3412" s="2">
        <f t="shared" si="214"/>
        <v>3.6202725802305546</v>
      </c>
      <c r="T3412" s="2">
        <f t="shared" si="216"/>
        <v>9.1414355327371712</v>
      </c>
      <c r="U3412" s="2">
        <f t="shared" si="217"/>
        <v>105.29777297478084</v>
      </c>
    </row>
    <row r="3413" spans="1:21" x14ac:dyDescent="0.25">
      <c r="A3413">
        <v>4685805</v>
      </c>
      <c r="B3413">
        <v>18</v>
      </c>
      <c r="C3413" s="1">
        <f>19.0655649700657*(10.3/7.3)</f>
        <v>26.900728656394008</v>
      </c>
      <c r="D3413" s="1">
        <f>23.9364058571979*(10.3/7.3)</f>
        <v>33.773284976594347</v>
      </c>
      <c r="E3413" s="1">
        <f>84.9857301529018*(10.3/7.3)</f>
        <v>119.91137268149163</v>
      </c>
      <c r="F3413" s="1">
        <f>151.575904101975*(38.9/42.5)</f>
        <v>138.73653340157247</v>
      </c>
      <c r="G3413" s="1">
        <v>4.7124534188948681</v>
      </c>
      <c r="H3413" s="1">
        <v>7.490948402928991</v>
      </c>
      <c r="I3413" s="1">
        <v>109.89686041976645</v>
      </c>
      <c r="J3413" s="1">
        <v>6.0363345183104378E-2</v>
      </c>
      <c r="K3413" s="1">
        <v>3.1290421186703337</v>
      </c>
      <c r="L3413" s="1">
        <v>4.5830842006535057</v>
      </c>
      <c r="M3413" s="1">
        <v>0.24367723839822006</v>
      </c>
      <c r="N3413" s="1">
        <v>2.3990514198527801</v>
      </c>
      <c r="O3413" s="1">
        <v>0.203437037037037</v>
      </c>
      <c r="P3413" s="1">
        <v>0.14396163943240683</v>
      </c>
      <c r="Q3413" s="1">
        <v>7.5313182493753663</v>
      </c>
      <c r="R3413" s="2">
        <f t="shared" si="215"/>
        <v>448.95350020701818</v>
      </c>
      <c r="S3413" s="2">
        <f t="shared" si="214"/>
        <v>3.3333671032858452</v>
      </c>
      <c r="T3413" s="2">
        <f t="shared" si="216"/>
        <v>7.4292498959415427</v>
      </c>
      <c r="U3413" s="2">
        <f t="shared" si="217"/>
        <v>459.7161172062456</v>
      </c>
    </row>
    <row r="3414" spans="1:21" x14ac:dyDescent="0.25">
      <c r="A3414">
        <v>4685813</v>
      </c>
      <c r="B3414">
        <v>55</v>
      </c>
      <c r="C3414" s="1">
        <f>10.6060763139452*(10.3/7.3)</f>
        <v>14.964737812826755</v>
      </c>
      <c r="D3414" s="1">
        <f>16.2419061284438*(10.3/7.3)</f>
        <v>22.916662071639827</v>
      </c>
      <c r="E3414" s="1">
        <f>57.1904949953417*(10.3/7.3)</f>
        <v>80.693438144112278</v>
      </c>
      <c r="F3414" s="1">
        <f>102.472193157211*(38.9/42.5)</f>
        <v>93.792195619188519</v>
      </c>
      <c r="G3414" s="1">
        <v>3.380024740897448</v>
      </c>
      <c r="H3414" s="1">
        <v>6.4019293276893565</v>
      </c>
      <c r="I3414" s="1">
        <v>69.099427046201228</v>
      </c>
      <c r="J3414" s="1">
        <v>5.2070127735488726E-2</v>
      </c>
      <c r="K3414" s="1">
        <v>3.0387909122740573</v>
      </c>
      <c r="L3414" s="1">
        <v>4.42676999688093</v>
      </c>
      <c r="M3414" s="1">
        <v>0.23357491211162026</v>
      </c>
      <c r="N3414" s="1">
        <v>2.2403375929825002</v>
      </c>
      <c r="O3414" s="1">
        <v>0.19495078787878781</v>
      </c>
      <c r="P3414" s="1">
        <v>0.13907751647647873</v>
      </c>
      <c r="Q3414" s="1">
        <v>5.4018660242653338</v>
      </c>
      <c r="R3414" s="2">
        <f t="shared" si="215"/>
        <v>296.65028078682076</v>
      </c>
      <c r="S3414" s="2">
        <f t="shared" si="214"/>
        <v>3.229938556486025</v>
      </c>
      <c r="T3414" s="2">
        <f t="shared" si="216"/>
        <v>7.0956332898538372</v>
      </c>
      <c r="U3414" s="2">
        <f t="shared" si="217"/>
        <v>306.97585263316063</v>
      </c>
    </row>
    <row r="3415" spans="1:21" x14ac:dyDescent="0.25">
      <c r="A3415">
        <v>4685821</v>
      </c>
      <c r="B3415">
        <v>55</v>
      </c>
      <c r="C3415" s="1">
        <f>5.79702862239688*(10.3/7.3)</f>
        <v>8.179369152149027</v>
      </c>
      <c r="D3415" s="1">
        <f>8.7178956110553*(10.3/7.3)</f>
        <v>12.300592437516379</v>
      </c>
      <c r="E3415" s="1">
        <f>30.6964388193484*(10.3/7.3)</f>
        <v>43.311413676614869</v>
      </c>
      <c r="F3415" s="1">
        <f>56.0867680421765*(38.9/42.5)</f>
        <v>51.335888866839163</v>
      </c>
      <c r="G3415" s="1">
        <v>1.8978524253339346</v>
      </c>
      <c r="H3415" s="1">
        <v>4.0990193605032283</v>
      </c>
      <c r="I3415" s="1">
        <v>38.297420552329783</v>
      </c>
      <c r="J3415" s="1">
        <v>3.4492771894950466E-2</v>
      </c>
      <c r="K3415" s="1">
        <v>2.3296235891653763</v>
      </c>
      <c r="L3415" s="1">
        <v>3.2625874038776188</v>
      </c>
      <c r="M3415" s="1">
        <v>0.17457395198899125</v>
      </c>
      <c r="N3415" s="1">
        <v>1.6081978291860488</v>
      </c>
      <c r="O3415" s="1">
        <v>0.14386327272727273</v>
      </c>
      <c r="P3415" s="1">
        <v>0.11005232093702497</v>
      </c>
      <c r="Q3415" s="1">
        <v>3.0330974834104016</v>
      </c>
      <c r="R3415" s="2">
        <f t="shared" si="215"/>
        <v>162.45465395469682</v>
      </c>
      <c r="S3415" s="2">
        <f t="shared" si="214"/>
        <v>2.4741686819973516</v>
      </c>
      <c r="T3415" s="2">
        <f t="shared" si="216"/>
        <v>5.1892224577799313</v>
      </c>
      <c r="U3415" s="2">
        <f t="shared" si="217"/>
        <v>170.1180450944741</v>
      </c>
    </row>
    <row r="3416" spans="1:21" x14ac:dyDescent="0.25">
      <c r="A3416">
        <v>4685829</v>
      </c>
      <c r="B3416">
        <v>55</v>
      </c>
      <c r="C3416" s="1">
        <f>7.59151425359444*(10.3/7.3)</f>
        <v>10.711314631783932</v>
      </c>
      <c r="D3416" s="1">
        <f>11.128692304993*(10.3/7.3)</f>
        <v>15.702127498825774</v>
      </c>
      <c r="E3416" s="1">
        <f>39.2016206904014*(10.3/7.3)</f>
        <v>55.311875768648498</v>
      </c>
      <c r="F3416" s="1">
        <f>72.7199077057908*(38.9/42.5)</f>
        <v>66.560103758947392</v>
      </c>
      <c r="G3416" s="1">
        <v>2.5015717963244195</v>
      </c>
      <c r="H3416" s="1">
        <v>5.0928629751136203</v>
      </c>
      <c r="I3416" s="1">
        <v>50.322947055362462</v>
      </c>
      <c r="J3416" s="1">
        <v>4.6811949639543722E-2</v>
      </c>
      <c r="K3416" s="1">
        <v>3.0079523607606125</v>
      </c>
      <c r="L3416" s="1">
        <v>4.4147265961985145</v>
      </c>
      <c r="M3416" s="1">
        <v>0.22489053857466673</v>
      </c>
      <c r="N3416" s="1">
        <v>2.2114706516468301</v>
      </c>
      <c r="O3416" s="1">
        <v>0.1888407272727273</v>
      </c>
      <c r="P3416" s="1">
        <v>0.13606688401604736</v>
      </c>
      <c r="Q3416" s="1">
        <v>3.9979457932125455</v>
      </c>
      <c r="R3416" s="2">
        <f t="shared" si="215"/>
        <v>210.20074927821864</v>
      </c>
      <c r="S3416" s="2">
        <f t="shared" si="214"/>
        <v>3.1908311944162038</v>
      </c>
      <c r="T3416" s="2">
        <f t="shared" si="216"/>
        <v>7.0399285136927388</v>
      </c>
      <c r="U3416" s="2">
        <f t="shared" si="217"/>
        <v>220.43150898632757</v>
      </c>
    </row>
    <row r="3417" spans="1:21" x14ac:dyDescent="0.25">
      <c r="A3417">
        <v>4685837</v>
      </c>
      <c r="B3417">
        <v>53</v>
      </c>
      <c r="C3417" s="1">
        <f>7.15354629765553*(10.3/7.3)</f>
        <v>10.093359844637257</v>
      </c>
      <c r="D3417" s="1">
        <f>10.11376392978*(10.3/7.3)</f>
        <v>14.270105270785454</v>
      </c>
      <c r="E3417" s="1">
        <f>35.6643738911742*(10.3/7.3)</f>
        <v>50.320965901245721</v>
      </c>
      <c r="F3417" s="1">
        <f>66.8100506345724*(38.9/42.5)</f>
        <v>61.150846345526247</v>
      </c>
      <c r="G3417" s="1">
        <v>2.3120440248416587</v>
      </c>
      <c r="H3417" s="1">
        <v>4.9042655646091013</v>
      </c>
      <c r="I3417" s="1">
        <v>46.945046471609878</v>
      </c>
      <c r="J3417" s="1">
        <v>4.6643057029205806E-2</v>
      </c>
      <c r="K3417" s="1">
        <v>3.0004764001503594</v>
      </c>
      <c r="L3417" s="1">
        <v>4.4437166083838289</v>
      </c>
      <c r="M3417" s="1">
        <v>0.21401999069690192</v>
      </c>
      <c r="N3417" s="1">
        <v>2.2298161556992939</v>
      </c>
      <c r="O3417" s="1">
        <v>0.18679144654088042</v>
      </c>
      <c r="P3417" s="1">
        <v>0.13312484338829281</v>
      </c>
      <c r="Q3417" s="1">
        <v>3.6950475282857589</v>
      </c>
      <c r="R3417" s="2">
        <f t="shared" si="215"/>
        <v>193.69168095154109</v>
      </c>
      <c r="S3417" s="2">
        <f t="shared" si="214"/>
        <v>3.1802443005678582</v>
      </c>
      <c r="T3417" s="2">
        <f t="shared" si="216"/>
        <v>7.0743442013209048</v>
      </c>
      <c r="U3417" s="2">
        <f t="shared" si="217"/>
        <v>203.94626945342986</v>
      </c>
    </row>
    <row r="3418" spans="1:21" x14ac:dyDescent="0.25">
      <c r="A3418">
        <v>4685845</v>
      </c>
      <c r="B3418">
        <v>55</v>
      </c>
      <c r="C3418" s="1">
        <f>9.5268503510018*(10.3/7.3)</f>
        <v>13.441994330865549</v>
      </c>
      <c r="D3418" s="1">
        <f>13.6894358642414*(10.3/7.3)</f>
        <v>19.315231424888609</v>
      </c>
      <c r="E3418" s="1">
        <f>48.2011573129927*(10.3/7.3)</f>
        <v>68.009852099154102</v>
      </c>
      <c r="F3418" s="1">
        <f>92.3614254466572*(38.9/42.5)</f>
        <v>84.537869408822672</v>
      </c>
      <c r="G3418" s="1">
        <v>3.3098148331133417</v>
      </c>
      <c r="H3418" s="1">
        <v>6.2367844449159682</v>
      </c>
      <c r="I3418" s="1">
        <v>64.94230740821115</v>
      </c>
      <c r="J3418" s="1">
        <v>6.4016366444402117E-2</v>
      </c>
      <c r="K3418" s="1">
        <v>3.7992984278118724</v>
      </c>
      <c r="L3418" s="1">
        <v>6.1575335841791015</v>
      </c>
      <c r="M3418" s="1">
        <v>0.27166458002818461</v>
      </c>
      <c r="N3418" s="1">
        <v>2.9581839804623549</v>
      </c>
      <c r="O3418" s="1">
        <v>0.2339966060606061</v>
      </c>
      <c r="P3418" s="1">
        <v>0.15765708395459641</v>
      </c>
      <c r="Q3418" s="1">
        <v>5.2896584090852539</v>
      </c>
      <c r="R3418" s="2">
        <f t="shared" si="215"/>
        <v>265.08351235905661</v>
      </c>
      <c r="S3418" s="2">
        <f t="shared" si="214"/>
        <v>4.0209718782108705</v>
      </c>
      <c r="T3418" s="2">
        <f t="shared" si="216"/>
        <v>9.621378750730246</v>
      </c>
      <c r="U3418" s="2">
        <f t="shared" si="217"/>
        <v>278.72586298799769</v>
      </c>
    </row>
    <row r="3419" spans="1:21" x14ac:dyDescent="0.25">
      <c r="A3419">
        <v>4685853</v>
      </c>
      <c r="B3419">
        <v>55</v>
      </c>
      <c r="C3419" s="1">
        <f>8.6140379465932*(10.3/7.3)</f>
        <v>12.154053541083554</v>
      </c>
      <c r="D3419" s="1">
        <f>12.2510620977071*(10.3/7.3)</f>
        <v>17.285745151559293</v>
      </c>
      <c r="E3419" s="1">
        <f>43.1310630203458*(10.3/7.3)</f>
        <v>60.856157412268715</v>
      </c>
      <c r="F3419" s="1">
        <f>83.8114856965257*(38.9/42.5)</f>
        <v>76.712159849290614</v>
      </c>
      <c r="G3419" s="1">
        <v>3.0531653341392642</v>
      </c>
      <c r="H3419" s="1">
        <v>5.9937698411603062</v>
      </c>
      <c r="I3419" s="1">
        <v>59.354913273434136</v>
      </c>
      <c r="J3419" s="1">
        <v>6.1377093707412268E-2</v>
      </c>
      <c r="K3419" s="1">
        <v>3.6353105603340041</v>
      </c>
      <c r="L3419" s="1">
        <v>5.768954181889864</v>
      </c>
      <c r="M3419" s="1">
        <v>0.25427933608783199</v>
      </c>
      <c r="N3419" s="1">
        <v>3.2278251670368134</v>
      </c>
      <c r="O3419" s="1">
        <v>0.22259199999999998</v>
      </c>
      <c r="P3419" s="1">
        <v>0.15029528674250059</v>
      </c>
      <c r="Q3419" s="1">
        <v>4.8794879769348993</v>
      </c>
      <c r="R3419" s="2">
        <f t="shared" si="215"/>
        <v>240.28945237987082</v>
      </c>
      <c r="S3419" s="2">
        <f t="shared" si="214"/>
        <v>3.8469829407839171</v>
      </c>
      <c r="T3419" s="2">
        <f t="shared" si="216"/>
        <v>9.4736506850145101</v>
      </c>
      <c r="U3419" s="2">
        <f t="shared" si="217"/>
        <v>253.61008600566927</v>
      </c>
    </row>
    <row r="3420" spans="1:21" x14ac:dyDescent="0.25">
      <c r="A3420">
        <v>4685861</v>
      </c>
      <c r="B3420">
        <v>55</v>
      </c>
      <c r="C3420" s="1">
        <f>8.79565901047711*(10.3/7.3)</f>
        <v>12.410313398344421</v>
      </c>
      <c r="D3420" s="1">
        <f>12.293912696732*(10.3/7.3)</f>
        <v>17.3462055857999</v>
      </c>
      <c r="E3420" s="1">
        <f>43.2852638737321*(10.3/7.3)</f>
        <v>61.073728479375433</v>
      </c>
      <c r="F3420" s="1">
        <f>85.4671731022585*(38.9/42.5)</f>
        <v>78.227600792420134</v>
      </c>
      <c r="G3420" s="1">
        <v>3.1669955124999918</v>
      </c>
      <c r="H3420" s="1">
        <v>6.3704760678416115</v>
      </c>
      <c r="I3420" s="1">
        <v>61.125661806994273</v>
      </c>
      <c r="J3420" s="1">
        <v>6.5769041043610962E-2</v>
      </c>
      <c r="K3420" s="1">
        <v>3.8381792505742847</v>
      </c>
      <c r="L3420" s="1">
        <v>6.1505006055381264</v>
      </c>
      <c r="M3420" s="1">
        <v>0.2630414475573491</v>
      </c>
      <c r="N3420" s="1">
        <v>3.0449950133964596</v>
      </c>
      <c r="O3420" s="1">
        <v>0.22939927272727284</v>
      </c>
      <c r="P3420" s="1">
        <v>0.15444921372963508</v>
      </c>
      <c r="Q3420" s="1">
        <v>5.061408353310493</v>
      </c>
      <c r="R3420" s="2">
        <f t="shared" si="215"/>
        <v>244.78238999658626</v>
      </c>
      <c r="S3420" s="2">
        <f t="shared" si="214"/>
        <v>4.0583975053475312</v>
      </c>
      <c r="T3420" s="2">
        <f t="shared" si="216"/>
        <v>9.6879363392192079</v>
      </c>
      <c r="U3420" s="2">
        <f t="shared" si="217"/>
        <v>258.52872384115301</v>
      </c>
    </row>
    <row r="3421" spans="1:21" x14ac:dyDescent="0.25">
      <c r="A3421">
        <v>4685869</v>
      </c>
      <c r="B3421">
        <v>55</v>
      </c>
      <c r="C3421" s="1">
        <f>8.36296927494824*(10.3/7.3)</f>
        <v>11.799805963283138</v>
      </c>
      <c r="D3421" s="1">
        <f>11.5206937562572*(10.3/7.3)</f>
        <v>16.255225436910795</v>
      </c>
      <c r="E3421" s="1">
        <f>40.5640847327472*(10.3/7.3)</f>
        <v>57.234256540725575</v>
      </c>
      <c r="F3421" s="1">
        <f>81.2451351127809*(38.9/42.5)</f>
        <v>74.363194256168853</v>
      </c>
      <c r="G3421" s="1">
        <v>3.0558379535797799</v>
      </c>
      <c r="H3421" s="1">
        <v>6.228172969889691</v>
      </c>
      <c r="I3421" s="1">
        <v>58.587374394825027</v>
      </c>
      <c r="J3421" s="1">
        <v>6.4005411263792542E-2</v>
      </c>
      <c r="K3421" s="1">
        <v>3.7758219269094804</v>
      </c>
      <c r="L3421" s="1">
        <v>5.9424719909575678</v>
      </c>
      <c r="M3421" s="1">
        <v>0.2536520761988787</v>
      </c>
      <c r="N3421" s="1">
        <v>3.0873717937994054</v>
      </c>
      <c r="O3421" s="1">
        <v>0.2222109090909091</v>
      </c>
      <c r="P3421" s="1">
        <v>0.15002600228764251</v>
      </c>
      <c r="Q3421" s="1">
        <v>4.8837592865430342</v>
      </c>
      <c r="R3421" s="2">
        <f t="shared" si="215"/>
        <v>232.40762680192591</v>
      </c>
      <c r="S3421" s="2">
        <f t="shared" si="214"/>
        <v>3.9898533404609156</v>
      </c>
      <c r="T3421" s="2">
        <f t="shared" si="216"/>
        <v>9.5057067700467623</v>
      </c>
      <c r="U3421" s="2">
        <f t="shared" si="217"/>
        <v>245.9031869124336</v>
      </c>
    </row>
    <row r="3422" spans="1:21" x14ac:dyDescent="0.25">
      <c r="A3422">
        <v>4685877</v>
      </c>
      <c r="B3422">
        <v>55</v>
      </c>
      <c r="C3422" s="1">
        <f>8.3475445195227*(10.3/7.3)</f>
        <v>11.778042267271754</v>
      </c>
      <c r="D3422" s="1">
        <f>11.2960736740766*(10.3/7.3)</f>
        <v>15.938295731916295</v>
      </c>
      <c r="E3422" s="1">
        <f>39.7770330417718*(10.3/7.3)</f>
        <v>56.123758949349309</v>
      </c>
      <c r="F3422" s="1">
        <f>80.9610514994439*(38.9/42.5)</f>
        <v>74.103174195961614</v>
      </c>
      <c r="G3422" s="1">
        <v>3.0943860996707486</v>
      </c>
      <c r="H3422" s="1">
        <v>6.2632906871954237</v>
      </c>
      <c r="I3422" s="1">
        <v>58.943251043714568</v>
      </c>
      <c r="J3422" s="1">
        <v>6.4892626594847291E-2</v>
      </c>
      <c r="K3422" s="1">
        <v>3.7929849229168715</v>
      </c>
      <c r="L3422" s="1">
        <v>5.9252743878365726</v>
      </c>
      <c r="M3422" s="1">
        <v>0.24977886750883002</v>
      </c>
      <c r="N3422" s="1">
        <v>3.1036095178216891</v>
      </c>
      <c r="O3422" s="1">
        <v>0.21813915151515142</v>
      </c>
      <c r="P3422" s="1">
        <v>0.1477770092685213</v>
      </c>
      <c r="Q3422" s="1">
        <v>4.9453659127158138</v>
      </c>
      <c r="R3422" s="2">
        <f t="shared" si="215"/>
        <v>231.18956488779551</v>
      </c>
      <c r="S3422" s="2">
        <f t="shared" si="214"/>
        <v>4.0056545587802406</v>
      </c>
      <c r="T3422" s="2">
        <f t="shared" si="216"/>
        <v>9.4968019246822433</v>
      </c>
      <c r="U3422" s="2">
        <f t="shared" si="217"/>
        <v>244.69202137125799</v>
      </c>
    </row>
    <row r="3423" spans="1:21" x14ac:dyDescent="0.25">
      <c r="A3423">
        <v>4685885</v>
      </c>
      <c r="B3423">
        <v>53</v>
      </c>
      <c r="C3423" s="1">
        <f>7.62480816939338*(10.3/7.3)</f>
        <v>10.758290978733129</v>
      </c>
      <c r="D3423" s="1">
        <f>10.1732589915996*(10.3/7.3)</f>
        <v>14.354050358010396</v>
      </c>
      <c r="E3423" s="1">
        <f>35.8221811169282*(10.3/7.3)</f>
        <v>50.543625411556171</v>
      </c>
      <c r="F3423" s="1">
        <f>74.0421365582768*(38.9/42.5)</f>
        <v>67.770332049811003</v>
      </c>
      <c r="G3423" s="1">
        <v>2.8739456066492983</v>
      </c>
      <c r="H3423" s="1">
        <v>5.9190898114496404</v>
      </c>
      <c r="I3423" s="1">
        <v>54.338375810110229</v>
      </c>
      <c r="J3423" s="1">
        <v>6.0575336354463445E-2</v>
      </c>
      <c r="K3423" s="1">
        <v>3.533431726107187</v>
      </c>
      <c r="L3423" s="1">
        <v>5.3339028263896342</v>
      </c>
      <c r="M3423" s="1">
        <v>0.22752159670683469</v>
      </c>
      <c r="N3423" s="1">
        <v>3.1195323274375504</v>
      </c>
      <c r="O3423" s="1">
        <v>0.19986616352201256</v>
      </c>
      <c r="P3423" s="1">
        <v>0.13754254910208796</v>
      </c>
      <c r="Q3423" s="1">
        <v>4.5930637549189743</v>
      </c>
      <c r="R3423" s="2">
        <f t="shared" si="215"/>
        <v>211.15077378123885</v>
      </c>
      <c r="S3423" s="2">
        <f t="shared" si="214"/>
        <v>3.7315496115637385</v>
      </c>
      <c r="T3423" s="2">
        <f t="shared" si="216"/>
        <v>8.8808229140560311</v>
      </c>
      <c r="U3423" s="2">
        <f t="shared" si="217"/>
        <v>223.76314630685863</v>
      </c>
    </row>
    <row r="3424" spans="1:21" x14ac:dyDescent="0.25">
      <c r="A3424">
        <v>4685893</v>
      </c>
      <c r="B3424">
        <v>55</v>
      </c>
      <c r="C3424" s="1">
        <f>6.92260126830905*(10.3/7.3)</f>
        <v>9.7675058991209927</v>
      </c>
      <c r="D3424" s="1">
        <f>9.14026913266463*(10.3/7.3)</f>
        <v>12.896544118691187</v>
      </c>
      <c r="E3424" s="1">
        <f>32.1774048243974*(10.3/7.3)</f>
        <v>45.400995848122392</v>
      </c>
      <c r="F3424" s="1">
        <f>67.6074056365269*(38.9/42.5)</f>
        <v>61.880660688491673</v>
      </c>
      <c r="G3424" s="1">
        <v>2.6686202654423146</v>
      </c>
      <c r="H3424" s="1">
        <v>5.6234764150304803</v>
      </c>
      <c r="I3424" s="1">
        <v>49.957264613255226</v>
      </c>
      <c r="J3424" s="1">
        <v>5.5323353481568451E-2</v>
      </c>
      <c r="K3424" s="1">
        <v>3.2914522167034579</v>
      </c>
      <c r="L3424" s="1">
        <v>4.8092066332923622</v>
      </c>
      <c r="M3424" s="1">
        <v>0.20746783810147518</v>
      </c>
      <c r="N3424" s="1">
        <v>3.9013417649554305</v>
      </c>
      <c r="O3424" s="1">
        <v>0.18325915151515157</v>
      </c>
      <c r="P3424" s="1">
        <v>0.12726646406113981</v>
      </c>
      <c r="Q3424" s="1">
        <v>4.2649182324420609</v>
      </c>
      <c r="R3424" s="2">
        <f t="shared" si="215"/>
        <v>192.45998608059631</v>
      </c>
      <c r="S3424" s="2">
        <f t="shared" si="214"/>
        <v>3.4740420342461662</v>
      </c>
      <c r="T3424" s="2">
        <f t="shared" si="216"/>
        <v>9.1012753878644208</v>
      </c>
      <c r="U3424" s="2">
        <f t="shared" si="217"/>
        <v>205.03530350270691</v>
      </c>
    </row>
    <row r="3425" spans="1:21" x14ac:dyDescent="0.25">
      <c r="A3425">
        <v>4685901</v>
      </c>
      <c r="B3425">
        <v>34</v>
      </c>
      <c r="C3425" s="1">
        <f>7.94639012351753*(10.3/7.3)</f>
        <v>11.212029900305563</v>
      </c>
      <c r="D3425" s="1">
        <f>10.3977814024672*(10.3/7.3)</f>
        <v>14.670842252796151</v>
      </c>
      <c r="E3425" s="1">
        <f>36.5459992893465*(10.3/7.3)</f>
        <v>51.564903106886128</v>
      </c>
      <c r="F3425" s="1">
        <f>80.4555658014796*(38.9/42.5)</f>
        <v>73.640506110060102</v>
      </c>
      <c r="G3425" s="1">
        <v>3.3340640635587246</v>
      </c>
      <c r="H3425" s="1">
        <v>6.4763178140865385</v>
      </c>
      <c r="I3425" s="1">
        <v>60.188667685969293</v>
      </c>
      <c r="J3425" s="1">
        <v>5.860039108873278E-2</v>
      </c>
      <c r="K3425" s="1">
        <v>3.4696296462775287</v>
      </c>
      <c r="L3425" s="1">
        <v>5.1801472973179239</v>
      </c>
      <c r="M3425" s="1">
        <v>0.21471579425972848</v>
      </c>
      <c r="N3425" s="1">
        <v>2.839693508135662</v>
      </c>
      <c r="O3425" s="1">
        <v>0.18895215686274511</v>
      </c>
      <c r="P3425" s="1">
        <v>0.13060574390936597</v>
      </c>
      <c r="Q3425" s="1">
        <v>5.328412886966003</v>
      </c>
      <c r="R3425" s="2">
        <f t="shared" si="215"/>
        <v>226.41574382062848</v>
      </c>
      <c r="S3425" s="2">
        <f t="shared" si="214"/>
        <v>3.6588357812756271</v>
      </c>
      <c r="T3425" s="2">
        <f t="shared" si="216"/>
        <v>8.4235087565760605</v>
      </c>
      <c r="U3425" s="2">
        <f t="shared" si="217"/>
        <v>238.49808835848017</v>
      </c>
    </row>
    <row r="3426" spans="1:21" x14ac:dyDescent="0.25">
      <c r="A3426">
        <v>4685909</v>
      </c>
      <c r="B3426">
        <v>6</v>
      </c>
      <c r="C3426" s="1">
        <f>6.45830164666163*(10.3/7.3)</f>
        <v>9.1123982137828516</v>
      </c>
      <c r="D3426" s="1">
        <f>8.97763171397147*(10.3/7.3)</f>
        <v>12.667069404644678</v>
      </c>
      <c r="E3426" s="1">
        <f>31.2469795619604*(10.3/7.3)</f>
        <v>44.08820403947842</v>
      </c>
      <c r="F3426" s="1">
        <f>80.3187187481275*(38.9/42.5)</f>
        <v>73.51525080710968</v>
      </c>
      <c r="G3426" s="1">
        <v>3.8486695352007545</v>
      </c>
      <c r="H3426" s="1">
        <v>9.6988009864484095</v>
      </c>
      <c r="I3426" s="1">
        <v>60.876481609577354</v>
      </c>
      <c r="J3426" s="1">
        <v>5.2595924971974094E-2</v>
      </c>
      <c r="K3426" s="1">
        <v>3.1907932453288459</v>
      </c>
      <c r="L3426" s="1">
        <v>4.4672285454611513</v>
      </c>
      <c r="M3426" s="1">
        <v>0.19189048747935555</v>
      </c>
      <c r="N3426" s="1">
        <v>2.5320040820066829</v>
      </c>
      <c r="O3426" s="1">
        <v>0.16860444444444445</v>
      </c>
      <c r="P3426" s="1">
        <v>0.1199631664488111</v>
      </c>
      <c r="Q3426" s="1">
        <v>6.1508417229235866</v>
      </c>
      <c r="R3426" s="2">
        <f t="shared" si="215"/>
        <v>219.95771631916574</v>
      </c>
      <c r="S3426" s="2">
        <f t="shared" si="214"/>
        <v>3.3633523367496312</v>
      </c>
      <c r="T3426" s="2">
        <f t="shared" si="216"/>
        <v>7.3597275593916338</v>
      </c>
      <c r="U3426" s="2">
        <f t="shared" si="217"/>
        <v>230.68079621530703</v>
      </c>
    </row>
    <row r="3427" spans="1:21" x14ac:dyDescent="0.25">
      <c r="A3427">
        <v>4685925</v>
      </c>
      <c r="B3427">
        <v>14</v>
      </c>
      <c r="C3427" s="1">
        <f>5.294151594323*(10.3/7.3)</f>
        <v>7.4698303317160075</v>
      </c>
      <c r="D3427" s="1">
        <f>7.36906529403018*(10.3/7.3)</f>
        <v>10.397448291576829</v>
      </c>
      <c r="E3427" s="1">
        <f>25.6775458209367*(10.3/7.3)</f>
        <v>36.229961911732595</v>
      </c>
      <c r="F3427" s="1">
        <f>64.439945865893*(38.9/42.5)</f>
        <v>58.981503392546777</v>
      </c>
      <c r="G3427" s="1">
        <v>3.0318484768915894</v>
      </c>
      <c r="H3427" s="1">
        <v>9.2298085978171684</v>
      </c>
      <c r="I3427" s="1">
        <v>48.610832370951002</v>
      </c>
      <c r="J3427" s="1">
        <v>4.6868004014372841E-2</v>
      </c>
      <c r="K3427" s="1">
        <v>3.249713289730876</v>
      </c>
      <c r="L3427" s="1">
        <v>4.0474311546698223</v>
      </c>
      <c r="M3427" s="1">
        <v>0.16967624928011049</v>
      </c>
      <c r="N3427" s="1">
        <v>2.1681123656023824</v>
      </c>
      <c r="O3427" s="1">
        <v>0.15279619047619047</v>
      </c>
      <c r="P3427" s="1">
        <v>0.11143727836702529</v>
      </c>
      <c r="Q3427" s="1">
        <v>4.8454199402377052</v>
      </c>
      <c r="R3427" s="2">
        <f t="shared" si="215"/>
        <v>178.79665331346968</v>
      </c>
      <c r="S3427" s="2">
        <f t="shared" si="214"/>
        <v>3.4080185721122742</v>
      </c>
      <c r="T3427" s="2">
        <f t="shared" si="216"/>
        <v>6.5380159600285053</v>
      </c>
      <c r="U3427" s="2">
        <f t="shared" si="217"/>
        <v>188.74268784561045</v>
      </c>
    </row>
    <row r="3428" spans="1:21" x14ac:dyDescent="0.25">
      <c r="A3428">
        <v>4685933</v>
      </c>
      <c r="B3428">
        <v>1</v>
      </c>
      <c r="C3428" s="1">
        <f>5.07822053622793*(10.3/7.3)</f>
        <v>7.1651604826229631</v>
      </c>
      <c r="D3428" s="1">
        <f>6.94574610788311*(10.3/7.3)</f>
        <v>9.8001623166022007</v>
      </c>
      <c r="E3428" s="1">
        <f>24.2150831627665*(10.3/7.3)</f>
        <v>34.166487202259532</v>
      </c>
      <c r="F3428" s="1">
        <f>61.015158645618*(38.9/42.5)</f>
        <v>55.846815795636232</v>
      </c>
      <c r="G3428" s="1">
        <v>2.8733585211228378</v>
      </c>
      <c r="H3428" s="1">
        <v>10.651661716010588</v>
      </c>
      <c r="I3428" s="1">
        <v>46.262432618389255</v>
      </c>
      <c r="J3428" s="1">
        <v>4.6446108326512275E-2</v>
      </c>
      <c r="K3428" s="1">
        <v>3.3020137804914236</v>
      </c>
      <c r="L3428" s="1">
        <v>4.0122666073446043</v>
      </c>
      <c r="M3428" s="1">
        <v>0.16816668446031219</v>
      </c>
      <c r="N3428" s="1">
        <v>2.1374224098086656</v>
      </c>
      <c r="O3428" s="1">
        <v>0.15189333333333332</v>
      </c>
      <c r="P3428" s="1">
        <v>0.11042064095878432</v>
      </c>
      <c r="Q3428" s="1">
        <v>4.5921254903789697</v>
      </c>
      <c r="R3428" s="2">
        <f t="shared" si="215"/>
        <v>171.35820414302259</v>
      </c>
      <c r="S3428" s="2">
        <f t="shared" si="214"/>
        <v>3.45888052977672</v>
      </c>
      <c r="T3428" s="2">
        <f t="shared" si="216"/>
        <v>6.4697490349469149</v>
      </c>
      <c r="U3428" s="2">
        <f t="shared" si="217"/>
        <v>181.28683370774621</v>
      </c>
    </row>
    <row r="3429" spans="1:21" x14ac:dyDescent="0.25">
      <c r="A3429">
        <v>4685941</v>
      </c>
      <c r="B3429">
        <v>17</v>
      </c>
      <c r="C3429" s="1">
        <f>5.4706551105385*(10.3/7.3)</f>
        <v>7.7188695395269287</v>
      </c>
      <c r="D3429" s="1">
        <f>7.55706140744073*(10.3/7.3)</f>
        <v>10.66270308173144</v>
      </c>
      <c r="E3429" s="1">
        <f>26.2952816529651*(10.3/7.3)</f>
        <v>37.101561784320687</v>
      </c>
      <c r="F3429" s="1">
        <f>68.3107786138915*(38.9/42.5)</f>
        <v>62.524453837185412</v>
      </c>
      <c r="G3429" s="1">
        <v>3.2967948502141953</v>
      </c>
      <c r="H3429" s="1">
        <v>11.691792817223412</v>
      </c>
      <c r="I3429" s="1">
        <v>51.952084161301968</v>
      </c>
      <c r="J3429" s="1">
        <v>4.7124521727225192E-2</v>
      </c>
      <c r="K3429" s="1">
        <v>3.1304198330603472</v>
      </c>
      <c r="L3429" s="1">
        <v>4.0177603687792347</v>
      </c>
      <c r="M3429" s="1">
        <v>0.16605761658257159</v>
      </c>
      <c r="N3429" s="1">
        <v>2.0877098934325526</v>
      </c>
      <c r="O3429" s="1">
        <v>0.14908862745098037</v>
      </c>
      <c r="P3429" s="1">
        <v>0.10880598118164021</v>
      </c>
      <c r="Q3429" s="1">
        <v>5.2688502172373033</v>
      </c>
      <c r="R3429" s="2">
        <f t="shared" si="215"/>
        <v>190.21711028874134</v>
      </c>
      <c r="S3429" s="2">
        <f t="shared" si="214"/>
        <v>3.2863503359692126</v>
      </c>
      <c r="T3429" s="2">
        <f t="shared" si="216"/>
        <v>6.4206165062453389</v>
      </c>
      <c r="U3429" s="2">
        <f t="shared" si="217"/>
        <v>199.92407713095591</v>
      </c>
    </row>
    <row r="3430" spans="1:21" x14ac:dyDescent="0.25">
      <c r="A3430">
        <v>4686181</v>
      </c>
      <c r="B3430">
        <v>55</v>
      </c>
      <c r="C3430" s="1">
        <f>4.98936525497371*(10.3/7.3)</f>
        <v>7.0397893323601712</v>
      </c>
      <c r="D3430" s="1">
        <f>5.43228143459066*(10.3/7.3)</f>
        <v>7.6647258597649071</v>
      </c>
      <c r="E3430" s="1">
        <f>19.2423221471535*(10.3/7.3)</f>
        <v>27.150125769271316</v>
      </c>
      <c r="F3430" s="1">
        <f>43.2421623982102*(38.9/42.5)</f>
        <v>39.579296877420653</v>
      </c>
      <c r="G3430" s="1">
        <v>1.7684742346075673</v>
      </c>
      <c r="H3430" s="1">
        <v>4.3170973312572709</v>
      </c>
      <c r="I3430" s="1">
        <v>34.379577694600989</v>
      </c>
      <c r="J3430" s="1">
        <v>2.5442712623236684E-2</v>
      </c>
      <c r="K3430" s="1">
        <v>1.7590213420444052</v>
      </c>
      <c r="L3430" s="1">
        <v>1.8634276115090707</v>
      </c>
      <c r="M3430" s="1">
        <v>8.5785306765096242E-2</v>
      </c>
      <c r="N3430" s="1">
        <v>1.0783415601598492</v>
      </c>
      <c r="O3430" s="1">
        <v>7.9554909090909051E-2</v>
      </c>
      <c r="P3430" s="1">
        <v>6.5325281476523736E-2</v>
      </c>
      <c r="Q3430" s="1">
        <v>2.8263286854458878</v>
      </c>
      <c r="R3430" s="2">
        <f t="shared" si="215"/>
        <v>124.72541578472878</v>
      </c>
      <c r="S3430" s="2">
        <f t="shared" si="214"/>
        <v>1.8497893361441655</v>
      </c>
      <c r="T3430" s="2">
        <f t="shared" si="216"/>
        <v>3.1071093875249254</v>
      </c>
      <c r="U3430" s="2">
        <f t="shared" si="217"/>
        <v>129.68231450839787</v>
      </c>
    </row>
    <row r="3431" spans="1:21" x14ac:dyDescent="0.25">
      <c r="A3431">
        <v>4686189</v>
      </c>
      <c r="B3431">
        <v>26</v>
      </c>
      <c r="C3431" s="1">
        <f>5.83528134739047*(10.3/7.3)</f>
        <v>8.2333421750851858</v>
      </c>
      <c r="D3431" s="1">
        <f>6.13305854908996*(10.3/7.3)</f>
        <v>8.6534935692639152</v>
      </c>
      <c r="E3431" s="1">
        <f>21.7794404626301*(10.3/7.3)</f>
        <v>30.729895447272607</v>
      </c>
      <c r="F3431" s="1">
        <f>48.1991228102838*(38.9/42.5)</f>
        <v>44.116373584000918</v>
      </c>
      <c r="G3431" s="1">
        <v>1.9245411040254596</v>
      </c>
      <c r="H3431" s="1">
        <v>4.791606987887838</v>
      </c>
      <c r="I3431" s="1">
        <v>38.698869195291941</v>
      </c>
      <c r="J3431" s="1">
        <v>2.4751260316432787E-2</v>
      </c>
      <c r="K3431" s="1">
        <v>1.7337092677446972</v>
      </c>
      <c r="L3431" s="1">
        <v>1.8388198973839722</v>
      </c>
      <c r="M3431" s="1">
        <v>8.4376161284219778E-2</v>
      </c>
      <c r="N3431" s="1">
        <v>1.0310197987644709</v>
      </c>
      <c r="O3431" s="1">
        <v>7.8957948717948714E-2</v>
      </c>
      <c r="P3431" s="1">
        <v>6.45274566291935E-2</v>
      </c>
      <c r="Q3431" s="1">
        <v>3.0757506228717415</v>
      </c>
      <c r="R3431" s="2">
        <f t="shared" si="215"/>
        <v>140.2238726856996</v>
      </c>
      <c r="S3431" s="2">
        <f t="shared" si="214"/>
        <v>1.8229879846903236</v>
      </c>
      <c r="T3431" s="2">
        <f t="shared" si="216"/>
        <v>3.0331738061506117</v>
      </c>
      <c r="U3431" s="2">
        <f t="shared" si="217"/>
        <v>145.08003447654053</v>
      </c>
    </row>
    <row r="3432" spans="1:21" x14ac:dyDescent="0.25">
      <c r="A3432">
        <v>4686213</v>
      </c>
      <c r="B3432">
        <v>2</v>
      </c>
      <c r="C3432" s="1">
        <f>4.96072445323285*(10.3/7.3)</f>
        <v>6.9993783381230594</v>
      </c>
      <c r="D3432" s="1">
        <f>5.92875135031748*(10.3/7.3)</f>
        <v>8.3652245079821963</v>
      </c>
      <c r="E3432" s="1">
        <f>20.7924261142217*(10.3/7.3)</f>
        <v>29.33725876390189</v>
      </c>
      <c r="F3432" s="1">
        <f>52.4237084459419*(38.9/42.5)</f>
        <v>47.983111965815048</v>
      </c>
      <c r="G3432" s="1">
        <v>2.4243291928592425</v>
      </c>
      <c r="H3432" s="1">
        <v>7.0188102035963809</v>
      </c>
      <c r="I3432" s="1">
        <v>41.175296075288415</v>
      </c>
      <c r="J3432" s="1">
        <v>2.8781651085212204E-2</v>
      </c>
      <c r="K3432" s="1">
        <v>2.0083256012012232</v>
      </c>
      <c r="L3432" s="1">
        <v>2.1630348439171394</v>
      </c>
      <c r="M3432" s="1">
        <v>9.6334981133528855E-2</v>
      </c>
      <c r="N3432" s="1">
        <v>1.2215007674747791</v>
      </c>
      <c r="O3432" s="1">
        <v>9.2746666666666672E-2</v>
      </c>
      <c r="P3432" s="1">
        <v>7.265200182409659E-2</v>
      </c>
      <c r="Q3432" s="1">
        <v>3.8744987100490222</v>
      </c>
      <c r="R3432" s="2">
        <f t="shared" si="215"/>
        <v>147.17790775761523</v>
      </c>
      <c r="S3432" s="2">
        <f t="shared" si="214"/>
        <v>2.1097592541105321</v>
      </c>
      <c r="T3432" s="2">
        <f t="shared" si="216"/>
        <v>3.573617259192114</v>
      </c>
      <c r="U3432" s="2">
        <f t="shared" si="217"/>
        <v>152.86128427091788</v>
      </c>
    </row>
    <row r="3433" spans="1:21" x14ac:dyDescent="0.25">
      <c r="A3433">
        <v>4697513</v>
      </c>
      <c r="B3433">
        <v>57</v>
      </c>
      <c r="C3433" s="1">
        <f>0.705731156130647*(10.3/7.3)</f>
        <v>0.99575765865009147</v>
      </c>
      <c r="D3433" s="1">
        <f>0.984087807694617*(10.3/7.3)</f>
        <v>1.3885074546924046</v>
      </c>
      <c r="E3433" s="1">
        <f>3.42070279021114*(10.3/7.3)</f>
        <v>4.8264710601609222</v>
      </c>
      <c r="F3433" s="1">
        <f>8.99781224002411*(38.9/42.5)</f>
        <v>8.2356446149867732</v>
      </c>
      <c r="G3433" s="1">
        <v>0.43872148445395148</v>
      </c>
      <c r="H3433" s="1">
        <v>1.8143955717718627</v>
      </c>
      <c r="I3433" s="1">
        <v>6.8429385705576857</v>
      </c>
      <c r="J3433" s="1">
        <v>4.860254914123336E-2</v>
      </c>
      <c r="K3433" s="1">
        <v>3.2229683425573583</v>
      </c>
      <c r="L3433" s="1">
        <v>2.4861543542303419</v>
      </c>
      <c r="M3433" s="1">
        <v>0.43414356965416856</v>
      </c>
      <c r="N3433" s="1">
        <v>1.5210226511726406</v>
      </c>
      <c r="O3433" s="1">
        <v>0.57751204678362567</v>
      </c>
      <c r="P3433" s="1">
        <v>0.27216108138088713</v>
      </c>
      <c r="Q3433" s="1">
        <v>0.70115305734649858</v>
      </c>
      <c r="R3433" s="2">
        <f t="shared" si="215"/>
        <v>25.24358947262019</v>
      </c>
      <c r="S3433" s="2">
        <f t="shared" si="214"/>
        <v>3.5437319730794785</v>
      </c>
      <c r="T3433" s="2">
        <f t="shared" si="216"/>
        <v>5.0188326218407768</v>
      </c>
      <c r="U3433" s="2">
        <f t="shared" si="217"/>
        <v>33.806154067540447</v>
      </c>
    </row>
    <row r="3434" spans="1:21" x14ac:dyDescent="0.25">
      <c r="A3434">
        <v>4697521</v>
      </c>
      <c r="B3434">
        <v>58</v>
      </c>
      <c r="C3434" s="1">
        <f>0.92992209649003*(10.3/7.3)</f>
        <v>1.3120818621708636</v>
      </c>
      <c r="D3434" s="1">
        <f>1.32566351928632*(10.3/7.3)</f>
        <v>1.8704567463902873</v>
      </c>
      <c r="E3434" s="1">
        <f>4.59366886653531*(10.3/7.3)</f>
        <v>6.4814779897690027</v>
      </c>
      <c r="F3434" s="1">
        <f>12.6078125042684*(38.9/42.5)</f>
        <v>11.539856621553877</v>
      </c>
      <c r="G3434" s="1">
        <v>0.63476797068512525</v>
      </c>
      <c r="H3434" s="1">
        <v>2.5276600936272562</v>
      </c>
      <c r="I3434" s="1">
        <v>9.611856300588757</v>
      </c>
      <c r="J3434" s="1">
        <v>6.2711186232155922E-2</v>
      </c>
      <c r="K3434" s="1">
        <v>3.8433672012721734</v>
      </c>
      <c r="L3434" s="1">
        <v>3.0691832134279027</v>
      </c>
      <c r="M3434" s="1">
        <v>0.55198098780766647</v>
      </c>
      <c r="N3434" s="1">
        <v>1.924492972322208</v>
      </c>
      <c r="O3434" s="1">
        <v>0.73246896551724094</v>
      </c>
      <c r="P3434" s="1">
        <v>0.3135846090180186</v>
      </c>
      <c r="Q3434" s="1">
        <v>1.0144693595424386</v>
      </c>
      <c r="R3434" s="2">
        <f t="shared" si="215"/>
        <v>34.992626944327604</v>
      </c>
      <c r="S3434" s="2">
        <f t="shared" si="214"/>
        <v>4.2196629965223478</v>
      </c>
      <c r="T3434" s="2">
        <f t="shared" si="216"/>
        <v>6.2781261390750176</v>
      </c>
      <c r="U3434" s="2">
        <f t="shared" si="217"/>
        <v>45.490416079924969</v>
      </c>
    </row>
    <row r="3435" spans="1:21" x14ac:dyDescent="0.25">
      <c r="A3435">
        <v>4697529</v>
      </c>
      <c r="B3435">
        <v>56</v>
      </c>
      <c r="C3435" s="1">
        <f>0.831419921910325*(10.3/7.3)</f>
        <v>1.1730993418734725</v>
      </c>
      <c r="D3435" s="1">
        <f>1.20925332071993*(10.3/7.3)</f>
        <v>1.7062067401938756</v>
      </c>
      <c r="E3435" s="1">
        <f>4.17973175299488*(10.3/7.3)</f>
        <v>5.8974297336777033</v>
      </c>
      <c r="F3435" s="1">
        <f>11.842779116103*(38.9/42.5)</f>
        <v>10.839626061562555</v>
      </c>
      <c r="G3435" s="1">
        <v>0.60998706767632827</v>
      </c>
      <c r="H3435" s="1">
        <v>2.513184170411928</v>
      </c>
      <c r="I3435" s="1">
        <v>9.039517252619909</v>
      </c>
      <c r="J3435" s="1">
        <v>6.1455532359724278E-2</v>
      </c>
      <c r="K3435" s="1">
        <v>3.6143468578356588</v>
      </c>
      <c r="L3435" s="1">
        <v>2.8101282446189151</v>
      </c>
      <c r="M3435" s="1">
        <v>0.51737380131327204</v>
      </c>
      <c r="N3435" s="1">
        <v>1.9337849731108829</v>
      </c>
      <c r="O3435" s="1">
        <v>0.64363333333333317</v>
      </c>
      <c r="P3435" s="1">
        <v>0.30291058378010111</v>
      </c>
      <c r="Q3435" s="1">
        <v>0.97486517665166694</v>
      </c>
      <c r="R3435" s="2">
        <f t="shared" si="215"/>
        <v>32.753915544667443</v>
      </c>
      <c r="S3435" s="2">
        <f t="shared" si="214"/>
        <v>3.9787129739754841</v>
      </c>
      <c r="T3435" s="2">
        <f t="shared" si="216"/>
        <v>5.9049203523764024</v>
      </c>
      <c r="U3435" s="2">
        <f t="shared" si="217"/>
        <v>42.637548871019327</v>
      </c>
    </row>
    <row r="3436" spans="1:21" x14ac:dyDescent="0.25">
      <c r="A3436">
        <v>4697681</v>
      </c>
      <c r="B3436">
        <v>49</v>
      </c>
      <c r="C3436" s="1">
        <f>1.4120501242296*(10.3/7.3)</f>
        <v>1.992344695830806</v>
      </c>
      <c r="D3436" s="1">
        <f>2.05068993114101*(10.3/7.3)</f>
        <v>2.8934392179112831</v>
      </c>
      <c r="E3436" s="1">
        <f>7.01514273413418*(10.3/7.3)</f>
        <v>9.8980781043263057</v>
      </c>
      <c r="F3436" s="1">
        <f>23.6419284694814*(38.9/42.5)</f>
        <v>21.639318057948831</v>
      </c>
      <c r="G3436" s="1">
        <v>1.3401357105497549</v>
      </c>
      <c r="H3436" s="1">
        <v>6.5281437124209596</v>
      </c>
      <c r="I3436" s="1">
        <v>18.54601362198245</v>
      </c>
      <c r="J3436" s="1">
        <v>4.4531644068051386E-2</v>
      </c>
      <c r="K3436" s="1">
        <v>3.1085970011998221</v>
      </c>
      <c r="L3436" s="1">
        <v>3.2973867952853464</v>
      </c>
      <c r="M3436" s="1">
        <v>0.77920162949654637</v>
      </c>
      <c r="N3436" s="1">
        <v>1.8567087091219303</v>
      </c>
      <c r="O3436" s="1">
        <v>0.34380299319727886</v>
      </c>
      <c r="P3436" s="1">
        <v>0.22834286971726525</v>
      </c>
      <c r="Q3436" s="1">
        <v>2.1417694004219845</v>
      </c>
      <c r="R3436" s="2">
        <f t="shared" si="215"/>
        <v>64.979242521392365</v>
      </c>
      <c r="S3436" s="2">
        <f t="shared" si="214"/>
        <v>3.3814715149851389</v>
      </c>
      <c r="T3436" s="2">
        <f t="shared" si="216"/>
        <v>6.277100127101102</v>
      </c>
      <c r="U3436" s="2">
        <f t="shared" si="217"/>
        <v>74.637814163478609</v>
      </c>
    </row>
    <row r="3437" spans="1:21" x14ac:dyDescent="0.25">
      <c r="A3437">
        <v>4697689</v>
      </c>
      <c r="B3437">
        <v>41</v>
      </c>
      <c r="C3437" s="1">
        <f>1.79251713355392*(10.3/7.3)</f>
        <v>2.529168010356905</v>
      </c>
      <c r="D3437" s="1">
        <f>2.65598810294385*(10.3/7.3)</f>
        <v>3.7474900630577652</v>
      </c>
      <c r="E3437" s="1">
        <f>9.04864894540296*(10.3/7.3)</f>
        <v>12.767271799678147</v>
      </c>
      <c r="F3437" s="1">
        <f>32.0549760968468*(38.9/42.5)</f>
        <v>29.339731062760915</v>
      </c>
      <c r="G3437" s="1">
        <v>1.8623784815226858</v>
      </c>
      <c r="H3437" s="1">
        <v>10.679435622231814</v>
      </c>
      <c r="I3437" s="1">
        <v>25.235209270868502</v>
      </c>
      <c r="J3437" s="1">
        <v>4.6184271606859534E-2</v>
      </c>
      <c r="K3437" s="1">
        <v>3.4219992125990908</v>
      </c>
      <c r="L3437" s="1">
        <v>3.6761336959674225</v>
      </c>
      <c r="M3437" s="1">
        <v>0.8713294366572033</v>
      </c>
      <c r="N3437" s="1">
        <v>2.039520736169377</v>
      </c>
      <c r="O3437" s="1">
        <v>0.36881691056910559</v>
      </c>
      <c r="P3437" s="1">
        <v>0.24291410875771208</v>
      </c>
      <c r="Q3437" s="1">
        <v>2.9764039659038395</v>
      </c>
      <c r="R3437" s="2">
        <f t="shared" si="215"/>
        <v>89.137088276380581</v>
      </c>
      <c r="S3437" s="2">
        <f t="shared" si="214"/>
        <v>3.7110975929636623</v>
      </c>
      <c r="T3437" s="2">
        <f t="shared" si="216"/>
        <v>6.9558007793631074</v>
      </c>
      <c r="U3437" s="2">
        <f t="shared" si="217"/>
        <v>99.803986648707351</v>
      </c>
    </row>
    <row r="3438" spans="1:21" x14ac:dyDescent="0.25">
      <c r="A3438">
        <v>4697697</v>
      </c>
      <c r="B3438">
        <v>1</v>
      </c>
      <c r="C3438" s="1">
        <f>1.59157405982485*(10.3/7.3)</f>
        <v>2.2456455912597146</v>
      </c>
      <c r="D3438" s="1">
        <f>2.23904651281786*(10.3/7.3)</f>
        <v>3.1592026139758791</v>
      </c>
      <c r="E3438" s="1">
        <f>7.64265307079118*(10.3/7.3)</f>
        <v>10.783469401253315</v>
      </c>
      <c r="F3438" s="1">
        <f>27.1307941433159*(38.9/42.5)</f>
        <v>24.832656286470325</v>
      </c>
      <c r="G3438" s="1">
        <v>1.5718708862751896</v>
      </c>
      <c r="H3438" s="1">
        <v>11.044674778379948</v>
      </c>
      <c r="I3438" s="1">
        <v>21.548119122659013</v>
      </c>
      <c r="J3438" s="1">
        <v>4.0259517248487892E-2</v>
      </c>
      <c r="K3438" s="1">
        <v>3.0627935453986281</v>
      </c>
      <c r="L3438" s="1">
        <v>3.3615983937407421</v>
      </c>
      <c r="M3438" s="1">
        <v>0.75978409128656998</v>
      </c>
      <c r="N3438" s="1">
        <v>1.8618811768857269</v>
      </c>
      <c r="O3438" s="1">
        <v>0.32330666666666663</v>
      </c>
      <c r="P3438" s="1">
        <v>0.21951849855391714</v>
      </c>
      <c r="Q3438" s="1">
        <v>2.5121224209877484</v>
      </c>
      <c r="R3438" s="2">
        <f t="shared" si="215"/>
        <v>77.697761101261136</v>
      </c>
      <c r="S3438" s="2">
        <f t="shared" si="214"/>
        <v>3.3225715612010331</v>
      </c>
      <c r="T3438" s="2">
        <f t="shared" si="216"/>
        <v>6.3065703285797055</v>
      </c>
      <c r="U3438" s="2">
        <f t="shared" si="217"/>
        <v>87.326902991041877</v>
      </c>
    </row>
    <row r="3439" spans="1:21" x14ac:dyDescent="0.25">
      <c r="A3439">
        <v>4697785</v>
      </c>
      <c r="B3439">
        <v>14</v>
      </c>
      <c r="C3439" s="1">
        <f>1.97990857141875*(10.3/7.3)</f>
        <v>2.7935696281661757</v>
      </c>
      <c r="D3439" s="1">
        <f>2.68758480052229*(10.3/7.3)</f>
        <v>3.7920717048465127</v>
      </c>
      <c r="E3439" s="1">
        <f>9.30055899550437*(10.3/7.3)</f>
        <v>13.122706527903427</v>
      </c>
      <c r="F3439" s="1">
        <f>27.1146976652863*(38.9/42.5)</f>
        <v>24.817923274814945</v>
      </c>
      <c r="G3439" s="1">
        <v>1.4117715063907978</v>
      </c>
      <c r="H3439" s="1">
        <v>8.957482696846947</v>
      </c>
      <c r="I3439" s="1">
        <v>21.097653198024627</v>
      </c>
      <c r="J3439" s="1">
        <v>5.1931964612630298E-2</v>
      </c>
      <c r="K3439" s="1">
        <v>3.0420937734159219</v>
      </c>
      <c r="L3439" s="1">
        <v>5.3232999963753684</v>
      </c>
      <c r="M3439" s="1">
        <v>0.51416381000998779</v>
      </c>
      <c r="N3439" s="1">
        <v>2.4450924468859121</v>
      </c>
      <c r="O3439" s="1">
        <v>0.26275809523809518</v>
      </c>
      <c r="P3439" s="1">
        <v>0.18742429018956058</v>
      </c>
      <c r="Q3439" s="1">
        <v>2.2562558321314143</v>
      </c>
      <c r="R3439" s="2">
        <f t="shared" si="215"/>
        <v>78.249434369124842</v>
      </c>
      <c r="S3439" s="2">
        <f t="shared" si="214"/>
        <v>3.2814500282181127</v>
      </c>
      <c r="T3439" s="2">
        <f t="shared" si="216"/>
        <v>8.545314348509363</v>
      </c>
      <c r="U3439" s="2">
        <f t="shared" si="217"/>
        <v>90.076198745852324</v>
      </c>
    </row>
    <row r="3440" spans="1:21" x14ac:dyDescent="0.25">
      <c r="A3440">
        <v>4697793</v>
      </c>
      <c r="B3440">
        <v>30</v>
      </c>
      <c r="C3440" s="1">
        <f>2.2338328746237*(10.3/7.3)</f>
        <v>3.1518463847430316</v>
      </c>
      <c r="D3440" s="1">
        <f>3.19283916624924*(10.3/7.3)</f>
        <v>4.5049648510092082</v>
      </c>
      <c r="E3440" s="1">
        <f>11.034865058077*(10.3/7.3)</f>
        <v>15.569741109341516</v>
      </c>
      <c r="F3440" s="1">
        <f>31.7080848090192*(38.9/42.5)</f>
        <v>29.022223507549327</v>
      </c>
      <c r="G3440" s="1">
        <v>1.6447599162235134</v>
      </c>
      <c r="H3440" s="1">
        <v>7.7907281671218414</v>
      </c>
      <c r="I3440" s="1">
        <v>24.348681979625944</v>
      </c>
      <c r="J3440" s="1">
        <v>5.6207174249617409E-2</v>
      </c>
      <c r="K3440" s="1">
        <v>3.2402643437697458</v>
      </c>
      <c r="L3440" s="1">
        <v>5.4062955029103286</v>
      </c>
      <c r="M3440" s="1">
        <v>0.53326028641676826</v>
      </c>
      <c r="N3440" s="1">
        <v>2.5668561294118515</v>
      </c>
      <c r="O3440" s="1">
        <v>0.27755911111111103</v>
      </c>
      <c r="P3440" s="1">
        <v>0.19644026131066841</v>
      </c>
      <c r="Q3440" s="1">
        <v>2.6286117382567595</v>
      </c>
      <c r="R3440" s="2">
        <f t="shared" si="215"/>
        <v>88.661557653871157</v>
      </c>
      <c r="S3440" s="2">
        <f t="shared" si="214"/>
        <v>3.4929117793300319</v>
      </c>
      <c r="T3440" s="2">
        <f t="shared" si="216"/>
        <v>8.7839710298500595</v>
      </c>
      <c r="U3440" s="2">
        <f t="shared" si="217"/>
        <v>100.93844046305125</v>
      </c>
    </row>
    <row r="3441" spans="1:21" x14ac:dyDescent="0.25">
      <c r="A3441">
        <v>4698033</v>
      </c>
      <c r="B3441">
        <v>11</v>
      </c>
      <c r="C3441" s="1">
        <f>16.679736700312*(10.3/7.3)</f>
        <v>23.534423015508697</v>
      </c>
      <c r="D3441" s="1">
        <f>23.2520152438701*(10.3/7.3)</f>
        <v>32.807637946830425</v>
      </c>
      <c r="E3441" s="1">
        <f>81.8839932549831*(10.3/7.3)</f>
        <v>115.53494938716798</v>
      </c>
      <c r="F3441" s="1">
        <f>161.283348948334*(38.9/42.5)</f>
        <v>147.62170056682837</v>
      </c>
      <c r="G3441" s="1">
        <v>5.9544790644464918</v>
      </c>
      <c r="H3441" s="1">
        <v>8.2288445933699528</v>
      </c>
      <c r="I3441" s="1">
        <v>115.37777476429962</v>
      </c>
      <c r="J3441" s="1">
        <v>5.0198643431077744E-2</v>
      </c>
      <c r="K3441" s="1">
        <v>2.9676990652146005</v>
      </c>
      <c r="L3441" s="1">
        <v>4.2410638583585216</v>
      </c>
      <c r="M3441" s="1">
        <v>0.23182166856279912</v>
      </c>
      <c r="N3441" s="1">
        <v>2.3053550962185136</v>
      </c>
      <c r="O3441" s="1">
        <v>0.19557818181818182</v>
      </c>
      <c r="P3441" s="1">
        <v>0.13955180693677779</v>
      </c>
      <c r="Q3441" s="1">
        <v>9.5162907422660918</v>
      </c>
      <c r="R3441" s="2">
        <f t="shared" si="215"/>
        <v>458.57610008071759</v>
      </c>
      <c r="S3441" s="2">
        <f t="shared" si="214"/>
        <v>3.157449515582456</v>
      </c>
      <c r="T3441" s="2">
        <f t="shared" si="216"/>
        <v>6.9738188049580163</v>
      </c>
      <c r="U3441" s="2">
        <f t="shared" si="217"/>
        <v>468.70736840125807</v>
      </c>
    </row>
    <row r="3442" spans="1:21" x14ac:dyDescent="0.25">
      <c r="A3442">
        <v>4698041</v>
      </c>
      <c r="B3442">
        <v>63</v>
      </c>
      <c r="C3442" s="1">
        <f>13.0816731199039*(10.3/7.3)</f>
        <v>18.457703169179499</v>
      </c>
      <c r="D3442" s="1">
        <f>19.3962952713743*(10.3/7.3)</f>
        <v>27.367375519884291</v>
      </c>
      <c r="E3442" s="1">
        <f>68.3773347972996*(10.3/7.3)</f>
        <v>96.477609371532353</v>
      </c>
      <c r="F3442" s="1">
        <f>122.69411852485*(38.9/42.5)</f>
        <v>112.30120495568632</v>
      </c>
      <c r="G3442" s="1">
        <v>4.0256721260351229</v>
      </c>
      <c r="H3442" s="1">
        <v>6.7250501347964908</v>
      </c>
      <c r="I3442" s="1">
        <v>83.723543416046738</v>
      </c>
      <c r="J3442" s="1">
        <v>6.2684512343184021E-2</v>
      </c>
      <c r="K3442" s="1">
        <v>3.2985105021715793</v>
      </c>
      <c r="L3442" s="1">
        <v>5.0174507511643442</v>
      </c>
      <c r="M3442" s="1">
        <v>0.25836805237762972</v>
      </c>
      <c r="N3442" s="1">
        <v>2.5090086032492001</v>
      </c>
      <c r="O3442" s="1">
        <v>0.21365671957671958</v>
      </c>
      <c r="P3442" s="1">
        <v>0.15050958656782493</v>
      </c>
      <c r="Q3442" s="1">
        <v>6.4337225758552252</v>
      </c>
      <c r="R3442" s="2">
        <f t="shared" si="215"/>
        <v>355.51188126901604</v>
      </c>
      <c r="S3442" s="2">
        <f t="shared" si="214"/>
        <v>3.5117046010825881</v>
      </c>
      <c r="T3442" s="2">
        <f t="shared" si="216"/>
        <v>7.9984841263678925</v>
      </c>
      <c r="U3442" s="2">
        <f t="shared" si="217"/>
        <v>367.02206999646654</v>
      </c>
    </row>
    <row r="3443" spans="1:21" x14ac:dyDescent="0.25">
      <c r="A3443">
        <v>4698049</v>
      </c>
      <c r="B3443">
        <v>66</v>
      </c>
      <c r="C3443" s="1">
        <f>9.82266046893979*(10.3/7.3)</f>
        <v>13.85937025069587</v>
      </c>
      <c r="D3443" s="1">
        <f>15.0399160228185*(10.3/7.3)</f>
        <v>21.220703429456254</v>
      </c>
      <c r="E3443" s="1">
        <f>52.9296282962742*(10.3/7.3)</f>
        <v>74.681530335838914</v>
      </c>
      <c r="F3443" s="1">
        <f>96.2830527352932*(38.9/42.5)</f>
        <v>88.127311797715379</v>
      </c>
      <c r="G3443" s="1">
        <v>3.2496061143791519</v>
      </c>
      <c r="H3443" s="1">
        <v>5.8074016422760648</v>
      </c>
      <c r="I3443" s="1">
        <v>65.247496608038091</v>
      </c>
      <c r="J3443" s="1">
        <v>5.0865083584825117E-2</v>
      </c>
      <c r="K3443" s="1">
        <v>3.1237960356150181</v>
      </c>
      <c r="L3443" s="1">
        <v>4.6146546732480314</v>
      </c>
      <c r="M3443" s="1">
        <v>0.23905719282055282</v>
      </c>
      <c r="N3443" s="1">
        <v>2.3074988473766349</v>
      </c>
      <c r="O3443" s="1">
        <v>0.20000323232323231</v>
      </c>
      <c r="P3443" s="1">
        <v>0.14195319165353615</v>
      </c>
      <c r="Q3443" s="1">
        <v>5.1934344293730783</v>
      </c>
      <c r="R3443" s="2">
        <f t="shared" si="215"/>
        <v>277.38685460777282</v>
      </c>
      <c r="S3443" s="2">
        <f t="shared" si="214"/>
        <v>3.3166143108533794</v>
      </c>
      <c r="T3443" s="2">
        <f t="shared" si="216"/>
        <v>7.3612139457684522</v>
      </c>
      <c r="U3443" s="2">
        <f t="shared" si="217"/>
        <v>288.06468286439463</v>
      </c>
    </row>
    <row r="3444" spans="1:21" x14ac:dyDescent="0.25">
      <c r="A3444">
        <v>4698057</v>
      </c>
      <c r="B3444">
        <v>67</v>
      </c>
      <c r="C3444" s="1">
        <f>8.95770162717594*(10.3/7.3)</f>
        <v>12.638948871220849</v>
      </c>
      <c r="D3444" s="1">
        <f>13.4362939999108*(10.3/7.3)</f>
        <v>18.958058657408433</v>
      </c>
      <c r="E3444" s="1">
        <f>47.296651353295*(10.3/7.3)</f>
        <v>66.733631361498453</v>
      </c>
      <c r="F3444" s="1">
        <f>87.3377888707377*(38.9/42.5)</f>
        <v>79.939764401686944</v>
      </c>
      <c r="G3444" s="1">
        <v>2.9998384381907561</v>
      </c>
      <c r="H3444" s="1">
        <v>5.6805152450102741</v>
      </c>
      <c r="I3444" s="1">
        <v>59.884002836242502</v>
      </c>
      <c r="J3444" s="1">
        <v>5.1118192320206514E-2</v>
      </c>
      <c r="K3444" s="1">
        <v>3.2011818294418286</v>
      </c>
      <c r="L3444" s="1">
        <v>4.7601820950293021</v>
      </c>
      <c r="M3444" s="1">
        <v>0.23880363937437685</v>
      </c>
      <c r="N3444" s="1">
        <v>2.3606400892312562</v>
      </c>
      <c r="O3444" s="1">
        <v>0.20355820895522392</v>
      </c>
      <c r="P3444" s="1">
        <v>0.14347496454594236</v>
      </c>
      <c r="Q3444" s="1">
        <v>4.7942623441404804</v>
      </c>
      <c r="R3444" s="2">
        <f t="shared" si="215"/>
        <v>251.6290221553987</v>
      </c>
      <c r="S3444" s="2">
        <f t="shared" si="214"/>
        <v>3.3957749863079778</v>
      </c>
      <c r="T3444" s="2">
        <f t="shared" si="216"/>
        <v>7.5631840325901587</v>
      </c>
      <c r="U3444" s="2">
        <f t="shared" si="217"/>
        <v>262.58798117429683</v>
      </c>
    </row>
    <row r="3445" spans="1:21" x14ac:dyDescent="0.25">
      <c r="A3445">
        <v>4698065</v>
      </c>
      <c r="B3445">
        <v>67</v>
      </c>
      <c r="C3445" s="1">
        <f>6.09713420308126*(10.3/7.3)</f>
        <v>8.6028057933886313</v>
      </c>
      <c r="D3445" s="1">
        <f>8.91953817639273*(10.3/7.3)</f>
        <v>12.585101810526734</v>
      </c>
      <c r="E3445" s="1">
        <f>31.414001723867*(10.3/7.3)</f>
        <v>44.323865446004085</v>
      </c>
      <c r="F3445" s="1">
        <f>58.6881759592678*(38.9/42.5)</f>
        <v>53.716942230953357</v>
      </c>
      <c r="G3445" s="1">
        <v>2.0385398231296068</v>
      </c>
      <c r="H3445" s="1">
        <v>4.4883906631734805</v>
      </c>
      <c r="I3445" s="1">
        <v>40.725630694291617</v>
      </c>
      <c r="J3445" s="1">
        <v>4.1349577294297481E-2</v>
      </c>
      <c r="K3445" s="1">
        <v>2.7416187449591081</v>
      </c>
      <c r="L3445" s="1">
        <v>3.9224586346293417</v>
      </c>
      <c r="M3445" s="1">
        <v>0.19404610578420176</v>
      </c>
      <c r="N3445" s="1">
        <v>1.9883877824636902</v>
      </c>
      <c r="O3445" s="1">
        <v>0.1697194029850746</v>
      </c>
      <c r="P3445" s="1">
        <v>0.12606160786148157</v>
      </c>
      <c r="Q3445" s="1">
        <v>3.2579403565998311</v>
      </c>
      <c r="R3445" s="2">
        <f t="shared" si="215"/>
        <v>169.73921681806732</v>
      </c>
      <c r="S3445" s="2">
        <f t="shared" si="214"/>
        <v>2.9090299301148872</v>
      </c>
      <c r="T3445" s="2">
        <f t="shared" si="216"/>
        <v>6.2746119258623088</v>
      </c>
      <c r="U3445" s="2">
        <f t="shared" si="217"/>
        <v>178.92285867404451</v>
      </c>
    </row>
    <row r="3446" spans="1:21" x14ac:dyDescent="0.25">
      <c r="A3446">
        <v>4698073</v>
      </c>
      <c r="B3446">
        <v>67</v>
      </c>
      <c r="C3446" s="1">
        <f>11.3290240408737*(10.3/7.3)</f>
        <v>15.984787345342362</v>
      </c>
      <c r="D3446" s="1">
        <f>14.3742594556222*(10.3/7.3)</f>
        <v>20.28148936889162</v>
      </c>
      <c r="E3446" s="1">
        <f>50.9389534845416*(10.3/7.3)</f>
        <v>71.872769985038119</v>
      </c>
      <c r="F3446" s="1">
        <f>94.495349959997*(38.9/42.5)</f>
        <v>86.491037963385452</v>
      </c>
      <c r="G3446" s="1">
        <v>3.1393859182274544</v>
      </c>
      <c r="H3446" s="1">
        <v>5.9956677019631757</v>
      </c>
      <c r="I3446" s="1">
        <v>68.863639288455147</v>
      </c>
      <c r="J3446" s="1">
        <v>5.9604726497441966E-2</v>
      </c>
      <c r="K3446" s="1">
        <v>3.6069192780187773</v>
      </c>
      <c r="L3446" s="1">
        <v>5.7023525101162758</v>
      </c>
      <c r="M3446" s="1">
        <v>0.25931416252460887</v>
      </c>
      <c r="N3446" s="1">
        <v>2.7505313678319117</v>
      </c>
      <c r="O3446" s="1">
        <v>0.22435343283582093</v>
      </c>
      <c r="P3446" s="1">
        <v>0.15436225833271064</v>
      </c>
      <c r="Q3446" s="1">
        <v>5.0172834309571215</v>
      </c>
      <c r="R3446" s="2">
        <f t="shared" si="215"/>
        <v>277.64606100226047</v>
      </c>
      <c r="S3446" s="2">
        <f t="shared" si="214"/>
        <v>3.82088626284893</v>
      </c>
      <c r="T3446" s="2">
        <f t="shared" si="216"/>
        <v>8.9365514733086169</v>
      </c>
      <c r="U3446" s="2">
        <f t="shared" si="217"/>
        <v>290.40349873841802</v>
      </c>
    </row>
    <row r="3447" spans="1:21" x14ac:dyDescent="0.25">
      <c r="A3447">
        <v>4698081</v>
      </c>
      <c r="B3447">
        <v>67</v>
      </c>
      <c r="C3447" s="1">
        <f>9.2242004584772*(10.3/7.3)</f>
        <v>13.014967770180158</v>
      </c>
      <c r="D3447" s="1">
        <f>13.2114153245637*(10.3/7.3)</f>
        <v>18.640764088083053</v>
      </c>
      <c r="E3447" s="1">
        <f>46.5085305277781*(10.3/7.3)</f>
        <v>65.621625265221112</v>
      </c>
      <c r="F3447" s="1">
        <f>89.8985135880958*(38.9/42.5)</f>
        <v>82.283580672398273</v>
      </c>
      <c r="G3447" s="1">
        <v>3.2569939849464675</v>
      </c>
      <c r="H3447" s="1">
        <v>6.2047833395626881</v>
      </c>
      <c r="I3447" s="1">
        <v>63.428633470226409</v>
      </c>
      <c r="J3447" s="1">
        <v>6.4070350129217815E-2</v>
      </c>
      <c r="K3447" s="1">
        <v>3.7890317500499155</v>
      </c>
      <c r="L3447" s="1">
        <v>6.095699353918941</v>
      </c>
      <c r="M3447" s="1">
        <v>0.26879472602040072</v>
      </c>
      <c r="N3447" s="1">
        <v>2.9699080166849323</v>
      </c>
      <c r="O3447" s="1">
        <v>0.23226189054726359</v>
      </c>
      <c r="P3447" s="1">
        <v>0.15682030890086218</v>
      </c>
      <c r="Q3447" s="1">
        <v>5.2052415284532669</v>
      </c>
      <c r="R3447" s="2">
        <f t="shared" si="215"/>
        <v>257.65659011907138</v>
      </c>
      <c r="S3447" s="2">
        <f t="shared" si="214"/>
        <v>4.0099224090799952</v>
      </c>
      <c r="T3447" s="2">
        <f t="shared" si="216"/>
        <v>9.5666639871715375</v>
      </c>
      <c r="U3447" s="2">
        <f t="shared" si="217"/>
        <v>271.2331765153229</v>
      </c>
    </row>
    <row r="3448" spans="1:21" x14ac:dyDescent="0.25">
      <c r="A3448">
        <v>4698089</v>
      </c>
      <c r="B3448">
        <v>67</v>
      </c>
      <c r="C3448" s="1">
        <f>8.90574535268179*(10.3/7.3)</f>
        <v>12.565640703098964</v>
      </c>
      <c r="D3448" s="1">
        <f>12.4646114241062*(10.3/7.3)</f>
        <v>17.587054475108708</v>
      </c>
      <c r="E3448" s="1">
        <f>43.8979594599106*(10.3/7.3)</f>
        <v>61.938216772202637</v>
      </c>
      <c r="F3448" s="1">
        <f>85.9661855556803*(38.9/42.5)</f>
        <v>78.684343955669689</v>
      </c>
      <c r="G3448" s="1">
        <v>3.1529659346459882</v>
      </c>
      <c r="H3448" s="1">
        <v>6.2221302613103378</v>
      </c>
      <c r="I3448" s="1">
        <v>61.32719940725918</v>
      </c>
      <c r="J3448" s="1">
        <v>6.4702397494845257E-2</v>
      </c>
      <c r="K3448" s="1">
        <v>3.7764943979291941</v>
      </c>
      <c r="L3448" s="1">
        <v>6.0401475342977102</v>
      </c>
      <c r="M3448" s="1">
        <v>0.26323512069552935</v>
      </c>
      <c r="N3448" s="1">
        <v>3.0973481241001797</v>
      </c>
      <c r="O3448" s="1">
        <v>0.22843701492537305</v>
      </c>
      <c r="P3448" s="1">
        <v>0.15396731158544338</v>
      </c>
      <c r="Q3448" s="1">
        <v>5.0389866535438212</v>
      </c>
      <c r="R3448" s="2">
        <f t="shared" si="215"/>
        <v>246.51653816283931</v>
      </c>
      <c r="S3448" s="2">
        <f t="shared" si="214"/>
        <v>3.9951641070094825</v>
      </c>
      <c r="T3448" s="2">
        <f t="shared" si="216"/>
        <v>9.629167794018791</v>
      </c>
      <c r="U3448" s="2">
        <f t="shared" si="217"/>
        <v>260.14087006386757</v>
      </c>
    </row>
    <row r="3449" spans="1:21" x14ac:dyDescent="0.25">
      <c r="A3449">
        <v>4698097</v>
      </c>
      <c r="B3449">
        <v>67</v>
      </c>
      <c r="C3449" s="1">
        <f>8.28286452413516*(10.3/7.3)</f>
        <v>11.686781451861934</v>
      </c>
      <c r="D3449" s="1">
        <f>11.535726601893*(10.3/7.3)</f>
        <v>16.276436164314845</v>
      </c>
      <c r="E3449" s="1">
        <f>40.6097495956104*(10.3/7.3)</f>
        <v>57.298687785587305</v>
      </c>
      <c r="F3449" s="1">
        <f>80.7873950047877*(38.9/42.5)</f>
        <v>73.944227427911599</v>
      </c>
      <c r="G3449" s="1">
        <v>3.0197600660500226</v>
      </c>
      <c r="H3449" s="1">
        <v>6.1349444320642181</v>
      </c>
      <c r="I3449" s="1">
        <v>57.954715863207909</v>
      </c>
      <c r="J3449" s="1">
        <v>6.3083393601568699E-2</v>
      </c>
      <c r="K3449" s="1">
        <v>3.7212338509575171</v>
      </c>
      <c r="L3449" s="1">
        <v>5.8294694752910043</v>
      </c>
      <c r="M3449" s="1">
        <v>0.25347023560852977</v>
      </c>
      <c r="N3449" s="1">
        <v>2.9153128259673857</v>
      </c>
      <c r="O3449" s="1">
        <v>0.22159363184079589</v>
      </c>
      <c r="P3449" s="1">
        <v>0.14966298417610382</v>
      </c>
      <c r="Q3449" s="1">
        <v>4.8261005621804065</v>
      </c>
      <c r="R3449" s="2">
        <f t="shared" si="215"/>
        <v>231.14165375317825</v>
      </c>
      <c r="S3449" s="2">
        <f t="shared" si="214"/>
        <v>3.9339802287351899</v>
      </c>
      <c r="T3449" s="2">
        <f t="shared" si="216"/>
        <v>9.2198461687077149</v>
      </c>
      <c r="U3449" s="2">
        <f t="shared" si="217"/>
        <v>244.29548015062113</v>
      </c>
    </row>
    <row r="3450" spans="1:21" x14ac:dyDescent="0.25">
      <c r="A3450">
        <v>4698105</v>
      </c>
      <c r="B3450">
        <v>67</v>
      </c>
      <c r="C3450" s="1">
        <f>8.51387377205768*(10.3/7.3)</f>
        <v>12.012726007149876</v>
      </c>
      <c r="D3450" s="1">
        <f>11.6369546825034*(10.3/7.3)</f>
        <v>16.419264825997985</v>
      </c>
      <c r="E3450" s="1">
        <f>40.9723378451152*(10.3/7.3)</f>
        <v>57.810284904751555</v>
      </c>
      <c r="F3450" s="1">
        <f>82.787581257841*(38.9/42.5)</f>
        <v>75.774986139529787</v>
      </c>
      <c r="G3450" s="1">
        <v>3.1426528089696482</v>
      </c>
      <c r="H3450" s="1">
        <v>6.3104190740201771</v>
      </c>
      <c r="I3450" s="1">
        <v>59.977125548179856</v>
      </c>
      <c r="J3450" s="1">
        <v>6.5446921425738672E-2</v>
      </c>
      <c r="K3450" s="1">
        <v>3.8197193410877821</v>
      </c>
      <c r="L3450" s="1">
        <v>5.9790046002843349</v>
      </c>
      <c r="M3450" s="1">
        <v>0.25467601546815494</v>
      </c>
      <c r="N3450" s="1">
        <v>3.1696763047135761</v>
      </c>
      <c r="O3450" s="1">
        <v>0.22258467661691561</v>
      </c>
      <c r="P3450" s="1">
        <v>0.15035450700590119</v>
      </c>
      <c r="Q3450" s="1">
        <v>5.0225044892209025</v>
      </c>
      <c r="R3450" s="2">
        <f t="shared" si="215"/>
        <v>236.46996379781979</v>
      </c>
      <c r="S3450" s="2">
        <f t="shared" si="214"/>
        <v>4.0355207695194215</v>
      </c>
      <c r="T3450" s="2">
        <f t="shared" si="216"/>
        <v>9.6259415970829814</v>
      </c>
      <c r="U3450" s="2">
        <f t="shared" si="217"/>
        <v>250.13142616442218</v>
      </c>
    </row>
    <row r="3451" spans="1:21" x14ac:dyDescent="0.25">
      <c r="A3451">
        <v>4698113</v>
      </c>
      <c r="B3451">
        <v>61</v>
      </c>
      <c r="C3451" s="1">
        <f>7.63401335460876*(10.3/7.3)</f>
        <v>10.77127911677675</v>
      </c>
      <c r="D3451" s="1">
        <f>10.2932570537687*(10.3/7.3)</f>
        <v>14.523362692303831</v>
      </c>
      <c r="E3451" s="1">
        <f>36.2411000613481*(10.3/7.3)</f>
        <v>51.134702826285626</v>
      </c>
      <c r="F3451" s="1">
        <f>74.2785077773734*(38.9/42.5)</f>
        <v>67.98668123623122</v>
      </c>
      <c r="G3451" s="1">
        <v>2.8605358962015095</v>
      </c>
      <c r="H3451" s="1">
        <v>5.899766495184033</v>
      </c>
      <c r="I3451" s="1">
        <v>54.226743790400178</v>
      </c>
      <c r="J3451" s="1">
        <v>6.0816796041450925E-2</v>
      </c>
      <c r="K3451" s="1">
        <v>3.5035922812211537</v>
      </c>
      <c r="L3451" s="1">
        <v>5.2770616468036824</v>
      </c>
      <c r="M3451" s="1">
        <v>0.22916122759915333</v>
      </c>
      <c r="N3451" s="1">
        <v>3.7762433965652793</v>
      </c>
      <c r="O3451" s="1">
        <v>0.20159387978142071</v>
      </c>
      <c r="P3451" s="1">
        <v>0.13804862288090383</v>
      </c>
      <c r="Q3451" s="1">
        <v>4.5716327108243346</v>
      </c>
      <c r="R3451" s="2">
        <f t="shared" si="215"/>
        <v>211.97470476420744</v>
      </c>
      <c r="S3451" s="2">
        <f t="shared" si="214"/>
        <v>3.7024577001435084</v>
      </c>
      <c r="T3451" s="2">
        <f t="shared" si="216"/>
        <v>9.484060150749535</v>
      </c>
      <c r="U3451" s="2">
        <f t="shared" si="217"/>
        <v>225.16122261510048</v>
      </c>
    </row>
    <row r="3452" spans="1:21" x14ac:dyDescent="0.25">
      <c r="A3452">
        <v>4698121</v>
      </c>
      <c r="B3452">
        <v>66</v>
      </c>
      <c r="C3452" s="1">
        <f>8.01725198667799*(10.3/7.3)</f>
        <v>11.312013077093596</v>
      </c>
      <c r="D3452" s="1">
        <f>10.6167960467137*(10.3/7.3)</f>
        <v>14.979862915226143</v>
      </c>
      <c r="E3452" s="1">
        <f>37.3770214708754*(10.3/7.3)</f>
        <v>52.737441253426958</v>
      </c>
      <c r="F3452" s="1">
        <f>78.2109167098288*(38.9/42.5)</f>
        <v>71.585992000290332</v>
      </c>
      <c r="G3452" s="1">
        <v>3.0745690491963504</v>
      </c>
      <c r="H3452" s="1">
        <v>6.1493667764459321</v>
      </c>
      <c r="I3452" s="1">
        <v>57.688521333995219</v>
      </c>
      <c r="J3452" s="1">
        <v>6.356486384824768E-2</v>
      </c>
      <c r="K3452" s="1">
        <v>3.6227078774572976</v>
      </c>
      <c r="L3452" s="1">
        <v>5.492402308993122</v>
      </c>
      <c r="M3452" s="1">
        <v>0.2321928252036369</v>
      </c>
      <c r="N3452" s="1">
        <v>3.4774078837163858</v>
      </c>
      <c r="O3452" s="1">
        <v>0.20421333333333339</v>
      </c>
      <c r="P3452" s="1">
        <v>0.13950200712758198</v>
      </c>
      <c r="Q3452" s="1">
        <v>4.9136948274827592</v>
      </c>
      <c r="R3452" s="2">
        <f t="shared" si="215"/>
        <v>222.44146123315733</v>
      </c>
      <c r="S3452" s="2">
        <f t="shared" si="214"/>
        <v>3.825774748433127</v>
      </c>
      <c r="T3452" s="2">
        <f t="shared" si="216"/>
        <v>9.4062163512464778</v>
      </c>
      <c r="U3452" s="2">
        <f t="shared" si="217"/>
        <v>235.67345233283694</v>
      </c>
    </row>
    <row r="3453" spans="1:21" x14ac:dyDescent="0.25">
      <c r="A3453">
        <v>4698129</v>
      </c>
      <c r="B3453">
        <v>27</v>
      </c>
      <c r="C3453" s="1">
        <f>7.85431442936586*(10.3/7.3)</f>
        <v>11.082114879790185</v>
      </c>
      <c r="D3453" s="1">
        <f>10.2645840464998*(10.3/7.3)</f>
        <v>14.482906257390132</v>
      </c>
      <c r="E3453" s="1">
        <f>36.1265798998087*(10.3/7.3)</f>
        <v>50.973119584661639</v>
      </c>
      <c r="F3453" s="1">
        <f>77.1601300679429*(38.9/42.5)</f>
        <v>70.624213168070114</v>
      </c>
      <c r="G3453" s="1">
        <v>3.0957769600175982</v>
      </c>
      <c r="H3453" s="1">
        <v>6.0733519043004147</v>
      </c>
      <c r="I3453" s="1">
        <v>57.394878146925265</v>
      </c>
      <c r="J3453" s="1">
        <v>5.6497472248889041E-2</v>
      </c>
      <c r="K3453" s="1">
        <v>3.3071532819590823</v>
      </c>
      <c r="L3453" s="1">
        <v>4.9091288022007982</v>
      </c>
      <c r="M3453" s="1">
        <v>0.20993316900304551</v>
      </c>
      <c r="N3453" s="1">
        <v>3.7258504157276686</v>
      </c>
      <c r="O3453" s="1">
        <v>0.18531950617283954</v>
      </c>
      <c r="P3453" s="1">
        <v>0.12743091211626648</v>
      </c>
      <c r="Q3453" s="1">
        <v>4.9475887488865782</v>
      </c>
      <c r="R3453" s="2">
        <f t="shared" si="215"/>
        <v>218.67394965004192</v>
      </c>
      <c r="S3453" s="2">
        <f t="shared" si="214"/>
        <v>3.4910816663242379</v>
      </c>
      <c r="T3453" s="2">
        <f t="shared" si="216"/>
        <v>9.0302318931043519</v>
      </c>
      <c r="U3453" s="2">
        <f t="shared" si="217"/>
        <v>231.19526320947051</v>
      </c>
    </row>
    <row r="3454" spans="1:21" x14ac:dyDescent="0.25">
      <c r="A3454">
        <v>4698137</v>
      </c>
      <c r="B3454">
        <v>42</v>
      </c>
      <c r="C3454" s="1">
        <f>8.16280091684204*(10.3/7.3)</f>
        <v>11.517376636092193</v>
      </c>
      <c r="D3454" s="1">
        <f>10.751615601978*(10.3/7.3)</f>
        <v>15.170087767174477</v>
      </c>
      <c r="E3454" s="1">
        <f>37.6995278118508*(10.3/7.3)</f>
        <v>53.192484446858018</v>
      </c>
      <c r="F3454" s="1">
        <f>87.0185049636772*(38.9/42.5)</f>
        <v>79.647525719695153</v>
      </c>
      <c r="G3454" s="1">
        <v>3.7813036400746745</v>
      </c>
      <c r="H3454" s="1">
        <v>7.7587688631489486</v>
      </c>
      <c r="I3454" s="1">
        <v>65.570458669987488</v>
      </c>
      <c r="J3454" s="1">
        <v>6.0909775533617302E-2</v>
      </c>
      <c r="K3454" s="1">
        <v>3.5910310099717342</v>
      </c>
      <c r="L3454" s="1">
        <v>5.3400312030596995</v>
      </c>
      <c r="M3454" s="1">
        <v>0.21894220344450102</v>
      </c>
      <c r="N3454" s="1">
        <v>2.9399974916544558</v>
      </c>
      <c r="O3454" s="1">
        <v>0.19282539682539679</v>
      </c>
      <c r="P3454" s="1">
        <v>0.13366342244013726</v>
      </c>
      <c r="Q3454" s="1">
        <v>6.0431793334526835</v>
      </c>
      <c r="R3454" s="2">
        <f t="shared" si="215"/>
        <v>242.68118507648364</v>
      </c>
      <c r="S3454" s="2">
        <f t="shared" si="214"/>
        <v>3.785604207945489</v>
      </c>
      <c r="T3454" s="2">
        <f t="shared" si="216"/>
        <v>8.6917962949840533</v>
      </c>
      <c r="U3454" s="2">
        <f t="shared" si="217"/>
        <v>255.15858557941317</v>
      </c>
    </row>
    <row r="3455" spans="1:21" x14ac:dyDescent="0.25">
      <c r="A3455">
        <v>4698161</v>
      </c>
      <c r="B3455">
        <v>3</v>
      </c>
      <c r="C3455" s="1">
        <f>4.4276772518484*(10.3/7.3)</f>
        <v>6.2472706430189762</v>
      </c>
      <c r="D3455" s="1">
        <f>6.14645682579367*(10.3/7.3)</f>
        <v>8.6723979870787353</v>
      </c>
      <c r="E3455" s="1">
        <f>21.4429711441986*(10.3/7.3)</f>
        <v>30.255151066471992</v>
      </c>
      <c r="F3455" s="1">
        <f>52.6268257503565*(38.9/42.5)</f>
        <v>48.169024039738076</v>
      </c>
      <c r="G3455" s="1">
        <v>2.4313033640270167</v>
      </c>
      <c r="H3455" s="1">
        <v>9.765982706511549</v>
      </c>
      <c r="I3455" s="1">
        <v>39.559373105005029</v>
      </c>
      <c r="J3455" s="1">
        <v>4.0225571618430142E-2</v>
      </c>
      <c r="K3455" s="1">
        <v>2.8672997444574055</v>
      </c>
      <c r="L3455" s="1">
        <v>3.484058370390589</v>
      </c>
      <c r="M3455" s="1">
        <v>0.1492021717594075</v>
      </c>
      <c r="N3455" s="1">
        <v>1.8900512856624962</v>
      </c>
      <c r="O3455" s="1">
        <v>0.13607111111111111</v>
      </c>
      <c r="P3455" s="1">
        <v>0.10237226666871184</v>
      </c>
      <c r="Q3455" s="1">
        <v>3.8856446457052818</v>
      </c>
      <c r="R3455" s="2">
        <f t="shared" si="215"/>
        <v>148.98614755755665</v>
      </c>
      <c r="S3455" s="2">
        <f t="shared" si="214"/>
        <v>3.0098975827445478</v>
      </c>
      <c r="T3455" s="2">
        <f t="shared" si="216"/>
        <v>5.6593829389236037</v>
      </c>
      <c r="U3455" s="2">
        <f t="shared" si="217"/>
        <v>157.65542807922481</v>
      </c>
    </row>
    <row r="3456" spans="1:21" x14ac:dyDescent="0.25">
      <c r="A3456">
        <v>4698177</v>
      </c>
      <c r="B3456">
        <v>6</v>
      </c>
      <c r="C3456" s="1">
        <f>5.7486784109456*(10.3/7.3)</f>
        <v>8.1111489907862584</v>
      </c>
      <c r="D3456" s="1">
        <f>7.84951570540415*(10.3/7.3)</f>
        <v>11.075344077488049</v>
      </c>
      <c r="E3456" s="1">
        <f>27.3474403224866*(10.3/7.3)</f>
        <v>38.58611442761805</v>
      </c>
      <c r="F3456" s="1">
        <f>69.9472006087719*(38.9/42.5)</f>
        <v>64.022261263087657</v>
      </c>
      <c r="G3456" s="1">
        <v>3.3316867442767979</v>
      </c>
      <c r="H3456" s="1">
        <v>12.753329858652434</v>
      </c>
      <c r="I3456" s="1">
        <v>53.199465867135302</v>
      </c>
      <c r="J3456" s="1">
        <v>4.7407901178148443E-2</v>
      </c>
      <c r="K3456" s="1">
        <v>3.0815801575113846</v>
      </c>
      <c r="L3456" s="1">
        <v>4.007165298427612</v>
      </c>
      <c r="M3456" s="1">
        <v>0.16437183604912467</v>
      </c>
      <c r="N3456" s="1">
        <v>2.0777855032938692</v>
      </c>
      <c r="O3456" s="1">
        <v>0.14712</v>
      </c>
      <c r="P3456" s="1">
        <v>0.10738035817885128</v>
      </c>
      <c r="Q3456" s="1">
        <v>5.3246135182505965</v>
      </c>
      <c r="R3456" s="2">
        <f t="shared" si="215"/>
        <v>196.40396474729513</v>
      </c>
      <c r="S3456" s="2">
        <f t="shared" si="214"/>
        <v>3.2363684168683839</v>
      </c>
      <c r="T3456" s="2">
        <f t="shared" si="216"/>
        <v>6.3964426377706065</v>
      </c>
      <c r="U3456" s="2">
        <f t="shared" si="217"/>
        <v>206.03677580193411</v>
      </c>
    </row>
    <row r="3457" spans="1:21" x14ac:dyDescent="0.25">
      <c r="A3457">
        <v>4698409</v>
      </c>
      <c r="B3457">
        <v>6</v>
      </c>
      <c r="C3457" s="1">
        <f>4.97798376485924*(10.3/7.3)</f>
        <v>7.0237305175411251</v>
      </c>
      <c r="D3457" s="1">
        <f>5.46971619478178*(10.3/7.3)</f>
        <v>7.7175447679797751</v>
      </c>
      <c r="E3457" s="1">
        <f>19.341568226668*(10.3/7.3)</f>
        <v>27.290157908860394</v>
      </c>
      <c r="F3457" s="1">
        <f>44.6964572091105*(38.9/42.5)</f>
        <v>40.910404363162307</v>
      </c>
      <c r="G3457" s="1">
        <v>1.8842779896111115</v>
      </c>
      <c r="H3457" s="1">
        <v>5.1567568625130624</v>
      </c>
      <c r="I3457" s="1">
        <v>35.559450777367566</v>
      </c>
      <c r="J3457" s="1">
        <v>2.694717266084146E-2</v>
      </c>
      <c r="K3457" s="1">
        <v>1.8225811514759449</v>
      </c>
      <c r="L3457" s="1">
        <v>1.9380264557565783</v>
      </c>
      <c r="M3457" s="1">
        <v>8.8515769478902273E-2</v>
      </c>
      <c r="N3457" s="1">
        <v>1.1454648255884698</v>
      </c>
      <c r="O3457" s="1">
        <v>8.2222222222222224E-2</v>
      </c>
      <c r="P3457" s="1">
        <v>6.7194120647716377E-2</v>
      </c>
      <c r="Q3457" s="1">
        <v>3.0114031797437888</v>
      </c>
      <c r="R3457" s="2">
        <f t="shared" si="215"/>
        <v>128.55372636677913</v>
      </c>
      <c r="S3457" s="2">
        <f t="shared" si="214"/>
        <v>1.9167224447845028</v>
      </c>
      <c r="T3457" s="2">
        <f t="shared" si="216"/>
        <v>3.2542292730461724</v>
      </c>
      <c r="U3457" s="2">
        <f t="shared" si="217"/>
        <v>133.72467808460982</v>
      </c>
    </row>
    <row r="3458" spans="1:21" x14ac:dyDescent="0.25">
      <c r="A3458">
        <v>4698417</v>
      </c>
      <c r="B3458">
        <v>29</v>
      </c>
      <c r="C3458" s="1">
        <f>5.40660526380388*(10.3/7.3)</f>
        <v>7.6284978379698583</v>
      </c>
      <c r="D3458" s="1">
        <f>5.90844917054661*(10.3/7.3)</f>
        <v>8.3365789666616568</v>
      </c>
      <c r="E3458" s="1">
        <f>20.9362820267658*(10.3/7.3)</f>
        <v>29.540233544614768</v>
      </c>
      <c r="F3458" s="1">
        <f>46.4778508944643*(38.9/42.5)</f>
        <v>42.540903524580294</v>
      </c>
      <c r="G3458" s="1">
        <v>1.8776614682468133</v>
      </c>
      <c r="H3458" s="1">
        <v>4.8602499549125628</v>
      </c>
      <c r="I3458" s="1">
        <v>36.848218675794627</v>
      </c>
      <c r="J3458" s="1">
        <v>2.6995262303423275E-2</v>
      </c>
      <c r="K3458" s="1">
        <v>1.8427197195176386</v>
      </c>
      <c r="L3458" s="1">
        <v>1.9662172933836077</v>
      </c>
      <c r="M3458" s="1">
        <v>8.9380626140097438E-2</v>
      </c>
      <c r="N3458" s="1">
        <v>1.136662777973235</v>
      </c>
      <c r="O3458" s="1">
        <v>8.3884137931034469E-2</v>
      </c>
      <c r="P3458" s="1">
        <v>6.804944483295515E-2</v>
      </c>
      <c r="Q3458" s="1">
        <v>3.0008288305314408</v>
      </c>
      <c r="R3458" s="2">
        <f t="shared" si="215"/>
        <v>134.63317280331202</v>
      </c>
      <c r="S3458" s="2">
        <f t="shared" si="214"/>
        <v>1.937764426654017</v>
      </c>
      <c r="T3458" s="2">
        <f t="shared" si="216"/>
        <v>3.2761448354279747</v>
      </c>
      <c r="U3458" s="2">
        <f t="shared" si="217"/>
        <v>139.84708206539401</v>
      </c>
    </row>
    <row r="3459" spans="1:21" x14ac:dyDescent="0.25">
      <c r="A3459">
        <v>4698449</v>
      </c>
      <c r="B3459">
        <v>17</v>
      </c>
      <c r="C3459" s="1">
        <f>5.71103593038486*(10.3/7.3)</f>
        <v>8.0580369976663135</v>
      </c>
      <c r="D3459" s="1">
        <f>6.5920736947663*(10.3/7.3)</f>
        <v>9.3011450761771126</v>
      </c>
      <c r="E3459" s="1">
        <f>23.2289487597625*(10.3/7.3)</f>
        <v>32.775092085692322</v>
      </c>
      <c r="F3459" s="1">
        <f>54.9117590473892*(38.9/42.5)</f>
        <v>50.260410045727973</v>
      </c>
      <c r="G3459" s="1">
        <v>2.3872493235283185</v>
      </c>
      <c r="H3459" s="1">
        <v>5.2538081022317229</v>
      </c>
      <c r="I3459" s="1">
        <v>43.163589211534457</v>
      </c>
      <c r="J3459" s="1">
        <v>3.2939241966623171E-2</v>
      </c>
      <c r="K3459" s="1">
        <v>2.2243311788165077</v>
      </c>
      <c r="L3459" s="1">
        <v>2.4228862723174323</v>
      </c>
      <c r="M3459" s="1">
        <v>0.10514965796123903</v>
      </c>
      <c r="N3459" s="1">
        <v>1.3363406981524484</v>
      </c>
      <c r="O3459" s="1">
        <v>0.1015686274509804</v>
      </c>
      <c r="P3459" s="1">
        <v>7.8756748473198135E-2</v>
      </c>
      <c r="Q3459" s="1">
        <v>3.8152386449082751</v>
      </c>
      <c r="R3459" s="2">
        <f t="shared" si="215"/>
        <v>155.0145694874665</v>
      </c>
      <c r="S3459" s="2">
        <f t="shared" si="214"/>
        <v>2.3360271692563286</v>
      </c>
      <c r="T3459" s="2">
        <f t="shared" si="216"/>
        <v>3.9659452558821</v>
      </c>
      <c r="U3459" s="2">
        <f t="shared" si="217"/>
        <v>161.31654191260495</v>
      </c>
    </row>
    <row r="3460" spans="1:21" x14ac:dyDescent="0.25">
      <c r="A3460">
        <v>4709741</v>
      </c>
      <c r="B3460">
        <v>7</v>
      </c>
      <c r="C3460" s="1">
        <f>0.510154905633833*(10.3/7.3)</f>
        <v>0.71980760657924381</v>
      </c>
      <c r="D3460" s="1">
        <f>0.699118334751387*(10.3/7.3)</f>
        <v>0.986427239443738</v>
      </c>
      <c r="E3460" s="1">
        <f>2.43546849021391*(10.3/7.3)</f>
        <v>3.436345951945655</v>
      </c>
      <c r="F3460" s="1">
        <f>6.22263746086271*(38.9/42.5)</f>
        <v>5.6955434641778728</v>
      </c>
      <c r="G3460" s="1">
        <v>0.29628731576498701</v>
      </c>
      <c r="H3460" s="1">
        <v>1.2823550751766049</v>
      </c>
      <c r="I3460" s="1">
        <v>4.7276261107974689</v>
      </c>
      <c r="J3460" s="1">
        <v>3.9608488557737527E-2</v>
      </c>
      <c r="K3460" s="1">
        <v>2.6902612413710245</v>
      </c>
      <c r="L3460" s="1">
        <v>2.1284561114671066</v>
      </c>
      <c r="M3460" s="1">
        <v>0.35393427450107395</v>
      </c>
      <c r="N3460" s="1">
        <v>1.2479899843215094</v>
      </c>
      <c r="O3460" s="1">
        <v>0.42668190476190476</v>
      </c>
      <c r="P3460" s="1">
        <v>0.2292970280980656</v>
      </c>
      <c r="Q3460" s="1">
        <v>0.47351854117692033</v>
      </c>
      <c r="R3460" s="2">
        <f t="shared" si="215"/>
        <v>17.617911305062488</v>
      </c>
      <c r="S3460" s="2">
        <f t="shared" si="214"/>
        <v>2.9591667580268277</v>
      </c>
      <c r="T3460" s="2">
        <f t="shared" si="216"/>
        <v>4.1570622750515946</v>
      </c>
      <c r="U3460" s="2">
        <f t="shared" si="217"/>
        <v>24.734140338140911</v>
      </c>
    </row>
    <row r="3461" spans="1:21" x14ac:dyDescent="0.25">
      <c r="A3461">
        <v>4709749</v>
      </c>
      <c r="B3461">
        <v>66</v>
      </c>
      <c r="C3461" s="1">
        <f>0.804030463367548*(10.3/7.3)</f>
        <v>1.1344539414638004</v>
      </c>
      <c r="D3461" s="1">
        <f>1.13251113979441*(10.3/7.3)</f>
        <v>1.597926676696225</v>
      </c>
      <c r="E3461" s="1">
        <f>3.93125405013818*(10.3/7.3)</f>
        <v>5.5468379063593503</v>
      </c>
      <c r="F3461" s="1">
        <f>10.5332732662928*(38.9/42.5)</f>
        <v>9.6410430602068171</v>
      </c>
      <c r="G3461" s="1">
        <v>0.5209754632754835</v>
      </c>
      <c r="H3461" s="1">
        <v>2.1323783319494947</v>
      </c>
      <c r="I3461" s="1">
        <v>8.0181020564235119</v>
      </c>
      <c r="J3461" s="1">
        <v>5.4414073490976156E-2</v>
      </c>
      <c r="K3461" s="1">
        <v>3.5400615429222015</v>
      </c>
      <c r="L3461" s="1">
        <v>2.7640825327212504</v>
      </c>
      <c r="M3461" s="1">
        <v>0.5036499345121036</v>
      </c>
      <c r="N3461" s="1">
        <v>1.7081840746643719</v>
      </c>
      <c r="O3461" s="1">
        <v>0.66728565656565642</v>
      </c>
      <c r="P3461" s="1">
        <v>0.29082828407170769</v>
      </c>
      <c r="Q3461" s="1">
        <v>0.83260918788319327</v>
      </c>
      <c r="R3461" s="2">
        <f t="shared" si="215"/>
        <v>29.424326624257876</v>
      </c>
      <c r="S3461" s="2">
        <f t="shared" si="214"/>
        <v>3.8853039004848853</v>
      </c>
      <c r="T3461" s="2">
        <f t="shared" si="216"/>
        <v>5.6432021984633822</v>
      </c>
      <c r="U3461" s="2">
        <f t="shared" si="217"/>
        <v>38.952832723206143</v>
      </c>
    </row>
    <row r="3462" spans="1:21" x14ac:dyDescent="0.25">
      <c r="A3462">
        <v>4709757</v>
      </c>
      <c r="B3462">
        <v>66</v>
      </c>
      <c r="C3462" s="1">
        <f>0.969605195218392*(10.3/7.3)</f>
        <v>1.3680730836643067</v>
      </c>
      <c r="D3462" s="1">
        <f>1.3963454275814*(10.3/7.3)</f>
        <v>1.9701860142586918</v>
      </c>
      <c r="E3462" s="1">
        <f>4.83237633854382*(10.3/7.3)</f>
        <v>6.8182844228769017</v>
      </c>
      <c r="F3462" s="1">
        <f>13.4818450606498*(38.9/42.5)</f>
        <v>12.339853479041812</v>
      </c>
      <c r="G3462" s="1">
        <v>0.68687295029855766</v>
      </c>
      <c r="H3462" s="1">
        <v>2.7222491026765923</v>
      </c>
      <c r="I3462" s="1">
        <v>10.284708756842265</v>
      </c>
      <c r="J3462" s="1">
        <v>6.446197998806924E-2</v>
      </c>
      <c r="K3462" s="1">
        <v>3.9177666702787564</v>
      </c>
      <c r="L3462" s="1">
        <v>3.1601329020210551</v>
      </c>
      <c r="M3462" s="1">
        <v>0.5807603110617392</v>
      </c>
      <c r="N3462" s="1">
        <v>1.9946188962979707</v>
      </c>
      <c r="O3462" s="1">
        <v>0.72952808080808085</v>
      </c>
      <c r="P3462" s="1">
        <v>0.31710234703463552</v>
      </c>
      <c r="Q3462" s="1">
        <v>1.0977421580113946</v>
      </c>
      <c r="R3462" s="2">
        <f t="shared" si="215"/>
        <v>37.28796996767052</v>
      </c>
      <c r="S3462" s="2">
        <f t="shared" si="214"/>
        <v>4.2993309973014613</v>
      </c>
      <c r="T3462" s="2">
        <f t="shared" si="216"/>
        <v>6.4650401901888461</v>
      </c>
      <c r="U3462" s="2">
        <f t="shared" si="217"/>
        <v>48.052341155160825</v>
      </c>
    </row>
    <row r="3463" spans="1:21" x14ac:dyDescent="0.25">
      <c r="A3463">
        <v>4709765</v>
      </c>
      <c r="B3463">
        <v>7</v>
      </c>
      <c r="C3463" s="1">
        <f>0.97319758041056*(10.3/7.3)</f>
        <v>1.3731417915381869</v>
      </c>
      <c r="D3463" s="1">
        <f>1.44834669829499*(10.3/7.3)</f>
        <v>2.043557670197035</v>
      </c>
      <c r="E3463" s="1">
        <f>4.98859475690543*(10.3/7.3)</f>
        <v>7.0387021912501213</v>
      </c>
      <c r="F3463" s="1">
        <f>14.8076252806536*(38.9/42.5)</f>
        <v>13.553332315704152</v>
      </c>
      <c r="G3463" s="1">
        <v>0.78625732796072278</v>
      </c>
      <c r="H3463" s="1">
        <v>3.0240411678134671</v>
      </c>
      <c r="I3463" s="1">
        <v>11.33962848677456</v>
      </c>
      <c r="J3463" s="1">
        <v>7.5561760164614106E-2</v>
      </c>
      <c r="K3463" s="1">
        <v>3.8122921933644514</v>
      </c>
      <c r="L3463" s="1">
        <v>3.2482551031260476</v>
      </c>
      <c r="M3463" s="1">
        <v>0.5684319008965445</v>
      </c>
      <c r="N3463" s="1">
        <v>2.160337185823765</v>
      </c>
      <c r="O3463" s="1">
        <v>0.68271238095238096</v>
      </c>
      <c r="P3463" s="1">
        <v>0.30789165728875278</v>
      </c>
      <c r="Q3463" s="1">
        <v>1.2565756382933937</v>
      </c>
      <c r="R3463" s="2">
        <f t="shared" si="215"/>
        <v>40.415236589531638</v>
      </c>
      <c r="S3463" s="2">
        <f t="shared" si="214"/>
        <v>4.1957456108178182</v>
      </c>
      <c r="T3463" s="2">
        <f t="shared" si="216"/>
        <v>6.6597365707987386</v>
      </c>
      <c r="U3463" s="2">
        <f t="shared" si="217"/>
        <v>51.270718771148196</v>
      </c>
    </row>
    <row r="3464" spans="1:21" x14ac:dyDescent="0.25">
      <c r="A3464">
        <v>4709909</v>
      </c>
      <c r="B3464">
        <v>13</v>
      </c>
      <c r="C3464" s="1">
        <f>1.7169747032926*(10.3/7.3)</f>
        <v>2.42258074574162</v>
      </c>
      <c r="D3464" s="1">
        <f>2.48187240879744*(10.3/7.3)</f>
        <v>3.5018199740566667</v>
      </c>
      <c r="E3464" s="1">
        <f>8.48537759831201*(10.3/7.3)</f>
        <v>11.972519077070377</v>
      </c>
      <c r="F3464" s="1">
        <f>28.9255751689644*(38.9/42.5)</f>
        <v>26.47540880171092</v>
      </c>
      <c r="G3464" s="1">
        <v>1.6480502944154887</v>
      </c>
      <c r="H3464" s="1">
        <v>7.5313292103088241</v>
      </c>
      <c r="I3464" s="1">
        <v>22.745379947191164</v>
      </c>
      <c r="J3464" s="1">
        <v>4.9327570077952562E-2</v>
      </c>
      <c r="K3464" s="1">
        <v>2.9509437289184763</v>
      </c>
      <c r="L3464" s="1">
        <v>3.1566032377457791</v>
      </c>
      <c r="M3464" s="1">
        <v>0.76430145292914464</v>
      </c>
      <c r="N3464" s="1">
        <v>1.7097994308011897</v>
      </c>
      <c r="O3464" s="1">
        <v>0.32941948717948721</v>
      </c>
      <c r="P3464" s="1">
        <v>0.21378969798500827</v>
      </c>
      <c r="Q3464" s="1">
        <v>2.6338703335407385</v>
      </c>
      <c r="R3464" s="2">
        <f t="shared" si="215"/>
        <v>78.930958384035804</v>
      </c>
      <c r="S3464" s="2">
        <f t="shared" si="214"/>
        <v>3.2140609969814373</v>
      </c>
      <c r="T3464" s="2">
        <f t="shared" si="216"/>
        <v>5.9601236086556009</v>
      </c>
      <c r="U3464" s="2">
        <f t="shared" si="217"/>
        <v>88.105142989672842</v>
      </c>
    </row>
    <row r="3465" spans="1:21" x14ac:dyDescent="0.25">
      <c r="A3465">
        <v>4709917</v>
      </c>
      <c r="B3465">
        <v>38</v>
      </c>
      <c r="C3465" s="1">
        <f>1.44191067275199*(10.3/7.3)</f>
        <v>2.0344767026500685</v>
      </c>
      <c r="D3465" s="1">
        <f>2.07038563607577*(10.3/7.3)</f>
        <v>2.9212290481617029</v>
      </c>
      <c r="E3465" s="1">
        <f>7.08911080846632*(10.3/7.3)</f>
        <v>10.002444017425075</v>
      </c>
      <c r="F3465" s="1">
        <f>23.7135006036343*(38.9/42.5)</f>
        <v>21.704827611326429</v>
      </c>
      <c r="G3465" s="1">
        <v>1.3381373278669622</v>
      </c>
      <c r="H3465" s="1">
        <v>6.8221268784115354</v>
      </c>
      <c r="I3465" s="1">
        <v>18.619654491126408</v>
      </c>
      <c r="J3465" s="1">
        <v>4.0956519297239397E-2</v>
      </c>
      <c r="K3465" s="1">
        <v>2.9997700499837019</v>
      </c>
      <c r="L3465" s="1">
        <v>3.2162491826709338</v>
      </c>
      <c r="M3465" s="1">
        <v>0.77240955973605097</v>
      </c>
      <c r="N3465" s="1">
        <v>1.7751678068962731</v>
      </c>
      <c r="O3465" s="1">
        <v>0.32678736842105255</v>
      </c>
      <c r="P3465" s="1">
        <v>0.2180713708179183</v>
      </c>
      <c r="Q3465" s="1">
        <v>2.138575638143549</v>
      </c>
      <c r="R3465" s="2">
        <f t="shared" si="215"/>
        <v>65.581471715111732</v>
      </c>
      <c r="S3465" s="2">
        <f t="shared" ref="S3465:S3528" si="218">J3465+K3465+P3465</f>
        <v>3.2587979400988596</v>
      </c>
      <c r="T3465" s="2">
        <f t="shared" si="216"/>
        <v>6.0906139177243102</v>
      </c>
      <c r="U3465" s="2">
        <f t="shared" si="217"/>
        <v>74.930883572934903</v>
      </c>
    </row>
    <row r="3466" spans="1:21" x14ac:dyDescent="0.25">
      <c r="A3466">
        <v>4709925</v>
      </c>
      <c r="B3466">
        <v>56</v>
      </c>
      <c r="C3466" s="1">
        <f>1.5465955350754*(10.3/7.3)</f>
        <v>2.1821827412707684</v>
      </c>
      <c r="D3466" s="1">
        <f>2.23204515646241*(10.3/7.3)</f>
        <v>3.1493239878853161</v>
      </c>
      <c r="E3466" s="1">
        <f>7.61516376548332*(10.3/7.3)</f>
        <v>10.744683121161399</v>
      </c>
      <c r="F3466" s="1">
        <f>26.8174861323224*(38.9/42.5)</f>
        <v>24.545887306996281</v>
      </c>
      <c r="G3466" s="1">
        <v>1.5510058522045695</v>
      </c>
      <c r="H3466" s="1">
        <v>8.5341178930919188</v>
      </c>
      <c r="I3466" s="1">
        <v>21.186505632761904</v>
      </c>
      <c r="J3466" s="1">
        <v>4.145003898837029E-2</v>
      </c>
      <c r="K3466" s="1">
        <v>3.1326263538636239</v>
      </c>
      <c r="L3466" s="1">
        <v>3.385112935910453</v>
      </c>
      <c r="M3466" s="1">
        <v>0.79819919411145812</v>
      </c>
      <c r="N3466" s="1">
        <v>1.8882746828747099</v>
      </c>
      <c r="O3466" s="1">
        <v>0.33458285714285718</v>
      </c>
      <c r="P3466" s="1">
        <v>0.22437661231415246</v>
      </c>
      <c r="Q3466" s="1">
        <v>2.4787764761260265</v>
      </c>
      <c r="R3466" s="2">
        <f t="shared" ref="R3466:R3529" si="219">C3466+D3466+E3466+F3466+G3466+H3466+I3466+Q3466</f>
        <v>74.37248301149819</v>
      </c>
      <c r="S3466" s="2">
        <f t="shared" si="218"/>
        <v>3.3984530051661466</v>
      </c>
      <c r="T3466" s="2">
        <f t="shared" ref="T3466:T3529" si="220">L3466+M3466+N3466+O3466</f>
        <v>6.4061696700394783</v>
      </c>
      <c r="U3466" s="2">
        <f t="shared" ref="U3466:U3529" si="221">R3466+S3466+T3466</f>
        <v>84.177105686703811</v>
      </c>
    </row>
    <row r="3467" spans="1:21" x14ac:dyDescent="0.25">
      <c r="A3467">
        <v>4709933</v>
      </c>
      <c r="B3467">
        <v>46</v>
      </c>
      <c r="C3467" s="1">
        <f>2.68684189435287*(10.3/7.3)</f>
        <v>3.7910234947718613</v>
      </c>
      <c r="D3467" s="1">
        <f>3.48395491407546*(10.3/7.3)</f>
        <v>4.9157172075311246</v>
      </c>
      <c r="E3467" s="1">
        <f>11.9308870989991*(10.3/7.3)</f>
        <v>16.833991386259015</v>
      </c>
      <c r="F3467" s="1">
        <f>42.4456012943301*(38.9/42.5)</f>
        <v>38.850209184692758</v>
      </c>
      <c r="G3467" s="1">
        <v>2.4462080308370751</v>
      </c>
      <c r="H3467" s="1">
        <v>14.263117311056861</v>
      </c>
      <c r="I3467" s="1">
        <v>34.199409186376784</v>
      </c>
      <c r="J3467" s="1">
        <v>4.3986895018524416E-2</v>
      </c>
      <c r="K3467" s="1">
        <v>3.2496085496654108</v>
      </c>
      <c r="L3467" s="1">
        <v>3.6112096839472358</v>
      </c>
      <c r="M3467" s="1">
        <v>0.85854139426508647</v>
      </c>
      <c r="N3467" s="1">
        <v>1.9805265424732448</v>
      </c>
      <c r="O3467" s="1">
        <v>0.34279652173913044</v>
      </c>
      <c r="P3467" s="1">
        <v>0.22548621786770015</v>
      </c>
      <c r="Q3467" s="1">
        <v>3.9094648894656499</v>
      </c>
      <c r="R3467" s="2">
        <f t="shared" si="219"/>
        <v>119.20914069099112</v>
      </c>
      <c r="S3467" s="2">
        <f t="shared" si="218"/>
        <v>3.5190816625516352</v>
      </c>
      <c r="T3467" s="2">
        <f t="shared" si="220"/>
        <v>6.7930741424246968</v>
      </c>
      <c r="U3467" s="2">
        <f t="shared" si="221"/>
        <v>129.52129649596745</v>
      </c>
    </row>
    <row r="3468" spans="1:21" x14ac:dyDescent="0.25">
      <c r="A3468">
        <v>4709941</v>
      </c>
      <c r="B3468">
        <v>4</v>
      </c>
      <c r="C3468" s="1">
        <f>2.1019850101916*(10.3/7.3)</f>
        <v>2.9658144664347201</v>
      </c>
      <c r="D3468" s="1">
        <f>2.98106092985139*(10.3/7.3)</f>
        <v>4.2061544626670244</v>
      </c>
      <c r="E3468" s="1">
        <f>10.1383871409645*(10.3/7.3)</f>
        <v>14.304847609854063</v>
      </c>
      <c r="F3468" s="1">
        <f>37.7450090051093*(38.9/42.5)</f>
        <v>34.547784712911849</v>
      </c>
      <c r="G3468" s="1">
        <v>2.2338806725084948</v>
      </c>
      <c r="H3468" s="1">
        <v>12.569699823813188</v>
      </c>
      <c r="I3468" s="1">
        <v>30.116642543196338</v>
      </c>
      <c r="J3468" s="1">
        <v>4.1356385419728844E-2</v>
      </c>
      <c r="K3468" s="1">
        <v>3.0247974621802562</v>
      </c>
      <c r="L3468" s="1">
        <v>3.4157691110565578</v>
      </c>
      <c r="M3468" s="1">
        <v>0.77580780032001395</v>
      </c>
      <c r="N3468" s="1">
        <v>2.0616939169351647</v>
      </c>
      <c r="O3468" s="1">
        <v>0.31531999999999999</v>
      </c>
      <c r="P3468" s="1">
        <v>0.21018825620700798</v>
      </c>
      <c r="Q3468" s="1">
        <v>3.5701289286665472</v>
      </c>
      <c r="R3468" s="2">
        <f t="shared" si="219"/>
        <v>104.51495322005222</v>
      </c>
      <c r="S3468" s="2">
        <f t="shared" si="218"/>
        <v>3.2763421038069933</v>
      </c>
      <c r="T3468" s="2">
        <f t="shared" si="220"/>
        <v>6.568590828311736</v>
      </c>
      <c r="U3468" s="2">
        <f t="shared" si="221"/>
        <v>114.35988615217096</v>
      </c>
    </row>
    <row r="3469" spans="1:21" x14ac:dyDescent="0.25">
      <c r="A3469">
        <v>4710021</v>
      </c>
      <c r="B3469">
        <v>38</v>
      </c>
      <c r="C3469" s="1">
        <f>2.40746434461546*(10.3/7.3)</f>
        <v>3.3968332533615451</v>
      </c>
      <c r="D3469" s="1">
        <f>3.21096343162379*(10.3/7.3)</f>
        <v>4.5305374446198732</v>
      </c>
      <c r="E3469" s="1">
        <f>11.1367566315172*(10.3/7.3)</f>
        <v>15.713505932140738</v>
      </c>
      <c r="F3469" s="1">
        <f>31.6051390114637*(38.9/42.5)</f>
        <v>28.927997824610294</v>
      </c>
      <c r="G3469" s="1">
        <v>1.6149300402462627</v>
      </c>
      <c r="H3469" s="1">
        <v>8.839611611307598</v>
      </c>
      <c r="I3469" s="1">
        <v>24.585682040939588</v>
      </c>
      <c r="J3469" s="1">
        <v>5.2641185812051107E-2</v>
      </c>
      <c r="K3469" s="1">
        <v>3.1271319233883688</v>
      </c>
      <c r="L3469" s="1">
        <v>5.2580036209378278</v>
      </c>
      <c r="M3469" s="1">
        <v>0.54211331094989157</v>
      </c>
      <c r="N3469" s="1">
        <v>2.467134830767725</v>
      </c>
      <c r="O3469" s="1">
        <v>0.27167578947368426</v>
      </c>
      <c r="P3469" s="1">
        <v>0.19150169776883097</v>
      </c>
      <c r="Q3469" s="1">
        <v>2.5809384204848973</v>
      </c>
      <c r="R3469" s="2">
        <f t="shared" si="219"/>
        <v>90.190036567710791</v>
      </c>
      <c r="S3469" s="2">
        <f t="shared" si="218"/>
        <v>3.3712748069692506</v>
      </c>
      <c r="T3469" s="2">
        <f t="shared" si="220"/>
        <v>8.5389275521291292</v>
      </c>
      <c r="U3469" s="2">
        <f t="shared" si="221"/>
        <v>102.10023892680917</v>
      </c>
    </row>
    <row r="3470" spans="1:21" x14ac:dyDescent="0.25">
      <c r="A3470">
        <v>4710029</v>
      </c>
      <c r="B3470">
        <v>45</v>
      </c>
      <c r="C3470" s="1">
        <f>2.42579182362538*(10.3/7.3)</f>
        <v>3.4226925730604636</v>
      </c>
      <c r="D3470" s="1">
        <f>3.63617984213603*(10.3/7.3)</f>
        <v>5.1305003252056256</v>
      </c>
      <c r="E3470" s="1">
        <f>12.5194849010507*(10.3/7.3)</f>
        <v>17.664478696003094</v>
      </c>
      <c r="F3470" s="1">
        <f>37.2296234457433*(38.9/42.5)</f>
        <v>34.076055342103835</v>
      </c>
      <c r="G3470" s="1">
        <v>1.9802115885633795</v>
      </c>
      <c r="H3470" s="1">
        <v>9.9235611632374194</v>
      </c>
      <c r="I3470" s="1">
        <v>28.479215506973979</v>
      </c>
      <c r="J3470" s="1">
        <v>6.4003542539713618E-2</v>
      </c>
      <c r="K3470" s="1">
        <v>3.7021283995864893</v>
      </c>
      <c r="L3470" s="1">
        <v>6.2495884010707972</v>
      </c>
      <c r="M3470" s="1">
        <v>0.61052589683435377</v>
      </c>
      <c r="N3470" s="1">
        <v>2.9380446631507766</v>
      </c>
      <c r="O3470" s="1">
        <v>0.31635555555555561</v>
      </c>
      <c r="P3470" s="1">
        <v>0.21958075473357469</v>
      </c>
      <c r="Q3470" s="1">
        <v>3.1647217168821151</v>
      </c>
      <c r="R3470" s="2">
        <f t="shared" si="219"/>
        <v>103.84143691202992</v>
      </c>
      <c r="S3470" s="2">
        <f t="shared" si="218"/>
        <v>3.9857126968597778</v>
      </c>
      <c r="T3470" s="2">
        <f t="shared" si="220"/>
        <v>10.114514516611482</v>
      </c>
      <c r="U3470" s="2">
        <f t="shared" si="221"/>
        <v>117.94166412550118</v>
      </c>
    </row>
    <row r="3471" spans="1:21" x14ac:dyDescent="0.25">
      <c r="A3471">
        <v>4710261</v>
      </c>
      <c r="B3471">
        <v>20</v>
      </c>
      <c r="C3471" s="1">
        <f>26.4559358265204*(10.3/7.3)</f>
        <v>37.3282382209809</v>
      </c>
      <c r="D3471" s="1">
        <f>32.1286408949488*(10.3/7.3)</f>
        <v>45.332191947667511</v>
      </c>
      <c r="E3471" s="1">
        <f>114.077836157535*(10.3/7.3)</f>
        <v>160.95913868802842</v>
      </c>
      <c r="F3471" s="1">
        <f>211.88104858072*(38.9/42.5)</f>
        <v>193.93347740682344</v>
      </c>
      <c r="G3471" s="1">
        <v>6.969986665073213</v>
      </c>
      <c r="H3471" s="1">
        <v>10.835739628983589</v>
      </c>
      <c r="I3471" s="1">
        <v>157.02000750371181</v>
      </c>
      <c r="J3471" s="1">
        <v>5.3919663104100991E-2</v>
      </c>
      <c r="K3471" s="1">
        <v>3.1575765658258677</v>
      </c>
      <c r="L3471" s="1">
        <v>4.7178928566136955</v>
      </c>
      <c r="M3471" s="1">
        <v>0.25517236784566644</v>
      </c>
      <c r="N3471" s="1">
        <v>2.917090315572231</v>
      </c>
      <c r="O3471" s="1">
        <v>0.21003999999999995</v>
      </c>
      <c r="P3471" s="1">
        <v>0.14620655173399233</v>
      </c>
      <c r="Q3471" s="1">
        <v>11.139248094865881</v>
      </c>
      <c r="R3471" s="2">
        <f t="shared" si="219"/>
        <v>623.51802815613485</v>
      </c>
      <c r="S3471" s="2">
        <f t="shared" si="218"/>
        <v>3.3577027806639608</v>
      </c>
      <c r="T3471" s="2">
        <f t="shared" si="220"/>
        <v>8.1001955400315921</v>
      </c>
      <c r="U3471" s="2">
        <f t="shared" si="221"/>
        <v>634.97592647683041</v>
      </c>
    </row>
    <row r="3472" spans="1:21" x14ac:dyDescent="0.25">
      <c r="A3472">
        <v>4710269</v>
      </c>
      <c r="B3472">
        <v>61</v>
      </c>
      <c r="C3472" s="1">
        <f>15.7831943084569*(10.3/7.3)</f>
        <v>22.269438544808988</v>
      </c>
      <c r="D3472" s="1">
        <f>22.9741615870388*(10.3/7.3)</f>
        <v>32.415597855684901</v>
      </c>
      <c r="E3472" s="1">
        <f>80.9694940159702*(10.3/7.3)</f>
        <v>114.24462854308119</v>
      </c>
      <c r="F3472" s="1">
        <f>149.238179387171*(38.9/42.5)</f>
        <v>136.59682772143373</v>
      </c>
      <c r="G3472" s="1">
        <v>5.0779001835232673</v>
      </c>
      <c r="H3472" s="1">
        <v>7.1583774736783683</v>
      </c>
      <c r="I3472" s="1">
        <v>103.33267950532797</v>
      </c>
      <c r="J3472" s="1">
        <v>6.2406397553909199E-2</v>
      </c>
      <c r="K3472" s="1">
        <v>3.5050172505263961</v>
      </c>
      <c r="L3472" s="1">
        <v>5.4459276609734273</v>
      </c>
      <c r="M3472" s="1">
        <v>0.2800440029718933</v>
      </c>
      <c r="N3472" s="1">
        <v>2.7384806918668283</v>
      </c>
      <c r="O3472" s="1">
        <v>0.22950295081967209</v>
      </c>
      <c r="P3472" s="1">
        <v>0.15960793599190476</v>
      </c>
      <c r="Q3472" s="1">
        <v>8.1153655901056947</v>
      </c>
      <c r="R3472" s="2">
        <f t="shared" si="219"/>
        <v>429.21081541764403</v>
      </c>
      <c r="S3472" s="2">
        <f t="shared" si="218"/>
        <v>3.7270315840722099</v>
      </c>
      <c r="T3472" s="2">
        <f t="shared" si="220"/>
        <v>8.6939553066318211</v>
      </c>
      <c r="U3472" s="2">
        <f t="shared" si="221"/>
        <v>441.63180230834809</v>
      </c>
    </row>
    <row r="3473" spans="1:21" x14ac:dyDescent="0.25">
      <c r="A3473">
        <v>4710277</v>
      </c>
      <c r="B3473">
        <v>60</v>
      </c>
      <c r="C3473" s="1">
        <f>12.2715697122706*(10.3/7.3)</f>
        <v>17.314680552929794</v>
      </c>
      <c r="D3473" s="1">
        <f>18.7945402783758*(10.3/7.3)</f>
        <v>26.518323954420605</v>
      </c>
      <c r="E3473" s="1">
        <f>66.1501796172016*(10.3/7.3)</f>
        <v>93.335184939339229</v>
      </c>
      <c r="F3473" s="1">
        <f>119.947966235142*(38.9/42.5)</f>
        <v>109.78766791875316</v>
      </c>
      <c r="G3473" s="1">
        <v>4.0292111559952275</v>
      </c>
      <c r="H3473" s="1">
        <v>6.5612467051996886</v>
      </c>
      <c r="I3473" s="1">
        <v>81.193599230561858</v>
      </c>
      <c r="J3473" s="1">
        <v>5.9536250477405704E-2</v>
      </c>
      <c r="K3473" s="1">
        <v>3.4662468113120464</v>
      </c>
      <c r="L3473" s="1">
        <v>5.3265474554840777</v>
      </c>
      <c r="M3473" s="1">
        <v>0.26983163702660956</v>
      </c>
      <c r="N3473" s="1">
        <v>2.6221680016174682</v>
      </c>
      <c r="O3473" s="1">
        <v>0.2255324444444444</v>
      </c>
      <c r="P3473" s="1">
        <v>0.15617594875389637</v>
      </c>
      <c r="Q3473" s="1">
        <v>6.4393785598097315</v>
      </c>
      <c r="R3473" s="2">
        <f t="shared" si="219"/>
        <v>345.17929301700923</v>
      </c>
      <c r="S3473" s="2">
        <f t="shared" si="218"/>
        <v>3.6819590105433484</v>
      </c>
      <c r="T3473" s="2">
        <f t="shared" si="220"/>
        <v>8.4440795385726002</v>
      </c>
      <c r="U3473" s="2">
        <f t="shared" si="221"/>
        <v>357.30533156612518</v>
      </c>
    </row>
    <row r="3474" spans="1:21" x14ac:dyDescent="0.25">
      <c r="A3474">
        <v>4710285</v>
      </c>
      <c r="B3474">
        <v>59</v>
      </c>
      <c r="C3474" s="1">
        <f>9.15585104536419*(10.3/7.3)</f>
        <v>12.918529557157692</v>
      </c>
      <c r="D3474" s="1">
        <f>13.9529881531199*(10.3/7.3)</f>
        <v>19.687092873580099</v>
      </c>
      <c r="E3474" s="1">
        <f>49.0961602203318*(10.3/7.3)</f>
        <v>69.272664420468132</v>
      </c>
      <c r="F3474" s="1">
        <f>90.1589077842466*(38.9/42.5)</f>
        <v>82.521917948404536</v>
      </c>
      <c r="G3474" s="1">
        <v>3.0824927282399162</v>
      </c>
      <c r="H3474" s="1">
        <v>5.7382298319691438</v>
      </c>
      <c r="I3474" s="1">
        <v>61.379780577552573</v>
      </c>
      <c r="J3474" s="1">
        <v>4.9890151403218605E-2</v>
      </c>
      <c r="K3474" s="1">
        <v>3.1381887270962991</v>
      </c>
      <c r="L3474" s="1">
        <v>4.5549068753783564</v>
      </c>
      <c r="M3474" s="1">
        <v>0.23379105381151358</v>
      </c>
      <c r="N3474" s="1">
        <v>2.3029803608782284</v>
      </c>
      <c r="O3474" s="1">
        <v>0.20106937853107351</v>
      </c>
      <c r="P3474" s="1">
        <v>0.1417694603172914</v>
      </c>
      <c r="Q3474" s="1">
        <v>4.926358241479325</v>
      </c>
      <c r="R3474" s="2">
        <f t="shared" si="219"/>
        <v>259.52706617885138</v>
      </c>
      <c r="S3474" s="2">
        <f t="shared" si="218"/>
        <v>3.329848338816809</v>
      </c>
      <c r="T3474" s="2">
        <f t="shared" si="220"/>
        <v>7.2927476685991719</v>
      </c>
      <c r="U3474" s="2">
        <f t="shared" si="221"/>
        <v>270.14966218626739</v>
      </c>
    </row>
    <row r="3475" spans="1:21" x14ac:dyDescent="0.25">
      <c r="A3475">
        <v>4710293</v>
      </c>
      <c r="B3475">
        <v>60</v>
      </c>
      <c r="C3475" s="1">
        <f>6.23937391687758*(10.3/7.3)</f>
        <v>8.8035001840875484</v>
      </c>
      <c r="D3475" s="1">
        <f>9.30546226516056*(10.3/7.3)</f>
        <v>13.12962483988408</v>
      </c>
      <c r="E3475" s="1">
        <f>32.7540635768913*(10.3/7.3)</f>
        <v>46.214637649586386</v>
      </c>
      <c r="F3475" s="1">
        <f>60.9316835862569*(38.9/42.5)</f>
        <v>55.770411564832798</v>
      </c>
      <c r="G3475" s="1">
        <v>2.1125300941892293</v>
      </c>
      <c r="H3475" s="1">
        <v>4.5419881391686259</v>
      </c>
      <c r="I3475" s="1">
        <v>41.953266229969614</v>
      </c>
      <c r="J3475" s="1">
        <v>4.1006745430134058E-2</v>
      </c>
      <c r="K3475" s="1">
        <v>2.7260840485419537</v>
      </c>
      <c r="L3475" s="1">
        <v>3.842542997087306</v>
      </c>
      <c r="M3475" s="1">
        <v>0.19469692785596732</v>
      </c>
      <c r="N3475" s="1">
        <v>1.967384098921084</v>
      </c>
      <c r="O3475" s="1">
        <v>0.17042311111111116</v>
      </c>
      <c r="P3475" s="1">
        <v>0.12643662081034346</v>
      </c>
      <c r="Q3475" s="1">
        <v>3.3761896482476303</v>
      </c>
      <c r="R3475" s="2">
        <f t="shared" si="219"/>
        <v>175.9021483499659</v>
      </c>
      <c r="S3475" s="2">
        <f t="shared" si="218"/>
        <v>2.8935274147824313</v>
      </c>
      <c r="T3475" s="2">
        <f t="shared" si="220"/>
        <v>6.1750471349754683</v>
      </c>
      <c r="U3475" s="2">
        <f t="shared" si="221"/>
        <v>184.9707228997238</v>
      </c>
    </row>
    <row r="3476" spans="1:21" x14ac:dyDescent="0.25">
      <c r="A3476">
        <v>4710301</v>
      </c>
      <c r="B3476">
        <v>60</v>
      </c>
      <c r="C3476" s="1">
        <f>7.36337331015304*(10.3/7.3)</f>
        <v>10.389417136243328</v>
      </c>
      <c r="D3476" s="1">
        <f>10.2858059563915*(10.3/7.3)</f>
        <v>14.512849500114038</v>
      </c>
      <c r="E3476" s="1">
        <f>36.2895523883618*(10.3/7.3)</f>
        <v>51.203067068510506</v>
      </c>
      <c r="F3476" s="1">
        <f>67.9366195966953*(38.9/42.5)</f>
        <v>62.18198828968108</v>
      </c>
      <c r="G3476" s="1">
        <v>2.3423916228829866</v>
      </c>
      <c r="H3476" s="1">
        <v>4.9094609509606499</v>
      </c>
      <c r="I3476" s="1">
        <v>47.928608604243159</v>
      </c>
      <c r="J3476" s="1">
        <v>4.5916697937736659E-2</v>
      </c>
      <c r="K3476" s="1">
        <v>2.9622790326493988</v>
      </c>
      <c r="L3476" s="1">
        <v>4.3354340938839924</v>
      </c>
      <c r="M3476" s="1">
        <v>0.21100543755730633</v>
      </c>
      <c r="N3476" s="1">
        <v>2.1641159540940538</v>
      </c>
      <c r="O3476" s="1">
        <v>0.18499733333333335</v>
      </c>
      <c r="P3476" s="1">
        <v>0.13320101020510766</v>
      </c>
      <c r="Q3476" s="1">
        <v>3.7435482557490696</v>
      </c>
      <c r="R3476" s="2">
        <f t="shared" si="219"/>
        <v>197.2113314283848</v>
      </c>
      <c r="S3476" s="2">
        <f t="shared" si="218"/>
        <v>3.141396740792243</v>
      </c>
      <c r="T3476" s="2">
        <f t="shared" si="220"/>
        <v>6.8955528188686852</v>
      </c>
      <c r="U3476" s="2">
        <f t="shared" si="221"/>
        <v>207.24828098804571</v>
      </c>
    </row>
    <row r="3477" spans="1:21" x14ac:dyDescent="0.25">
      <c r="A3477">
        <v>4710309</v>
      </c>
      <c r="B3477">
        <v>60</v>
      </c>
      <c r="C3477" s="1">
        <f>9.27648170738085*(10.3/7.3)</f>
        <v>13.088734463838733</v>
      </c>
      <c r="D3477" s="1">
        <f>13.312036446781*(10.3/7.3)</f>
        <v>18.782736356416962</v>
      </c>
      <c r="E3477" s="1">
        <f>46.8709886202481*(10.3/7.3)</f>
        <v>66.133038738158263</v>
      </c>
      <c r="F3477" s="1">
        <f>90.0029973201603*(38.9/42.5)</f>
        <v>82.379214017746719</v>
      </c>
      <c r="G3477" s="1">
        <v>3.2335834031834465</v>
      </c>
      <c r="H3477" s="1">
        <v>6.1440482236076006</v>
      </c>
      <c r="I3477" s="1">
        <v>63.348494301771204</v>
      </c>
      <c r="J3477" s="1">
        <v>6.2727139702833931E-2</v>
      </c>
      <c r="K3477" s="1">
        <v>3.7445624761228142</v>
      </c>
      <c r="L3477" s="1">
        <v>5.9638642550699821</v>
      </c>
      <c r="M3477" s="1">
        <v>0.26863926791899045</v>
      </c>
      <c r="N3477" s="1">
        <v>2.8825675968972706</v>
      </c>
      <c r="O3477" s="1">
        <v>0.23100977777777787</v>
      </c>
      <c r="P3477" s="1">
        <v>0.1590634472634268</v>
      </c>
      <c r="Q3477" s="1">
        <v>5.1678273566858781</v>
      </c>
      <c r="R3477" s="2">
        <f t="shared" si="219"/>
        <v>258.27767686140879</v>
      </c>
      <c r="S3477" s="2">
        <f t="shared" si="218"/>
        <v>3.9663530630890751</v>
      </c>
      <c r="T3477" s="2">
        <f t="shared" si="220"/>
        <v>9.3460808976640219</v>
      </c>
      <c r="U3477" s="2">
        <f t="shared" si="221"/>
        <v>271.59011082216188</v>
      </c>
    </row>
    <row r="3478" spans="1:21" x14ac:dyDescent="0.25">
      <c r="A3478">
        <v>4710317</v>
      </c>
      <c r="B3478">
        <v>60</v>
      </c>
      <c r="C3478" s="1">
        <f>9.75117915907452*(10.3/7.3)</f>
        <v>13.75851306006405</v>
      </c>
      <c r="D3478" s="1">
        <f>13.0969891065056*(10.3/7.3)</f>
        <v>18.479313396850422</v>
      </c>
      <c r="E3478" s="1">
        <f>46.2336544368596*(10.3/7.3)</f>
        <v>65.23378639721281</v>
      </c>
      <c r="F3478" s="1">
        <f>89.0253262322882*(38.9/42.5)</f>
        <v>81.484357422023791</v>
      </c>
      <c r="G3478" s="1">
        <v>3.1646821685438744</v>
      </c>
      <c r="H3478" s="1">
        <v>6.0942777659941623</v>
      </c>
      <c r="I3478" s="1">
        <v>64.129280938269204</v>
      </c>
      <c r="J3478" s="1">
        <v>6.2566888040936311E-2</v>
      </c>
      <c r="K3478" s="1">
        <v>3.7091606367438312</v>
      </c>
      <c r="L3478" s="1">
        <v>5.8849119895180273</v>
      </c>
      <c r="M3478" s="1">
        <v>0.26161238375860646</v>
      </c>
      <c r="N3478" s="1">
        <v>3.2756641421124209</v>
      </c>
      <c r="O3478" s="1">
        <v>0.22695644444444441</v>
      </c>
      <c r="P3478" s="1">
        <v>0.15396957575523815</v>
      </c>
      <c r="Q3478" s="1">
        <v>5.05771122826647</v>
      </c>
      <c r="R3478" s="2">
        <f t="shared" si="219"/>
        <v>257.40192237722476</v>
      </c>
      <c r="S3478" s="2">
        <f t="shared" si="218"/>
        <v>3.9256971005400056</v>
      </c>
      <c r="T3478" s="2">
        <f t="shared" si="220"/>
        <v>9.6491449598334995</v>
      </c>
      <c r="U3478" s="2">
        <f t="shared" si="221"/>
        <v>270.97676443759826</v>
      </c>
    </row>
    <row r="3479" spans="1:21" x14ac:dyDescent="0.25">
      <c r="A3479">
        <v>4710325</v>
      </c>
      <c r="B3479">
        <v>60</v>
      </c>
      <c r="C3479" s="1">
        <f>8.66935222993849*(10.3/7.3)</f>
        <v>12.232099721694039</v>
      </c>
      <c r="D3479" s="1">
        <f>12.1379909061086*(10.3/7.3)</f>
        <v>17.12620634697516</v>
      </c>
      <c r="E3479" s="1">
        <f>42.7313981366813*(10.3/7.3)</f>
        <v>60.292246686002322</v>
      </c>
      <c r="F3479" s="1">
        <f>84.4715539095062*(38.9/42.5)</f>
        <v>77.316316401877444</v>
      </c>
      <c r="G3479" s="1">
        <v>3.1357840644230479</v>
      </c>
      <c r="H3479" s="1">
        <v>6.2218110645806801</v>
      </c>
      <c r="I3479" s="1">
        <v>60.397693141926908</v>
      </c>
      <c r="J3479" s="1">
        <v>6.4924694928697319E-2</v>
      </c>
      <c r="K3479" s="1">
        <v>3.7855313762884202</v>
      </c>
      <c r="L3479" s="1">
        <v>5.9967888370977072</v>
      </c>
      <c r="M3479" s="1">
        <v>0.26175250622363117</v>
      </c>
      <c r="N3479" s="1">
        <v>3.0244086225956983</v>
      </c>
      <c r="O3479" s="1">
        <v>0.22744355555555554</v>
      </c>
      <c r="P3479" s="1">
        <v>0.15313181276571391</v>
      </c>
      <c r="Q3479" s="1">
        <v>5.0115270435984813</v>
      </c>
      <c r="R3479" s="2">
        <f t="shared" si="219"/>
        <v>241.73368447107808</v>
      </c>
      <c r="S3479" s="2">
        <f t="shared" si="218"/>
        <v>4.0035878839828314</v>
      </c>
      <c r="T3479" s="2">
        <f t="shared" si="220"/>
        <v>9.5103935214725936</v>
      </c>
      <c r="U3479" s="2">
        <f t="shared" si="221"/>
        <v>255.24766587653349</v>
      </c>
    </row>
    <row r="3480" spans="1:21" x14ac:dyDescent="0.25">
      <c r="A3480">
        <v>4710333</v>
      </c>
      <c r="B3480">
        <v>60</v>
      </c>
      <c r="C3480" s="1">
        <f>8.43827660004817*(10.3/7.3)</f>
        <v>11.906061504177559</v>
      </c>
      <c r="D3480" s="1">
        <f>11.6590220109026*(10.3/7.3)</f>
        <v>16.450400919492779</v>
      </c>
      <c r="E3480" s="1">
        <f>41.0417025942785*(10.3/7.3)</f>
        <v>57.908155715214932</v>
      </c>
      <c r="F3480" s="1">
        <f>82.4252087681501*(38.9/42.5)</f>
        <v>75.443308731318567</v>
      </c>
      <c r="G3480" s="1">
        <v>3.1124295322560918</v>
      </c>
      <c r="H3480" s="1">
        <v>6.2437011083679215</v>
      </c>
      <c r="I3480" s="1">
        <v>59.420224314718816</v>
      </c>
      <c r="J3480" s="1">
        <v>6.5013943647724143E-2</v>
      </c>
      <c r="K3480" s="1">
        <v>3.7890045712665072</v>
      </c>
      <c r="L3480" s="1">
        <v>5.9245504977558143</v>
      </c>
      <c r="M3480" s="1">
        <v>0.25567490592889658</v>
      </c>
      <c r="N3480" s="1">
        <v>3.0028654829207189</v>
      </c>
      <c r="O3480" s="1">
        <v>0.2236915555555555</v>
      </c>
      <c r="P3480" s="1">
        <v>0.15053149533805429</v>
      </c>
      <c r="Q3480" s="1">
        <v>4.974202448811111</v>
      </c>
      <c r="R3480" s="2">
        <f t="shared" si="219"/>
        <v>235.45848427435777</v>
      </c>
      <c r="S3480" s="2">
        <f t="shared" si="218"/>
        <v>4.0045500102522853</v>
      </c>
      <c r="T3480" s="2">
        <f t="shared" si="220"/>
        <v>9.4067824421609849</v>
      </c>
      <c r="U3480" s="2">
        <f t="shared" si="221"/>
        <v>248.86981672677103</v>
      </c>
    </row>
    <row r="3481" spans="1:21" x14ac:dyDescent="0.25">
      <c r="A3481">
        <v>4710341</v>
      </c>
      <c r="B3481">
        <v>59</v>
      </c>
      <c r="C3481" s="1">
        <f>8.36230525070338*(10.3/7.3)</f>
        <v>11.798869052362305</v>
      </c>
      <c r="D3481" s="1">
        <f>11.3513207171834*(10.3/7.3)</f>
        <v>16.016247039313601</v>
      </c>
      <c r="E3481" s="1">
        <f>39.9625124988198*(10.3/7.3)</f>
        <v>56.385462840800571</v>
      </c>
      <c r="F3481" s="1">
        <f>81.5340071671431*(38.9/42.5)</f>
        <v>74.627597148279193</v>
      </c>
      <c r="G3481" s="1">
        <v>3.1271383350636053</v>
      </c>
      <c r="H3481" s="1">
        <v>6.2696486244007827</v>
      </c>
      <c r="I3481" s="1">
        <v>59.33392420076958</v>
      </c>
      <c r="J3481" s="1">
        <v>6.5945571396039918E-2</v>
      </c>
      <c r="K3481" s="1">
        <v>3.7785410728639421</v>
      </c>
      <c r="L3481" s="1">
        <v>5.8492987730970292</v>
      </c>
      <c r="M3481" s="1">
        <v>0.25045365185565976</v>
      </c>
      <c r="N3481" s="1">
        <v>3.1295075518643554</v>
      </c>
      <c r="O3481" s="1">
        <v>0.21850395480225987</v>
      </c>
      <c r="P3481" s="1">
        <v>0.14815643544423221</v>
      </c>
      <c r="Q3481" s="1">
        <v>4.9977096679098771</v>
      </c>
      <c r="R3481" s="2">
        <f t="shared" si="219"/>
        <v>232.55659690889951</v>
      </c>
      <c r="S3481" s="2">
        <f t="shared" si="218"/>
        <v>3.9926430797042145</v>
      </c>
      <c r="T3481" s="2">
        <f t="shared" si="220"/>
        <v>9.4477639316193045</v>
      </c>
      <c r="U3481" s="2">
        <f t="shared" si="221"/>
        <v>245.99700392022302</v>
      </c>
    </row>
    <row r="3482" spans="1:21" x14ac:dyDescent="0.25">
      <c r="A3482">
        <v>4710349</v>
      </c>
      <c r="B3482">
        <v>55</v>
      </c>
      <c r="C3482" s="1">
        <f>7.42039361007063*(10.3/7.3)</f>
        <v>10.46987043612706</v>
      </c>
      <c r="D3482" s="1">
        <f>9.93567697264812*(10.3/7.3)</f>
        <v>14.018831892914474</v>
      </c>
      <c r="E3482" s="1">
        <f>34.9776685095003*(10.3/7.3)</f>
        <v>49.352052828472978</v>
      </c>
      <c r="F3482" s="1">
        <f>72.4325389023856*(38.9/42.5)</f>
        <v>66.297076783595315</v>
      </c>
      <c r="G3482" s="1">
        <v>2.8195354770616126</v>
      </c>
      <c r="H3482" s="1">
        <v>5.799981115923635</v>
      </c>
      <c r="I3482" s="1">
        <v>53.119308400708483</v>
      </c>
      <c r="J3482" s="1">
        <v>5.9186674778776927E-2</v>
      </c>
      <c r="K3482" s="1">
        <v>3.4011780640647875</v>
      </c>
      <c r="L3482" s="1">
        <v>5.0368756899321347</v>
      </c>
      <c r="M3482" s="1">
        <v>0.22103315359129516</v>
      </c>
      <c r="N3482" s="1">
        <v>3.1340867433682535</v>
      </c>
      <c r="O3482" s="1">
        <v>0.19498084848484851</v>
      </c>
      <c r="P3482" s="1">
        <v>0.1341146899758949</v>
      </c>
      <c r="Q3482" s="1">
        <v>4.5061069268108005</v>
      </c>
      <c r="R3482" s="2">
        <f t="shared" si="219"/>
        <v>206.38276386161434</v>
      </c>
      <c r="S3482" s="2">
        <f t="shared" si="218"/>
        <v>3.5944794288194593</v>
      </c>
      <c r="T3482" s="2">
        <f t="shared" si="220"/>
        <v>8.5869764353765312</v>
      </c>
      <c r="U3482" s="2">
        <f t="shared" si="221"/>
        <v>218.56421972581032</v>
      </c>
    </row>
    <row r="3483" spans="1:21" x14ac:dyDescent="0.25">
      <c r="A3483">
        <v>4710357</v>
      </c>
      <c r="B3483">
        <v>46</v>
      </c>
      <c r="C3483" s="1">
        <f>7.79162676238838*(10.3/7.3)</f>
        <v>10.993665157890456</v>
      </c>
      <c r="D3483" s="1">
        <f>10.2228862220491*(10.3/7.3)</f>
        <v>14.424072340699476</v>
      </c>
      <c r="E3483" s="1">
        <f>35.9867511544421*(10.3/7.3)</f>
        <v>50.775826971336173</v>
      </c>
      <c r="F3483" s="1">
        <f>76.2010972723398*(38.9/42.5)</f>
        <v>69.746416091623985</v>
      </c>
      <c r="G3483" s="1">
        <v>3.0305456097503578</v>
      </c>
      <c r="H3483" s="1">
        <v>6.2100007129232067</v>
      </c>
      <c r="I3483" s="1">
        <v>56.511300550736671</v>
      </c>
      <c r="J3483" s="1">
        <v>6.1940074602435204E-2</v>
      </c>
      <c r="K3483" s="1">
        <v>3.5412942618027206</v>
      </c>
      <c r="L3483" s="1">
        <v>5.2718552426342793</v>
      </c>
      <c r="M3483" s="1">
        <v>0.22492595895406159</v>
      </c>
      <c r="N3483" s="1">
        <v>3.3889369403812224</v>
      </c>
      <c r="O3483" s="1">
        <v>0.19829333333333335</v>
      </c>
      <c r="P3483" s="1">
        <v>0.13594368003474508</v>
      </c>
      <c r="Q3483" s="1">
        <v>4.8433377324777442</v>
      </c>
      <c r="R3483" s="2">
        <f t="shared" si="219"/>
        <v>216.53516516743809</v>
      </c>
      <c r="S3483" s="2">
        <f t="shared" si="218"/>
        <v>3.7391780164399009</v>
      </c>
      <c r="T3483" s="2">
        <f t="shared" si="220"/>
        <v>9.0840114753028978</v>
      </c>
      <c r="U3483" s="2">
        <f t="shared" si="221"/>
        <v>229.35835465918089</v>
      </c>
    </row>
    <row r="3484" spans="1:21" x14ac:dyDescent="0.25">
      <c r="A3484">
        <v>4710365</v>
      </c>
      <c r="B3484">
        <v>47</v>
      </c>
      <c r="C3484" s="1">
        <f>7.14171106701057*(10.3/7.3)</f>
        <v>10.076660820576558</v>
      </c>
      <c r="D3484" s="1">
        <f>9.2320117943092*(10.3/7.3)</f>
        <v>13.025989244025306</v>
      </c>
      <c r="E3484" s="1">
        <f>32.4785972280107*(10.3/7.3)</f>
        <v>45.825965951850733</v>
      </c>
      <c r="F3484" s="1">
        <f>70.8473649492837*(38.9/42.5)</f>
        <v>64.846176388873815</v>
      </c>
      <c r="G3484" s="1">
        <v>2.9017802661437164</v>
      </c>
      <c r="H3484" s="1">
        <v>7.0306384745223918</v>
      </c>
      <c r="I3484" s="1">
        <v>53.0997728204526</v>
      </c>
      <c r="J3484" s="1">
        <v>5.7136634490496441E-2</v>
      </c>
      <c r="K3484" s="1">
        <v>3.3593886554383667</v>
      </c>
      <c r="L3484" s="1">
        <v>4.8880360395620182</v>
      </c>
      <c r="M3484" s="1">
        <v>0.2088455319725725</v>
      </c>
      <c r="N3484" s="1">
        <v>3.1785282314116583</v>
      </c>
      <c r="O3484" s="1">
        <v>0.18470581560283689</v>
      </c>
      <c r="P3484" s="1">
        <v>0.12873669740803573</v>
      </c>
      <c r="Q3484" s="1">
        <v>4.6375483705493235</v>
      </c>
      <c r="R3484" s="2">
        <f t="shared" si="219"/>
        <v>201.44453233699443</v>
      </c>
      <c r="S3484" s="2">
        <f t="shared" si="218"/>
        <v>3.5452619873368989</v>
      </c>
      <c r="T3484" s="2">
        <f t="shared" si="220"/>
        <v>8.4601156185490858</v>
      </c>
      <c r="U3484" s="2">
        <f t="shared" si="221"/>
        <v>213.4499099428804</v>
      </c>
    </row>
    <row r="3485" spans="1:21" x14ac:dyDescent="0.25">
      <c r="A3485">
        <v>4710373</v>
      </c>
      <c r="B3485">
        <v>5</v>
      </c>
      <c r="C3485" s="1">
        <f>5.15070964505879*(10.3/7.3)</f>
        <v>7.2674396361788363</v>
      </c>
      <c r="D3485" s="1">
        <f>6.9072125843195*(10.3/7.3)</f>
        <v>9.7457930984234</v>
      </c>
      <c r="E3485" s="1">
        <f>24.1604791499272*(10.3/7.3)</f>
        <v>34.089443184143924</v>
      </c>
      <c r="F3485" s="1">
        <f>57.8246542883978*(38.9/42.5)</f>
        <v>52.926565925145319</v>
      </c>
      <c r="G3485" s="1">
        <v>2.602975269695297</v>
      </c>
      <c r="H3485" s="1">
        <v>7.1199186922914048</v>
      </c>
      <c r="I3485" s="1">
        <v>43.653116290375053</v>
      </c>
      <c r="J3485" s="1">
        <v>4.5811325044432402E-2</v>
      </c>
      <c r="K3485" s="1">
        <v>2.8990216169095575</v>
      </c>
      <c r="L3485" s="1">
        <v>3.8687311624560792</v>
      </c>
      <c r="M3485" s="1">
        <v>0.1719589085575482</v>
      </c>
      <c r="N3485" s="1">
        <v>2.338116112591949</v>
      </c>
      <c r="O3485" s="1">
        <v>0.15469866666666668</v>
      </c>
      <c r="P3485" s="1">
        <v>0.11276468239533352</v>
      </c>
      <c r="Q3485" s="1">
        <v>4.1600061387824416</v>
      </c>
      <c r="R3485" s="2">
        <f t="shared" si="219"/>
        <v>161.56525823503566</v>
      </c>
      <c r="S3485" s="2">
        <f t="shared" si="218"/>
        <v>3.0575976243493233</v>
      </c>
      <c r="T3485" s="2">
        <f t="shared" si="220"/>
        <v>6.5335048502722426</v>
      </c>
      <c r="U3485" s="2">
        <f t="shared" si="221"/>
        <v>171.15636070965721</v>
      </c>
    </row>
    <row r="3486" spans="1:21" x14ac:dyDescent="0.25">
      <c r="A3486">
        <v>4710429</v>
      </c>
      <c r="B3486">
        <v>14</v>
      </c>
      <c r="C3486" s="1">
        <f>3.78058582979416*(10.3/7.3)</f>
        <v>5.3342512392986023</v>
      </c>
      <c r="D3486" s="1">
        <f>4.93135691838326*(10.3/7.3)</f>
        <v>6.9579419533352862</v>
      </c>
      <c r="E3486" s="1">
        <f>17.295112679511*(10.3/7.3)</f>
        <v>24.40269323273472</v>
      </c>
      <c r="F3486" s="1">
        <f>40.097656363864*(38.9/42.5)</f>
        <v>36.701149001277848</v>
      </c>
      <c r="G3486" s="1">
        <v>1.7469149186619539</v>
      </c>
      <c r="H3486" s="1">
        <v>7.0783140127951603</v>
      </c>
      <c r="I3486" s="1">
        <v>30.322752532030673</v>
      </c>
      <c r="J3486" s="1">
        <v>4.2234425511490384E-2</v>
      </c>
      <c r="K3486" s="1">
        <v>2.2619630076944888</v>
      </c>
      <c r="L3486" s="1">
        <v>3.6211680549476628</v>
      </c>
      <c r="M3486" s="1">
        <v>0.12009810361987762</v>
      </c>
      <c r="N3486" s="1">
        <v>1.7511753470738136</v>
      </c>
      <c r="O3486" s="1">
        <v>0.10793142857142857</v>
      </c>
      <c r="P3486" s="1">
        <v>8.5185845792131801E-2</v>
      </c>
      <c r="Q3486" s="1">
        <v>2.7918731576789244</v>
      </c>
      <c r="R3486" s="2">
        <f t="shared" si="219"/>
        <v>115.33589004781317</v>
      </c>
      <c r="S3486" s="2">
        <f t="shared" si="218"/>
        <v>2.3893832789981113</v>
      </c>
      <c r="T3486" s="2">
        <f t="shared" si="220"/>
        <v>5.6003729342127828</v>
      </c>
      <c r="U3486" s="2">
        <f t="shared" si="221"/>
        <v>123.32564626102406</v>
      </c>
    </row>
    <row r="3487" spans="1:21" x14ac:dyDescent="0.25">
      <c r="A3487">
        <v>4710645</v>
      </c>
      <c r="B3487">
        <v>9</v>
      </c>
      <c r="C3487" s="1">
        <f>7.7140272040949*(10.3/7.3)</f>
        <v>10.8841753701613</v>
      </c>
      <c r="D3487" s="1">
        <f>8.61993831004027*(10.3/7.3)</f>
        <v>12.162378711426689</v>
      </c>
      <c r="E3487" s="1">
        <f>30.4571667259858*(10.3/7.3)</f>
        <v>42.973810585979962</v>
      </c>
      <c r="F3487" s="1">
        <f>70.2824025635548*(38.9/42.5)</f>
        <v>64.32906964052431</v>
      </c>
      <c r="G3487" s="1">
        <v>2.9681357190438677</v>
      </c>
      <c r="H3487" s="1">
        <v>9.3087737783040794</v>
      </c>
      <c r="I3487" s="1">
        <v>55.610094589252562</v>
      </c>
      <c r="J3487" s="1">
        <v>3.5432637241109927E-2</v>
      </c>
      <c r="K3487" s="1">
        <v>2.2473655195795548</v>
      </c>
      <c r="L3487" s="1">
        <v>2.4917205112506595</v>
      </c>
      <c r="M3487" s="1">
        <v>0.10762317609623299</v>
      </c>
      <c r="N3487" s="1">
        <v>1.4252716344003717</v>
      </c>
      <c r="O3487" s="1">
        <v>0.10295703703703703</v>
      </c>
      <c r="P3487" s="1">
        <v>7.9519753453133016E-2</v>
      </c>
      <c r="Q3487" s="1">
        <v>4.7435958980153181</v>
      </c>
      <c r="R3487" s="2">
        <f t="shared" si="219"/>
        <v>202.98003429270807</v>
      </c>
      <c r="S3487" s="2">
        <f t="shared" si="218"/>
        <v>2.3623179102737977</v>
      </c>
      <c r="T3487" s="2">
        <f t="shared" si="220"/>
        <v>4.1275723587843016</v>
      </c>
      <c r="U3487" s="2">
        <f t="shared" si="221"/>
        <v>209.46992456176616</v>
      </c>
    </row>
    <row r="3488" spans="1:21" x14ac:dyDescent="0.25">
      <c r="A3488">
        <v>4710677</v>
      </c>
      <c r="B3488">
        <v>9</v>
      </c>
      <c r="C3488" s="1">
        <f>4.39966406143941*(10.3/7.3)</f>
        <v>6.2077451825788872</v>
      </c>
      <c r="D3488" s="1">
        <f>5.17105342603958*(10.3/7.3)</f>
        <v>7.2961438750969361</v>
      </c>
      <c r="E3488" s="1">
        <f>18.1948641636836*(10.3/7.3)</f>
        <v>25.672205600813825</v>
      </c>
      <c r="F3488" s="1">
        <f>43.5628907172644*(38.9/42.5)</f>
        <v>39.87285762121374</v>
      </c>
      <c r="G3488" s="1">
        <v>1.9220100438777858</v>
      </c>
      <c r="H3488" s="1">
        <v>5.5059151909523179</v>
      </c>
      <c r="I3488" s="1">
        <v>34.123023374707856</v>
      </c>
      <c r="J3488" s="1">
        <v>2.5528999671762254E-2</v>
      </c>
      <c r="K3488" s="1">
        <v>1.7966442837407692</v>
      </c>
      <c r="L3488" s="1">
        <v>1.8780360510057603</v>
      </c>
      <c r="M3488" s="1">
        <v>8.6438863703728899E-2</v>
      </c>
      <c r="N3488" s="1">
        <v>1.0680702536102387</v>
      </c>
      <c r="O3488" s="1">
        <v>8.1748148148148153E-2</v>
      </c>
      <c r="P3488" s="1">
        <v>6.6366373072958396E-2</v>
      </c>
      <c r="Q3488" s="1">
        <v>3.071705549576373</v>
      </c>
      <c r="R3488" s="2">
        <f t="shared" si="219"/>
        <v>123.67160643881773</v>
      </c>
      <c r="S3488" s="2">
        <f t="shared" si="218"/>
        <v>1.8885396564854899</v>
      </c>
      <c r="T3488" s="2">
        <f t="shared" si="220"/>
        <v>3.1142933164678759</v>
      </c>
      <c r="U3488" s="2">
        <f t="shared" si="221"/>
        <v>128.67443941177109</v>
      </c>
    </row>
    <row r="3489" spans="1:21" x14ac:dyDescent="0.25">
      <c r="A3489">
        <v>4721977</v>
      </c>
      <c r="B3489">
        <v>31</v>
      </c>
      <c r="C3489" s="1">
        <f>0.619253822656834*(10.3/7.3)</f>
        <v>0.87374169498155996</v>
      </c>
      <c r="D3489" s="1">
        <f>0.859168424111495*(10.3/7.3)</f>
        <v>1.2122513381299171</v>
      </c>
      <c r="E3489" s="1">
        <f>2.98855986260261*(10.3/7.3)</f>
        <v>4.2167351486036848</v>
      </c>
      <c r="F3489" s="1">
        <f>7.78615655796515*(38.9/42.5)</f>
        <v>7.1266232965845733</v>
      </c>
      <c r="G3489" s="1">
        <v>0.37677137716204895</v>
      </c>
      <c r="H3489" s="1">
        <v>1.5674687224473236</v>
      </c>
      <c r="I3489" s="1">
        <v>5.9184279113838079</v>
      </c>
      <c r="J3489" s="1">
        <v>4.1776667908004293E-2</v>
      </c>
      <c r="K3489" s="1">
        <v>2.9139886194143911</v>
      </c>
      <c r="L3489" s="1">
        <v>2.2542695741369432</v>
      </c>
      <c r="M3489" s="1">
        <v>0.39622503995166364</v>
      </c>
      <c r="N3489" s="1">
        <v>1.3433344488776005</v>
      </c>
      <c r="O3489" s="1">
        <v>0.47189505376344082</v>
      </c>
      <c r="P3489" s="1">
        <v>0.24853159426333674</v>
      </c>
      <c r="Q3489" s="1">
        <v>0.60214603656035293</v>
      </c>
      <c r="R3489" s="2">
        <f t="shared" si="219"/>
        <v>21.894165525853268</v>
      </c>
      <c r="S3489" s="2">
        <f t="shared" si="218"/>
        <v>3.2042968815857322</v>
      </c>
      <c r="T3489" s="2">
        <f t="shared" si="220"/>
        <v>4.465724116729648</v>
      </c>
      <c r="U3489" s="2">
        <f t="shared" si="221"/>
        <v>29.564186524168647</v>
      </c>
    </row>
    <row r="3490" spans="1:21" x14ac:dyDescent="0.25">
      <c r="A3490">
        <v>4721985</v>
      </c>
      <c r="B3490">
        <v>66</v>
      </c>
      <c r="C3490" s="1">
        <f>0.942623942672373*(10.3/7.3)</f>
        <v>1.3300036451404715</v>
      </c>
      <c r="D3490" s="1">
        <f>1.34304543378382*(10.3/7.3)</f>
        <v>1.8949819134210124</v>
      </c>
      <c r="E3490" s="1">
        <f>4.65466723965391*(10.3/7.3)</f>
        <v>6.5675441874568916</v>
      </c>
      <c r="F3490" s="1">
        <f>12.7410749615303*(38.9/42.5)</f>
        <v>11.661830964788937</v>
      </c>
      <c r="G3490" s="1">
        <v>0.64028906339586322</v>
      </c>
      <c r="H3490" s="1">
        <v>2.5084941738181255</v>
      </c>
      <c r="I3490" s="1">
        <v>9.7100781418880935</v>
      </c>
      <c r="J3490" s="1">
        <v>6.0501527899400068E-2</v>
      </c>
      <c r="K3490" s="1">
        <v>3.8108863550365077</v>
      </c>
      <c r="L3490" s="1">
        <v>3.1264953732897967</v>
      </c>
      <c r="M3490" s="1">
        <v>0.56388431386649085</v>
      </c>
      <c r="N3490" s="1">
        <v>1.8633997667299769</v>
      </c>
      <c r="O3490" s="1">
        <v>0.70489212121212108</v>
      </c>
      <c r="P3490" s="1">
        <v>0.30460942221806125</v>
      </c>
      <c r="Q3490" s="1">
        <v>1.0232930236920192</v>
      </c>
      <c r="R3490" s="2">
        <f t="shared" si="219"/>
        <v>35.336515113601415</v>
      </c>
      <c r="S3490" s="2">
        <f t="shared" si="218"/>
        <v>4.1759973051539694</v>
      </c>
      <c r="T3490" s="2">
        <f t="shared" si="220"/>
        <v>6.2586715750983855</v>
      </c>
      <c r="U3490" s="2">
        <f t="shared" si="221"/>
        <v>45.771183993853768</v>
      </c>
    </row>
    <row r="3491" spans="1:21" x14ac:dyDescent="0.25">
      <c r="A3491">
        <v>4721993</v>
      </c>
      <c r="B3491">
        <v>47</v>
      </c>
      <c r="C3491" s="1">
        <f>1.05392249216364*(10.3/7.3)</f>
        <v>1.4870413245596501</v>
      </c>
      <c r="D3491" s="1">
        <f>1.53184917996506*(10.3/7.3)</f>
        <v>2.1613762402246768</v>
      </c>
      <c r="E3491" s="1">
        <f>5.29364973561157*(10.3/7.3)</f>
        <v>7.4691222296985158</v>
      </c>
      <c r="F3491" s="1">
        <f>15.0634981226499*(38.9/42.5)</f>
        <v>13.787531222848976</v>
      </c>
      <c r="G3491" s="1">
        <v>0.77792713136785641</v>
      </c>
      <c r="H3491" s="1">
        <v>2.9860201940531144</v>
      </c>
      <c r="I3491" s="1">
        <v>11.507967338082782</v>
      </c>
      <c r="J3491" s="1">
        <v>6.8494156172742918E-2</v>
      </c>
      <c r="K3491" s="1">
        <v>4.0596757516787569</v>
      </c>
      <c r="L3491" s="1">
        <v>3.4102468637678229</v>
      </c>
      <c r="M3491" s="1">
        <v>0.64049466052006221</v>
      </c>
      <c r="N3491" s="1">
        <v>2.0927143650488409</v>
      </c>
      <c r="O3491" s="1">
        <v>0.74353475177304995</v>
      </c>
      <c r="P3491" s="1">
        <v>0.32197871833346531</v>
      </c>
      <c r="Q3491" s="1">
        <v>1.2432625387157537</v>
      </c>
      <c r="R3491" s="2">
        <f t="shared" si="219"/>
        <v>41.420248219551326</v>
      </c>
      <c r="S3491" s="2">
        <f t="shared" si="218"/>
        <v>4.4501486261849648</v>
      </c>
      <c r="T3491" s="2">
        <f t="shared" si="220"/>
        <v>6.8869906411097759</v>
      </c>
      <c r="U3491" s="2">
        <f t="shared" si="221"/>
        <v>52.757387486846063</v>
      </c>
    </row>
    <row r="3492" spans="1:21" x14ac:dyDescent="0.25">
      <c r="A3492">
        <v>4722145</v>
      </c>
      <c r="B3492">
        <v>13</v>
      </c>
      <c r="C3492" s="1">
        <f>1.41068830389188*(10.3/7.3)</f>
        <v>1.9904232232994981</v>
      </c>
      <c r="D3492" s="1">
        <f>1.99946852125705*(10.3/7.3)</f>
        <v>2.8211679135544716</v>
      </c>
      <c r="E3492" s="1">
        <f>6.85705885330604*(10.3/7.3)</f>
        <v>9.675028245075648</v>
      </c>
      <c r="F3492" s="1">
        <f>22.561919265191*(38.9/42.5)</f>
        <v>20.6507919862572</v>
      </c>
      <c r="G3492" s="1">
        <v>1.2614583683817275</v>
      </c>
      <c r="H3492" s="1">
        <v>5.7533391497147655</v>
      </c>
      <c r="I3492" s="1">
        <v>17.715586111700595</v>
      </c>
      <c r="J3492" s="1">
        <v>4.1464587115537903E-2</v>
      </c>
      <c r="K3492" s="1">
        <v>2.779250806498534</v>
      </c>
      <c r="L3492" s="1">
        <v>2.9949233688504941</v>
      </c>
      <c r="M3492" s="1">
        <v>0.73897644406814045</v>
      </c>
      <c r="N3492" s="1">
        <v>1.6282023569970825</v>
      </c>
      <c r="O3492" s="1">
        <v>0.30462769230769232</v>
      </c>
      <c r="P3492" s="1">
        <v>0.20163315180333513</v>
      </c>
      <c r="Q3492" s="1">
        <v>2.0160293558612103</v>
      </c>
      <c r="R3492" s="2">
        <f t="shared" si="219"/>
        <v>61.883824353845114</v>
      </c>
      <c r="S3492" s="2">
        <f t="shared" si="218"/>
        <v>3.0223485454174068</v>
      </c>
      <c r="T3492" s="2">
        <f t="shared" si="220"/>
        <v>5.6667298622234092</v>
      </c>
      <c r="U3492" s="2">
        <f t="shared" si="221"/>
        <v>70.572902761485921</v>
      </c>
    </row>
    <row r="3493" spans="1:21" x14ac:dyDescent="0.25">
      <c r="A3493">
        <v>4722153</v>
      </c>
      <c r="B3493">
        <v>52</v>
      </c>
      <c r="C3493" s="1">
        <f>1.71893552449513*(10.3/7.3)</f>
        <v>2.4253473838766908</v>
      </c>
      <c r="D3493" s="1">
        <f>2.450181804377*(10.3/7.3)</f>
        <v>3.4571058335730243</v>
      </c>
      <c r="E3493" s="1">
        <f>8.38122705769246*(10.3/7.3)</f>
        <v>11.825566944415387</v>
      </c>
      <c r="F3493" s="1">
        <f>28.5931082854322*(38.9/42.5)</f>
        <v>26.171103818901493</v>
      </c>
      <c r="G3493" s="1">
        <v>1.6279737602550044</v>
      </c>
      <c r="H3493" s="1">
        <v>7.0420654143874657</v>
      </c>
      <c r="I3493" s="1">
        <v>22.540789905693906</v>
      </c>
      <c r="J3493" s="1">
        <v>4.5012231856861498E-2</v>
      </c>
      <c r="K3493" s="1">
        <v>3.3169776686040171</v>
      </c>
      <c r="L3493" s="1">
        <v>3.5281027916703347</v>
      </c>
      <c r="M3493" s="1">
        <v>0.90017595509504267</v>
      </c>
      <c r="N3493" s="1">
        <v>1.9783064027065806</v>
      </c>
      <c r="O3493" s="1">
        <v>0.35701846153846151</v>
      </c>
      <c r="P3493" s="1">
        <v>0.23469862591295662</v>
      </c>
      <c r="Q3493" s="1">
        <v>2.6017845483527489</v>
      </c>
      <c r="R3493" s="2">
        <f t="shared" si="219"/>
        <v>77.691737609455714</v>
      </c>
      <c r="S3493" s="2">
        <f t="shared" si="218"/>
        <v>3.5966885263738351</v>
      </c>
      <c r="T3493" s="2">
        <f t="shared" si="220"/>
        <v>6.7636036110104198</v>
      </c>
      <c r="U3493" s="2">
        <f t="shared" si="221"/>
        <v>88.052029746839978</v>
      </c>
    </row>
    <row r="3494" spans="1:21" x14ac:dyDescent="0.25">
      <c r="A3494">
        <v>4722161</v>
      </c>
      <c r="B3494">
        <v>56</v>
      </c>
      <c r="C3494" s="1">
        <f>1.79916232703897*(10.3/7.3)</f>
        <v>2.5385441052741631</v>
      </c>
      <c r="D3494" s="1">
        <f>2.51686002176564*(10.3/7.3)</f>
        <v>3.5511860581076813</v>
      </c>
      <c r="E3494" s="1">
        <f>8.60994279815952*(10.3/7.3)</f>
        <v>12.148275454937407</v>
      </c>
      <c r="F3494" s="1">
        <f>29.677166036806*(38.9/42.5)</f>
        <v>27.163335501923651</v>
      </c>
      <c r="G3494" s="1">
        <v>1.6954899862050721</v>
      </c>
      <c r="H3494" s="1">
        <v>8.7700337011350644</v>
      </c>
      <c r="I3494" s="1">
        <v>23.503937755528934</v>
      </c>
      <c r="J3494" s="1">
        <v>4.0989651380712096E-2</v>
      </c>
      <c r="K3494" s="1">
        <v>3.0420160944861507</v>
      </c>
      <c r="L3494" s="1">
        <v>3.3545642879832251</v>
      </c>
      <c r="M3494" s="1">
        <v>0.82482775729218161</v>
      </c>
      <c r="N3494" s="1">
        <v>1.8211417951066988</v>
      </c>
      <c r="O3494" s="1">
        <v>0.32380190476190479</v>
      </c>
      <c r="P3494" s="1">
        <v>0.21273789339335283</v>
      </c>
      <c r="Q3494" s="1">
        <v>2.7096871925651844</v>
      </c>
      <c r="R3494" s="2">
        <f t="shared" si="219"/>
        <v>82.080489755677164</v>
      </c>
      <c r="S3494" s="2">
        <f t="shared" si="218"/>
        <v>3.2957436392602157</v>
      </c>
      <c r="T3494" s="2">
        <f t="shared" si="220"/>
        <v>6.3243357451440101</v>
      </c>
      <c r="U3494" s="2">
        <f t="shared" si="221"/>
        <v>91.700569140081384</v>
      </c>
    </row>
    <row r="3495" spans="1:21" x14ac:dyDescent="0.25">
      <c r="A3495">
        <v>4722169</v>
      </c>
      <c r="B3495">
        <v>51</v>
      </c>
      <c r="C3495" s="1">
        <f>2.08703344815145*(10.3/7.3)</f>
        <v>2.9447184268438233</v>
      </c>
      <c r="D3495" s="1">
        <f>2.81538747438783*(10.3/7.3)</f>
        <v>3.9723960255061233</v>
      </c>
      <c r="E3495" s="1">
        <f>9.63189142723604*(10.3/7.3)</f>
        <v>13.590202972675504</v>
      </c>
      <c r="F3495" s="1">
        <f>33.9120031931754*(38.9/42.5)</f>
        <v>31.039457040341688</v>
      </c>
      <c r="G3495" s="1">
        <v>1.9511690219729125</v>
      </c>
      <c r="H3495" s="1">
        <v>9.7020942080201298</v>
      </c>
      <c r="I3495" s="1">
        <v>27.100790810932338</v>
      </c>
      <c r="J3495" s="1">
        <v>3.9947516972221847E-2</v>
      </c>
      <c r="K3495" s="1">
        <v>2.9415970397332782</v>
      </c>
      <c r="L3495" s="1">
        <v>3.3184584694882786</v>
      </c>
      <c r="M3495" s="1">
        <v>0.77348927350582553</v>
      </c>
      <c r="N3495" s="1">
        <v>1.8303867870867847</v>
      </c>
      <c r="O3495" s="1">
        <v>0.30779084967320253</v>
      </c>
      <c r="P3495" s="1">
        <v>0.20447507956868385</v>
      </c>
      <c r="Q3495" s="1">
        <v>3.1183066561210966</v>
      </c>
      <c r="R3495" s="2">
        <f t="shared" si="219"/>
        <v>93.41913516241361</v>
      </c>
      <c r="S3495" s="2">
        <f t="shared" si="218"/>
        <v>3.1860196362741839</v>
      </c>
      <c r="T3495" s="2">
        <f t="shared" si="220"/>
        <v>6.2301253797540914</v>
      </c>
      <c r="U3495" s="2">
        <f t="shared" si="221"/>
        <v>102.83528017844188</v>
      </c>
    </row>
    <row r="3496" spans="1:21" x14ac:dyDescent="0.25">
      <c r="A3496">
        <v>4722241</v>
      </c>
      <c r="B3496">
        <v>2</v>
      </c>
      <c r="C3496" s="1">
        <f>1.67003754575715*(10.3/7.3)</f>
        <v>2.3563543453833793</v>
      </c>
      <c r="D3496" s="1">
        <f>2.53149198537633*(10.3/7.3)</f>
        <v>3.5718311574487993</v>
      </c>
      <c r="E3496" s="1">
        <f>8.67579923555459*(10.3/7.3)</f>
        <v>12.241196181672915</v>
      </c>
      <c r="F3496" s="1">
        <f>27.6790800657367*(38.9/42.5)</f>
        <v>25.334499166050747</v>
      </c>
      <c r="G3496" s="1">
        <v>1.5316352833841864</v>
      </c>
      <c r="H3496" s="1">
        <v>11.773596441064999</v>
      </c>
      <c r="I3496" s="1">
        <v>21.374285066803878</v>
      </c>
      <c r="J3496" s="1">
        <v>5.2004705248468341E-2</v>
      </c>
      <c r="K3496" s="1">
        <v>3.0786999736339915</v>
      </c>
      <c r="L3496" s="1">
        <v>5.5856316720827541</v>
      </c>
      <c r="M3496" s="1">
        <v>0.57335871965438612</v>
      </c>
      <c r="N3496" s="1">
        <v>2.3818910844035495</v>
      </c>
      <c r="O3496" s="1">
        <v>0.27477333333333331</v>
      </c>
      <c r="P3496" s="1">
        <v>0.19386574345358437</v>
      </c>
      <c r="Q3496" s="1">
        <v>2.4478189460477888</v>
      </c>
      <c r="R3496" s="2">
        <f t="shared" si="219"/>
        <v>80.631216587856699</v>
      </c>
      <c r="S3496" s="2">
        <f t="shared" si="218"/>
        <v>3.3245704223360439</v>
      </c>
      <c r="T3496" s="2">
        <f t="shared" si="220"/>
        <v>8.8156548094740241</v>
      </c>
      <c r="U3496" s="2">
        <f t="shared" si="221"/>
        <v>92.771441819666762</v>
      </c>
    </row>
    <row r="3497" spans="1:21" x14ac:dyDescent="0.25">
      <c r="A3497">
        <v>4722249</v>
      </c>
      <c r="B3497">
        <v>16</v>
      </c>
      <c r="C3497" s="1">
        <f>1.81748019397322*(10.3/7.3)</f>
        <v>2.5643898627293389</v>
      </c>
      <c r="D3497" s="1">
        <f>2.57093114338586*(10.3/7.3)</f>
        <v>3.6274781886129266</v>
      </c>
      <c r="E3497" s="1">
        <f>8.88026714771269*(10.3/7.3)</f>
        <v>12.529692002937084</v>
      </c>
      <c r="F3497" s="1">
        <f>25.9729007709855*(38.9/42.5)</f>
        <v>23.772843293913791</v>
      </c>
      <c r="G3497" s="1">
        <v>1.3605669117592714</v>
      </c>
      <c r="H3497" s="1">
        <v>10.302736657432664</v>
      </c>
      <c r="I3497" s="1">
        <v>20.045292223233975</v>
      </c>
      <c r="J3497" s="1">
        <v>4.7858564777196341E-2</v>
      </c>
      <c r="K3497" s="1">
        <v>2.8751146099030063</v>
      </c>
      <c r="L3497" s="1">
        <v>4.8701335289693137</v>
      </c>
      <c r="M3497" s="1">
        <v>0.49333035263040681</v>
      </c>
      <c r="N3497" s="1">
        <v>2.3830800214744721</v>
      </c>
      <c r="O3497" s="1">
        <v>0.25173333333333331</v>
      </c>
      <c r="P3497" s="1">
        <v>0.17905952456195204</v>
      </c>
      <c r="Q3497" s="1">
        <v>2.174422005094728</v>
      </c>
      <c r="R3497" s="2">
        <f t="shared" si="219"/>
        <v>76.377421145713782</v>
      </c>
      <c r="S3497" s="2">
        <f t="shared" si="218"/>
        <v>3.1020326992421547</v>
      </c>
      <c r="T3497" s="2">
        <f t="shared" si="220"/>
        <v>7.9982772364075254</v>
      </c>
      <c r="U3497" s="2">
        <f t="shared" si="221"/>
        <v>87.477731081363473</v>
      </c>
    </row>
    <row r="3498" spans="1:21" x14ac:dyDescent="0.25">
      <c r="A3498">
        <v>4722257</v>
      </c>
      <c r="B3498">
        <v>59</v>
      </c>
      <c r="C3498" s="1">
        <f>2.17421421674178*(10.3/7.3)</f>
        <v>3.067726908553464</v>
      </c>
      <c r="D3498" s="1">
        <f>3.16715866717699*(10.3/7.3)</f>
        <v>4.468730722181232</v>
      </c>
      <c r="E3498" s="1">
        <f>10.9218938544021*(10.3/7.3)</f>
        <v>15.410343383608467</v>
      </c>
      <c r="F3498" s="1">
        <f>32.2077105380732*(38.9/42.5)</f>
        <v>29.479527998377574</v>
      </c>
      <c r="G3498" s="1">
        <v>1.7002429182786207</v>
      </c>
      <c r="H3498" s="1">
        <v>9.3466852706146621</v>
      </c>
      <c r="I3498" s="1">
        <v>24.742330341907675</v>
      </c>
      <c r="J3498" s="1">
        <v>5.5912767827574185E-2</v>
      </c>
      <c r="K3498" s="1">
        <v>3.3378236309341038</v>
      </c>
      <c r="L3498" s="1">
        <v>5.4950928416818785</v>
      </c>
      <c r="M3498" s="1">
        <v>0.56938304894982839</v>
      </c>
      <c r="N3498" s="1">
        <v>2.6723790767109432</v>
      </c>
      <c r="O3498" s="1">
        <v>0.28796203389830499</v>
      </c>
      <c r="P3498" s="1">
        <v>0.2028298503845502</v>
      </c>
      <c r="Q3498" s="1">
        <v>2.7172832027283924</v>
      </c>
      <c r="R3498" s="2">
        <f t="shared" si="219"/>
        <v>90.932870746250089</v>
      </c>
      <c r="S3498" s="2">
        <f t="shared" si="218"/>
        <v>3.5965662491462282</v>
      </c>
      <c r="T3498" s="2">
        <f t="shared" si="220"/>
        <v>9.0248170012409545</v>
      </c>
      <c r="U3498" s="2">
        <f t="shared" si="221"/>
        <v>103.55425399663727</v>
      </c>
    </row>
    <row r="3499" spans="1:21" x14ac:dyDescent="0.25">
      <c r="A3499">
        <v>4722265</v>
      </c>
      <c r="B3499">
        <v>5</v>
      </c>
      <c r="C3499" s="1">
        <f>2.04204209327377*(10.3/7.3)</f>
        <v>2.8812374740712103</v>
      </c>
      <c r="D3499" s="1">
        <f>3.48097995157787*(10.3/7.3)</f>
        <v>4.9115196577057647</v>
      </c>
      <c r="E3499" s="1">
        <f>11.8000249778858*(10.3/7.3)</f>
        <v>16.649350311263536</v>
      </c>
      <c r="F3499" s="1">
        <f>41.7930462132365*(38.9/42.5)</f>
        <v>38.252929357527059</v>
      </c>
      <c r="G3499" s="1">
        <v>2.4504018635326128</v>
      </c>
      <c r="H3499" s="1">
        <v>13.988577751546671</v>
      </c>
      <c r="I3499" s="1">
        <v>32.200164358277952</v>
      </c>
      <c r="J3499" s="1">
        <v>5.7490319065800245E-2</v>
      </c>
      <c r="K3499" s="1">
        <v>3.4407330768437525</v>
      </c>
      <c r="L3499" s="1">
        <v>5.4691341574798074</v>
      </c>
      <c r="M3499" s="1">
        <v>0.55695134917666012</v>
      </c>
      <c r="N3499" s="1">
        <v>2.7125227592703087</v>
      </c>
      <c r="O3499" s="1">
        <v>0.29009066666666661</v>
      </c>
      <c r="P3499" s="1">
        <v>0.20679782814591158</v>
      </c>
      <c r="Q3499" s="1">
        <v>3.9161673618101163</v>
      </c>
      <c r="R3499" s="2">
        <f t="shared" si="219"/>
        <v>115.25034813573491</v>
      </c>
      <c r="S3499" s="2">
        <f t="shared" si="218"/>
        <v>3.7050212240554643</v>
      </c>
      <c r="T3499" s="2">
        <f t="shared" si="220"/>
        <v>9.028698932593441</v>
      </c>
      <c r="U3499" s="2">
        <f t="shared" si="221"/>
        <v>127.98406829238382</v>
      </c>
    </row>
    <row r="3500" spans="1:21" x14ac:dyDescent="0.25">
      <c r="A3500">
        <v>4722489</v>
      </c>
      <c r="B3500">
        <v>10</v>
      </c>
      <c r="C3500" s="1">
        <f>17.282678079059*(10.3/7.3)</f>
        <v>24.38514852250789</v>
      </c>
      <c r="D3500" s="1">
        <f>27.1588801487946*(10.3/7.3)</f>
        <v>38.320063771586909</v>
      </c>
      <c r="E3500" s="1">
        <f>95.6213974600239*(10.3/7.3)</f>
        <v>134.91786216962277</v>
      </c>
      <c r="F3500" s="1">
        <f>167.263253785147*(38.9/42.5)</f>
        <v>153.09507228805231</v>
      </c>
      <c r="G3500" s="1">
        <v>5.342429704396876</v>
      </c>
      <c r="H3500" s="1">
        <v>8.7144768179899934</v>
      </c>
      <c r="I3500" s="1">
        <v>110.8618930896765</v>
      </c>
      <c r="J3500" s="1">
        <v>4.8601655835179204E-2</v>
      </c>
      <c r="K3500" s="1">
        <v>2.9581056995667234</v>
      </c>
      <c r="L3500" s="1">
        <v>4.1953047545822431</v>
      </c>
      <c r="M3500" s="1">
        <v>0.23785658079291308</v>
      </c>
      <c r="N3500" s="1">
        <v>2.9169896749953304</v>
      </c>
      <c r="O3500" s="1">
        <v>0.19796800000000001</v>
      </c>
      <c r="P3500" s="1">
        <v>0.13967090643342778</v>
      </c>
      <c r="Q3500" s="1">
        <v>8.538129664561227</v>
      </c>
      <c r="R3500" s="2">
        <f t="shared" si="219"/>
        <v>484.17507602839441</v>
      </c>
      <c r="S3500" s="2">
        <f t="shared" si="218"/>
        <v>3.1463782618353302</v>
      </c>
      <c r="T3500" s="2">
        <f t="shared" si="220"/>
        <v>7.5481190103704874</v>
      </c>
      <c r="U3500" s="2">
        <f t="shared" si="221"/>
        <v>494.86957330060022</v>
      </c>
    </row>
    <row r="3501" spans="1:21" x14ac:dyDescent="0.25">
      <c r="A3501">
        <v>4722497</v>
      </c>
      <c r="B3501">
        <v>63</v>
      </c>
      <c r="C3501" s="1">
        <f>18.8415416339919*(10.3/7.3)</f>
        <v>26.584640935632425</v>
      </c>
      <c r="D3501" s="1">
        <f>27.0549909394608*(10.3/7.3)</f>
        <v>38.173480366636412</v>
      </c>
      <c r="E3501" s="1">
        <f>95.362912186107*(10.3/7.3)</f>
        <v>134.55315007080853</v>
      </c>
      <c r="F3501" s="1">
        <f>177.775313227958*(38.9/42.5)</f>
        <v>162.71669846041365</v>
      </c>
      <c r="G3501" s="1">
        <v>6.1307307455203164</v>
      </c>
      <c r="H3501" s="1">
        <v>8.0418651668594521</v>
      </c>
      <c r="I3501" s="1">
        <v>124.07887383918771</v>
      </c>
      <c r="J3501" s="1">
        <v>6.4213951564119187E-2</v>
      </c>
      <c r="K3501" s="1">
        <v>3.672818017025091</v>
      </c>
      <c r="L3501" s="1">
        <v>5.8568437829797224</v>
      </c>
      <c r="M3501" s="1">
        <v>0.2978741870296589</v>
      </c>
      <c r="N3501" s="1">
        <v>2.9309043625470967</v>
      </c>
      <c r="O3501" s="1">
        <v>0.24405417989417993</v>
      </c>
      <c r="P3501" s="1">
        <v>0.16655251784389338</v>
      </c>
      <c r="Q3501" s="1">
        <v>9.7979715111055405</v>
      </c>
      <c r="R3501" s="2">
        <f t="shared" si="219"/>
        <v>510.07741109616404</v>
      </c>
      <c r="S3501" s="2">
        <f t="shared" si="218"/>
        <v>3.9035844864331035</v>
      </c>
      <c r="T3501" s="2">
        <f t="shared" si="220"/>
        <v>9.3296765124506571</v>
      </c>
      <c r="U3501" s="2">
        <f t="shared" si="221"/>
        <v>523.31067209504783</v>
      </c>
    </row>
    <row r="3502" spans="1:21" x14ac:dyDescent="0.25">
      <c r="A3502">
        <v>4722505</v>
      </c>
      <c r="B3502">
        <v>70</v>
      </c>
      <c r="C3502" s="1">
        <f>10.9395396633814*(10.3/7.3)</f>
        <v>15.435240894907999</v>
      </c>
      <c r="D3502" s="1">
        <f>16.6076401203724*(10.3/7.3)</f>
        <v>23.432697704087129</v>
      </c>
      <c r="E3502" s="1">
        <f>58.4650562536833*(10.3/7.3)</f>
        <v>82.491791700402516</v>
      </c>
      <c r="F3502" s="1">
        <f>106.374252955021*(38.9/42.5)</f>
        <v>97.363727998831038</v>
      </c>
      <c r="G3502" s="1">
        <v>3.5844787346562472</v>
      </c>
      <c r="H3502" s="1">
        <v>5.794087446845368</v>
      </c>
      <c r="I3502" s="1">
        <v>72.302892533158399</v>
      </c>
      <c r="J3502" s="1">
        <v>5.2094782402514417E-2</v>
      </c>
      <c r="K3502" s="1">
        <v>3.1511658824389159</v>
      </c>
      <c r="L3502" s="1">
        <v>4.6571911974633</v>
      </c>
      <c r="M3502" s="1">
        <v>0.24131252179018473</v>
      </c>
      <c r="N3502" s="1">
        <v>2.3774021100694331</v>
      </c>
      <c r="O3502" s="1">
        <v>0.20420799999999997</v>
      </c>
      <c r="P3502" s="1">
        <v>0.14605087874017841</v>
      </c>
      <c r="Q3502" s="1">
        <v>5.7286189823273403</v>
      </c>
      <c r="R3502" s="2">
        <f t="shared" si="219"/>
        <v>306.13353599521605</v>
      </c>
      <c r="S3502" s="2">
        <f t="shared" si="218"/>
        <v>3.3493115435816083</v>
      </c>
      <c r="T3502" s="2">
        <f t="shared" si="220"/>
        <v>7.4801138293229181</v>
      </c>
      <c r="U3502" s="2">
        <f t="shared" si="221"/>
        <v>316.9629613681206</v>
      </c>
    </row>
    <row r="3503" spans="1:21" x14ac:dyDescent="0.25">
      <c r="A3503">
        <v>4722513</v>
      </c>
      <c r="B3503">
        <v>70</v>
      </c>
      <c r="C3503" s="1">
        <f>9.54972885309677*(10.3/7.3)</f>
        <v>13.474274957109138</v>
      </c>
      <c r="D3503" s="1">
        <f>14.6630670528888*(10.3/7.3)</f>
        <v>20.68898501982941</v>
      </c>
      <c r="E3503" s="1">
        <f>51.5890964732939*(10.3/7.3)</f>
        <v>72.790095023962635</v>
      </c>
      <c r="F3503" s="1">
        <f>94.2936982797038*(38.9/42.5)</f>
        <v>86.30646736659952</v>
      </c>
      <c r="G3503" s="1">
        <v>3.2070304599168376</v>
      </c>
      <c r="H3503" s="1">
        <v>5.7457645953428118</v>
      </c>
      <c r="I3503" s="1">
        <v>63.935570251768958</v>
      </c>
      <c r="J3503" s="1">
        <v>5.0102052683731628E-2</v>
      </c>
      <c r="K3503" s="1">
        <v>3.1266232495834303</v>
      </c>
      <c r="L3503" s="1">
        <v>4.5275192920571374</v>
      </c>
      <c r="M3503" s="1">
        <v>0.23402122636220513</v>
      </c>
      <c r="N3503" s="1">
        <v>2.3072491322247903</v>
      </c>
      <c r="O3503" s="1">
        <v>0.20158628571428569</v>
      </c>
      <c r="P3503" s="1">
        <v>0.14288692707589221</v>
      </c>
      <c r="Q3503" s="1">
        <v>5.1253911459858168</v>
      </c>
      <c r="R3503" s="2">
        <f t="shared" si="219"/>
        <v>271.27357882051513</v>
      </c>
      <c r="S3503" s="2">
        <f t="shared" si="218"/>
        <v>3.3196122293430541</v>
      </c>
      <c r="T3503" s="2">
        <f t="shared" si="220"/>
        <v>7.2703759363584188</v>
      </c>
      <c r="U3503" s="2">
        <f t="shared" si="221"/>
        <v>281.8635669862166</v>
      </c>
    </row>
    <row r="3504" spans="1:21" x14ac:dyDescent="0.25">
      <c r="A3504">
        <v>4722521</v>
      </c>
      <c r="B3504">
        <v>66</v>
      </c>
      <c r="C3504" s="1">
        <f>8.45772651661176*(10.3/7.3)</f>
        <v>11.933504537137145</v>
      </c>
      <c r="D3504" s="1">
        <f>12.8109341056466*(10.3/7.3)</f>
        <v>18.075701546323302</v>
      </c>
      <c r="E3504" s="1">
        <f>45.0705294491923*(10.3/7.3)</f>
        <v>63.592664839271272</v>
      </c>
      <c r="F3504" s="1">
        <f>83.6397660519878*(38.9/42.5)</f>
        <v>76.55498586876061</v>
      </c>
      <c r="G3504" s="1">
        <v>2.8994181863488082</v>
      </c>
      <c r="H3504" s="1">
        <v>5.5665653548982039</v>
      </c>
      <c r="I3504" s="1">
        <v>57.245239238469502</v>
      </c>
      <c r="J3504" s="1">
        <v>4.9901104840344331E-2</v>
      </c>
      <c r="K3504" s="1">
        <v>3.1574166474997396</v>
      </c>
      <c r="L3504" s="1">
        <v>4.6088995975460767</v>
      </c>
      <c r="M3504" s="1">
        <v>0.23231039153323707</v>
      </c>
      <c r="N3504" s="1">
        <v>2.3288012108069913</v>
      </c>
      <c r="O3504" s="1">
        <v>0.20150141414141415</v>
      </c>
      <c r="P3504" s="1">
        <v>0.14263891426982298</v>
      </c>
      <c r="Q3504" s="1">
        <v>4.6337733571784634</v>
      </c>
      <c r="R3504" s="2">
        <f t="shared" si="219"/>
        <v>240.50185292838731</v>
      </c>
      <c r="S3504" s="2">
        <f t="shared" si="218"/>
        <v>3.3499566666099065</v>
      </c>
      <c r="T3504" s="2">
        <f t="shared" si="220"/>
        <v>7.3715126140277194</v>
      </c>
      <c r="U3504" s="2">
        <f t="shared" si="221"/>
        <v>251.22332220902493</v>
      </c>
    </row>
    <row r="3505" spans="1:21" x14ac:dyDescent="0.25">
      <c r="A3505">
        <v>4722529</v>
      </c>
      <c r="B3505">
        <v>69</v>
      </c>
      <c r="C3505" s="1">
        <f>6.37373101969229*(10.3/7.3)</f>
        <v>8.993072534634333</v>
      </c>
      <c r="D3505" s="1">
        <f>9.45382993256988*(10.3/7.3)</f>
        <v>13.338965521297226</v>
      </c>
      <c r="E3505" s="1">
        <f>33.2715200654919*(10.3/7.3)</f>
        <v>46.944747489666717</v>
      </c>
      <c r="F3505" s="1">
        <f>62.4858034705492*(38.9/42.5)</f>
        <v>57.192888353043855</v>
      </c>
      <c r="G3505" s="1">
        <v>2.1930774949293674</v>
      </c>
      <c r="H3505" s="1">
        <v>4.6727223059393195</v>
      </c>
      <c r="I3505" s="1">
        <v>43.224772739423635</v>
      </c>
      <c r="J3505" s="1">
        <v>4.2579135302433929E-2</v>
      </c>
      <c r="K3505" s="1">
        <v>2.7935870032783905</v>
      </c>
      <c r="L3505" s="1">
        <v>3.9976550996336044</v>
      </c>
      <c r="M3505" s="1">
        <v>0.20055466849318435</v>
      </c>
      <c r="N3505" s="1">
        <v>2.0089412780266644</v>
      </c>
      <c r="O3505" s="1">
        <v>0.17409777777777774</v>
      </c>
      <c r="P3505" s="1">
        <v>0.12713638292067456</v>
      </c>
      <c r="Q3505" s="1">
        <v>3.5049183708916845</v>
      </c>
      <c r="R3505" s="2">
        <f t="shared" si="219"/>
        <v>180.06516480982611</v>
      </c>
      <c r="S3505" s="2">
        <f t="shared" si="218"/>
        <v>2.963302521501499</v>
      </c>
      <c r="T3505" s="2">
        <f t="shared" si="220"/>
        <v>6.3812488239312319</v>
      </c>
      <c r="U3505" s="2">
        <f t="shared" si="221"/>
        <v>189.40971615525885</v>
      </c>
    </row>
    <row r="3506" spans="1:21" x14ac:dyDescent="0.25">
      <c r="A3506">
        <v>4722537</v>
      </c>
      <c r="B3506">
        <v>68</v>
      </c>
      <c r="C3506" s="1">
        <f>6.15028736368745*(10.3/7.3)</f>
        <v>8.6778027186274951</v>
      </c>
      <c r="D3506" s="1">
        <f>8.7495182622761*(10.3/7.3)</f>
        <v>12.345210698827925</v>
      </c>
      <c r="E3506" s="1">
        <f>30.8340609811712*(10.3/7.3)</f>
        <v>43.505592891241584</v>
      </c>
      <c r="F3506" s="1">
        <f>58.3598563985339*(38.9/42.5)</f>
        <v>53.416433268305099</v>
      </c>
      <c r="G3506" s="1">
        <v>2.0519999687733597</v>
      </c>
      <c r="H3506" s="1">
        <v>4.5545797718481085</v>
      </c>
      <c r="I3506" s="1">
        <v>41.035397129419316</v>
      </c>
      <c r="J3506" s="1">
        <v>4.2812927509449275E-2</v>
      </c>
      <c r="K3506" s="1">
        <v>2.8121185373479243</v>
      </c>
      <c r="L3506" s="1">
        <v>4.0119073502808025</v>
      </c>
      <c r="M3506" s="1">
        <v>0.19864743162060261</v>
      </c>
      <c r="N3506" s="1">
        <v>2.042414569157645</v>
      </c>
      <c r="O3506" s="1">
        <v>0.17463137254901961</v>
      </c>
      <c r="P3506" s="1">
        <v>0.12748057103420304</v>
      </c>
      <c r="Q3506" s="1">
        <v>3.2794520048889342</v>
      </c>
      <c r="R3506" s="2">
        <f t="shared" si="219"/>
        <v>168.86646845193181</v>
      </c>
      <c r="S3506" s="2">
        <f t="shared" si="218"/>
        <v>2.9824120358915764</v>
      </c>
      <c r="T3506" s="2">
        <f t="shared" si="220"/>
        <v>6.4276007236080703</v>
      </c>
      <c r="U3506" s="2">
        <f t="shared" si="221"/>
        <v>178.27648121143145</v>
      </c>
    </row>
    <row r="3507" spans="1:21" x14ac:dyDescent="0.25">
      <c r="A3507">
        <v>4722545</v>
      </c>
      <c r="B3507">
        <v>69</v>
      </c>
      <c r="C3507" s="1">
        <f>9.12879048755712*(10.3/7.3)</f>
        <v>12.880348222169639</v>
      </c>
      <c r="D3507" s="1">
        <f>13.1124974425348*(10.3/7.3)</f>
        <v>18.501195021658631</v>
      </c>
      <c r="E3507" s="1">
        <f>46.1479524399918*(10.3/7.3)</f>
        <v>65.112864401632294</v>
      </c>
      <c r="F3507" s="1">
        <f>89.5591493881269*(38.9/42.5)</f>
        <v>81.972962616426756</v>
      </c>
      <c r="G3507" s="1">
        <v>3.2637255066207098</v>
      </c>
      <c r="H3507" s="1">
        <v>6.1765802413120898</v>
      </c>
      <c r="I3507" s="1">
        <v>63.19697364083332</v>
      </c>
      <c r="J3507" s="1">
        <v>6.3607469191902161E-2</v>
      </c>
      <c r="K3507" s="1">
        <v>3.7789839937806122</v>
      </c>
      <c r="L3507" s="1">
        <v>5.993280689100005</v>
      </c>
      <c r="M3507" s="1">
        <v>0.26941101989273247</v>
      </c>
      <c r="N3507" s="1">
        <v>2.933251519685796</v>
      </c>
      <c r="O3507" s="1">
        <v>0.2324722705314009</v>
      </c>
      <c r="P3507" s="1">
        <v>0.16045744729179343</v>
      </c>
      <c r="Q3507" s="1">
        <v>5.2159996681152947</v>
      </c>
      <c r="R3507" s="2">
        <f t="shared" si="219"/>
        <v>256.32064931876869</v>
      </c>
      <c r="S3507" s="2">
        <f t="shared" si="218"/>
        <v>4.0030489102643072</v>
      </c>
      <c r="T3507" s="2">
        <f t="shared" si="220"/>
        <v>9.4284154992099349</v>
      </c>
      <c r="U3507" s="2">
        <f t="shared" si="221"/>
        <v>269.75211372824293</v>
      </c>
    </row>
    <row r="3508" spans="1:21" x14ac:dyDescent="0.25">
      <c r="A3508">
        <v>4722553</v>
      </c>
      <c r="B3508">
        <v>68</v>
      </c>
      <c r="C3508" s="1">
        <f>9.72827738018565*(10.3/7.3)</f>
        <v>13.726199591220853</v>
      </c>
      <c r="D3508" s="1">
        <f>12.9872875361681*(10.3/7.3)</f>
        <v>18.324528989387797</v>
      </c>
      <c r="E3508" s="1">
        <f>45.8423520394531*(10.3/7.3)</f>
        <v>64.68167479539278</v>
      </c>
      <c r="F3508" s="1">
        <f>89.0671818568396*(38.9/42.5)</f>
        <v>81.522667628966161</v>
      </c>
      <c r="G3508" s="1">
        <v>3.2004503046249924</v>
      </c>
      <c r="H3508" s="1">
        <v>6.2056643992145313</v>
      </c>
      <c r="I3508" s="1">
        <v>64.432273844106874</v>
      </c>
      <c r="J3508" s="1">
        <v>6.4780118160679329E-2</v>
      </c>
      <c r="K3508" s="1">
        <v>3.7919015033959718</v>
      </c>
      <c r="L3508" s="1">
        <v>5.9962770508194705</v>
      </c>
      <c r="M3508" s="1">
        <v>0.26539875862847717</v>
      </c>
      <c r="N3508" s="1">
        <v>3.1873631566672374</v>
      </c>
      <c r="O3508" s="1">
        <v>0.23025254901960784</v>
      </c>
      <c r="P3508" s="1">
        <v>0.15684369439429258</v>
      </c>
      <c r="Q3508" s="1">
        <v>5.1148749160673459</v>
      </c>
      <c r="R3508" s="2">
        <f t="shared" si="219"/>
        <v>257.20833446898132</v>
      </c>
      <c r="S3508" s="2">
        <f t="shared" si="218"/>
        <v>4.0135253159509432</v>
      </c>
      <c r="T3508" s="2">
        <f t="shared" si="220"/>
        <v>9.6792915151347927</v>
      </c>
      <c r="U3508" s="2">
        <f t="shared" si="221"/>
        <v>270.901151300067</v>
      </c>
    </row>
    <row r="3509" spans="1:21" x14ac:dyDescent="0.25">
      <c r="A3509">
        <v>4722561</v>
      </c>
      <c r="B3509">
        <v>69</v>
      </c>
      <c r="C3509" s="1">
        <f>8.64408667576166*(10.3/7.3)</f>
        <v>12.196451063060975</v>
      </c>
      <c r="D3509" s="1">
        <f>12.0588829950644*(10.3/7.3)</f>
        <v>17.014588335501887</v>
      </c>
      <c r="E3509" s="1">
        <f>42.4424790507841*(10.3/7.3)</f>
        <v>59.884593729188538</v>
      </c>
      <c r="F3509" s="1">
        <f>84.7405451999069*(38.9/42.5)</f>
        <v>77.56252254767945</v>
      </c>
      <c r="G3509" s="1">
        <v>3.1829122010266833</v>
      </c>
      <c r="H3509" s="1">
        <v>6.2562733396768406</v>
      </c>
      <c r="I3509" s="1">
        <v>60.81247558112139</v>
      </c>
      <c r="J3509" s="1">
        <v>6.5659949896263323E-2</v>
      </c>
      <c r="K3509" s="1">
        <v>3.8146221336732826</v>
      </c>
      <c r="L3509" s="1">
        <v>5.9786296220840498</v>
      </c>
      <c r="M3509" s="1">
        <v>0.26149413972291846</v>
      </c>
      <c r="N3509" s="1">
        <v>3.0201498507152218</v>
      </c>
      <c r="O3509" s="1">
        <v>0.22716057971014497</v>
      </c>
      <c r="P3509" s="1">
        <v>0.15329184810488983</v>
      </c>
      <c r="Q3509" s="1">
        <v>5.0868459833759845</v>
      </c>
      <c r="R3509" s="2">
        <f t="shared" si="219"/>
        <v>241.99666278063177</v>
      </c>
      <c r="S3509" s="2">
        <f t="shared" si="218"/>
        <v>4.0335739316744359</v>
      </c>
      <c r="T3509" s="2">
        <f t="shared" si="220"/>
        <v>9.4874341922323353</v>
      </c>
      <c r="U3509" s="2">
        <f t="shared" si="221"/>
        <v>255.51767090453853</v>
      </c>
    </row>
    <row r="3510" spans="1:21" x14ac:dyDescent="0.25">
      <c r="A3510">
        <v>4722569</v>
      </c>
      <c r="B3510">
        <v>69</v>
      </c>
      <c r="C3510" s="1">
        <f>8.39345145475226*(10.3/7.3)</f>
        <v>11.842815066294287</v>
      </c>
      <c r="D3510" s="1">
        <f>11.5073270005619*(10.3/7.3)</f>
        <v>16.236365493943474</v>
      </c>
      <c r="E3510" s="1">
        <f>40.5055490027286*(10.3/7.3)</f>
        <v>57.151665031247269</v>
      </c>
      <c r="F3510" s="1">
        <f>82.1113223645885*(38.9/42.5)</f>
        <v>75.156010352529236</v>
      </c>
      <c r="G3510" s="1">
        <v>3.1311462794714555</v>
      </c>
      <c r="H3510" s="1">
        <v>6.2597784728975263</v>
      </c>
      <c r="I3510" s="1">
        <v>59.474705566285856</v>
      </c>
      <c r="J3510" s="1">
        <v>6.5589598807882774E-2</v>
      </c>
      <c r="K3510" s="1">
        <v>3.776773103697868</v>
      </c>
      <c r="L3510" s="1">
        <v>5.8357093318631241</v>
      </c>
      <c r="M3510" s="1">
        <v>0.25369922682729118</v>
      </c>
      <c r="N3510" s="1">
        <v>3.1078064074035026</v>
      </c>
      <c r="O3510" s="1">
        <v>0.22130705314009658</v>
      </c>
      <c r="P3510" s="1">
        <v>0.14935363597657153</v>
      </c>
      <c r="Q3510" s="1">
        <v>5.0041150585160334</v>
      </c>
      <c r="R3510" s="2">
        <f t="shared" si="219"/>
        <v>234.25660132118512</v>
      </c>
      <c r="S3510" s="2">
        <f t="shared" si="218"/>
        <v>3.9917163384823224</v>
      </c>
      <c r="T3510" s="2">
        <f t="shared" si="220"/>
        <v>9.4185220192340147</v>
      </c>
      <c r="U3510" s="2">
        <f t="shared" si="221"/>
        <v>247.66683967890145</v>
      </c>
    </row>
    <row r="3511" spans="1:21" x14ac:dyDescent="0.25">
      <c r="A3511">
        <v>4722577</v>
      </c>
      <c r="B3511">
        <v>63</v>
      </c>
      <c r="C3511" s="1">
        <f>7.69411261375675*(10.3/7.3)</f>
        <v>10.856076701601992</v>
      </c>
      <c r="D3511" s="1">
        <f>10.4048589114461*(10.3/7.3)</f>
        <v>14.680828327108902</v>
      </c>
      <c r="E3511" s="1">
        <f>36.6242428564673*(10.3/7.3)</f>
        <v>51.675301564604588</v>
      </c>
      <c r="F3511" s="1">
        <f>75.3303325455698*(38.9/42.5)</f>
        <v>68.949410259356853</v>
      </c>
      <c r="G3511" s="1">
        <v>2.9148288673829827</v>
      </c>
      <c r="H3511" s="1">
        <v>5.9874908223890335</v>
      </c>
      <c r="I3511" s="1">
        <v>54.987266105061885</v>
      </c>
      <c r="J3511" s="1">
        <v>6.3375413678764148E-2</v>
      </c>
      <c r="K3511" s="1">
        <v>3.5270298498837431</v>
      </c>
      <c r="L3511" s="1">
        <v>5.2780877702653006</v>
      </c>
      <c r="M3511" s="1">
        <v>0.23203602460112926</v>
      </c>
      <c r="N3511" s="1">
        <v>3.3726656074891954</v>
      </c>
      <c r="O3511" s="1">
        <v>0.20346074074074075</v>
      </c>
      <c r="P3511" s="1">
        <v>0.13910836088684361</v>
      </c>
      <c r="Q3511" s="1">
        <v>4.6584022994705254</v>
      </c>
      <c r="R3511" s="2">
        <f t="shared" si="219"/>
        <v>214.70960494697678</v>
      </c>
      <c r="S3511" s="2">
        <f t="shared" si="218"/>
        <v>3.7295136244493512</v>
      </c>
      <c r="T3511" s="2">
        <f t="shared" si="220"/>
        <v>9.0862501430963665</v>
      </c>
      <c r="U3511" s="2">
        <f t="shared" si="221"/>
        <v>227.5253687145225</v>
      </c>
    </row>
    <row r="3512" spans="1:21" x14ac:dyDescent="0.25">
      <c r="A3512">
        <v>4722585</v>
      </c>
      <c r="B3512">
        <v>36</v>
      </c>
      <c r="C3512" s="1">
        <f>6.75425458640912*(10.3/7.3)</f>
        <v>9.5299756493169809</v>
      </c>
      <c r="D3512" s="1">
        <f>8.98676324510543*(10.3/7.3)</f>
        <v>12.679953619806289</v>
      </c>
      <c r="E3512" s="1">
        <f>31.6358457692362*(10.3/7.3)</f>
        <v>44.636878277141541</v>
      </c>
      <c r="F3512" s="1">
        <f>66.0039084136693*(38.9/42.5)</f>
        <v>60.412989112746693</v>
      </c>
      <c r="G3512" s="1">
        <v>2.5883712360533773</v>
      </c>
      <c r="H3512" s="1">
        <v>5.9265474049031894</v>
      </c>
      <c r="I3512" s="1">
        <v>48.581182797334975</v>
      </c>
      <c r="J3512" s="1">
        <v>5.5623922319833562E-2</v>
      </c>
      <c r="K3512" s="1">
        <v>3.171987411320313</v>
      </c>
      <c r="L3512" s="1">
        <v>4.5200332269361434</v>
      </c>
      <c r="M3512" s="1">
        <v>0.20390541506542925</v>
      </c>
      <c r="N3512" s="1">
        <v>2.9888610589966742</v>
      </c>
      <c r="O3512" s="1">
        <v>0.18095407407407407</v>
      </c>
      <c r="P3512" s="1">
        <v>0.12612717021164693</v>
      </c>
      <c r="Q3512" s="1">
        <v>4.1366663589894195</v>
      </c>
      <c r="R3512" s="2">
        <f t="shared" si="219"/>
        <v>188.49256445629248</v>
      </c>
      <c r="S3512" s="2">
        <f t="shared" si="218"/>
        <v>3.3537385038517935</v>
      </c>
      <c r="T3512" s="2">
        <f t="shared" si="220"/>
        <v>7.8937537750723203</v>
      </c>
      <c r="U3512" s="2">
        <f t="shared" si="221"/>
        <v>199.7400567352166</v>
      </c>
    </row>
    <row r="3513" spans="1:21" x14ac:dyDescent="0.25">
      <c r="A3513">
        <v>4722593</v>
      </c>
      <c r="B3513">
        <v>31</v>
      </c>
      <c r="C3513" s="1">
        <f>7.11027963808702*(10.3/7.3)</f>
        <v>10.032312366067995</v>
      </c>
      <c r="D3513" s="1">
        <f>9.24377364177484*(10.3/7.3)</f>
        <v>13.04258472743574</v>
      </c>
      <c r="E3513" s="1">
        <f>32.5333333141824*(10.3/7.3)</f>
        <v>45.903196320010764</v>
      </c>
      <c r="F3513" s="1">
        <f>69.8822992833396*(38.9/42.5)</f>
        <v>63.962857461692018</v>
      </c>
      <c r="G3513" s="1">
        <v>2.8184996561058582</v>
      </c>
      <c r="H3513" s="1">
        <v>6.7041938742361831</v>
      </c>
      <c r="I3513" s="1">
        <v>52.12572462822498</v>
      </c>
      <c r="J3513" s="1">
        <v>5.5569817669775097E-2</v>
      </c>
      <c r="K3513" s="1">
        <v>3.2474868211112518</v>
      </c>
      <c r="L3513" s="1">
        <v>4.6745727856837576</v>
      </c>
      <c r="M3513" s="1">
        <v>0.20520824065535759</v>
      </c>
      <c r="N3513" s="1">
        <v>3.9855319726221365</v>
      </c>
      <c r="O3513" s="1">
        <v>0.18116645161290318</v>
      </c>
      <c r="P3513" s="1">
        <v>0.12586491430019661</v>
      </c>
      <c r="Q3513" s="1">
        <v>4.504451505192014</v>
      </c>
      <c r="R3513" s="2">
        <f t="shared" si="219"/>
        <v>199.09382053896556</v>
      </c>
      <c r="S3513" s="2">
        <f t="shared" si="218"/>
        <v>3.4289215530812234</v>
      </c>
      <c r="T3513" s="2">
        <f t="shared" si="220"/>
        <v>9.0464794505741537</v>
      </c>
      <c r="U3513" s="2">
        <f t="shared" si="221"/>
        <v>211.56922154262094</v>
      </c>
    </row>
    <row r="3514" spans="1:21" x14ac:dyDescent="0.25">
      <c r="A3514">
        <v>4722601</v>
      </c>
      <c r="B3514">
        <v>1</v>
      </c>
      <c r="C3514" s="1">
        <f>5.64379490183135*(10.3/7.3)</f>
        <v>7.9631626697072466</v>
      </c>
      <c r="D3514" s="1">
        <f>7.26549126025119*(10.3/7.3)</f>
        <v>10.251309586381812</v>
      </c>
      <c r="E3514" s="1">
        <f>25.5526283122519*(10.3/7.3)</f>
        <v>36.05370844057456</v>
      </c>
      <c r="F3514" s="1">
        <f>56.3627642360219*(38.9/42.5)</f>
        <v>51.588506559558887</v>
      </c>
      <c r="G3514" s="1">
        <v>2.3336649676781822</v>
      </c>
      <c r="H3514" s="1">
        <v>5.9623776556035306</v>
      </c>
      <c r="I3514" s="1">
        <v>42.387876092959289</v>
      </c>
      <c r="J3514" s="1">
        <v>4.4180237520157671E-2</v>
      </c>
      <c r="K3514" s="1">
        <v>2.797604841433289</v>
      </c>
      <c r="L3514" s="1">
        <v>3.7143273726213826</v>
      </c>
      <c r="M3514" s="1">
        <v>0.17317518992220204</v>
      </c>
      <c r="N3514" s="1">
        <v>2.3591322635614196</v>
      </c>
      <c r="O3514" s="1">
        <v>0.15589333333333333</v>
      </c>
      <c r="P3514" s="1">
        <v>0.11137951448876747</v>
      </c>
      <c r="Q3514" s="1">
        <v>3.7296015465176469</v>
      </c>
      <c r="R3514" s="2">
        <f t="shared" si="219"/>
        <v>160.27020751898115</v>
      </c>
      <c r="S3514" s="2">
        <f t="shared" si="218"/>
        <v>2.9531645934422142</v>
      </c>
      <c r="T3514" s="2">
        <f t="shared" si="220"/>
        <v>6.4025281594383374</v>
      </c>
      <c r="U3514" s="2">
        <f t="shared" si="221"/>
        <v>169.6259002718617</v>
      </c>
    </row>
    <row r="3515" spans="1:21" x14ac:dyDescent="0.25">
      <c r="A3515">
        <v>4722657</v>
      </c>
      <c r="B3515">
        <v>9</v>
      </c>
      <c r="C3515" s="1">
        <f>3.82590258647474*(10.3/7.3)</f>
        <v>5.3981913206424439</v>
      </c>
      <c r="D3515" s="1">
        <f>5.11627749491093*(10.3/7.3)</f>
        <v>7.2188572873400805</v>
      </c>
      <c r="E3515" s="1">
        <f>17.8933192282991*(10.3/7.3)</f>
        <v>25.246738089243891</v>
      </c>
      <c r="F3515" s="1">
        <f>43.0708354562655*(38.9/42.5)</f>
        <v>39.422482335264149</v>
      </c>
      <c r="G3515" s="1">
        <v>1.9476416131268692</v>
      </c>
      <c r="H3515" s="1">
        <v>9.3225833540948351</v>
      </c>
      <c r="I3515" s="1">
        <v>32.573985265586515</v>
      </c>
      <c r="J3515" s="1">
        <v>3.7400540850290979E-2</v>
      </c>
      <c r="K3515" s="1">
        <v>2.3303058136091375</v>
      </c>
      <c r="L3515" s="1">
        <v>3.7150576732937757</v>
      </c>
      <c r="M3515" s="1">
        <v>0.12484051320386623</v>
      </c>
      <c r="N3515" s="1">
        <v>1.5999341325657233</v>
      </c>
      <c r="O3515" s="1">
        <v>0.11148444444444447</v>
      </c>
      <c r="P3515" s="1">
        <v>8.7464156072279711E-2</v>
      </c>
      <c r="Q3515" s="1">
        <v>3.1126692447233104</v>
      </c>
      <c r="R3515" s="2">
        <f t="shared" si="219"/>
        <v>124.2431485100221</v>
      </c>
      <c r="S3515" s="2">
        <f t="shared" si="218"/>
        <v>2.4551705105317083</v>
      </c>
      <c r="T3515" s="2">
        <f t="shared" si="220"/>
        <v>5.5513167635078098</v>
      </c>
      <c r="U3515" s="2">
        <f t="shared" si="221"/>
        <v>132.24963578406161</v>
      </c>
    </row>
    <row r="3516" spans="1:21" x14ac:dyDescent="0.25">
      <c r="A3516">
        <v>4722881</v>
      </c>
      <c r="B3516">
        <v>12</v>
      </c>
      <c r="C3516" s="1">
        <f>6.29433818621087*(10.3/7.3)</f>
        <v>8.8810525093112354</v>
      </c>
      <c r="D3516" s="1">
        <f>7.33246111606003*(10.3/7.3)</f>
        <v>10.345801300742238</v>
      </c>
      <c r="E3516" s="1">
        <f>25.8206200348532*(10.3/7.3)</f>
        <v>36.431833747806536</v>
      </c>
      <c r="F3516" s="1">
        <f>61.3319370265662*(38.9/42.5)</f>
        <v>56.136761184315887</v>
      </c>
      <c r="G3516" s="1">
        <v>2.682462938517745</v>
      </c>
      <c r="H3516" s="1">
        <v>7.4171418188040734</v>
      </c>
      <c r="I3516" s="1">
        <v>48.111735150652805</v>
      </c>
      <c r="J3516" s="1">
        <v>3.117835400741438E-2</v>
      </c>
      <c r="K3516" s="1">
        <v>2.0061823371080374</v>
      </c>
      <c r="L3516" s="1">
        <v>2.1753406845278493</v>
      </c>
      <c r="M3516" s="1">
        <v>9.6933245867520446E-2</v>
      </c>
      <c r="N3516" s="1">
        <v>1.2840525735268224</v>
      </c>
      <c r="O3516" s="1">
        <v>9.2231111111111111E-2</v>
      </c>
      <c r="P3516" s="1">
        <v>7.2498445352430524E-2</v>
      </c>
      <c r="Q3516" s="1">
        <v>4.2870412259416053</v>
      </c>
      <c r="R3516" s="2">
        <f t="shared" si="219"/>
        <v>174.2938298760921</v>
      </c>
      <c r="S3516" s="2">
        <f t="shared" si="218"/>
        <v>2.109859136467882</v>
      </c>
      <c r="T3516" s="2">
        <f t="shared" si="220"/>
        <v>3.6485576150333032</v>
      </c>
      <c r="U3516" s="2">
        <f t="shared" si="221"/>
        <v>180.05224662759329</v>
      </c>
    </row>
    <row r="3517" spans="1:21" x14ac:dyDescent="0.25">
      <c r="A3517">
        <v>4722913</v>
      </c>
      <c r="B3517">
        <v>5</v>
      </c>
      <c r="C3517" s="1">
        <f>6.20379318214009*(10.3/7.3)</f>
        <v>8.7532972295949243</v>
      </c>
      <c r="D3517" s="1">
        <f>7.11744467985639*(10.3/7.3)</f>
        <v>10.042421945550796</v>
      </c>
      <c r="E3517" s="1">
        <f>25.1174054615886*(10.3/7.3)</f>
        <v>35.439626884159217</v>
      </c>
      <c r="F3517" s="1">
        <f>57.8647532218793*(38.9/42.5)</f>
        <v>52.963268243084826</v>
      </c>
      <c r="G3517" s="1">
        <v>2.4516894028251253</v>
      </c>
      <c r="H3517" s="1">
        <v>5.366475798643493</v>
      </c>
      <c r="I3517" s="1">
        <v>45.40168861605072</v>
      </c>
      <c r="J3517" s="1">
        <v>3.4857070224797462E-2</v>
      </c>
      <c r="K3517" s="1">
        <v>2.2970070506487188</v>
      </c>
      <c r="L3517" s="1">
        <v>2.5018070491975082</v>
      </c>
      <c r="M3517" s="1">
        <v>0.10789985620801117</v>
      </c>
      <c r="N3517" s="1">
        <v>1.3800636580436874</v>
      </c>
      <c r="O3517" s="1">
        <v>0.10475733333333334</v>
      </c>
      <c r="P3517" s="1">
        <v>8.0729063184120611E-2</v>
      </c>
      <c r="Q3517" s="1">
        <v>3.9182250730081947</v>
      </c>
      <c r="R3517" s="2">
        <f t="shared" si="219"/>
        <v>164.33669319291729</v>
      </c>
      <c r="S3517" s="2">
        <f t="shared" si="218"/>
        <v>2.4125931840576369</v>
      </c>
      <c r="T3517" s="2">
        <f t="shared" si="220"/>
        <v>4.09452789678254</v>
      </c>
      <c r="U3517" s="2">
        <f t="shared" si="221"/>
        <v>170.84381427375749</v>
      </c>
    </row>
    <row r="3518" spans="1:21" x14ac:dyDescent="0.25">
      <c r="A3518">
        <v>4734213</v>
      </c>
      <c r="B3518">
        <v>62</v>
      </c>
      <c r="C3518" s="1">
        <f>0.666213711486468*(10.3/7.3)</f>
        <v>0.94000016826172939</v>
      </c>
      <c r="D3518" s="1">
        <f>0.931079421767531*(10.3/7.3)</f>
        <v>1.3137148005761057</v>
      </c>
      <c r="E3518" s="1">
        <f>3.23591780141161*(10.3/7.3)</f>
        <v>4.5657470348684406</v>
      </c>
      <c r="F3518" s="1">
        <f>8.52356687524434*(38.9/42.5)</f>
        <v>7.8015706222824681</v>
      </c>
      <c r="G3518" s="1">
        <v>0.41612439263479795</v>
      </c>
      <c r="H3518" s="1">
        <v>1.7061502134518518</v>
      </c>
      <c r="I3518" s="1">
        <v>6.4804438706871901</v>
      </c>
      <c r="J3518" s="1">
        <v>4.2174981551020591E-2</v>
      </c>
      <c r="K3518" s="1">
        <v>2.9822550933280603</v>
      </c>
      <c r="L3518" s="1">
        <v>2.3029602847341915</v>
      </c>
      <c r="M3518" s="1">
        <v>0.41783824725879076</v>
      </c>
      <c r="N3518" s="1">
        <v>1.3822556177572929</v>
      </c>
      <c r="O3518" s="1">
        <v>0.47948989247311835</v>
      </c>
      <c r="P3518" s="1">
        <v>0.25267351779225772</v>
      </c>
      <c r="Q3518" s="1">
        <v>0.66503898366291991</v>
      </c>
      <c r="R3518" s="2">
        <f t="shared" si="219"/>
        <v>23.888790086425502</v>
      </c>
      <c r="S3518" s="2">
        <f t="shared" si="218"/>
        <v>3.2771035926713385</v>
      </c>
      <c r="T3518" s="2">
        <f t="shared" si="220"/>
        <v>4.5825440422233941</v>
      </c>
      <c r="U3518" s="2">
        <f t="shared" si="221"/>
        <v>31.748437721320233</v>
      </c>
    </row>
    <row r="3519" spans="1:21" x14ac:dyDescent="0.25">
      <c r="A3519">
        <v>4734221</v>
      </c>
      <c r="B3519">
        <v>69</v>
      </c>
      <c r="C3519" s="1">
        <f>0.764489375183889*(10.3/7.3)</f>
        <v>1.0786630910128847</v>
      </c>
      <c r="D3519" s="1">
        <f>1.08769749312205*(10.3/7.3)</f>
        <v>1.5346964628982349</v>
      </c>
      <c r="E3519" s="1">
        <f>3.77069877965789*(10.3/7.3)</f>
        <v>5.3203010178734624</v>
      </c>
      <c r="F3519" s="1">
        <f>10.2808418290744*(38.9/42.5)</f>
        <v>9.4099940506116617</v>
      </c>
      <c r="G3519" s="1">
        <v>0.51520231690230589</v>
      </c>
      <c r="H3519" s="1">
        <v>2.1447472035721868</v>
      </c>
      <c r="I3519" s="1">
        <v>7.8321838606775431</v>
      </c>
      <c r="J3519" s="1">
        <v>5.0769502485171404E-2</v>
      </c>
      <c r="K3519" s="1">
        <v>3.3649820549717511</v>
      </c>
      <c r="L3519" s="1">
        <v>2.610472936341651</v>
      </c>
      <c r="M3519" s="1">
        <v>0.50583337582048526</v>
      </c>
      <c r="N3519" s="1">
        <v>1.6683917843578737</v>
      </c>
      <c r="O3519" s="1">
        <v>0.59666937198067616</v>
      </c>
      <c r="P3519" s="1">
        <v>0.27767224466188478</v>
      </c>
      <c r="Q3519" s="1">
        <v>0.8233826982456951</v>
      </c>
      <c r="R3519" s="2">
        <f t="shared" si="219"/>
        <v>28.659170701793975</v>
      </c>
      <c r="S3519" s="2">
        <f t="shared" si="218"/>
        <v>3.6934238021188075</v>
      </c>
      <c r="T3519" s="2">
        <f t="shared" si="220"/>
        <v>5.3813674685006863</v>
      </c>
      <c r="U3519" s="2">
        <f t="shared" si="221"/>
        <v>37.733961972413468</v>
      </c>
    </row>
    <row r="3520" spans="1:21" x14ac:dyDescent="0.25">
      <c r="A3520">
        <v>4734229</v>
      </c>
      <c r="B3520">
        <v>20</v>
      </c>
      <c r="C3520" s="1">
        <f>0.899183582948091*(10.3/7.3)</f>
        <v>1.2687110827897725</v>
      </c>
      <c r="D3520" s="1">
        <f>1.30909894746645*(10.3/7.3)</f>
        <v>1.8470848162882789</v>
      </c>
      <c r="E3520" s="1">
        <f>4.52351971681927*(10.3/7.3)</f>
        <v>6.3825004223614421</v>
      </c>
      <c r="F3520" s="1">
        <f>12.8758907377483*(38.9/42.5)</f>
        <v>11.785227051727302</v>
      </c>
      <c r="G3520" s="1">
        <v>0.66518571648816838</v>
      </c>
      <c r="H3520" s="1">
        <v>2.680349085359031</v>
      </c>
      <c r="I3520" s="1">
        <v>9.8338365962836427</v>
      </c>
      <c r="J3520" s="1">
        <v>6.1926164273596339E-2</v>
      </c>
      <c r="K3520" s="1">
        <v>3.6659902003284452</v>
      </c>
      <c r="L3520" s="1">
        <v>2.9684887060187242</v>
      </c>
      <c r="M3520" s="1">
        <v>0.57715731958080874</v>
      </c>
      <c r="N3520" s="1">
        <v>1.9442549801086393</v>
      </c>
      <c r="O3520" s="1">
        <v>0.63013866666666662</v>
      </c>
      <c r="P3520" s="1">
        <v>0.29626939041383421</v>
      </c>
      <c r="Q3520" s="1">
        <v>1.0630821953007266</v>
      </c>
      <c r="R3520" s="2">
        <f t="shared" si="219"/>
        <v>35.525976966598364</v>
      </c>
      <c r="S3520" s="2">
        <f t="shared" si="218"/>
        <v>4.0241857550158757</v>
      </c>
      <c r="T3520" s="2">
        <f t="shared" si="220"/>
        <v>6.1200396723748387</v>
      </c>
      <c r="U3520" s="2">
        <f t="shared" si="221"/>
        <v>45.670202393989079</v>
      </c>
    </row>
    <row r="3521" spans="1:21" x14ac:dyDescent="0.25">
      <c r="A3521">
        <v>4734381</v>
      </c>
      <c r="B3521">
        <v>4</v>
      </c>
      <c r="C3521" s="1">
        <f>1.94137383911443*(10.3/7.3)</f>
        <v>2.7391987045039201</v>
      </c>
      <c r="D3521" s="1">
        <f>2.73391280655738*(10.3/7.3)</f>
        <v>3.8574386174713697</v>
      </c>
      <c r="E3521" s="1">
        <f>9.36872576421669*(10.3/7.3)</f>
        <v>13.21888703718246</v>
      </c>
      <c r="F3521" s="1">
        <f>31.3177845271234*(38.9/42.5)</f>
        <v>28.66498395541414</v>
      </c>
      <c r="G3521" s="1">
        <v>1.7639288307415777</v>
      </c>
      <c r="H3521" s="1">
        <v>8.5287193620154174</v>
      </c>
      <c r="I3521" s="1">
        <v>24.673193945418912</v>
      </c>
      <c r="J3521" s="1">
        <v>4.0575635928400661E-2</v>
      </c>
      <c r="K3521" s="1">
        <v>2.8845374238408215</v>
      </c>
      <c r="L3521" s="1">
        <v>2.9878401345890913</v>
      </c>
      <c r="M3521" s="1">
        <v>0.83982206319187047</v>
      </c>
      <c r="N3521" s="1">
        <v>1.6752402677610292</v>
      </c>
      <c r="O3521" s="1">
        <v>0.31191999999999998</v>
      </c>
      <c r="P3521" s="1">
        <v>0.20231798112243671</v>
      </c>
      <c r="Q3521" s="1">
        <v>2.8190643413678216</v>
      </c>
      <c r="R3521" s="2">
        <f t="shared" si="219"/>
        <v>86.265414794115614</v>
      </c>
      <c r="S3521" s="2">
        <f t="shared" si="218"/>
        <v>3.1274310408916586</v>
      </c>
      <c r="T3521" s="2">
        <f t="shared" si="220"/>
        <v>5.8148224655419902</v>
      </c>
      <c r="U3521" s="2">
        <f t="shared" si="221"/>
        <v>95.207668300549273</v>
      </c>
    </row>
    <row r="3522" spans="1:21" x14ac:dyDescent="0.25">
      <c r="A3522">
        <v>4734389</v>
      </c>
      <c r="B3522">
        <v>64</v>
      </c>
      <c r="C3522" s="1">
        <f>1.65494602026652*(10.3/7.3)</f>
        <v>2.3350608231157803</v>
      </c>
      <c r="D3522" s="1">
        <f>2.32709698809853*(10.3/7.3)</f>
        <v>3.2834382160842264</v>
      </c>
      <c r="E3522" s="1">
        <f>7.96845707549304*(10.3/7.3)</f>
        <v>11.243165462681956</v>
      </c>
      <c r="F3522" s="1">
        <f>26.981343268554*(38.9/42.5)</f>
        <v>24.695864779923568</v>
      </c>
      <c r="G3522" s="1">
        <v>1.5290534988653472</v>
      </c>
      <c r="H3522" s="1">
        <v>6.5780351371196337</v>
      </c>
      <c r="I3522" s="1">
        <v>21.299353403185094</v>
      </c>
      <c r="J3522" s="1">
        <v>4.2909265394753357E-2</v>
      </c>
      <c r="K3522" s="1">
        <v>3.1610982506623797</v>
      </c>
      <c r="L3522" s="1">
        <v>3.4075872052943579</v>
      </c>
      <c r="M3522" s="1">
        <v>0.88212716394045676</v>
      </c>
      <c r="N3522" s="1">
        <v>1.8901781777784565</v>
      </c>
      <c r="O3522" s="1">
        <v>0.33811416666666666</v>
      </c>
      <c r="P3522" s="1">
        <v>0.22206306965223824</v>
      </c>
      <c r="Q3522" s="1">
        <v>2.4436928064058083</v>
      </c>
      <c r="R3522" s="2">
        <f t="shared" si="219"/>
        <v>73.407664127381409</v>
      </c>
      <c r="S3522" s="2">
        <f t="shared" si="218"/>
        <v>3.426070585709371</v>
      </c>
      <c r="T3522" s="2">
        <f t="shared" si="220"/>
        <v>6.5180067136799371</v>
      </c>
      <c r="U3522" s="2">
        <f t="shared" si="221"/>
        <v>83.351741426770715</v>
      </c>
    </row>
    <row r="3523" spans="1:21" x14ac:dyDescent="0.25">
      <c r="A3523">
        <v>4734397</v>
      </c>
      <c r="B3523">
        <v>63</v>
      </c>
      <c r="C3523" s="1">
        <f>1.61463705206407*(10.3/7.3)</f>
        <v>2.278186525515062</v>
      </c>
      <c r="D3523" s="1">
        <f>2.20100038523085*(10.3/7.3)</f>
        <v>3.1055210914900977</v>
      </c>
      <c r="E3523" s="1">
        <f>7.54956030984297*(10.3/7.3)</f>
        <v>10.652119341285292</v>
      </c>
      <c r="F3523" s="1">
        <f>25.3916004121898*(38.9/42.5)</f>
        <v>23.240782494921955</v>
      </c>
      <c r="G3523" s="1">
        <v>1.4306673376744243</v>
      </c>
      <c r="H3523" s="1">
        <v>6.2819706953324603</v>
      </c>
      <c r="I3523" s="1">
        <v>20.1385652478459</v>
      </c>
      <c r="J3523" s="1">
        <v>3.7774616305332111E-2</v>
      </c>
      <c r="K3523" s="1">
        <v>2.8165926835533193</v>
      </c>
      <c r="L3523" s="1">
        <v>3.149907329899428</v>
      </c>
      <c r="M3523" s="1">
        <v>0.75223395164616691</v>
      </c>
      <c r="N3523" s="1">
        <v>1.6961275838893193</v>
      </c>
      <c r="O3523" s="1">
        <v>0.2953904761904762</v>
      </c>
      <c r="P3523" s="1">
        <v>0.19757654183812048</v>
      </c>
      <c r="Q3523" s="1">
        <v>2.286454649251366</v>
      </c>
      <c r="R3523" s="2">
        <f t="shared" si="219"/>
        <v>69.414267383316556</v>
      </c>
      <c r="S3523" s="2">
        <f t="shared" si="218"/>
        <v>3.0519438416967719</v>
      </c>
      <c r="T3523" s="2">
        <f t="shared" si="220"/>
        <v>5.8936593416253906</v>
      </c>
      <c r="U3523" s="2">
        <f t="shared" si="221"/>
        <v>78.359870566638719</v>
      </c>
    </row>
    <row r="3524" spans="1:21" x14ac:dyDescent="0.25">
      <c r="A3524">
        <v>4734405</v>
      </c>
      <c r="B3524">
        <v>7</v>
      </c>
      <c r="C3524" s="1">
        <f>1.99350739167823*(10.3/7.3)</f>
        <v>2.8127570046966741</v>
      </c>
      <c r="D3524" s="1">
        <f>2.73238245401414*(10.3/7.3)</f>
        <v>3.8552793529240637</v>
      </c>
      <c r="E3524" s="1">
        <f>9.33746889069543*(10.3/7.3)</f>
        <v>13.17478487317301</v>
      </c>
      <c r="F3524" s="1">
        <f>33.0967074612816*(38.9/42.5)</f>
        <v>30.293221652796529</v>
      </c>
      <c r="G3524" s="1">
        <v>1.9124556848420811</v>
      </c>
      <c r="H3524" s="1">
        <v>9.5134114303694162</v>
      </c>
      <c r="I3524" s="1">
        <v>26.397929824559032</v>
      </c>
      <c r="J3524" s="1">
        <v>4.2098642991259407E-2</v>
      </c>
      <c r="K3524" s="1">
        <v>2.9984287673974501</v>
      </c>
      <c r="L3524" s="1">
        <v>3.3424096218473855</v>
      </c>
      <c r="M3524" s="1">
        <v>0.78665721120425047</v>
      </c>
      <c r="N3524" s="1">
        <v>1.9781014831721992</v>
      </c>
      <c r="O3524" s="1">
        <v>0.30968380952380953</v>
      </c>
      <c r="P3524" s="1">
        <v>0.20759199658029187</v>
      </c>
      <c r="Q3524" s="1">
        <v>3.0564360260033285</v>
      </c>
      <c r="R3524" s="2">
        <f t="shared" si="219"/>
        <v>91.016275849364135</v>
      </c>
      <c r="S3524" s="2">
        <f t="shared" si="218"/>
        <v>3.2481194069690016</v>
      </c>
      <c r="T3524" s="2">
        <f t="shared" si="220"/>
        <v>6.4168521257476456</v>
      </c>
      <c r="U3524" s="2">
        <f t="shared" si="221"/>
        <v>100.68124738208078</v>
      </c>
    </row>
    <row r="3525" spans="1:21" x14ac:dyDescent="0.25">
      <c r="A3525">
        <v>4734469</v>
      </c>
      <c r="B3525">
        <v>8</v>
      </c>
      <c r="C3525" s="1">
        <f>1.49862270942154*(10.3/7.3)</f>
        <v>2.1144950557591549</v>
      </c>
      <c r="D3525" s="1">
        <f>2.26344752208875*(10.3/7.3)</f>
        <v>3.1936314352759054</v>
      </c>
      <c r="E3525" s="1">
        <f>7.75704255013387*(10.3/7.3)</f>
        <v>10.944868255668338</v>
      </c>
      <c r="F3525" s="1">
        <f>24.8090324647746*(38.9/42.5)</f>
        <v>22.707561479523097</v>
      </c>
      <c r="G3525" s="1">
        <v>1.3741799574040607</v>
      </c>
      <c r="H3525" s="1">
        <v>11.233203480307131</v>
      </c>
      <c r="I3525" s="1">
        <v>19.177814585887639</v>
      </c>
      <c r="J3525" s="1">
        <v>4.9287994042909289E-2</v>
      </c>
      <c r="K3525" s="1">
        <v>3.0460821058717475</v>
      </c>
      <c r="L3525" s="1">
        <v>5.6556110222446199</v>
      </c>
      <c r="M3525" s="1">
        <v>0.57804937884093122</v>
      </c>
      <c r="N3525" s="1">
        <v>2.3703200095603179</v>
      </c>
      <c r="O3525" s="1">
        <v>0.27271333333333336</v>
      </c>
      <c r="P3525" s="1">
        <v>0.19358703761994026</v>
      </c>
      <c r="Q3525" s="1">
        <v>2.1961780141160814</v>
      </c>
      <c r="R3525" s="2">
        <f t="shared" si="219"/>
        <v>72.94193226394141</v>
      </c>
      <c r="S3525" s="2">
        <f t="shared" si="218"/>
        <v>3.2889571375345974</v>
      </c>
      <c r="T3525" s="2">
        <f t="shared" si="220"/>
        <v>8.8766937439792031</v>
      </c>
      <c r="U3525" s="2">
        <f t="shared" si="221"/>
        <v>85.107583145455209</v>
      </c>
    </row>
    <row r="3526" spans="1:21" x14ac:dyDescent="0.25">
      <c r="A3526">
        <v>4734485</v>
      </c>
      <c r="B3526">
        <v>22</v>
      </c>
      <c r="C3526" s="1">
        <f>2.10473684449287*(10.3/7.3)</f>
        <v>2.9696971915447343</v>
      </c>
      <c r="D3526" s="1">
        <f>3.07754643962138*(10.3/7.3)</f>
        <v>4.3422915517945455</v>
      </c>
      <c r="E3526" s="1">
        <f>10.6032185933453*(10.3/7.3)</f>
        <v>14.960705686500889</v>
      </c>
      <c r="F3526" s="1">
        <f>31.6840267664823*(38.9/42.5)</f>
        <v>29.000203322733196</v>
      </c>
      <c r="G3526" s="1">
        <v>1.686188768913385</v>
      </c>
      <c r="H3526" s="1">
        <v>11.145141987019825</v>
      </c>
      <c r="I3526" s="1">
        <v>24.374597732126063</v>
      </c>
      <c r="J3526" s="1">
        <v>5.3319712667409931E-2</v>
      </c>
      <c r="K3526" s="1">
        <v>3.1898107759571563</v>
      </c>
      <c r="L3526" s="1">
        <v>5.261731464776668</v>
      </c>
      <c r="M3526" s="1">
        <v>0.55636236955083929</v>
      </c>
      <c r="N3526" s="1">
        <v>2.6285635421833153</v>
      </c>
      <c r="O3526" s="1">
        <v>0.27787151515151515</v>
      </c>
      <c r="P3526" s="1">
        <v>0.19548311944186539</v>
      </c>
      <c r="Q3526" s="1">
        <v>2.694822233423221</v>
      </c>
      <c r="R3526" s="2">
        <f t="shared" si="219"/>
        <v>91.173648474055852</v>
      </c>
      <c r="S3526" s="2">
        <f t="shared" si="218"/>
        <v>3.438613608066432</v>
      </c>
      <c r="T3526" s="2">
        <f t="shared" si="220"/>
        <v>8.724528891662338</v>
      </c>
      <c r="U3526" s="2">
        <f t="shared" si="221"/>
        <v>103.33679097378462</v>
      </c>
    </row>
    <row r="3527" spans="1:21" x14ac:dyDescent="0.25">
      <c r="A3527">
        <v>4734493</v>
      </c>
      <c r="B3527">
        <v>27</v>
      </c>
      <c r="C3527" s="1">
        <f>1.85310426138413*(10.3/7.3)</f>
        <v>2.6146539578433674</v>
      </c>
      <c r="D3527" s="1">
        <f>2.86951774386478*(10.3/7.3)</f>
        <v>4.0487716112064733</v>
      </c>
      <c r="E3527" s="1">
        <f>9.83491694229062*(10.3/7.3)</f>
        <v>13.876663630903209</v>
      </c>
      <c r="F3527" s="1">
        <f>30.9415290830206*(38.9/42.5)</f>
        <v>28.320599560694191</v>
      </c>
      <c r="G3527" s="1">
        <v>1.7025720200119887</v>
      </c>
      <c r="H3527" s="1">
        <v>10.116820577952383</v>
      </c>
      <c r="I3527" s="1">
        <v>23.749233529643586</v>
      </c>
      <c r="J3527" s="1">
        <v>5.291463672084961E-2</v>
      </c>
      <c r="K3527" s="1">
        <v>3.224296296061147</v>
      </c>
      <c r="L3527" s="1">
        <v>5.1183240407502577</v>
      </c>
      <c r="M3527" s="1">
        <v>0.53358708047013537</v>
      </c>
      <c r="N3527" s="1">
        <v>2.5572932916167797</v>
      </c>
      <c r="O3527" s="1">
        <v>0.27567999999999998</v>
      </c>
      <c r="P3527" s="1">
        <v>0.19636305061902243</v>
      </c>
      <c r="Q3527" s="1">
        <v>2.7210055114346878</v>
      </c>
      <c r="R3527" s="2">
        <f t="shared" si="219"/>
        <v>87.150320399689889</v>
      </c>
      <c r="S3527" s="2">
        <f t="shared" si="218"/>
        <v>3.4735739834010193</v>
      </c>
      <c r="T3527" s="2">
        <f t="shared" si="220"/>
        <v>8.4848844128371717</v>
      </c>
      <c r="U3527" s="2">
        <f t="shared" si="221"/>
        <v>99.108778795928089</v>
      </c>
    </row>
    <row r="3528" spans="1:21" x14ac:dyDescent="0.25">
      <c r="A3528">
        <v>4734501</v>
      </c>
      <c r="B3528">
        <v>11</v>
      </c>
      <c r="C3528" s="1">
        <f>2.06467230956712*(10.3/7.3)</f>
        <v>2.9131677792522401</v>
      </c>
      <c r="D3528" s="1">
        <f>3.72770817325837*(10.3/7.3)</f>
        <v>5.2596430389809896</v>
      </c>
      <c r="E3528" s="1">
        <f>12.5708737038751*(10.3/7.3)</f>
        <v>17.736986184919711</v>
      </c>
      <c r="F3528" s="1">
        <f>46.7026289834842*(38.9/42.5)</f>
        <v>42.746641587236134</v>
      </c>
      <c r="G3528" s="1">
        <v>2.802738941745659</v>
      </c>
      <c r="H3528" s="1">
        <v>12.821325902595127</v>
      </c>
      <c r="I3528" s="1">
        <v>35.971415658777865</v>
      </c>
      <c r="J3528" s="1">
        <v>5.9114000270789654E-2</v>
      </c>
      <c r="K3528" s="1">
        <v>3.4686660712676409</v>
      </c>
      <c r="L3528" s="1">
        <v>5.3994629106297518</v>
      </c>
      <c r="M3528" s="1">
        <v>0.56412489094276608</v>
      </c>
      <c r="N3528" s="1">
        <v>2.687724069389795</v>
      </c>
      <c r="O3528" s="1">
        <v>0.29571393939393942</v>
      </c>
      <c r="P3528" s="1">
        <v>0.20706259381736308</v>
      </c>
      <c r="Q3528" s="1">
        <v>4.4792631489085917</v>
      </c>
      <c r="R3528" s="2">
        <f t="shared" si="219"/>
        <v>124.73118224241631</v>
      </c>
      <c r="S3528" s="2">
        <f t="shared" si="218"/>
        <v>3.7348426653557936</v>
      </c>
      <c r="T3528" s="2">
        <f t="shared" si="220"/>
        <v>8.9470258103562532</v>
      </c>
      <c r="U3528" s="2">
        <f t="shared" si="221"/>
        <v>137.41305071812835</v>
      </c>
    </row>
    <row r="3529" spans="1:21" x14ac:dyDescent="0.25">
      <c r="A3529">
        <v>4734717</v>
      </c>
      <c r="B3529">
        <v>1</v>
      </c>
      <c r="C3529" s="1">
        <f>21.5515696639446*(10.3/7.3)</f>
        <v>30.408379114880674</v>
      </c>
      <c r="D3529" s="1">
        <f>39.9572025183746*(10.3/7.3)</f>
        <v>56.377970676610772</v>
      </c>
      <c r="E3529" s="1">
        <f>140.046737934894*(10.3/7.3)</f>
        <v>197.60019188074145</v>
      </c>
      <c r="F3529" s="1">
        <f>237.874427224012*(38.9/42.5)</f>
        <v>217.72506397680181</v>
      </c>
      <c r="G3529" s="1">
        <v>7.5117188223976807</v>
      </c>
      <c r="H3529" s="1">
        <v>8.5858238240690827</v>
      </c>
      <c r="I3529" s="1">
        <v>147.16694711850872</v>
      </c>
      <c r="J3529" s="1">
        <v>4.4324506447903089E-2</v>
      </c>
      <c r="K3529" s="1">
        <v>2.7635608594861005</v>
      </c>
      <c r="L3529" s="1">
        <v>3.7270879259313316</v>
      </c>
      <c r="M3529" s="1">
        <v>0.21593595015853503</v>
      </c>
      <c r="N3529" s="1">
        <v>2.8811045492233127</v>
      </c>
      <c r="O3529" s="1">
        <v>0.18442666666666666</v>
      </c>
      <c r="P3529" s="1">
        <v>0.13263645829955659</v>
      </c>
      <c r="Q3529" s="1">
        <v>12.005030081457493</v>
      </c>
      <c r="R3529" s="2">
        <f t="shared" si="219"/>
        <v>677.38112549546759</v>
      </c>
      <c r="S3529" s="2">
        <f t="shared" ref="S3529:S3592" si="222">J3529+K3529+P3529</f>
        <v>2.9405218242335605</v>
      </c>
      <c r="T3529" s="2">
        <f t="shared" si="220"/>
        <v>7.0085550919798463</v>
      </c>
      <c r="U3529" s="2">
        <f t="shared" si="221"/>
        <v>687.33020241168094</v>
      </c>
    </row>
    <row r="3530" spans="1:21" x14ac:dyDescent="0.25">
      <c r="A3530">
        <v>4734725</v>
      </c>
      <c r="B3530">
        <v>67</v>
      </c>
      <c r="C3530" s="1">
        <f>18.0876793224115*(10.3/7.3)</f>
        <v>25.520972194635334</v>
      </c>
      <c r="D3530" s="1">
        <f>27.6869327789406*(10.3/7.3)</f>
        <v>39.065124331929844</v>
      </c>
      <c r="E3530" s="1">
        <f>97.4904161554441*(10.3/7.3)</f>
        <v>137.55497073987317</v>
      </c>
      <c r="F3530" s="1">
        <f>174.757622240929*(38.9/42.5)</f>
        <v>159.95462365110959</v>
      </c>
      <c r="G3530" s="1">
        <v>5.7677116195153681</v>
      </c>
      <c r="H3530" s="1">
        <v>7.8802653565701668</v>
      </c>
      <c r="I3530" s="1">
        <v>117.878289155974</v>
      </c>
      <c r="J3530" s="1">
        <v>6.4500750319278349E-2</v>
      </c>
      <c r="K3530" s="1">
        <v>3.6885275410741958</v>
      </c>
      <c r="L3530" s="1">
        <v>5.8516259018438648</v>
      </c>
      <c r="M3530" s="1">
        <v>0.30051763065031462</v>
      </c>
      <c r="N3530" s="1">
        <v>3.0406324952303043</v>
      </c>
      <c r="O3530" s="1">
        <v>0.24654089552238803</v>
      </c>
      <c r="P3530" s="1">
        <v>0.16788261616017472</v>
      </c>
      <c r="Q3530" s="1">
        <v>9.2178039581295934</v>
      </c>
      <c r="R3530" s="2">
        <f t="shared" ref="R3530:R3593" si="223">C3530+D3530+E3530+F3530+G3530+H3530+I3530+Q3530</f>
        <v>502.83976100773708</v>
      </c>
      <c r="S3530" s="2">
        <f t="shared" si="222"/>
        <v>3.9209109075536488</v>
      </c>
      <c r="T3530" s="2">
        <f t="shared" ref="T3530:T3593" si="224">L3530+M3530+N3530+O3530</f>
        <v>9.4393169232468725</v>
      </c>
      <c r="U3530" s="2">
        <f t="shared" ref="U3530:U3593" si="225">R3530+S3530+T3530</f>
        <v>516.19998883853759</v>
      </c>
    </row>
    <row r="3531" spans="1:21" x14ac:dyDescent="0.25">
      <c r="A3531">
        <v>4734733</v>
      </c>
      <c r="B3531">
        <v>65</v>
      </c>
      <c r="C3531" s="1">
        <f>15.7464359425429*(10.3/7.3)</f>
        <v>22.217574001122188</v>
      </c>
      <c r="D3531" s="1">
        <f>23.9020171888724*(10.3/7.3)</f>
        <v>33.72476397882</v>
      </c>
      <c r="E3531" s="1">
        <f>84.1203252397368*(10.3/7.3)</f>
        <v>118.69032191360125</v>
      </c>
      <c r="F3531" s="1">
        <f>154.262540128947*(38.9/42.5)</f>
        <v>141.19559555331833</v>
      </c>
      <c r="G3531" s="1">
        <v>5.2589542402656768</v>
      </c>
      <c r="H3531" s="1">
        <v>7.2383135543411345</v>
      </c>
      <c r="I3531" s="1">
        <v>105.11726499861089</v>
      </c>
      <c r="J3531" s="1">
        <v>6.7145761855379557E-2</v>
      </c>
      <c r="K3531" s="1">
        <v>3.8435766213838929</v>
      </c>
      <c r="L3531" s="1">
        <v>6.1972763992584721</v>
      </c>
      <c r="M3531" s="1">
        <v>0.30558170241405502</v>
      </c>
      <c r="N3531" s="1">
        <v>3.013203742435639</v>
      </c>
      <c r="O3531" s="1">
        <v>0.25419323076923073</v>
      </c>
      <c r="P3531" s="1">
        <v>0.17231765897903126</v>
      </c>
      <c r="Q3531" s="1">
        <v>8.4047213885524528</v>
      </c>
      <c r="R3531" s="2">
        <f t="shared" si="223"/>
        <v>441.84750962863188</v>
      </c>
      <c r="S3531" s="2">
        <f t="shared" si="222"/>
        <v>4.083040042218304</v>
      </c>
      <c r="T3531" s="2">
        <f t="shared" si="224"/>
        <v>9.7702550748773955</v>
      </c>
      <c r="U3531" s="2">
        <f t="shared" si="225"/>
        <v>455.70080474572762</v>
      </c>
    </row>
    <row r="3532" spans="1:21" x14ac:dyDescent="0.25">
      <c r="A3532">
        <v>4734741</v>
      </c>
      <c r="B3532">
        <v>65</v>
      </c>
      <c r="C3532" s="1">
        <f>11.9548204934845*(10.3/7.3)</f>
        <v>16.867760422313818</v>
      </c>
      <c r="D3532" s="1">
        <f>18.3779824096285*(10.3/7.3)</f>
        <v>25.930577920434796</v>
      </c>
      <c r="E3532" s="1">
        <f>64.649792048951*(10.3/7.3)</f>
        <v>91.218199740300747</v>
      </c>
      <c r="F3532" s="1">
        <f>118.499171488885*(38.9/42.5)</f>
        <v>108.46159460982661</v>
      </c>
      <c r="G3532" s="1">
        <v>4.0480235356580438</v>
      </c>
      <c r="H3532" s="1">
        <v>6.4699097115574391</v>
      </c>
      <c r="I3532" s="1">
        <v>80.387395398719036</v>
      </c>
      <c r="J3532" s="1">
        <v>6.0330784940940019E-2</v>
      </c>
      <c r="K3532" s="1">
        <v>3.5818789159650541</v>
      </c>
      <c r="L3532" s="1">
        <v>5.5503112450082739</v>
      </c>
      <c r="M3532" s="1">
        <v>0.27565604127284699</v>
      </c>
      <c r="N3532" s="1">
        <v>2.7315290739996234</v>
      </c>
      <c r="O3532" s="1">
        <v>0.23377887179487178</v>
      </c>
      <c r="P3532" s="1">
        <v>0.1612243198542887</v>
      </c>
      <c r="Q3532" s="1">
        <v>6.4694440067594368</v>
      </c>
      <c r="R3532" s="2">
        <f t="shared" si="223"/>
        <v>339.85290534556998</v>
      </c>
      <c r="S3532" s="2">
        <f t="shared" si="222"/>
        <v>3.8034340207602826</v>
      </c>
      <c r="T3532" s="2">
        <f t="shared" si="224"/>
        <v>8.7912752320756162</v>
      </c>
      <c r="U3532" s="2">
        <f t="shared" si="225"/>
        <v>352.44761459840589</v>
      </c>
    </row>
    <row r="3533" spans="1:21" x14ac:dyDescent="0.25">
      <c r="A3533">
        <v>4734749</v>
      </c>
      <c r="B3533">
        <v>65</v>
      </c>
      <c r="C3533" s="1">
        <f>9.04961877929283*(10.3/7.3)</f>
        <v>12.768640195440573</v>
      </c>
      <c r="D3533" s="1">
        <f>13.8288782403278*(10.3/7.3)</f>
        <v>19.51197888703792</v>
      </c>
      <c r="E3533" s="1">
        <f>48.6375715463964*(10.3/7.3)</f>
        <v>68.625614647655226</v>
      </c>
      <c r="F3533" s="1">
        <f>90.1682856606497*(38.9/42.5)</f>
        <v>82.53050146351228</v>
      </c>
      <c r="G3533" s="1">
        <v>3.1271028032317618</v>
      </c>
      <c r="H3533" s="1">
        <v>5.6780439449978495</v>
      </c>
      <c r="I3533" s="1">
        <v>61.51155122357855</v>
      </c>
      <c r="J3533" s="1">
        <v>5.2323533050779948E-2</v>
      </c>
      <c r="K3533" s="1">
        <v>3.2534427047201619</v>
      </c>
      <c r="L3533" s="1">
        <v>4.8563344668634354</v>
      </c>
      <c r="M3533" s="1">
        <v>0.24338485539874674</v>
      </c>
      <c r="N3533" s="1">
        <v>2.4301775158761632</v>
      </c>
      <c r="O3533" s="1">
        <v>0.20804184615384619</v>
      </c>
      <c r="P3533" s="1">
        <v>0.14759800779364698</v>
      </c>
      <c r="Q3533" s="1">
        <v>4.9976528818772508</v>
      </c>
      <c r="R3533" s="2">
        <f t="shared" si="223"/>
        <v>258.7510860473314</v>
      </c>
      <c r="S3533" s="2">
        <f t="shared" si="222"/>
        <v>3.4533642455645888</v>
      </c>
      <c r="T3533" s="2">
        <f t="shared" si="224"/>
        <v>7.7379386842921916</v>
      </c>
      <c r="U3533" s="2">
        <f t="shared" si="225"/>
        <v>269.94238897718822</v>
      </c>
    </row>
    <row r="3534" spans="1:21" x14ac:dyDescent="0.25">
      <c r="A3534">
        <v>4734757</v>
      </c>
      <c r="B3534">
        <v>64</v>
      </c>
      <c r="C3534" s="1">
        <f>7.16894135625951*(10.3/7.3)</f>
        <v>10.115081639653825</v>
      </c>
      <c r="D3534" s="1">
        <f>10.8156136148094*(10.3/7.3)</f>
        <v>15.260386333224199</v>
      </c>
      <c r="E3534" s="1">
        <f>38.0452702240604*(10.3/7.3)</f>
        <v>53.680312781893448</v>
      </c>
      <c r="F3534" s="1">
        <f>71.1645218845932*(38.9/42.5)</f>
        <v>65.136468266133519</v>
      </c>
      <c r="G3534" s="1">
        <v>2.4926291287667204</v>
      </c>
      <c r="H3534" s="1">
        <v>5.0999323242929915</v>
      </c>
      <c r="I3534" s="1">
        <v>48.889974842829062</v>
      </c>
      <c r="J3534" s="1">
        <v>4.5510084097693401E-2</v>
      </c>
      <c r="K3534" s="1">
        <v>2.9590881871259094</v>
      </c>
      <c r="L3534" s="1">
        <v>4.1919712054310612</v>
      </c>
      <c r="M3534" s="1">
        <v>0.21511848408102771</v>
      </c>
      <c r="N3534" s="1">
        <v>2.1485048261055737</v>
      </c>
      <c r="O3534" s="1">
        <v>0.18741166666666678</v>
      </c>
      <c r="P3534" s="1">
        <v>0.1347566605303204</v>
      </c>
      <c r="Q3534" s="1">
        <v>3.983653858759602</v>
      </c>
      <c r="R3534" s="2">
        <f t="shared" si="223"/>
        <v>204.65843917555335</v>
      </c>
      <c r="S3534" s="2">
        <f t="shared" si="222"/>
        <v>3.1393549317539233</v>
      </c>
      <c r="T3534" s="2">
        <f t="shared" si="224"/>
        <v>6.7430061822843301</v>
      </c>
      <c r="U3534" s="2">
        <f t="shared" si="225"/>
        <v>214.5408002895916</v>
      </c>
    </row>
    <row r="3535" spans="1:21" x14ac:dyDescent="0.25">
      <c r="A3535">
        <v>4734765</v>
      </c>
      <c r="B3535">
        <v>63</v>
      </c>
      <c r="C3535" s="1">
        <f>6.61202331779563*(10.3/7.3)</f>
        <v>9.3292931744239667</v>
      </c>
      <c r="D3535" s="1">
        <f>9.72794869531386*(10.3/7.3)</f>
        <v>13.725735830374358</v>
      </c>
      <c r="E3535" s="1">
        <f>34.2350875604517*(10.3/7.3)</f>
        <v>48.304301626390824</v>
      </c>
      <c r="F3535" s="1">
        <f>64.8919347283823*(38.9/42.5)</f>
        <v>59.395206139625245</v>
      </c>
      <c r="G3535" s="1">
        <v>2.302821929864169</v>
      </c>
      <c r="H3535" s="1">
        <v>4.8412960317562685</v>
      </c>
      <c r="I3535" s="1">
        <v>45.132204154395446</v>
      </c>
      <c r="J3535" s="1">
        <v>4.6360974841605535E-2</v>
      </c>
      <c r="K3535" s="1">
        <v>2.9931665351325298</v>
      </c>
      <c r="L3535" s="1">
        <v>4.3364576236453516</v>
      </c>
      <c r="M3535" s="1">
        <v>0.21353453840491932</v>
      </c>
      <c r="N3535" s="1">
        <v>2.2028478846340196</v>
      </c>
      <c r="O3535" s="1">
        <v>0.18621121693121689</v>
      </c>
      <c r="P3535" s="1">
        <v>0.13544624940206482</v>
      </c>
      <c r="Q3535" s="1">
        <v>3.6803090203308662</v>
      </c>
      <c r="R3535" s="2">
        <f t="shared" si="223"/>
        <v>186.71116790716115</v>
      </c>
      <c r="S3535" s="2">
        <f t="shared" si="222"/>
        <v>3.1749737593762002</v>
      </c>
      <c r="T3535" s="2">
        <f t="shared" si="224"/>
        <v>6.9390512636155073</v>
      </c>
      <c r="U3535" s="2">
        <f t="shared" si="225"/>
        <v>196.82519293015287</v>
      </c>
    </row>
    <row r="3536" spans="1:21" x14ac:dyDescent="0.25">
      <c r="A3536">
        <v>4734773</v>
      </c>
      <c r="B3536">
        <v>63</v>
      </c>
      <c r="C3536" s="1">
        <f>8.41280805173794*(10.3/7.3)</f>
        <v>11.87012642916449</v>
      </c>
      <c r="D3536" s="1">
        <f>12.2139578074106*(10.3/7.3)</f>
        <v>17.233392522784811</v>
      </c>
      <c r="E3536" s="1">
        <f>42.9800026908529*(10.3/7.3)</f>
        <v>60.643017495313032</v>
      </c>
      <c r="F3536" s="1">
        <f>82.7855092995306*(38.9/42.5)</f>
        <v>75.773089688276258</v>
      </c>
      <c r="G3536" s="1">
        <v>2.9936991645208599</v>
      </c>
      <c r="H3536" s="1">
        <v>5.8513678610230109</v>
      </c>
      <c r="I3536" s="1">
        <v>58.092849198436859</v>
      </c>
      <c r="J3536" s="1">
        <v>5.8291786167854145E-2</v>
      </c>
      <c r="K3536" s="1">
        <v>3.5370179282029057</v>
      </c>
      <c r="L3536" s="1">
        <v>5.4458049875084154</v>
      </c>
      <c r="M3536" s="1">
        <v>0.25386948296624273</v>
      </c>
      <c r="N3536" s="1">
        <v>2.6891018376275793</v>
      </c>
      <c r="O3536" s="1">
        <v>0.2205688888888889</v>
      </c>
      <c r="P3536" s="1">
        <v>0.15319888885730956</v>
      </c>
      <c r="Q3536" s="1">
        <v>4.7844507195538899</v>
      </c>
      <c r="R3536" s="2">
        <f t="shared" si="223"/>
        <v>237.24199307907321</v>
      </c>
      <c r="S3536" s="2">
        <f t="shared" si="222"/>
        <v>3.7485086032280694</v>
      </c>
      <c r="T3536" s="2">
        <f t="shared" si="224"/>
        <v>8.6093451969911268</v>
      </c>
      <c r="U3536" s="2">
        <f t="shared" si="225"/>
        <v>249.59984687929239</v>
      </c>
    </row>
    <row r="3537" spans="1:21" x14ac:dyDescent="0.25">
      <c r="A3537">
        <v>4734781</v>
      </c>
      <c r="B3537">
        <v>63</v>
      </c>
      <c r="C3537" s="1">
        <f>8.90277019497811*(10.3/7.3)</f>
        <v>12.561442877845822</v>
      </c>
      <c r="D3537" s="1">
        <f>12.6731977528722*(10.3/7.3)</f>
        <v>17.881361212956701</v>
      </c>
      <c r="E3537" s="1">
        <f>44.605334774335*(10.3/7.3)</f>
        <v>62.93629427063712</v>
      </c>
      <c r="F3537" s="1">
        <f>87.1947793723345*(38.9/42.5)</f>
        <v>79.808868649030856</v>
      </c>
      <c r="G3537" s="1">
        <v>3.201698071656446</v>
      </c>
      <c r="H3537" s="1">
        <v>6.1119902798076291</v>
      </c>
      <c r="I3537" s="1">
        <v>61.829458988671966</v>
      </c>
      <c r="J3537" s="1">
        <v>6.3098595147936046E-2</v>
      </c>
      <c r="K3537" s="1">
        <v>3.7409538332591192</v>
      </c>
      <c r="L3537" s="1">
        <v>5.872578470263532</v>
      </c>
      <c r="M3537" s="1">
        <v>0.26460744601641251</v>
      </c>
      <c r="N3537" s="1">
        <v>3.0944544821523956</v>
      </c>
      <c r="O3537" s="1">
        <v>0.22944253968253966</v>
      </c>
      <c r="P3537" s="1">
        <v>0.15826914637191844</v>
      </c>
      <c r="Q3537" s="1">
        <v>5.1168690642911301</v>
      </c>
      <c r="R3537" s="2">
        <f t="shared" si="223"/>
        <v>249.44798341489769</v>
      </c>
      <c r="S3537" s="2">
        <f t="shared" si="222"/>
        <v>3.9623215747789735</v>
      </c>
      <c r="T3537" s="2">
        <f t="shared" si="224"/>
        <v>9.4610829381148793</v>
      </c>
      <c r="U3537" s="2">
        <f t="shared" si="225"/>
        <v>262.87138792779155</v>
      </c>
    </row>
    <row r="3538" spans="1:21" x14ac:dyDescent="0.25">
      <c r="A3538">
        <v>4734789</v>
      </c>
      <c r="B3538">
        <v>63</v>
      </c>
      <c r="C3538" s="1">
        <f>8.76241974878544*(10.3/7.3)</f>
        <v>12.363414166094525</v>
      </c>
      <c r="D3538" s="1">
        <f>12.3017229983864*(10.3/7.3)</f>
        <v>17.357225600462989</v>
      </c>
      <c r="E3538" s="1">
        <f>43.297037352039*(10.3/7.3)</f>
        <v>61.090340373424922</v>
      </c>
      <c r="F3538" s="1">
        <f>85.8929986629712*(38.9/42.5)</f>
        <v>78.617356423284264</v>
      </c>
      <c r="G3538" s="1">
        <v>3.2045252081982065</v>
      </c>
      <c r="H3538" s="1">
        <v>6.2222536108318929</v>
      </c>
      <c r="I3538" s="1">
        <v>61.414393056684155</v>
      </c>
      <c r="J3538" s="1">
        <v>6.5623099326159229E-2</v>
      </c>
      <c r="K3538" s="1">
        <v>3.8189163661017163</v>
      </c>
      <c r="L3538" s="1">
        <v>5.9725754612006599</v>
      </c>
      <c r="M3538" s="1">
        <v>0.26508124741645017</v>
      </c>
      <c r="N3538" s="1">
        <v>3.0836173810512961</v>
      </c>
      <c r="O3538" s="1">
        <v>0.22990052910052911</v>
      </c>
      <c r="P3538" s="1">
        <v>0.15764254828441396</v>
      </c>
      <c r="Q3538" s="1">
        <v>5.1213873190382335</v>
      </c>
      <c r="R3538" s="2">
        <f t="shared" si="223"/>
        <v>245.39089575801921</v>
      </c>
      <c r="S3538" s="2">
        <f t="shared" si="222"/>
        <v>4.0421820137122895</v>
      </c>
      <c r="T3538" s="2">
        <f t="shared" si="224"/>
        <v>9.5511746187689361</v>
      </c>
      <c r="U3538" s="2">
        <f t="shared" si="225"/>
        <v>258.98425239050044</v>
      </c>
    </row>
    <row r="3539" spans="1:21" x14ac:dyDescent="0.25">
      <c r="A3539">
        <v>4734797</v>
      </c>
      <c r="B3539">
        <v>64</v>
      </c>
      <c r="C3539" s="1">
        <f>8.54952033145167*(10.3/7.3)</f>
        <v>12.063021837527701</v>
      </c>
      <c r="D3539" s="1">
        <f>11.8505525653909*(10.3/7.3)</f>
        <v>16.72064266075699</v>
      </c>
      <c r="E3539" s="1">
        <f>41.7045881258342*(10.3/7.3)</f>
        <v>58.843459958368818</v>
      </c>
      <c r="F3539" s="1">
        <f>84.0531406128831*(38.9/42.5)</f>
        <v>76.933345172733013</v>
      </c>
      <c r="G3539" s="1">
        <v>3.1896271246806602</v>
      </c>
      <c r="H3539" s="1">
        <v>6.2843250547186003</v>
      </c>
      <c r="I3539" s="1">
        <v>60.583314806839191</v>
      </c>
      <c r="J3539" s="1">
        <v>6.6271682281410629E-2</v>
      </c>
      <c r="K3539" s="1">
        <v>3.8200144336800439</v>
      </c>
      <c r="L3539" s="1">
        <v>5.9080154009534409</v>
      </c>
      <c r="M3539" s="1">
        <v>0.25928716993845441</v>
      </c>
      <c r="N3539" s="1">
        <v>3.0400144098008086</v>
      </c>
      <c r="O3539" s="1">
        <v>0.2260958333333333</v>
      </c>
      <c r="P3539" s="1">
        <v>0.15322697941117158</v>
      </c>
      <c r="Q3539" s="1">
        <v>5.0975775965216084</v>
      </c>
      <c r="R3539" s="2">
        <f t="shared" si="223"/>
        <v>239.71531421214661</v>
      </c>
      <c r="S3539" s="2">
        <f t="shared" si="222"/>
        <v>4.0395130953726257</v>
      </c>
      <c r="T3539" s="2">
        <f t="shared" si="224"/>
        <v>9.4334128140260365</v>
      </c>
      <c r="U3539" s="2">
        <f t="shared" si="225"/>
        <v>253.18824012154528</v>
      </c>
    </row>
    <row r="3540" spans="1:21" x14ac:dyDescent="0.25">
      <c r="A3540">
        <v>4734805</v>
      </c>
      <c r="B3540">
        <v>56</v>
      </c>
      <c r="C3540" s="1">
        <f>7.47942226625021*(10.3/7.3)</f>
        <v>10.553157444161254</v>
      </c>
      <c r="D3540" s="1">
        <f>10.2288997146371*(10.3/7.3)</f>
        <v>14.432557131611238</v>
      </c>
      <c r="E3540" s="1">
        <f>35.9993560640593*(10.3/7.3)</f>
        <v>50.793611980796044</v>
      </c>
      <c r="F3540" s="1">
        <f>73.47313220125*(38.9/42.5)</f>
        <v>67.249525708908806</v>
      </c>
      <c r="G3540" s="1">
        <v>2.8231981361853871</v>
      </c>
      <c r="H3540" s="1">
        <v>5.9265673994627317</v>
      </c>
      <c r="I3540" s="1">
        <v>53.344819848217512</v>
      </c>
      <c r="J3540" s="1">
        <v>6.0915584681618264E-2</v>
      </c>
      <c r="K3540" s="1">
        <v>3.4620244378151286</v>
      </c>
      <c r="L3540" s="1">
        <v>5.1250673932989299</v>
      </c>
      <c r="M3540" s="1">
        <v>0.23011582176461021</v>
      </c>
      <c r="N3540" s="1">
        <v>2.8872250078394788</v>
      </c>
      <c r="O3540" s="1">
        <v>0.20224857142857147</v>
      </c>
      <c r="P3540" s="1">
        <v>0.1382578863452871</v>
      </c>
      <c r="Q3540" s="1">
        <v>4.5119604916204876</v>
      </c>
      <c r="R3540" s="2">
        <f t="shared" si="223"/>
        <v>209.63539814096347</v>
      </c>
      <c r="S3540" s="2">
        <f t="shared" si="222"/>
        <v>3.6611979088420341</v>
      </c>
      <c r="T3540" s="2">
        <f t="shared" si="224"/>
        <v>8.4446567943315909</v>
      </c>
      <c r="U3540" s="2">
        <f t="shared" si="225"/>
        <v>221.74125284413711</v>
      </c>
    </row>
    <row r="3541" spans="1:21" x14ac:dyDescent="0.25">
      <c r="A3541">
        <v>4734813</v>
      </c>
      <c r="B3541">
        <v>29</v>
      </c>
      <c r="C3541" s="1">
        <f>6.831528537999*(10.3/7.3)</f>
        <v>9.639006019368459</v>
      </c>
      <c r="D3541" s="1">
        <f>9.16393582390058*(10.3/7.3)</f>
        <v>12.929936847421365</v>
      </c>
      <c r="E3541" s="1">
        <f>32.2568794020246*(10.3/7.3)</f>
        <v>45.513131211075788</v>
      </c>
      <c r="F3541" s="1">
        <f>66.8718117317491*(38.9/42.5)</f>
        <v>61.207375914471548</v>
      </c>
      <c r="G3541" s="1">
        <v>2.6073040655925364</v>
      </c>
      <c r="H3541" s="1">
        <v>5.9234585901876438</v>
      </c>
      <c r="I3541" s="1">
        <v>49.024847814617594</v>
      </c>
      <c r="J3541" s="1">
        <v>6.0147852210683202E-2</v>
      </c>
      <c r="K3541" s="1">
        <v>3.250151416613547</v>
      </c>
      <c r="L3541" s="1">
        <v>4.6625851360943242</v>
      </c>
      <c r="M3541" s="1">
        <v>0.21108903147323679</v>
      </c>
      <c r="N3541" s="1">
        <v>3.0825183728688708</v>
      </c>
      <c r="O3541" s="1">
        <v>0.18614620689655167</v>
      </c>
      <c r="P3541" s="1">
        <v>0.12911269946170992</v>
      </c>
      <c r="Q3541" s="1">
        <v>4.1669243057415004</v>
      </c>
      <c r="R3541" s="2">
        <f t="shared" si="223"/>
        <v>191.01198476847642</v>
      </c>
      <c r="S3541" s="2">
        <f t="shared" si="222"/>
        <v>3.4394119682859401</v>
      </c>
      <c r="T3541" s="2">
        <f t="shared" si="224"/>
        <v>8.1423387473329836</v>
      </c>
      <c r="U3541" s="2">
        <f t="shared" si="225"/>
        <v>202.59373548409536</v>
      </c>
    </row>
    <row r="3542" spans="1:21" x14ac:dyDescent="0.25">
      <c r="A3542">
        <v>4734829</v>
      </c>
      <c r="B3542">
        <v>15</v>
      </c>
      <c r="C3542" s="1">
        <f>6.73484892449073*(10.3/7.3)</f>
        <v>9.5025950578430791</v>
      </c>
      <c r="D3542" s="1">
        <f>8.62121097966464*(10.3/7.3)</f>
        <v>12.164174395965173</v>
      </c>
      <c r="E3542" s="1">
        <f>30.3334922478715*(10.3/7.3)</f>
        <v>42.799310979873447</v>
      </c>
      <c r="F3542" s="1">
        <f>66.6403960768687*(38.9/42.5)</f>
        <v>60.995562526828017</v>
      </c>
      <c r="G3542" s="1">
        <v>2.7450337716357986</v>
      </c>
      <c r="H3542" s="1">
        <v>6.7622880024886305</v>
      </c>
      <c r="I3542" s="1">
        <v>50.164645601932669</v>
      </c>
      <c r="J3542" s="1">
        <v>5.35780852016449E-2</v>
      </c>
      <c r="K3542" s="1">
        <v>3.1519230559116509</v>
      </c>
      <c r="L3542" s="1">
        <v>4.4573116733507101</v>
      </c>
      <c r="M3542" s="1">
        <v>0.19651768156063901</v>
      </c>
      <c r="N3542" s="1">
        <v>3.6598916678781621</v>
      </c>
      <c r="O3542" s="1">
        <v>0.174624</v>
      </c>
      <c r="P3542" s="1">
        <v>0.12307122464336402</v>
      </c>
      <c r="Q3542" s="1">
        <v>4.387040274303792</v>
      </c>
      <c r="R3542" s="2">
        <f t="shared" si="223"/>
        <v>189.5206506108706</v>
      </c>
      <c r="S3542" s="2">
        <f t="shared" si="222"/>
        <v>3.3285723657566595</v>
      </c>
      <c r="T3542" s="2">
        <f t="shared" si="224"/>
        <v>8.4883450227895114</v>
      </c>
      <c r="U3542" s="2">
        <f t="shared" si="225"/>
        <v>201.33756799941676</v>
      </c>
    </row>
    <row r="3543" spans="1:21" x14ac:dyDescent="0.25">
      <c r="A3543">
        <v>4734893</v>
      </c>
      <c r="B3543">
        <v>8</v>
      </c>
      <c r="C3543" s="1">
        <f>3.79806088281588*(10.3/7.3)</f>
        <v>5.3589078209593923</v>
      </c>
      <c r="D3543" s="1">
        <f>5.04440600518542*(10.3/7.3)</f>
        <v>7.1174495689602546</v>
      </c>
      <c r="E3543" s="1">
        <f>17.6620797614268*(10.3/7.3)</f>
        <v>24.92046870447885</v>
      </c>
      <c r="F3543" s="1">
        <f>41.7512499264746*(38.9/42.5)</f>
        <v>38.21467346211444</v>
      </c>
      <c r="G3543" s="1">
        <v>1.8564707173908852</v>
      </c>
      <c r="H3543" s="1">
        <v>8.1949101904516972</v>
      </c>
      <c r="I3543" s="1">
        <v>31.528464409071283</v>
      </c>
      <c r="J3543" s="1">
        <v>3.4290390363020951E-2</v>
      </c>
      <c r="K3543" s="1">
        <v>2.1944321352252572</v>
      </c>
      <c r="L3543" s="1">
        <v>3.6421881919650696</v>
      </c>
      <c r="M3543" s="1">
        <v>0.11743887534611466</v>
      </c>
      <c r="N3543" s="1">
        <v>1.4578456669686695</v>
      </c>
      <c r="O3543" s="1">
        <v>0.10499333333333333</v>
      </c>
      <c r="P3543" s="1">
        <v>8.2894903318243021E-2</v>
      </c>
      <c r="Q3543" s="1">
        <v>2.966962333729728</v>
      </c>
      <c r="R3543" s="2">
        <f t="shared" si="223"/>
        <v>120.15830720715653</v>
      </c>
      <c r="S3543" s="2">
        <f t="shared" si="222"/>
        <v>2.311617428906521</v>
      </c>
      <c r="T3543" s="2">
        <f t="shared" si="224"/>
        <v>5.3224660676131874</v>
      </c>
      <c r="U3543" s="2">
        <f t="shared" si="225"/>
        <v>127.79239070367623</v>
      </c>
    </row>
    <row r="3544" spans="1:21" x14ac:dyDescent="0.25">
      <c r="A3544">
        <v>4735109</v>
      </c>
      <c r="B3544">
        <v>43</v>
      </c>
      <c r="C3544" s="1">
        <f>6.83126024199445*(10.3/7.3)</f>
        <v>9.638627464731897</v>
      </c>
      <c r="D3544" s="1">
        <f>7.63265546380857*(10.3/7.3)</f>
        <v>10.769363188661412</v>
      </c>
      <c r="E3544" s="1">
        <f>26.980796138995*(10.3/7.3)</f>
        <v>38.068794552280572</v>
      </c>
      <c r="F3544" s="1">
        <f>61.6568975047586*(38.9/42.5)</f>
        <v>56.43419559847316</v>
      </c>
      <c r="G3544" s="1">
        <v>2.5786218133097973</v>
      </c>
      <c r="H3544" s="1">
        <v>6.6113843187251051</v>
      </c>
      <c r="I3544" s="1">
        <v>48.722833973265978</v>
      </c>
      <c r="J3544" s="1">
        <v>3.402358659189119E-2</v>
      </c>
      <c r="K3544" s="1">
        <v>2.1095413632550675</v>
      </c>
      <c r="L3544" s="1">
        <v>2.2988604347926853</v>
      </c>
      <c r="M3544" s="1">
        <v>0.10105100807199348</v>
      </c>
      <c r="N3544" s="1">
        <v>1.4278203129215692</v>
      </c>
      <c r="O3544" s="1">
        <v>9.6489922480620147E-2</v>
      </c>
      <c r="P3544" s="1">
        <v>7.5209254458917185E-2</v>
      </c>
      <c r="Q3544" s="1">
        <v>4.1210850897645193</v>
      </c>
      <c r="R3544" s="2">
        <f t="shared" si="223"/>
        <v>176.94490599921244</v>
      </c>
      <c r="S3544" s="2">
        <f t="shared" si="222"/>
        <v>2.2187742043058756</v>
      </c>
      <c r="T3544" s="2">
        <f t="shared" si="224"/>
        <v>3.9242216782668677</v>
      </c>
      <c r="U3544" s="2">
        <f t="shared" si="225"/>
        <v>183.08790188178517</v>
      </c>
    </row>
    <row r="3545" spans="1:21" x14ac:dyDescent="0.25">
      <c r="A3545">
        <v>4735117</v>
      </c>
      <c r="B3545">
        <v>5</v>
      </c>
      <c r="C3545" s="1">
        <f>6.32885680946367*(10.3/7.3)</f>
        <v>8.9297568681473649</v>
      </c>
      <c r="D3545" s="1">
        <f>7.86864141689902*(10.3/7.3)</f>
        <v>11.102329670419161</v>
      </c>
      <c r="E3545" s="1">
        <f>27.7442813096216*(10.3/7.3)</f>
        <v>39.146040751931906</v>
      </c>
      <c r="F3545" s="1">
        <f>59.8092276650373*(38.9/42.5)</f>
        <v>54.74303426282242</v>
      </c>
      <c r="G3545" s="1">
        <v>2.4014753704171534</v>
      </c>
      <c r="H3545" s="1">
        <v>6.9768216285569196</v>
      </c>
      <c r="I3545" s="1">
        <v>45.270750357965632</v>
      </c>
      <c r="J3545" s="1">
        <v>3.1236768779138745E-2</v>
      </c>
      <c r="K3545" s="1">
        <v>2.0240227362111147</v>
      </c>
      <c r="L3545" s="1">
        <v>2.1840341334140367</v>
      </c>
      <c r="M3545" s="1">
        <v>9.7319219829308939E-2</v>
      </c>
      <c r="N3545" s="1">
        <v>1.3097061053255357</v>
      </c>
      <c r="O3545" s="1">
        <v>9.3034666666666668E-2</v>
      </c>
      <c r="P3545" s="1">
        <v>7.2941395054157393E-2</v>
      </c>
      <c r="Q3545" s="1">
        <v>3.8379743362831258</v>
      </c>
      <c r="R3545" s="2">
        <f t="shared" si="223"/>
        <v>172.4081832465437</v>
      </c>
      <c r="S3545" s="2">
        <f t="shared" si="222"/>
        <v>2.1282009000444111</v>
      </c>
      <c r="T3545" s="2">
        <f t="shared" si="224"/>
        <v>3.6840941252355481</v>
      </c>
      <c r="U3545" s="2">
        <f t="shared" si="225"/>
        <v>178.22047827182368</v>
      </c>
    </row>
    <row r="3546" spans="1:21" x14ac:dyDescent="0.25">
      <c r="A3546">
        <v>4735141</v>
      </c>
      <c r="B3546">
        <v>21</v>
      </c>
      <c r="C3546" s="1">
        <f>4.61024662955794*(10.3/7.3)</f>
        <v>6.5048685321160029</v>
      </c>
      <c r="D3546" s="1">
        <f>5.40821734891133*(10.3/7.3)</f>
        <v>7.6307724238063992</v>
      </c>
      <c r="E3546" s="1">
        <f>19.0442030660291*(10.3/7.3)</f>
        <v>26.870587887684827</v>
      </c>
      <c r="F3546" s="1">
        <f>44.9293665025674*(38.9/42.5)</f>
        <v>41.123584869408724</v>
      </c>
      <c r="G3546" s="1">
        <v>1.9550671042847434</v>
      </c>
      <c r="H3546" s="1">
        <v>5.7659511026570209</v>
      </c>
      <c r="I3546" s="1">
        <v>35.137429111900381</v>
      </c>
      <c r="J3546" s="1">
        <v>2.7692360063537712E-2</v>
      </c>
      <c r="K3546" s="1">
        <v>1.8997913014338348</v>
      </c>
      <c r="L3546" s="1">
        <v>1.9970040005487075</v>
      </c>
      <c r="M3546" s="1">
        <v>9.0475271727009282E-2</v>
      </c>
      <c r="N3546" s="1">
        <v>1.1422804938141284</v>
      </c>
      <c r="O3546" s="1">
        <v>8.6379682539682548E-2</v>
      </c>
      <c r="P3546" s="1">
        <v>6.9004620894097909E-2</v>
      </c>
      <c r="Q3546" s="1">
        <v>3.1245364680349814</v>
      </c>
      <c r="R3546" s="2">
        <f t="shared" si="223"/>
        <v>128.11279749989308</v>
      </c>
      <c r="S3546" s="2">
        <f t="shared" si="222"/>
        <v>1.9964882823914705</v>
      </c>
      <c r="T3546" s="2">
        <f t="shared" si="224"/>
        <v>3.3161394486295279</v>
      </c>
      <c r="U3546" s="2">
        <f t="shared" si="225"/>
        <v>133.42542523091407</v>
      </c>
    </row>
    <row r="3547" spans="1:21" x14ac:dyDescent="0.25">
      <c r="A3547">
        <v>4735149</v>
      </c>
      <c r="B3547">
        <v>6</v>
      </c>
      <c r="C3547" s="1">
        <f>4.45157476025418*(10.3/7.3)</f>
        <v>6.2809890452901431</v>
      </c>
      <c r="D3547" s="1">
        <f>5.13103015956503*(10.3/7.3)</f>
        <v>7.2396726908931219</v>
      </c>
      <c r="E3547" s="1">
        <f>18.1151237522996*(10.3/7.3)</f>
        <v>25.55969515735428</v>
      </c>
      <c r="F3547" s="1">
        <f>41.1298417683945*(38.9/42.5)</f>
        <v>37.64590223036582</v>
      </c>
      <c r="G3547" s="1">
        <v>1.7190437804053922</v>
      </c>
      <c r="H3547" s="1">
        <v>4.0667334544886424</v>
      </c>
      <c r="I3547" s="1">
        <v>32.156375327079623</v>
      </c>
      <c r="J3547" s="1">
        <v>2.6541239501400901E-2</v>
      </c>
      <c r="K3547" s="1">
        <v>1.8537777091075514</v>
      </c>
      <c r="L3547" s="1">
        <v>1.9403486968020764</v>
      </c>
      <c r="M3547" s="1">
        <v>8.8437585296024704E-2</v>
      </c>
      <c r="N3547" s="1">
        <v>1.0935972178427618</v>
      </c>
      <c r="O3547" s="1">
        <v>8.4791111111111109E-2</v>
      </c>
      <c r="P3547" s="1">
        <v>6.7710622303174178E-2</v>
      </c>
      <c r="Q3547" s="1">
        <v>2.7473302426570227</v>
      </c>
      <c r="R3547" s="2">
        <f t="shared" si="223"/>
        <v>117.41574192853403</v>
      </c>
      <c r="S3547" s="2">
        <f t="shared" si="222"/>
        <v>1.9480295709121265</v>
      </c>
      <c r="T3547" s="2">
        <f t="shared" si="224"/>
        <v>3.2071746110519741</v>
      </c>
      <c r="U3547" s="2">
        <f t="shared" si="225"/>
        <v>122.57094611049813</v>
      </c>
    </row>
    <row r="3548" spans="1:21" x14ac:dyDescent="0.25">
      <c r="A3548">
        <v>4746449</v>
      </c>
      <c r="B3548">
        <v>64</v>
      </c>
      <c r="C3548" s="1">
        <f>0.744519406410651*(10.3/7.3)</f>
        <v>1.0504862857574946</v>
      </c>
      <c r="D3548" s="1">
        <f>1.05121457808675*(10.3/7.3)</f>
        <v>1.4832205690813085</v>
      </c>
      <c r="E3548" s="1">
        <f>3.64855044230739*(10.3/7.3)</f>
        <v>5.1479547336665945</v>
      </c>
      <c r="F3548" s="1">
        <f>9.78338461014016*(38.9/42.5)</f>
        <v>8.9546743843400503</v>
      </c>
      <c r="G3548" s="1">
        <v>0.48427906936302145</v>
      </c>
      <c r="H3548" s="1">
        <v>1.9670965091643313</v>
      </c>
      <c r="I3548" s="1">
        <v>7.4442077332753023</v>
      </c>
      <c r="J3548" s="1">
        <v>4.6058783383548692E-2</v>
      </c>
      <c r="K3548" s="1">
        <v>3.1972596642635747</v>
      </c>
      <c r="L3548" s="1">
        <v>2.4814158235668495</v>
      </c>
      <c r="M3548" s="1">
        <v>0.47131770854912652</v>
      </c>
      <c r="N3548" s="1">
        <v>1.5068073202420562</v>
      </c>
      <c r="O3548" s="1">
        <v>0.54765666666666679</v>
      </c>
      <c r="P3548" s="1">
        <v>0.26404853438228126</v>
      </c>
      <c r="Q3548" s="1">
        <v>0.77396198300026353</v>
      </c>
      <c r="R3548" s="2">
        <f t="shared" si="223"/>
        <v>27.305881267648367</v>
      </c>
      <c r="S3548" s="2">
        <f t="shared" si="222"/>
        <v>3.5073669820294047</v>
      </c>
      <c r="T3548" s="2">
        <f t="shared" si="224"/>
        <v>5.0071975190246985</v>
      </c>
      <c r="U3548" s="2">
        <f t="shared" si="225"/>
        <v>35.82044576870247</v>
      </c>
    </row>
    <row r="3549" spans="1:21" x14ac:dyDescent="0.25">
      <c r="A3549">
        <v>4746457</v>
      </c>
      <c r="B3549">
        <v>66</v>
      </c>
      <c r="C3549" s="1">
        <f>0.833461813997594*(10.3/7.3)</f>
        <v>1.1759803676952354</v>
      </c>
      <c r="D3549" s="1">
        <f>1.19666403335095*(10.3/7.3)</f>
        <v>1.6884437730842179</v>
      </c>
      <c r="E3549" s="1">
        <f>4.14372550360967*(10.3/7.3)</f>
        <v>5.8466263955040505</v>
      </c>
      <c r="F3549" s="1">
        <f>11.4632056181084*(38.9/42.5)</f>
        <v>10.492204671633305</v>
      </c>
      <c r="G3549" s="1">
        <v>0.58062007072873645</v>
      </c>
      <c r="H3549" s="1">
        <v>2.387058125279756</v>
      </c>
      <c r="I3549" s="1">
        <v>8.737634254113404</v>
      </c>
      <c r="J3549" s="1">
        <v>5.2447155676607383E-2</v>
      </c>
      <c r="K3549" s="1">
        <v>3.4465748226766761</v>
      </c>
      <c r="L3549" s="1">
        <v>2.6561700512986977</v>
      </c>
      <c r="M3549" s="1">
        <v>0.52639749455170926</v>
      </c>
      <c r="N3549" s="1">
        <v>1.7226389440018168</v>
      </c>
      <c r="O3549" s="1">
        <v>0.5986933333333333</v>
      </c>
      <c r="P3549" s="1">
        <v>0.28367042795180325</v>
      </c>
      <c r="Q3549" s="1">
        <v>0.92793161988610928</v>
      </c>
      <c r="R3549" s="2">
        <f t="shared" si="223"/>
        <v>31.836499277924815</v>
      </c>
      <c r="S3549" s="2">
        <f t="shared" si="222"/>
        <v>3.7826924063050869</v>
      </c>
      <c r="T3549" s="2">
        <f t="shared" si="224"/>
        <v>5.5038998231855567</v>
      </c>
      <c r="U3549" s="2">
        <f t="shared" si="225"/>
        <v>41.123091507415459</v>
      </c>
    </row>
    <row r="3550" spans="1:21" x14ac:dyDescent="0.25">
      <c r="A3550">
        <v>4746617</v>
      </c>
      <c r="B3550">
        <v>11</v>
      </c>
      <c r="C3550" s="1">
        <f>1.60927994105276*(10.3/7.3)</f>
        <v>2.270627862033352</v>
      </c>
      <c r="D3550" s="1">
        <f>2.25009318965575*(10.3/7.3)</f>
        <v>3.1747890210211311</v>
      </c>
      <c r="E3550" s="1">
        <f>7.71862432453206*(10.3/7.3)</f>
        <v>10.89066171817537</v>
      </c>
      <c r="F3550" s="1">
        <f>25.50901432741*(38.9/42.5)</f>
        <v>23.348250760852913</v>
      </c>
      <c r="G3550" s="1">
        <v>1.4278030427115249</v>
      </c>
      <c r="H3550" s="1">
        <v>6.7010712048432204</v>
      </c>
      <c r="I3550" s="1">
        <v>20.091514217815845</v>
      </c>
      <c r="J3550" s="1">
        <v>3.722369783309621E-2</v>
      </c>
      <c r="K3550" s="1">
        <v>2.7009570813308694</v>
      </c>
      <c r="L3550" s="1">
        <v>2.9304524069671958</v>
      </c>
      <c r="M3550" s="1">
        <v>0.79836715610764741</v>
      </c>
      <c r="N3550" s="1">
        <v>1.5703424043398584</v>
      </c>
      <c r="O3550" s="1">
        <v>0.29003151515151521</v>
      </c>
      <c r="P3550" s="1">
        <v>0.18984592979058235</v>
      </c>
      <c r="Q3550" s="1">
        <v>2.2818770088996998</v>
      </c>
      <c r="R3550" s="2">
        <f t="shared" si="223"/>
        <v>70.186594836353052</v>
      </c>
      <c r="S3550" s="2">
        <f t="shared" si="222"/>
        <v>2.928026708954548</v>
      </c>
      <c r="T3550" s="2">
        <f t="shared" si="224"/>
        <v>5.5891934825662171</v>
      </c>
      <c r="U3550" s="2">
        <f t="shared" si="225"/>
        <v>78.703815027873816</v>
      </c>
    </row>
    <row r="3551" spans="1:21" x14ac:dyDescent="0.25">
      <c r="A3551">
        <v>4746625</v>
      </c>
      <c r="B3551">
        <v>59</v>
      </c>
      <c r="C3551" s="1">
        <f>1.55361482542776*(10.3/7.3)</f>
        <v>2.1920866714939606</v>
      </c>
      <c r="D3551" s="1">
        <f>2.15729337690881*(10.3/7.3)</f>
        <v>3.0438522989261303</v>
      </c>
      <c r="E3551" s="1">
        <f>7.39485294425535*(10.3/7.3)</f>
        <v>10.4338336062781</v>
      </c>
      <c r="F3551" s="1">
        <f>24.8281286443557*(38.9/42.5)</f>
        <v>22.725040100363234</v>
      </c>
      <c r="G3551" s="1">
        <v>1.3998352689423581</v>
      </c>
      <c r="H3551" s="1">
        <v>6.083304751717181</v>
      </c>
      <c r="I3551" s="1">
        <v>19.621457654471754</v>
      </c>
      <c r="J3551" s="1">
        <v>4.1960826199009198E-2</v>
      </c>
      <c r="K3551" s="1">
        <v>3.0389234711620623</v>
      </c>
      <c r="L3551" s="1">
        <v>3.2993891110942108</v>
      </c>
      <c r="M3551" s="1">
        <v>0.85256725937700761</v>
      </c>
      <c r="N3551" s="1">
        <v>1.8445067368956909</v>
      </c>
      <c r="O3551" s="1">
        <v>0.32119502824858748</v>
      </c>
      <c r="P3551" s="1">
        <v>0.21269692736343185</v>
      </c>
      <c r="Q3551" s="1">
        <v>2.2371796535608484</v>
      </c>
      <c r="R3551" s="2">
        <f t="shared" si="223"/>
        <v>67.736590005753555</v>
      </c>
      <c r="S3551" s="2">
        <f t="shared" si="222"/>
        <v>3.2935812247245035</v>
      </c>
      <c r="T3551" s="2">
        <f t="shared" si="224"/>
        <v>6.3176581356154973</v>
      </c>
      <c r="U3551" s="2">
        <f t="shared" si="225"/>
        <v>77.347829366093563</v>
      </c>
    </row>
    <row r="3552" spans="1:21" x14ac:dyDescent="0.25">
      <c r="A3552">
        <v>4746633</v>
      </c>
      <c r="B3552">
        <v>19</v>
      </c>
      <c r="C3552" s="1">
        <f>2.18515462826171*(10.3/7.3)</f>
        <v>3.0831633796021372</v>
      </c>
      <c r="D3552" s="1">
        <f>2.96620779619205*(10.3/7.3)</f>
        <v>4.1851973014764603</v>
      </c>
      <c r="E3552" s="1">
        <f>10.1602511832327*(10.3/7.3)</f>
        <v>14.335696874972177</v>
      </c>
      <c r="F3552" s="1">
        <f>34.9909413069795*(38.9/42.5)</f>
        <v>32.027002749211839</v>
      </c>
      <c r="G3552" s="1">
        <v>1.9935400045729026</v>
      </c>
      <c r="H3552" s="1">
        <v>8.8313906902998696</v>
      </c>
      <c r="I3552" s="1">
        <v>27.856618376607955</v>
      </c>
      <c r="J3552" s="1">
        <v>4.4047134918089134E-2</v>
      </c>
      <c r="K3552" s="1">
        <v>3.146956143985244</v>
      </c>
      <c r="L3552" s="1">
        <v>3.5242769711871085</v>
      </c>
      <c r="M3552" s="1">
        <v>0.88591201750997139</v>
      </c>
      <c r="N3552" s="1">
        <v>2.0321224640866813</v>
      </c>
      <c r="O3552" s="1">
        <v>0.33015578947368429</v>
      </c>
      <c r="P3552" s="1">
        <v>0.21436812645663619</v>
      </c>
      <c r="Q3552" s="1">
        <v>3.1860228383585238</v>
      </c>
      <c r="R3552" s="2">
        <f t="shared" si="223"/>
        <v>95.498632215101864</v>
      </c>
      <c r="S3552" s="2">
        <f t="shared" si="222"/>
        <v>3.4053714053599693</v>
      </c>
      <c r="T3552" s="2">
        <f t="shared" si="224"/>
        <v>6.772467242257445</v>
      </c>
      <c r="U3552" s="2">
        <f t="shared" si="225"/>
        <v>105.67647086271928</v>
      </c>
    </row>
    <row r="3553" spans="1:21" x14ac:dyDescent="0.25">
      <c r="A3553">
        <v>4746705</v>
      </c>
      <c r="B3553">
        <v>15</v>
      </c>
      <c r="C3553" s="1">
        <f>1.62165836762901*(10.3/7.3)</f>
        <v>2.2880933132299726</v>
      </c>
      <c r="D3553" s="1">
        <f>2.4568272940924*(10.3/7.3)</f>
        <v>3.4664823464591339</v>
      </c>
      <c r="E3553" s="1">
        <f>8.42124154211468*(10.3/7.3)</f>
        <v>11.88202573750428</v>
      </c>
      <c r="F3553" s="1">
        <f>26.8070999729542*(38.9/42.5)</f>
        <v>24.536380916421653</v>
      </c>
      <c r="G3553" s="1">
        <v>1.4816000758779524</v>
      </c>
      <c r="H3553" s="1">
        <v>11.292127447279174</v>
      </c>
      <c r="I3553" s="1">
        <v>20.695608562560427</v>
      </c>
      <c r="J3553" s="1">
        <v>4.9451428107624804E-2</v>
      </c>
      <c r="K3553" s="1">
        <v>3.0439739999603943</v>
      </c>
      <c r="L3553" s="1">
        <v>5.4532330048325361</v>
      </c>
      <c r="M3553" s="1">
        <v>0.57495676458611344</v>
      </c>
      <c r="N3553" s="1">
        <v>2.3289815197646422</v>
      </c>
      <c r="O3553" s="1">
        <v>0.27224533333333328</v>
      </c>
      <c r="P3553" s="1">
        <v>0.19243359498003665</v>
      </c>
      <c r="Q3553" s="1">
        <v>2.3678540025446746</v>
      </c>
      <c r="R3553" s="2">
        <f t="shared" si="223"/>
        <v>78.010172401877256</v>
      </c>
      <c r="S3553" s="2">
        <f t="shared" si="222"/>
        <v>3.2858590230480558</v>
      </c>
      <c r="T3553" s="2">
        <f t="shared" si="224"/>
        <v>8.6294166225166258</v>
      </c>
      <c r="U3553" s="2">
        <f t="shared" si="225"/>
        <v>89.925448047441947</v>
      </c>
    </row>
    <row r="3554" spans="1:21" x14ac:dyDescent="0.25">
      <c r="A3554">
        <v>4746721</v>
      </c>
      <c r="B3554">
        <v>2</v>
      </c>
      <c r="C3554" s="1">
        <f>1.92394857256855*(10.3/7.3)</f>
        <v>2.7146123695145277</v>
      </c>
      <c r="D3554" s="1">
        <f>3.25316239694196*(10.3/7.3)</f>
        <v>4.5900784504797452</v>
      </c>
      <c r="E3554" s="1">
        <f>11.0217133351584*(10.3/7.3)</f>
        <v>15.551184568785146</v>
      </c>
      <c r="F3554" s="1">
        <f>39.5072340675917*(38.9/42.5)</f>
        <v>36.160738946572174</v>
      </c>
      <c r="G3554" s="1">
        <v>2.3272272712156221</v>
      </c>
      <c r="H3554" s="1">
        <v>14.741348924854137</v>
      </c>
      <c r="I3554" s="1">
        <v>30.532609346363923</v>
      </c>
      <c r="J3554" s="1">
        <v>5.489008380337683E-2</v>
      </c>
      <c r="K3554" s="1">
        <v>3.2686181414477162</v>
      </c>
      <c r="L3554" s="1">
        <v>5.1668767776228943</v>
      </c>
      <c r="M3554" s="1">
        <v>0.56783977566076183</v>
      </c>
      <c r="N3554" s="1">
        <v>2.6489790637365411</v>
      </c>
      <c r="O3554" s="1">
        <v>0.28077333333333332</v>
      </c>
      <c r="P3554" s="1">
        <v>0.20071649048105444</v>
      </c>
      <c r="Q3554" s="1">
        <v>3.7193129905272535</v>
      </c>
      <c r="R3554" s="2">
        <f t="shared" si="223"/>
        <v>110.33711286831253</v>
      </c>
      <c r="S3554" s="2">
        <f t="shared" si="222"/>
        <v>3.5242247157321476</v>
      </c>
      <c r="T3554" s="2">
        <f t="shared" si="224"/>
        <v>8.6644689503535304</v>
      </c>
      <c r="U3554" s="2">
        <f t="shared" si="225"/>
        <v>122.52580653439821</v>
      </c>
    </row>
    <row r="3555" spans="1:21" x14ac:dyDescent="0.25">
      <c r="A3555">
        <v>4746729</v>
      </c>
      <c r="B3555">
        <v>54</v>
      </c>
      <c r="C3555" s="1">
        <f>1.97780647577194*(10.3/7.3)</f>
        <v>2.7906036575960282</v>
      </c>
      <c r="D3555" s="1">
        <f>3.5243069278044*(10.3/7.3)</f>
        <v>4.9726522406007252</v>
      </c>
      <c r="E3555" s="1">
        <f>11.8992119155872*(10.3/7.3)</f>
        <v>16.789299004184624</v>
      </c>
      <c r="F3555" s="1">
        <f>43.7224578922267*(38.9/42.5)</f>
        <v>40.018908517826333</v>
      </c>
      <c r="G3555" s="1">
        <v>2.6103070906665469</v>
      </c>
      <c r="H3555" s="1">
        <v>12.739769104047094</v>
      </c>
      <c r="I3555" s="1">
        <v>33.675615586846227</v>
      </c>
      <c r="J3555" s="1">
        <v>5.4712655024047201E-2</v>
      </c>
      <c r="K3555" s="1">
        <v>3.2754675266067745</v>
      </c>
      <c r="L3555" s="1">
        <v>5.0305187012619612</v>
      </c>
      <c r="M3555" s="1">
        <v>0.54394612665244124</v>
      </c>
      <c r="N3555" s="1">
        <v>2.5253671265342943</v>
      </c>
      <c r="O3555" s="1">
        <v>0.27935308641975304</v>
      </c>
      <c r="P3555" s="1">
        <v>0.19725774262746215</v>
      </c>
      <c r="Q3555" s="1">
        <v>4.1717236608826127</v>
      </c>
      <c r="R3555" s="2">
        <f t="shared" si="223"/>
        <v>117.76887886265018</v>
      </c>
      <c r="S3555" s="2">
        <f t="shared" si="222"/>
        <v>3.5274379242582841</v>
      </c>
      <c r="T3555" s="2">
        <f t="shared" si="224"/>
        <v>8.3791850408684496</v>
      </c>
      <c r="U3555" s="2">
        <f t="shared" si="225"/>
        <v>129.67550182777691</v>
      </c>
    </row>
    <row r="3556" spans="1:21" x14ac:dyDescent="0.25">
      <c r="A3556">
        <v>4746737</v>
      </c>
      <c r="B3556">
        <v>1</v>
      </c>
      <c r="C3556" s="1">
        <f>1.53302516423069*(10.3/7.3)</f>
        <v>2.1630355056953561</v>
      </c>
      <c r="D3556" s="1">
        <f>2.35425151769089*(10.3/7.3)</f>
        <v>3.3217521413994717</v>
      </c>
      <c r="E3556" s="1">
        <f>8.08641793121508*(10.3/7.3)</f>
        <v>11.409603382399357</v>
      </c>
      <c r="F3556" s="1">
        <f>24.6641888506858*(38.9/42.5)</f>
        <v>22.574986971568858</v>
      </c>
      <c r="G3556" s="1">
        <v>1.333676117160451</v>
      </c>
      <c r="H3556" s="1">
        <v>10.329189459707525</v>
      </c>
      <c r="I3556" s="1">
        <v>18.861540814205227</v>
      </c>
      <c r="J3556" s="1">
        <v>4.7778474306278844E-2</v>
      </c>
      <c r="K3556" s="1">
        <v>2.9829642683522826</v>
      </c>
      <c r="L3556" s="1">
        <v>4.4022119368043526</v>
      </c>
      <c r="M3556" s="1">
        <v>0.47517371716953322</v>
      </c>
      <c r="N3556" s="1">
        <v>2.3132668152889333</v>
      </c>
      <c r="O3556" s="1">
        <v>0.25141333333333332</v>
      </c>
      <c r="P3556" s="1">
        <v>0.18197802222041959</v>
      </c>
      <c r="Q3556" s="1">
        <v>2.1314458493431885</v>
      </c>
      <c r="R3556" s="2">
        <f t="shared" si="223"/>
        <v>72.125230241479443</v>
      </c>
      <c r="S3556" s="2">
        <f t="shared" si="222"/>
        <v>3.2127207648789811</v>
      </c>
      <c r="T3556" s="2">
        <f t="shared" si="224"/>
        <v>7.4420658025961526</v>
      </c>
      <c r="U3556" s="2">
        <f t="shared" si="225"/>
        <v>82.780016808954571</v>
      </c>
    </row>
    <row r="3557" spans="1:21" x14ac:dyDescent="0.25">
      <c r="A3557">
        <v>4746953</v>
      </c>
      <c r="B3557">
        <v>65</v>
      </c>
      <c r="C3557" s="1">
        <f>20.1468250993228*(10.3/7.3)</f>
        <v>28.426342263428108</v>
      </c>
      <c r="D3557" s="1">
        <f>33.1952195624114*(10.3/7.3)</f>
        <v>46.837090615457114</v>
      </c>
      <c r="E3557" s="1">
        <f>116.646541748779*(10.3/7.3)</f>
        <v>164.58347671403058</v>
      </c>
      <c r="F3557" s="1">
        <f>205.643115133194*(38.9/42.5)</f>
        <v>188.22393361602968</v>
      </c>
      <c r="G3557" s="1">
        <v>6.7234476509281578</v>
      </c>
      <c r="H3557" s="1">
        <v>8.4581268777029166</v>
      </c>
      <c r="I3557" s="1">
        <v>134.43866144992433</v>
      </c>
      <c r="J3557" s="1">
        <v>6.5117379899313557E-2</v>
      </c>
      <c r="K3557" s="1">
        <v>3.7184389793956734</v>
      </c>
      <c r="L3557" s="1">
        <v>5.9029465388549793</v>
      </c>
      <c r="M3557" s="1">
        <v>0.3048551431372028</v>
      </c>
      <c r="N3557" s="1">
        <v>3.2612779286947706</v>
      </c>
      <c r="O3557" s="1">
        <v>0.2510957948717949</v>
      </c>
      <c r="P3557" s="1">
        <v>0.16959753445832651</v>
      </c>
      <c r="Q3557" s="1">
        <v>10.745235971802996</v>
      </c>
      <c r="R3557" s="2">
        <f t="shared" si="223"/>
        <v>588.43631515930394</v>
      </c>
      <c r="S3557" s="2">
        <f t="shared" si="222"/>
        <v>3.9531538937533135</v>
      </c>
      <c r="T3557" s="2">
        <f t="shared" si="224"/>
        <v>9.7201754055587468</v>
      </c>
      <c r="U3557" s="2">
        <f t="shared" si="225"/>
        <v>602.109644458616</v>
      </c>
    </row>
    <row r="3558" spans="1:21" x14ac:dyDescent="0.25">
      <c r="A3558">
        <v>4746961</v>
      </c>
      <c r="B3558">
        <v>68</v>
      </c>
      <c r="C3558" s="1">
        <f>16.2517114517179*(10.3/7.3)</f>
        <v>22.930496979821196</v>
      </c>
      <c r="D3558" s="1">
        <f>25.0274542625557*(10.3/7.3)</f>
        <v>35.312709438948474</v>
      </c>
      <c r="E3558" s="1">
        <f>88.057175975201*(10.3/7.3)</f>
        <v>124.24505651295485</v>
      </c>
      <c r="F3558" s="1">
        <f>160.312559838791*(38.9/42.5)</f>
        <v>146.73314300538718</v>
      </c>
      <c r="G3558" s="1">
        <v>5.4240432857276284</v>
      </c>
      <c r="H3558" s="1">
        <v>7.2524148757865143</v>
      </c>
      <c r="I3558" s="1">
        <v>108.45184714867608</v>
      </c>
      <c r="J3558" s="1">
        <v>6.6136570561773605E-2</v>
      </c>
      <c r="K3558" s="1">
        <v>3.8177151542530861</v>
      </c>
      <c r="L3558" s="1">
        <v>6.1107634361126415</v>
      </c>
      <c r="M3558" s="1">
        <v>0.30708185298103974</v>
      </c>
      <c r="N3558" s="1">
        <v>3.0103782591317017</v>
      </c>
      <c r="O3558" s="1">
        <v>0.25469411764705885</v>
      </c>
      <c r="P3558" s="1">
        <v>0.17267020433045038</v>
      </c>
      <c r="Q3558" s="1">
        <v>8.6685623287884592</v>
      </c>
      <c r="R3558" s="2">
        <f t="shared" si="223"/>
        <v>459.01827357609051</v>
      </c>
      <c r="S3558" s="2">
        <f t="shared" si="222"/>
        <v>4.0565219291453101</v>
      </c>
      <c r="T3558" s="2">
        <f t="shared" si="224"/>
        <v>9.6829176658724414</v>
      </c>
      <c r="U3558" s="2">
        <f t="shared" si="225"/>
        <v>472.75771317110826</v>
      </c>
    </row>
    <row r="3559" spans="1:21" x14ac:dyDescent="0.25">
      <c r="A3559">
        <v>4746969</v>
      </c>
      <c r="B3559">
        <v>68</v>
      </c>
      <c r="C3559" s="1">
        <f>13.7085011208873*(10.3/7.3)</f>
        <v>19.342131718512221</v>
      </c>
      <c r="D3559" s="1">
        <f>21.1324710607017*(10.3/7.3)</f>
        <v>29.817048208935208</v>
      </c>
      <c r="E3559" s="1">
        <f>74.326997451355*(10.3/7.3)</f>
        <v>104.87233886972011</v>
      </c>
      <c r="F3559" s="1">
        <f>136.481934850272*(38.9/42.5)</f>
        <v>124.92111213354322</v>
      </c>
      <c r="G3559" s="1">
        <v>4.6773493894096143</v>
      </c>
      <c r="H3559" s="1">
        <v>6.9139869609684546</v>
      </c>
      <c r="I3559" s="1">
        <v>92.552484640735472</v>
      </c>
      <c r="J3559" s="1">
        <v>6.5573722063389669E-2</v>
      </c>
      <c r="K3559" s="1">
        <v>3.8111665908999983</v>
      </c>
      <c r="L3559" s="1">
        <v>6.0854319723907659</v>
      </c>
      <c r="M3559" s="1">
        <v>0.30053469176798819</v>
      </c>
      <c r="N3559" s="1">
        <v>2.957410626106431</v>
      </c>
      <c r="O3559" s="1">
        <v>0.25081647058823531</v>
      </c>
      <c r="P3559" s="1">
        <v>0.17068568983966623</v>
      </c>
      <c r="Q3559" s="1">
        <v>7.4752159191477938</v>
      </c>
      <c r="R3559" s="2">
        <f t="shared" si="223"/>
        <v>390.57166784097211</v>
      </c>
      <c r="S3559" s="2">
        <f t="shared" si="222"/>
        <v>4.0474260028030544</v>
      </c>
      <c r="T3559" s="2">
        <f t="shared" si="224"/>
        <v>9.59419376085342</v>
      </c>
      <c r="U3559" s="2">
        <f t="shared" si="225"/>
        <v>404.21328760462859</v>
      </c>
    </row>
    <row r="3560" spans="1:21" x14ac:dyDescent="0.25">
      <c r="A3560">
        <v>4746977</v>
      </c>
      <c r="B3560">
        <v>68</v>
      </c>
      <c r="C3560" s="1">
        <f>11.5447223083229*(10.3/7.3)</f>
        <v>16.289128736400816</v>
      </c>
      <c r="D3560" s="1">
        <f>17.7620432261493*(10.3/7.3)</f>
        <v>25.061513045114825</v>
      </c>
      <c r="E3560" s="1">
        <f>62.4582999445548*(10.3/7.3)</f>
        <v>88.126094442317012</v>
      </c>
      <c r="F3560" s="1">
        <f>115.632460976754*(38.9/42.5)</f>
        <v>105.83771134107562</v>
      </c>
      <c r="G3560" s="1">
        <v>4.0081918666627319</v>
      </c>
      <c r="H3560" s="1">
        <v>6.5315945381679006</v>
      </c>
      <c r="I3560" s="1">
        <v>78.66961928313107</v>
      </c>
      <c r="J3560" s="1">
        <v>6.2510752951230528E-2</v>
      </c>
      <c r="K3560" s="1">
        <v>3.7009358948512725</v>
      </c>
      <c r="L3560" s="1">
        <v>5.8280150706065337</v>
      </c>
      <c r="M3560" s="1">
        <v>0.28596893645291066</v>
      </c>
      <c r="N3560" s="1">
        <v>2.8363810960857285</v>
      </c>
      <c r="O3560" s="1">
        <v>0.2405152941176471</v>
      </c>
      <c r="P3560" s="1">
        <v>0.16495597852255822</v>
      </c>
      <c r="Q3560" s="1">
        <v>6.4057860882737803</v>
      </c>
      <c r="R3560" s="2">
        <f t="shared" si="223"/>
        <v>330.92963934114374</v>
      </c>
      <c r="S3560" s="2">
        <f t="shared" si="222"/>
        <v>3.9284026263250609</v>
      </c>
      <c r="T3560" s="2">
        <f t="shared" si="224"/>
        <v>9.1908803972628199</v>
      </c>
      <c r="U3560" s="2">
        <f t="shared" si="225"/>
        <v>344.04892236473165</v>
      </c>
    </row>
    <row r="3561" spans="1:21" x14ac:dyDescent="0.25">
      <c r="A3561">
        <v>4746985</v>
      </c>
      <c r="B3561">
        <v>68</v>
      </c>
      <c r="C3561" s="1">
        <f>10.7049123192983*(10.3/7.3)</f>
        <v>15.104191354626339</v>
      </c>
      <c r="D3561" s="1">
        <f>16.2810480841754*(10.3/7.3)</f>
        <v>22.971889762603677</v>
      </c>
      <c r="E3561" s="1">
        <f>57.2483867719442*(10.3/7.3)</f>
        <v>80.775121061784276</v>
      </c>
      <c r="F3561" s="1">
        <f>107.331098261553*(38.9/42.5)</f>
        <v>98.239522879397782</v>
      </c>
      <c r="G3561" s="1">
        <v>3.777854874112589</v>
      </c>
      <c r="H3561" s="1">
        <v>6.4729093297598057</v>
      </c>
      <c r="I3561" s="1">
        <v>73.589840874204128</v>
      </c>
      <c r="J3561" s="1">
        <v>6.3076596652266628E-2</v>
      </c>
      <c r="K3561" s="1">
        <v>3.7574348338145565</v>
      </c>
      <c r="L3561" s="1">
        <v>5.9424046715172816</v>
      </c>
      <c r="M3561" s="1">
        <v>0.28526946465267877</v>
      </c>
      <c r="N3561" s="1">
        <v>2.8577250191205179</v>
      </c>
      <c r="O3561" s="1">
        <v>0.2412125490196079</v>
      </c>
      <c r="P3561" s="1">
        <v>0.16511635725593476</v>
      </c>
      <c r="Q3561" s="1">
        <v>6.0376676070292579</v>
      </c>
      <c r="R3561" s="2">
        <f t="shared" si="223"/>
        <v>306.96899774351789</v>
      </c>
      <c r="S3561" s="2">
        <f t="shared" si="222"/>
        <v>3.9856277877227582</v>
      </c>
      <c r="T3561" s="2">
        <f t="shared" si="224"/>
        <v>9.3266117043100856</v>
      </c>
      <c r="U3561" s="2">
        <f t="shared" si="225"/>
        <v>320.28123723555075</v>
      </c>
    </row>
    <row r="3562" spans="1:21" x14ac:dyDescent="0.25">
      <c r="A3562">
        <v>4746993</v>
      </c>
      <c r="B3562">
        <v>69</v>
      </c>
      <c r="C3562" s="1">
        <f>4.51749494044596*(10.3/7.3)</f>
        <v>6.3739997104922521</v>
      </c>
      <c r="D3562" s="1">
        <f>6.75935706822521*(10.3/7.3)</f>
        <v>9.5371750414684477</v>
      </c>
      <c r="E3562" s="1">
        <f>23.7784027769878*(10.3/7.3)</f>
        <v>33.550349123695135</v>
      </c>
      <c r="F3562" s="1">
        <f>44.775534387408*(38.9/42.5)</f>
        <v>40.982783239298172</v>
      </c>
      <c r="G3562" s="1">
        <v>1.5801901317038605</v>
      </c>
      <c r="H3562" s="1">
        <v>3.7649512206687903</v>
      </c>
      <c r="I3562" s="1">
        <v>30.907303814786186</v>
      </c>
      <c r="J3562" s="1">
        <v>3.5945839411475729E-2</v>
      </c>
      <c r="K3562" s="1">
        <v>2.4735395662550297</v>
      </c>
      <c r="L3562" s="1">
        <v>3.3786112443253415</v>
      </c>
      <c r="M3562" s="1">
        <v>0.17385918842253215</v>
      </c>
      <c r="N3562" s="1">
        <v>1.7673449265365331</v>
      </c>
      <c r="O3562" s="1">
        <v>0.1512533333333333</v>
      </c>
      <c r="P3562" s="1">
        <v>0.11767723878404242</v>
      </c>
      <c r="Q3562" s="1">
        <v>2.5254180187048032</v>
      </c>
      <c r="R3562" s="2">
        <f t="shared" si="223"/>
        <v>129.22217030081765</v>
      </c>
      <c r="S3562" s="2">
        <f t="shared" si="222"/>
        <v>2.6271626444505478</v>
      </c>
      <c r="T3562" s="2">
        <f t="shared" si="224"/>
        <v>5.4710686926177399</v>
      </c>
      <c r="U3562" s="2">
        <f t="shared" si="225"/>
        <v>137.32040163788594</v>
      </c>
    </row>
    <row r="3563" spans="1:21" x14ac:dyDescent="0.25">
      <c r="A3563">
        <v>4747001</v>
      </c>
      <c r="B3563">
        <v>69</v>
      </c>
      <c r="C3563" s="1">
        <f>4.23430369349246*(10.3/7.3)</f>
        <v>5.9744284990373142</v>
      </c>
      <c r="D3563" s="1">
        <f>6.23407382659126*(10.3/7.3)</f>
        <v>8.7960219745054751</v>
      </c>
      <c r="E3563" s="1">
        <f>21.9371782055479*(10.3/7.3)</f>
        <v>30.952456920156674</v>
      </c>
      <c r="F3563" s="1">
        <f>41.656951571988*(38.9/42.5)</f>
        <v>38.128362732948993</v>
      </c>
      <c r="G3563" s="1">
        <v>1.4821629855686396</v>
      </c>
      <c r="H3563" s="1">
        <v>3.6418334162922137</v>
      </c>
      <c r="I3563" s="1">
        <v>28.980625464910649</v>
      </c>
      <c r="J3563" s="1">
        <v>3.5652012925215013E-2</v>
      </c>
      <c r="K3563" s="1">
        <v>2.4527864353251929</v>
      </c>
      <c r="L3563" s="1">
        <v>3.3596099017207006</v>
      </c>
      <c r="M3563" s="1">
        <v>0.16989830638165357</v>
      </c>
      <c r="N3563" s="1">
        <v>1.7592146840967999</v>
      </c>
      <c r="O3563" s="1">
        <v>0.15009236714975846</v>
      </c>
      <c r="P3563" s="1">
        <v>0.11549327824446333</v>
      </c>
      <c r="Q3563" s="1">
        <v>2.3687536299042216</v>
      </c>
      <c r="R3563" s="2">
        <f t="shared" si="223"/>
        <v>120.32464562332417</v>
      </c>
      <c r="S3563" s="2">
        <f t="shared" si="222"/>
        <v>2.6039317264948711</v>
      </c>
      <c r="T3563" s="2">
        <f t="shared" si="224"/>
        <v>5.438815259348913</v>
      </c>
      <c r="U3563" s="2">
        <f t="shared" si="225"/>
        <v>128.36739260916795</v>
      </c>
    </row>
    <row r="3564" spans="1:21" x14ac:dyDescent="0.25">
      <c r="A3564">
        <v>4747009</v>
      </c>
      <c r="B3564">
        <v>70</v>
      </c>
      <c r="C3564" s="1">
        <f>8.92560559189918*(10.3/7.3)</f>
        <v>12.593662684460492</v>
      </c>
      <c r="D3564" s="1">
        <f>12.9349259802034*(10.3/7.3)</f>
        <v>18.250648985766379</v>
      </c>
      <c r="E3564" s="1">
        <f>45.5030050917252*(10.3/7.3)</f>
        <v>64.202870197913654</v>
      </c>
      <c r="F3564" s="1">
        <f>88.5153535183891*(38.9/42.5)</f>
        <v>81.017582396831457</v>
      </c>
      <c r="G3564" s="1">
        <v>3.2413954967479341</v>
      </c>
      <c r="H3564" s="1">
        <v>6.1210704757812424</v>
      </c>
      <c r="I3564" s="1">
        <v>62.318644120007505</v>
      </c>
      <c r="J3564" s="1">
        <v>6.2659511117236735E-2</v>
      </c>
      <c r="K3564" s="1">
        <v>3.7259486040770353</v>
      </c>
      <c r="L3564" s="1">
        <v>5.831625803288162</v>
      </c>
      <c r="M3564" s="1">
        <v>0.26723750064498203</v>
      </c>
      <c r="N3564" s="1">
        <v>2.8846215965510131</v>
      </c>
      <c r="O3564" s="1">
        <v>0.23021333333333338</v>
      </c>
      <c r="P3564" s="1">
        <v>0.15890869694470439</v>
      </c>
      <c r="Q3564" s="1">
        <v>5.1803124377250125</v>
      </c>
      <c r="R3564" s="2">
        <f t="shared" si="223"/>
        <v>252.92618679523369</v>
      </c>
      <c r="S3564" s="2">
        <f t="shared" si="222"/>
        <v>3.9475168121389763</v>
      </c>
      <c r="T3564" s="2">
        <f t="shared" si="224"/>
        <v>9.2136982338174906</v>
      </c>
      <c r="U3564" s="2">
        <f t="shared" si="225"/>
        <v>266.08740184119011</v>
      </c>
    </row>
    <row r="3565" spans="1:21" x14ac:dyDescent="0.25">
      <c r="A3565">
        <v>4747017</v>
      </c>
      <c r="B3565">
        <v>70</v>
      </c>
      <c r="C3565" s="1">
        <f>8.3042134745194*(10.3/7.3)</f>
        <v>11.716903943499982</v>
      </c>
      <c r="D3565" s="1">
        <f>11.8096898282442*(10.3/7.3)</f>
        <v>16.662987017933528</v>
      </c>
      <c r="E3565" s="1">
        <f>41.5554697925504*(10.3/7.3)</f>
        <v>58.633060118256005</v>
      </c>
      <c r="F3565" s="1">
        <f>81.8489740516229*(38.9/42.5)</f>
        <v>74.915884484897191</v>
      </c>
      <c r="G3565" s="1">
        <v>3.0339790478637232</v>
      </c>
      <c r="H3565" s="1">
        <v>5.9372804844656564</v>
      </c>
      <c r="I3565" s="1">
        <v>58.171666999675558</v>
      </c>
      <c r="J3565" s="1">
        <v>6.1276590395562727E-2</v>
      </c>
      <c r="K3565" s="1">
        <v>3.6358045726942243</v>
      </c>
      <c r="L3565" s="1">
        <v>5.5760878146428308</v>
      </c>
      <c r="M3565" s="1">
        <v>0.25506985907419533</v>
      </c>
      <c r="N3565" s="1">
        <v>3.2250159688143216</v>
      </c>
      <c r="O3565" s="1">
        <v>0.22141790476190476</v>
      </c>
      <c r="P3565" s="1">
        <v>0.15321429189802438</v>
      </c>
      <c r="Q3565" s="1">
        <v>4.8488249623392869</v>
      </c>
      <c r="R3565" s="2">
        <f t="shared" si="223"/>
        <v>233.92058705893089</v>
      </c>
      <c r="S3565" s="2">
        <f t="shared" si="222"/>
        <v>3.850295454987811</v>
      </c>
      <c r="T3565" s="2">
        <f t="shared" si="224"/>
        <v>9.2775915472932535</v>
      </c>
      <c r="U3565" s="2">
        <f t="shared" si="225"/>
        <v>247.04847406121195</v>
      </c>
    </row>
    <row r="3566" spans="1:21" x14ac:dyDescent="0.25">
      <c r="A3566">
        <v>4747025</v>
      </c>
      <c r="B3566">
        <v>69</v>
      </c>
      <c r="C3566" s="1">
        <f>8.58520875650104*(10.3/7.3)</f>
        <v>12.113376738624762</v>
      </c>
      <c r="D3566" s="1">
        <f>12.0275992702419*(10.3/7.3)</f>
        <v>16.970448285409862</v>
      </c>
      <c r="E3566" s="1">
        <f>42.3202600305126*(10.3/7.3)</f>
        <v>59.712147714284882</v>
      </c>
      <c r="F3566" s="1">
        <f>84.7410042964571*(38.9/42.5)</f>
        <v>77.562942756051314</v>
      </c>
      <c r="G3566" s="1">
        <v>3.1969538433109657</v>
      </c>
      <c r="H3566" s="1">
        <v>6.2321755487846264</v>
      </c>
      <c r="I3566" s="1">
        <v>60.77333696253708</v>
      </c>
      <c r="J3566" s="1">
        <v>6.6238255521377548E-2</v>
      </c>
      <c r="K3566" s="1">
        <v>3.8253962483346213</v>
      </c>
      <c r="L3566" s="1">
        <v>5.8935315248254874</v>
      </c>
      <c r="M3566" s="1">
        <v>0.26208970422020494</v>
      </c>
      <c r="N3566" s="1">
        <v>3.0648571309419168</v>
      </c>
      <c r="O3566" s="1">
        <v>0.22799227053140111</v>
      </c>
      <c r="P3566" s="1">
        <v>0.15715672599751362</v>
      </c>
      <c r="Q3566" s="1">
        <v>5.1092869641956105</v>
      </c>
      <c r="R3566" s="2">
        <f t="shared" si="223"/>
        <v>241.67066881319911</v>
      </c>
      <c r="S3566" s="2">
        <f t="shared" si="222"/>
        <v>4.0487912298535127</v>
      </c>
      <c r="T3566" s="2">
        <f t="shared" si="224"/>
        <v>9.4484706305190098</v>
      </c>
      <c r="U3566" s="2">
        <f t="shared" si="225"/>
        <v>255.16793067357165</v>
      </c>
    </row>
    <row r="3567" spans="1:21" x14ac:dyDescent="0.25">
      <c r="A3567">
        <v>4747033</v>
      </c>
      <c r="B3567">
        <v>59</v>
      </c>
      <c r="C3567" s="1">
        <f>8.36763831048885*(10.3/7.3)</f>
        <v>11.806393780552762</v>
      </c>
      <c r="D3567" s="1">
        <f>11.5233692512527*(10.3/7.3)</f>
        <v>16.259000450397622</v>
      </c>
      <c r="E3567" s="1">
        <f>40.5484491054601*(10.3/7.3)</f>
        <v>57.212195313183415</v>
      </c>
      <c r="F3567" s="1">
        <f>82.5059630930015*(38.9/42.5)</f>
        <v>75.517222689829566</v>
      </c>
      <c r="G3567" s="1">
        <v>3.1630548619380598</v>
      </c>
      <c r="H3567" s="1">
        <v>6.2686238185015162</v>
      </c>
      <c r="I3567" s="1">
        <v>59.727947450911905</v>
      </c>
      <c r="J3567" s="1">
        <v>6.5937804175602965E-2</v>
      </c>
      <c r="K3567" s="1">
        <v>3.7410252824676231</v>
      </c>
      <c r="L3567" s="1">
        <v>5.6671424714119647</v>
      </c>
      <c r="M3567" s="1">
        <v>0.25102072008120924</v>
      </c>
      <c r="N3567" s="1">
        <v>2.9940501988207009</v>
      </c>
      <c r="O3567" s="1">
        <v>0.21971977401129944</v>
      </c>
      <c r="P3567" s="1">
        <v>0.15044993844982393</v>
      </c>
      <c r="Q3567" s="1">
        <v>5.0551105099466769</v>
      </c>
      <c r="R3567" s="2">
        <f t="shared" si="223"/>
        <v>235.00954887526152</v>
      </c>
      <c r="S3567" s="2">
        <f t="shared" si="222"/>
        <v>3.9574130250930502</v>
      </c>
      <c r="T3567" s="2">
        <f t="shared" si="224"/>
        <v>9.131933164325174</v>
      </c>
      <c r="U3567" s="2">
        <f t="shared" si="225"/>
        <v>248.09889506467974</v>
      </c>
    </row>
    <row r="3568" spans="1:21" x14ac:dyDescent="0.25">
      <c r="A3568">
        <v>4747121</v>
      </c>
      <c r="B3568">
        <v>7</v>
      </c>
      <c r="C3568" s="1">
        <f>4.10547814645367*(10.3/7.3)</f>
        <v>5.7926609463661318</v>
      </c>
      <c r="D3568" s="1">
        <f>5.58192174995713*(10.3/7.3)</f>
        <v>7.8758621951449994</v>
      </c>
      <c r="E3568" s="1">
        <f>19.4816602906846*(10.3/7.3)</f>
        <v>27.48782205397961</v>
      </c>
      <c r="F3568" s="1">
        <f>48.2473812381413*(38.9/42.5)</f>
        <v>44.160544239145828</v>
      </c>
      <c r="G3568" s="1">
        <v>2.2392454195606284</v>
      </c>
      <c r="H3568" s="1">
        <v>9.2936312318771481</v>
      </c>
      <c r="I3568" s="1">
        <v>36.521760944039109</v>
      </c>
      <c r="J3568" s="1">
        <v>3.9073844884328017E-2</v>
      </c>
      <c r="K3568" s="1">
        <v>2.485927114121897</v>
      </c>
      <c r="L3568" s="1">
        <v>4.1068178650734408</v>
      </c>
      <c r="M3568" s="1">
        <v>0.13318232788249071</v>
      </c>
      <c r="N3568" s="1">
        <v>1.704134257861875</v>
      </c>
      <c r="O3568" s="1">
        <v>0.11947428571428571</v>
      </c>
      <c r="P3568" s="1">
        <v>9.2169862211999326E-2</v>
      </c>
      <c r="Q3568" s="1">
        <v>3.5787027253252082</v>
      </c>
      <c r="R3568" s="2">
        <f t="shared" si="223"/>
        <v>136.95022975543867</v>
      </c>
      <c r="S3568" s="2">
        <f t="shared" si="222"/>
        <v>2.6171708212182243</v>
      </c>
      <c r="T3568" s="2">
        <f t="shared" si="224"/>
        <v>6.0636087365320916</v>
      </c>
      <c r="U3568" s="2">
        <f t="shared" si="225"/>
        <v>145.631009313189</v>
      </c>
    </row>
    <row r="3569" spans="1:21" x14ac:dyDescent="0.25">
      <c r="A3569">
        <v>4747337</v>
      </c>
      <c r="B3569">
        <v>9</v>
      </c>
      <c r="C3569" s="1">
        <f>8.15347583089005*(10.3/7.3)</f>
        <v>11.504219323036647</v>
      </c>
      <c r="D3569" s="1">
        <f>8.94824274794054*(10.3/7.3)</f>
        <v>12.62560278134076</v>
      </c>
      <c r="E3569" s="1">
        <f>31.6465156385025*(10.3/7.3)</f>
        <v>44.651933024188423</v>
      </c>
      <c r="F3569" s="1">
        <f>73.002825391862*(38.9/42.5)</f>
        <v>66.819056652786657</v>
      </c>
      <c r="G3569" s="1">
        <v>3.0714965122483111</v>
      </c>
      <c r="H3569" s="1">
        <v>7.7520240317299107</v>
      </c>
      <c r="I3569" s="1">
        <v>58.087933939212789</v>
      </c>
      <c r="J3569" s="1">
        <v>3.9964378853819142E-2</v>
      </c>
      <c r="K3569" s="1">
        <v>2.2762465854996803</v>
      </c>
      <c r="L3569" s="1">
        <v>2.5048181318077494</v>
      </c>
      <c r="M3569" s="1">
        <v>0.10750297775052248</v>
      </c>
      <c r="N3569" s="1">
        <v>1.6401948958501025</v>
      </c>
      <c r="O3569" s="1">
        <v>0.10314074074074074</v>
      </c>
      <c r="P3569" s="1">
        <v>7.9554412816162573E-2</v>
      </c>
      <c r="Q3569" s="1">
        <v>4.9087843803055238</v>
      </c>
      <c r="R3569" s="2">
        <f t="shared" si="223"/>
        <v>209.421050644849</v>
      </c>
      <c r="S3569" s="2">
        <f t="shared" si="222"/>
        <v>2.3957653771696621</v>
      </c>
      <c r="T3569" s="2">
        <f t="shared" si="224"/>
        <v>4.3556567461491147</v>
      </c>
      <c r="U3569" s="2">
        <f t="shared" si="225"/>
        <v>216.17247276816778</v>
      </c>
    </row>
    <row r="3570" spans="1:21" x14ac:dyDescent="0.25">
      <c r="A3570">
        <v>4747345</v>
      </c>
      <c r="B3570">
        <v>18</v>
      </c>
      <c r="C3570" s="1">
        <f>6.01044463727927*(10.3/7.3)</f>
        <v>8.480490378626909</v>
      </c>
      <c r="D3570" s="1">
        <f>6.95190042473161*(10.3/7.3)</f>
        <v>9.8088458047583043</v>
      </c>
      <c r="E3570" s="1">
        <f>24.5469975603655*(10.3/7.3)</f>
        <v>34.634804776953999</v>
      </c>
      <c r="F3570" s="1">
        <f>55.3564864428063*(38.9/42.5)</f>
        <v>50.667466414709793</v>
      </c>
      <c r="G3570" s="1">
        <v>2.2992709782439475</v>
      </c>
      <c r="H3570" s="1">
        <v>6.3723727638777383</v>
      </c>
      <c r="I3570" s="1">
        <v>43.188600755922266</v>
      </c>
      <c r="J3570" s="1">
        <v>3.1377077383377437E-2</v>
      </c>
      <c r="K3570" s="1">
        <v>1.9981796315774656</v>
      </c>
      <c r="L3570" s="1">
        <v>2.149199156269026</v>
      </c>
      <c r="M3570" s="1">
        <v>9.6166537321341131E-2</v>
      </c>
      <c r="N3570" s="1">
        <v>1.3402840815816444</v>
      </c>
      <c r="O3570" s="1">
        <v>9.0986666666666646E-2</v>
      </c>
      <c r="P3570" s="1">
        <v>7.1982007557693101E-2</v>
      </c>
      <c r="Q3570" s="1">
        <v>3.6746339834948967</v>
      </c>
      <c r="R3570" s="2">
        <f t="shared" si="223"/>
        <v>159.12648585658783</v>
      </c>
      <c r="S3570" s="2">
        <f t="shared" si="222"/>
        <v>2.1015387165185357</v>
      </c>
      <c r="T3570" s="2">
        <f t="shared" si="224"/>
        <v>3.6766364418386779</v>
      </c>
      <c r="U3570" s="2">
        <f t="shared" si="225"/>
        <v>164.90466101494505</v>
      </c>
    </row>
    <row r="3571" spans="1:21" x14ac:dyDescent="0.25">
      <c r="A3571">
        <v>4747353</v>
      </c>
      <c r="B3571">
        <v>18</v>
      </c>
      <c r="C3571" s="1">
        <f>6.61429927097713*(10.3/7.3)</f>
        <v>9.3325044508307471</v>
      </c>
      <c r="D3571" s="1">
        <f>9.09505901415503*(10.3/7.3)</f>
        <v>12.832754499424226</v>
      </c>
      <c r="E3571" s="1">
        <f>32.0085725496265*(10.3/7.3)</f>
        <v>45.162780446733287</v>
      </c>
      <c r="F3571" s="1">
        <f>64.984018656677*(38.9/42.5)</f>
        <v>59.47949001752319</v>
      </c>
      <c r="G3571" s="1">
        <v>2.4839374934385061</v>
      </c>
      <c r="H3571" s="1">
        <v>6.1491801605568659</v>
      </c>
      <c r="I3571" s="1">
        <v>47.041129748126146</v>
      </c>
      <c r="J3571" s="1">
        <v>3.3071058616675836E-2</v>
      </c>
      <c r="K3571" s="1">
        <v>2.1154905491757443</v>
      </c>
      <c r="L3571" s="1">
        <v>2.2944156284344861</v>
      </c>
      <c r="M3571" s="1">
        <v>0.10090533559355205</v>
      </c>
      <c r="N3571" s="1">
        <v>1.3589396183257154</v>
      </c>
      <c r="O3571" s="1">
        <v>9.6853333333333319E-2</v>
      </c>
      <c r="P3571" s="1">
        <v>7.5365277923123669E-2</v>
      </c>
      <c r="Q3571" s="1">
        <v>3.969763117367481</v>
      </c>
      <c r="R3571" s="2">
        <f t="shared" si="223"/>
        <v>186.45153993400044</v>
      </c>
      <c r="S3571" s="2">
        <f t="shared" si="222"/>
        <v>2.2239268857155441</v>
      </c>
      <c r="T3571" s="2">
        <f t="shared" si="224"/>
        <v>3.8511139156870868</v>
      </c>
      <c r="U3571" s="2">
        <f t="shared" si="225"/>
        <v>192.52658073540306</v>
      </c>
    </row>
    <row r="3572" spans="1:21" x14ac:dyDescent="0.25">
      <c r="A3572">
        <v>4747377</v>
      </c>
      <c r="B3572">
        <v>50</v>
      </c>
      <c r="C3572" s="1">
        <f>4.42871015526727*(10.3/7.3)</f>
        <v>6.2487280272949182</v>
      </c>
      <c r="D3572" s="1">
        <f>5.14803651054427*(10.3/7.3)</f>
        <v>7.2636679532337016</v>
      </c>
      <c r="E3572" s="1">
        <f>18.1578812412093*(10.3/7.3)</f>
        <v>25.620024217048773</v>
      </c>
      <c r="F3572" s="1">
        <f>41.7253658051851*(38.9/42.5)</f>
        <v>38.190981878157643</v>
      </c>
      <c r="G3572" s="1">
        <v>1.7676841536780723</v>
      </c>
      <c r="H3572" s="1">
        <v>4.1318101473231374</v>
      </c>
      <c r="I3572" s="1">
        <v>32.594644522306623</v>
      </c>
      <c r="J3572" s="1">
        <v>2.7813861172265836E-2</v>
      </c>
      <c r="K3572" s="1">
        <v>1.9120938946887753</v>
      </c>
      <c r="L3572" s="1">
        <v>2.0058924258591859</v>
      </c>
      <c r="M3572" s="1">
        <v>9.0781787002387995E-2</v>
      </c>
      <c r="N3572" s="1">
        <v>1.149604275343501</v>
      </c>
      <c r="O3572" s="1">
        <v>8.7228799999999995E-2</v>
      </c>
      <c r="P3572" s="1">
        <v>6.9218561873435724E-2</v>
      </c>
      <c r="Q3572" s="1">
        <v>2.825065999028884</v>
      </c>
      <c r="R3572" s="2">
        <f t="shared" si="223"/>
        <v>118.64260689807175</v>
      </c>
      <c r="S3572" s="2">
        <f t="shared" si="222"/>
        <v>2.0091263177344767</v>
      </c>
      <c r="T3572" s="2">
        <f t="shared" si="224"/>
        <v>3.3335072882050749</v>
      </c>
      <c r="U3572" s="2">
        <f t="shared" si="225"/>
        <v>123.98524050401129</v>
      </c>
    </row>
    <row r="3573" spans="1:21" x14ac:dyDescent="0.25">
      <c r="A3573">
        <v>4758677</v>
      </c>
      <c r="B3573">
        <v>10</v>
      </c>
      <c r="C3573" s="1">
        <f>0.586843148084567*(10.3/7.3)</f>
        <v>0.82801156510562146</v>
      </c>
      <c r="D3573" s="1">
        <f>0.817089092335743*(10.3/7.3)</f>
        <v>1.1528791302819394</v>
      </c>
      <c r="E3573" s="1">
        <f>2.84110744670711*(10.3/7.3)</f>
        <v>4.0086858494634567</v>
      </c>
      <c r="F3573" s="1">
        <f>7.43632825394135*(38.9/42.5)</f>
        <v>6.8064275077251377</v>
      </c>
      <c r="G3573" s="1">
        <v>0.36121914851426984</v>
      </c>
      <c r="H3573" s="1">
        <v>1.5163250126850649</v>
      </c>
      <c r="I3573" s="1">
        <v>5.6524246317292164</v>
      </c>
      <c r="J3573" s="1">
        <v>4.0145799387794438E-2</v>
      </c>
      <c r="K3573" s="1">
        <v>2.8331788840127965</v>
      </c>
      <c r="L3573" s="1">
        <v>2.249186011094126</v>
      </c>
      <c r="M3573" s="1">
        <v>0.42060389969726586</v>
      </c>
      <c r="N3573" s="1">
        <v>1.3286806931064148</v>
      </c>
      <c r="O3573" s="1">
        <v>0.44424533333333327</v>
      </c>
      <c r="P3573" s="1">
        <v>0.23411648101829127</v>
      </c>
      <c r="Q3573" s="1">
        <v>0.57729087662097978</v>
      </c>
      <c r="R3573" s="2">
        <f t="shared" si="223"/>
        <v>20.903263722125686</v>
      </c>
      <c r="S3573" s="2">
        <f t="shared" si="222"/>
        <v>3.1074411644188822</v>
      </c>
      <c r="T3573" s="2">
        <f t="shared" si="224"/>
        <v>4.4427159372311396</v>
      </c>
      <c r="U3573" s="2">
        <f t="shared" si="225"/>
        <v>28.453420823775708</v>
      </c>
    </row>
    <row r="3574" spans="1:21" x14ac:dyDescent="0.25">
      <c r="A3574">
        <v>4758685</v>
      </c>
      <c r="B3574">
        <v>57</v>
      </c>
      <c r="C3574" s="1">
        <f>1.12312000689157*(10.3/7.3)</f>
        <v>1.5846761741072881</v>
      </c>
      <c r="D3574" s="1">
        <f>1.61680013314007*(10.3/7.3)</f>
        <v>2.2812385440195446</v>
      </c>
      <c r="E3574" s="1">
        <f>5.59467322328658*(10.3/7.3)</f>
        <v>7.8938539999796893</v>
      </c>
      <c r="F3574" s="1">
        <f>15.6456274715033*(38.9/42.5)</f>
        <v>14.320350791564225</v>
      </c>
      <c r="G3574" s="1">
        <v>0.79830824397046329</v>
      </c>
      <c r="H3574" s="1">
        <v>2.9111784037359669</v>
      </c>
      <c r="I3574" s="1">
        <v>11.9412462326511</v>
      </c>
      <c r="J3574" s="1">
        <v>6.3672622274764723E-2</v>
      </c>
      <c r="K3574" s="1">
        <v>3.9639808851509462</v>
      </c>
      <c r="L3574" s="1">
        <v>3.4750784759351845</v>
      </c>
      <c r="M3574" s="1">
        <v>0.65958580437942804</v>
      </c>
      <c r="N3574" s="1">
        <v>1.9287500812415241</v>
      </c>
      <c r="O3574" s="1">
        <v>0.72359204678362543</v>
      </c>
      <c r="P3574" s="1">
        <v>0.30588967628582031</v>
      </c>
      <c r="Q3574" s="1">
        <v>1.2758350931034814</v>
      </c>
      <c r="R3574" s="2">
        <f t="shared" si="223"/>
        <v>43.006687483131756</v>
      </c>
      <c r="S3574" s="2">
        <f t="shared" si="222"/>
        <v>4.3335431837115319</v>
      </c>
      <c r="T3574" s="2">
        <f t="shared" si="224"/>
        <v>6.7870064083397619</v>
      </c>
      <c r="U3574" s="2">
        <f t="shared" si="225"/>
        <v>54.127237075183054</v>
      </c>
    </row>
    <row r="3575" spans="1:21" x14ac:dyDescent="0.25">
      <c r="A3575">
        <v>4758693</v>
      </c>
      <c r="B3575">
        <v>38</v>
      </c>
      <c r="C3575" s="1">
        <f>0.938595605363621*(10.3/7.3)</f>
        <v>1.3243198267459313</v>
      </c>
      <c r="D3575" s="1">
        <f>1.36453036983912*(10.3/7.3)</f>
        <v>1.9252962752524541</v>
      </c>
      <c r="E3575" s="1">
        <f>4.7142822482381*(10.3/7.3)</f>
        <v>6.6516585146373259</v>
      </c>
      <c r="F3575" s="1">
        <f>13.4722562375825*(38.9/42.5)</f>
        <v>12.331076885693141</v>
      </c>
      <c r="G3575" s="1">
        <v>0.69762605955731316</v>
      </c>
      <c r="H3575" s="1">
        <v>2.6924488667304036</v>
      </c>
      <c r="I3575" s="1">
        <v>10.299351366032562</v>
      </c>
      <c r="J3575" s="1">
        <v>6.0747491600446506E-2</v>
      </c>
      <c r="K3575" s="1">
        <v>3.557590031752889</v>
      </c>
      <c r="L3575" s="1">
        <v>2.9902631731723956</v>
      </c>
      <c r="M3575" s="1">
        <v>0.58233859245803021</v>
      </c>
      <c r="N3575" s="1">
        <v>1.8184524402895488</v>
      </c>
      <c r="O3575" s="1">
        <v>0.61367859649122791</v>
      </c>
      <c r="P3575" s="1">
        <v>0.2836281946453057</v>
      </c>
      <c r="Q3575" s="1">
        <v>1.1149274924431956</v>
      </c>
      <c r="R3575" s="2">
        <f t="shared" si="223"/>
        <v>37.036705287092325</v>
      </c>
      <c r="S3575" s="2">
        <f t="shared" si="222"/>
        <v>3.9019657179986416</v>
      </c>
      <c r="T3575" s="2">
        <f t="shared" si="224"/>
        <v>6.004732802411203</v>
      </c>
      <c r="U3575" s="2">
        <f t="shared" si="225"/>
        <v>46.943403807502172</v>
      </c>
    </row>
    <row r="3576" spans="1:21" x14ac:dyDescent="0.25">
      <c r="A3576">
        <v>4758853</v>
      </c>
      <c r="B3576">
        <v>15</v>
      </c>
      <c r="C3576" s="1">
        <f>1.9442481783199*(10.3/7.3)</f>
        <v>2.7432542789993133</v>
      </c>
      <c r="D3576" s="1">
        <f>2.72964164506673*(10.3/7.3)</f>
        <v>3.8514121841352433</v>
      </c>
      <c r="E3576" s="1">
        <f>9.34458356171448*(10.3/7.3)</f>
        <v>13.184823381597145</v>
      </c>
      <c r="F3576" s="1">
        <f>31.7890586795458*(38.9/42.5)</f>
        <v>29.096338414925405</v>
      </c>
      <c r="G3576" s="1">
        <v>1.8053446779840503</v>
      </c>
      <c r="H3576" s="1">
        <v>8.7186196907272198</v>
      </c>
      <c r="I3576" s="1">
        <v>25.117168718990989</v>
      </c>
      <c r="J3576" s="1">
        <v>4.4082360953491155E-2</v>
      </c>
      <c r="K3576" s="1">
        <v>3.0852458621890491</v>
      </c>
      <c r="L3576" s="1">
        <v>3.2977065285907523</v>
      </c>
      <c r="M3576" s="1">
        <v>0.93401386820201127</v>
      </c>
      <c r="N3576" s="1">
        <v>1.8342110250522918</v>
      </c>
      <c r="O3576" s="1">
        <v>0.32980266666666663</v>
      </c>
      <c r="P3576" s="1">
        <v>0.21301548681955057</v>
      </c>
      <c r="Q3576" s="1">
        <v>2.8852540515726863</v>
      </c>
      <c r="R3576" s="2">
        <f t="shared" si="223"/>
        <v>87.402215398932057</v>
      </c>
      <c r="S3576" s="2">
        <f t="shared" si="222"/>
        <v>3.3423437099620905</v>
      </c>
      <c r="T3576" s="2">
        <f t="shared" si="224"/>
        <v>6.3957340885117215</v>
      </c>
      <c r="U3576" s="2">
        <f t="shared" si="225"/>
        <v>97.140293197405867</v>
      </c>
    </row>
    <row r="3577" spans="1:21" x14ac:dyDescent="0.25">
      <c r="A3577">
        <v>4758861</v>
      </c>
      <c r="B3577">
        <v>49</v>
      </c>
      <c r="C3577" s="1">
        <f>1.64171005705166*(10.3/7.3)</f>
        <v>2.3163854229633056</v>
      </c>
      <c r="D3577" s="1">
        <f>2.27738246875036*(10.3/7.3)</f>
        <v>3.2132930723463931</v>
      </c>
      <c r="E3577" s="1">
        <f>7.80524773238909*(10.3/7.3)</f>
        <v>11.012883786795573</v>
      </c>
      <c r="F3577" s="1">
        <f>26.2870839918607*(38.9/42.5)</f>
        <v>24.060413347844293</v>
      </c>
      <c r="G3577" s="1">
        <v>1.4842174885213468</v>
      </c>
      <c r="H3577" s="1">
        <v>6.2615419682112199</v>
      </c>
      <c r="I3577" s="1">
        <v>20.786632384824255</v>
      </c>
      <c r="J3577" s="1">
        <v>3.8850254025121121E-2</v>
      </c>
      <c r="K3577" s="1">
        <v>2.7767629389068689</v>
      </c>
      <c r="L3577" s="1">
        <v>3.0823050824529994</v>
      </c>
      <c r="M3577" s="1">
        <v>0.79566734722023968</v>
      </c>
      <c r="N3577" s="1">
        <v>1.6910585562334597</v>
      </c>
      <c r="O3577" s="1">
        <v>0.29151891156462589</v>
      </c>
      <c r="P3577" s="1">
        <v>0.19197935417508713</v>
      </c>
      <c r="Q3577" s="1">
        <v>2.3720370821117447</v>
      </c>
      <c r="R3577" s="2">
        <f t="shared" si="223"/>
        <v>71.50740455361813</v>
      </c>
      <c r="S3577" s="2">
        <f t="shared" si="222"/>
        <v>3.0075925471070768</v>
      </c>
      <c r="T3577" s="2">
        <f t="shared" si="224"/>
        <v>5.8605498974713237</v>
      </c>
      <c r="U3577" s="2">
        <f t="shared" si="225"/>
        <v>80.37554699819654</v>
      </c>
    </row>
    <row r="3578" spans="1:21" x14ac:dyDescent="0.25">
      <c r="A3578">
        <v>4758933</v>
      </c>
      <c r="B3578">
        <v>34</v>
      </c>
      <c r="C3578" s="1">
        <f>1.59966875507406*(10.3/7.3)</f>
        <v>2.257066873597644</v>
      </c>
      <c r="D3578" s="1">
        <f>2.44824651658185*(10.3/7.3)</f>
        <v>3.4543752220264503</v>
      </c>
      <c r="E3578" s="1">
        <f>8.38477580401255*(10.3/7.3)</f>
        <v>11.830574079634141</v>
      </c>
      <c r="F3578" s="1">
        <f>26.8910819521328*(38.9/42.5)</f>
        <v>24.613249127952145</v>
      </c>
      <c r="G3578" s="1">
        <v>1.4931984486224277</v>
      </c>
      <c r="H3578" s="1">
        <v>12.073246671876026</v>
      </c>
      <c r="I3578" s="1">
        <v>20.747709480452198</v>
      </c>
      <c r="J3578" s="1">
        <v>4.3964832529423584E-2</v>
      </c>
      <c r="K3578" s="1">
        <v>2.8141208434330029</v>
      </c>
      <c r="L3578" s="1">
        <v>4.9552104974008184</v>
      </c>
      <c r="M3578" s="1">
        <v>0.57362993790931194</v>
      </c>
      <c r="N3578" s="1">
        <v>2.0815457317714587</v>
      </c>
      <c r="O3578" s="1">
        <v>0.25744470588235291</v>
      </c>
      <c r="P3578" s="1">
        <v>0.17756778348597166</v>
      </c>
      <c r="Q3578" s="1">
        <v>2.3863902146933809</v>
      </c>
      <c r="R3578" s="2">
        <f t="shared" si="223"/>
        <v>78.855810118854421</v>
      </c>
      <c r="S3578" s="2">
        <f t="shared" si="222"/>
        <v>3.0356534594483979</v>
      </c>
      <c r="T3578" s="2">
        <f t="shared" si="224"/>
        <v>7.8678308729639417</v>
      </c>
      <c r="U3578" s="2">
        <f t="shared" si="225"/>
        <v>89.759294451266754</v>
      </c>
    </row>
    <row r="3579" spans="1:21" x14ac:dyDescent="0.25">
      <c r="A3579">
        <v>4758957</v>
      </c>
      <c r="B3579">
        <v>1</v>
      </c>
      <c r="C3579" s="1">
        <f>1.44261292409549*(10.3/7.3)</f>
        <v>2.0354675504361075</v>
      </c>
      <c r="D3579" s="1">
        <f>2.22712827140849*(10.3/7.3)</f>
        <v>3.1423864651380127</v>
      </c>
      <c r="E3579" s="1">
        <f>7.63699651928323*(10.3/7.3)</f>
        <v>10.775488239536612</v>
      </c>
      <c r="F3579" s="1">
        <f>23.8748870105848*(38.9/42.5)</f>
        <v>21.852543640276448</v>
      </c>
      <c r="G3579" s="1">
        <v>1.3089982807206357</v>
      </c>
      <c r="H3579" s="1">
        <v>14.121597557271684</v>
      </c>
      <c r="I3579" s="1">
        <v>18.315919832035945</v>
      </c>
      <c r="J3579" s="1">
        <v>4.9373918918992947E-2</v>
      </c>
      <c r="K3579" s="1">
        <v>3.1025443350057866</v>
      </c>
      <c r="L3579" s="1">
        <v>4.6913402631622665</v>
      </c>
      <c r="M3579" s="1">
        <v>0.52400407677528416</v>
      </c>
      <c r="N3579" s="1">
        <v>2.4087737826269606</v>
      </c>
      <c r="O3579" s="1">
        <v>0.26762666666666668</v>
      </c>
      <c r="P3579" s="1">
        <v>0.19141656673318441</v>
      </c>
      <c r="Q3579" s="1">
        <v>2.092006384713347</v>
      </c>
      <c r="R3579" s="2">
        <f t="shared" si="223"/>
        <v>73.64440795012878</v>
      </c>
      <c r="S3579" s="2">
        <f t="shared" si="222"/>
        <v>3.3433348206579643</v>
      </c>
      <c r="T3579" s="2">
        <f t="shared" si="224"/>
        <v>7.8917447892311783</v>
      </c>
      <c r="U3579" s="2">
        <f t="shared" si="225"/>
        <v>84.879487560017921</v>
      </c>
    </row>
    <row r="3580" spans="1:21" x14ac:dyDescent="0.25">
      <c r="A3580">
        <v>4758965</v>
      </c>
      <c r="B3580">
        <v>53</v>
      </c>
      <c r="C3580" s="1">
        <f>1.74151213772173*(10.3/7.3)</f>
        <v>2.4572020573334004</v>
      </c>
      <c r="D3580" s="1">
        <f>2.7131268193024*(10.3/7.3)</f>
        <v>3.828110443673256</v>
      </c>
      <c r="E3580" s="1">
        <f>9.31033926243539*(10.3/7.3)</f>
        <v>13.136506082614313</v>
      </c>
      <c r="F3580" s="1">
        <f>28.5943809742831*(38.9/42.5)</f>
        <v>26.172268703520306</v>
      </c>
      <c r="G3580" s="1">
        <v>1.5539546555539132</v>
      </c>
      <c r="H3580" s="1">
        <v>9.2059237760480865</v>
      </c>
      <c r="I3580" s="1">
        <v>21.835131425000071</v>
      </c>
      <c r="J3580" s="1">
        <v>4.908057743660714E-2</v>
      </c>
      <c r="K3580" s="1">
        <v>3.0367518527870652</v>
      </c>
      <c r="L3580" s="1">
        <v>4.5728477289848186</v>
      </c>
      <c r="M3580" s="1">
        <v>0.49762302516175666</v>
      </c>
      <c r="N3580" s="1">
        <v>2.3034706428985756</v>
      </c>
      <c r="O3580" s="1">
        <v>0.25877937106918242</v>
      </c>
      <c r="P3580" s="1">
        <v>0.18404410182766123</v>
      </c>
      <c r="Q3580" s="1">
        <v>2.4834891755427853</v>
      </c>
      <c r="R3580" s="2">
        <f t="shared" si="223"/>
        <v>80.67258631928614</v>
      </c>
      <c r="S3580" s="2">
        <f t="shared" si="222"/>
        <v>3.2698765320513332</v>
      </c>
      <c r="T3580" s="2">
        <f t="shared" si="224"/>
        <v>7.632720768114333</v>
      </c>
      <c r="U3580" s="2">
        <f t="shared" si="225"/>
        <v>91.575183619451806</v>
      </c>
    </row>
    <row r="3581" spans="1:21" x14ac:dyDescent="0.25">
      <c r="A3581">
        <v>4759181</v>
      </c>
      <c r="B3581">
        <v>40</v>
      </c>
      <c r="C3581" s="1">
        <f>21.936518695181*(10.3/7.3)</f>
        <v>30.951526378132044</v>
      </c>
      <c r="D3581" s="1">
        <f>37.8003136376176*(10.3/7.3)</f>
        <v>53.334689105131702</v>
      </c>
      <c r="E3581" s="1">
        <f>132.661578838054*(10.3/7.3)</f>
        <v>187.18003589478917</v>
      </c>
      <c r="F3581" s="1">
        <f>232.153505980997*(38.9/42.5)</f>
        <v>212.48873841554766</v>
      </c>
      <c r="G3581" s="1">
        <v>7.5754251936417676</v>
      </c>
      <c r="H3581" s="1">
        <v>8.9163578867797231</v>
      </c>
      <c r="I3581" s="1">
        <v>149.05571346862561</v>
      </c>
      <c r="J3581" s="1">
        <v>5.6449885504530319E-2</v>
      </c>
      <c r="K3581" s="1">
        <v>3.3359916530295948</v>
      </c>
      <c r="L3581" s="1">
        <v>4.9356564516856425</v>
      </c>
      <c r="M3581" s="1">
        <v>0.26913156891687723</v>
      </c>
      <c r="N3581" s="1">
        <v>2.9601786926734688</v>
      </c>
      <c r="O3581" s="1">
        <v>0.22499466666666662</v>
      </c>
      <c r="P3581" s="1">
        <v>0.15454485154446176</v>
      </c>
      <c r="Q3581" s="1">
        <v>12.106843916779095</v>
      </c>
      <c r="R3581" s="2">
        <f t="shared" si="223"/>
        <v>661.60933025942677</v>
      </c>
      <c r="S3581" s="2">
        <f t="shared" si="222"/>
        <v>3.5469863900785867</v>
      </c>
      <c r="T3581" s="2">
        <f t="shared" si="224"/>
        <v>8.3899613799426547</v>
      </c>
      <c r="U3581" s="2">
        <f t="shared" si="225"/>
        <v>673.54627802944799</v>
      </c>
    </row>
    <row r="3582" spans="1:21" x14ac:dyDescent="0.25">
      <c r="A3582">
        <v>4759189</v>
      </c>
      <c r="B3582">
        <v>57</v>
      </c>
      <c r="C3582" s="1">
        <f>16.7861828854145*(10.3/7.3)</f>
        <v>23.684614208187579</v>
      </c>
      <c r="D3582" s="1">
        <f>26.7438944850271*(10.3/7.3)</f>
        <v>37.734536054216299</v>
      </c>
      <c r="E3582" s="1">
        <f>94.0056962707056*(10.3/7.3)</f>
        <v>132.63817419017371</v>
      </c>
      <c r="F3582" s="1">
        <f>169.863076645939*(38.9/42.5)</f>
        <v>155.47467485945978</v>
      </c>
      <c r="G3582" s="1">
        <v>5.7254086434280786</v>
      </c>
      <c r="H3582" s="1">
        <v>7.3022404515294195</v>
      </c>
      <c r="I3582" s="1">
        <v>113.30984836438063</v>
      </c>
      <c r="J3582" s="1">
        <v>6.60854419270272E-2</v>
      </c>
      <c r="K3582" s="1">
        <v>3.8148780308645218</v>
      </c>
      <c r="L3582" s="1">
        <v>6.0690161999710392</v>
      </c>
      <c r="M3582" s="1">
        <v>0.31089088564516315</v>
      </c>
      <c r="N3582" s="1">
        <v>3.057228023830536</v>
      </c>
      <c r="O3582" s="1">
        <v>0.25762619883040927</v>
      </c>
      <c r="P3582" s="1">
        <v>0.17320912328202653</v>
      </c>
      <c r="Q3582" s="1">
        <v>9.150196462099677</v>
      </c>
      <c r="R3582" s="2">
        <f t="shared" si="223"/>
        <v>485.01969323347515</v>
      </c>
      <c r="S3582" s="2">
        <f t="shared" si="222"/>
        <v>4.0541725960735757</v>
      </c>
      <c r="T3582" s="2">
        <f t="shared" si="224"/>
        <v>9.6947613082771493</v>
      </c>
      <c r="U3582" s="2">
        <f t="shared" si="225"/>
        <v>498.76862713782583</v>
      </c>
    </row>
    <row r="3583" spans="1:21" x14ac:dyDescent="0.25">
      <c r="A3583">
        <v>4759197</v>
      </c>
      <c r="B3583">
        <v>55</v>
      </c>
      <c r="C3583" s="1">
        <f>14.3113487839151*(10.3/7.3)</f>
        <v>20.192724996482891</v>
      </c>
      <c r="D3583" s="1">
        <f>22.20220350282*(10.3/7.3)</f>
        <v>31.326396723156929</v>
      </c>
      <c r="E3583" s="1">
        <f>78.0733170889568*(10.3/7.3)</f>
        <v>110.15824192003492</v>
      </c>
      <c r="F3583" s="1">
        <f>143.256310797705*(38.9/42.5)</f>
        <v>131.12165858895807</v>
      </c>
      <c r="G3583" s="1">
        <v>4.9109674842076316</v>
      </c>
      <c r="H3583" s="1">
        <v>6.9779209657943149</v>
      </c>
      <c r="I3583" s="1">
        <v>96.915814270051328</v>
      </c>
      <c r="J3583" s="1">
        <v>6.4322648606514057E-2</v>
      </c>
      <c r="K3583" s="1">
        <v>3.762600318295874</v>
      </c>
      <c r="L3583" s="1">
        <v>5.9497631970634774</v>
      </c>
      <c r="M3583" s="1">
        <v>0.30064303279179599</v>
      </c>
      <c r="N3583" s="1">
        <v>2.9308183132686163</v>
      </c>
      <c r="O3583" s="1">
        <v>0.2497250909090909</v>
      </c>
      <c r="P3583" s="1">
        <v>0.1700363186130309</v>
      </c>
      <c r="Q3583" s="1">
        <v>7.8485781711080946</v>
      </c>
      <c r="R3583" s="2">
        <f t="shared" si="223"/>
        <v>409.45230311979418</v>
      </c>
      <c r="S3583" s="2">
        <f t="shared" si="222"/>
        <v>3.9969592855154188</v>
      </c>
      <c r="T3583" s="2">
        <f t="shared" si="224"/>
        <v>9.4309496340329808</v>
      </c>
      <c r="U3583" s="2">
        <f t="shared" si="225"/>
        <v>422.88021203934255</v>
      </c>
    </row>
    <row r="3584" spans="1:21" x14ac:dyDescent="0.25">
      <c r="A3584">
        <v>4759205</v>
      </c>
      <c r="B3584">
        <v>55</v>
      </c>
      <c r="C3584" s="1">
        <f>9.99386559860442*(10.3/7.3)</f>
        <v>14.100933652825415</v>
      </c>
      <c r="D3584" s="1">
        <f>15.470408209624*(10.3/7.3)</f>
        <v>21.82811021357907</v>
      </c>
      <c r="E3584" s="1">
        <f>54.3956761701198*(10.3/7.3)</f>
        <v>76.750063637292371</v>
      </c>
      <c r="F3584" s="1">
        <f>100.306369459881*(38.9/42.5)</f>
        <v>91.809829929161282</v>
      </c>
      <c r="G3584" s="1">
        <v>3.4617054532875717</v>
      </c>
      <c r="H3584" s="1">
        <v>5.7779943711756987</v>
      </c>
      <c r="I3584" s="1">
        <v>68.017064693693598</v>
      </c>
      <c r="J3584" s="1">
        <v>5.3192493703852595E-2</v>
      </c>
      <c r="K3584" s="1">
        <v>3.2602383152278258</v>
      </c>
      <c r="L3584" s="1">
        <v>4.915885704933233</v>
      </c>
      <c r="M3584" s="1">
        <v>0.25150803963008977</v>
      </c>
      <c r="N3584" s="1">
        <v>2.4555733504338666</v>
      </c>
      <c r="O3584" s="1">
        <v>0.21174109090909091</v>
      </c>
      <c r="P3584" s="1">
        <v>0.14923243865925295</v>
      </c>
      <c r="Q3584" s="1">
        <v>5.5324059755737496</v>
      </c>
      <c r="R3584" s="2">
        <f t="shared" si="223"/>
        <v>287.27810792658875</v>
      </c>
      <c r="S3584" s="2">
        <f t="shared" si="222"/>
        <v>3.4626632475909314</v>
      </c>
      <c r="T3584" s="2">
        <f t="shared" si="224"/>
        <v>7.8347081859062806</v>
      </c>
      <c r="U3584" s="2">
        <f t="shared" si="225"/>
        <v>298.57547936008592</v>
      </c>
    </row>
    <row r="3585" spans="1:21" x14ac:dyDescent="0.25">
      <c r="A3585">
        <v>4759213</v>
      </c>
      <c r="B3585">
        <v>55</v>
      </c>
      <c r="C3585" s="1">
        <f>9.80601669919657*(10.3/7.3)</f>
        <v>13.835886575578726</v>
      </c>
      <c r="D3585" s="1">
        <f>15.0512373830062*(10.3/7.3)</f>
        <v>21.236677403419758</v>
      </c>
      <c r="E3585" s="1">
        <f>52.913825358032*(10.3/7.3)</f>
        <v>74.659233039415014</v>
      </c>
      <c r="F3585" s="1">
        <f>98.8109151422532*(38.9/42.5)</f>
        <v>90.441049389027071</v>
      </c>
      <c r="G3585" s="1">
        <v>3.4653339731119237</v>
      </c>
      <c r="H3585" s="1">
        <v>6.0229022779513199</v>
      </c>
      <c r="I3585" s="1">
        <v>67.459897354383656</v>
      </c>
      <c r="J3585" s="1">
        <v>5.7112905378885526E-2</v>
      </c>
      <c r="K3585" s="1">
        <v>3.475128788045112</v>
      </c>
      <c r="L3585" s="1">
        <v>5.337710211920303</v>
      </c>
      <c r="M3585" s="1">
        <v>0.26453100534249369</v>
      </c>
      <c r="N3585" s="1">
        <v>2.6157842095933188</v>
      </c>
      <c r="O3585" s="1">
        <v>0.22408630303030311</v>
      </c>
      <c r="P3585" s="1">
        <v>0.15584267941055566</v>
      </c>
      <c r="Q3585" s="1">
        <v>5.5382049798592448</v>
      </c>
      <c r="R3585" s="2">
        <f t="shared" si="223"/>
        <v>282.6591849927467</v>
      </c>
      <c r="S3585" s="2">
        <f t="shared" si="222"/>
        <v>3.6880843728345534</v>
      </c>
      <c r="T3585" s="2">
        <f t="shared" si="224"/>
        <v>8.4421117298864186</v>
      </c>
      <c r="U3585" s="2">
        <f t="shared" si="225"/>
        <v>294.78938109546766</v>
      </c>
    </row>
    <row r="3586" spans="1:21" x14ac:dyDescent="0.25">
      <c r="A3586">
        <v>4759221</v>
      </c>
      <c r="B3586">
        <v>55</v>
      </c>
      <c r="C3586" s="1">
        <f>5.97213218398832*(10.3/7.3)</f>
        <v>8.4264330815177662</v>
      </c>
      <c r="D3586" s="1">
        <f>9.03997203320028*(10.3/7.3)</f>
        <v>12.755029033145595</v>
      </c>
      <c r="E3586" s="1">
        <f>31.7883950262543*(10.3/7.3)</f>
        <v>44.852119009646486</v>
      </c>
      <c r="F3586" s="1">
        <f>59.8065166528447*(38.9/42.5)</f>
        <v>54.740552889309619</v>
      </c>
      <c r="G3586" s="1">
        <v>2.1132031260921331</v>
      </c>
      <c r="H3586" s="1">
        <v>4.5993216298134199</v>
      </c>
      <c r="I3586" s="1">
        <v>41.113481521035652</v>
      </c>
      <c r="J3586" s="1">
        <v>4.1064800172448727E-2</v>
      </c>
      <c r="K3586" s="1">
        <v>2.7371744527564048</v>
      </c>
      <c r="L3586" s="1">
        <v>3.7666785631938673</v>
      </c>
      <c r="M3586" s="1">
        <v>0.19754424902052922</v>
      </c>
      <c r="N3586" s="1">
        <v>1.967446092356782</v>
      </c>
      <c r="O3586" s="1">
        <v>0.17237042424242416</v>
      </c>
      <c r="P3586" s="1">
        <v>0.12764003509700123</v>
      </c>
      <c r="Q3586" s="1">
        <v>3.3772652700102626</v>
      </c>
      <c r="R3586" s="2">
        <f t="shared" si="223"/>
        <v>171.97740556057093</v>
      </c>
      <c r="S3586" s="2">
        <f t="shared" si="222"/>
        <v>2.9058792880258548</v>
      </c>
      <c r="T3586" s="2">
        <f t="shared" si="224"/>
        <v>6.1040393288136032</v>
      </c>
      <c r="U3586" s="2">
        <f t="shared" si="225"/>
        <v>180.98732417741039</v>
      </c>
    </row>
    <row r="3587" spans="1:21" x14ac:dyDescent="0.25">
      <c r="A3587">
        <v>4759229</v>
      </c>
      <c r="B3587">
        <v>55</v>
      </c>
      <c r="C3587" s="1">
        <f>4.2214586515347*(10.3/7.3)</f>
        <v>5.9563046727133431</v>
      </c>
      <c r="D3587" s="1">
        <f>6.29195088761314*(10.3/7.3)</f>
        <v>8.8776841290979878</v>
      </c>
      <c r="E3587" s="1">
        <f>22.1326715647394*(10.3/7.3)</f>
        <v>31.228290016002173</v>
      </c>
      <c r="F3587" s="1">
        <f>41.9149076049873*(38.9/42.5)</f>
        <v>38.364468372564851</v>
      </c>
      <c r="G3587" s="1">
        <v>1.4896634532654018</v>
      </c>
      <c r="H3587" s="1">
        <v>3.6212168599850902</v>
      </c>
      <c r="I3587" s="1">
        <v>29.018676240575395</v>
      </c>
      <c r="J3587" s="1">
        <v>3.5176930638932506E-2</v>
      </c>
      <c r="K3587" s="1">
        <v>2.4304078054260634</v>
      </c>
      <c r="L3587" s="1">
        <v>3.3105054108354093</v>
      </c>
      <c r="M3587" s="1">
        <v>0.17021442739409073</v>
      </c>
      <c r="N3587" s="1">
        <v>1.7326512272946701</v>
      </c>
      <c r="O3587" s="1">
        <v>0.14792242424242427</v>
      </c>
      <c r="P3587" s="1">
        <v>0.11544469746814084</v>
      </c>
      <c r="Q3587" s="1">
        <v>2.3807406787346634</v>
      </c>
      <c r="R3587" s="2">
        <f t="shared" si="223"/>
        <v>120.93704442293892</v>
      </c>
      <c r="S3587" s="2">
        <f t="shared" si="222"/>
        <v>2.5810294335331365</v>
      </c>
      <c r="T3587" s="2">
        <f t="shared" si="224"/>
        <v>5.3612934897665951</v>
      </c>
      <c r="U3587" s="2">
        <f t="shared" si="225"/>
        <v>128.87936734623867</v>
      </c>
    </row>
    <row r="3588" spans="1:21" x14ac:dyDescent="0.25">
      <c r="A3588">
        <v>4759237</v>
      </c>
      <c r="B3588">
        <v>55</v>
      </c>
      <c r="C3588" s="1">
        <f>6.01087511428253*(10.3/7.3)</f>
        <v>8.4810977639876857</v>
      </c>
      <c r="D3588" s="1">
        <f>8.82160566538679*(10.3/7.3)</f>
        <v>12.446923062121087</v>
      </c>
      <c r="E3588" s="1">
        <f>31.0305540013444*(10.3/7.3)</f>
        <v>43.782836467650277</v>
      </c>
      <c r="F3588" s="1">
        <f>59.7173645834198*(38.9/42.5)</f>
        <v>54.658952524588969</v>
      </c>
      <c r="G3588" s="1">
        <v>2.1617979802989153</v>
      </c>
      <c r="H3588" s="1">
        <v>4.6580750977231817</v>
      </c>
      <c r="I3588" s="1">
        <v>41.746498398704979</v>
      </c>
      <c r="J3588" s="1">
        <v>4.5343183946272382E-2</v>
      </c>
      <c r="K3588" s="1">
        <v>2.9242373006937274</v>
      </c>
      <c r="L3588" s="1">
        <v>4.2075991671057125</v>
      </c>
      <c r="M3588" s="1">
        <v>0.20660382747669265</v>
      </c>
      <c r="N3588" s="1">
        <v>2.1672771762371359</v>
      </c>
      <c r="O3588" s="1">
        <v>0.18081066666666673</v>
      </c>
      <c r="P3588" s="1">
        <v>0.13175321373999282</v>
      </c>
      <c r="Q3588" s="1">
        <v>3.4549282790165359</v>
      </c>
      <c r="R3588" s="2">
        <f t="shared" si="223"/>
        <v>171.39110957409164</v>
      </c>
      <c r="S3588" s="2">
        <f t="shared" si="222"/>
        <v>3.1013336983799924</v>
      </c>
      <c r="T3588" s="2">
        <f t="shared" si="224"/>
        <v>6.7622908374862076</v>
      </c>
      <c r="U3588" s="2">
        <f t="shared" si="225"/>
        <v>181.25473410995784</v>
      </c>
    </row>
    <row r="3589" spans="1:21" x14ac:dyDescent="0.25">
      <c r="A3589">
        <v>4759245</v>
      </c>
      <c r="B3589">
        <v>55</v>
      </c>
      <c r="C3589" s="1">
        <f>8.64619095790279*(10.3/7.3)</f>
        <v>12.199420118684758</v>
      </c>
      <c r="D3589" s="1">
        <f>12.4708995516519*(10.3/7.3)</f>
        <v>17.595926764659506</v>
      </c>
      <c r="E3589" s="1">
        <f>43.8648690878593*(10.3/7.3)</f>
        <v>61.891527617116544</v>
      </c>
      <c r="F3589" s="1">
        <f>86.0298032344041*(38.9/42.5)</f>
        <v>78.742572842784014</v>
      </c>
      <c r="G3589" s="1">
        <v>3.1806512322690579</v>
      </c>
      <c r="H3589" s="1">
        <v>6.080067814295953</v>
      </c>
      <c r="I3589" s="1">
        <v>60.795403583933727</v>
      </c>
      <c r="J3589" s="1">
        <v>6.2875947572780255E-2</v>
      </c>
      <c r="K3589" s="1">
        <v>3.7211097734089771</v>
      </c>
      <c r="L3589" s="1">
        <v>5.7575112780589679</v>
      </c>
      <c r="M3589" s="1">
        <v>0.26402537464960929</v>
      </c>
      <c r="N3589" s="1">
        <v>2.9216205501461201</v>
      </c>
      <c r="O3589" s="1">
        <v>0.22795927272727268</v>
      </c>
      <c r="P3589" s="1">
        <v>0.15739809336941732</v>
      </c>
      <c r="Q3589" s="1">
        <v>5.0832325629870869</v>
      </c>
      <c r="R3589" s="2">
        <f t="shared" si="223"/>
        <v>245.56880253673066</v>
      </c>
      <c r="S3589" s="2">
        <f t="shared" si="222"/>
        <v>3.9413838143511746</v>
      </c>
      <c r="T3589" s="2">
        <f t="shared" si="224"/>
        <v>9.1711164755819699</v>
      </c>
      <c r="U3589" s="2">
        <f t="shared" si="225"/>
        <v>258.6813028266638</v>
      </c>
    </row>
    <row r="3590" spans="1:21" x14ac:dyDescent="0.25">
      <c r="A3590">
        <v>4759253</v>
      </c>
      <c r="B3590">
        <v>55</v>
      </c>
      <c r="C3590" s="1">
        <f>5.48675206325932*(10.3/7.3)</f>
        <v>7.7415816782973907</v>
      </c>
      <c r="D3590" s="1">
        <f>7.82262838579771*(10.3/7.3)</f>
        <v>11.037407174481705</v>
      </c>
      <c r="E3590" s="1">
        <f>27.5221370336334*(10.3/7.3)</f>
        <v>38.832604307729341</v>
      </c>
      <c r="F3590" s="1">
        <f>54.2613980591957*(38.9/42.5)</f>
        <v>49.665138458887363</v>
      </c>
      <c r="G3590" s="1">
        <v>2.0148624355837472</v>
      </c>
      <c r="H3590" s="1">
        <v>4.6283319180225009</v>
      </c>
      <c r="I3590" s="1">
        <v>38.542802791633086</v>
      </c>
      <c r="J3590" s="1">
        <v>4.654609363686419E-2</v>
      </c>
      <c r="K3590" s="1">
        <v>2.9482031962765096</v>
      </c>
      <c r="L3590" s="1">
        <v>4.1062859472721289</v>
      </c>
      <c r="M3590" s="1">
        <v>0.19957691317549101</v>
      </c>
      <c r="N3590" s="1">
        <v>2.4900065785474457</v>
      </c>
      <c r="O3590" s="1">
        <v>0.17731006060606058</v>
      </c>
      <c r="P3590" s="1">
        <v>0.12884277526651047</v>
      </c>
      <c r="Q3590" s="1">
        <v>3.2200997828964031</v>
      </c>
      <c r="R3590" s="2">
        <f t="shared" si="223"/>
        <v>155.68282854753153</v>
      </c>
      <c r="S3590" s="2">
        <f t="shared" si="222"/>
        <v>3.1235920651798845</v>
      </c>
      <c r="T3590" s="2">
        <f t="shared" si="224"/>
        <v>6.9731794996011267</v>
      </c>
      <c r="U3590" s="2">
        <f t="shared" si="225"/>
        <v>165.77960011231252</v>
      </c>
    </row>
    <row r="3591" spans="1:21" x14ac:dyDescent="0.25">
      <c r="A3591">
        <v>4759261</v>
      </c>
      <c r="B3591">
        <v>55</v>
      </c>
      <c r="C3591" s="1">
        <f>8.46775622847298*(10.3/7.3)</f>
        <v>11.947656048393382</v>
      </c>
      <c r="D3591" s="1">
        <f>11.7944422327506*(10.3/7.3)</f>
        <v>16.641473287305701</v>
      </c>
      <c r="E3591" s="1">
        <f>41.4941201185351*(10.3/7.3)</f>
        <v>58.546498249439907</v>
      </c>
      <c r="F3591" s="1">
        <f>83.8700482143226*(38.9/42.5)</f>
        <v>76.765761777344693</v>
      </c>
      <c r="G3591" s="1">
        <v>3.1968039979387575</v>
      </c>
      <c r="H3591" s="1">
        <v>6.267810184726943</v>
      </c>
      <c r="I3591" s="1">
        <v>60.399573009373285</v>
      </c>
      <c r="J3591" s="1">
        <v>6.750304554628804E-2</v>
      </c>
      <c r="K3591" s="1">
        <v>3.8363498220920791</v>
      </c>
      <c r="L3591" s="1">
        <v>5.8329579906498159</v>
      </c>
      <c r="M3591" s="1">
        <v>0.26011908193777972</v>
      </c>
      <c r="N3591" s="1">
        <v>3.1075907188548331</v>
      </c>
      <c r="O3591" s="1">
        <v>0.22546618181818176</v>
      </c>
      <c r="P3591" s="1">
        <v>0.1558205184044423</v>
      </c>
      <c r="Q3591" s="1">
        <v>5.1090474852902572</v>
      </c>
      <c r="R3591" s="2">
        <f t="shared" si="223"/>
        <v>238.87462403981294</v>
      </c>
      <c r="S3591" s="2">
        <f t="shared" si="222"/>
        <v>4.0596733860428094</v>
      </c>
      <c r="T3591" s="2">
        <f t="shared" si="224"/>
        <v>9.42613397326061</v>
      </c>
      <c r="U3591" s="2">
        <f t="shared" si="225"/>
        <v>252.36043139911638</v>
      </c>
    </row>
    <row r="3592" spans="1:21" x14ac:dyDescent="0.25">
      <c r="A3592">
        <v>4759269</v>
      </c>
      <c r="B3592">
        <v>3</v>
      </c>
      <c r="C3592" s="1">
        <f>5.96242834724173*(10.3/7.3)</f>
        <v>8.4127413666561388</v>
      </c>
      <c r="D3592" s="1">
        <f>8.2837076634861*(10.3/7.3)</f>
        <v>11.687971086836555</v>
      </c>
      <c r="E3592" s="1">
        <f>29.1326409032541*(10.3/7.3)</f>
        <v>41.104959082673652</v>
      </c>
      <c r="F3592" s="1">
        <f>59.5591160098844*(38.9/42.5)</f>
        <v>54.514108536105937</v>
      </c>
      <c r="G3592" s="1">
        <v>2.3000458861514774</v>
      </c>
      <c r="H3592" s="1">
        <v>7.0048140119165607</v>
      </c>
      <c r="I3592" s="1">
        <v>43.044580404950814</v>
      </c>
      <c r="J3592" s="1">
        <v>5.0225388472941439E-2</v>
      </c>
      <c r="K3592" s="1">
        <v>2.9702364545735125</v>
      </c>
      <c r="L3592" s="1">
        <v>4.0337040281199998</v>
      </c>
      <c r="M3592" s="1">
        <v>0.19736488702486144</v>
      </c>
      <c r="N3592" s="1">
        <v>2.3295012389964129</v>
      </c>
      <c r="O3592" s="1">
        <v>0.17491555555555557</v>
      </c>
      <c r="P3592" s="1">
        <v>0.12485380557877189</v>
      </c>
      <c r="Q3592" s="1">
        <v>3.6758724207900371</v>
      </c>
      <c r="R3592" s="2">
        <f t="shared" si="223"/>
        <v>171.74509279608117</v>
      </c>
      <c r="S3592" s="2">
        <f t="shared" si="222"/>
        <v>3.1453156486252261</v>
      </c>
      <c r="T3592" s="2">
        <f t="shared" si="224"/>
        <v>6.7354857096968299</v>
      </c>
      <c r="U3592" s="2">
        <f t="shared" si="225"/>
        <v>181.62589415440323</v>
      </c>
    </row>
    <row r="3593" spans="1:21" x14ac:dyDescent="0.25">
      <c r="A3593">
        <v>4759357</v>
      </c>
      <c r="B3593">
        <v>31</v>
      </c>
      <c r="C3593" s="1">
        <f>3.56896439917503*(10.3/7.3)</f>
        <v>5.0356620974661332</v>
      </c>
      <c r="D3593" s="1">
        <f>4.79798173597555*(10.3/7.3)</f>
        <v>6.7697550521298897</v>
      </c>
      <c r="E3593" s="1">
        <f>16.782622443945*(10.3/7.3)</f>
        <v>23.679590571593604</v>
      </c>
      <c r="F3593" s="1">
        <f>40.0802540529109*(38.9/42.5)</f>
        <v>36.685220768429012</v>
      </c>
      <c r="G3593" s="1">
        <v>1.8014820601065147</v>
      </c>
      <c r="H3593" s="1">
        <v>7.7305571846201291</v>
      </c>
      <c r="I3593" s="1">
        <v>30.225108904819969</v>
      </c>
      <c r="J3593" s="1">
        <v>3.5083356174843698E-2</v>
      </c>
      <c r="K3593" s="1">
        <v>2.2967107720572404</v>
      </c>
      <c r="L3593" s="1">
        <v>4.2145547335923688</v>
      </c>
      <c r="M3593" s="1">
        <v>0.12253915591407877</v>
      </c>
      <c r="N3593" s="1">
        <v>1.5591399728755395</v>
      </c>
      <c r="O3593" s="1">
        <v>0.10959655913978494</v>
      </c>
      <c r="P3593" s="1">
        <v>8.6722527002937241E-2</v>
      </c>
      <c r="Q3593" s="1">
        <v>2.8790809179784511</v>
      </c>
      <c r="R3593" s="2">
        <f t="shared" si="223"/>
        <v>114.80645755714369</v>
      </c>
      <c r="S3593" s="2">
        <f t="shared" ref="S3593:S3656" si="226">J3593+K3593+P3593</f>
        <v>2.4185166552350212</v>
      </c>
      <c r="T3593" s="2">
        <f t="shared" si="224"/>
        <v>6.0058304215217717</v>
      </c>
      <c r="U3593" s="2">
        <f t="shared" si="225"/>
        <v>123.23080463390048</v>
      </c>
    </row>
    <row r="3594" spans="1:21" x14ac:dyDescent="0.25">
      <c r="A3594">
        <v>4759573</v>
      </c>
      <c r="B3594">
        <v>57</v>
      </c>
      <c r="C3594" s="1">
        <f>6.65908963029908*(10.3/7.3)</f>
        <v>9.3957018071343139</v>
      </c>
      <c r="D3594" s="1">
        <f>7.27882600360482*(10.3/7.3)</f>
        <v>10.270124361250641</v>
      </c>
      <c r="E3594" s="1">
        <f>25.7974133903926*(10.3/7.3)</f>
        <v>36.399090126170364</v>
      </c>
      <c r="F3594" s="1">
        <f>56.9870645006609*(38.9/42.5)</f>
        <v>52.159924919428455</v>
      </c>
      <c r="G3594" s="1">
        <v>2.2900316916541614</v>
      </c>
      <c r="H3594" s="1">
        <v>5.828191009477421</v>
      </c>
      <c r="I3594" s="1">
        <v>45.147053191715528</v>
      </c>
      <c r="J3594" s="1">
        <v>3.3069892355994029E-2</v>
      </c>
      <c r="K3594" s="1">
        <v>1.9996087657055939</v>
      </c>
      <c r="L3594" s="1">
        <v>2.1384741372051925</v>
      </c>
      <c r="M3594" s="1">
        <v>9.5655295427608505E-2</v>
      </c>
      <c r="N3594" s="1">
        <v>1.3449482008280824</v>
      </c>
      <c r="O3594" s="1">
        <v>9.1029707602339194E-2</v>
      </c>
      <c r="P3594" s="1">
        <v>7.1883085629739094E-2</v>
      </c>
      <c r="Q3594" s="1">
        <v>3.6598680003605359</v>
      </c>
      <c r="R3594" s="2">
        <f t="shared" ref="R3594:R3657" si="227">C3594+D3594+E3594+F3594+G3594+H3594+I3594+Q3594</f>
        <v>165.14998510719144</v>
      </c>
      <c r="S3594" s="2">
        <f t="shared" si="226"/>
        <v>2.1045617436913271</v>
      </c>
      <c r="T3594" s="2">
        <f t="shared" ref="T3594:T3657" si="228">L3594+M3594+N3594+O3594</f>
        <v>3.6701073410632228</v>
      </c>
      <c r="U3594" s="2">
        <f t="shared" ref="U3594:U3657" si="229">R3594+S3594+T3594</f>
        <v>170.92465419194599</v>
      </c>
    </row>
    <row r="3595" spans="1:21" x14ac:dyDescent="0.25">
      <c r="A3595">
        <v>4759581</v>
      </c>
      <c r="B3595">
        <v>64</v>
      </c>
      <c r="C3595" s="1">
        <f>5.42629023548188*(10.3/7.3)</f>
        <v>7.6562725240360816</v>
      </c>
      <c r="D3595" s="1">
        <f>6.39845562873*(10.3/7.3)</f>
        <v>9.0279579419067062</v>
      </c>
      <c r="E3595" s="1">
        <f>22.6123211223274*(10.3/7.3)</f>
        <v>31.905055830133204</v>
      </c>
      <c r="F3595" s="1">
        <f>48.9398724675642*(38.9/42.5)</f>
        <v>44.794377387958747</v>
      </c>
      <c r="G3595" s="1">
        <v>1.9532205775092097</v>
      </c>
      <c r="H3595" s="1">
        <v>5.3970539784159781</v>
      </c>
      <c r="I3595" s="1">
        <v>37.703968235494322</v>
      </c>
      <c r="J3595" s="1">
        <v>2.9355146593023747E-2</v>
      </c>
      <c r="K3595" s="1">
        <v>1.9145609843886398</v>
      </c>
      <c r="L3595" s="1">
        <v>2.0290106640778567</v>
      </c>
      <c r="M3595" s="1">
        <v>9.229770677783114E-2</v>
      </c>
      <c r="N3595" s="1">
        <v>1.2330869961448272</v>
      </c>
      <c r="O3595" s="1">
        <v>8.677250000000003E-2</v>
      </c>
      <c r="P3595" s="1">
        <v>6.9546020743598572E-2</v>
      </c>
      <c r="Q3595" s="1">
        <v>3.1215853978457715</v>
      </c>
      <c r="R3595" s="2">
        <f t="shared" si="227"/>
        <v>141.55949187330003</v>
      </c>
      <c r="S3595" s="2">
        <f t="shared" si="226"/>
        <v>2.0134621517252622</v>
      </c>
      <c r="T3595" s="2">
        <f t="shared" si="228"/>
        <v>3.441167867000515</v>
      </c>
      <c r="U3595" s="2">
        <f t="shared" si="229"/>
        <v>147.0141218920258</v>
      </c>
    </row>
    <row r="3596" spans="1:21" x14ac:dyDescent="0.25">
      <c r="A3596">
        <v>4759589</v>
      </c>
      <c r="B3596">
        <v>6</v>
      </c>
      <c r="C3596" s="1">
        <f>6.06000983989866*(10.3/7.3)</f>
        <v>8.5504248425967369</v>
      </c>
      <c r="D3596" s="1">
        <f>7.73018125163875*(10.3/7.3)</f>
        <v>10.906968067380699</v>
      </c>
      <c r="E3596" s="1">
        <f>27.2458372627224*(10.3/7.3)</f>
        <v>38.442756685759008</v>
      </c>
      <c r="F3596" s="1">
        <f>57.6685374736649*(38.9/42.5)</f>
        <v>52.78367312295449</v>
      </c>
      <c r="G3596" s="1">
        <v>2.2801963220585826</v>
      </c>
      <c r="H3596" s="1">
        <v>6.9891382772351625</v>
      </c>
      <c r="I3596" s="1">
        <v>43.14538203655713</v>
      </c>
      <c r="J3596" s="1">
        <v>3.0518535823166923E-2</v>
      </c>
      <c r="K3596" s="1">
        <v>1.9896340139640676</v>
      </c>
      <c r="L3596" s="1">
        <v>2.1183767846934258</v>
      </c>
      <c r="M3596" s="1">
        <v>9.5603457700648695E-2</v>
      </c>
      <c r="N3596" s="1">
        <v>1.2517968833697044</v>
      </c>
      <c r="O3596" s="1">
        <v>9.1217777777777773E-2</v>
      </c>
      <c r="P3596" s="1">
        <v>7.1612447173450514E-2</v>
      </c>
      <c r="Q3596" s="1">
        <v>3.6441493731529899</v>
      </c>
      <c r="R3596" s="2">
        <f t="shared" si="227"/>
        <v>166.7426887276948</v>
      </c>
      <c r="S3596" s="2">
        <f t="shared" si="226"/>
        <v>2.0917649969606851</v>
      </c>
      <c r="T3596" s="2">
        <f t="shared" si="228"/>
        <v>3.5569949035415567</v>
      </c>
      <c r="U3596" s="2">
        <f t="shared" si="229"/>
        <v>172.39144862819703</v>
      </c>
    </row>
    <row r="3597" spans="1:21" x14ac:dyDescent="0.25">
      <c r="A3597">
        <v>4759605</v>
      </c>
      <c r="B3597">
        <v>24</v>
      </c>
      <c r="C3597" s="1">
        <f>4.49679747581373*(10.3/7.3)</f>
        <v>6.3447964384769007</v>
      </c>
      <c r="D3597" s="1">
        <f>5.3545583621867*(10.3/7.3)</f>
        <v>7.5550617987017876</v>
      </c>
      <c r="E3597" s="1">
        <f>18.8356391697808*(10.3/7.3)</f>
        <v>26.576312801197627</v>
      </c>
      <c r="F3597" s="1">
        <f>44.7528747899464*(38.9/42.5)</f>
        <v>40.96204304303329</v>
      </c>
      <c r="G3597" s="1">
        <v>1.9650621389711589</v>
      </c>
      <c r="H3597" s="1">
        <v>4.9182617562889215</v>
      </c>
      <c r="I3597" s="1">
        <v>34.882872530580578</v>
      </c>
      <c r="J3597" s="1">
        <v>2.8443255585574038E-2</v>
      </c>
      <c r="K3597" s="1">
        <v>1.9142339727740312</v>
      </c>
      <c r="L3597" s="1">
        <v>1.9998740980565592</v>
      </c>
      <c r="M3597" s="1">
        <v>9.0993146090900104E-2</v>
      </c>
      <c r="N3597" s="1">
        <v>1.1733664820930561</v>
      </c>
      <c r="O3597" s="1">
        <v>8.6302222222222225E-2</v>
      </c>
      <c r="P3597" s="1">
        <v>6.8973645029338754E-2</v>
      </c>
      <c r="Q3597" s="1">
        <v>3.140510267762131</v>
      </c>
      <c r="R3597" s="2">
        <f t="shared" si="227"/>
        <v>126.34492077501238</v>
      </c>
      <c r="S3597" s="2">
        <f t="shared" si="226"/>
        <v>2.0116508733889438</v>
      </c>
      <c r="T3597" s="2">
        <f t="shared" si="228"/>
        <v>3.3505359484627379</v>
      </c>
      <c r="U3597" s="2">
        <f t="shared" si="229"/>
        <v>131.70710759686406</v>
      </c>
    </row>
    <row r="3598" spans="1:21" x14ac:dyDescent="0.25">
      <c r="A3598">
        <v>4759613</v>
      </c>
      <c r="B3598">
        <v>6</v>
      </c>
      <c r="C3598" s="1">
        <f>4.63412517168721*(10.3/7.3)</f>
        <v>6.5385601737504464</v>
      </c>
      <c r="D3598" s="1">
        <f>5.36450107434837*(10.3/7.3)</f>
        <v>7.5690905569572928</v>
      </c>
      <c r="E3598" s="1">
        <f>18.9300359767536*(10.3/7.3)</f>
        <v>26.709502816515418</v>
      </c>
      <c r="F3598" s="1">
        <f>43.2536117922407*(38.9/42.5)</f>
        <v>39.589776440427357</v>
      </c>
      <c r="G3598" s="1">
        <v>1.8207951494941959</v>
      </c>
      <c r="H3598" s="1">
        <v>4.2066953712868482</v>
      </c>
      <c r="I3598" s="1">
        <v>33.803241335232947</v>
      </c>
      <c r="J3598" s="1">
        <v>2.7749138170955739E-2</v>
      </c>
      <c r="K3598" s="1">
        <v>1.8990596687863954</v>
      </c>
      <c r="L3598" s="1">
        <v>1.9898558259352797</v>
      </c>
      <c r="M3598" s="1">
        <v>9.0660912695044615E-2</v>
      </c>
      <c r="N3598" s="1">
        <v>1.132205623266936</v>
      </c>
      <c r="O3598" s="1">
        <v>8.7155555555555556E-2</v>
      </c>
      <c r="P3598" s="1">
        <v>6.8861753826816668E-2</v>
      </c>
      <c r="Q3598" s="1">
        <v>2.9099465859496303</v>
      </c>
      <c r="R3598" s="2">
        <f t="shared" si="227"/>
        <v>123.14760842961414</v>
      </c>
      <c r="S3598" s="2">
        <f t="shared" si="226"/>
        <v>1.9956705607841678</v>
      </c>
      <c r="T3598" s="2">
        <f t="shared" si="228"/>
        <v>3.2998779174528154</v>
      </c>
      <c r="U3598" s="2">
        <f t="shared" si="229"/>
        <v>128.44315690785112</v>
      </c>
    </row>
    <row r="3599" spans="1:21" x14ac:dyDescent="0.25">
      <c r="A3599">
        <v>4770913</v>
      </c>
      <c r="B3599">
        <v>38</v>
      </c>
      <c r="C3599" s="1">
        <f>0.693415554211003*(10.3/7.3)</f>
        <v>0.9783808504621001</v>
      </c>
      <c r="D3599" s="1">
        <f>0.975861364479126*(10.3/7.3)</f>
        <v>1.3769002813883555</v>
      </c>
      <c r="E3599" s="1">
        <f>3.38868974360479*(10.3/7.3)</f>
        <v>4.7813019670040218</v>
      </c>
      <c r="F3599" s="1">
        <f>9.02369834599106*(38.9/42.5)</f>
        <v>8.2593380155071152</v>
      </c>
      <c r="G3599" s="1">
        <v>0.44433658636851803</v>
      </c>
      <c r="H3599" s="1">
        <v>1.8025739462940853</v>
      </c>
      <c r="I3599" s="1">
        <v>6.8628707266828171</v>
      </c>
      <c r="J3599" s="1">
        <v>4.2556653766737791E-2</v>
      </c>
      <c r="K3599" s="1">
        <v>3.0039470998873408</v>
      </c>
      <c r="L3599" s="1">
        <v>2.3400255599572346</v>
      </c>
      <c r="M3599" s="1">
        <v>0.44915510052156837</v>
      </c>
      <c r="N3599" s="1">
        <v>1.3781686861153966</v>
      </c>
      <c r="O3599" s="1">
        <v>0.48863157894736825</v>
      </c>
      <c r="P3599" s="1">
        <v>0.2465001143425255</v>
      </c>
      <c r="Q3599" s="1">
        <v>0.7101269645158973</v>
      </c>
      <c r="R3599" s="2">
        <f t="shared" si="227"/>
        <v>25.21582933822291</v>
      </c>
      <c r="S3599" s="2">
        <f t="shared" si="226"/>
        <v>3.2930038679966041</v>
      </c>
      <c r="T3599" s="2">
        <f t="shared" si="228"/>
        <v>4.6559809255415683</v>
      </c>
      <c r="U3599" s="2">
        <f t="shared" si="229"/>
        <v>33.164814131761084</v>
      </c>
    </row>
    <row r="3600" spans="1:21" x14ac:dyDescent="0.25">
      <c r="A3600">
        <v>4770921</v>
      </c>
      <c r="B3600">
        <v>61</v>
      </c>
      <c r="C3600" s="1">
        <f>0.752203459254344*(10.3/7.3)</f>
        <v>1.0613281685369504</v>
      </c>
      <c r="D3600" s="1">
        <f>1.07142111069071*(10.3/7.3)</f>
        <v>1.5117311561800466</v>
      </c>
      <c r="E3600" s="1">
        <f>3.71360776141376*(10.3/7.3)</f>
        <v>5.2397479373372269</v>
      </c>
      <c r="F3600" s="1">
        <f>10.1507678771881*(38.9/42.5)</f>
        <v>9.2909381275910352</v>
      </c>
      <c r="G3600" s="1">
        <v>0.50961403235005254</v>
      </c>
      <c r="H3600" s="1">
        <v>2.1182836871776787</v>
      </c>
      <c r="I3600" s="1">
        <v>7.7345745296372312</v>
      </c>
      <c r="J3600" s="1">
        <v>4.6975465385404619E-2</v>
      </c>
      <c r="K3600" s="1">
        <v>3.1950170602475212</v>
      </c>
      <c r="L3600" s="1">
        <v>2.4742684704561313</v>
      </c>
      <c r="M3600" s="1">
        <v>0.50161794173460483</v>
      </c>
      <c r="N3600" s="1">
        <v>1.5597515526310988</v>
      </c>
      <c r="O3600" s="1">
        <v>0.53631300546448091</v>
      </c>
      <c r="P3600" s="1">
        <v>0.26243097643639318</v>
      </c>
      <c r="Q3600" s="1">
        <v>0.81445164987451402</v>
      </c>
      <c r="R3600" s="2">
        <f t="shared" si="227"/>
        <v>28.280669288684738</v>
      </c>
      <c r="S3600" s="2">
        <f t="shared" si="226"/>
        <v>3.5044235020693191</v>
      </c>
      <c r="T3600" s="2">
        <f t="shared" si="228"/>
        <v>5.0719509702863164</v>
      </c>
      <c r="U3600" s="2">
        <f t="shared" si="229"/>
        <v>36.857043761040373</v>
      </c>
    </row>
    <row r="3601" spans="1:21" x14ac:dyDescent="0.25">
      <c r="A3601">
        <v>4770929</v>
      </c>
      <c r="B3601">
        <v>5</v>
      </c>
      <c r="C3601" s="1">
        <f>0.987604364049472*(10.3/7.3)</f>
        <v>1.3934691711930902</v>
      </c>
      <c r="D3601" s="1">
        <f>1.4485571192117*(10.3/7.3)</f>
        <v>2.0438545654630844</v>
      </c>
      <c r="E3601" s="1">
        <f>4.99854890679087*(10.3/7.3)</f>
        <v>7.052747087663831</v>
      </c>
      <c r="F3601" s="1">
        <f>14.5059630994345*(38.9/42.5)</f>
        <v>13.277222695717661</v>
      </c>
      <c r="G3601" s="1">
        <v>0.7589400359712577</v>
      </c>
      <c r="H3601" s="1">
        <v>3.0382261081353699</v>
      </c>
      <c r="I3601" s="1">
        <v>11.098449996232167</v>
      </c>
      <c r="J3601" s="1">
        <v>5.9898761518397389E-2</v>
      </c>
      <c r="K3601" s="1">
        <v>3.4828057170040134</v>
      </c>
      <c r="L3601" s="1">
        <v>2.9071239925537418</v>
      </c>
      <c r="M3601" s="1">
        <v>0.56257420464096741</v>
      </c>
      <c r="N3601" s="1">
        <v>1.7441689101716951</v>
      </c>
      <c r="O3601" s="1">
        <v>0.59658666666666671</v>
      </c>
      <c r="P3601" s="1">
        <v>0.27941574317128659</v>
      </c>
      <c r="Q3601" s="1">
        <v>1.2129178657074908</v>
      </c>
      <c r="R3601" s="2">
        <f t="shared" si="227"/>
        <v>39.875827526083953</v>
      </c>
      <c r="S3601" s="2">
        <f t="shared" si="226"/>
        <v>3.8221202216936971</v>
      </c>
      <c r="T3601" s="2">
        <f t="shared" si="228"/>
        <v>5.8104537740330713</v>
      </c>
      <c r="U3601" s="2">
        <f t="shared" si="229"/>
        <v>49.508401521810718</v>
      </c>
    </row>
    <row r="3602" spans="1:21" x14ac:dyDescent="0.25">
      <c r="A3602">
        <v>4771089</v>
      </c>
      <c r="B3602">
        <v>16</v>
      </c>
      <c r="C3602" s="1">
        <f>2.19720164524587*(10.3/7.3)</f>
        <v>3.1001612254839013</v>
      </c>
      <c r="D3602" s="1">
        <f>3.11126282162469*(10.3/7.3)</f>
        <v>4.3898639811964868</v>
      </c>
      <c r="E3602" s="1">
        <f>10.6277916707358*(10.3/7.3)</f>
        <v>14.995377288846399</v>
      </c>
      <c r="F3602" s="1">
        <f>37.1692403640958*(38.9/42.5)</f>
        <v>34.02078706266655</v>
      </c>
      <c r="G3602" s="1">
        <v>2.139930539758002</v>
      </c>
      <c r="H3602" s="1">
        <v>9.9284085109558635</v>
      </c>
      <c r="I3602" s="1">
        <v>29.431894302064908</v>
      </c>
      <c r="J3602" s="1">
        <v>4.7370596345116228E-2</v>
      </c>
      <c r="K3602" s="1">
        <v>2.9688799182566519</v>
      </c>
      <c r="L3602" s="1">
        <v>3.2356929738334901</v>
      </c>
      <c r="M3602" s="1">
        <v>0.88239236946693522</v>
      </c>
      <c r="N3602" s="1">
        <v>1.7771401238758953</v>
      </c>
      <c r="O3602" s="1">
        <v>0.31302333333333332</v>
      </c>
      <c r="P3602" s="1">
        <v>0.20316566070306458</v>
      </c>
      <c r="Q3602" s="1">
        <v>3.4199803146817427</v>
      </c>
      <c r="R3602" s="2">
        <f t="shared" si="227"/>
        <v>101.42640322565384</v>
      </c>
      <c r="S3602" s="2">
        <f t="shared" si="226"/>
        <v>3.2194161753048327</v>
      </c>
      <c r="T3602" s="2">
        <f t="shared" si="228"/>
        <v>6.2082488005096543</v>
      </c>
      <c r="U3602" s="2">
        <f t="shared" si="229"/>
        <v>110.85406820146832</v>
      </c>
    </row>
    <row r="3603" spans="1:21" x14ac:dyDescent="0.25">
      <c r="A3603">
        <v>4771161</v>
      </c>
      <c r="B3603">
        <v>4</v>
      </c>
      <c r="C3603" s="1">
        <f>1.54208630283455*(10.3/7.3)</f>
        <v>2.1758203998898398</v>
      </c>
      <c r="D3603" s="1">
        <f>2.50031628469334*(10.3/7.3)</f>
        <v>3.5278435249782811</v>
      </c>
      <c r="E3603" s="1">
        <f>8.49822472280313*(10.3/7.3)</f>
        <v>11.990645841763321</v>
      </c>
      <c r="F3603" s="1">
        <f>29.6860533010671*(38.9/42.5)</f>
        <v>27.171469962623764</v>
      </c>
      <c r="G3603" s="1">
        <v>1.7244979399083946</v>
      </c>
      <c r="H3603" s="1">
        <v>13.589182425771314</v>
      </c>
      <c r="I3603" s="1">
        <v>22.993883429555513</v>
      </c>
      <c r="J3603" s="1">
        <v>4.916388033301064E-2</v>
      </c>
      <c r="K3603" s="1">
        <v>3.1652110258296435</v>
      </c>
      <c r="L3603" s="1">
        <v>5.7544599926422304</v>
      </c>
      <c r="M3603" s="1">
        <v>0.6528315400978707</v>
      </c>
      <c r="N3603" s="1">
        <v>2.4030633372994483</v>
      </c>
      <c r="O3603" s="1">
        <v>0.28712000000000004</v>
      </c>
      <c r="P3603" s="1">
        <v>0.19869909999873517</v>
      </c>
      <c r="Q3603" s="1">
        <v>2.7560469359266611</v>
      </c>
      <c r="R3603" s="2">
        <f t="shared" si="227"/>
        <v>85.929390460417096</v>
      </c>
      <c r="S3603" s="2">
        <f t="shared" si="226"/>
        <v>3.4130740061613891</v>
      </c>
      <c r="T3603" s="2">
        <f t="shared" si="228"/>
        <v>9.0974748700395498</v>
      </c>
      <c r="U3603" s="2">
        <f t="shared" si="229"/>
        <v>98.439939336618039</v>
      </c>
    </row>
    <row r="3604" spans="1:21" x14ac:dyDescent="0.25">
      <c r="A3604">
        <v>4771169</v>
      </c>
      <c r="B3604">
        <v>27</v>
      </c>
      <c r="C3604" s="1">
        <f>1.69651657513269*(10.3/7.3)</f>
        <v>2.3937151676529749</v>
      </c>
      <c r="D3604" s="1">
        <f>2.56592776804737*(10.3/7.3)</f>
        <v>3.620418631628485</v>
      </c>
      <c r="E3604" s="1">
        <f>8.80995239643167*(10.3/7.3)</f>
        <v>12.430480778526878</v>
      </c>
      <c r="F3604" s="1">
        <f>27.311273319352*(38.9/42.5)</f>
        <v>24.997847814653927</v>
      </c>
      <c r="G3604" s="1">
        <v>1.4881410933948502</v>
      </c>
      <c r="H3604" s="1">
        <v>8.6802514639356083</v>
      </c>
      <c r="I3604" s="1">
        <v>21.001504399651928</v>
      </c>
      <c r="J3604" s="1">
        <v>4.3787348283378193E-2</v>
      </c>
      <c r="K3604" s="1">
        <v>2.7780173188893995</v>
      </c>
      <c r="L3604" s="1">
        <v>4.6328628737248607</v>
      </c>
      <c r="M3604" s="1">
        <v>0.57124225028407505</v>
      </c>
      <c r="N3604" s="1">
        <v>2.0097432958754786</v>
      </c>
      <c r="O3604" s="1">
        <v>0.25531259259259259</v>
      </c>
      <c r="P3604" s="1">
        <v>0.17376919278937095</v>
      </c>
      <c r="Q3604" s="1">
        <v>2.3783076835077539</v>
      </c>
      <c r="R3604" s="2">
        <f t="shared" si="227"/>
        <v>76.990667032952416</v>
      </c>
      <c r="S3604" s="2">
        <f t="shared" si="226"/>
        <v>2.9955738599621484</v>
      </c>
      <c r="T3604" s="2">
        <f t="shared" si="228"/>
        <v>7.4691610124770067</v>
      </c>
      <c r="U3604" s="2">
        <f t="shared" si="229"/>
        <v>87.455401905391568</v>
      </c>
    </row>
    <row r="3605" spans="1:21" x14ac:dyDescent="0.25">
      <c r="A3605">
        <v>4771185</v>
      </c>
      <c r="B3605">
        <v>53</v>
      </c>
      <c r="C3605" s="1">
        <f>1.84187415808625*(10.3/7.3)</f>
        <v>2.5988087436011473</v>
      </c>
      <c r="D3605" s="1">
        <f>2.90129088030872*(10.3/7.3)</f>
        <v>4.0936022009835318</v>
      </c>
      <c r="E3605" s="1">
        <f>9.93067009957863*(10.3/7.3)</f>
        <v>14.011767400775334</v>
      </c>
      <c r="F3605" s="1">
        <f>31.6018219852701*(38.9/42.5)</f>
        <v>28.924961770047258</v>
      </c>
      <c r="G3605" s="1">
        <v>1.7516607676714151</v>
      </c>
      <c r="H3605" s="1">
        <v>12.425068988733862</v>
      </c>
      <c r="I3605" s="1">
        <v>24.229078758871427</v>
      </c>
      <c r="J3605" s="1">
        <v>5.0442725903122494E-2</v>
      </c>
      <c r="K3605" s="1">
        <v>3.0247999191714996</v>
      </c>
      <c r="L3605" s="1">
        <v>4.6404824273313539</v>
      </c>
      <c r="M3605" s="1">
        <v>0.54359357921272855</v>
      </c>
      <c r="N3605" s="1">
        <v>2.298588195185105</v>
      </c>
      <c r="O3605" s="1">
        <v>0.26555974842767294</v>
      </c>
      <c r="P3605" s="1">
        <v>0.18560698546660787</v>
      </c>
      <c r="Q3605" s="1">
        <v>2.799457847876694</v>
      </c>
      <c r="R3605" s="2">
        <f t="shared" si="227"/>
        <v>90.834406478560666</v>
      </c>
      <c r="S3605" s="2">
        <f t="shared" si="226"/>
        <v>3.2608496305412298</v>
      </c>
      <c r="T3605" s="2">
        <f t="shared" si="228"/>
        <v>7.7482239501568611</v>
      </c>
      <c r="U3605" s="2">
        <f t="shared" si="229"/>
        <v>101.84348005925875</v>
      </c>
    </row>
    <row r="3606" spans="1:21" x14ac:dyDescent="0.25">
      <c r="A3606">
        <v>4771193</v>
      </c>
      <c r="B3606">
        <v>16</v>
      </c>
      <c r="C3606" s="1">
        <f>1.63949354282602*(10.3/7.3)</f>
        <v>2.3132580124805449</v>
      </c>
      <c r="D3606" s="1">
        <f>2.54257935990109*(10.3/7.3)</f>
        <v>3.5874749872577016</v>
      </c>
      <c r="E3606" s="1">
        <f>8.72713542684049*(10.3/7.3)</f>
        <v>12.313629437870832</v>
      </c>
      <c r="F3606" s="1">
        <f>26.7728037756076*(38.9/42.5)</f>
        <v>24.504989808732599</v>
      </c>
      <c r="G3606" s="1">
        <v>1.4535111544374886</v>
      </c>
      <c r="H3606" s="1">
        <v>13.101905012438365</v>
      </c>
      <c r="I3606" s="1">
        <v>20.457192054452385</v>
      </c>
      <c r="J3606" s="1">
        <v>5.0476091094930418E-2</v>
      </c>
      <c r="K3606" s="1">
        <v>3.1607733062178576</v>
      </c>
      <c r="L3606" s="1">
        <v>4.708329170870388</v>
      </c>
      <c r="M3606" s="1">
        <v>0.52886218167169774</v>
      </c>
      <c r="N3606" s="1">
        <v>2.4122134986394554</v>
      </c>
      <c r="O3606" s="1">
        <v>0.27014333333333335</v>
      </c>
      <c r="P3606" s="1">
        <v>0.19221406899630028</v>
      </c>
      <c r="Q3606" s="1">
        <v>2.3229630322060344</v>
      </c>
      <c r="R3606" s="2">
        <f t="shared" si="227"/>
        <v>80.054923499875954</v>
      </c>
      <c r="S3606" s="2">
        <f t="shared" si="226"/>
        <v>3.4034634663090881</v>
      </c>
      <c r="T3606" s="2">
        <f t="shared" si="228"/>
        <v>7.9195481845148743</v>
      </c>
      <c r="U3606" s="2">
        <f t="shared" si="229"/>
        <v>91.377935150699926</v>
      </c>
    </row>
    <row r="3607" spans="1:21" x14ac:dyDescent="0.25">
      <c r="A3607">
        <v>4771201</v>
      </c>
      <c r="B3607">
        <v>19</v>
      </c>
      <c r="C3607" s="1">
        <f>1.50682175589102*(10.3/7.3)</f>
        <v>2.1260635733804802</v>
      </c>
      <c r="D3607" s="1">
        <f>2.30915012374064*(10.3/7.3)</f>
        <v>3.2581159280176104</v>
      </c>
      <c r="E3607" s="1">
        <f>7.93857602193331*(10.3/7.3)</f>
        <v>11.201004524097687</v>
      </c>
      <c r="F3607" s="1">
        <f>23.8806953592767*(38.9/42.5)</f>
        <v>21.857859987667364</v>
      </c>
      <c r="G3607" s="1">
        <v>1.28110159604954</v>
      </c>
      <c r="H3607" s="1">
        <v>9.3182813667574589</v>
      </c>
      <c r="I3607" s="1">
        <v>18.226473419183602</v>
      </c>
      <c r="J3607" s="1">
        <v>4.6661395085562725E-2</v>
      </c>
      <c r="K3607" s="1">
        <v>2.9347157253408285</v>
      </c>
      <c r="L3607" s="1">
        <v>4.3042962340209447</v>
      </c>
      <c r="M3607" s="1">
        <v>0.47291696268281969</v>
      </c>
      <c r="N3607" s="1">
        <v>2.2204130141866001</v>
      </c>
      <c r="O3607" s="1">
        <v>0.24829754385964908</v>
      </c>
      <c r="P3607" s="1">
        <v>0.17890409409651781</v>
      </c>
      <c r="Q3607" s="1">
        <v>2.0474226420883084</v>
      </c>
      <c r="R3607" s="2">
        <f t="shared" si="227"/>
        <v>69.316323037242057</v>
      </c>
      <c r="S3607" s="2">
        <f t="shared" si="226"/>
        <v>3.1602812145229091</v>
      </c>
      <c r="T3607" s="2">
        <f t="shared" si="228"/>
        <v>7.245923754750013</v>
      </c>
      <c r="U3607" s="2">
        <f t="shared" si="229"/>
        <v>79.722528006514978</v>
      </c>
    </row>
    <row r="3608" spans="1:21" x14ac:dyDescent="0.25">
      <c r="A3608">
        <v>4771417</v>
      </c>
      <c r="B3608">
        <v>61</v>
      </c>
      <c r="C3608" s="1">
        <f>18.4308554173484*(10.3/7.3)</f>
        <v>26.005179561464214</v>
      </c>
      <c r="D3608" s="1">
        <f>30.2242062622898*(10.3/7.3)</f>
        <v>42.645112945422547</v>
      </c>
      <c r="E3608" s="1">
        <f>106.13058904038*(10.3/7.3)</f>
        <v>149.74589960492031</v>
      </c>
      <c r="F3608" s="1">
        <f>191.7963814405*(38.9/42.5)</f>
        <v>175.55009971848099</v>
      </c>
      <c r="G3608" s="1">
        <v>6.505503347432553</v>
      </c>
      <c r="H3608" s="1">
        <v>7.5977018693043652</v>
      </c>
      <c r="I3608" s="1">
        <v>126.71257917889373</v>
      </c>
      <c r="J3608" s="1">
        <v>6.7700802871440424E-2</v>
      </c>
      <c r="K3608" s="1">
        <v>3.8810599080826522</v>
      </c>
      <c r="L3608" s="1">
        <v>6.1596313464241277</v>
      </c>
      <c r="M3608" s="1">
        <v>0.3205889218943922</v>
      </c>
      <c r="N3608" s="1">
        <v>3.19759746447947</v>
      </c>
      <c r="O3608" s="1">
        <v>0.26389508196721301</v>
      </c>
      <c r="P3608" s="1">
        <v>0.17592526298285149</v>
      </c>
      <c r="Q3608" s="1">
        <v>10.396923157997245</v>
      </c>
      <c r="R3608" s="2">
        <f t="shared" si="227"/>
        <v>545.1589993839159</v>
      </c>
      <c r="S3608" s="2">
        <f t="shared" si="226"/>
        <v>4.1246859739369439</v>
      </c>
      <c r="T3608" s="2">
        <f t="shared" si="228"/>
        <v>9.9417128147652036</v>
      </c>
      <c r="U3608" s="2">
        <f t="shared" si="229"/>
        <v>559.22539817261804</v>
      </c>
    </row>
    <row r="3609" spans="1:21" x14ac:dyDescent="0.25">
      <c r="A3609">
        <v>4771425</v>
      </c>
      <c r="B3609">
        <v>64</v>
      </c>
      <c r="C3609" s="1">
        <f>15.2123199276482*(10.3/7.3)</f>
        <v>21.463958254078918</v>
      </c>
      <c r="D3609" s="1">
        <f>24.0070998081655*(10.3/7.3)</f>
        <v>33.873031236178754</v>
      </c>
      <c r="E3609" s="1">
        <f>84.3739778859971*(10.3/7.3)</f>
        <v>119.04821537339322</v>
      </c>
      <c r="F3609" s="1">
        <f>154.500345829284*(38.9/42.5)</f>
        <v>141.41325771198041</v>
      </c>
      <c r="G3609" s="1">
        <v>5.2998671424720083</v>
      </c>
      <c r="H3609" s="1">
        <v>7.1894937611317919</v>
      </c>
      <c r="I3609" s="1">
        <v>103.85431178422714</v>
      </c>
      <c r="J3609" s="1">
        <v>6.6635934803944336E-2</v>
      </c>
      <c r="K3609" s="1">
        <v>3.8706984491474556</v>
      </c>
      <c r="L3609" s="1">
        <v>6.1644041695345306</v>
      </c>
      <c r="M3609" s="1">
        <v>0.31507848875902095</v>
      </c>
      <c r="N3609" s="1">
        <v>3.074804687761207</v>
      </c>
      <c r="O3609" s="1">
        <v>0.26067750000000001</v>
      </c>
      <c r="P3609" s="1">
        <v>0.17470027736566135</v>
      </c>
      <c r="Q3609" s="1">
        <v>8.4701073053205747</v>
      </c>
      <c r="R3609" s="2">
        <f t="shared" si="227"/>
        <v>440.6122425687829</v>
      </c>
      <c r="S3609" s="2">
        <f t="shared" si="226"/>
        <v>4.1120346613170611</v>
      </c>
      <c r="T3609" s="2">
        <f t="shared" si="228"/>
        <v>9.8149648460547585</v>
      </c>
      <c r="U3609" s="2">
        <f t="shared" si="229"/>
        <v>454.53924207615472</v>
      </c>
    </row>
    <row r="3610" spans="1:21" x14ac:dyDescent="0.25">
      <c r="A3610">
        <v>4771433</v>
      </c>
      <c r="B3610">
        <v>65</v>
      </c>
      <c r="C3610" s="1">
        <f>7.71748587482713*(10.3/7.3)</f>
        <v>10.889055412427322</v>
      </c>
      <c r="D3610" s="1">
        <f>11.9877215870035*(10.3/7.3)</f>
        <v>16.914182513169347</v>
      </c>
      <c r="E3610" s="1">
        <f>42.1448908549587*(10.3/7.3)</f>
        <v>59.464709014530719</v>
      </c>
      <c r="F3610" s="1">
        <f>77.7136467249397*(38.9/42.5)</f>
        <v>71.130843708238913</v>
      </c>
      <c r="G3610" s="1">
        <v>2.6838426414134595</v>
      </c>
      <c r="H3610" s="1">
        <v>4.775276662087875</v>
      </c>
      <c r="I3610" s="1">
        <v>52.635977316256266</v>
      </c>
      <c r="J3610" s="1">
        <v>4.0234580266407013E-2</v>
      </c>
      <c r="K3610" s="1">
        <v>2.6272441862726135</v>
      </c>
      <c r="L3610" s="1">
        <v>3.6971153615145833</v>
      </c>
      <c r="M3610" s="1">
        <v>0.20187285386257964</v>
      </c>
      <c r="N3610" s="1">
        <v>1.8840562347226526</v>
      </c>
      <c r="O3610" s="1">
        <v>0.16941128205128214</v>
      </c>
      <c r="P3610" s="1">
        <v>0.12450923901166082</v>
      </c>
      <c r="Q3610" s="1">
        <v>4.2892462305694625</v>
      </c>
      <c r="R3610" s="2">
        <f t="shared" si="227"/>
        <v>222.78313349869333</v>
      </c>
      <c r="S3610" s="2">
        <f t="shared" si="226"/>
        <v>2.7919880055506812</v>
      </c>
      <c r="T3610" s="2">
        <f t="shared" si="228"/>
        <v>5.9524557321510976</v>
      </c>
      <c r="U3610" s="2">
        <f t="shared" si="229"/>
        <v>231.5275772363951</v>
      </c>
    </row>
    <row r="3611" spans="1:21" x14ac:dyDescent="0.25">
      <c r="A3611">
        <v>4771441</v>
      </c>
      <c r="B3611">
        <v>66</v>
      </c>
      <c r="C3611" s="1">
        <f>5.62351822803251*(10.3/7.3)</f>
        <v>7.934553116265044</v>
      </c>
      <c r="D3611" s="1">
        <f>8.68361384750474*(10.3/7.3)</f>
        <v>12.252222277986135</v>
      </c>
      <c r="E3611" s="1">
        <f>30.5287480835298*(10.3/7.3)</f>
        <v>43.074808939774961</v>
      </c>
      <c r="F3611" s="1">
        <f>56.6268568880597*(38.9/42.5)</f>
        <v>51.830229010482896</v>
      </c>
      <c r="G3611" s="1">
        <v>1.9696750085955319</v>
      </c>
      <c r="H3611" s="1">
        <v>4.0400948845787594</v>
      </c>
      <c r="I3611" s="1">
        <v>38.501727589171892</v>
      </c>
      <c r="J3611" s="1">
        <v>3.5530916697830144E-2</v>
      </c>
      <c r="K3611" s="1">
        <v>2.400865285860224</v>
      </c>
      <c r="L3611" s="1">
        <v>3.3182128330749783</v>
      </c>
      <c r="M3611" s="1">
        <v>0.1793943458474194</v>
      </c>
      <c r="N3611" s="1">
        <v>1.6792277075615722</v>
      </c>
      <c r="O3611" s="1">
        <v>0.15157737373737371</v>
      </c>
      <c r="P3611" s="1">
        <v>0.11483280683586483</v>
      </c>
      <c r="Q3611" s="1">
        <v>3.1478824338284781</v>
      </c>
      <c r="R3611" s="2">
        <f t="shared" si="227"/>
        <v>162.75119326068369</v>
      </c>
      <c r="S3611" s="2">
        <f t="shared" si="226"/>
        <v>2.5512290093939187</v>
      </c>
      <c r="T3611" s="2">
        <f t="shared" si="228"/>
        <v>5.3284122602213442</v>
      </c>
      <c r="U3611" s="2">
        <f t="shared" si="229"/>
        <v>170.63083453029896</v>
      </c>
    </row>
    <row r="3612" spans="1:21" x14ac:dyDescent="0.25">
      <c r="A3612">
        <v>4771449</v>
      </c>
      <c r="B3612">
        <v>66</v>
      </c>
      <c r="C3612" s="1">
        <f>7.5455779318811*(10.3/7.3)</f>
        <v>10.64650036964046</v>
      </c>
      <c r="D3612" s="1">
        <f>11.5366794424746*(10.3/7.3)</f>
        <v>16.277780583217627</v>
      </c>
      <c r="E3612" s="1">
        <f>40.5544704513837*(10.3/7.3)</f>
        <v>57.22069118482905</v>
      </c>
      <c r="F3612" s="1">
        <f>76.2098150533758*(38.9/42.5)</f>
        <v>69.754395425325114</v>
      </c>
      <c r="G3612" s="1">
        <v>2.6940134014890811</v>
      </c>
      <c r="H3612" s="1">
        <v>5.1947247133972301</v>
      </c>
      <c r="I3612" s="1">
        <v>52.198018153284913</v>
      </c>
      <c r="J3612" s="1">
        <v>4.8354521361804265E-2</v>
      </c>
      <c r="K3612" s="1">
        <v>3.0798459558547111</v>
      </c>
      <c r="L3612" s="1">
        <v>4.476657089858155</v>
      </c>
      <c r="M3612" s="1">
        <v>0.22929408407865748</v>
      </c>
      <c r="N3612" s="1">
        <v>2.2737928735486697</v>
      </c>
      <c r="O3612" s="1">
        <v>0.19608888888888881</v>
      </c>
      <c r="P3612" s="1">
        <v>0.14106074680922709</v>
      </c>
      <c r="Q3612" s="1">
        <v>4.3055008699597233</v>
      </c>
      <c r="R3612" s="2">
        <f t="shared" si="227"/>
        <v>218.29162470114321</v>
      </c>
      <c r="S3612" s="2">
        <f t="shared" si="226"/>
        <v>3.2692612240257422</v>
      </c>
      <c r="T3612" s="2">
        <f t="shared" si="228"/>
        <v>7.1758329363743716</v>
      </c>
      <c r="U3612" s="2">
        <f t="shared" si="229"/>
        <v>228.73671886154332</v>
      </c>
    </row>
    <row r="3613" spans="1:21" x14ac:dyDescent="0.25">
      <c r="A3613">
        <v>4771457</v>
      </c>
      <c r="B3613">
        <v>67</v>
      </c>
      <c r="C3613" s="1">
        <f>4.89375792781218*(10.3/7.3)</f>
        <v>6.9048913228034818</v>
      </c>
      <c r="D3613" s="1">
        <f>7.38026905667321*(10.3/7.3)</f>
        <v>10.413256340237542</v>
      </c>
      <c r="E3613" s="1">
        <f>25.9509191689886*(10.3/7.3)</f>
        <v>36.615680471312714</v>
      </c>
      <c r="F3613" s="1">
        <f>49.0689983137684*(38.9/42.5)</f>
        <v>44.912565515425698</v>
      </c>
      <c r="G3613" s="1">
        <v>1.7444235713102372</v>
      </c>
      <c r="H3613" s="1">
        <v>4.0325576789838866</v>
      </c>
      <c r="I3613" s="1">
        <v>33.824079528776352</v>
      </c>
      <c r="J3613" s="1">
        <v>3.7590352090999438E-2</v>
      </c>
      <c r="K3613" s="1">
        <v>2.5599368406812011</v>
      </c>
      <c r="L3613" s="1">
        <v>3.4559559824277537</v>
      </c>
      <c r="M3613" s="1">
        <v>0.18231218835816174</v>
      </c>
      <c r="N3613" s="1">
        <v>1.836303178583311</v>
      </c>
      <c r="O3613" s="1">
        <v>0.15878049751243778</v>
      </c>
      <c r="P3613" s="1">
        <v>0.12096549093650781</v>
      </c>
      <c r="Q3613" s="1">
        <v>2.7878915523222996</v>
      </c>
      <c r="R3613" s="2">
        <f t="shared" si="227"/>
        <v>141.2353459811722</v>
      </c>
      <c r="S3613" s="2">
        <f t="shared" si="226"/>
        <v>2.7184926837087082</v>
      </c>
      <c r="T3613" s="2">
        <f t="shared" si="228"/>
        <v>5.6333518468816637</v>
      </c>
      <c r="U3613" s="2">
        <f t="shared" si="229"/>
        <v>149.58719051176257</v>
      </c>
    </row>
    <row r="3614" spans="1:21" x14ac:dyDescent="0.25">
      <c r="A3614">
        <v>4771465</v>
      </c>
      <c r="B3614">
        <v>67</v>
      </c>
      <c r="C3614" s="1">
        <f>4.18360958100763*(10.3/7.3)</f>
        <v>5.9029011896408985</v>
      </c>
      <c r="D3614" s="1">
        <f>6.21694496520821*(10.3/7.3)</f>
        <v>8.771853855019808</v>
      </c>
      <c r="E3614" s="1">
        <f>21.8665144785668*(10.3/7.3)</f>
        <v>30.852753305375135</v>
      </c>
      <c r="F3614" s="1">
        <f>41.6529909686393*(38.9/42.5)</f>
        <v>38.124737616001632</v>
      </c>
      <c r="G3614" s="1">
        <v>1.4911914962792201</v>
      </c>
      <c r="H3614" s="1">
        <v>3.6498725526839353</v>
      </c>
      <c r="I3614" s="1">
        <v>28.914782299870453</v>
      </c>
      <c r="J3614" s="1">
        <v>3.5339427494894153E-2</v>
      </c>
      <c r="K3614" s="1">
        <v>2.43773277180013</v>
      </c>
      <c r="L3614" s="1">
        <v>3.2966390475826106</v>
      </c>
      <c r="M3614" s="1">
        <v>0.16980627811394997</v>
      </c>
      <c r="N3614" s="1">
        <v>1.7474179201486424</v>
      </c>
      <c r="O3614" s="1">
        <v>0.1491820895522388</v>
      </c>
      <c r="P3614" s="1">
        <v>0.11525552976607589</v>
      </c>
      <c r="Q3614" s="1">
        <v>2.3831827566106276</v>
      </c>
      <c r="R3614" s="2">
        <f t="shared" si="227"/>
        <v>120.09127507148169</v>
      </c>
      <c r="S3614" s="2">
        <f t="shared" si="226"/>
        <v>2.5883277290611</v>
      </c>
      <c r="T3614" s="2">
        <f t="shared" si="228"/>
        <v>5.3630453353974419</v>
      </c>
      <c r="U3614" s="2">
        <f t="shared" si="229"/>
        <v>128.04264813594023</v>
      </c>
    </row>
    <row r="3615" spans="1:21" x14ac:dyDescent="0.25">
      <c r="A3615">
        <v>4771473</v>
      </c>
      <c r="B3615">
        <v>67</v>
      </c>
      <c r="C3615" s="1">
        <f>8.96013893524718*(10.3/7.3)</f>
        <v>12.642387812746019</v>
      </c>
      <c r="D3615" s="1">
        <f>13.0836410855538*(10.3/7.3)</f>
        <v>18.460479887836179</v>
      </c>
      <c r="E3615" s="1">
        <f>46.0084178307608*(10.3/7.3)</f>
        <v>64.915986802306364</v>
      </c>
      <c r="F3615" s="1">
        <f>89.7079234140081*(38.9/42.5)</f>
        <v>82.109134607174454</v>
      </c>
      <c r="G3615" s="1">
        <v>3.2999760180447564</v>
      </c>
      <c r="H3615" s="1">
        <v>6.1830244839601534</v>
      </c>
      <c r="I3615" s="1">
        <v>63.043170911908923</v>
      </c>
      <c r="J3615" s="1">
        <v>6.3075793833645324E-2</v>
      </c>
      <c r="K3615" s="1">
        <v>3.7456681193813681</v>
      </c>
      <c r="L3615" s="1">
        <v>5.7984475079960642</v>
      </c>
      <c r="M3615" s="1">
        <v>0.26872081432838713</v>
      </c>
      <c r="N3615" s="1">
        <v>2.9090087661614028</v>
      </c>
      <c r="O3615" s="1">
        <v>0.23209791044776112</v>
      </c>
      <c r="P3615" s="1">
        <v>0.15966537563730218</v>
      </c>
      <c r="Q3615" s="1">
        <v>5.2739342754140015</v>
      </c>
      <c r="R3615" s="2">
        <f t="shared" si="227"/>
        <v>255.92809479939089</v>
      </c>
      <c r="S3615" s="2">
        <f t="shared" si="226"/>
        <v>3.9684092888523157</v>
      </c>
      <c r="T3615" s="2">
        <f t="shared" si="228"/>
        <v>9.2082749989336161</v>
      </c>
      <c r="U3615" s="2">
        <f t="shared" si="229"/>
        <v>269.10477908717684</v>
      </c>
    </row>
    <row r="3616" spans="1:21" x14ac:dyDescent="0.25">
      <c r="A3616">
        <v>4771481</v>
      </c>
      <c r="B3616">
        <v>67</v>
      </c>
      <c r="C3616" s="1">
        <f>8.2267469919584*(10.3/7.3)</f>
        <v>11.607601920160484</v>
      </c>
      <c r="D3616" s="1">
        <f>11.8188298610384*(10.3/7.3)</f>
        <v>16.675883228588457</v>
      </c>
      <c r="E3616" s="1">
        <f>41.5651170052018*(10.3/7.3)</f>
        <v>58.646671938846367</v>
      </c>
      <c r="F3616" s="1">
        <f>82.159405389346*(38.9/42.5)</f>
        <v>75.200020462248489</v>
      </c>
      <c r="G3616" s="1">
        <v>3.0653043663970934</v>
      </c>
      <c r="H3616" s="1">
        <v>5.9772177967518054</v>
      </c>
      <c r="I3616" s="1">
        <v>58.255102433528847</v>
      </c>
      <c r="J3616" s="1">
        <v>6.1996500125727175E-2</v>
      </c>
      <c r="K3616" s="1">
        <v>3.6544802776024548</v>
      </c>
      <c r="L3616" s="1">
        <v>5.5264964166403701</v>
      </c>
      <c r="M3616" s="1">
        <v>0.25620292573556247</v>
      </c>
      <c r="N3616" s="1">
        <v>2.9732558851267257</v>
      </c>
      <c r="O3616" s="1">
        <v>0.22190009950248754</v>
      </c>
      <c r="P3616" s="1">
        <v>0.1532937201734558</v>
      </c>
      <c r="Q3616" s="1">
        <v>4.8988882567990109</v>
      </c>
      <c r="R3616" s="2">
        <f t="shared" si="227"/>
        <v>234.32669040332053</v>
      </c>
      <c r="S3616" s="2">
        <f t="shared" si="226"/>
        <v>3.8697704979016376</v>
      </c>
      <c r="T3616" s="2">
        <f t="shared" si="228"/>
        <v>8.9778553270051464</v>
      </c>
      <c r="U3616" s="2">
        <f t="shared" si="229"/>
        <v>247.17431622822733</v>
      </c>
    </row>
    <row r="3617" spans="1:21" x14ac:dyDescent="0.25">
      <c r="A3617">
        <v>4771489</v>
      </c>
      <c r="B3617">
        <v>67</v>
      </c>
      <c r="C3617" s="1">
        <f>7.17692112517719*(10.3/7.3)</f>
        <v>10.126340765660965</v>
      </c>
      <c r="D3617" s="1">
        <f>10.1523220432776*(10.3/7.3)</f>
        <v>14.324509184350649</v>
      </c>
      <c r="E3617" s="1">
        <f>35.7096387400338*(10.3/7.3)</f>
        <v>50.384832742787466</v>
      </c>
      <c r="F3617" s="1">
        <f>71.4221335738636*(38.9/42.5)</f>
        <v>65.372258729959867</v>
      </c>
      <c r="G3617" s="1">
        <v>2.6957773866120585</v>
      </c>
      <c r="H3617" s="1">
        <v>5.6005489438903453</v>
      </c>
      <c r="I3617" s="1">
        <v>51.048318317937657</v>
      </c>
      <c r="J3617" s="1">
        <v>5.8899088045756505E-2</v>
      </c>
      <c r="K3617" s="1">
        <v>3.4694344048548138</v>
      </c>
      <c r="L3617" s="1">
        <v>5.0493498889273161</v>
      </c>
      <c r="M3617" s="1">
        <v>0.23637086070952393</v>
      </c>
      <c r="N3617" s="1">
        <v>2.8277244849196901</v>
      </c>
      <c r="O3617" s="1">
        <v>0.20617870646766173</v>
      </c>
      <c r="P3617" s="1">
        <v>0.14462661390037473</v>
      </c>
      <c r="Q3617" s="1">
        <v>4.3083200242658508</v>
      </c>
      <c r="R3617" s="2">
        <f t="shared" si="227"/>
        <v>203.86090609546486</v>
      </c>
      <c r="S3617" s="2">
        <f t="shared" si="226"/>
        <v>3.6729601068009452</v>
      </c>
      <c r="T3617" s="2">
        <f t="shared" si="228"/>
        <v>8.3196239410241919</v>
      </c>
      <c r="U3617" s="2">
        <f t="shared" si="229"/>
        <v>215.85349014329</v>
      </c>
    </row>
    <row r="3618" spans="1:21" x14ac:dyDescent="0.25">
      <c r="A3618">
        <v>4771497</v>
      </c>
      <c r="B3618">
        <v>63</v>
      </c>
      <c r="C3618" s="1">
        <f>7.86683217186412*(10.3/7.3)</f>
        <v>11.099776900027464</v>
      </c>
      <c r="D3618" s="1">
        <f>10.9122813650016*(10.3/7.3)</f>
        <v>15.396780556098198</v>
      </c>
      <c r="E3618" s="1">
        <f>38.3826423497042*(10.3/7.3)</f>
        <v>54.156330986568904</v>
      </c>
      <c r="F3618" s="1">
        <f>78.3081562304397*(38.9/42.5)</f>
        <v>71.674994761508358</v>
      </c>
      <c r="G3618" s="1">
        <v>3.0158393904503016</v>
      </c>
      <c r="H3618" s="1">
        <v>6.2790381599328793</v>
      </c>
      <c r="I3618" s="1">
        <v>56.595200635569512</v>
      </c>
      <c r="J3618" s="1">
        <v>6.546051053457308E-2</v>
      </c>
      <c r="K3618" s="1">
        <v>3.6706270535075256</v>
      </c>
      <c r="L3618" s="1">
        <v>5.4146324913108046</v>
      </c>
      <c r="M3618" s="1">
        <v>0.24636215326533836</v>
      </c>
      <c r="N3618" s="1">
        <v>3.0374333370430442</v>
      </c>
      <c r="O3618" s="1">
        <v>0.21433820105820106</v>
      </c>
      <c r="P3618" s="1">
        <v>0.14891797322692871</v>
      </c>
      <c r="Q3618" s="1">
        <v>4.8198346422721761</v>
      </c>
      <c r="R3618" s="2">
        <f t="shared" si="227"/>
        <v>223.03779603242779</v>
      </c>
      <c r="S3618" s="2">
        <f t="shared" si="226"/>
        <v>3.8850055372690275</v>
      </c>
      <c r="T3618" s="2">
        <f t="shared" si="228"/>
        <v>8.9127661826773874</v>
      </c>
      <c r="U3618" s="2">
        <f t="shared" si="229"/>
        <v>235.8355677523742</v>
      </c>
    </row>
    <row r="3619" spans="1:21" x14ac:dyDescent="0.25">
      <c r="A3619">
        <v>4771505</v>
      </c>
      <c r="B3619">
        <v>15</v>
      </c>
      <c r="C3619" s="1">
        <f>5.59334460630804*(10.3/7.3)</f>
        <v>7.8919793760236727</v>
      </c>
      <c r="D3619" s="1">
        <f>7.84154278701357*(10.3/7.3)</f>
        <v>11.064094617293119</v>
      </c>
      <c r="E3619" s="1">
        <f>27.5008467452145*(10.3/7.3)</f>
        <v>38.802564585713569</v>
      </c>
      <c r="F3619" s="1">
        <f>59.5893769941638*(38.9/42.5)</f>
        <v>54.54180623701113</v>
      </c>
      <c r="G3619" s="1">
        <v>2.4578409794449048</v>
      </c>
      <c r="H3619" s="1">
        <v>6.0239608989947406</v>
      </c>
      <c r="I3619" s="1">
        <v>43.531854310739732</v>
      </c>
      <c r="J3619" s="1">
        <v>5.4036916967925452E-2</v>
      </c>
      <c r="K3619" s="1">
        <v>2.9800063201234823</v>
      </c>
      <c r="L3619" s="1">
        <v>3.9487224484995678</v>
      </c>
      <c r="M3619" s="1">
        <v>0.1924238778208035</v>
      </c>
      <c r="N3619" s="1">
        <v>2.8876596510365871</v>
      </c>
      <c r="O3619" s="1">
        <v>0.17123911111111109</v>
      </c>
      <c r="P3619" s="1">
        <v>0.12312667795548893</v>
      </c>
      <c r="Q3619" s="1">
        <v>3.9280563598434592</v>
      </c>
      <c r="R3619" s="2">
        <f t="shared" si="227"/>
        <v>168.24215736506434</v>
      </c>
      <c r="S3619" s="2">
        <f t="shared" si="226"/>
        <v>3.1571699150468966</v>
      </c>
      <c r="T3619" s="2">
        <f t="shared" si="228"/>
        <v>7.2000450884680696</v>
      </c>
      <c r="U3619" s="2">
        <f t="shared" si="229"/>
        <v>178.59937236857931</v>
      </c>
    </row>
    <row r="3620" spans="1:21" x14ac:dyDescent="0.25">
      <c r="A3620">
        <v>4771801</v>
      </c>
      <c r="B3620">
        <v>3</v>
      </c>
      <c r="C3620" s="1">
        <f>6.44701671213668*(10.3/7.3)</f>
        <v>9.0964756349325775</v>
      </c>
      <c r="D3620" s="1">
        <f>6.97117334861989*(10.3/7.3)</f>
        <v>9.8360391083266965</v>
      </c>
      <c r="E3620" s="1">
        <f>24.7111845263429*(10.3/7.3)</f>
        <v>34.866465838538581</v>
      </c>
      <c r="F3620" s="1">
        <f>55.0757191256523*(38.9/42.5)</f>
        <v>50.410481740891207</v>
      </c>
      <c r="G3620" s="1">
        <v>2.229588874866788</v>
      </c>
      <c r="H3620" s="1">
        <v>5.9836518669568575</v>
      </c>
      <c r="I3620" s="1">
        <v>43.84037430241159</v>
      </c>
      <c r="J3620" s="1">
        <v>3.5357202507648268E-2</v>
      </c>
      <c r="K3620" s="1">
        <v>1.9641320835001299</v>
      </c>
      <c r="L3620" s="1">
        <v>2.0799841550395435</v>
      </c>
      <c r="M3620" s="1">
        <v>9.4019816621963861E-2</v>
      </c>
      <c r="N3620" s="1">
        <v>1.3647448266945688</v>
      </c>
      <c r="O3620" s="1">
        <v>8.885333333333334E-2</v>
      </c>
      <c r="P3620" s="1">
        <v>7.0744841844661607E-2</v>
      </c>
      <c r="Q3620" s="1">
        <v>3.5632698913396186</v>
      </c>
      <c r="R3620" s="2">
        <f t="shared" si="227"/>
        <v>159.82634725826392</v>
      </c>
      <c r="S3620" s="2">
        <f t="shared" si="226"/>
        <v>2.0702341278524399</v>
      </c>
      <c r="T3620" s="2">
        <f t="shared" si="228"/>
        <v>3.6276021316894091</v>
      </c>
      <c r="U3620" s="2">
        <f t="shared" si="229"/>
        <v>165.52418351780577</v>
      </c>
    </row>
    <row r="3621" spans="1:21" x14ac:dyDescent="0.25">
      <c r="A3621">
        <v>4771809</v>
      </c>
      <c r="B3621">
        <v>52</v>
      </c>
      <c r="C3621" s="1">
        <f>5.59079145370059*(10.3/7.3)</f>
        <v>7.8883769826186354</v>
      </c>
      <c r="D3621" s="1">
        <f>6.11800486357734*(10.3/7.3)</f>
        <v>8.6322534376502151</v>
      </c>
      <c r="E3621" s="1">
        <f>21.7016209940524*(10.3/7.3)</f>
        <v>30.620095375169885</v>
      </c>
      <c r="F3621" s="1">
        <f>46.9454556490442*(38.9/42.5)</f>
        <v>42.968899405831017</v>
      </c>
      <c r="G3621" s="1">
        <v>1.8434508889682069</v>
      </c>
      <c r="H3621" s="1">
        <v>4.9799741952956378</v>
      </c>
      <c r="I3621" s="1">
        <v>37.072667778458595</v>
      </c>
      <c r="J3621" s="1">
        <v>2.9053868926252217E-2</v>
      </c>
      <c r="K3621" s="1">
        <v>1.8509391328483449</v>
      </c>
      <c r="L3621" s="1">
        <v>1.9443544406704487</v>
      </c>
      <c r="M3621" s="1">
        <v>8.9455020418070533E-2</v>
      </c>
      <c r="N3621" s="1">
        <v>1.2133486210149902</v>
      </c>
      <c r="O3621" s="1">
        <v>8.3641025641025657E-2</v>
      </c>
      <c r="P3621" s="1">
        <v>6.7648649843342526E-2</v>
      </c>
      <c r="Q3621" s="1">
        <v>2.9461543887619759</v>
      </c>
      <c r="R3621" s="2">
        <f t="shared" si="227"/>
        <v>136.95187245275417</v>
      </c>
      <c r="S3621" s="2">
        <f t="shared" si="226"/>
        <v>1.9476416516179398</v>
      </c>
      <c r="T3621" s="2">
        <f t="shared" si="228"/>
        <v>3.3307991077445354</v>
      </c>
      <c r="U3621" s="2">
        <f t="shared" si="229"/>
        <v>142.23031321211664</v>
      </c>
    </row>
    <row r="3622" spans="1:21" x14ac:dyDescent="0.25">
      <c r="A3622">
        <v>4771817</v>
      </c>
      <c r="B3622">
        <v>43</v>
      </c>
      <c r="C3622" s="1">
        <f>5.5840511308169*(10.3/7.3)</f>
        <v>7.8788666640293288</v>
      </c>
      <c r="D3622" s="1">
        <f>6.68056933977959*(10.3/7.3)</f>
        <v>9.426008794483538</v>
      </c>
      <c r="E3622" s="1">
        <f>23.6004300218088*(10.3/7.3)</f>
        <v>33.299236880086376</v>
      </c>
      <c r="F3622" s="1">
        <f>50.7084960966885*(38.9/42.5)</f>
        <v>46.413188192027874</v>
      </c>
      <c r="G3622" s="1">
        <v>2.0134020448217318</v>
      </c>
      <c r="H3622" s="1">
        <v>4.8524731455371688</v>
      </c>
      <c r="I3622" s="1">
        <v>38.835795777712448</v>
      </c>
      <c r="J3622" s="1">
        <v>3.0424757730827146E-2</v>
      </c>
      <c r="K3622" s="1">
        <v>1.9731842054295232</v>
      </c>
      <c r="L3622" s="1">
        <v>2.0940656844369445</v>
      </c>
      <c r="M3622" s="1">
        <v>9.4763774024795314E-2</v>
      </c>
      <c r="N3622" s="1">
        <v>1.2660628495433224</v>
      </c>
      <c r="O3622" s="1">
        <v>8.9841860465116288E-2</v>
      </c>
      <c r="P3622" s="1">
        <v>7.1173522882267554E-2</v>
      </c>
      <c r="Q3622" s="1">
        <v>3.2177658250575676</v>
      </c>
      <c r="R3622" s="2">
        <f t="shared" si="227"/>
        <v>145.93673732375603</v>
      </c>
      <c r="S3622" s="2">
        <f t="shared" si="226"/>
        <v>2.0747824860426181</v>
      </c>
      <c r="T3622" s="2">
        <f t="shared" si="228"/>
        <v>3.5447341684701787</v>
      </c>
      <c r="U3622" s="2">
        <f t="shared" si="229"/>
        <v>151.55625397826881</v>
      </c>
    </row>
    <row r="3623" spans="1:21" x14ac:dyDescent="0.25">
      <c r="A3623">
        <v>4771841</v>
      </c>
      <c r="B3623">
        <v>4</v>
      </c>
      <c r="C3623" s="1">
        <f>5.58902977840144*(10.3/7.3)</f>
        <v>7.885891331169157</v>
      </c>
      <c r="D3623" s="1">
        <f>6.56525648568362*(10.3/7.3)</f>
        <v>9.2633070962385364</v>
      </c>
      <c r="E3623" s="1">
        <f>23.1214464367493*(10.3/7.3)</f>
        <v>32.6234107258243</v>
      </c>
      <c r="F3623" s="1">
        <f>54.3247637826767*(38.9/42.5)</f>
        <v>49.723136732849994</v>
      </c>
      <c r="G3623" s="1">
        <v>2.3553921932393242</v>
      </c>
      <c r="H3623" s="1">
        <v>5.3577421750352849</v>
      </c>
      <c r="I3623" s="1">
        <v>42.442468971535014</v>
      </c>
      <c r="J3623" s="1">
        <v>3.3915927631446428E-2</v>
      </c>
      <c r="K3623" s="1">
        <v>2.188963358234763</v>
      </c>
      <c r="L3623" s="1">
        <v>2.3411599096977547</v>
      </c>
      <c r="M3623" s="1">
        <v>0.10291967884071168</v>
      </c>
      <c r="N3623" s="1">
        <v>1.3469570987469779</v>
      </c>
      <c r="O3623" s="1">
        <v>9.8959999999999992E-2</v>
      </c>
      <c r="P3623" s="1">
        <v>7.6792198225394376E-2</v>
      </c>
      <c r="Q3623" s="1">
        <v>3.764325422985225</v>
      </c>
      <c r="R3623" s="2">
        <f t="shared" si="227"/>
        <v>153.41567464887683</v>
      </c>
      <c r="S3623" s="2">
        <f t="shared" si="226"/>
        <v>2.2996714840916037</v>
      </c>
      <c r="T3623" s="2">
        <f t="shared" si="228"/>
        <v>3.8899966872854441</v>
      </c>
      <c r="U3623" s="2">
        <f t="shared" si="229"/>
        <v>159.60534282025387</v>
      </c>
    </row>
    <row r="3624" spans="1:21" x14ac:dyDescent="0.25">
      <c r="A3624">
        <v>477973</v>
      </c>
      <c r="B3624">
        <v>5</v>
      </c>
      <c r="C3624" s="1">
        <f>1.21614420277007*(10.3/7.3)</f>
        <v>1.7159294915796832</v>
      </c>
      <c r="D3624" s="1">
        <f>1.53078082046968*(10.3/7.3)</f>
        <v>2.1598688288818826</v>
      </c>
      <c r="E3624" s="1">
        <f>5.40431213318711*(10.3/7.3)</f>
        <v>7.6252623249078448</v>
      </c>
      <c r="F3624" s="1">
        <f>11.1498491368559*(38.9/42.5)</f>
        <v>10.205391327616372</v>
      </c>
      <c r="G3624" s="1">
        <v>0.42684073445596987</v>
      </c>
      <c r="H3624" s="1">
        <v>0.94497807440810422</v>
      </c>
      <c r="I3624" s="1">
        <v>8.3356180034603717</v>
      </c>
      <c r="J3624" s="1">
        <v>2.8600890605154701E-2</v>
      </c>
      <c r="K3624" s="1">
        <v>3.7484479645814175</v>
      </c>
      <c r="L3624" s="1">
        <v>1.6995255414943879</v>
      </c>
      <c r="M3624" s="1">
        <v>8.3222177753368667E-2</v>
      </c>
      <c r="N3624" s="1">
        <v>0.88992619143176666</v>
      </c>
      <c r="O3624" s="1">
        <v>7.7855999999999995E-2</v>
      </c>
      <c r="P3624" s="1">
        <v>6.7199706567390743E-2</v>
      </c>
      <c r="Q3624" s="1">
        <v>0.68216555734972428</v>
      </c>
      <c r="R3624" s="2">
        <f t="shared" si="227"/>
        <v>32.096054342659954</v>
      </c>
      <c r="S3624" s="2">
        <f t="shared" si="226"/>
        <v>3.8442485617539632</v>
      </c>
      <c r="T3624" s="2">
        <f t="shared" si="228"/>
        <v>2.7505299106795236</v>
      </c>
      <c r="U3624" s="2">
        <f t="shared" si="229"/>
        <v>38.690832815093444</v>
      </c>
    </row>
    <row r="3625" spans="1:21" x14ac:dyDescent="0.25">
      <c r="A3625">
        <v>477997</v>
      </c>
      <c r="B3625">
        <v>38</v>
      </c>
      <c r="C3625" s="1">
        <f>1.2033443618643*(10.3/7.3)</f>
        <v>1.6978694420825124</v>
      </c>
      <c r="D3625" s="1">
        <f>1.79501829959986*(10.3/7.3)</f>
        <v>2.5326970528600796</v>
      </c>
      <c r="E3625" s="1">
        <f>6.23239000489283*(10.3/7.3)</f>
        <v>8.7936461712871434</v>
      </c>
      <c r="F3625" s="1">
        <f>15.9127375581352*(38.9/42.5)</f>
        <v>14.564835082622546</v>
      </c>
      <c r="G3625" s="1">
        <v>0.76503834159399353</v>
      </c>
      <c r="H3625" s="1">
        <v>3.5500942409364304</v>
      </c>
      <c r="I3625" s="1">
        <v>11.846131979048167</v>
      </c>
      <c r="J3625" s="1">
        <v>3.2998502313833111E-2</v>
      </c>
      <c r="K3625" s="1">
        <v>4.2746254057093083</v>
      </c>
      <c r="L3625" s="1">
        <v>1.4761968143095974</v>
      </c>
      <c r="M3625" s="1">
        <v>8.0995398177447567E-2</v>
      </c>
      <c r="N3625" s="1">
        <v>1.1345060681383006</v>
      </c>
      <c r="O3625" s="1">
        <v>7.473263157894737E-2</v>
      </c>
      <c r="P3625" s="1">
        <v>6.4224005429659337E-2</v>
      </c>
      <c r="Q3625" s="1">
        <v>1.2226640162461098</v>
      </c>
      <c r="R3625" s="2">
        <f t="shared" si="227"/>
        <v>44.972976326676978</v>
      </c>
      <c r="S3625" s="2">
        <f t="shared" si="226"/>
        <v>4.3718479134528012</v>
      </c>
      <c r="T3625" s="2">
        <f t="shared" si="228"/>
        <v>2.7664309122042932</v>
      </c>
      <c r="U3625" s="2">
        <f t="shared" si="229"/>
        <v>52.111255152334074</v>
      </c>
    </row>
    <row r="3626" spans="1:21" x14ac:dyDescent="0.25">
      <c r="A3626">
        <v>478053</v>
      </c>
      <c r="B3626">
        <v>5</v>
      </c>
      <c r="C3626" s="1">
        <f>0.933277361607002*(10.3/7.3)</f>
        <v>1.3168160033633045</v>
      </c>
      <c r="D3626" s="1">
        <f>1.53484701592005*(10.3/7.3)</f>
        <v>2.1656060635584242</v>
      </c>
      <c r="E3626" s="1">
        <f>5.27550181462137*(10.3/7.3)</f>
        <v>7.443516258986322</v>
      </c>
      <c r="F3626" s="1">
        <f>15.2399732499295*(38.9/42.5)</f>
        <v>13.949057868759036</v>
      </c>
      <c r="G3626" s="1">
        <v>0.80340305953934232</v>
      </c>
      <c r="H3626" s="1">
        <v>4.3849508685210417</v>
      </c>
      <c r="I3626" s="1">
        <v>11.393157097799316</v>
      </c>
      <c r="J3626" s="1">
        <v>2.73805452045787E-2</v>
      </c>
      <c r="K3626" s="1">
        <v>2.4299812091205508</v>
      </c>
      <c r="L3626" s="1">
        <v>1.0371594564489648</v>
      </c>
      <c r="M3626" s="1">
        <v>5.7767873546957657E-2</v>
      </c>
      <c r="N3626" s="1">
        <v>0.81642186838578434</v>
      </c>
      <c r="O3626" s="1">
        <v>5.741866666666666E-2</v>
      </c>
      <c r="P3626" s="1">
        <v>5.1133952245542749E-2</v>
      </c>
      <c r="Q3626" s="1">
        <v>1.2839774924144756</v>
      </c>
      <c r="R3626" s="2">
        <f t="shared" si="227"/>
        <v>42.740484712941267</v>
      </c>
      <c r="S3626" s="2">
        <f t="shared" si="226"/>
        <v>2.5084957065706726</v>
      </c>
      <c r="T3626" s="2">
        <f t="shared" si="228"/>
        <v>1.9687678650483733</v>
      </c>
      <c r="U3626" s="2">
        <f t="shared" si="229"/>
        <v>47.217748284560308</v>
      </c>
    </row>
    <row r="3627" spans="1:21" x14ac:dyDescent="0.25">
      <c r="A3627">
        <v>478069</v>
      </c>
      <c r="B3627">
        <v>16</v>
      </c>
      <c r="C3627" s="1">
        <f>1.02413270137722*(10.3/7.3)</f>
        <v>1.4450091539979966</v>
      </c>
      <c r="D3627" s="1">
        <f>1.55174140558246*(10.3/7.3)</f>
        <v>2.1894433530821056</v>
      </c>
      <c r="E3627" s="1">
        <f>5.39332335882011*(10.3/7.3)</f>
        <v>7.6097576158694649</v>
      </c>
      <c r="F3627" s="1">
        <f>13.3222822524796*(38.9/42.5)</f>
        <v>12.193806579328383</v>
      </c>
      <c r="G3627" s="1">
        <v>0.62554962408024106</v>
      </c>
      <c r="H3627" s="1">
        <v>4.8662659041983876</v>
      </c>
      <c r="I3627" s="1">
        <v>9.8136038455839412</v>
      </c>
      <c r="J3627" s="1">
        <v>2.4071164514230161E-2</v>
      </c>
      <c r="K3627" s="1">
        <v>2.3027982806193998</v>
      </c>
      <c r="L3627" s="1">
        <v>1.0470721310089754</v>
      </c>
      <c r="M3627" s="1">
        <v>5.7645090161812504E-2</v>
      </c>
      <c r="N3627" s="1">
        <v>0.89800444020036763</v>
      </c>
      <c r="O3627" s="1">
        <v>5.8213333333333325E-2</v>
      </c>
      <c r="P3627" s="1">
        <v>5.1751733009003834E-2</v>
      </c>
      <c r="Q3627" s="1">
        <v>0.99973684213737257</v>
      </c>
      <c r="R3627" s="2">
        <f t="shared" si="227"/>
        <v>39.743172918277892</v>
      </c>
      <c r="S3627" s="2">
        <f t="shared" si="226"/>
        <v>2.3786211781426339</v>
      </c>
      <c r="T3627" s="2">
        <f t="shared" si="228"/>
        <v>2.0609349947044886</v>
      </c>
      <c r="U3627" s="2">
        <f t="shared" si="229"/>
        <v>44.182729091125019</v>
      </c>
    </row>
    <row r="3628" spans="1:21" x14ac:dyDescent="0.25">
      <c r="A3628">
        <v>478077</v>
      </c>
      <c r="B3628">
        <v>7</v>
      </c>
      <c r="C3628" s="1">
        <f>0.96358167821871*(10.3/7.3)</f>
        <v>1.3595741487195505</v>
      </c>
      <c r="D3628" s="1">
        <f>1.68802623542594*(10.3/7.3)</f>
        <v>2.381735647244823</v>
      </c>
      <c r="E3628" s="1">
        <f>5.85402405756229*(10.3/7.3)</f>
        <v>8.2597873688892633</v>
      </c>
      <c r="F3628" s="1">
        <f>13.606964935567*(38.9/42.5)</f>
        <v>12.454374964554276</v>
      </c>
      <c r="G3628" s="1">
        <v>0.61826410598533443</v>
      </c>
      <c r="H3628" s="1">
        <v>5.7574734094109585</v>
      </c>
      <c r="I3628" s="1">
        <v>9.5452282115873199</v>
      </c>
      <c r="J3628" s="1">
        <v>2.135301365025347E-2</v>
      </c>
      <c r="K3628" s="1">
        <v>2.2414501630710522</v>
      </c>
      <c r="L3628" s="1">
        <v>1.023988148486191</v>
      </c>
      <c r="M3628" s="1">
        <v>5.6021192819963893E-2</v>
      </c>
      <c r="N3628" s="1">
        <v>0.80425637254901883</v>
      </c>
      <c r="O3628" s="1">
        <v>5.752609523809523E-2</v>
      </c>
      <c r="P3628" s="1">
        <v>5.1003902060598183E-2</v>
      </c>
      <c r="Q3628" s="1">
        <v>0.98809332006788719</v>
      </c>
      <c r="R3628" s="2">
        <f t="shared" si="227"/>
        <v>41.364531176459415</v>
      </c>
      <c r="S3628" s="2">
        <f t="shared" si="226"/>
        <v>2.3138070787819038</v>
      </c>
      <c r="T3628" s="2">
        <f t="shared" si="228"/>
        <v>1.9417918090932689</v>
      </c>
      <c r="U3628" s="2">
        <f t="shared" si="229"/>
        <v>45.620130064334589</v>
      </c>
    </row>
    <row r="3629" spans="1:21" x14ac:dyDescent="0.25">
      <c r="A3629">
        <v>4783149</v>
      </c>
      <c r="B3629">
        <v>66</v>
      </c>
      <c r="C3629" s="1">
        <f>0.691754416930803*(10.3/7.3)</f>
        <v>0.97603705402565388</v>
      </c>
      <c r="D3629" s="1">
        <f>0.973762732082337*(10.3/7.3)</f>
        <v>1.3739391973216535</v>
      </c>
      <c r="E3629" s="1">
        <f>3.38076890590381*(10.3/7.3)</f>
        <v>4.7701259905218203</v>
      </c>
      <c r="F3629" s="1">
        <f>9.03328065603114*(38.9/42.5)</f>
        <v>8.2681086475202683</v>
      </c>
      <c r="G3629" s="1">
        <v>0.44588851271670948</v>
      </c>
      <c r="H3629" s="1">
        <v>1.8294447592314604</v>
      </c>
      <c r="I3629" s="1">
        <v>6.8739020424399451</v>
      </c>
      <c r="J3629" s="1">
        <v>4.2262695167691072E-2</v>
      </c>
      <c r="K3629" s="1">
        <v>2.9923993117599013</v>
      </c>
      <c r="L3629" s="1">
        <v>2.3424852997038346</v>
      </c>
      <c r="M3629" s="1">
        <v>0.46771717189848216</v>
      </c>
      <c r="N3629" s="1">
        <v>1.4006039892371158</v>
      </c>
      <c r="O3629" s="1">
        <v>0.47652606060606045</v>
      </c>
      <c r="P3629" s="1">
        <v>0.2459201660886749</v>
      </c>
      <c r="Q3629" s="1">
        <v>0.71260721210433087</v>
      </c>
      <c r="R3629" s="2">
        <f t="shared" si="227"/>
        <v>25.25005341588184</v>
      </c>
      <c r="S3629" s="2">
        <f t="shared" si="226"/>
        <v>3.280582173016267</v>
      </c>
      <c r="T3629" s="2">
        <f t="shared" si="228"/>
        <v>4.6873325214454926</v>
      </c>
      <c r="U3629" s="2">
        <f t="shared" si="229"/>
        <v>33.217968110343598</v>
      </c>
    </row>
    <row r="3630" spans="1:21" x14ac:dyDescent="0.25">
      <c r="A3630">
        <v>4783157</v>
      </c>
      <c r="B3630">
        <v>59</v>
      </c>
      <c r="C3630" s="1">
        <f>0.723432935253346*(10.3/7.3)</f>
        <v>1.0207341415218443</v>
      </c>
      <c r="D3630" s="1">
        <f>1.03509567166828*(10.3/7.3)</f>
        <v>1.4604774545456551</v>
      </c>
      <c r="E3630" s="1">
        <f>3.58553648460275*(10.3/7.3)</f>
        <v>5.0590446289600477</v>
      </c>
      <c r="F3630" s="1">
        <f>9.87868348109919*(38.9/42.5)</f>
        <v>9.0419008803472618</v>
      </c>
      <c r="G3630" s="1">
        <v>0.49883236649062374</v>
      </c>
      <c r="H3630" s="1">
        <v>2.1218492277026195</v>
      </c>
      <c r="I3630" s="1">
        <v>7.5301972855223527</v>
      </c>
      <c r="J3630" s="1">
        <v>4.6821380143548988E-2</v>
      </c>
      <c r="K3630" s="1">
        <v>3.1386778224426695</v>
      </c>
      <c r="L3630" s="1">
        <v>2.41916645493817</v>
      </c>
      <c r="M3630" s="1">
        <v>0.50019607695701485</v>
      </c>
      <c r="N3630" s="1">
        <v>1.550604333624654</v>
      </c>
      <c r="O3630" s="1">
        <v>0.51907163841807924</v>
      </c>
      <c r="P3630" s="1">
        <v>0.25951313825927236</v>
      </c>
      <c r="Q3630" s="1">
        <v>0.79722067703981059</v>
      </c>
      <c r="R3630" s="2">
        <f t="shared" si="227"/>
        <v>27.530256662130213</v>
      </c>
      <c r="S3630" s="2">
        <f t="shared" si="226"/>
        <v>3.4450123408454907</v>
      </c>
      <c r="T3630" s="2">
        <f t="shared" si="228"/>
        <v>4.9890385039379179</v>
      </c>
      <c r="U3630" s="2">
        <f t="shared" si="229"/>
        <v>35.96430750691362</v>
      </c>
    </row>
    <row r="3631" spans="1:21" x14ac:dyDescent="0.25">
      <c r="A3631">
        <v>4783325</v>
      </c>
      <c r="B3631">
        <v>4</v>
      </c>
      <c r="C3631" s="1">
        <f>1.69722096156873*(10.3/7.3)</f>
        <v>2.3947090279668317</v>
      </c>
      <c r="D3631" s="1">
        <f>2.50259467099042*(10.3/7.3)</f>
        <v>3.5310582344111392</v>
      </c>
      <c r="E3631" s="1">
        <f>8.51451509120293*(10.3/7.3)</f>
        <v>12.01363088210824</v>
      </c>
      <c r="F3631" s="1">
        <f>30.8458491229721*(38.9/42.5)</f>
        <v>28.233024256085073</v>
      </c>
      <c r="G3631" s="1">
        <v>1.8092609433321081</v>
      </c>
      <c r="H3631" s="1">
        <v>7.6007718536433178</v>
      </c>
      <c r="I3631" s="1">
        <v>24.375494925747677</v>
      </c>
      <c r="J3631" s="1">
        <v>3.9850048085916322E-2</v>
      </c>
      <c r="K3631" s="1">
        <v>2.7893611864579309</v>
      </c>
      <c r="L3631" s="1">
        <v>3.0705805643995188</v>
      </c>
      <c r="M3631" s="1">
        <v>0.83517337409222114</v>
      </c>
      <c r="N3631" s="1">
        <v>1.7513565855534823</v>
      </c>
      <c r="O3631" s="1">
        <v>0.29478666666666664</v>
      </c>
      <c r="P3631" s="1">
        <v>0.19151477040115578</v>
      </c>
      <c r="Q3631" s="1">
        <v>2.8915129231335088</v>
      </c>
      <c r="R3631" s="2">
        <f t="shared" si="227"/>
        <v>82.849463046427886</v>
      </c>
      <c r="S3631" s="2">
        <f t="shared" si="226"/>
        <v>3.0207260049450033</v>
      </c>
      <c r="T3631" s="2">
        <f t="shared" si="228"/>
        <v>5.9518971907118896</v>
      </c>
      <c r="U3631" s="2">
        <f t="shared" si="229"/>
        <v>91.822086242084779</v>
      </c>
    </row>
    <row r="3632" spans="1:21" x14ac:dyDescent="0.25">
      <c r="A3632">
        <v>4783397</v>
      </c>
      <c r="B3632">
        <v>56</v>
      </c>
      <c r="C3632" s="1">
        <f>1.68527220736584*(10.3/7.3)</f>
        <v>2.3778498268312482</v>
      </c>
      <c r="D3632" s="1">
        <f>2.59599734807719*(10.3/7.3)</f>
        <v>3.662845573314391</v>
      </c>
      <c r="E3632" s="1">
        <f>8.89006330588155*(10.3/7.3)</f>
        <v>12.543513979531497</v>
      </c>
      <c r="F3632" s="1">
        <f>28.4393227830822*(38.9/42.5)</f>
        <v>26.030344853221088</v>
      </c>
      <c r="G3632" s="1">
        <v>1.57790622670884</v>
      </c>
      <c r="H3632" s="1">
        <v>11.6441516625862</v>
      </c>
      <c r="I3632" s="1">
        <v>21.908406476152546</v>
      </c>
      <c r="J3632" s="1">
        <v>4.520648665743919E-2</v>
      </c>
      <c r="K3632" s="1">
        <v>2.8860280277091794</v>
      </c>
      <c r="L3632" s="1">
        <v>4.9317679590166845</v>
      </c>
      <c r="M3632" s="1">
        <v>0.61256613904781498</v>
      </c>
      <c r="N3632" s="1">
        <v>2.0972253372944372</v>
      </c>
      <c r="O3632" s="1">
        <v>0.2656323809523809</v>
      </c>
      <c r="P3632" s="1">
        <v>0.18005016572877014</v>
      </c>
      <c r="Q3632" s="1">
        <v>2.5217679422287427</v>
      </c>
      <c r="R3632" s="2">
        <f t="shared" si="227"/>
        <v>82.266786540574557</v>
      </c>
      <c r="S3632" s="2">
        <f t="shared" si="226"/>
        <v>3.1112846800953888</v>
      </c>
      <c r="T3632" s="2">
        <f t="shared" si="228"/>
        <v>7.9071918163113182</v>
      </c>
      <c r="U3632" s="2">
        <f t="shared" si="229"/>
        <v>93.285263036981263</v>
      </c>
    </row>
    <row r="3633" spans="1:21" x14ac:dyDescent="0.25">
      <c r="A3633">
        <v>4783413</v>
      </c>
      <c r="B3633">
        <v>31</v>
      </c>
      <c r="C3633" s="1">
        <f>1.91019465711243*(10.3/7.3)</f>
        <v>2.6952061600353421</v>
      </c>
      <c r="D3633" s="1">
        <f>2.90693110638594*(10.3/7.3)</f>
        <v>4.1015603281883859</v>
      </c>
      <c r="E3633" s="1">
        <f>9.98772504489812*(10.3/7.3)</f>
        <v>14.092269583897343</v>
      </c>
      <c r="F3633" s="1">
        <f>30.4849534066194*(38.9/42.5)</f>
        <v>27.9026985298234</v>
      </c>
      <c r="G3633" s="1">
        <v>1.6478080155163601</v>
      </c>
      <c r="H3633" s="1">
        <v>12.030078911047985</v>
      </c>
      <c r="I3633" s="1">
        <v>23.35512293381532</v>
      </c>
      <c r="J3633" s="1">
        <v>4.828108863519838E-2</v>
      </c>
      <c r="K3633" s="1">
        <v>2.9373699220472056</v>
      </c>
      <c r="L3633" s="1">
        <v>4.4791042081093639</v>
      </c>
      <c r="M3633" s="1">
        <v>0.54843649248131232</v>
      </c>
      <c r="N3633" s="1">
        <v>2.2330707793908924</v>
      </c>
      <c r="O3633" s="1">
        <v>0.26049204301075268</v>
      </c>
      <c r="P3633" s="1">
        <v>0.18049182508074257</v>
      </c>
      <c r="Q3633" s="1">
        <v>2.6334831298206702</v>
      </c>
      <c r="R3633" s="2">
        <f t="shared" si="227"/>
        <v>88.458227592144809</v>
      </c>
      <c r="S3633" s="2">
        <f t="shared" si="226"/>
        <v>3.1661428357631465</v>
      </c>
      <c r="T3633" s="2">
        <f t="shared" si="228"/>
        <v>7.5211035229923207</v>
      </c>
      <c r="U3633" s="2">
        <f t="shared" si="229"/>
        <v>99.145473950900282</v>
      </c>
    </row>
    <row r="3634" spans="1:21" x14ac:dyDescent="0.25">
      <c r="A3634">
        <v>4783421</v>
      </c>
      <c r="B3634">
        <v>47</v>
      </c>
      <c r="C3634" s="1">
        <f>1.47755243727174*(10.3/7.3)</f>
        <v>2.0847657676573914</v>
      </c>
      <c r="D3634" s="1">
        <f>2.45203881203727*(10.3/7.3)</f>
        <v>3.4597259950662842</v>
      </c>
      <c r="E3634" s="1">
        <f>8.34036325550384*(10.3/7.3)</f>
        <v>11.767909798861579</v>
      </c>
      <c r="F3634" s="1">
        <f>28.4612462286589*(38.9/42.5)</f>
        <v>26.050411253995982</v>
      </c>
      <c r="G3634" s="1">
        <v>1.6383937497216485</v>
      </c>
      <c r="H3634" s="1">
        <v>11.033454001731107</v>
      </c>
      <c r="I3634" s="1">
        <v>21.885290670010789</v>
      </c>
      <c r="J3634" s="1">
        <v>4.9051254871582357E-2</v>
      </c>
      <c r="K3634" s="1">
        <v>3.0886605375948588</v>
      </c>
      <c r="L3634" s="1">
        <v>4.6234783777160562</v>
      </c>
      <c r="M3634" s="1">
        <v>0.53476262335099012</v>
      </c>
      <c r="N3634" s="1">
        <v>2.363980461371094</v>
      </c>
      <c r="O3634" s="1">
        <v>0.26678241134751768</v>
      </c>
      <c r="P3634" s="1">
        <v>0.19002938914961726</v>
      </c>
      <c r="Q3634" s="1">
        <v>2.6184374995551476</v>
      </c>
      <c r="R3634" s="2">
        <f t="shared" si="227"/>
        <v>80.538388736599927</v>
      </c>
      <c r="S3634" s="2">
        <f t="shared" si="226"/>
        <v>3.3277411816160587</v>
      </c>
      <c r="T3634" s="2">
        <f t="shared" si="228"/>
        <v>7.7890038737856582</v>
      </c>
      <c r="U3634" s="2">
        <f t="shared" si="229"/>
        <v>91.655133792001649</v>
      </c>
    </row>
    <row r="3635" spans="1:21" x14ac:dyDescent="0.25">
      <c r="A3635">
        <v>4783429</v>
      </c>
      <c r="B3635">
        <v>50</v>
      </c>
      <c r="C3635" s="1">
        <f>1.69936775440718*(10.3/7.3)</f>
        <v>2.397738064437525</v>
      </c>
      <c r="D3635" s="1">
        <f>2.61187138880687*(10.3/7.3)</f>
        <v>3.6852431924261388</v>
      </c>
      <c r="E3635" s="1">
        <f>8.98344395468633*(10.3/7.3)</f>
        <v>12.675270237434134</v>
      </c>
      <c r="F3635" s="1">
        <f>26.7600026471881*(38.9/42.5)</f>
        <v>24.493273011190951</v>
      </c>
      <c r="G3635" s="1">
        <v>1.4279025343841283</v>
      </c>
      <c r="H3635" s="1">
        <v>11.117365399488262</v>
      </c>
      <c r="I3635" s="1">
        <v>20.378034516994688</v>
      </c>
      <c r="J3635" s="1">
        <v>5.113943113829638E-2</v>
      </c>
      <c r="K3635" s="1">
        <v>3.1906335926350184</v>
      </c>
      <c r="L3635" s="1">
        <v>4.7223601555832628</v>
      </c>
      <c r="M3635" s="1">
        <v>0.53979071956042202</v>
      </c>
      <c r="N3635" s="1">
        <v>2.4032190885909763</v>
      </c>
      <c r="O3635" s="1">
        <v>0.27293546666666674</v>
      </c>
      <c r="P3635" s="1">
        <v>0.19248600531279059</v>
      </c>
      <c r="Q3635" s="1">
        <v>2.2820360138559148</v>
      </c>
      <c r="R3635" s="2">
        <f t="shared" si="227"/>
        <v>78.456862970211745</v>
      </c>
      <c r="S3635" s="2">
        <f t="shared" si="226"/>
        <v>3.434259029086105</v>
      </c>
      <c r="T3635" s="2">
        <f t="shared" si="228"/>
        <v>7.9383054304013276</v>
      </c>
      <c r="U3635" s="2">
        <f t="shared" si="229"/>
        <v>89.82942742969918</v>
      </c>
    </row>
    <row r="3636" spans="1:21" x14ac:dyDescent="0.25">
      <c r="A3636">
        <v>4783645</v>
      </c>
      <c r="B3636">
        <v>44</v>
      </c>
      <c r="C3636" s="1">
        <f>17.8052731378781*(10.3/7.3)</f>
        <v>25.122508673992364</v>
      </c>
      <c r="D3636" s="1">
        <f>30.7266733722369*(10.3/7.3)</f>
        <v>43.354073388224741</v>
      </c>
      <c r="E3636" s="1">
        <f>107.688586561347*(10.3/7.3)</f>
        <v>151.94417007970819</v>
      </c>
      <c r="F3636" s="1">
        <f>195.610189439271*(38.9/42.5)</f>
        <v>179.04085574559184</v>
      </c>
      <c r="G3636" s="1">
        <v>6.7533630561508282</v>
      </c>
      <c r="H3636" s="1">
        <v>8.0649364649886337</v>
      </c>
      <c r="I3636" s="1">
        <v>127.33272367781571</v>
      </c>
      <c r="J3636" s="1">
        <v>6.1749029804022262E-2</v>
      </c>
      <c r="K3636" s="1">
        <v>3.6002606595928586</v>
      </c>
      <c r="L3636" s="1">
        <v>5.4814754811282995</v>
      </c>
      <c r="M3636" s="1">
        <v>0.29641565433453815</v>
      </c>
      <c r="N3636" s="1">
        <v>3.0635803368835326</v>
      </c>
      <c r="O3636" s="1">
        <v>0.24495878787878783</v>
      </c>
      <c r="P3636" s="1">
        <v>0.16533728685880913</v>
      </c>
      <c r="Q3636" s="1">
        <v>10.793045980149735</v>
      </c>
      <c r="R3636" s="2">
        <f t="shared" si="227"/>
        <v>552.40567706662205</v>
      </c>
      <c r="S3636" s="2">
        <f t="shared" si="226"/>
        <v>3.82734697625569</v>
      </c>
      <c r="T3636" s="2">
        <f t="shared" si="228"/>
        <v>9.0864302602251588</v>
      </c>
      <c r="U3636" s="2">
        <f t="shared" si="229"/>
        <v>565.31945430310293</v>
      </c>
    </row>
    <row r="3637" spans="1:21" x14ac:dyDescent="0.25">
      <c r="A3637">
        <v>4783653</v>
      </c>
      <c r="B3637">
        <v>64</v>
      </c>
      <c r="C3637" s="1">
        <f>15.7083176932577*(10.3/7.3)</f>
        <v>22.16379071788413</v>
      </c>
      <c r="D3637" s="1">
        <f>25.4140912492562*(10.3/7.3)</f>
        <v>35.858238337991629</v>
      </c>
      <c r="E3637" s="1">
        <f>89.2433786025214*(10.3/7.3)</f>
        <v>125.91873967205075</v>
      </c>
      <c r="F3637" s="1">
        <f>163.235788608844*(38.9/42.5)</f>
        <v>149.40875710315348</v>
      </c>
      <c r="G3637" s="1">
        <v>5.6195054777719537</v>
      </c>
      <c r="H3637" s="1">
        <v>7.2290679931064847</v>
      </c>
      <c r="I3637" s="1">
        <v>108.78226161037165</v>
      </c>
      <c r="J3637" s="1">
        <v>6.6659007224374206E-2</v>
      </c>
      <c r="K3637" s="1">
        <v>3.8724215810170821</v>
      </c>
      <c r="L3637" s="1">
        <v>6.1314582738633252</v>
      </c>
      <c r="M3637" s="1">
        <v>0.31912051811253034</v>
      </c>
      <c r="N3637" s="1">
        <v>3.1581168725338875</v>
      </c>
      <c r="O3637" s="1">
        <v>0.26292250000000006</v>
      </c>
      <c r="P3637" s="1">
        <v>0.17550066094264871</v>
      </c>
      <c r="Q3637" s="1">
        <v>8.9809448274894343</v>
      </c>
      <c r="R3637" s="2">
        <f t="shared" si="227"/>
        <v>463.96130573981952</v>
      </c>
      <c r="S3637" s="2">
        <f t="shared" si="226"/>
        <v>4.1145812491841047</v>
      </c>
      <c r="T3637" s="2">
        <f t="shared" si="228"/>
        <v>9.8716181645097425</v>
      </c>
      <c r="U3637" s="2">
        <f t="shared" si="229"/>
        <v>477.94750515351336</v>
      </c>
    </row>
    <row r="3638" spans="1:21" x14ac:dyDescent="0.25">
      <c r="A3638">
        <v>4783661</v>
      </c>
      <c r="B3638">
        <v>61</v>
      </c>
      <c r="C3638" s="1">
        <f>13.8183098263391*(10.3/7.3)</f>
        <v>19.497067289218201</v>
      </c>
      <c r="D3638" s="1">
        <f>21.7565264049179*(10.3/7.3)</f>
        <v>30.697564653514338</v>
      </c>
      <c r="E3638" s="1">
        <f>76.4396742383311*(10.3/7.3)</f>
        <v>107.85323899380967</v>
      </c>
      <c r="F3638" s="1">
        <f>141.53025474866*(38.9/42.5)</f>
        <v>129.54180964053776</v>
      </c>
      <c r="G3638" s="1">
        <v>4.9301849515763205</v>
      </c>
      <c r="H3638" s="1">
        <v>7.027152851620615</v>
      </c>
      <c r="I3638" s="1">
        <v>95.555226419314579</v>
      </c>
      <c r="J3638" s="1">
        <v>6.5999765089817183E-2</v>
      </c>
      <c r="K3638" s="1">
        <v>3.8628259398327316</v>
      </c>
      <c r="L3638" s="1">
        <v>6.118315698164527</v>
      </c>
      <c r="M3638" s="1">
        <v>0.31167960510611448</v>
      </c>
      <c r="N3638" s="1">
        <v>3.0437239970418406</v>
      </c>
      <c r="O3638" s="1">
        <v>0.25942732240437166</v>
      </c>
      <c r="P3638" s="1">
        <v>0.17377078050257261</v>
      </c>
      <c r="Q3638" s="1">
        <v>7.8792910185009797</v>
      </c>
      <c r="R3638" s="2">
        <f t="shared" si="227"/>
        <v>402.98153581809248</v>
      </c>
      <c r="S3638" s="2">
        <f t="shared" si="226"/>
        <v>4.1025964854251216</v>
      </c>
      <c r="T3638" s="2">
        <f t="shared" si="228"/>
        <v>9.7331466227168537</v>
      </c>
      <c r="U3638" s="2">
        <f t="shared" si="229"/>
        <v>416.81727892623445</v>
      </c>
    </row>
    <row r="3639" spans="1:21" x14ac:dyDescent="0.25">
      <c r="A3639">
        <v>4783669</v>
      </c>
      <c r="B3639">
        <v>60</v>
      </c>
      <c r="C3639" s="1">
        <f>5.14207998924559*(10.3/7.3)</f>
        <v>7.255263546469803</v>
      </c>
      <c r="D3639" s="1">
        <f>7.97358681821969*(10.3/7.3)</f>
        <v>11.250403318857924</v>
      </c>
      <c r="E3639" s="1">
        <f>28.0237431658151*(10.3/7.3)</f>
        <v>39.540349946287122</v>
      </c>
      <c r="F3639" s="1">
        <f>52.204762810651*(38.9/42.5)</f>
        <v>47.78271231374876</v>
      </c>
      <c r="G3639" s="1">
        <v>1.828502502759094</v>
      </c>
      <c r="H3639" s="1">
        <v>3.7762676893189919</v>
      </c>
      <c r="I3639" s="1">
        <v>35.493806069452653</v>
      </c>
      <c r="J3639" s="1">
        <v>3.2359661933423975E-2</v>
      </c>
      <c r="K3639" s="1">
        <v>2.2280334440109226</v>
      </c>
      <c r="L3639" s="1">
        <v>3.0259409691343135</v>
      </c>
      <c r="M3639" s="1">
        <v>0.16847499776341088</v>
      </c>
      <c r="N3639" s="1">
        <v>1.5304420549839337</v>
      </c>
      <c r="O3639" s="1">
        <v>0.1415608888888889</v>
      </c>
      <c r="P3639" s="1">
        <v>0.10816382274047395</v>
      </c>
      <c r="Q3639" s="1">
        <v>2.9222642738159075</v>
      </c>
      <c r="R3639" s="2">
        <f t="shared" si="227"/>
        <v>149.84956966071024</v>
      </c>
      <c r="S3639" s="2">
        <f t="shared" si="226"/>
        <v>2.3685569286848205</v>
      </c>
      <c r="T3639" s="2">
        <f t="shared" si="228"/>
        <v>4.8664189107705473</v>
      </c>
      <c r="U3639" s="2">
        <f t="shared" si="229"/>
        <v>157.0845455001656</v>
      </c>
    </row>
    <row r="3640" spans="1:21" x14ac:dyDescent="0.25">
      <c r="A3640">
        <v>4783677</v>
      </c>
      <c r="B3640">
        <v>60</v>
      </c>
      <c r="C3640" s="1">
        <f>5.20381521929385*(10.3/7.3)</f>
        <v>7.342369419003651</v>
      </c>
      <c r="D3640" s="1">
        <f>8.02518000765141*(10.3/7.3)</f>
        <v>11.323199188878021</v>
      </c>
      <c r="E3640" s="1">
        <f>28.2081125979228*(10.3/7.3)</f>
        <v>39.800487638165059</v>
      </c>
      <c r="F3640" s="1">
        <f>52.6815600923151*(38.9/42.5)</f>
        <v>48.219122060966022</v>
      </c>
      <c r="G3640" s="1">
        <v>1.8496574886346755</v>
      </c>
      <c r="H3640" s="1">
        <v>3.9876269791142969</v>
      </c>
      <c r="I3640" s="1">
        <v>35.91156370057552</v>
      </c>
      <c r="J3640" s="1">
        <v>3.6340777138571471E-2</v>
      </c>
      <c r="K3640" s="1">
        <v>2.4808332397860027</v>
      </c>
      <c r="L3640" s="1">
        <v>3.374600911928487</v>
      </c>
      <c r="M3640" s="1">
        <v>0.18221475563970463</v>
      </c>
      <c r="N3640" s="1">
        <v>1.7682848600100842</v>
      </c>
      <c r="O3640" s="1">
        <v>0.15548355555555554</v>
      </c>
      <c r="P3640" s="1">
        <v>0.11943501457623645</v>
      </c>
      <c r="Q3640" s="1">
        <v>2.9560736119732289</v>
      </c>
      <c r="R3640" s="2">
        <f t="shared" si="227"/>
        <v>151.39010008731049</v>
      </c>
      <c r="S3640" s="2">
        <f t="shared" si="226"/>
        <v>2.6366090315008104</v>
      </c>
      <c r="T3640" s="2">
        <f t="shared" si="228"/>
        <v>5.4805840831338317</v>
      </c>
      <c r="U3640" s="2">
        <f t="shared" si="229"/>
        <v>159.50729320194512</v>
      </c>
    </row>
    <row r="3641" spans="1:21" x14ac:dyDescent="0.25">
      <c r="A3641">
        <v>4783685</v>
      </c>
      <c r="B3641">
        <v>59</v>
      </c>
      <c r="C3641" s="1">
        <f>5.10346818635154*(10.3/7.3)</f>
        <v>7.2007838793727261</v>
      </c>
      <c r="D3641" s="1">
        <f>7.76766387710352*(10.3/7.3)</f>
        <v>10.959854511529622</v>
      </c>
      <c r="E3641" s="1">
        <f>27.306478535175*(10.3/7.3)</f>
        <v>38.528319029082503</v>
      </c>
      <c r="F3641" s="1">
        <f>51.4909138483843*(38.9/42.5)</f>
        <v>47.129330557697628</v>
      </c>
      <c r="G3641" s="1">
        <v>1.8271237324573901</v>
      </c>
      <c r="H3641" s="1">
        <v>4.1145387519008025</v>
      </c>
      <c r="I3641" s="1">
        <v>35.356973597113971</v>
      </c>
      <c r="J3641" s="1">
        <v>3.7773143684173428E-2</v>
      </c>
      <c r="K3641" s="1">
        <v>2.5727760908627832</v>
      </c>
      <c r="L3641" s="1">
        <v>3.472667809282926</v>
      </c>
      <c r="M3641" s="1">
        <v>0.18553112531741561</v>
      </c>
      <c r="N3641" s="1">
        <v>1.8525976692652579</v>
      </c>
      <c r="O3641" s="1">
        <v>0.1605152542372881</v>
      </c>
      <c r="P3641" s="1">
        <v>0.12222357785818855</v>
      </c>
      <c r="Q3641" s="1">
        <v>2.9200607596351014</v>
      </c>
      <c r="R3641" s="2">
        <f t="shared" si="227"/>
        <v>148.03698481878976</v>
      </c>
      <c r="S3641" s="2">
        <f t="shared" si="226"/>
        <v>2.7327728124051451</v>
      </c>
      <c r="T3641" s="2">
        <f t="shared" si="228"/>
        <v>5.6713118581028876</v>
      </c>
      <c r="U3641" s="2">
        <f t="shared" si="229"/>
        <v>156.4410694892978</v>
      </c>
    </row>
    <row r="3642" spans="1:21" x14ac:dyDescent="0.25">
      <c r="A3642">
        <v>4783693</v>
      </c>
      <c r="B3642">
        <v>60</v>
      </c>
      <c r="C3642" s="1">
        <f>5.96607935547039*(10.3/7.3)</f>
        <v>8.4178927892253466</v>
      </c>
      <c r="D3642" s="1">
        <f>8.95104450837049*(10.3/7.3)</f>
        <v>12.629555950166585</v>
      </c>
      <c r="E3642" s="1">
        <f>31.4677800321799*(10.3/7.3)</f>
        <v>44.399744428966223</v>
      </c>
      <c r="F3642" s="1">
        <f>60.1317947097972*(38.9/42.5)</f>
        <v>55.038277981437865</v>
      </c>
      <c r="G3642" s="1">
        <v>2.1660881522596984</v>
      </c>
      <c r="H3642" s="1">
        <v>4.5869998916109305</v>
      </c>
      <c r="I3642" s="1">
        <v>41.649593731741582</v>
      </c>
      <c r="J3642" s="1">
        <v>4.4033281230032674E-2</v>
      </c>
      <c r="K3642" s="1">
        <v>2.8688622563062061</v>
      </c>
      <c r="L3642" s="1">
        <v>4.0530881265280154</v>
      </c>
      <c r="M3642" s="1">
        <v>0.20674470273498072</v>
      </c>
      <c r="N3642" s="1">
        <v>2.1094325417392139</v>
      </c>
      <c r="O3642" s="1">
        <v>0.17937244444444447</v>
      </c>
      <c r="P3642" s="1">
        <v>0.13155080464868726</v>
      </c>
      <c r="Q3642" s="1">
        <v>3.4617847182232646</v>
      </c>
      <c r="R3642" s="2">
        <f t="shared" si="227"/>
        <v>172.34993764363151</v>
      </c>
      <c r="S3642" s="2">
        <f t="shared" si="226"/>
        <v>3.0444463421849259</v>
      </c>
      <c r="T3642" s="2">
        <f t="shared" si="228"/>
        <v>6.5486378154466554</v>
      </c>
      <c r="U3642" s="2">
        <f t="shared" si="229"/>
        <v>181.94302180126309</v>
      </c>
    </row>
    <row r="3643" spans="1:21" x14ac:dyDescent="0.25">
      <c r="A3643">
        <v>4783701</v>
      </c>
      <c r="B3643">
        <v>60</v>
      </c>
      <c r="C3643" s="1">
        <f>6.73972799912357*(10.3/7.3)</f>
        <v>9.5094792316401069</v>
      </c>
      <c r="D3643" s="1">
        <f>9.95198207034179*(10.3/7.3)</f>
        <v>14.041837715687732</v>
      </c>
      <c r="E3643" s="1">
        <f>34.9915481204945*(10.3/7.3)</f>
        <v>49.371636389190861</v>
      </c>
      <c r="F3643" s="1">
        <f>67.6887491715834*(38.9/42.5)</f>
        <v>61.955113947637493</v>
      </c>
      <c r="G3643" s="1">
        <v>2.47007260272377</v>
      </c>
      <c r="H3643" s="1">
        <v>5.0887353709491361</v>
      </c>
      <c r="I3643" s="1">
        <v>47.293014431085453</v>
      </c>
      <c r="J3643" s="1">
        <v>4.9659345091728507E-2</v>
      </c>
      <c r="K3643" s="1">
        <v>3.1289580000201491</v>
      </c>
      <c r="L3643" s="1">
        <v>4.5439603778908717</v>
      </c>
      <c r="M3643" s="1">
        <v>0.22311694493560066</v>
      </c>
      <c r="N3643" s="1">
        <v>2.3601347924653169</v>
      </c>
      <c r="O3643" s="1">
        <v>0.19491200000000003</v>
      </c>
      <c r="P3643" s="1">
        <v>0.13903897103837129</v>
      </c>
      <c r="Q3643" s="1">
        <v>3.9476046162252074</v>
      </c>
      <c r="R3643" s="2">
        <f t="shared" si="227"/>
        <v>193.67749430513979</v>
      </c>
      <c r="S3643" s="2">
        <f t="shared" si="226"/>
        <v>3.317656316150249</v>
      </c>
      <c r="T3643" s="2">
        <f t="shared" si="228"/>
        <v>7.32212411529179</v>
      </c>
      <c r="U3643" s="2">
        <f t="shared" si="229"/>
        <v>204.31727473658182</v>
      </c>
    </row>
    <row r="3644" spans="1:21" x14ac:dyDescent="0.25">
      <c r="A3644">
        <v>4783709</v>
      </c>
      <c r="B3644">
        <v>60</v>
      </c>
      <c r="C3644" s="1">
        <f>8.78306454076932*(10.3/7.3)</f>
        <v>12.392543119167673</v>
      </c>
      <c r="D3644" s="1">
        <f>12.7431524431755*(10.3/7.3)</f>
        <v>17.980064406124306</v>
      </c>
      <c r="E3644" s="1">
        <f>44.8060987878136*(10.3/7.3)</f>
        <v>63.21956404307948</v>
      </c>
      <c r="F3644" s="1">
        <f>88.1801246323512*(38.9/42.5)</f>
        <v>80.710749369375606</v>
      </c>
      <c r="G3644" s="1">
        <v>3.2782717461277207</v>
      </c>
      <c r="H3644" s="1">
        <v>6.219011826244718</v>
      </c>
      <c r="I3644" s="1">
        <v>62.254152153226322</v>
      </c>
      <c r="J3644" s="1">
        <v>6.4840113733803412E-2</v>
      </c>
      <c r="K3644" s="1">
        <v>3.785645426581925</v>
      </c>
      <c r="L3644" s="1">
        <v>5.8265533327143606</v>
      </c>
      <c r="M3644" s="1">
        <v>0.27038084238569043</v>
      </c>
      <c r="N3644" s="1">
        <v>3.0093253954887893</v>
      </c>
      <c r="O3644" s="1">
        <v>0.23237866666666671</v>
      </c>
      <c r="P3644" s="1">
        <v>0.15941484177580761</v>
      </c>
      <c r="Q3644" s="1">
        <v>5.2392470828525255</v>
      </c>
      <c r="R3644" s="2">
        <f t="shared" si="227"/>
        <v>251.29360374619836</v>
      </c>
      <c r="S3644" s="2">
        <f t="shared" si="226"/>
        <v>4.0099003820915362</v>
      </c>
      <c r="T3644" s="2">
        <f t="shared" si="228"/>
        <v>9.3386382372555072</v>
      </c>
      <c r="U3644" s="2">
        <f t="shared" si="229"/>
        <v>264.6421423655454</v>
      </c>
    </row>
    <row r="3645" spans="1:21" x14ac:dyDescent="0.25">
      <c r="A3645">
        <v>4783717</v>
      </c>
      <c r="B3645">
        <v>60</v>
      </c>
      <c r="C3645" s="1">
        <f>8.00174877983595*(10.3/7.3)</f>
        <v>11.290138689357578</v>
      </c>
      <c r="D3645" s="1">
        <f>11.4292810795606*(10.3/7.3)</f>
        <v>16.126245906777275</v>
      </c>
      <c r="E3645" s="1">
        <f>40.1909481116345*(10.3/7.3)</f>
        <v>56.707776102717112</v>
      </c>
      <c r="F3645" s="1">
        <f>80.1186183968511*(38.9/42.5)</f>
        <v>73.332100132647213</v>
      </c>
      <c r="G3645" s="1">
        <v>3.0173662144922813</v>
      </c>
      <c r="H3645" s="1">
        <v>5.9375204191801707</v>
      </c>
      <c r="I3645" s="1">
        <v>57.038764083008779</v>
      </c>
      <c r="J3645" s="1">
        <v>6.2548217944404516E-2</v>
      </c>
      <c r="K3645" s="1">
        <v>3.6390641011512006</v>
      </c>
      <c r="L3645" s="1">
        <v>5.4092222473606615</v>
      </c>
      <c r="M3645" s="1">
        <v>0.25238644228754992</v>
      </c>
      <c r="N3645" s="1">
        <v>3.2940881208684307</v>
      </c>
      <c r="O3645" s="1">
        <v>0.21847911111111115</v>
      </c>
      <c r="P3645" s="1">
        <v>0.1509071511799201</v>
      </c>
      <c r="Q3645" s="1">
        <v>4.8222747720196342</v>
      </c>
      <c r="R3645" s="2">
        <f t="shared" si="227"/>
        <v>228.27218632020003</v>
      </c>
      <c r="S3645" s="2">
        <f t="shared" si="226"/>
        <v>3.8525194702755252</v>
      </c>
      <c r="T3645" s="2">
        <f t="shared" si="228"/>
        <v>9.1741759216277536</v>
      </c>
      <c r="U3645" s="2">
        <f t="shared" si="229"/>
        <v>241.29888171210331</v>
      </c>
    </row>
    <row r="3646" spans="1:21" x14ac:dyDescent="0.25">
      <c r="A3646">
        <v>4783725</v>
      </c>
      <c r="B3646">
        <v>57</v>
      </c>
      <c r="C3646" s="1">
        <f>7.94738893578836*(10.3/7.3)</f>
        <v>11.213439183372625</v>
      </c>
      <c r="D3646" s="1">
        <f>11.1324746097364*(10.3/7.3)</f>
        <v>15.70746417538146</v>
      </c>
      <c r="E3646" s="1">
        <f>39.1543010566426*(10.3/7.3)</f>
        <v>55.245109710057356</v>
      </c>
      <c r="F3646" s="1">
        <f>79.2394015681249*(38.9/42.5)</f>
        <v>72.527358141177842</v>
      </c>
      <c r="G3646" s="1">
        <v>3.0281267676584296</v>
      </c>
      <c r="H3646" s="1">
        <v>6.2615131038846616</v>
      </c>
      <c r="I3646" s="1">
        <v>56.979491174918302</v>
      </c>
      <c r="J3646" s="1">
        <v>6.656857161798066E-2</v>
      </c>
      <c r="K3646" s="1">
        <v>3.7423045112431406</v>
      </c>
      <c r="L3646" s="1">
        <v>5.501024047735557</v>
      </c>
      <c r="M3646" s="1">
        <v>0.25143888630603756</v>
      </c>
      <c r="N3646" s="1">
        <v>3.1147079420662229</v>
      </c>
      <c r="O3646" s="1">
        <v>0.21788070175438592</v>
      </c>
      <c r="P3646" s="1">
        <v>0.15114590951841567</v>
      </c>
      <c r="Q3646" s="1">
        <v>4.839472003107085</v>
      </c>
      <c r="R3646" s="2">
        <f t="shared" si="227"/>
        <v>225.80197425955774</v>
      </c>
      <c r="S3646" s="2">
        <f t="shared" si="226"/>
        <v>3.960018992379537</v>
      </c>
      <c r="T3646" s="2">
        <f t="shared" si="228"/>
        <v>9.0850515778622025</v>
      </c>
      <c r="U3646" s="2">
        <f t="shared" si="229"/>
        <v>238.84704482979947</v>
      </c>
    </row>
    <row r="3647" spans="1:21" x14ac:dyDescent="0.25">
      <c r="A3647">
        <v>4783733</v>
      </c>
      <c r="B3647">
        <v>54</v>
      </c>
      <c r="C3647" s="1">
        <f>7.4386157954925*(10.3/7.3)</f>
        <v>10.49558119090038</v>
      </c>
      <c r="D3647" s="1">
        <f>10.2904560287346*(10.3/7.3)</f>
        <v>14.51941056109124</v>
      </c>
      <c r="E3647" s="1">
        <f>36.1664439311019*(10.3/7.3)</f>
        <v>51.029366094568502</v>
      </c>
      <c r="F3647" s="1">
        <f>75.4535901416975*(38.9/42.5)</f>
        <v>69.062227212047873</v>
      </c>
      <c r="G3647" s="1">
        <v>2.9803355512290901</v>
      </c>
      <c r="H3647" s="1">
        <v>7.5455646531284675</v>
      </c>
      <c r="I3647" s="1">
        <v>54.865452727569171</v>
      </c>
      <c r="J3647" s="1">
        <v>6.6849003548165323E-2</v>
      </c>
      <c r="K3647" s="1">
        <v>3.603302264719594</v>
      </c>
      <c r="L3647" s="1">
        <v>5.1959524243360038</v>
      </c>
      <c r="M3647" s="1">
        <v>0.23736477308729281</v>
      </c>
      <c r="N3647" s="1">
        <v>3.4413514134747691</v>
      </c>
      <c r="O3647" s="1">
        <v>0.20773333333333335</v>
      </c>
      <c r="P3647" s="1">
        <v>0.14472422265094995</v>
      </c>
      <c r="Q3647" s="1">
        <v>4.7630933467131626</v>
      </c>
      <c r="R3647" s="2">
        <f t="shared" si="227"/>
        <v>215.26103133724791</v>
      </c>
      <c r="S3647" s="2">
        <f t="shared" si="226"/>
        <v>3.814875490918709</v>
      </c>
      <c r="T3647" s="2">
        <f t="shared" si="228"/>
        <v>9.0824019442313997</v>
      </c>
      <c r="U3647" s="2">
        <f t="shared" si="229"/>
        <v>228.15830877239804</v>
      </c>
    </row>
    <row r="3648" spans="1:21" x14ac:dyDescent="0.25">
      <c r="A3648">
        <v>4783821</v>
      </c>
      <c r="B3648">
        <v>41</v>
      </c>
      <c r="C3648" s="1">
        <f>3.43132277300027*(10.3/7.3)</f>
        <v>4.8414554194387387</v>
      </c>
      <c r="D3648" s="1">
        <f>4.65305830680371*(10.3/7.3)</f>
        <v>6.5652740493257857</v>
      </c>
      <c r="E3648" s="1">
        <f>16.2642051834479*(10.3/7.3)</f>
        <v>22.948125121851206</v>
      </c>
      <c r="F3648" s="1">
        <f>39.1266076998846*(38.9/42.5)</f>
        <v>35.812353871188478</v>
      </c>
      <c r="G3648" s="1">
        <v>1.7719105275752398</v>
      </c>
      <c r="H3648" s="1">
        <v>8.1471763494129341</v>
      </c>
      <c r="I3648" s="1">
        <v>29.47844081801675</v>
      </c>
      <c r="J3648" s="1">
        <v>3.468374052595382E-2</v>
      </c>
      <c r="K3648" s="1">
        <v>2.2671519796844337</v>
      </c>
      <c r="L3648" s="1">
        <v>3.8395794121435145</v>
      </c>
      <c r="M3648" s="1">
        <v>0.12418067695367448</v>
      </c>
      <c r="N3648" s="1">
        <v>1.5748715769349462</v>
      </c>
      <c r="O3648" s="1">
        <v>0.11055609756097559</v>
      </c>
      <c r="P3648" s="1">
        <v>8.7362452094829846E-2</v>
      </c>
      <c r="Q3648" s="1">
        <v>2.8318204778599756</v>
      </c>
      <c r="R3648" s="2">
        <f t="shared" si="227"/>
        <v>112.39655663466911</v>
      </c>
      <c r="S3648" s="2">
        <f t="shared" si="226"/>
        <v>2.3891981723052171</v>
      </c>
      <c r="T3648" s="2">
        <f t="shared" si="228"/>
        <v>5.64918776359311</v>
      </c>
      <c r="U3648" s="2">
        <f t="shared" si="229"/>
        <v>120.43494257056743</v>
      </c>
    </row>
    <row r="3649" spans="1:21" x14ac:dyDescent="0.25">
      <c r="A3649">
        <v>4784037</v>
      </c>
      <c r="B3649">
        <v>8</v>
      </c>
      <c r="C3649" s="1">
        <f>8.22124075634625*(10.3/7.3)</f>
        <v>11.599832847995394</v>
      </c>
      <c r="D3649" s="1">
        <f>8.56131785211129*(10.3/7.3)</f>
        <v>12.079667654348814</v>
      </c>
      <c r="E3649" s="1">
        <f>30.4581724025489*(10.3/7.3)</f>
        <v>42.975229554281299</v>
      </c>
      <c r="F3649" s="1">
        <f>65.3479438378888*(38.9/42.5)</f>
        <v>59.812588595150004</v>
      </c>
      <c r="G3649" s="1">
        <v>2.5132498752483592</v>
      </c>
      <c r="H3649" s="1">
        <v>6.4225724380360276</v>
      </c>
      <c r="I3649" s="1">
        <v>52.441081788617268</v>
      </c>
      <c r="J3649" s="1">
        <v>3.5272692032817E-2</v>
      </c>
      <c r="K3649" s="1">
        <v>2.0953422801125927</v>
      </c>
      <c r="L3649" s="1">
        <v>2.2574652411421905</v>
      </c>
      <c r="M3649" s="1">
        <v>9.9873765898162797E-2</v>
      </c>
      <c r="N3649" s="1">
        <v>1.4044406292998879</v>
      </c>
      <c r="O3649" s="1">
        <v>9.6320000000000003E-2</v>
      </c>
      <c r="P3649" s="1">
        <v>7.4716321512049336E-2</v>
      </c>
      <c r="Q3649" s="1">
        <v>4.016609389666332</v>
      </c>
      <c r="R3649" s="2">
        <f t="shared" si="227"/>
        <v>191.86083214334352</v>
      </c>
      <c r="S3649" s="2">
        <f t="shared" si="226"/>
        <v>2.2053312936574589</v>
      </c>
      <c r="T3649" s="2">
        <f t="shared" si="228"/>
        <v>3.8580996363402411</v>
      </c>
      <c r="U3649" s="2">
        <f t="shared" si="229"/>
        <v>197.92426307334119</v>
      </c>
    </row>
    <row r="3650" spans="1:21" x14ac:dyDescent="0.25">
      <c r="A3650">
        <v>4784045</v>
      </c>
      <c r="B3650">
        <v>40</v>
      </c>
      <c r="C3650" s="1">
        <f>5.64160429689415*(10.3/7.3)</f>
        <v>7.9600718161657218</v>
      </c>
      <c r="D3650" s="1">
        <f>6.37148800555472*(10.3/7.3)</f>
        <v>8.9899077338648787</v>
      </c>
      <c r="E3650" s="1">
        <f>22.557014945523*(10.3/7.3)</f>
        <v>31.827021087518716</v>
      </c>
      <c r="F3650" s="1">
        <f>49.1917018886634*(38.9/42.5)</f>
        <v>45.02487537574136</v>
      </c>
      <c r="G3650" s="1">
        <v>1.9623976479352661</v>
      </c>
      <c r="H3650" s="1">
        <v>4.88008014538637</v>
      </c>
      <c r="I3650" s="1">
        <v>38.482627516066024</v>
      </c>
      <c r="J3650" s="1">
        <v>2.9713882950673075E-2</v>
      </c>
      <c r="K3650" s="1">
        <v>1.9132906950074617</v>
      </c>
      <c r="L3650" s="1">
        <v>2.0170644855536715</v>
      </c>
      <c r="M3650" s="1">
        <v>9.2520140693434838E-2</v>
      </c>
      <c r="N3650" s="1">
        <v>1.2435080473875708</v>
      </c>
      <c r="O3650" s="1">
        <v>8.6973333333333319E-2</v>
      </c>
      <c r="P3650" s="1">
        <v>6.9520814175168325E-2</v>
      </c>
      <c r="Q3650" s="1">
        <v>3.1362519487549942</v>
      </c>
      <c r="R3650" s="2">
        <f t="shared" si="227"/>
        <v>142.26323327143334</v>
      </c>
      <c r="S3650" s="2">
        <f t="shared" si="226"/>
        <v>2.0125253921333033</v>
      </c>
      <c r="T3650" s="2">
        <f t="shared" si="228"/>
        <v>3.4400660069680105</v>
      </c>
      <c r="U3650" s="2">
        <f t="shared" si="229"/>
        <v>147.71582467053466</v>
      </c>
    </row>
    <row r="3651" spans="1:21" x14ac:dyDescent="0.25">
      <c r="A3651">
        <v>4784053</v>
      </c>
      <c r="B3651">
        <v>20</v>
      </c>
      <c r="C3651" s="1">
        <f>7.10253864410074*(10.3/7.3)</f>
        <v>10.02139014167639</v>
      </c>
      <c r="D3651" s="1">
        <f>8.51876294595852*(10.3/7.3)</f>
        <v>12.019624430599015</v>
      </c>
      <c r="E3651" s="1">
        <f>30.0737486455753*(10.3/7.3)</f>
        <v>42.432823431428218</v>
      </c>
      <c r="F3651" s="1">
        <f>65.472028660901*(38.9/42.5)</f>
        <v>59.926162703742293</v>
      </c>
      <c r="G3651" s="1">
        <v>2.6387581325330283</v>
      </c>
      <c r="H3651" s="1">
        <v>7.0339260906105876</v>
      </c>
      <c r="I3651" s="1">
        <v>50.21390850722306</v>
      </c>
      <c r="J3651" s="1">
        <v>3.6113907177685541E-2</v>
      </c>
      <c r="K3651" s="1">
        <v>2.2582992314528085</v>
      </c>
      <c r="L3651" s="1">
        <v>2.4493631804437292</v>
      </c>
      <c r="M3651" s="1">
        <v>0.1068921742558174</v>
      </c>
      <c r="N3651" s="1">
        <v>1.4468624411185647</v>
      </c>
      <c r="O3651" s="1">
        <v>0.10281333333333334</v>
      </c>
      <c r="P3651" s="1">
        <v>7.940050462917228E-2</v>
      </c>
      <c r="Q3651" s="1">
        <v>4.2171933624957116</v>
      </c>
      <c r="R3651" s="2">
        <f t="shared" si="227"/>
        <v>188.50378680030832</v>
      </c>
      <c r="S3651" s="2">
        <f t="shared" si="226"/>
        <v>2.3738136432596666</v>
      </c>
      <c r="T3651" s="2">
        <f t="shared" si="228"/>
        <v>4.1059311291514451</v>
      </c>
      <c r="U3651" s="2">
        <f t="shared" si="229"/>
        <v>194.98353157271944</v>
      </c>
    </row>
    <row r="3652" spans="1:21" x14ac:dyDescent="0.25">
      <c r="A3652">
        <v>4795377</v>
      </c>
      <c r="B3652">
        <v>2</v>
      </c>
      <c r="C3652" s="1">
        <f>0.495275861709759*(10.3/7.3)</f>
        <v>0.69881388706993375</v>
      </c>
      <c r="D3652" s="1">
        <f>0.685321300352491*(10.3/7.3)</f>
        <v>0.96696019090830931</v>
      </c>
      <c r="E3652" s="1">
        <f>2.38460510340715*(10.3/7.3)</f>
        <v>3.3645798034374823</v>
      </c>
      <c r="F3652" s="1">
        <f>6.18712343419696*(38.9/42.5)</f>
        <v>5.6630376844767492</v>
      </c>
      <c r="G3652" s="1">
        <v>0.29838723103967935</v>
      </c>
      <c r="H3652" s="1">
        <v>1.3048369579263048</v>
      </c>
      <c r="I3652" s="1">
        <v>4.7025256192732154</v>
      </c>
      <c r="J3652" s="1">
        <v>3.7416570731151587E-2</v>
      </c>
      <c r="K3652" s="1">
        <v>2.6458319891631898</v>
      </c>
      <c r="L3652" s="1">
        <v>2.1387977929751392</v>
      </c>
      <c r="M3652" s="1">
        <v>0.4203655977555727</v>
      </c>
      <c r="N3652" s="1">
        <v>1.246809571125306</v>
      </c>
      <c r="O3652" s="1">
        <v>0.38871999999999995</v>
      </c>
      <c r="P3652" s="1">
        <v>0.21775382467795418</v>
      </c>
      <c r="Q3652" s="1">
        <v>0.47687457015473911</v>
      </c>
      <c r="R3652" s="2">
        <f t="shared" si="227"/>
        <v>17.476015944286413</v>
      </c>
      <c r="S3652" s="2">
        <f t="shared" si="226"/>
        <v>2.9010023845722954</v>
      </c>
      <c r="T3652" s="2">
        <f t="shared" si="228"/>
        <v>4.1946929618560178</v>
      </c>
      <c r="U3652" s="2">
        <f t="shared" si="229"/>
        <v>24.571711290714724</v>
      </c>
    </row>
    <row r="3653" spans="1:21" x14ac:dyDescent="0.25">
      <c r="A3653">
        <v>4795385</v>
      </c>
      <c r="B3653">
        <v>69</v>
      </c>
      <c r="C3653" s="1">
        <f>0.698199764910469*(10.3/7.3)</f>
        <v>0.98513117514764803</v>
      </c>
      <c r="D3653" s="1">
        <f>0.987170125847647*(10.3/7.3)</f>
        <v>1.392856478935721</v>
      </c>
      <c r="E3653" s="1">
        <f>3.42526603417303*(10.3/7.3)</f>
        <v>4.8329096098605779</v>
      </c>
      <c r="F3653" s="1">
        <f>9.2261101497304*(38.9/42.5)</f>
        <v>8.4446043488120583</v>
      </c>
      <c r="G3653" s="1">
        <v>0.45819604822658866</v>
      </c>
      <c r="H3653" s="1">
        <v>1.8997286549651036</v>
      </c>
      <c r="I3653" s="1">
        <v>7.0235555684309983</v>
      </c>
      <c r="J3653" s="1">
        <v>4.2854267093880245E-2</v>
      </c>
      <c r="K3653" s="1">
        <v>3.0123825533607747</v>
      </c>
      <c r="L3653" s="1">
        <v>2.3551663312936797</v>
      </c>
      <c r="M3653" s="1">
        <v>0.48561127137337923</v>
      </c>
      <c r="N3653" s="1">
        <v>1.4409876316177532</v>
      </c>
      <c r="O3653" s="1">
        <v>0.47716714975845392</v>
      </c>
      <c r="P3653" s="1">
        <v>0.24798592409928963</v>
      </c>
      <c r="Q3653" s="1">
        <v>0.73227678940322471</v>
      </c>
      <c r="R3653" s="2">
        <f t="shared" si="227"/>
        <v>25.769258673781923</v>
      </c>
      <c r="S3653" s="2">
        <f t="shared" si="226"/>
        <v>3.3032227445539442</v>
      </c>
      <c r="T3653" s="2">
        <f t="shared" si="228"/>
        <v>4.7589323840432662</v>
      </c>
      <c r="U3653" s="2">
        <f t="shared" si="229"/>
        <v>33.831413802379132</v>
      </c>
    </row>
    <row r="3654" spans="1:21" x14ac:dyDescent="0.25">
      <c r="A3654">
        <v>4795393</v>
      </c>
      <c r="B3654">
        <v>43</v>
      </c>
      <c r="C3654" s="1">
        <f>0.908012693418009*(10.3/7.3)</f>
        <v>1.2811685948226703</v>
      </c>
      <c r="D3654" s="1">
        <f>1.32332085192917*(10.3/7.3)</f>
        <v>1.8671513390233494</v>
      </c>
      <c r="E3654" s="1">
        <f>4.57196083856321*(10.3/7.3)</f>
        <v>6.4508488544111025</v>
      </c>
      <c r="F3654" s="1">
        <f>13.0403405812851*(38.9/42.5)</f>
        <v>11.935747026164444</v>
      </c>
      <c r="G3654" s="1">
        <v>0.6746107037278517</v>
      </c>
      <c r="H3654" s="1">
        <v>2.8033838126439639</v>
      </c>
      <c r="I3654" s="1">
        <v>9.9607771742060951</v>
      </c>
      <c r="J3654" s="1">
        <v>5.409176942207692E-2</v>
      </c>
      <c r="K3654" s="1">
        <v>3.4672534714162486</v>
      </c>
      <c r="L3654" s="1">
        <v>2.8126272434308</v>
      </c>
      <c r="M3654" s="1">
        <v>0.60111062090647438</v>
      </c>
      <c r="N3654" s="1">
        <v>1.7374573742402804</v>
      </c>
      <c r="O3654" s="1">
        <v>0.57835286821705423</v>
      </c>
      <c r="P3654" s="1">
        <v>0.27560816516710585</v>
      </c>
      <c r="Q3654" s="1">
        <v>1.0781449602956552</v>
      </c>
      <c r="R3654" s="2">
        <f t="shared" si="227"/>
        <v>36.051832465295128</v>
      </c>
      <c r="S3654" s="2">
        <f t="shared" si="226"/>
        <v>3.7969534060054313</v>
      </c>
      <c r="T3654" s="2">
        <f t="shared" si="228"/>
        <v>5.729548106794609</v>
      </c>
      <c r="U3654" s="2">
        <f t="shared" si="229"/>
        <v>45.578333978095166</v>
      </c>
    </row>
    <row r="3655" spans="1:21" x14ac:dyDescent="0.25">
      <c r="A3655">
        <v>4795633</v>
      </c>
      <c r="B3655">
        <v>19</v>
      </c>
      <c r="C3655" s="1">
        <f>1.66102357328831*(10.3/7.3)</f>
        <v>2.343636000667062</v>
      </c>
      <c r="D3655" s="1">
        <f>2.51302596337118*(10.3/7.3)</f>
        <v>3.5457763592771383</v>
      </c>
      <c r="E3655" s="1">
        <f>8.63270218630868*(10.3/7.3)</f>
        <v>12.180388016298551</v>
      </c>
      <c r="F3655" s="1">
        <f>26.5304624846136*(38.9/42.5)</f>
        <v>24.283176250622837</v>
      </c>
      <c r="G3655" s="1">
        <v>1.4387912767693116</v>
      </c>
      <c r="H3655" s="1">
        <v>7.4490384030007162</v>
      </c>
      <c r="I3655" s="1">
        <v>20.370858983712868</v>
      </c>
      <c r="J3655" s="1">
        <v>4.3251645876867452E-2</v>
      </c>
      <c r="K3655" s="1">
        <v>2.7724035902548221</v>
      </c>
      <c r="L3655" s="1">
        <v>4.4934269723090363</v>
      </c>
      <c r="M3655" s="1">
        <v>0.58568236330282852</v>
      </c>
      <c r="N3655" s="1">
        <v>1.969605264888223</v>
      </c>
      <c r="O3655" s="1">
        <v>0.25479298245614035</v>
      </c>
      <c r="P3655" s="1">
        <v>0.17274073139836651</v>
      </c>
      <c r="Q3655" s="1">
        <v>2.2994381135582631</v>
      </c>
      <c r="R3655" s="2">
        <f t="shared" si="227"/>
        <v>73.91110340390675</v>
      </c>
      <c r="S3655" s="2">
        <f t="shared" si="226"/>
        <v>2.9883959675300558</v>
      </c>
      <c r="T3655" s="2">
        <f t="shared" si="228"/>
        <v>7.3035075829562279</v>
      </c>
      <c r="U3655" s="2">
        <f t="shared" si="229"/>
        <v>84.203006954393032</v>
      </c>
    </row>
    <row r="3656" spans="1:21" x14ac:dyDescent="0.25">
      <c r="A3656">
        <v>4795641</v>
      </c>
      <c r="B3656">
        <v>22</v>
      </c>
      <c r="C3656" s="1">
        <f>2.22389851140714*(10.3/7.3)</f>
        <v>3.1378294065059618</v>
      </c>
      <c r="D3656" s="1">
        <f>3.40889204741934*(10.3/7.3)</f>
        <v>4.8098065874546876</v>
      </c>
      <c r="E3656" s="1">
        <f>11.7016504479294*(10.3/7.3)</f>
        <v>16.510547892283892</v>
      </c>
      <c r="F3656" s="1">
        <f>36.1065555610551*(38.9/42.5)</f>
        <v>33.048117913530405</v>
      </c>
      <c r="G3656" s="1">
        <v>1.9645703704913799</v>
      </c>
      <c r="H3656" s="1">
        <v>10.441718840813278</v>
      </c>
      <c r="I3656" s="1">
        <v>27.675211146701841</v>
      </c>
      <c r="J3656" s="1">
        <v>5.7903915708390215E-2</v>
      </c>
      <c r="K3656" s="1">
        <v>3.414275869318351</v>
      </c>
      <c r="L3656" s="1">
        <v>5.3820209868669329</v>
      </c>
      <c r="M3656" s="1">
        <v>0.6645060571381719</v>
      </c>
      <c r="N3656" s="1">
        <v>2.5204149690960751</v>
      </c>
      <c r="O3656" s="1">
        <v>0.30431272727272723</v>
      </c>
      <c r="P3656" s="1">
        <v>0.20611999881968696</v>
      </c>
      <c r="Q3656" s="1">
        <v>3.1397243364017529</v>
      </c>
      <c r="R3656" s="2">
        <f t="shared" si="227"/>
        <v>100.72752649418319</v>
      </c>
      <c r="S3656" s="2">
        <f t="shared" si="226"/>
        <v>3.6782997838464282</v>
      </c>
      <c r="T3656" s="2">
        <f t="shared" si="228"/>
        <v>8.8712547403739066</v>
      </c>
      <c r="U3656" s="2">
        <f t="shared" si="229"/>
        <v>113.27708101840352</v>
      </c>
    </row>
    <row r="3657" spans="1:21" x14ac:dyDescent="0.25">
      <c r="A3657">
        <v>4795649</v>
      </c>
      <c r="B3657">
        <v>50</v>
      </c>
      <c r="C3657" s="1">
        <f>1.86885684985709*(10.3/7.3)</f>
        <v>2.6368802128120641</v>
      </c>
      <c r="D3657" s="1">
        <f>2.9691452789765*(10.3/7.3)</f>
        <v>4.1893419689668434</v>
      </c>
      <c r="E3657" s="1">
        <f>10.1623699838793*(10.3/7.3)</f>
        <v>14.338686415610583</v>
      </c>
      <c r="F3657" s="1">
        <f>32.2058663825107*(38.9/42.5)</f>
        <v>29.477840053639184</v>
      </c>
      <c r="G3657" s="1">
        <v>1.7825037309348863</v>
      </c>
      <c r="H3657" s="1">
        <v>8.6478325516873618</v>
      </c>
      <c r="I3657" s="1">
        <v>24.638434236315206</v>
      </c>
      <c r="J3657" s="1">
        <v>5.0530955719511265E-2</v>
      </c>
      <c r="K3657" s="1">
        <v>3.103540930960893</v>
      </c>
      <c r="L3657" s="1">
        <v>4.7251016765635292</v>
      </c>
      <c r="M3657" s="1">
        <v>0.57827780356098413</v>
      </c>
      <c r="N3657" s="1">
        <v>2.3155112740400523</v>
      </c>
      <c r="O3657" s="1">
        <v>0.27398186666666668</v>
      </c>
      <c r="P3657" s="1">
        <v>0.18840628656687891</v>
      </c>
      <c r="Q3657" s="1">
        <v>2.84875025491877</v>
      </c>
      <c r="R3657" s="2">
        <f t="shared" si="227"/>
        <v>88.560269424884893</v>
      </c>
      <c r="S3657" s="2">
        <f t="shared" ref="S3657:S3720" si="230">J3657+K3657+P3657</f>
        <v>3.342478173247283</v>
      </c>
      <c r="T3657" s="2">
        <f t="shared" si="228"/>
        <v>7.8928726208312323</v>
      </c>
      <c r="U3657" s="2">
        <f t="shared" si="229"/>
        <v>99.795620218963407</v>
      </c>
    </row>
    <row r="3658" spans="1:21" x14ac:dyDescent="0.25">
      <c r="A3658">
        <v>4795657</v>
      </c>
      <c r="B3658">
        <v>44</v>
      </c>
      <c r="C3658" s="1">
        <f>1.50847590559566*(10.3/7.3)</f>
        <v>2.1283975106349748</v>
      </c>
      <c r="D3658" s="1">
        <f>2.29020671844887*(10.3/7.3)</f>
        <v>3.2313875616470411</v>
      </c>
      <c r="E3658" s="1">
        <f>7.88480398926591*(10.3/7.3)</f>
        <v>11.125134395813543</v>
      </c>
      <c r="F3658" s="1">
        <f>23.2755193311284*(38.9/42.5)</f>
        <v>21.303945928962182</v>
      </c>
      <c r="G3658" s="1">
        <v>1.2341186044797854</v>
      </c>
      <c r="H3658" s="1">
        <v>10.959170771026864</v>
      </c>
      <c r="I3658" s="1">
        <v>17.738393775953814</v>
      </c>
      <c r="J3658" s="1">
        <v>4.7087024966750303E-2</v>
      </c>
      <c r="K3658" s="1">
        <v>2.9881621900662676</v>
      </c>
      <c r="L3658" s="1">
        <v>4.3859126511041699</v>
      </c>
      <c r="M3658" s="1">
        <v>0.51865399615620622</v>
      </c>
      <c r="N3658" s="1">
        <v>2.2233003162704454</v>
      </c>
      <c r="O3658" s="1">
        <v>0.25813818181818182</v>
      </c>
      <c r="P3658" s="1">
        <v>0.1826333752570328</v>
      </c>
      <c r="Q3658" s="1">
        <v>1.972335669259933</v>
      </c>
      <c r="R3658" s="2">
        <f t="shared" ref="R3658:R3721" si="231">C3658+D3658+E3658+F3658+G3658+H3658+I3658+Q3658</f>
        <v>69.692884217778129</v>
      </c>
      <c r="S3658" s="2">
        <f t="shared" si="230"/>
        <v>3.2178825902900505</v>
      </c>
      <c r="T3658" s="2">
        <f t="shared" ref="T3658:T3721" si="232">L3658+M3658+N3658+O3658</f>
        <v>7.386005145349003</v>
      </c>
      <c r="U3658" s="2">
        <f t="shared" ref="U3658:U3721" si="233">R3658+S3658+T3658</f>
        <v>80.296771953417178</v>
      </c>
    </row>
    <row r="3659" spans="1:21" x14ac:dyDescent="0.25">
      <c r="A3659">
        <v>4795665</v>
      </c>
      <c r="B3659">
        <v>25</v>
      </c>
      <c r="C3659" s="1">
        <f>1.56055509391415*(10.3/7.3)</f>
        <v>2.2018791051117401</v>
      </c>
      <c r="D3659" s="1">
        <f>2.39156412413121*(10.3/7.3)</f>
        <v>3.3743986956919745</v>
      </c>
      <c r="E3659" s="1">
        <f>8.23013044199812*(10.3/7.3)</f>
        <v>11.612375829120637</v>
      </c>
      <c r="F3659" s="1">
        <f>24.333853309249*(38.9/42.5)</f>
        <v>22.272632793642064</v>
      </c>
      <c r="G3659" s="1">
        <v>1.2925177777764809</v>
      </c>
      <c r="H3659" s="1">
        <v>9.4523336494434425</v>
      </c>
      <c r="I3659" s="1">
        <v>18.516616733990638</v>
      </c>
      <c r="J3659" s="1">
        <v>4.6240058352061748E-2</v>
      </c>
      <c r="K3659" s="1">
        <v>2.9081355539202267</v>
      </c>
      <c r="L3659" s="1">
        <v>4.2041461190049967</v>
      </c>
      <c r="M3659" s="1">
        <v>0.48437665473964825</v>
      </c>
      <c r="N3659" s="1">
        <v>2.1541677473801539</v>
      </c>
      <c r="O3659" s="1">
        <v>0.24914986666666661</v>
      </c>
      <c r="P3659" s="1">
        <v>0.17657551964874874</v>
      </c>
      <c r="Q3659" s="1">
        <v>2.0656676813779398</v>
      </c>
      <c r="R3659" s="2">
        <f t="shared" si="231"/>
        <v>70.788422266154939</v>
      </c>
      <c r="S3659" s="2">
        <f t="shared" si="230"/>
        <v>3.1309511319210372</v>
      </c>
      <c r="T3659" s="2">
        <f t="shared" si="232"/>
        <v>7.091840387791466</v>
      </c>
      <c r="U3659" s="2">
        <f t="shared" si="233"/>
        <v>81.01121378586744</v>
      </c>
    </row>
    <row r="3660" spans="1:21" x14ac:dyDescent="0.25">
      <c r="A3660">
        <v>4795881</v>
      </c>
      <c r="B3660">
        <v>69</v>
      </c>
      <c r="C3660" s="1">
        <f>12.9406162486295*(10.3/7.3)</f>
        <v>18.258677720669091</v>
      </c>
      <c r="D3660" s="1">
        <f>21.4565184989721*(10.3/7.3)</f>
        <v>30.274265827316746</v>
      </c>
      <c r="E3660" s="1">
        <f>75.2655202036751*(10.3/7.3)</f>
        <v>106.19655590381551</v>
      </c>
      <c r="F3660" s="1">
        <f>138.48535625298*(38.9/42.5)</f>
        <v>126.75483195860997</v>
      </c>
      <c r="G3660" s="1">
        <v>4.8316000450918457</v>
      </c>
      <c r="H3660" s="1">
        <v>6.2829999804845666</v>
      </c>
      <c r="I3660" s="1">
        <v>91.738797138529563</v>
      </c>
      <c r="J3660" s="1">
        <v>5.6164889801741134E-2</v>
      </c>
      <c r="K3660" s="1">
        <v>3.3885753996916268</v>
      </c>
      <c r="L3660" s="1">
        <v>5.057817581891328</v>
      </c>
      <c r="M3660" s="1">
        <v>0.27503379068297668</v>
      </c>
      <c r="N3660" s="1">
        <v>2.7209247898848505</v>
      </c>
      <c r="O3660" s="1">
        <v>0.2283370048309179</v>
      </c>
      <c r="P3660" s="1">
        <v>0.15803883246763858</v>
      </c>
      <c r="Q3660" s="1">
        <v>7.7217352318819561</v>
      </c>
      <c r="R3660" s="2">
        <f t="shared" si="231"/>
        <v>392.05946380639921</v>
      </c>
      <c r="S3660" s="2">
        <f t="shared" si="230"/>
        <v>3.6027791219610066</v>
      </c>
      <c r="T3660" s="2">
        <f t="shared" si="232"/>
        <v>8.2821131672900723</v>
      </c>
      <c r="U3660" s="2">
        <f t="shared" si="233"/>
        <v>403.94435609565028</v>
      </c>
    </row>
    <row r="3661" spans="1:21" x14ac:dyDescent="0.25">
      <c r="A3661">
        <v>4795889</v>
      </c>
      <c r="B3661">
        <v>71</v>
      </c>
      <c r="C3661" s="1">
        <f>14.2439808611578*(10.3/7.3)</f>
        <v>20.097671626017231</v>
      </c>
      <c r="D3661" s="1">
        <f>22.8467143474965*(10.3/7.3)</f>
        <v>32.235775038248491</v>
      </c>
      <c r="E3661" s="1">
        <f>80.2202585569746*(10.3/7.3)</f>
        <v>113.18748810093678</v>
      </c>
      <c r="F3661" s="1">
        <f>148.346739725733*(38.9/42.5)</f>
        <v>135.78089824308296</v>
      </c>
      <c r="G3661" s="1">
        <v>5.1781596384641881</v>
      </c>
      <c r="H3661" s="1">
        <v>7.1038991638312767</v>
      </c>
      <c r="I3661" s="1">
        <v>99.507852397674569</v>
      </c>
      <c r="J3661" s="1">
        <v>6.6118557159907818E-2</v>
      </c>
      <c r="K3661" s="1">
        <v>3.8766508529266721</v>
      </c>
      <c r="L3661" s="1">
        <v>6.1073898156653232</v>
      </c>
      <c r="M3661" s="1">
        <v>0.31743488282439936</v>
      </c>
      <c r="N3661" s="1">
        <v>3.1394404089818062</v>
      </c>
      <c r="O3661" s="1">
        <v>0.26278234741784035</v>
      </c>
      <c r="P3661" s="1">
        <v>0.17540543475505821</v>
      </c>
      <c r="Q3661" s="1">
        <v>8.2755975957190273</v>
      </c>
      <c r="R3661" s="2">
        <f t="shared" si="231"/>
        <v>421.36734180397457</v>
      </c>
      <c r="S3661" s="2">
        <f t="shared" si="230"/>
        <v>4.1181748448416382</v>
      </c>
      <c r="T3661" s="2">
        <f t="shared" si="232"/>
        <v>9.8270474548893674</v>
      </c>
      <c r="U3661" s="2">
        <f t="shared" si="233"/>
        <v>435.31256410370554</v>
      </c>
    </row>
    <row r="3662" spans="1:21" x14ac:dyDescent="0.25">
      <c r="A3662">
        <v>4795897</v>
      </c>
      <c r="B3662">
        <v>71</v>
      </c>
      <c r="C3662" s="1">
        <f>11.182631497965*(10.3/7.3)</f>
        <v>15.778233483430096</v>
      </c>
      <c r="D3662" s="1">
        <f>17.6645285744686*(10.3/7.3)</f>
        <v>24.923923879044761</v>
      </c>
      <c r="E3662" s="1">
        <f>62.0076837140471*(10.3/7.3)</f>
        <v>87.490293459545924</v>
      </c>
      <c r="F3662" s="1">
        <f>117.212916711374*(38.9/42.5)</f>
        <v>107.28429317817506</v>
      </c>
      <c r="G3662" s="1">
        <v>4.2041633652131338</v>
      </c>
      <c r="H3662" s="1">
        <v>6.3846289595214936</v>
      </c>
      <c r="I3662" s="1">
        <v>79.579905059648965</v>
      </c>
      <c r="J3662" s="1">
        <v>5.8989496740315346E-2</v>
      </c>
      <c r="K3662" s="1">
        <v>3.5363188461077462</v>
      </c>
      <c r="L3662" s="1">
        <v>5.3936826017650148</v>
      </c>
      <c r="M3662" s="1">
        <v>0.28134969566946455</v>
      </c>
      <c r="N3662" s="1">
        <v>2.7487880307887158</v>
      </c>
      <c r="O3662" s="1">
        <v>0.23591586854460078</v>
      </c>
      <c r="P3662" s="1">
        <v>0.1609285273540699</v>
      </c>
      <c r="Q3662" s="1">
        <v>6.7189825471442841</v>
      </c>
      <c r="R3662" s="2">
        <f t="shared" si="231"/>
        <v>332.36442393172371</v>
      </c>
      <c r="S3662" s="2">
        <f t="shared" si="230"/>
        <v>3.7562368702021316</v>
      </c>
      <c r="T3662" s="2">
        <f t="shared" si="232"/>
        <v>8.6597361967677955</v>
      </c>
      <c r="U3662" s="2">
        <f t="shared" si="233"/>
        <v>344.78039699869362</v>
      </c>
    </row>
    <row r="3663" spans="1:21" x14ac:dyDescent="0.25">
      <c r="A3663">
        <v>4795905</v>
      </c>
      <c r="B3663">
        <v>71</v>
      </c>
      <c r="C3663" s="1">
        <f>4.9108818799499*(10.3/7.3)</f>
        <v>6.9290525155457567</v>
      </c>
      <c r="D3663" s="1">
        <f>7.61625303970669*(10.3/7.3)</f>
        <v>10.746220042325877</v>
      </c>
      <c r="E3663" s="1">
        <f>26.7621478002144*(10.3/7.3)</f>
        <v>37.760290731809398</v>
      </c>
      <c r="F3663" s="1">
        <f>50.1348693675834*(38.9/42.5)</f>
        <v>45.888151021152808</v>
      </c>
      <c r="G3663" s="1">
        <v>1.7698073845536351</v>
      </c>
      <c r="H3663" s="1">
        <v>3.790269637179053</v>
      </c>
      <c r="I3663" s="1">
        <v>34.144872968794786</v>
      </c>
      <c r="J3663" s="1">
        <v>3.3476845687724119E-2</v>
      </c>
      <c r="K3663" s="1">
        <v>2.3049293047454591</v>
      </c>
      <c r="L3663" s="1">
        <v>3.1215740735259749</v>
      </c>
      <c r="M3663" s="1">
        <v>0.17232630151131959</v>
      </c>
      <c r="N3663" s="1">
        <v>1.6118679834013465</v>
      </c>
      <c r="O3663" s="1">
        <v>0.14582535211267614</v>
      </c>
      <c r="P3663" s="1">
        <v>0.11174090233698217</v>
      </c>
      <c r="Q3663" s="1">
        <v>2.8284592903825234</v>
      </c>
      <c r="R3663" s="2">
        <f t="shared" si="231"/>
        <v>143.8571235917438</v>
      </c>
      <c r="S3663" s="2">
        <f t="shared" si="230"/>
        <v>2.4501470527701654</v>
      </c>
      <c r="T3663" s="2">
        <f t="shared" si="232"/>
        <v>5.0515937105513169</v>
      </c>
      <c r="U3663" s="2">
        <f t="shared" si="233"/>
        <v>151.35886435506529</v>
      </c>
    </row>
    <row r="3664" spans="1:21" x14ac:dyDescent="0.25">
      <c r="A3664">
        <v>4795913</v>
      </c>
      <c r="B3664">
        <v>71</v>
      </c>
      <c r="C3664" s="1">
        <f>7.99136046935487*(10.3/7.3)</f>
        <v>11.275481210185635</v>
      </c>
      <c r="D3664" s="1">
        <f>12.2981205618943*(10.3/7.3)</f>
        <v>17.352142710617976</v>
      </c>
      <c r="E3664" s="1">
        <f>43.2117003476146*(10.3/7.3)</f>
        <v>60.969933367182314</v>
      </c>
      <c r="F3664" s="1">
        <f>81.6562335322444*(38.9/42.5)</f>
        <v>74.73947022127777</v>
      </c>
      <c r="G3664" s="1">
        <v>2.912438058804014</v>
      </c>
      <c r="H3664" s="1">
        <v>5.4326355995845468</v>
      </c>
      <c r="I3664" s="1">
        <v>55.90409935037588</v>
      </c>
      <c r="J3664" s="1">
        <v>5.0655964088004914E-2</v>
      </c>
      <c r="K3664" s="1">
        <v>3.1801726281654239</v>
      </c>
      <c r="L3664" s="1">
        <v>4.6745105015320414</v>
      </c>
      <c r="M3664" s="1">
        <v>0.24061788015463076</v>
      </c>
      <c r="N3664" s="1">
        <v>2.38226126274825</v>
      </c>
      <c r="O3664" s="1">
        <v>0.2044634741784038</v>
      </c>
      <c r="P3664" s="1">
        <v>0.14477314430028673</v>
      </c>
      <c r="Q3664" s="1">
        <v>4.6545813725178355</v>
      </c>
      <c r="R3664" s="2">
        <f t="shared" si="231"/>
        <v>233.24078189054597</v>
      </c>
      <c r="S3664" s="2">
        <f t="shared" si="230"/>
        <v>3.3756017365537154</v>
      </c>
      <c r="T3664" s="2">
        <f t="shared" si="232"/>
        <v>7.5018531186133259</v>
      </c>
      <c r="U3664" s="2">
        <f t="shared" si="233"/>
        <v>244.11823674571301</v>
      </c>
    </row>
    <row r="3665" spans="1:21" x14ac:dyDescent="0.25">
      <c r="A3665">
        <v>4795921</v>
      </c>
      <c r="B3665">
        <v>70</v>
      </c>
      <c r="C3665" s="1">
        <f>8.69516533227203*(10.3/7.3)</f>
        <v>12.26852094827424</v>
      </c>
      <c r="D3665" s="1">
        <f>13.1830512521538*(10.3/7.3)</f>
        <v>18.600743547559517</v>
      </c>
      <c r="E3665" s="1">
        <f>46.3268513248772*(10.3/7.3)</f>
        <v>65.365283376196658</v>
      </c>
      <c r="F3665" s="1">
        <f>88.5474110454539*(38.9/42.5)</f>
        <v>81.046924462780112</v>
      </c>
      <c r="G3665" s="1">
        <v>3.1974198987691578</v>
      </c>
      <c r="H3665" s="1">
        <v>5.8782565446959003</v>
      </c>
      <c r="I3665" s="1">
        <v>61.126667500964501</v>
      </c>
      <c r="J3665" s="1">
        <v>5.6791645258575975E-2</v>
      </c>
      <c r="K3665" s="1">
        <v>3.4547993580734251</v>
      </c>
      <c r="L3665" s="1">
        <v>5.201055351368276</v>
      </c>
      <c r="M3665" s="1">
        <v>0.25963110676151591</v>
      </c>
      <c r="N3665" s="1">
        <v>2.6183761296300987</v>
      </c>
      <c r="O3665" s="1">
        <v>0.22131504761904763</v>
      </c>
      <c r="P3665" s="1">
        <v>0.15345013030853172</v>
      </c>
      <c r="Q3665" s="1">
        <v>5.1100318016858726</v>
      </c>
      <c r="R3665" s="2">
        <f t="shared" si="231"/>
        <v>252.59384808092597</v>
      </c>
      <c r="S3665" s="2">
        <f t="shared" si="230"/>
        <v>3.6650411336405329</v>
      </c>
      <c r="T3665" s="2">
        <f t="shared" si="232"/>
        <v>8.300377635378938</v>
      </c>
      <c r="U3665" s="2">
        <f t="shared" si="233"/>
        <v>264.55926684994546</v>
      </c>
    </row>
    <row r="3666" spans="1:21" x14ac:dyDescent="0.25">
      <c r="A3666">
        <v>4795929</v>
      </c>
      <c r="B3666">
        <v>65</v>
      </c>
      <c r="C3666" s="1">
        <f>7.13531193223108*(10.3/7.3)</f>
        <v>10.067631904380837</v>
      </c>
      <c r="D3666" s="1">
        <f>10.6522194946374*(10.3/7.3)</f>
        <v>15.029843944488334</v>
      </c>
      <c r="E3666" s="1">
        <f>37.441253558543*(10.3/7.3)</f>
        <v>52.828070089451018</v>
      </c>
      <c r="F3666" s="1">
        <f>72.2590509709213*(38.9/42.5)</f>
        <v>66.138284300443289</v>
      </c>
      <c r="G3666" s="1">
        <v>2.6345860100178702</v>
      </c>
      <c r="H3666" s="1">
        <v>5.2666334269804285</v>
      </c>
      <c r="I3666" s="1">
        <v>50.273955171139185</v>
      </c>
      <c r="J3666" s="1">
        <v>5.108960939818083E-2</v>
      </c>
      <c r="K3666" s="1">
        <v>3.2202222084445253</v>
      </c>
      <c r="L3666" s="1">
        <v>4.6681629666742674</v>
      </c>
      <c r="M3666" s="1">
        <v>0.23388966424247262</v>
      </c>
      <c r="N3666" s="1">
        <v>2.4361959906553854</v>
      </c>
      <c r="O3666" s="1">
        <v>0.2027478974358975</v>
      </c>
      <c r="P3666" s="1">
        <v>0.14362485809189734</v>
      </c>
      <c r="Q3666" s="1">
        <v>4.2105255867865523</v>
      </c>
      <c r="R3666" s="2">
        <f t="shared" si="231"/>
        <v>206.44953043368756</v>
      </c>
      <c r="S3666" s="2">
        <f t="shared" si="230"/>
        <v>3.4149366759346038</v>
      </c>
      <c r="T3666" s="2">
        <f t="shared" si="232"/>
        <v>7.540996519008023</v>
      </c>
      <c r="U3666" s="2">
        <f t="shared" si="233"/>
        <v>217.40546362863017</v>
      </c>
    </row>
    <row r="3667" spans="1:21" x14ac:dyDescent="0.25">
      <c r="A3667">
        <v>4795937</v>
      </c>
      <c r="B3667">
        <v>69</v>
      </c>
      <c r="C3667" s="1">
        <f>8.71312392226724*(10.3/7.3)</f>
        <v>12.29385978073323</v>
      </c>
      <c r="D3667" s="1">
        <f>12.7789400167501*(10.3/7.3)</f>
        <v>18.030559201715867</v>
      </c>
      <c r="E3667" s="1">
        <f>44.9221824061642*(10.3/7.3)</f>
        <v>63.383353258012491</v>
      </c>
      <c r="F3667" s="1">
        <f>87.9482662143716*(38.9/42.5)</f>
        <v>80.498530723271841</v>
      </c>
      <c r="G3667" s="1">
        <v>3.2549864114227414</v>
      </c>
      <c r="H3667" s="1">
        <v>6.1318411103425046</v>
      </c>
      <c r="I3667" s="1">
        <v>61.788024135018084</v>
      </c>
      <c r="J3667" s="1">
        <v>6.2864970030095557E-2</v>
      </c>
      <c r="K3667" s="1">
        <v>3.720227334311113</v>
      </c>
      <c r="L3667" s="1">
        <v>5.6798501587080192</v>
      </c>
      <c r="M3667" s="1">
        <v>0.26439009814705638</v>
      </c>
      <c r="N3667" s="1">
        <v>2.9415120529482435</v>
      </c>
      <c r="O3667" s="1">
        <v>0.2316297584541063</v>
      </c>
      <c r="P3667" s="1">
        <v>0.15871022836314105</v>
      </c>
      <c r="Q3667" s="1">
        <v>5.2020330776162584</v>
      </c>
      <c r="R3667" s="2">
        <f t="shared" si="231"/>
        <v>250.583187698133</v>
      </c>
      <c r="S3667" s="2">
        <f t="shared" si="230"/>
        <v>3.9418025327043495</v>
      </c>
      <c r="T3667" s="2">
        <f t="shared" si="232"/>
        <v>9.1173820682574256</v>
      </c>
      <c r="U3667" s="2">
        <f t="shared" si="233"/>
        <v>263.64237229909475</v>
      </c>
    </row>
    <row r="3668" spans="1:21" x14ac:dyDescent="0.25">
      <c r="A3668">
        <v>4795945</v>
      </c>
      <c r="B3668">
        <v>70</v>
      </c>
      <c r="C3668" s="1">
        <f>8.7081382654066*(10.3/7.3)</f>
        <v>12.286825223792876</v>
      </c>
      <c r="D3668" s="1">
        <f>12.5551457022071*(10.3/7.3)</f>
        <v>17.714794620922341</v>
      </c>
      <c r="E3668" s="1">
        <f>44.1401018742453*(10.3/7.3)</f>
        <v>62.279869767770712</v>
      </c>
      <c r="F3668" s="1">
        <f>87.6689947850595*(38.9/42.5)</f>
        <v>80.242915226795631</v>
      </c>
      <c r="G3668" s="1">
        <v>3.2927591178099349</v>
      </c>
      <c r="H3668" s="1">
        <v>6.2366710212327403</v>
      </c>
      <c r="I3668" s="1">
        <v>62.168838705233576</v>
      </c>
      <c r="J3668" s="1">
        <v>6.6189129236884039E-2</v>
      </c>
      <c r="K3668" s="1">
        <v>3.8184216818730174</v>
      </c>
      <c r="L3668" s="1">
        <v>5.8125849716442257</v>
      </c>
      <c r="M3668" s="1">
        <v>0.26946807265888467</v>
      </c>
      <c r="N3668" s="1">
        <v>3.1169802569349185</v>
      </c>
      <c r="O3668" s="1">
        <v>0.23199238095238087</v>
      </c>
      <c r="P3668" s="1">
        <v>0.15929612533845536</v>
      </c>
      <c r="Q3668" s="1">
        <v>5.2624004165912242</v>
      </c>
      <c r="R3668" s="2">
        <f t="shared" si="231"/>
        <v>249.48507410014903</v>
      </c>
      <c r="S3668" s="2">
        <f t="shared" si="230"/>
        <v>4.0439069364483569</v>
      </c>
      <c r="T3668" s="2">
        <f t="shared" si="232"/>
        <v>9.431025682190409</v>
      </c>
      <c r="U3668" s="2">
        <f t="shared" si="233"/>
        <v>262.96000671878778</v>
      </c>
    </row>
    <row r="3669" spans="1:21" x14ac:dyDescent="0.25">
      <c r="A3669">
        <v>4795953</v>
      </c>
      <c r="B3669">
        <v>51</v>
      </c>
      <c r="C3669" s="1">
        <f>6.71035788319644*(10.3/7.3)</f>
        <v>9.4680392050579893</v>
      </c>
      <c r="D3669" s="1">
        <f>9.56111078603023*(10.3/7.3)</f>
        <v>13.490334396727583</v>
      </c>
      <c r="E3669" s="1">
        <f>33.6182454269828*(10.3/7.3)</f>
        <v>47.433962725742809</v>
      </c>
      <c r="F3669" s="1">
        <f>67.3492437754228*(38.9/42.5)</f>
        <v>61.64436665562225</v>
      </c>
      <c r="G3669" s="1">
        <v>2.5506952837166601</v>
      </c>
      <c r="H3669" s="1">
        <v>5.8230743831196685</v>
      </c>
      <c r="I3669" s="1">
        <v>48.046482806259242</v>
      </c>
      <c r="J3669" s="1">
        <v>5.7130828187482795E-2</v>
      </c>
      <c r="K3669" s="1">
        <v>3.4900086430592943</v>
      </c>
      <c r="L3669" s="1">
        <v>4.6695381165616858</v>
      </c>
      <c r="M3669" s="1">
        <v>0.22507237359793075</v>
      </c>
      <c r="N3669" s="1">
        <v>2.9671357179745379</v>
      </c>
      <c r="O3669" s="1">
        <v>0.19722980392156861</v>
      </c>
      <c r="P3669" s="1">
        <v>0.13844498342003822</v>
      </c>
      <c r="Q3669" s="1">
        <v>4.0764536497754884</v>
      </c>
      <c r="R3669" s="2">
        <f t="shared" si="231"/>
        <v>192.53340910602168</v>
      </c>
      <c r="S3669" s="2">
        <f t="shared" si="230"/>
        <v>3.6855844546668153</v>
      </c>
      <c r="T3669" s="2">
        <f t="shared" si="232"/>
        <v>8.058976012055723</v>
      </c>
      <c r="U3669" s="2">
        <f t="shared" si="233"/>
        <v>204.27796957274421</v>
      </c>
    </row>
    <row r="3670" spans="1:21" x14ac:dyDescent="0.25">
      <c r="A3670">
        <v>4795961</v>
      </c>
      <c r="B3670">
        <v>61</v>
      </c>
      <c r="C3670" s="1">
        <f>7.70505294243796*(10.3/7.3)</f>
        <v>10.871513055768636</v>
      </c>
      <c r="D3670" s="1">
        <f>10.7119087137745*(10.3/7.3)</f>
        <v>15.114062979709296</v>
      </c>
      <c r="E3670" s="1">
        <f>37.6712776163741*(10.3/7.3)</f>
        <v>53.15262458200732</v>
      </c>
      <c r="F3670" s="1">
        <f>77.0147295238972*(38.9/42.5)</f>
        <v>70.491128905402334</v>
      </c>
      <c r="G3670" s="1">
        <v>2.9744796057219109</v>
      </c>
      <c r="H3670" s="1">
        <v>5.9788426837173656</v>
      </c>
      <c r="I3670" s="1">
        <v>55.648267223726663</v>
      </c>
      <c r="J3670" s="1">
        <v>7.0352179173245891E-2</v>
      </c>
      <c r="K3670" s="1">
        <v>3.6999815520761574</v>
      </c>
      <c r="L3670" s="1">
        <v>5.355406300159113</v>
      </c>
      <c r="M3670" s="1">
        <v>0.24622995125286049</v>
      </c>
      <c r="N3670" s="1">
        <v>3.6162428529419119</v>
      </c>
      <c r="O3670" s="1">
        <v>0.21415606557377062</v>
      </c>
      <c r="P3670" s="1">
        <v>0.14846290236336113</v>
      </c>
      <c r="Q3670" s="1">
        <v>4.7537345296925544</v>
      </c>
      <c r="R3670" s="2">
        <f t="shared" si="231"/>
        <v>218.9846535657461</v>
      </c>
      <c r="S3670" s="2">
        <f t="shared" si="230"/>
        <v>3.9187966336127644</v>
      </c>
      <c r="T3670" s="2">
        <f t="shared" si="232"/>
        <v>9.4320351699276568</v>
      </c>
      <c r="U3670" s="2">
        <f t="shared" si="233"/>
        <v>232.33548536928652</v>
      </c>
    </row>
    <row r="3671" spans="1:21" x14ac:dyDescent="0.25">
      <c r="A3671">
        <v>4795969</v>
      </c>
      <c r="B3671">
        <v>17</v>
      </c>
      <c r="C3671" s="1">
        <f>7.28639717078148*(10.3/7.3)</f>
        <v>10.280806966993044</v>
      </c>
      <c r="D3671" s="1">
        <f>10.0257824229108*(10.3/7.3)</f>
        <v>14.145966980271446</v>
      </c>
      <c r="E3671" s="1">
        <f>35.2374627394021*(10.3/7.3)</f>
        <v>49.718611810389284</v>
      </c>
      <c r="F3671" s="1">
        <f>73.8467727011172*(38.9/42.5)</f>
        <v>67.591516660552003</v>
      </c>
      <c r="G3671" s="1">
        <v>2.9287732024378195</v>
      </c>
      <c r="H3671" s="1">
        <v>6.4745394744378091</v>
      </c>
      <c r="I3671" s="1">
        <v>53.841688607569097</v>
      </c>
      <c r="J3671" s="1">
        <v>6.68419407863559E-2</v>
      </c>
      <c r="K3671" s="1">
        <v>3.5380508215431075</v>
      </c>
      <c r="L3671" s="1">
        <v>5.0197693400784109</v>
      </c>
      <c r="M3671" s="1">
        <v>0.23037150753167868</v>
      </c>
      <c r="N3671" s="1">
        <v>4.1049913359826942</v>
      </c>
      <c r="O3671" s="1">
        <v>0.20076862745098034</v>
      </c>
      <c r="P3671" s="1">
        <v>0.14067204681639742</v>
      </c>
      <c r="Q3671" s="1">
        <v>4.6806877664531408</v>
      </c>
      <c r="R3671" s="2">
        <f t="shared" si="231"/>
        <v>209.66259146910363</v>
      </c>
      <c r="S3671" s="2">
        <f t="shared" si="230"/>
        <v>3.7455648091458609</v>
      </c>
      <c r="T3671" s="2">
        <f t="shared" si="232"/>
        <v>9.5559008110437631</v>
      </c>
      <c r="U3671" s="2">
        <f t="shared" si="233"/>
        <v>222.96405708929325</v>
      </c>
    </row>
    <row r="3672" spans="1:21" x14ac:dyDescent="0.25">
      <c r="A3672">
        <v>4796049</v>
      </c>
      <c r="B3672">
        <v>3</v>
      </c>
      <c r="C3672" s="1">
        <f>3.94747009682784*(10.3/7.3)</f>
        <v>5.5697180818255836</v>
      </c>
      <c r="D3672" s="1">
        <f>5.47074708229114*(10.3/7.3)</f>
        <v>7.7189993078902459</v>
      </c>
      <c r="E3672" s="1">
        <f>19.061419806703*(10.3/7.3)</f>
        <v>26.894880001238537</v>
      </c>
      <c r="F3672" s="1">
        <f>48.0812883933596*(38.9/42.5)</f>
        <v>44.008520435333878</v>
      </c>
      <c r="G3672" s="1">
        <v>2.2700033026595285</v>
      </c>
      <c r="H3672" s="1">
        <v>9.1120806312303344</v>
      </c>
      <c r="I3672" s="1">
        <v>36.344013383881695</v>
      </c>
      <c r="J3672" s="1">
        <v>3.8231265852537506E-2</v>
      </c>
      <c r="K3672" s="1">
        <v>2.4762338467111631</v>
      </c>
      <c r="L3672" s="1">
        <v>3.3694633663525182</v>
      </c>
      <c r="M3672" s="1">
        <v>0.13720396704644411</v>
      </c>
      <c r="N3672" s="1">
        <v>1.7610720232652677</v>
      </c>
      <c r="O3672" s="1">
        <v>0.12296888888888889</v>
      </c>
      <c r="P3672" s="1">
        <v>9.4637736691169816E-2</v>
      </c>
      <c r="Q3672" s="1">
        <v>3.6278591595015341</v>
      </c>
      <c r="R3672" s="2">
        <f t="shared" si="231"/>
        <v>135.54607430356134</v>
      </c>
      <c r="S3672" s="2">
        <f t="shared" si="230"/>
        <v>2.6091028492548705</v>
      </c>
      <c r="T3672" s="2">
        <f t="shared" si="232"/>
        <v>5.3907082455531192</v>
      </c>
      <c r="U3672" s="2">
        <f t="shared" si="233"/>
        <v>143.54588539836934</v>
      </c>
    </row>
    <row r="3673" spans="1:21" x14ac:dyDescent="0.25">
      <c r="A3673">
        <v>4796057</v>
      </c>
      <c r="B3673">
        <v>28</v>
      </c>
      <c r="C3673" s="1">
        <f>3.42863811968953*(10.3/7.3)</f>
        <v>4.8376674839454985</v>
      </c>
      <c r="D3673" s="1">
        <f>4.62740204542487*(10.3/7.3)</f>
        <v>6.5290741188871495</v>
      </c>
      <c r="E3673" s="1">
        <f>16.1823232964127*(10.3/7.3)</f>
        <v>22.832593144253579</v>
      </c>
      <c r="F3673" s="1">
        <f>38.6963339762842*(38.9/42.5)</f>
        <v>35.41852686299891</v>
      </c>
      <c r="G3673" s="1">
        <v>1.7422016051804363</v>
      </c>
      <c r="H3673" s="1">
        <v>8.0111801828147389</v>
      </c>
      <c r="I3673" s="1">
        <v>29.157989843323026</v>
      </c>
      <c r="J3673" s="1">
        <v>3.4833975072918889E-2</v>
      </c>
      <c r="K3673" s="1">
        <v>2.259056445324378</v>
      </c>
      <c r="L3673" s="1">
        <v>3.7958470126550781</v>
      </c>
      <c r="M3673" s="1">
        <v>0.12276698259994441</v>
      </c>
      <c r="N3673" s="1">
        <v>1.5920122094586819</v>
      </c>
      <c r="O3673" s="1">
        <v>0.11038666666666666</v>
      </c>
      <c r="P3673" s="1">
        <v>8.7091214966599217E-2</v>
      </c>
      <c r="Q3673" s="1">
        <v>2.7843404649002435</v>
      </c>
      <c r="R3673" s="2">
        <f t="shared" si="231"/>
        <v>111.31357370630357</v>
      </c>
      <c r="S3673" s="2">
        <f t="shared" si="230"/>
        <v>2.380981635363896</v>
      </c>
      <c r="T3673" s="2">
        <f t="shared" si="232"/>
        <v>5.6210128713803709</v>
      </c>
      <c r="U3673" s="2">
        <f t="shared" si="233"/>
        <v>119.31556821304784</v>
      </c>
    </row>
    <row r="3674" spans="1:21" x14ac:dyDescent="0.25">
      <c r="A3674">
        <v>4796273</v>
      </c>
      <c r="B3674">
        <v>3</v>
      </c>
      <c r="C3674" s="1">
        <f>8.64160456740067*(10.3/7.3)</f>
        <v>12.192948910168072</v>
      </c>
      <c r="D3674" s="1">
        <f>9.30089896730179*(10.3/7.3)</f>
        <v>13.123186214138137</v>
      </c>
      <c r="E3674" s="1">
        <f>33.0055584754825*(10.3/7.3)</f>
        <v>46.569486616091744</v>
      </c>
      <c r="F3674" s="1">
        <f>72.1376337339807*(38.9/42.5)</f>
        <v>66.027151817690608</v>
      </c>
      <c r="G3674" s="1">
        <v>2.8554760309490583</v>
      </c>
      <c r="H3674" s="1">
        <v>6.2411817938655547</v>
      </c>
      <c r="I3674" s="1">
        <v>57.366530342276455</v>
      </c>
      <c r="J3674" s="1">
        <v>4.0251030840973451E-2</v>
      </c>
      <c r="K3674" s="1">
        <v>2.4002806237784742</v>
      </c>
      <c r="L3674" s="1">
        <v>2.6514097045345744</v>
      </c>
      <c r="M3674" s="1">
        <v>0.11379404183595265</v>
      </c>
      <c r="N3674" s="1">
        <v>1.6167927247849911</v>
      </c>
      <c r="O3674" s="1">
        <v>0.10919111111111111</v>
      </c>
      <c r="P3674" s="1">
        <v>8.3601063852086488E-2</v>
      </c>
      <c r="Q3674" s="1">
        <v>4.5635461681834313</v>
      </c>
      <c r="R3674" s="2">
        <f t="shared" si="231"/>
        <v>208.93950789336307</v>
      </c>
      <c r="S3674" s="2">
        <f t="shared" si="230"/>
        <v>2.5241327184715341</v>
      </c>
      <c r="T3674" s="2">
        <f t="shared" si="232"/>
        <v>4.4911875822666296</v>
      </c>
      <c r="U3674" s="2">
        <f t="shared" si="233"/>
        <v>215.95482819410122</v>
      </c>
    </row>
    <row r="3675" spans="1:21" x14ac:dyDescent="0.25">
      <c r="A3675">
        <v>4796281</v>
      </c>
      <c r="B3675">
        <v>33</v>
      </c>
      <c r="C3675" s="1">
        <f>6.43651629177657*(10.3/7.3)</f>
        <v>9.0816599733285805</v>
      </c>
      <c r="D3675" s="1">
        <f>7.46109462584192*(10.3/7.3)</f>
        <v>10.52729789673586</v>
      </c>
      <c r="E3675" s="1">
        <f>26.3654665635454*(10.3/7.3)</f>
        <v>37.200589808838025</v>
      </c>
      <c r="F3675" s="1">
        <f>58.2740757575982*(38.9/42.5)</f>
        <v>53.337918752248711</v>
      </c>
      <c r="G3675" s="1">
        <v>2.3712507106616174</v>
      </c>
      <c r="H3675" s="1">
        <v>5.7900463645930875</v>
      </c>
      <c r="I3675" s="1">
        <v>45.294549219879286</v>
      </c>
      <c r="J3675" s="1">
        <v>3.322840004084502E-2</v>
      </c>
      <c r="K3675" s="1">
        <v>2.0839035658545124</v>
      </c>
      <c r="L3675" s="1">
        <v>2.2214118664294391</v>
      </c>
      <c r="M3675" s="1">
        <v>9.906302231237539E-2</v>
      </c>
      <c r="N3675" s="1">
        <v>1.3488789796018852</v>
      </c>
      <c r="O3675" s="1">
        <v>9.5025454545454538E-2</v>
      </c>
      <c r="P3675" s="1">
        <v>7.4179825448674672E-2</v>
      </c>
      <c r="Q3675" s="1">
        <v>3.789670085532268</v>
      </c>
      <c r="R3675" s="2">
        <f t="shared" si="231"/>
        <v>167.3929828118174</v>
      </c>
      <c r="S3675" s="2">
        <f t="shared" si="230"/>
        <v>2.1913117913440323</v>
      </c>
      <c r="T3675" s="2">
        <f t="shared" si="232"/>
        <v>3.764379322889154</v>
      </c>
      <c r="U3675" s="2">
        <f t="shared" si="233"/>
        <v>173.34867392605057</v>
      </c>
    </row>
    <row r="3676" spans="1:21" x14ac:dyDescent="0.25">
      <c r="A3676">
        <v>4807613</v>
      </c>
      <c r="B3676">
        <v>29</v>
      </c>
      <c r="C3676" s="1">
        <f>0.674019610644819*(10.3/7.3)</f>
        <v>0.95101397118378528</v>
      </c>
      <c r="D3676" s="1">
        <f>0.949116130822464*(10.3/7.3)</f>
        <v>1.3391638558179972</v>
      </c>
      <c r="E3676" s="1">
        <f>3.29563668100885*(10.3/7.3)</f>
        <v>4.6500079197796067</v>
      </c>
      <c r="F3676" s="1">
        <f>8.78116823591795*(38.9/42.5)</f>
        <v>8.037351632404901</v>
      </c>
      <c r="G3676" s="1">
        <v>0.43260580263295945</v>
      </c>
      <c r="H3676" s="1">
        <v>1.7881457269770775</v>
      </c>
      <c r="I3676" s="1">
        <v>6.6782344745359046</v>
      </c>
      <c r="J3676" s="1">
        <v>4.144849220473467E-2</v>
      </c>
      <c r="K3676" s="1">
        <v>2.9590986817310143</v>
      </c>
      <c r="L3676" s="1">
        <v>2.3170115204949497</v>
      </c>
      <c r="M3676" s="1">
        <v>0.48042623461922801</v>
      </c>
      <c r="N3676" s="1">
        <v>1.3877504866040109</v>
      </c>
      <c r="O3676" s="1">
        <v>0.47227034482758617</v>
      </c>
      <c r="P3676" s="1">
        <v>0.24191279723539363</v>
      </c>
      <c r="Q3676" s="1">
        <v>0.6913791366280182</v>
      </c>
      <c r="R3676" s="2">
        <f t="shared" si="231"/>
        <v>24.567902519960253</v>
      </c>
      <c r="S3676" s="2">
        <f t="shared" si="230"/>
        <v>3.2424599711711428</v>
      </c>
      <c r="T3676" s="2">
        <f t="shared" si="232"/>
        <v>4.6574585865457747</v>
      </c>
      <c r="U3676" s="2">
        <f t="shared" si="233"/>
        <v>32.467821077677172</v>
      </c>
    </row>
    <row r="3677" spans="1:21" x14ac:dyDescent="0.25">
      <c r="A3677">
        <v>4807621</v>
      </c>
      <c r="B3677">
        <v>66</v>
      </c>
      <c r="C3677" s="1">
        <f>0.693154472978818*(10.3/7.3)</f>
        <v>0.97801247557285309</v>
      </c>
      <c r="D3677" s="1">
        <f>0.988385478135789*(10.3/7.3)</f>
        <v>1.3945712910683046</v>
      </c>
      <c r="E3677" s="1">
        <f>3.42596560177245*(10.3/7.3)</f>
        <v>4.8338966709940099</v>
      </c>
      <c r="F3677" s="1">
        <f>9.34854505489149*(38.9/42.5)</f>
        <v>8.556668297300682</v>
      </c>
      <c r="G3677" s="1">
        <v>0.46885288146169191</v>
      </c>
      <c r="H3677" s="1">
        <v>1.9972260155649015</v>
      </c>
      <c r="I3677" s="1">
        <v>7.1194644953793267</v>
      </c>
      <c r="J3677" s="1">
        <v>4.3880898782375721E-2</v>
      </c>
      <c r="K3677" s="1">
        <v>3.0373049430105641</v>
      </c>
      <c r="L3677" s="1">
        <v>2.3508183755476293</v>
      </c>
      <c r="M3677" s="1">
        <v>0.50566479534235087</v>
      </c>
      <c r="N3677" s="1">
        <v>1.4781031918217802</v>
      </c>
      <c r="O3677" s="1">
        <v>0.49025858585858589</v>
      </c>
      <c r="P3677" s="1">
        <v>0.24781795762166309</v>
      </c>
      <c r="Q3677" s="1">
        <v>0.7493082580438003</v>
      </c>
      <c r="R3677" s="2">
        <f t="shared" si="231"/>
        <v>26.098000385385571</v>
      </c>
      <c r="S3677" s="2">
        <f t="shared" si="230"/>
        <v>3.3290037994146031</v>
      </c>
      <c r="T3677" s="2">
        <f t="shared" si="232"/>
        <v>4.8248449485703464</v>
      </c>
      <c r="U3677" s="2">
        <f t="shared" si="233"/>
        <v>34.25184913337052</v>
      </c>
    </row>
    <row r="3678" spans="1:21" x14ac:dyDescent="0.25">
      <c r="A3678">
        <v>4807629</v>
      </c>
      <c r="B3678">
        <v>29</v>
      </c>
      <c r="C3678" s="1">
        <f>1.12220776685503*(10.3/7.3)</f>
        <v>1.5833890409050428</v>
      </c>
      <c r="D3678" s="1">
        <f>1.66200657175039*(10.3/7.3)</f>
        <v>2.3450229710998616</v>
      </c>
      <c r="E3678" s="1">
        <f>5.72681828118431*(10.3/7.3)</f>
        <v>8.0803052460545821</v>
      </c>
      <c r="F3678" s="1">
        <f>16.9350133849332*(38.9/42.5)</f>
        <v>15.50051813350357</v>
      </c>
      <c r="G3678" s="1">
        <v>0.8968414139201889</v>
      </c>
      <c r="H3678" s="1">
        <v>4.2833558915083207</v>
      </c>
      <c r="I3678" s="1">
        <v>12.9729537564811</v>
      </c>
      <c r="J3678" s="1">
        <v>6.5488436249940815E-2</v>
      </c>
      <c r="K3678" s="1">
        <v>3.8533788997907519</v>
      </c>
      <c r="L3678" s="1">
        <v>3.4558783184701989</v>
      </c>
      <c r="M3678" s="1">
        <v>0.73976467056423967</v>
      </c>
      <c r="N3678" s="1">
        <v>2.2264770777899372</v>
      </c>
      <c r="O3678" s="1">
        <v>0.65485977011494267</v>
      </c>
      <c r="P3678" s="1">
        <v>0.29059206059617648</v>
      </c>
      <c r="Q3678" s="1">
        <v>1.4333081957628604</v>
      </c>
      <c r="R3678" s="2">
        <f t="shared" si="231"/>
        <v>47.095694649235526</v>
      </c>
      <c r="S3678" s="2">
        <f t="shared" si="230"/>
        <v>4.209459396636869</v>
      </c>
      <c r="T3678" s="2">
        <f t="shared" si="232"/>
        <v>7.0769798369393184</v>
      </c>
      <c r="U3678" s="2">
        <f t="shared" si="233"/>
        <v>58.382133882811708</v>
      </c>
    </row>
    <row r="3679" spans="1:21" x14ac:dyDescent="0.25">
      <c r="A3679">
        <v>4807877</v>
      </c>
      <c r="B3679">
        <v>19</v>
      </c>
      <c r="C3679" s="1">
        <f>1.73015864585169*(10.3/7.3)</f>
        <v>2.4411827468866307</v>
      </c>
      <c r="D3679" s="1">
        <f>2.60480405754889*(10.3/7.3)</f>
        <v>3.6752714784593978</v>
      </c>
      <c r="E3679" s="1">
        <f>8.9716734339457*(10.3/7.3)</f>
        <v>12.658662516389139</v>
      </c>
      <c r="F3679" s="1">
        <f>26.4360098242746*(38.9/42.5)</f>
        <v>24.196724286218359</v>
      </c>
      <c r="G3679" s="1">
        <v>1.399148619605123</v>
      </c>
      <c r="H3679" s="1">
        <v>6.9628549025437918</v>
      </c>
      <c r="I3679" s="1">
        <v>20.173690425274167</v>
      </c>
      <c r="J3679" s="1">
        <v>4.7101794970259292E-2</v>
      </c>
      <c r="K3679" s="1">
        <v>2.8966990863648938</v>
      </c>
      <c r="L3679" s="1">
        <v>4.4553932455674863</v>
      </c>
      <c r="M3679" s="1">
        <v>0.57586541537792202</v>
      </c>
      <c r="N3679" s="1">
        <v>2.115305271754226</v>
      </c>
      <c r="O3679" s="1">
        <v>0.26119578947368421</v>
      </c>
      <c r="P3679" s="1">
        <v>0.17705718207047408</v>
      </c>
      <c r="Q3679" s="1">
        <v>2.2360822687753141</v>
      </c>
      <c r="R3679" s="2">
        <f t="shared" si="231"/>
        <v>73.743617244151935</v>
      </c>
      <c r="S3679" s="2">
        <f t="shared" si="230"/>
        <v>3.1208580634056275</v>
      </c>
      <c r="T3679" s="2">
        <f t="shared" si="232"/>
        <v>7.407759722173318</v>
      </c>
      <c r="U3679" s="2">
        <f t="shared" si="233"/>
        <v>84.272235029730894</v>
      </c>
    </row>
    <row r="3680" spans="1:21" x14ac:dyDescent="0.25">
      <c r="A3680">
        <v>4807885</v>
      </c>
      <c r="B3680">
        <v>59</v>
      </c>
      <c r="C3680" s="1">
        <f>1.53473309350376*(10.3/7.3)</f>
        <v>2.1654453237107818</v>
      </c>
      <c r="D3680" s="1">
        <f>2.3472838684102*(10.3/7.3)</f>
        <v>3.311921074606178</v>
      </c>
      <c r="E3680" s="1">
        <f>8.07323056706864*(10.3/7.3)</f>
        <v>11.390996553535203</v>
      </c>
      <c r="F3680" s="1">
        <f>24.1331933659769*(38.9/42.5)</f>
        <v>22.088969927917674</v>
      </c>
      <c r="G3680" s="1">
        <v>1.2897833934823828</v>
      </c>
      <c r="H3680" s="1">
        <v>7.6341207456153386</v>
      </c>
      <c r="I3680" s="1">
        <v>18.406079403742488</v>
      </c>
      <c r="J3680" s="1">
        <v>4.9154566860357095E-2</v>
      </c>
      <c r="K3680" s="1">
        <v>3.0888978842917516</v>
      </c>
      <c r="L3680" s="1">
        <v>4.5765634576044718</v>
      </c>
      <c r="M3680" s="1">
        <v>0.55837466693886439</v>
      </c>
      <c r="N3680" s="1">
        <v>2.3108204083389556</v>
      </c>
      <c r="O3680" s="1">
        <v>0.26909920903954809</v>
      </c>
      <c r="P3680" s="1">
        <v>0.18820688278346337</v>
      </c>
      <c r="Q3680" s="1">
        <v>2.0612976608165958</v>
      </c>
      <c r="R3680" s="2">
        <f t="shared" si="231"/>
        <v>68.348614083426639</v>
      </c>
      <c r="S3680" s="2">
        <f t="shared" si="230"/>
        <v>3.3262593339355719</v>
      </c>
      <c r="T3680" s="2">
        <f t="shared" si="232"/>
        <v>7.7148577419218407</v>
      </c>
      <c r="U3680" s="2">
        <f t="shared" si="233"/>
        <v>79.389731159284054</v>
      </c>
    </row>
    <row r="3681" spans="1:21" x14ac:dyDescent="0.25">
      <c r="A3681">
        <v>4807893</v>
      </c>
      <c r="B3681">
        <v>40</v>
      </c>
      <c r="C3681" s="1">
        <f>1.85981363438454*(10.3/7.3)</f>
        <v>2.6241206074192842</v>
      </c>
      <c r="D3681" s="1">
        <f>2.8663990734638*(10.3/7.3)</f>
        <v>4.0443712954352238</v>
      </c>
      <c r="E3681" s="1">
        <f>9.86521645667854*(10.3/7.3)</f>
        <v>13.919415000519033</v>
      </c>
      <c r="F3681" s="1">
        <f>29.0088886401912*(38.9/42.5)</f>
        <v>26.551665131845631</v>
      </c>
      <c r="G3681" s="1">
        <v>1.5366781456131924</v>
      </c>
      <c r="H3681" s="1">
        <v>11.596488631548549</v>
      </c>
      <c r="I3681" s="1">
        <v>22.028608909828122</v>
      </c>
      <c r="J3681" s="1">
        <v>5.4968370912697503E-2</v>
      </c>
      <c r="K3681" s="1">
        <v>3.3709595619444657</v>
      </c>
      <c r="L3681" s="1">
        <v>4.9868083433654142</v>
      </c>
      <c r="M3681" s="1">
        <v>0.59990039324651867</v>
      </c>
      <c r="N3681" s="1">
        <v>2.5116971617024806</v>
      </c>
      <c r="O3681" s="1">
        <v>0.29086800000000007</v>
      </c>
      <c r="P3681" s="1">
        <v>0.20083909329251265</v>
      </c>
      <c r="Q3681" s="1">
        <v>2.4558783149069305</v>
      </c>
      <c r="R3681" s="2">
        <f t="shared" si="231"/>
        <v>84.75722603711597</v>
      </c>
      <c r="S3681" s="2">
        <f t="shared" si="230"/>
        <v>3.6267670261496758</v>
      </c>
      <c r="T3681" s="2">
        <f t="shared" si="232"/>
        <v>8.3892738983144142</v>
      </c>
      <c r="U3681" s="2">
        <f t="shared" si="233"/>
        <v>96.773266961580063</v>
      </c>
    </row>
    <row r="3682" spans="1:21" x14ac:dyDescent="0.25">
      <c r="A3682">
        <v>4808109</v>
      </c>
      <c r="B3682">
        <v>64</v>
      </c>
      <c r="C3682" s="1">
        <f>11.5625978496136*(10.3/7.3)</f>
        <v>16.314350390550651</v>
      </c>
      <c r="D3682" s="1">
        <f>19.6933713733605*(10.3/7.3)</f>
        <v>27.786537691179824</v>
      </c>
      <c r="E3682" s="1">
        <f>68.9488288188963*(10.3/7.3)</f>
        <v>97.283963949949609</v>
      </c>
      <c r="F3682" s="1">
        <f>130.332493283846*(38.9/42.5)</f>
        <v>119.29256444097948</v>
      </c>
      <c r="G3682" s="1">
        <v>4.7409778534814375</v>
      </c>
      <c r="H3682" s="1">
        <v>7.183982760657865</v>
      </c>
      <c r="I3682" s="1">
        <v>86.420517226229663</v>
      </c>
      <c r="J3682" s="1">
        <v>5.0386320815441761E-2</v>
      </c>
      <c r="K3682" s="1">
        <v>3.1249384772752027</v>
      </c>
      <c r="L3682" s="1">
        <v>4.3830512638737558</v>
      </c>
      <c r="M3682" s="1">
        <v>0.24961762814587415</v>
      </c>
      <c r="N3682" s="1">
        <v>2.7729747978135775</v>
      </c>
      <c r="O3682" s="1">
        <v>0.20852999999999999</v>
      </c>
      <c r="P3682" s="1">
        <v>0.14690431573436508</v>
      </c>
      <c r="Q3682" s="1">
        <v>7.5769052452899794</v>
      </c>
      <c r="R3682" s="2">
        <f t="shared" si="231"/>
        <v>366.59979955831847</v>
      </c>
      <c r="S3682" s="2">
        <f t="shared" si="230"/>
        <v>3.3222291138250095</v>
      </c>
      <c r="T3682" s="2">
        <f t="shared" si="232"/>
        <v>7.6141736898332066</v>
      </c>
      <c r="U3682" s="2">
        <f t="shared" si="233"/>
        <v>377.53620236197668</v>
      </c>
    </row>
    <row r="3683" spans="1:21" x14ac:dyDescent="0.25">
      <c r="A3683">
        <v>4808117</v>
      </c>
      <c r="B3683">
        <v>67</v>
      </c>
      <c r="C3683" s="1">
        <f>13.3465801050123*(10.3/7.3)</f>
        <v>18.831476038579012</v>
      </c>
      <c r="D3683" s="1">
        <f>21.8276776663434*(10.3/7.3)</f>
        <v>30.797956159361235</v>
      </c>
      <c r="E3683" s="1">
        <f>76.5828600473777*(10.3/7.3)</f>
        <v>108.05526828602601</v>
      </c>
      <c r="F3683" s="1">
        <f>141.967970410212*(38.9/42.5)</f>
        <v>129.94244821075918</v>
      </c>
      <c r="G3683" s="1">
        <v>4.9918250682440828</v>
      </c>
      <c r="H3683" s="1">
        <v>6.7835989799574161</v>
      </c>
      <c r="I3683" s="1">
        <v>94.707602365121616</v>
      </c>
      <c r="J3683" s="1">
        <v>6.1729368283220509E-2</v>
      </c>
      <c r="K3683" s="1">
        <v>3.6812090593898494</v>
      </c>
      <c r="L3683" s="1">
        <v>5.6197822840725378</v>
      </c>
      <c r="M3683" s="1">
        <v>0.30216238294287445</v>
      </c>
      <c r="N3683" s="1">
        <v>2.9635382815095128</v>
      </c>
      <c r="O3683" s="1">
        <v>0.25009512437810943</v>
      </c>
      <c r="P3683" s="1">
        <v>0.16894029125310586</v>
      </c>
      <c r="Q3683" s="1">
        <v>7.977802620481425</v>
      </c>
      <c r="R3683" s="2">
        <f t="shared" si="231"/>
        <v>402.08797772852995</v>
      </c>
      <c r="S3683" s="2">
        <f t="shared" si="230"/>
        <v>3.9118787189261757</v>
      </c>
      <c r="T3683" s="2">
        <f t="shared" si="232"/>
        <v>9.1355780729030354</v>
      </c>
      <c r="U3683" s="2">
        <f t="shared" si="233"/>
        <v>415.13543452035918</v>
      </c>
    </row>
    <row r="3684" spans="1:21" x14ac:dyDescent="0.25">
      <c r="A3684">
        <v>4808125</v>
      </c>
      <c r="B3684">
        <v>65</v>
      </c>
      <c r="C3684" s="1">
        <f>12.9395203911278*(10.3/7.3)</f>
        <v>18.257131510769337</v>
      </c>
      <c r="D3684" s="1">
        <f>20.7017483686658*(10.3/7.3)</f>
        <v>29.209316191405158</v>
      </c>
      <c r="E3684" s="1">
        <f>72.6408409623299*(10.3/7.3)</f>
        <v>102.49324135780797</v>
      </c>
      <c r="F3684" s="1">
        <f>137.072954161356*(38.9/42.5)</f>
        <v>125.46206863239415</v>
      </c>
      <c r="G3684" s="1">
        <v>4.9170960511897031</v>
      </c>
      <c r="H3684" s="1">
        <v>6.9550650869057025</v>
      </c>
      <c r="I3684" s="1">
        <v>92.633032583938487</v>
      </c>
      <c r="J3684" s="1">
        <v>6.5946958873878664E-2</v>
      </c>
      <c r="K3684" s="1">
        <v>3.8655482460205488</v>
      </c>
      <c r="L3684" s="1">
        <v>6.071684485455271</v>
      </c>
      <c r="M3684" s="1">
        <v>0.31513569117196799</v>
      </c>
      <c r="N3684" s="1">
        <v>3.1536907051728846</v>
      </c>
      <c r="O3684" s="1">
        <v>0.26037005128205121</v>
      </c>
      <c r="P3684" s="1">
        <v>0.17467965267864005</v>
      </c>
      <c r="Q3684" s="1">
        <v>7.8583726845497672</v>
      </c>
      <c r="R3684" s="2">
        <f t="shared" si="231"/>
        <v>387.78532409896025</v>
      </c>
      <c r="S3684" s="2">
        <f t="shared" si="230"/>
        <v>4.1061748575730679</v>
      </c>
      <c r="T3684" s="2">
        <f t="shared" si="232"/>
        <v>9.8008809330821745</v>
      </c>
      <c r="U3684" s="2">
        <f t="shared" si="233"/>
        <v>401.69237988961549</v>
      </c>
    </row>
    <row r="3685" spans="1:21" x14ac:dyDescent="0.25">
      <c r="A3685">
        <v>4808133</v>
      </c>
      <c r="B3685">
        <v>52</v>
      </c>
      <c r="C3685" s="1">
        <f>8.90756647451926*(10.3/7.3)</f>
        <v>12.568210231171005</v>
      </c>
      <c r="D3685" s="1">
        <f>14.0604020041665*(10.3/7.3)</f>
        <v>19.838649403139105</v>
      </c>
      <c r="E3685" s="1">
        <f>49.3360602863987*(10.3/7.3)</f>
        <v>69.611153554781765</v>
      </c>
      <c r="F3685" s="1">
        <f>94.3369914935039*(38.9/42.5)</f>
        <v>86.346093390524771</v>
      </c>
      <c r="G3685" s="1">
        <v>3.4351094384087668</v>
      </c>
      <c r="H3685" s="1">
        <v>6.0296885712821755</v>
      </c>
      <c r="I3685" s="1">
        <v>64.295477076275233</v>
      </c>
      <c r="J3685" s="1">
        <v>5.1136480479683638E-2</v>
      </c>
      <c r="K3685" s="1">
        <v>3.1817335465106336</v>
      </c>
      <c r="L3685" s="1">
        <v>4.563642942681974</v>
      </c>
      <c r="M3685" s="1">
        <v>0.24606988374032526</v>
      </c>
      <c r="N3685" s="1">
        <v>2.4150145604911351</v>
      </c>
      <c r="O3685" s="1">
        <v>0.21084102564102569</v>
      </c>
      <c r="P3685" s="1">
        <v>0.14723063195208858</v>
      </c>
      <c r="Q3685" s="1">
        <v>5.4899009289637863</v>
      </c>
      <c r="R3685" s="2">
        <f t="shared" si="231"/>
        <v>267.61428259454664</v>
      </c>
      <c r="S3685" s="2">
        <f t="shared" si="230"/>
        <v>3.3801006589424056</v>
      </c>
      <c r="T3685" s="2">
        <f t="shared" si="232"/>
        <v>7.4355684125544599</v>
      </c>
      <c r="U3685" s="2">
        <f t="shared" si="233"/>
        <v>278.42995166604351</v>
      </c>
    </row>
    <row r="3686" spans="1:21" x14ac:dyDescent="0.25">
      <c r="A3686">
        <v>4808141</v>
      </c>
      <c r="B3686">
        <v>64</v>
      </c>
      <c r="C3686" s="1">
        <f>6.55961712500696*(10.3/7.3)</f>
        <v>9.2553501900783193</v>
      </c>
      <c r="D3686" s="1">
        <f>10.161882215504*(10.3/7.3)</f>
        <v>14.337998194478295</v>
      </c>
      <c r="E3686" s="1">
        <f>35.699151005285*(10.3/7.3)</f>
        <v>50.370034980059685</v>
      </c>
      <c r="F3686" s="1">
        <f>67.3476561213702*(38.9/42.5)</f>
        <v>61.642913485207046</v>
      </c>
      <c r="G3686" s="1">
        <v>2.3998525344338839</v>
      </c>
      <c r="H3686" s="1">
        <v>4.735838892982061</v>
      </c>
      <c r="I3686" s="1">
        <v>45.984957632685287</v>
      </c>
      <c r="J3686" s="1">
        <v>4.3393388423428485E-2</v>
      </c>
      <c r="K3686" s="1">
        <v>2.8328198898751236</v>
      </c>
      <c r="L3686" s="1">
        <v>3.9745243852789893</v>
      </c>
      <c r="M3686" s="1">
        <v>0.21271720903836647</v>
      </c>
      <c r="N3686" s="1">
        <v>2.0929999953890204</v>
      </c>
      <c r="O3686" s="1">
        <v>0.18204749999999997</v>
      </c>
      <c r="P3686" s="1">
        <v>0.13278394765179419</v>
      </c>
      <c r="Q3686" s="1">
        <v>3.8353807627938794</v>
      </c>
      <c r="R3686" s="2">
        <f t="shared" si="231"/>
        <v>192.56232667271846</v>
      </c>
      <c r="S3686" s="2">
        <f t="shared" si="230"/>
        <v>3.0089972259503464</v>
      </c>
      <c r="T3686" s="2">
        <f t="shared" si="232"/>
        <v>6.4622890897063767</v>
      </c>
      <c r="U3686" s="2">
        <f t="shared" si="233"/>
        <v>202.03361298837518</v>
      </c>
    </row>
    <row r="3687" spans="1:21" x14ac:dyDescent="0.25">
      <c r="A3687">
        <v>4808149</v>
      </c>
      <c r="B3687">
        <v>64</v>
      </c>
      <c r="C3687" s="1">
        <f>7.8362045987771*(10.3/7.3)</f>
        <v>11.056562653069063</v>
      </c>
      <c r="D3687" s="1">
        <f>11.9869632727188*(10.3/7.3)</f>
        <v>16.91311256287721</v>
      </c>
      <c r="E3687" s="1">
        <f>42.1151443348904*(10.3/7.3)</f>
        <v>59.422737897174166</v>
      </c>
      <c r="F3687" s="1">
        <f>80.22098758983*(38.9/42.5)</f>
        <v>73.425798052809128</v>
      </c>
      <c r="G3687" s="1">
        <v>2.8886312853868805</v>
      </c>
      <c r="H3687" s="1">
        <v>5.4790366711805296</v>
      </c>
      <c r="I3687" s="1">
        <v>55.162461051897601</v>
      </c>
      <c r="J3687" s="1">
        <v>5.1408269920344335E-2</v>
      </c>
      <c r="K3687" s="1">
        <v>3.2246909932258094</v>
      </c>
      <c r="L3687" s="1">
        <v>4.7164000010925609</v>
      </c>
      <c r="M3687" s="1">
        <v>0.24327088632306057</v>
      </c>
      <c r="N3687" s="1">
        <v>2.4382612118717191</v>
      </c>
      <c r="O3687" s="1">
        <v>0.20829666666666669</v>
      </c>
      <c r="P3687" s="1">
        <v>0.1462662108521883</v>
      </c>
      <c r="Q3687" s="1">
        <v>4.6165340177415972</v>
      </c>
      <c r="R3687" s="2">
        <f t="shared" si="231"/>
        <v>228.96487419213616</v>
      </c>
      <c r="S3687" s="2">
        <f t="shared" si="230"/>
        <v>3.422365473998342</v>
      </c>
      <c r="T3687" s="2">
        <f t="shared" si="232"/>
        <v>7.6062287659540067</v>
      </c>
      <c r="U3687" s="2">
        <f t="shared" si="233"/>
        <v>239.99346843208852</v>
      </c>
    </row>
    <row r="3688" spans="1:21" x14ac:dyDescent="0.25">
      <c r="A3688">
        <v>4808157</v>
      </c>
      <c r="B3688">
        <v>63</v>
      </c>
      <c r="C3688" s="1">
        <f>8.15161081369965*(10.3/7.3)</f>
        <v>11.501587860425534</v>
      </c>
      <c r="D3688" s="1">
        <f>12.267068775442*(10.3/7.3)</f>
        <v>17.308329916034641</v>
      </c>
      <c r="E3688" s="1">
        <f>43.106693697767*(10.3/7.3)</f>
        <v>60.821773299589125</v>
      </c>
      <c r="F3688" s="1">
        <f>83.067028608343*(38.9/42.5)</f>
        <v>76.030762655636337</v>
      </c>
      <c r="G3688" s="1">
        <v>3.0274374626487242</v>
      </c>
      <c r="H3688" s="1">
        <v>5.6878923422027068</v>
      </c>
      <c r="I3688" s="1">
        <v>57.619403940697545</v>
      </c>
      <c r="J3688" s="1">
        <v>5.6031842376271547E-2</v>
      </c>
      <c r="K3688" s="1">
        <v>3.4243515722547038</v>
      </c>
      <c r="L3688" s="1">
        <v>5.1030132816228164</v>
      </c>
      <c r="M3688" s="1">
        <v>0.25491357833171441</v>
      </c>
      <c r="N3688" s="1">
        <v>2.6316220747017134</v>
      </c>
      <c r="O3688" s="1">
        <v>0.21773544973544973</v>
      </c>
      <c r="P3688" s="1">
        <v>0.15181687410246425</v>
      </c>
      <c r="Q3688" s="1">
        <v>4.8383703740961392</v>
      </c>
      <c r="R3688" s="2">
        <f t="shared" si="231"/>
        <v>236.83555785133072</v>
      </c>
      <c r="S3688" s="2">
        <f t="shared" si="230"/>
        <v>3.6322002887334395</v>
      </c>
      <c r="T3688" s="2">
        <f t="shared" si="232"/>
        <v>8.2072843843916932</v>
      </c>
      <c r="U3688" s="2">
        <f t="shared" si="233"/>
        <v>248.67504252445585</v>
      </c>
    </row>
    <row r="3689" spans="1:21" x14ac:dyDescent="0.25">
      <c r="A3689">
        <v>4808165</v>
      </c>
      <c r="B3689">
        <v>62</v>
      </c>
      <c r="C3689" s="1">
        <f>8.99079513153421*(10.3/7.3)</f>
        <v>12.685642445863335</v>
      </c>
      <c r="D3689" s="1">
        <f>13.3083685374151*(10.3/7.3)</f>
        <v>18.777561087037732</v>
      </c>
      <c r="E3689" s="1">
        <f>46.7717780072068*(10.3/7.3)</f>
        <v>65.993056640305554</v>
      </c>
      <c r="F3689" s="1">
        <f>91.3119620113278*(38.9/42.5)</f>
        <v>83.577301699780051</v>
      </c>
      <c r="G3689" s="1">
        <v>3.3734567801956157</v>
      </c>
      <c r="H3689" s="1">
        <v>6.21414656942079</v>
      </c>
      <c r="I3689" s="1">
        <v>63.911864097902516</v>
      </c>
      <c r="J3689" s="1">
        <v>6.321210139160649E-2</v>
      </c>
      <c r="K3689" s="1">
        <v>3.7506103244882252</v>
      </c>
      <c r="L3689" s="1">
        <v>5.7514965924994721</v>
      </c>
      <c r="M3689" s="1">
        <v>0.27555748292985682</v>
      </c>
      <c r="N3689" s="1">
        <v>3.0015656824032741</v>
      </c>
      <c r="O3689" s="1">
        <v>0.23568430107526878</v>
      </c>
      <c r="P3689" s="1">
        <v>0.16129068925503201</v>
      </c>
      <c r="Q3689" s="1">
        <v>5.3913692834176565</v>
      </c>
      <c r="R3689" s="2">
        <f t="shared" si="231"/>
        <v>259.92439860392329</v>
      </c>
      <c r="S3689" s="2">
        <f t="shared" si="230"/>
        <v>3.9751131151348638</v>
      </c>
      <c r="T3689" s="2">
        <f t="shared" si="232"/>
        <v>9.2643040589078716</v>
      </c>
      <c r="U3689" s="2">
        <f t="shared" si="233"/>
        <v>273.16381577796608</v>
      </c>
    </row>
    <row r="3690" spans="1:21" x14ac:dyDescent="0.25">
      <c r="A3690">
        <v>4808173</v>
      </c>
      <c r="B3690">
        <v>62</v>
      </c>
      <c r="C3690" s="1">
        <f>8.67132655814191*(10.3/7.3)</f>
        <v>12.234885417652283</v>
      </c>
      <c r="D3690" s="1">
        <f>12.6374839305247*(10.3/7.3)</f>
        <v>17.830970477315631</v>
      </c>
      <c r="E3690" s="1">
        <f>44.4196252276043*(10.3/7.3)</f>
        <v>62.674265732099222</v>
      </c>
      <c r="F3690" s="1">
        <f>87.7812395015808*(38.9/42.5)</f>
        <v>80.345652155564579</v>
      </c>
      <c r="G3690" s="1">
        <v>3.2832425015415088</v>
      </c>
      <c r="H3690" s="1">
        <v>6.1618640211458491</v>
      </c>
      <c r="I3690" s="1">
        <v>61.9522631006487</v>
      </c>
      <c r="J3690" s="1">
        <v>6.4547752432346395E-2</v>
      </c>
      <c r="K3690" s="1">
        <v>3.7535313576647247</v>
      </c>
      <c r="L3690" s="1">
        <v>5.7171633754247884</v>
      </c>
      <c r="M3690" s="1">
        <v>0.26711436645743825</v>
      </c>
      <c r="N3690" s="1">
        <v>3.0945520490520293</v>
      </c>
      <c r="O3690" s="1">
        <v>0.23178752688172033</v>
      </c>
      <c r="P3690" s="1">
        <v>0.15860552604468556</v>
      </c>
      <c r="Q3690" s="1">
        <v>5.247191212509267</v>
      </c>
      <c r="R3690" s="2">
        <f t="shared" si="231"/>
        <v>249.73033461847706</v>
      </c>
      <c r="S3690" s="2">
        <f t="shared" si="230"/>
        <v>3.9766846361417567</v>
      </c>
      <c r="T3690" s="2">
        <f t="shared" si="232"/>
        <v>9.3106173178159768</v>
      </c>
      <c r="U3690" s="2">
        <f t="shared" si="233"/>
        <v>263.01763657243481</v>
      </c>
    </row>
    <row r="3691" spans="1:21" x14ac:dyDescent="0.25">
      <c r="A3691">
        <v>4808181</v>
      </c>
      <c r="B3691">
        <v>46</v>
      </c>
      <c r="C3691" s="1">
        <f>7.35731552266597*(10.3/7.3)</f>
        <v>10.380869847049246</v>
      </c>
      <c r="D3691" s="1">
        <f>10.5977687516271*(10.3/7.3)</f>
        <v>14.95301618380269</v>
      </c>
      <c r="E3691" s="1">
        <f>37.2541967721665*(10.3/7.3)</f>
        <v>52.564140651139077</v>
      </c>
      <c r="F3691" s="1">
        <f>74.2808616172818*(38.9/42.5)</f>
        <v>67.988835692053243</v>
      </c>
      <c r="G3691" s="1">
        <v>2.8028237598808703</v>
      </c>
      <c r="H3691" s="1">
        <v>6.1978057702595715</v>
      </c>
      <c r="I3691" s="1">
        <v>52.74394976439023</v>
      </c>
      <c r="J3691" s="1">
        <v>5.9745600311473801E-2</v>
      </c>
      <c r="K3691" s="1">
        <v>3.4851281097353071</v>
      </c>
      <c r="L3691" s="1">
        <v>5.0007233945615974</v>
      </c>
      <c r="M3691" s="1">
        <v>0.24137412096644856</v>
      </c>
      <c r="N3691" s="1">
        <v>3.0784125730670664</v>
      </c>
      <c r="O3691" s="1">
        <v>0.20904811594202904</v>
      </c>
      <c r="P3691" s="1">
        <v>0.14524811937875676</v>
      </c>
      <c r="Q3691" s="1">
        <v>4.4793987030059625</v>
      </c>
      <c r="R3691" s="2">
        <f t="shared" si="231"/>
        <v>212.11084037158091</v>
      </c>
      <c r="S3691" s="2">
        <f t="shared" si="230"/>
        <v>3.6901218294255376</v>
      </c>
      <c r="T3691" s="2">
        <f t="shared" si="232"/>
        <v>8.5295582045371408</v>
      </c>
      <c r="U3691" s="2">
        <f t="shared" si="233"/>
        <v>224.33052040554361</v>
      </c>
    </row>
    <row r="3692" spans="1:21" x14ac:dyDescent="0.25">
      <c r="A3692">
        <v>4808189</v>
      </c>
      <c r="B3692">
        <v>5</v>
      </c>
      <c r="C3692" s="1">
        <f>5.04795035891394*(10.3/7.3)</f>
        <v>7.1224505064128181</v>
      </c>
      <c r="D3692" s="1">
        <f>7.15608771483195*(10.3/7.3)</f>
        <v>10.096945679831386</v>
      </c>
      <c r="E3692" s="1">
        <f>25.1657714898886*(10.3/7.3)</f>
        <v>35.507869362445504</v>
      </c>
      <c r="F3692" s="1">
        <f>50.4742834422414*(38.9/42.5)</f>
        <v>46.198814727133922</v>
      </c>
      <c r="G3692" s="1">
        <v>1.9124250291446401</v>
      </c>
      <c r="H3692" s="1">
        <v>5.1555251976452388</v>
      </c>
      <c r="I3692" s="1">
        <v>36.07670900915609</v>
      </c>
      <c r="J3692" s="1">
        <v>5.1346160025348052E-2</v>
      </c>
      <c r="K3692" s="1">
        <v>2.9555535201631238</v>
      </c>
      <c r="L3692" s="1">
        <v>3.7330579953256375</v>
      </c>
      <c r="M3692" s="1">
        <v>0.19113076491481246</v>
      </c>
      <c r="N3692" s="1">
        <v>2.7214598956549554</v>
      </c>
      <c r="O3692" s="1">
        <v>0.17149866666666669</v>
      </c>
      <c r="P3692" s="1">
        <v>0.12351215050579897</v>
      </c>
      <c r="Q3692" s="1">
        <v>3.0563870328795653</v>
      </c>
      <c r="R3692" s="2">
        <f t="shared" si="231"/>
        <v>145.12712654464917</v>
      </c>
      <c r="S3692" s="2">
        <f t="shared" si="230"/>
        <v>3.1304118306942708</v>
      </c>
      <c r="T3692" s="2">
        <f t="shared" si="232"/>
        <v>6.8171473225620716</v>
      </c>
      <c r="U3692" s="2">
        <f t="shared" si="233"/>
        <v>155.07468569790552</v>
      </c>
    </row>
    <row r="3693" spans="1:21" x14ac:dyDescent="0.25">
      <c r="A3693">
        <v>4808197</v>
      </c>
      <c r="B3693">
        <v>6</v>
      </c>
      <c r="C3693" s="1">
        <f>6.97475335609762*(10.3/7.3)</f>
        <v>9.8410903517541808</v>
      </c>
      <c r="D3693" s="1">
        <f>9.69314787982241*(10.3/7.3)</f>
        <v>13.676633309886419</v>
      </c>
      <c r="E3693" s="1">
        <f>34.0831827834447*(10.3/7.3)</f>
        <v>48.08997022869594</v>
      </c>
      <c r="F3693" s="1">
        <f>69.9746829786375*(38.9/42.5)</f>
        <v>64.047415714564693</v>
      </c>
      <c r="G3693" s="1">
        <v>2.7158137826918431</v>
      </c>
      <c r="H3693" s="1">
        <v>5.6124728636080183</v>
      </c>
      <c r="I3693" s="1">
        <v>50.618059190985996</v>
      </c>
      <c r="J3693" s="1">
        <v>6.3771109267234879E-2</v>
      </c>
      <c r="K3693" s="1">
        <v>3.3980682228513857</v>
      </c>
      <c r="L3693" s="1">
        <v>4.7573290543247175</v>
      </c>
      <c r="M3693" s="1">
        <v>0.22561037841153131</v>
      </c>
      <c r="N3693" s="1">
        <v>4.0381738751034204</v>
      </c>
      <c r="O3693" s="1">
        <v>0.19670222222222219</v>
      </c>
      <c r="P3693" s="1">
        <v>0.13724984145886135</v>
      </c>
      <c r="Q3693" s="1">
        <v>4.340341661836284</v>
      </c>
      <c r="R3693" s="2">
        <f t="shared" si="231"/>
        <v>198.94179710402338</v>
      </c>
      <c r="S3693" s="2">
        <f t="shared" si="230"/>
        <v>3.5990891735774819</v>
      </c>
      <c r="T3693" s="2">
        <f t="shared" si="232"/>
        <v>9.2178155300618929</v>
      </c>
      <c r="U3693" s="2">
        <f t="shared" si="233"/>
        <v>211.75870180766276</v>
      </c>
    </row>
    <row r="3694" spans="1:21" x14ac:dyDescent="0.25">
      <c r="A3694">
        <v>4808277</v>
      </c>
      <c r="B3694">
        <v>6</v>
      </c>
      <c r="C3694" s="1">
        <f>3.55063869335633*(10.3/7.3)</f>
        <v>5.0098052796671517</v>
      </c>
      <c r="D3694" s="1">
        <f>4.93204010332744*(10.3/7.3)</f>
        <v>6.9589058992154254</v>
      </c>
      <c r="E3694" s="1">
        <f>17.200566575939*(10.3/7.3)</f>
        <v>24.269292566050932</v>
      </c>
      <c r="F3694" s="1">
        <f>42.4829380606877*(38.9/42.5)</f>
        <v>38.884383307311758</v>
      </c>
      <c r="G3694" s="1">
        <v>1.9729751408730563</v>
      </c>
      <c r="H3694" s="1">
        <v>8.083080618929932</v>
      </c>
      <c r="I3694" s="1">
        <v>31.967714663158091</v>
      </c>
      <c r="J3694" s="1">
        <v>3.5005016595799146E-2</v>
      </c>
      <c r="K3694" s="1">
        <v>2.2989003761505855</v>
      </c>
      <c r="L3694" s="1">
        <v>3.0100428341617516</v>
      </c>
      <c r="M3694" s="1">
        <v>0.13073374842400565</v>
      </c>
      <c r="N3694" s="1">
        <v>1.639794376432351</v>
      </c>
      <c r="O3694" s="1">
        <v>0.11486222222222221</v>
      </c>
      <c r="P3694" s="1">
        <v>9.0075384665603817E-2</v>
      </c>
      <c r="Q3694" s="1">
        <v>3.153156617833655</v>
      </c>
      <c r="R3694" s="2">
        <f t="shared" si="231"/>
        <v>120.29931409304001</v>
      </c>
      <c r="S3694" s="2">
        <f t="shared" si="230"/>
        <v>2.4239807774119888</v>
      </c>
      <c r="T3694" s="2">
        <f t="shared" si="232"/>
        <v>4.8954331812403309</v>
      </c>
      <c r="U3694" s="2">
        <f t="shared" si="233"/>
        <v>127.61872805169233</v>
      </c>
    </row>
    <row r="3695" spans="1:21" x14ac:dyDescent="0.25">
      <c r="A3695">
        <v>4808285</v>
      </c>
      <c r="B3695">
        <v>60</v>
      </c>
      <c r="C3695" s="1">
        <f>3.44462669078959*(10.3/7.3)</f>
        <v>4.8602267007031132</v>
      </c>
      <c r="D3695" s="1">
        <f>4.65692791605395*(10.3/7.3)</f>
        <v>6.5707339089528363</v>
      </c>
      <c r="E3695" s="1">
        <f>16.2775436392878*(10.3/7.3)</f>
        <v>22.966945134885535</v>
      </c>
      <c r="F3695" s="1">
        <f>39.2733890066712*(38.9/42.5)</f>
        <v>35.946701937870827</v>
      </c>
      <c r="G3695" s="1">
        <v>1.7822405006795272</v>
      </c>
      <c r="H3695" s="1">
        <v>8.0235128271406175</v>
      </c>
      <c r="I3695" s="1">
        <v>29.629063783869576</v>
      </c>
      <c r="J3695" s="1">
        <v>3.3297692844019719E-2</v>
      </c>
      <c r="K3695" s="1">
        <v>2.1858626427112404</v>
      </c>
      <c r="L3695" s="1">
        <v>3.2730935999468227</v>
      </c>
      <c r="M3695" s="1">
        <v>0.1219469689806352</v>
      </c>
      <c r="N3695" s="1">
        <v>1.5185809222279316</v>
      </c>
      <c r="O3695" s="1">
        <v>0.10826488888888894</v>
      </c>
      <c r="P3695" s="1">
        <v>8.5579750983236072E-2</v>
      </c>
      <c r="Q3695" s="1">
        <v>2.8483295672960507</v>
      </c>
      <c r="R3695" s="2">
        <f t="shared" si="231"/>
        <v>112.62775436139808</v>
      </c>
      <c r="S3695" s="2">
        <f t="shared" si="230"/>
        <v>2.3047400865384962</v>
      </c>
      <c r="T3695" s="2">
        <f t="shared" si="232"/>
        <v>5.0218863800442781</v>
      </c>
      <c r="U3695" s="2">
        <f t="shared" si="233"/>
        <v>119.95438082798086</v>
      </c>
    </row>
    <row r="3696" spans="1:21" x14ac:dyDescent="0.25">
      <c r="A3696">
        <v>4819849</v>
      </c>
      <c r="B3696">
        <v>56</v>
      </c>
      <c r="C3696" s="1">
        <f>0.671249716762072*(10.3/7.3)</f>
        <v>0.94710576474648478</v>
      </c>
      <c r="D3696" s="1">
        <f>0.949055986068505*(10.3/7.3)</f>
        <v>1.3390789940418635</v>
      </c>
      <c r="E3696" s="1">
        <f>3.29413056955132*(10.3/7.3)</f>
        <v>4.6478828584080301</v>
      </c>
      <c r="F3696" s="1">
        <f>8.81604913908566*(38.9/42.5)</f>
        <v>8.0692779178925225</v>
      </c>
      <c r="G3696" s="1">
        <v>0.43587611808041732</v>
      </c>
      <c r="H3696" s="1">
        <v>1.8063604949333587</v>
      </c>
      <c r="I3696" s="1">
        <v>6.7037953817768221</v>
      </c>
      <c r="J3696" s="1">
        <v>4.0555632253545193E-2</v>
      </c>
      <c r="K3696" s="1">
        <v>2.9173642880431152</v>
      </c>
      <c r="L3696" s="1">
        <v>2.2642237334450823</v>
      </c>
      <c r="M3696" s="1">
        <v>0.47853730690495383</v>
      </c>
      <c r="N3696" s="1">
        <v>1.3763024703600804</v>
      </c>
      <c r="O3696" s="1">
        <v>0.45597142857142864</v>
      </c>
      <c r="P3696" s="1">
        <v>0.23963421442163452</v>
      </c>
      <c r="Q3696" s="1">
        <v>0.69660566816505087</v>
      </c>
      <c r="R3696" s="2">
        <f t="shared" si="231"/>
        <v>24.645983198044551</v>
      </c>
      <c r="S3696" s="2">
        <f t="shared" si="230"/>
        <v>3.197554134718295</v>
      </c>
      <c r="T3696" s="2">
        <f t="shared" si="232"/>
        <v>4.5750349392815455</v>
      </c>
      <c r="U3696" s="2">
        <f t="shared" si="233"/>
        <v>32.418572272044393</v>
      </c>
    </row>
    <row r="3697" spans="1:21" x14ac:dyDescent="0.25">
      <c r="A3697">
        <v>4819857</v>
      </c>
      <c r="B3697">
        <v>67</v>
      </c>
      <c r="C3697" s="1">
        <f>0.855994483925787*(10.3/7.3)</f>
        <v>1.2077730389637822</v>
      </c>
      <c r="D3697" s="1">
        <f>1.24062624103152*(10.3/7.3)</f>
        <v>1.7504726414554312</v>
      </c>
      <c r="E3697" s="1">
        <f>4.28989831083897*(10.3/7.3)</f>
        <v>6.052870219402938</v>
      </c>
      <c r="F3697" s="1">
        <f>12.096528491574*(38.9/42.5)</f>
        <v>11.071881372287745</v>
      </c>
      <c r="G3697" s="1">
        <v>0.62093664223535705</v>
      </c>
      <c r="H3697" s="1">
        <v>2.5746341366346051</v>
      </c>
      <c r="I3697" s="1">
        <v>9.2323611234553802</v>
      </c>
      <c r="J3697" s="1">
        <v>5.2473230940944492E-2</v>
      </c>
      <c r="K3697" s="1">
        <v>3.3915121009029519</v>
      </c>
      <c r="L3697" s="1">
        <v>2.7314149238347492</v>
      </c>
      <c r="M3697" s="1">
        <v>0.60641404147484068</v>
      </c>
      <c r="N3697" s="1">
        <v>1.6997380143397367</v>
      </c>
      <c r="O3697" s="1">
        <v>0.56664517412935334</v>
      </c>
      <c r="P3697" s="1">
        <v>0.26674168513846058</v>
      </c>
      <c r="Q3697" s="1">
        <v>0.99236449672317395</v>
      </c>
      <c r="R3697" s="2">
        <f t="shared" si="231"/>
        <v>33.50329367115841</v>
      </c>
      <c r="S3697" s="2">
        <f t="shared" si="230"/>
        <v>3.7107270169823572</v>
      </c>
      <c r="T3697" s="2">
        <f t="shared" si="232"/>
        <v>5.6042121537786791</v>
      </c>
      <c r="U3697" s="2">
        <f t="shared" si="233"/>
        <v>42.818232841919439</v>
      </c>
    </row>
    <row r="3698" spans="1:21" x14ac:dyDescent="0.25">
      <c r="A3698">
        <v>4819865</v>
      </c>
      <c r="B3698">
        <v>1</v>
      </c>
      <c r="C3698" s="1">
        <f>0.804151157854446*(10.3/7.3)</f>
        <v>1.1346242364247658</v>
      </c>
      <c r="D3698" s="1">
        <f>1.18511311005868*(10.3/7.3)</f>
        <v>1.6721458950143036</v>
      </c>
      <c r="E3698" s="1">
        <f>4.08812377676089*(10.3/7.3)</f>
        <v>5.7681746439228947</v>
      </c>
      <c r="F3698" s="1">
        <f>11.8949160228589*(38.9/42.5)</f>
        <v>10.887346665628463</v>
      </c>
      <c r="G3698" s="1">
        <v>0.62359819734002742</v>
      </c>
      <c r="H3698" s="1">
        <v>3.6244537974063151</v>
      </c>
      <c r="I3698" s="1">
        <v>9.0960232279906243</v>
      </c>
      <c r="J3698" s="1">
        <v>5.5832075037479306E-2</v>
      </c>
      <c r="K3698" s="1">
        <v>3.303282459683921</v>
      </c>
      <c r="L3698" s="1">
        <v>2.6344933920795159</v>
      </c>
      <c r="M3698" s="1">
        <v>0.61306513987383815</v>
      </c>
      <c r="N3698" s="1">
        <v>2.3401218961603751</v>
      </c>
      <c r="O3698" s="1">
        <v>0.53706666666666658</v>
      </c>
      <c r="P3698" s="1">
        <v>0.24971723840182072</v>
      </c>
      <c r="Q3698" s="1">
        <v>0.99661812360278446</v>
      </c>
      <c r="R3698" s="2">
        <f t="shared" si="231"/>
        <v>33.802984787330175</v>
      </c>
      <c r="S3698" s="2">
        <f t="shared" si="230"/>
        <v>3.6088317731232213</v>
      </c>
      <c r="T3698" s="2">
        <f t="shared" si="232"/>
        <v>6.1247470947803961</v>
      </c>
      <c r="U3698" s="2">
        <f t="shared" si="233"/>
        <v>43.536563655233792</v>
      </c>
    </row>
    <row r="3699" spans="1:21" x14ac:dyDescent="0.25">
      <c r="A3699">
        <v>4820097</v>
      </c>
      <c r="B3699">
        <v>10</v>
      </c>
      <c r="C3699" s="1">
        <f>1.59476039427895*(10.3/7.3)</f>
        <v>2.2501413782292037</v>
      </c>
      <c r="D3699" s="1">
        <f>2.41256269959919*(10.3/7.3)</f>
        <v>3.4040268227221495</v>
      </c>
      <c r="E3699" s="1">
        <f>8.29151467927306*(10.3/7.3)</f>
        <v>11.698986465275693</v>
      </c>
      <c r="F3699" s="1">
        <f>25.2811449520866*(38.9/42.5)</f>
        <v>23.139683262027457</v>
      </c>
      <c r="G3699" s="1">
        <v>1.365038428427225</v>
      </c>
      <c r="H3699" s="1">
        <v>6.9103117256944113</v>
      </c>
      <c r="I3699" s="1">
        <v>19.386475361935602</v>
      </c>
      <c r="J3699" s="1">
        <v>4.2413367475651935E-2</v>
      </c>
      <c r="K3699" s="1">
        <v>2.7448925906515482</v>
      </c>
      <c r="L3699" s="1">
        <v>4.3564837013522011</v>
      </c>
      <c r="M3699" s="1">
        <v>0.60523744931484225</v>
      </c>
      <c r="N3699" s="1">
        <v>1.9359867125109562</v>
      </c>
      <c r="O3699" s="1">
        <v>0.25370133333333333</v>
      </c>
      <c r="P3699" s="1">
        <v>0.17033117463906383</v>
      </c>
      <c r="Q3699" s="1">
        <v>2.1815682646097225</v>
      </c>
      <c r="R3699" s="2">
        <f t="shared" si="231"/>
        <v>70.336231708921474</v>
      </c>
      <c r="S3699" s="2">
        <f t="shared" si="230"/>
        <v>2.9576371327662638</v>
      </c>
      <c r="T3699" s="2">
        <f t="shared" si="232"/>
        <v>7.1514091965113327</v>
      </c>
      <c r="U3699" s="2">
        <f t="shared" si="233"/>
        <v>80.445278038199078</v>
      </c>
    </row>
    <row r="3700" spans="1:21" x14ac:dyDescent="0.25">
      <c r="A3700">
        <v>4820105</v>
      </c>
      <c r="B3700">
        <v>27</v>
      </c>
      <c r="C3700" s="1">
        <f>2.39727413026115*(10.3/7.3)</f>
        <v>3.382455279683537</v>
      </c>
      <c r="D3700" s="1">
        <f>3.67993437244521*(10.3/7.3)</f>
        <v>5.1922361693405028</v>
      </c>
      <c r="E3700" s="1">
        <f>12.6576581940188*(10.3/7.3)</f>
        <v>17.85943553402651</v>
      </c>
      <c r="F3700" s="1">
        <f>37.7015788235266*(38.9/42.5)</f>
        <v>34.508033323180854</v>
      </c>
      <c r="G3700" s="1">
        <v>2.0114224947466819</v>
      </c>
      <c r="H3700" s="1">
        <v>8.8108825862805968</v>
      </c>
      <c r="I3700" s="1">
        <v>28.716561454110686</v>
      </c>
      <c r="J3700" s="1">
        <v>5.961009793835078E-2</v>
      </c>
      <c r="K3700" s="1">
        <v>3.4849301319036661</v>
      </c>
      <c r="L3700" s="1">
        <v>5.6195371188639509</v>
      </c>
      <c r="M3700" s="1">
        <v>0.72795030003693073</v>
      </c>
      <c r="N3700" s="1">
        <v>2.5396015427016114</v>
      </c>
      <c r="O3700" s="1">
        <v>0.31963061728395059</v>
      </c>
      <c r="P3700" s="1">
        <v>0.20595093187531738</v>
      </c>
      <c r="Q3700" s="1">
        <v>3.2146021605540605</v>
      </c>
      <c r="R3700" s="2">
        <f t="shared" si="231"/>
        <v>103.69562900192344</v>
      </c>
      <c r="S3700" s="2">
        <f t="shared" si="230"/>
        <v>3.7504911617173344</v>
      </c>
      <c r="T3700" s="2">
        <f t="shared" si="232"/>
        <v>9.2067195788864424</v>
      </c>
      <c r="U3700" s="2">
        <f t="shared" si="233"/>
        <v>116.65283974252722</v>
      </c>
    </row>
    <row r="3701" spans="1:21" x14ac:dyDescent="0.25">
      <c r="A3701">
        <v>4820113</v>
      </c>
      <c r="B3701">
        <v>20</v>
      </c>
      <c r="C3701" s="1">
        <f>1.64398926159485*(10.3/7.3)</f>
        <v>2.3196012869078073</v>
      </c>
      <c r="D3701" s="1">
        <f>2.48004122604311*(10.3/7.3)</f>
        <v>3.4992362504443837</v>
      </c>
      <c r="E3701" s="1">
        <f>8.5491811646309*(10.3/7.3)</f>
        <v>12.06254328708196</v>
      </c>
      <c r="F3701" s="1">
        <f>24.7863433267157*(38.9/42.5)</f>
        <v>22.686794244923313</v>
      </c>
      <c r="G3701" s="1">
        <v>1.2994758547030982</v>
      </c>
      <c r="H3701" s="1">
        <v>6.3092032854294837</v>
      </c>
      <c r="I3701" s="1">
        <v>18.854067709041662</v>
      </c>
      <c r="J3701" s="1">
        <v>4.4706819106428465E-2</v>
      </c>
      <c r="K3701" s="1">
        <v>2.7858451502182513</v>
      </c>
      <c r="L3701" s="1">
        <v>4.1120456707035249</v>
      </c>
      <c r="M3701" s="1">
        <v>0.53502826130878156</v>
      </c>
      <c r="N3701" s="1">
        <v>2.0072363188697397</v>
      </c>
      <c r="O3701" s="1">
        <v>0.24838133333333334</v>
      </c>
      <c r="P3701" s="1">
        <v>0.16984018546975724</v>
      </c>
      <c r="Q3701" s="1">
        <v>2.0767878956442232</v>
      </c>
      <c r="R3701" s="2">
        <f t="shared" si="231"/>
        <v>69.107709814175934</v>
      </c>
      <c r="S3701" s="2">
        <f t="shared" si="230"/>
        <v>3.000392154794437</v>
      </c>
      <c r="T3701" s="2">
        <f t="shared" si="232"/>
        <v>6.90269158421538</v>
      </c>
      <c r="U3701" s="2">
        <f t="shared" si="233"/>
        <v>79.010793553185749</v>
      </c>
    </row>
    <row r="3702" spans="1:21" x14ac:dyDescent="0.25">
      <c r="A3702">
        <v>4820121</v>
      </c>
      <c r="B3702">
        <v>61</v>
      </c>
      <c r="C3702" s="1">
        <f>1.76027349279755*(10.3/7.3)</f>
        <v>2.4836735583307914</v>
      </c>
      <c r="D3702" s="1">
        <f>2.70117797989608*(10.3/7.3)</f>
        <v>3.8112511223191219</v>
      </c>
      <c r="E3702" s="1">
        <f>9.29929064875288*(10.3/7.3)</f>
        <v>13.12091694276091</v>
      </c>
      <c r="F3702" s="1">
        <f>27.2824497282438*(38.9/42.5)</f>
        <v>24.971465751263189</v>
      </c>
      <c r="G3702" s="1">
        <v>1.4427247148624627</v>
      </c>
      <c r="H3702" s="1">
        <v>10.136344882936122</v>
      </c>
      <c r="I3702" s="1">
        <v>20.726669148802479</v>
      </c>
      <c r="J3702" s="1">
        <v>5.4554105538665944E-2</v>
      </c>
      <c r="K3702" s="1">
        <v>3.3531817779865127</v>
      </c>
      <c r="L3702" s="1">
        <v>4.9332158555225334</v>
      </c>
      <c r="M3702" s="1">
        <v>0.61625587484543642</v>
      </c>
      <c r="N3702" s="1">
        <v>2.5005253833124717</v>
      </c>
      <c r="O3702" s="1">
        <v>0.29085289617486343</v>
      </c>
      <c r="P3702" s="1">
        <v>0.20047360012674012</v>
      </c>
      <c r="Q3702" s="1">
        <v>2.3057244301454909</v>
      </c>
      <c r="R3702" s="2">
        <f t="shared" si="231"/>
        <v>78.998770551420563</v>
      </c>
      <c r="S3702" s="2">
        <f t="shared" si="230"/>
        <v>3.6082094836519185</v>
      </c>
      <c r="T3702" s="2">
        <f t="shared" si="232"/>
        <v>8.3408500098553056</v>
      </c>
      <c r="U3702" s="2">
        <f t="shared" si="233"/>
        <v>90.947830044927784</v>
      </c>
    </row>
    <row r="3703" spans="1:21" x14ac:dyDescent="0.25">
      <c r="A3703">
        <v>4820129</v>
      </c>
      <c r="B3703">
        <v>2</v>
      </c>
      <c r="C3703" s="1">
        <f>1.51430544931283*(10.3/7.3)</f>
        <v>2.1366227572496084</v>
      </c>
      <c r="D3703" s="1">
        <f>2.32255115462983*(10.3/7.3)</f>
        <v>3.2770242318749676</v>
      </c>
      <c r="E3703" s="1">
        <f>7.99302154853019*(10.3/7.3)</f>
        <v>11.277824924638482</v>
      </c>
      <c r="F3703" s="1">
        <f>23.6006686167548*(38.9/42.5)</f>
        <v>21.601553157453257</v>
      </c>
      <c r="G3703" s="1">
        <v>1.2526684366732312</v>
      </c>
      <c r="H3703" s="1">
        <v>10.00671720340446</v>
      </c>
      <c r="I3703" s="1">
        <v>17.951640019843133</v>
      </c>
      <c r="J3703" s="1">
        <v>4.6980751999921792E-2</v>
      </c>
      <c r="K3703" s="1">
        <v>2.9494424973295597</v>
      </c>
      <c r="L3703" s="1">
        <v>4.1786865603170353</v>
      </c>
      <c r="M3703" s="1">
        <v>0.49322335217112306</v>
      </c>
      <c r="N3703" s="1">
        <v>2.1688010092233005</v>
      </c>
      <c r="O3703" s="1">
        <v>0.25066666666666665</v>
      </c>
      <c r="P3703" s="1">
        <v>0.17862196486547849</v>
      </c>
      <c r="Q3703" s="1">
        <v>2.0019815197974036</v>
      </c>
      <c r="R3703" s="2">
        <f t="shared" si="231"/>
        <v>69.506032250934538</v>
      </c>
      <c r="S3703" s="2">
        <f t="shared" si="230"/>
        <v>3.1750452141949599</v>
      </c>
      <c r="T3703" s="2">
        <f t="shared" si="232"/>
        <v>7.0913775883781254</v>
      </c>
      <c r="U3703" s="2">
        <f t="shared" si="233"/>
        <v>79.772455053507628</v>
      </c>
    </row>
    <row r="3704" spans="1:21" x14ac:dyDescent="0.25">
      <c r="A3704">
        <v>4820345</v>
      </c>
      <c r="B3704">
        <v>65</v>
      </c>
      <c r="C3704" s="1">
        <f>6.15912322412006*(10.3/7.3)</f>
        <v>8.6902697545803598</v>
      </c>
      <c r="D3704" s="1">
        <f>10.1584131094366*(10.3/7.3)</f>
        <v>14.333103428383179</v>
      </c>
      <c r="E3704" s="1">
        <f>35.6156346952681*(10.3/7.3)</f>
        <v>50.252196898802985</v>
      </c>
      <c r="F3704" s="1">
        <f>66.7744333292719*(38.9/42.5)</f>
        <v>61.118246035498267</v>
      </c>
      <c r="G3704" s="1">
        <v>2.3884679221799794</v>
      </c>
      <c r="H3704" s="1">
        <v>4.0328669771439936</v>
      </c>
      <c r="I3704" s="1">
        <v>44.596310241779008</v>
      </c>
      <c r="J3704" s="1">
        <v>3.6756981027106436E-2</v>
      </c>
      <c r="K3704" s="1">
        <v>2.4726434695001838</v>
      </c>
      <c r="L3704" s="1">
        <v>3.2922502531349678</v>
      </c>
      <c r="M3704" s="1">
        <v>0.19210673334488332</v>
      </c>
      <c r="N3704" s="1">
        <v>1.9283119343999982</v>
      </c>
      <c r="O3704" s="1">
        <v>0.16074830769230772</v>
      </c>
      <c r="P3704" s="1">
        <v>0.12287728842848231</v>
      </c>
      <c r="Q3704" s="1">
        <v>3.8171861769999715</v>
      </c>
      <c r="R3704" s="2">
        <f t="shared" si="231"/>
        <v>189.22864743536772</v>
      </c>
      <c r="S3704" s="2">
        <f t="shared" si="230"/>
        <v>2.6322777389557723</v>
      </c>
      <c r="T3704" s="2">
        <f t="shared" si="232"/>
        <v>5.5734172285721568</v>
      </c>
      <c r="U3704" s="2">
        <f t="shared" si="233"/>
        <v>197.43434240289565</v>
      </c>
    </row>
    <row r="3705" spans="1:21" x14ac:dyDescent="0.25">
      <c r="A3705">
        <v>4820353</v>
      </c>
      <c r="B3705">
        <v>67</v>
      </c>
      <c r="C3705" s="1">
        <f>10.5504527284596*(10.3/7.3)</f>
        <v>14.88625521960736</v>
      </c>
      <c r="D3705" s="1">
        <f>17.099130125938*(10.3/7.3)</f>
        <v>24.126169903720793</v>
      </c>
      <c r="E3705" s="1">
        <f>59.9916850157193*(10.3/7.3)</f>
        <v>84.645802145466916</v>
      </c>
      <c r="F3705" s="1">
        <f>112.217792947173*(38.9/42.5)</f>
        <v>102.71228577988312</v>
      </c>
      <c r="G3705" s="1">
        <v>3.9880088310234876</v>
      </c>
      <c r="H3705" s="1">
        <v>6.1052140141556785</v>
      </c>
      <c r="I3705" s="1">
        <v>75.306996656939816</v>
      </c>
      <c r="J3705" s="1">
        <v>5.4193185084803239E-2</v>
      </c>
      <c r="K3705" s="1">
        <v>3.3611222163018755</v>
      </c>
      <c r="L3705" s="1">
        <v>4.8648018961741855</v>
      </c>
      <c r="M3705" s="1">
        <v>0.27014423933869369</v>
      </c>
      <c r="N3705" s="1">
        <v>2.6808551362603068</v>
      </c>
      <c r="O3705" s="1">
        <v>0.22707582089552236</v>
      </c>
      <c r="P3705" s="1">
        <v>0.15653916281943631</v>
      </c>
      <c r="Q3705" s="1">
        <v>6.3735300952430221</v>
      </c>
      <c r="R3705" s="2">
        <f t="shared" si="231"/>
        <v>318.1442626460402</v>
      </c>
      <c r="S3705" s="2">
        <f t="shared" si="230"/>
        <v>3.5718545642061148</v>
      </c>
      <c r="T3705" s="2">
        <f t="shared" si="232"/>
        <v>8.0428770926687072</v>
      </c>
      <c r="U3705" s="2">
        <f t="shared" si="233"/>
        <v>329.75899430291503</v>
      </c>
    </row>
    <row r="3706" spans="1:21" x14ac:dyDescent="0.25">
      <c r="A3706">
        <v>4820361</v>
      </c>
      <c r="B3706">
        <v>38</v>
      </c>
      <c r="C3706" s="1">
        <f>10.4115574560509*(10.3/7.3)</f>
        <v>14.690279698263552</v>
      </c>
      <c r="D3706" s="1">
        <f>17.2306447772725*(10.3/7.3)</f>
        <v>24.31173167204199</v>
      </c>
      <c r="E3706" s="1">
        <f>60.1432005023825*(10.3/7.3)</f>
        <v>84.859584270484874</v>
      </c>
      <c r="F3706" s="1">
        <f>125.88805812601*(38.9/42.5)</f>
        <v>115.22459908474788</v>
      </c>
      <c r="G3706" s="1">
        <v>5.1398794441169455</v>
      </c>
      <c r="H3706" s="1">
        <v>6.7598069933529645</v>
      </c>
      <c r="I3706" s="1">
        <v>86.961498470231234</v>
      </c>
      <c r="J3706" s="1">
        <v>5.700699582520171E-2</v>
      </c>
      <c r="K3706" s="1">
        <v>3.4399480540225338</v>
      </c>
      <c r="L3706" s="1">
        <v>5.1209812640032712</v>
      </c>
      <c r="M3706" s="1">
        <v>0.27504037361602324</v>
      </c>
      <c r="N3706" s="1">
        <v>2.7520488436257082</v>
      </c>
      <c r="O3706" s="1">
        <v>0.23048421052631574</v>
      </c>
      <c r="P3706" s="1">
        <v>0.15771235155763985</v>
      </c>
      <c r="Q3706" s="1">
        <v>8.214419202926635</v>
      </c>
      <c r="R3706" s="2">
        <f t="shared" si="231"/>
        <v>346.1617988361661</v>
      </c>
      <c r="S3706" s="2">
        <f t="shared" si="230"/>
        <v>3.6546674014053755</v>
      </c>
      <c r="T3706" s="2">
        <f t="shared" si="232"/>
        <v>8.3785546917713187</v>
      </c>
      <c r="U3706" s="2">
        <f t="shared" si="233"/>
        <v>358.19502092934283</v>
      </c>
    </row>
    <row r="3707" spans="1:21" x14ac:dyDescent="0.25">
      <c r="A3707">
        <v>4820369</v>
      </c>
      <c r="B3707">
        <v>57</v>
      </c>
      <c r="C3707" s="1">
        <f>6.37633039779959*(10.3/7.3)</f>
        <v>8.9967401503199671</v>
      </c>
      <c r="D3707" s="1">
        <f>9.98338933045285*(10.3/7.3)</f>
        <v>14.086152068995116</v>
      </c>
      <c r="E3707" s="1">
        <f>35.0478209245187*(10.3/7.3)</f>
        <v>49.451035003088037</v>
      </c>
      <c r="F3707" s="1">
        <f>66.6564589506657*(38.9/42.5)</f>
        <v>61.010264780726978</v>
      </c>
      <c r="G3707" s="1">
        <v>2.4062490541098605</v>
      </c>
      <c r="H3707" s="1">
        <v>5.8242661826737319</v>
      </c>
      <c r="I3707" s="1">
        <v>45.47131117521581</v>
      </c>
      <c r="J3707" s="1">
        <v>4.0273214607984886E-2</v>
      </c>
      <c r="K3707" s="1">
        <v>2.6441773448237811</v>
      </c>
      <c r="L3707" s="1">
        <v>3.6031362613317524</v>
      </c>
      <c r="M3707" s="1">
        <v>0.20204738511774253</v>
      </c>
      <c r="N3707" s="1">
        <v>1.9254400613570206</v>
      </c>
      <c r="O3707" s="1">
        <v>0.17135719298245611</v>
      </c>
      <c r="P3707" s="1">
        <v>0.12455819881378136</v>
      </c>
      <c r="Q3707" s="1">
        <v>3.8456035111344815</v>
      </c>
      <c r="R3707" s="2">
        <f t="shared" si="231"/>
        <v>191.09162192626397</v>
      </c>
      <c r="S3707" s="2">
        <f t="shared" si="230"/>
        <v>2.8090087582455472</v>
      </c>
      <c r="T3707" s="2">
        <f t="shared" si="232"/>
        <v>5.9019809007889714</v>
      </c>
      <c r="U3707" s="2">
        <f t="shared" si="233"/>
        <v>199.80261158529848</v>
      </c>
    </row>
    <row r="3708" spans="1:21" x14ac:dyDescent="0.25">
      <c r="A3708">
        <v>4820377</v>
      </c>
      <c r="B3708">
        <v>68</v>
      </c>
      <c r="C3708" s="1">
        <f>5.88851007369248*(10.3/7.3)</f>
        <v>8.308445720415417</v>
      </c>
      <c r="D3708" s="1">
        <f>9.08192589536283*(10.3/7.3)</f>
        <v>12.814224208525637</v>
      </c>
      <c r="E3708" s="1">
        <f>31.9036521941959*(10.3/7.3)</f>
        <v>45.014742137016157</v>
      </c>
      <c r="F3708" s="1">
        <f>60.5278768740537*(38.9/42.5)</f>
        <v>55.400809656486778</v>
      </c>
      <c r="G3708" s="1">
        <v>2.171428705354538</v>
      </c>
      <c r="H3708" s="1">
        <v>4.5352600874975995</v>
      </c>
      <c r="I3708" s="1">
        <v>41.459863372199905</v>
      </c>
      <c r="J3708" s="1">
        <v>4.1158826844797158E-2</v>
      </c>
      <c r="K3708" s="1">
        <v>2.7373326515109495</v>
      </c>
      <c r="L3708" s="1">
        <v>3.7527943300595927</v>
      </c>
      <c r="M3708" s="1">
        <v>0.20385298713020042</v>
      </c>
      <c r="N3708" s="1">
        <v>2.021006518719497</v>
      </c>
      <c r="O3708" s="1">
        <v>0.17566745098039219</v>
      </c>
      <c r="P3708" s="1">
        <v>0.1291149373273352</v>
      </c>
      <c r="Q3708" s="1">
        <v>3.4703198487401328</v>
      </c>
      <c r="R3708" s="2">
        <f t="shared" si="231"/>
        <v>173.17509373623614</v>
      </c>
      <c r="S3708" s="2">
        <f t="shared" si="230"/>
        <v>2.9076064156830821</v>
      </c>
      <c r="T3708" s="2">
        <f t="shared" si="232"/>
        <v>6.1533212868896827</v>
      </c>
      <c r="U3708" s="2">
        <f t="shared" si="233"/>
        <v>182.2360214388089</v>
      </c>
    </row>
    <row r="3709" spans="1:21" x14ac:dyDescent="0.25">
      <c r="A3709">
        <v>4820385</v>
      </c>
      <c r="B3709">
        <v>55</v>
      </c>
      <c r="C3709" s="1">
        <f>5.52249694249899*(10.3/7.3)</f>
        <v>7.7920162339369305</v>
      </c>
      <c r="D3709" s="1">
        <f>8.40947169707999*(10.3/7.3)</f>
        <v>11.865418969852595</v>
      </c>
      <c r="E3709" s="1">
        <f>29.5483617333144*(10.3/7.3)</f>
        <v>41.691524089471031</v>
      </c>
      <c r="F3709" s="1">
        <f>56.4133729963835*(38.9/42.5)</f>
        <v>51.634828460219232</v>
      </c>
      <c r="G3709" s="1">
        <v>2.0357556868304205</v>
      </c>
      <c r="H3709" s="1">
        <v>4.4510943256377491</v>
      </c>
      <c r="I3709" s="1">
        <v>38.875452435208544</v>
      </c>
      <c r="J3709" s="1">
        <v>4.1303036776126727E-2</v>
      </c>
      <c r="K3709" s="1">
        <v>2.7523978987195408</v>
      </c>
      <c r="L3709" s="1">
        <v>3.7292400843227749</v>
      </c>
      <c r="M3709" s="1">
        <v>0.20069681845196688</v>
      </c>
      <c r="N3709" s="1">
        <v>2.0465973057093727</v>
      </c>
      <c r="O3709" s="1">
        <v>0.17479757575757579</v>
      </c>
      <c r="P3709" s="1">
        <v>0.12869941779240696</v>
      </c>
      <c r="Q3709" s="1">
        <v>3.2534908237015903</v>
      </c>
      <c r="R3709" s="2">
        <f t="shared" si="231"/>
        <v>161.59958102485811</v>
      </c>
      <c r="S3709" s="2">
        <f t="shared" si="230"/>
        <v>2.9224003532880745</v>
      </c>
      <c r="T3709" s="2">
        <f t="shared" si="232"/>
        <v>6.1513317842416901</v>
      </c>
      <c r="U3709" s="2">
        <f t="shared" si="233"/>
        <v>170.67331316238787</v>
      </c>
    </row>
    <row r="3710" spans="1:21" x14ac:dyDescent="0.25">
      <c r="A3710">
        <v>4820393</v>
      </c>
      <c r="B3710">
        <v>68</v>
      </c>
      <c r="C3710" s="1">
        <f>8.82679073343728*(10.3/7.3)</f>
        <v>12.454238980055338</v>
      </c>
      <c r="D3710" s="1">
        <f>13.1975459582368*(10.3/7.3)</f>
        <v>18.621194982169726</v>
      </c>
      <c r="E3710" s="1">
        <f>46.3707407751543*(10.3/7.3)</f>
        <v>65.427209586861508</v>
      </c>
      <c r="F3710" s="1">
        <f>90.2147041609506*(38.9/42.5)</f>
        <v>82.572988043787745</v>
      </c>
      <c r="G3710" s="1">
        <v>3.324628420214089</v>
      </c>
      <c r="H3710" s="1">
        <v>6.0978772571720494</v>
      </c>
      <c r="I3710" s="1">
        <v>62.879459398688446</v>
      </c>
      <c r="J3710" s="1">
        <v>6.1390671959435379E-2</v>
      </c>
      <c r="K3710" s="1">
        <v>3.6774523260748544</v>
      </c>
      <c r="L3710" s="1">
        <v>5.5948986559514928</v>
      </c>
      <c r="M3710" s="1">
        <v>0.27376968468171603</v>
      </c>
      <c r="N3710" s="1">
        <v>3.0333324216040025</v>
      </c>
      <c r="O3710" s="1">
        <v>0.23455921568627452</v>
      </c>
      <c r="P3710" s="1">
        <v>0.16044906872079689</v>
      </c>
      <c r="Q3710" s="1">
        <v>5.3133330916663564</v>
      </c>
      <c r="R3710" s="2">
        <f t="shared" si="231"/>
        <v>256.69092976061529</v>
      </c>
      <c r="S3710" s="2">
        <f t="shared" si="230"/>
        <v>3.8992920667550868</v>
      </c>
      <c r="T3710" s="2">
        <f t="shared" si="232"/>
        <v>9.1365599779234863</v>
      </c>
      <c r="U3710" s="2">
        <f t="shared" si="233"/>
        <v>269.72678180529385</v>
      </c>
    </row>
    <row r="3711" spans="1:21" x14ac:dyDescent="0.25">
      <c r="A3711">
        <v>4820401</v>
      </c>
      <c r="B3711">
        <v>69</v>
      </c>
      <c r="C3711" s="1">
        <f>8.61493633338263*(10.3/7.3)</f>
        <v>12.155321127923433</v>
      </c>
      <c r="D3711" s="1">
        <f>12.6666879546643*(10.3/7.3)</f>
        <v>17.872176155211214</v>
      </c>
      <c r="E3711" s="1">
        <f>44.5127533396072*(10.3/7.3)</f>
        <v>62.805665670952607</v>
      </c>
      <c r="F3711" s="1">
        <f>87.6764992685344*(38.9/42.5)</f>
        <v>80.24978403637617</v>
      </c>
      <c r="G3711" s="1">
        <v>3.2714383023826175</v>
      </c>
      <c r="H3711" s="1">
        <v>6.097812108658351</v>
      </c>
      <c r="I3711" s="1">
        <v>61.649626301635692</v>
      </c>
      <c r="J3711" s="1">
        <v>6.3146866349270733E-2</v>
      </c>
      <c r="K3711" s="1">
        <v>3.7120577340624945</v>
      </c>
      <c r="L3711" s="1">
        <v>5.6388869881498191</v>
      </c>
      <c r="M3711" s="1">
        <v>0.26636531847564565</v>
      </c>
      <c r="N3711" s="1">
        <v>3.3264124804010256</v>
      </c>
      <c r="O3711" s="1">
        <v>0.23208502415458929</v>
      </c>
      <c r="P3711" s="1">
        <v>0.15906191528004501</v>
      </c>
      <c r="Q3711" s="1">
        <v>5.2283260540361534</v>
      </c>
      <c r="R3711" s="2">
        <f t="shared" si="231"/>
        <v>249.33014975717626</v>
      </c>
      <c r="S3711" s="2">
        <f t="shared" si="230"/>
        <v>3.9342665156918102</v>
      </c>
      <c r="T3711" s="2">
        <f t="shared" si="232"/>
        <v>9.4637498111810796</v>
      </c>
      <c r="U3711" s="2">
        <f t="shared" si="233"/>
        <v>262.72816608404912</v>
      </c>
    </row>
    <row r="3712" spans="1:21" x14ac:dyDescent="0.25">
      <c r="A3712">
        <v>4820409</v>
      </c>
      <c r="B3712">
        <v>68</v>
      </c>
      <c r="C3712" s="1">
        <f>7.81624241842528*(10.3/7.3)</f>
        <v>11.028396836956219</v>
      </c>
      <c r="D3712" s="1">
        <f>11.343897242224*(10.3/7.3)</f>
        <v>16.005772821220205</v>
      </c>
      <c r="E3712" s="1">
        <f>39.8679196972932*(10.3/7.3)</f>
        <v>56.251996285221857</v>
      </c>
      <c r="F3712" s="1">
        <f>79.3589068191969*(38.9/42.5)</f>
        <v>72.636740594511963</v>
      </c>
      <c r="G3712" s="1">
        <v>2.9925663563548102</v>
      </c>
      <c r="H3712" s="1">
        <v>5.9117443739382987</v>
      </c>
      <c r="I3712" s="1">
        <v>56.190521949235425</v>
      </c>
      <c r="J3712" s="1">
        <v>6.220599108137382E-2</v>
      </c>
      <c r="K3712" s="1">
        <v>3.5895168101484618</v>
      </c>
      <c r="L3712" s="1">
        <v>5.2914121249645794</v>
      </c>
      <c r="M3712" s="1">
        <v>0.25511483470377772</v>
      </c>
      <c r="N3712" s="1">
        <v>3.584062769624865</v>
      </c>
      <c r="O3712" s="1">
        <v>0.21917254901960787</v>
      </c>
      <c r="P3712" s="1">
        <v>0.15095683289680703</v>
      </c>
      <c r="Q3712" s="1">
        <v>4.7826402955442227</v>
      </c>
      <c r="R3712" s="2">
        <f t="shared" si="231"/>
        <v>225.800379512983</v>
      </c>
      <c r="S3712" s="2">
        <f t="shared" si="230"/>
        <v>3.8026796341266427</v>
      </c>
      <c r="T3712" s="2">
        <f t="shared" si="232"/>
        <v>9.3497622783128289</v>
      </c>
      <c r="U3712" s="2">
        <f t="shared" si="233"/>
        <v>238.95282142542246</v>
      </c>
    </row>
    <row r="3713" spans="1:21" x14ac:dyDescent="0.25">
      <c r="A3713">
        <v>4820417</v>
      </c>
      <c r="B3713">
        <v>4</v>
      </c>
      <c r="C3713" s="1">
        <f>5.41676857197645*(10.3/7.3)</f>
        <v>7.6428378481311601</v>
      </c>
      <c r="D3713" s="1">
        <f>7.83699479418582*(10.3/7.3)</f>
        <v>11.057677586316975</v>
      </c>
      <c r="E3713" s="1">
        <f>27.5436885935976*(10.3/7.3)</f>
        <v>38.863012673158217</v>
      </c>
      <c r="F3713" s="1">
        <f>54.9607635778565*(38.9/42.5)</f>
        <v>50.305263604202779</v>
      </c>
      <c r="G3713" s="1">
        <v>2.077498295938796</v>
      </c>
      <c r="H3713" s="1">
        <v>6.135370584766112</v>
      </c>
      <c r="I3713" s="1">
        <v>38.978711463730114</v>
      </c>
      <c r="J3713" s="1">
        <v>5.0424111848904496E-2</v>
      </c>
      <c r="K3713" s="1">
        <v>2.9439143851576892</v>
      </c>
      <c r="L3713" s="1">
        <v>3.8344679504542367</v>
      </c>
      <c r="M3713" s="1">
        <v>0.19941898731154994</v>
      </c>
      <c r="N3713" s="1">
        <v>3.5047427491160419</v>
      </c>
      <c r="O3713" s="1">
        <v>0.17564000000000002</v>
      </c>
      <c r="P3713" s="1">
        <v>0.12530772870234294</v>
      </c>
      <c r="Q3713" s="1">
        <v>3.3202027560665721</v>
      </c>
      <c r="R3713" s="2">
        <f t="shared" si="231"/>
        <v>158.38057481231073</v>
      </c>
      <c r="S3713" s="2">
        <f t="shared" si="230"/>
        <v>3.1196462257089363</v>
      </c>
      <c r="T3713" s="2">
        <f t="shared" si="232"/>
        <v>7.7142696868818277</v>
      </c>
      <c r="U3713" s="2">
        <f t="shared" si="233"/>
        <v>169.21449072490151</v>
      </c>
    </row>
    <row r="3714" spans="1:21" x14ac:dyDescent="0.25">
      <c r="A3714">
        <v>4820425</v>
      </c>
      <c r="B3714">
        <v>2</v>
      </c>
      <c r="C3714" s="1">
        <f>5.16385327468197*(10.3/7.3)</f>
        <v>7.285984757427979</v>
      </c>
      <c r="D3714" s="1">
        <f>7.31410570111959*(10.3/7.3)</f>
        <v>10.319902564593395</v>
      </c>
      <c r="E3714" s="1">
        <f>25.7200441012121*(10.3/7.3)</f>
        <v>36.289925238696554</v>
      </c>
      <c r="F3714" s="1">
        <f>51.7027110350806*(38.9/42.5)</f>
        <v>47.32318727681497</v>
      </c>
      <c r="G3714" s="1">
        <v>1.9640338957861667</v>
      </c>
      <c r="H3714" s="1">
        <v>4.842122473550698</v>
      </c>
      <c r="I3714" s="1">
        <v>36.985882181885103</v>
      </c>
      <c r="J3714" s="1">
        <v>5.5411997865514692E-2</v>
      </c>
      <c r="K3714" s="1">
        <v>2.8705275238101953</v>
      </c>
      <c r="L3714" s="1">
        <v>3.6116081817756869</v>
      </c>
      <c r="M3714" s="1">
        <v>0.18806648528435352</v>
      </c>
      <c r="N3714" s="1">
        <v>3.4726510274388569</v>
      </c>
      <c r="O3714" s="1">
        <v>0.16855999999999999</v>
      </c>
      <c r="P3714" s="1">
        <v>0.12023754194797943</v>
      </c>
      <c r="Q3714" s="1">
        <v>3.1388669567358862</v>
      </c>
      <c r="R3714" s="2">
        <f t="shared" si="231"/>
        <v>148.14990534549074</v>
      </c>
      <c r="S3714" s="2">
        <f t="shared" si="230"/>
        <v>3.0461770636236891</v>
      </c>
      <c r="T3714" s="2">
        <f t="shared" si="232"/>
        <v>7.4408856944988981</v>
      </c>
      <c r="U3714" s="2">
        <f t="shared" si="233"/>
        <v>158.63696810361333</v>
      </c>
    </row>
    <row r="3715" spans="1:21" x14ac:dyDescent="0.25">
      <c r="A3715">
        <v>4820513</v>
      </c>
      <c r="B3715">
        <v>44</v>
      </c>
      <c r="C3715" s="1">
        <f>3.92465883880414*(10.3/7.3)</f>
        <v>5.5375323342031066</v>
      </c>
      <c r="D3715" s="1">
        <f>5.35102749314833*(10.3/7.3)</f>
        <v>7.5500798875928563</v>
      </c>
      <c r="E3715" s="1">
        <f>18.6732274626891*(10.3/7.3)</f>
        <v>26.347156556944935</v>
      </c>
      <c r="F3715" s="1">
        <f>46.266066376974*(38.9/42.5)</f>
        <v>42.347058401512662</v>
      </c>
      <c r="G3715" s="1">
        <v>2.1488738169460482</v>
      </c>
      <c r="H3715" s="1">
        <v>8.0120308604389141</v>
      </c>
      <c r="I3715" s="1">
        <v>34.99986810879313</v>
      </c>
      <c r="J3715" s="1">
        <v>3.5012988675585437E-2</v>
      </c>
      <c r="K3715" s="1">
        <v>2.2923612142007745</v>
      </c>
      <c r="L3715" s="1">
        <v>3.2973811881678881</v>
      </c>
      <c r="M3715" s="1">
        <v>0.12918715235434156</v>
      </c>
      <c r="N3715" s="1">
        <v>1.6114511269182166</v>
      </c>
      <c r="O3715" s="1">
        <v>0.114910303030303</v>
      </c>
      <c r="P3715" s="1">
        <v>8.9445150290834552E-2</v>
      </c>
      <c r="Q3715" s="1">
        <v>3.4342732234297602</v>
      </c>
      <c r="R3715" s="2">
        <f t="shared" si="231"/>
        <v>130.37687318986141</v>
      </c>
      <c r="S3715" s="2">
        <f t="shared" si="230"/>
        <v>2.4168193531671944</v>
      </c>
      <c r="T3715" s="2">
        <f t="shared" si="232"/>
        <v>5.1529297704707488</v>
      </c>
      <c r="U3715" s="2">
        <f t="shared" si="233"/>
        <v>137.94662231349935</v>
      </c>
    </row>
    <row r="3716" spans="1:21" x14ac:dyDescent="0.25">
      <c r="A3716">
        <v>4820521</v>
      </c>
      <c r="B3716">
        <v>9</v>
      </c>
      <c r="C3716" s="1">
        <f>3.48660222175788*(10.3/7.3)</f>
        <v>4.9194524498775625</v>
      </c>
      <c r="D3716" s="1">
        <f>4.71171083704333*(10.3/7.3)</f>
        <v>6.6480303591159355</v>
      </c>
      <c r="E3716" s="1">
        <f>16.4594975283752*(10.3/7.3)</f>
        <v>23.223674594830776</v>
      </c>
      <c r="F3716" s="1">
        <f>40.2120106316443*(38.9/42.5)</f>
        <v>36.805816789904995</v>
      </c>
      <c r="G3716" s="1">
        <v>1.8440423867201083</v>
      </c>
      <c r="H3716" s="1">
        <v>8.1110730022895723</v>
      </c>
      <c r="I3716" s="1">
        <v>30.410998153631631</v>
      </c>
      <c r="J3716" s="1">
        <v>3.595219396782711E-2</v>
      </c>
      <c r="K3716" s="1">
        <v>2.3124927777406752</v>
      </c>
      <c r="L3716" s="1">
        <v>3.6156763581757554</v>
      </c>
      <c r="M3716" s="1">
        <v>0.12733013435609292</v>
      </c>
      <c r="N3716" s="1">
        <v>1.6685373549623432</v>
      </c>
      <c r="O3716" s="1">
        <v>0.11371259259259259</v>
      </c>
      <c r="P3716" s="1">
        <v>8.9449936300286026E-2</v>
      </c>
      <c r="Q3716" s="1">
        <v>2.9470997048038297</v>
      </c>
      <c r="R3716" s="2">
        <f t="shared" si="231"/>
        <v>114.9101874411744</v>
      </c>
      <c r="S3716" s="2">
        <f t="shared" si="230"/>
        <v>2.4378949080087882</v>
      </c>
      <c r="T3716" s="2">
        <f t="shared" si="232"/>
        <v>5.5252564400867845</v>
      </c>
      <c r="U3716" s="2">
        <f t="shared" si="233"/>
        <v>122.87333878926997</v>
      </c>
    </row>
    <row r="3717" spans="1:21" x14ac:dyDescent="0.25">
      <c r="A3717">
        <v>4832085</v>
      </c>
      <c r="B3717">
        <v>56</v>
      </c>
      <c r="C3717" s="1">
        <f>0.681889797885597*(10.3/7.3)</f>
        <v>0.96211848194817107</v>
      </c>
      <c r="D3717" s="1">
        <f>0.96795983000702*(10.3/7.3)</f>
        <v>1.3657515409688092</v>
      </c>
      <c r="E3717" s="1">
        <f>3.35765737422293*(10.3/7.3)</f>
        <v>4.7375165691090615</v>
      </c>
      <c r="F3717" s="1">
        <f>9.06536708723071*(38.9/42.5)</f>
        <v>8.2974771692535185</v>
      </c>
      <c r="G3717" s="1">
        <v>0.45114648736809776</v>
      </c>
      <c r="H3717" s="1">
        <v>1.8951063474631915</v>
      </c>
      <c r="I3717" s="1">
        <v>6.8978511830332039</v>
      </c>
      <c r="J3717" s="1">
        <v>4.233868708952488E-2</v>
      </c>
      <c r="K3717" s="1">
        <v>2.9775941460484319</v>
      </c>
      <c r="L3717" s="1">
        <v>2.2984192067954257</v>
      </c>
      <c r="M3717" s="1">
        <v>0.50820914240734427</v>
      </c>
      <c r="N3717" s="1">
        <v>1.4350889458121385</v>
      </c>
      <c r="O3717" s="1">
        <v>0.47057333333333334</v>
      </c>
      <c r="P3717" s="1">
        <v>0.24150688328559464</v>
      </c>
      <c r="Q3717" s="1">
        <v>0.72101036793988338</v>
      </c>
      <c r="R3717" s="2">
        <f t="shared" si="231"/>
        <v>25.327978147083936</v>
      </c>
      <c r="S3717" s="2">
        <f t="shared" si="230"/>
        <v>3.2614397164235513</v>
      </c>
      <c r="T3717" s="2">
        <f t="shared" si="232"/>
        <v>4.7122906283482413</v>
      </c>
      <c r="U3717" s="2">
        <f t="shared" si="233"/>
        <v>33.301708491855727</v>
      </c>
    </row>
    <row r="3718" spans="1:21" x14ac:dyDescent="0.25">
      <c r="A3718">
        <v>4832093</v>
      </c>
      <c r="B3718">
        <v>55</v>
      </c>
      <c r="C3718" s="1">
        <f>0.763148826765501*(10.3/7.3)</f>
        <v>1.0767716322855698</v>
      </c>
      <c r="D3718" s="1">
        <f>1.10542136670705*(10.3/7.3)</f>
        <v>1.5597041201482973</v>
      </c>
      <c r="E3718" s="1">
        <f>3.8227976013419*(10.3/7.3)</f>
        <v>5.3938103142221294</v>
      </c>
      <c r="F3718" s="1">
        <f>10.7624494161052*(38.9/42.5)</f>
        <v>9.8508066420350726</v>
      </c>
      <c r="G3718" s="1">
        <v>0.55186860302733443</v>
      </c>
      <c r="H3718" s="1">
        <v>2.5970193227643525</v>
      </c>
      <c r="I3718" s="1">
        <v>8.2129318551996153</v>
      </c>
      <c r="J3718" s="1">
        <v>5.1832816921721377E-2</v>
      </c>
      <c r="K3718" s="1">
        <v>3.2548157607664159</v>
      </c>
      <c r="L3718" s="1">
        <v>2.5193716251685991</v>
      </c>
      <c r="M3718" s="1">
        <v>0.59392332362741695</v>
      </c>
      <c r="N3718" s="1">
        <v>1.7543432274969866</v>
      </c>
      <c r="O3718" s="1">
        <v>0.52446642424242429</v>
      </c>
      <c r="P3718" s="1">
        <v>0.25587776305653293</v>
      </c>
      <c r="Q3718" s="1">
        <v>0.88198178566012431</v>
      </c>
      <c r="R3718" s="2">
        <f t="shared" si="231"/>
        <v>30.124894275342498</v>
      </c>
      <c r="S3718" s="2">
        <f t="shared" si="230"/>
        <v>3.5625263407446703</v>
      </c>
      <c r="T3718" s="2">
        <f t="shared" si="232"/>
        <v>5.3921046005354274</v>
      </c>
      <c r="U3718" s="2">
        <f t="shared" si="233"/>
        <v>39.079525216622592</v>
      </c>
    </row>
    <row r="3719" spans="1:21" x14ac:dyDescent="0.25">
      <c r="A3719">
        <v>4832325</v>
      </c>
      <c r="B3719">
        <v>12</v>
      </c>
      <c r="C3719" s="1">
        <f>1.84226556119824*(10.3/7.3)</f>
        <v>2.5993609973071088</v>
      </c>
      <c r="D3719" s="1">
        <f>2.84282029891826*(10.3/7.3)</f>
        <v>4.0111026135421968</v>
      </c>
      <c r="E3719" s="1">
        <f>9.74583858090362*(10.3/7.3)</f>
        <v>13.750977723740727</v>
      </c>
      <c r="F3719" s="1">
        <f>30.6005936215384*(38.9/42.5)</f>
        <v>28.008543338302164</v>
      </c>
      <c r="G3719" s="1">
        <v>1.6815799634913249</v>
      </c>
      <c r="H3719" s="1">
        <v>9.8116102913877636</v>
      </c>
      <c r="I3719" s="1">
        <v>23.494470616508604</v>
      </c>
      <c r="J3719" s="1">
        <v>4.8582561418271726E-2</v>
      </c>
      <c r="K3719" s="1">
        <v>3.077328024309566</v>
      </c>
      <c r="L3719" s="1">
        <v>5.0908366032543118</v>
      </c>
      <c r="M3719" s="1">
        <v>0.69699996741727654</v>
      </c>
      <c r="N3719" s="1">
        <v>2.2092616037394976</v>
      </c>
      <c r="O3719" s="1">
        <v>0.28412444444444446</v>
      </c>
      <c r="P3719" s="1">
        <v>0.1884412731471051</v>
      </c>
      <c r="Q3719" s="1">
        <v>2.6874565626573705</v>
      </c>
      <c r="R3719" s="2">
        <f t="shared" si="231"/>
        <v>86.045102106937264</v>
      </c>
      <c r="S3719" s="2">
        <f t="shared" si="230"/>
        <v>3.3143518588749425</v>
      </c>
      <c r="T3719" s="2">
        <f t="shared" si="232"/>
        <v>8.28122261885553</v>
      </c>
      <c r="U3719" s="2">
        <f t="shared" si="233"/>
        <v>97.640676584667744</v>
      </c>
    </row>
    <row r="3720" spans="1:21" x14ac:dyDescent="0.25">
      <c r="A3720">
        <v>4832333</v>
      </c>
      <c r="B3720">
        <v>9</v>
      </c>
      <c r="C3720" s="1">
        <f>1.2844025675202*(10.3/7.3)</f>
        <v>1.8122392391038455</v>
      </c>
      <c r="D3720" s="1">
        <f>1.90060730080396*(10.3/7.3)</f>
        <v>2.681678794285034</v>
      </c>
      <c r="E3720" s="1">
        <f>6.55247389194729*(10.3/7.3)</f>
        <v>9.2452713817886387</v>
      </c>
      <c r="F3720" s="1">
        <f>19.2073908555517*(38.9/42.5)</f>
        <v>17.580411865434403</v>
      </c>
      <c r="G3720" s="1">
        <v>1.0118389806728891</v>
      </c>
      <c r="H3720" s="1">
        <v>4.9404690470875705</v>
      </c>
      <c r="I3720" s="1">
        <v>14.694400766509833</v>
      </c>
      <c r="J3720" s="1">
        <v>3.7855035119397487E-2</v>
      </c>
      <c r="K3720" s="1">
        <v>2.4946438459519467</v>
      </c>
      <c r="L3720" s="1">
        <v>3.7963564031637964</v>
      </c>
      <c r="M3720" s="1">
        <v>0.51947677063017672</v>
      </c>
      <c r="N3720" s="1">
        <v>1.7642672649669131</v>
      </c>
      <c r="O3720" s="1">
        <v>0.22754370370370369</v>
      </c>
      <c r="P3720" s="1">
        <v>0.15580924682684288</v>
      </c>
      <c r="Q3720" s="1">
        <v>1.617094261349368</v>
      </c>
      <c r="R3720" s="2">
        <f t="shared" si="231"/>
        <v>53.583404336231581</v>
      </c>
      <c r="S3720" s="2">
        <f t="shared" si="230"/>
        <v>2.6883081278981873</v>
      </c>
      <c r="T3720" s="2">
        <f t="shared" si="232"/>
        <v>6.307644142464591</v>
      </c>
      <c r="U3720" s="2">
        <f t="shared" si="233"/>
        <v>62.579356606594359</v>
      </c>
    </row>
    <row r="3721" spans="1:21" x14ac:dyDescent="0.25">
      <c r="A3721">
        <v>4832341</v>
      </c>
      <c r="B3721">
        <v>6</v>
      </c>
      <c r="C3721" s="1">
        <f>1.75135545630459*(10.3/7.3)</f>
        <v>2.4710905753338781</v>
      </c>
      <c r="D3721" s="1">
        <f>2.64381554839788*(10.3/7.3)</f>
        <v>3.7303150888353613</v>
      </c>
      <c r="E3721" s="1">
        <f>9.10834155425789*(10.3/7.3)</f>
        <v>12.851495617651546</v>
      </c>
      <c r="F3721" s="1">
        <f>26.6729183123023*(38.9/42.5)</f>
        <v>24.413565231730775</v>
      </c>
      <c r="G3721" s="1">
        <v>1.4068691494417289</v>
      </c>
      <c r="H3721" s="1">
        <v>6.6246774458926359</v>
      </c>
      <c r="I3721" s="1">
        <v>20.321925705892841</v>
      </c>
      <c r="J3721" s="1">
        <v>4.256499128990987E-2</v>
      </c>
      <c r="K3721" s="1">
        <v>2.6755533103027891</v>
      </c>
      <c r="L3721" s="1">
        <v>3.9367216123422168</v>
      </c>
      <c r="M3721" s="1">
        <v>0.53450174395676775</v>
      </c>
      <c r="N3721" s="1">
        <v>1.8573817891694719</v>
      </c>
      <c r="O3721" s="1">
        <v>0.24151111111111112</v>
      </c>
      <c r="P3721" s="1">
        <v>0.16371706335047201</v>
      </c>
      <c r="Q3721" s="1">
        <v>2.2484210150895239</v>
      </c>
      <c r="R3721" s="2">
        <f t="shared" si="231"/>
        <v>74.068359829868299</v>
      </c>
      <c r="S3721" s="2">
        <f t="shared" ref="S3721:S3784" si="234">J3721+K3721+P3721</f>
        <v>2.8818353649431709</v>
      </c>
      <c r="T3721" s="2">
        <f t="shared" si="232"/>
        <v>6.5701162565795679</v>
      </c>
      <c r="U3721" s="2">
        <f t="shared" si="233"/>
        <v>83.520311451391038</v>
      </c>
    </row>
    <row r="3722" spans="1:21" x14ac:dyDescent="0.25">
      <c r="A3722">
        <v>4832349</v>
      </c>
      <c r="B3722">
        <v>29</v>
      </c>
      <c r="C3722" s="1">
        <f>1.81947937849467*(10.3/7.3)</f>
        <v>2.5672106299308317</v>
      </c>
      <c r="D3722" s="1">
        <f>2.78383604754468*(10.3/7.3)</f>
        <v>3.9278782588644119</v>
      </c>
      <c r="E3722" s="1">
        <f>9.58486106238354*(10.3/7.3)</f>
        <v>13.523845060623351</v>
      </c>
      <c r="F3722" s="1">
        <f>28.1223302411145*(38.9/42.5)</f>
        <v>25.740203444220132</v>
      </c>
      <c r="G3722" s="1">
        <v>1.4868118968072206</v>
      </c>
      <c r="H3722" s="1">
        <v>8.4560936060161271</v>
      </c>
      <c r="I3722" s="1">
        <v>21.377199701398613</v>
      </c>
      <c r="J3722" s="1">
        <v>5.6191137865762533E-2</v>
      </c>
      <c r="K3722" s="1">
        <v>3.3676491636370667</v>
      </c>
      <c r="L3722" s="1">
        <v>4.9610578748945384</v>
      </c>
      <c r="M3722" s="1">
        <v>0.63849042025796643</v>
      </c>
      <c r="N3722" s="1">
        <v>2.5330572774720439</v>
      </c>
      <c r="O3722" s="1">
        <v>0.29327080459770111</v>
      </c>
      <c r="P3722" s="1">
        <v>0.20132838484833912</v>
      </c>
      <c r="Q3722" s="1">
        <v>2.3761833967238704</v>
      </c>
      <c r="R3722" s="2">
        <f t="shared" ref="R3722:R3785" si="235">C3722+D3722+E3722+F3722+G3722+H3722+I3722+Q3722</f>
        <v>79.455425994584559</v>
      </c>
      <c r="S3722" s="2">
        <f t="shared" si="234"/>
        <v>3.6251686863511683</v>
      </c>
      <c r="T3722" s="2">
        <f t="shared" ref="T3722:T3785" si="236">L3722+M3722+N3722+O3722</f>
        <v>8.4258763772222505</v>
      </c>
      <c r="U3722" s="2">
        <f t="shared" ref="U3722:U3785" si="237">R3722+S3722+T3722</f>
        <v>91.506471058157985</v>
      </c>
    </row>
    <row r="3723" spans="1:21" x14ac:dyDescent="0.25">
      <c r="A3723">
        <v>4832357</v>
      </c>
      <c r="B3723">
        <v>18</v>
      </c>
      <c r="C3723" s="1">
        <f>1.44462651045191*(10.3/7.3)</f>
        <v>2.038308638034882</v>
      </c>
      <c r="D3723" s="1">
        <f>2.21210272886546*(10.3/7.3)</f>
        <v>3.1211860420978477</v>
      </c>
      <c r="E3723" s="1">
        <f>7.61420965221591*(10.3/7.3)</f>
        <v>10.743336906551209</v>
      </c>
      <c r="F3723" s="1">
        <f>22.4390773430804*(38.9/42.5)</f>
        <v>20.538355497548903</v>
      </c>
      <c r="G3723" s="1">
        <v>1.1895074813794431</v>
      </c>
      <c r="H3723" s="1">
        <v>7.8093151096726432</v>
      </c>
      <c r="I3723" s="1">
        <v>17.067647211508287</v>
      </c>
      <c r="J3723" s="1">
        <v>4.9103768279783383E-2</v>
      </c>
      <c r="K3723" s="1">
        <v>3.0460070552999547</v>
      </c>
      <c r="L3723" s="1">
        <v>4.3227745741947272</v>
      </c>
      <c r="M3723" s="1">
        <v>0.53741031723116583</v>
      </c>
      <c r="N3723" s="1">
        <v>2.2683723169715453</v>
      </c>
      <c r="O3723" s="1">
        <v>0.26208296296296296</v>
      </c>
      <c r="P3723" s="1">
        <v>0.18411077805681236</v>
      </c>
      <c r="Q3723" s="1">
        <v>1.9010393538027652</v>
      </c>
      <c r="R3723" s="2">
        <f t="shared" si="235"/>
        <v>64.408696240595972</v>
      </c>
      <c r="S3723" s="2">
        <f t="shared" si="234"/>
        <v>3.2792216016365505</v>
      </c>
      <c r="T3723" s="2">
        <f t="shared" si="236"/>
        <v>7.3906401713604017</v>
      </c>
      <c r="U3723" s="2">
        <f t="shared" si="237"/>
        <v>75.078558013592925</v>
      </c>
    </row>
    <row r="3724" spans="1:21" x14ac:dyDescent="0.25">
      <c r="A3724">
        <v>4832573</v>
      </c>
      <c r="B3724">
        <v>58</v>
      </c>
      <c r="C3724" s="1">
        <f>10.404686741671*(10.3/7.3)</f>
        <v>14.680585402631754</v>
      </c>
      <c r="D3724" s="1">
        <f>17.4683173038505*(10.3/7.3)</f>
        <v>24.647077839679415</v>
      </c>
      <c r="E3724" s="1">
        <f>61.1010723847594*(10.3/7.3)</f>
        <v>86.211102131920825</v>
      </c>
      <c r="F3724" s="1">
        <f>119.892097744049*(38.9/42.5)</f>
        <v>109.73653181749407</v>
      </c>
      <c r="G3724" s="1">
        <v>4.5599794969303931</v>
      </c>
      <c r="H3724" s="1">
        <v>7.5076730476075459</v>
      </c>
      <c r="I3724" s="1">
        <v>80.850776695213554</v>
      </c>
      <c r="J3724" s="1">
        <v>4.8993493754552683E-2</v>
      </c>
      <c r="K3724" s="1">
        <v>3.0449903158006348</v>
      </c>
      <c r="L3724" s="1">
        <v>4.2358984693929784</v>
      </c>
      <c r="M3724" s="1">
        <v>0.24621703331572314</v>
      </c>
      <c r="N3724" s="1">
        <v>2.7906329284281695</v>
      </c>
      <c r="O3724" s="1">
        <v>0.20422804597701152</v>
      </c>
      <c r="P3724" s="1">
        <v>0.14386309718421347</v>
      </c>
      <c r="Q3724" s="1">
        <v>7.2876384654138757</v>
      </c>
      <c r="R3724" s="2">
        <f t="shared" si="235"/>
        <v>335.48136489689142</v>
      </c>
      <c r="S3724" s="2">
        <f t="shared" si="234"/>
        <v>3.2378469067394011</v>
      </c>
      <c r="T3724" s="2">
        <f t="shared" si="236"/>
        <v>7.4769764771138822</v>
      </c>
      <c r="U3724" s="2">
        <f t="shared" si="237"/>
        <v>346.19618828074471</v>
      </c>
    </row>
    <row r="3725" spans="1:21" x14ac:dyDescent="0.25">
      <c r="A3725">
        <v>4832581</v>
      </c>
      <c r="B3725">
        <v>57</v>
      </c>
      <c r="C3725" s="1">
        <f>8.46991983595916*(10.3/7.3)</f>
        <v>11.950708809641011</v>
      </c>
      <c r="D3725" s="1">
        <f>13.8787683237961*(10.3/7.3)</f>
        <v>19.582371744534179</v>
      </c>
      <c r="E3725" s="1">
        <f>48.6697967599442*(10.3/7.3)</f>
        <v>68.671083099647262</v>
      </c>
      <c r="F3725" s="1">
        <f>91.2747329554713*(38.9/42.5)</f>
        <v>83.543226163949043</v>
      </c>
      <c r="G3725" s="1">
        <v>3.2620109154575965</v>
      </c>
      <c r="H3725" s="1">
        <v>5.1362192928270938</v>
      </c>
      <c r="I3725" s="1">
        <v>61.09110181178059</v>
      </c>
      <c r="J3725" s="1">
        <v>4.6360350945313766E-2</v>
      </c>
      <c r="K3725" s="1">
        <v>2.9647324178148926</v>
      </c>
      <c r="L3725" s="1">
        <v>4.145236747943251</v>
      </c>
      <c r="M3725" s="1">
        <v>0.23674803507503531</v>
      </c>
      <c r="N3725" s="1">
        <v>2.4296383970936843</v>
      </c>
      <c r="O3725" s="1">
        <v>0.19859181286549712</v>
      </c>
      <c r="P3725" s="1">
        <v>0.14197570751618849</v>
      </c>
      <c r="Q3725" s="1">
        <v>5.2132594539276678</v>
      </c>
      <c r="R3725" s="2">
        <f t="shared" si="235"/>
        <v>258.44998129176446</v>
      </c>
      <c r="S3725" s="2">
        <f t="shared" si="234"/>
        <v>3.1530684762763945</v>
      </c>
      <c r="T3725" s="2">
        <f t="shared" si="236"/>
        <v>7.0102149929774678</v>
      </c>
      <c r="U3725" s="2">
        <f t="shared" si="237"/>
        <v>268.61326476101834</v>
      </c>
    </row>
    <row r="3726" spans="1:21" x14ac:dyDescent="0.25">
      <c r="A3726">
        <v>4832589</v>
      </c>
      <c r="B3726">
        <v>55</v>
      </c>
      <c r="C3726" s="1">
        <f>11.7690883896931*(10.3/7.3)</f>
        <v>16.605700056690214</v>
      </c>
      <c r="D3726" s="1">
        <f>18.972827149465*(10.3/7.3)</f>
        <v>26.769879402669762</v>
      </c>
      <c r="E3726" s="1">
        <f>66.5399796341033*(10.3/7.3)</f>
        <v>93.885176744008831</v>
      </c>
      <c r="F3726" s="1">
        <f>126.379977160383*(38.9/42.5)</f>
        <v>115.67484968326787</v>
      </c>
      <c r="G3726" s="1">
        <v>4.5796016899256538</v>
      </c>
      <c r="H3726" s="1">
        <v>6.6842147005364669</v>
      </c>
      <c r="I3726" s="1">
        <v>85.380407049277423</v>
      </c>
      <c r="J3726" s="1">
        <v>6.385605049153846E-2</v>
      </c>
      <c r="K3726" s="1">
        <v>3.7871284889434413</v>
      </c>
      <c r="L3726" s="1">
        <v>5.8524903438116596</v>
      </c>
      <c r="M3726" s="1">
        <v>0.31031358850623425</v>
      </c>
      <c r="N3726" s="1">
        <v>3.1705401347059645</v>
      </c>
      <c r="O3726" s="1">
        <v>0.25583709090909096</v>
      </c>
      <c r="P3726" s="1">
        <v>0.1718548177465912</v>
      </c>
      <c r="Q3726" s="1">
        <v>7.3189981345843886</v>
      </c>
      <c r="R3726" s="2">
        <f t="shared" si="235"/>
        <v>356.8988274609606</v>
      </c>
      <c r="S3726" s="2">
        <f t="shared" si="234"/>
        <v>4.0228393571815708</v>
      </c>
      <c r="T3726" s="2">
        <f t="shared" si="236"/>
        <v>9.5891811579329502</v>
      </c>
      <c r="U3726" s="2">
        <f t="shared" si="237"/>
        <v>370.51084797607513</v>
      </c>
    </row>
    <row r="3727" spans="1:21" x14ac:dyDescent="0.25">
      <c r="A3727">
        <v>4832597</v>
      </c>
      <c r="B3727">
        <v>17</v>
      </c>
      <c r="C3727" s="1">
        <f>8.90416477413344*(10.3/7.3)</f>
        <v>12.563410571722525</v>
      </c>
      <c r="D3727" s="1">
        <f>14.2702692832147*(10.3/7.3)</f>
        <v>20.134763509193352</v>
      </c>
      <c r="E3727" s="1">
        <f>49.9981161552046*(10.3/7.3)</f>
        <v>70.545287177891495</v>
      </c>
      <c r="F3727" s="1">
        <f>97.9763224418611*(38.9/42.5)</f>
        <v>89.677151599726983</v>
      </c>
      <c r="G3727" s="1">
        <v>3.6907566278544164</v>
      </c>
      <c r="H3727" s="1">
        <v>7.7162157358400467</v>
      </c>
      <c r="I3727" s="1">
        <v>66.968993054363523</v>
      </c>
      <c r="J3727" s="1">
        <v>5.5518077959445147E-2</v>
      </c>
      <c r="K3727" s="1">
        <v>3.3220047551897784</v>
      </c>
      <c r="L3727" s="1">
        <v>4.8393578763957592</v>
      </c>
      <c r="M3727" s="1">
        <v>0.26387789212723611</v>
      </c>
      <c r="N3727" s="1">
        <v>2.8543034025079765</v>
      </c>
      <c r="O3727" s="1">
        <v>0.22191999999999998</v>
      </c>
      <c r="P3727" s="1">
        <v>0.15322540806439477</v>
      </c>
      <c r="Q3727" s="1">
        <v>5.8984694965709918</v>
      </c>
      <c r="R3727" s="2">
        <f t="shared" si="235"/>
        <v>277.19504777316337</v>
      </c>
      <c r="S3727" s="2">
        <f t="shared" si="234"/>
        <v>3.5307482412136184</v>
      </c>
      <c r="T3727" s="2">
        <f t="shared" si="236"/>
        <v>8.1794591710309721</v>
      </c>
      <c r="U3727" s="2">
        <f t="shared" si="237"/>
        <v>288.90525518540801</v>
      </c>
    </row>
    <row r="3728" spans="1:21" x14ac:dyDescent="0.25">
      <c r="A3728">
        <v>4832605</v>
      </c>
      <c r="B3728">
        <v>51</v>
      </c>
      <c r="C3728" s="1">
        <f>6.53370375243215*(10.3/7.3)</f>
        <v>9.2187874863083774</v>
      </c>
      <c r="D3728" s="1">
        <f>10.1980616087156*(10.3/7.3)</f>
        <v>14.389045831475494</v>
      </c>
      <c r="E3728" s="1">
        <f>35.8053545455253*(10.3/7.3)</f>
        <v>50.51988381080966</v>
      </c>
      <c r="F3728" s="1">
        <f>68.1045346464144*(38.9/42.5)</f>
        <v>62.33567994695342</v>
      </c>
      <c r="G3728" s="1">
        <v>2.4573907614570007</v>
      </c>
      <c r="H3728" s="1">
        <v>5.2313483311125761</v>
      </c>
      <c r="I3728" s="1">
        <v>46.506993175703009</v>
      </c>
      <c r="J3728" s="1">
        <v>4.1817022627608051E-2</v>
      </c>
      <c r="K3728" s="1">
        <v>2.7729579143883609</v>
      </c>
      <c r="L3728" s="1">
        <v>3.763349853288779</v>
      </c>
      <c r="M3728" s="1">
        <v>0.20882669910485638</v>
      </c>
      <c r="N3728" s="1">
        <v>2.0448649084109456</v>
      </c>
      <c r="O3728" s="1">
        <v>0.17995189542483658</v>
      </c>
      <c r="P3728" s="1">
        <v>0.13061440956183221</v>
      </c>
      <c r="Q3728" s="1">
        <v>3.9273368333787722</v>
      </c>
      <c r="R3728" s="2">
        <f t="shared" si="235"/>
        <v>194.58646617719828</v>
      </c>
      <c r="S3728" s="2">
        <f t="shared" si="234"/>
        <v>2.9453893465778012</v>
      </c>
      <c r="T3728" s="2">
        <f t="shared" si="236"/>
        <v>6.1969933562294175</v>
      </c>
      <c r="U3728" s="2">
        <f t="shared" si="237"/>
        <v>203.7288488800055</v>
      </c>
    </row>
    <row r="3729" spans="1:21" x14ac:dyDescent="0.25">
      <c r="A3729">
        <v>4832613</v>
      </c>
      <c r="B3729">
        <v>55</v>
      </c>
      <c r="C3729" s="1">
        <f>7.11037775102476*(10.3/7.3)</f>
        <v>10.032450799391098</v>
      </c>
      <c r="D3729" s="1">
        <f>10.9156248406025*(10.3/7.3)</f>
        <v>15.401498062767896</v>
      </c>
      <c r="E3729" s="1">
        <f>38.3391147592028*(10.3/7.3)</f>
        <v>54.094915345176581</v>
      </c>
      <c r="F3729" s="1">
        <f>73.3754667037011*(38.9/42.5)</f>
        <v>67.160133053505234</v>
      </c>
      <c r="G3729" s="1">
        <v>2.6606804398051582</v>
      </c>
      <c r="H3729" s="1">
        <v>5.2649703270571866</v>
      </c>
      <c r="I3729" s="1">
        <v>50.468933763197086</v>
      </c>
      <c r="J3729" s="1">
        <v>4.774900332745597E-2</v>
      </c>
      <c r="K3729" s="1">
        <v>3.0802488546368947</v>
      </c>
      <c r="L3729" s="1">
        <v>4.3132760804594952</v>
      </c>
      <c r="M3729" s="1">
        <v>0.23101133966925139</v>
      </c>
      <c r="N3729" s="1">
        <v>2.3330529403208815</v>
      </c>
      <c r="O3729" s="1">
        <v>0.20056048484848479</v>
      </c>
      <c r="P3729" s="1">
        <v>0.1417761206727319</v>
      </c>
      <c r="Q3729" s="1">
        <v>4.2522290133872422</v>
      </c>
      <c r="R3729" s="2">
        <f t="shared" si="235"/>
        <v>209.33581080428752</v>
      </c>
      <c r="S3729" s="2">
        <f t="shared" si="234"/>
        <v>3.2697739786370827</v>
      </c>
      <c r="T3729" s="2">
        <f t="shared" si="236"/>
        <v>7.0779008452981129</v>
      </c>
      <c r="U3729" s="2">
        <f t="shared" si="237"/>
        <v>219.68348562822271</v>
      </c>
    </row>
    <row r="3730" spans="1:21" x14ac:dyDescent="0.25">
      <c r="A3730">
        <v>4832621</v>
      </c>
      <c r="B3730">
        <v>52</v>
      </c>
      <c r="C3730" s="1">
        <f>7.75252023490663*(10.3/7.3)</f>
        <v>10.938487454731273</v>
      </c>
      <c r="D3730" s="1">
        <f>11.6754020883052*(10.3/7.3)</f>
        <v>16.473512535553912</v>
      </c>
      <c r="E3730" s="1">
        <f>41.0201079240391*(10.3/7.3)</f>
        <v>57.877686522959237</v>
      </c>
      <c r="F3730" s="1">
        <f>79.362484792197*(38.9/42.5)</f>
        <v>72.640015492152031</v>
      </c>
      <c r="G3730" s="1">
        <v>2.9079198723240838</v>
      </c>
      <c r="H3730" s="1">
        <v>5.9625714490267878</v>
      </c>
      <c r="I3730" s="1">
        <v>55.09980721080656</v>
      </c>
      <c r="J3730" s="1">
        <v>5.357436423835011E-2</v>
      </c>
      <c r="K3730" s="1">
        <v>3.3283032797032774</v>
      </c>
      <c r="L3730" s="1">
        <v>4.857689403347587</v>
      </c>
      <c r="M3730" s="1">
        <v>0.24898314261543206</v>
      </c>
      <c r="N3730" s="1">
        <v>2.7697829166972414</v>
      </c>
      <c r="O3730" s="1">
        <v>0.21391076923076927</v>
      </c>
      <c r="P3730" s="1">
        <v>0.14868427056026173</v>
      </c>
      <c r="Q3730" s="1">
        <v>4.647360526545345</v>
      </c>
      <c r="R3730" s="2">
        <f t="shared" si="235"/>
        <v>226.54736106409922</v>
      </c>
      <c r="S3730" s="2">
        <f t="shared" si="234"/>
        <v>3.5305619145018889</v>
      </c>
      <c r="T3730" s="2">
        <f t="shared" si="236"/>
        <v>8.0903662318910303</v>
      </c>
      <c r="U3730" s="2">
        <f t="shared" si="237"/>
        <v>238.16828921049216</v>
      </c>
    </row>
    <row r="3731" spans="1:21" x14ac:dyDescent="0.25">
      <c r="A3731">
        <v>4832629</v>
      </c>
      <c r="B3731">
        <v>50</v>
      </c>
      <c r="C3731" s="1">
        <f>7.13029958303212*(10.3/7.3)</f>
        <v>10.060559685648064</v>
      </c>
      <c r="D3731" s="1">
        <f>10.6131289284344*(10.3/7.3)</f>
        <v>14.974688762037568</v>
      </c>
      <c r="E3731" s="1">
        <f>37.2894757655723*(10.3/7.3)</f>
        <v>52.613917861012979</v>
      </c>
      <c r="F3731" s="1">
        <f>72.9039336146234*(38.9/42.5)</f>
        <v>66.728541590796439</v>
      </c>
      <c r="G3731" s="1">
        <v>2.7011930587257611</v>
      </c>
      <c r="H3731" s="1">
        <v>5.4119578231262384</v>
      </c>
      <c r="I3731" s="1">
        <v>50.957445751448169</v>
      </c>
      <c r="J3731" s="1">
        <v>5.3330282102223361E-2</v>
      </c>
      <c r="K3731" s="1">
        <v>3.2860969203032413</v>
      </c>
      <c r="L3731" s="1">
        <v>4.7338695809588822</v>
      </c>
      <c r="M3731" s="1">
        <v>0.24051307504328584</v>
      </c>
      <c r="N3731" s="1">
        <v>3.2096466907283263</v>
      </c>
      <c r="O3731" s="1">
        <v>0.20855680000000004</v>
      </c>
      <c r="P3731" s="1">
        <v>0.14549981544280491</v>
      </c>
      <c r="Q3731" s="1">
        <v>4.3169752080092119</v>
      </c>
      <c r="R3731" s="2">
        <f t="shared" si="235"/>
        <v>207.76527974080443</v>
      </c>
      <c r="S3731" s="2">
        <f t="shared" si="234"/>
        <v>3.4849270178482694</v>
      </c>
      <c r="T3731" s="2">
        <f t="shared" si="236"/>
        <v>8.3925861467304941</v>
      </c>
      <c r="U3731" s="2">
        <f t="shared" si="237"/>
        <v>219.6427929053832</v>
      </c>
    </row>
    <row r="3732" spans="1:21" x14ac:dyDescent="0.25">
      <c r="A3732">
        <v>4832637</v>
      </c>
      <c r="B3732">
        <v>53</v>
      </c>
      <c r="C3732" s="1">
        <f>7.85416413057086*(10.3/7.3)</f>
        <v>11.081902814367098</v>
      </c>
      <c r="D3732" s="1">
        <f>11.5089833358495*(10.3/7.3)</f>
        <v>16.23870251496573</v>
      </c>
      <c r="E3732" s="1">
        <f>40.4377002373948*(10.3/7.3)</f>
        <v>57.055933211666598</v>
      </c>
      <c r="F3732" s="1">
        <f>80.2554134441597*(38.9/42.5)</f>
        <v>73.457307834772067</v>
      </c>
      <c r="G3732" s="1">
        <v>3.0208991872207651</v>
      </c>
      <c r="H3732" s="1">
        <v>5.8261762250226958</v>
      </c>
      <c r="I3732" s="1">
        <v>56.608185256771733</v>
      </c>
      <c r="J3732" s="1">
        <v>6.074634547192416E-2</v>
      </c>
      <c r="K3732" s="1">
        <v>3.54488056665872</v>
      </c>
      <c r="L3732" s="1">
        <v>5.2433831079210993</v>
      </c>
      <c r="M3732" s="1">
        <v>0.25629385754540296</v>
      </c>
      <c r="N3732" s="1">
        <v>3.6594428321191459</v>
      </c>
      <c r="O3732" s="1">
        <v>0.22069333333333335</v>
      </c>
      <c r="P3732" s="1">
        <v>0.15147193637721401</v>
      </c>
      <c r="Q3732" s="1">
        <v>4.8279210754669819</v>
      </c>
      <c r="R3732" s="2">
        <f t="shared" si="235"/>
        <v>228.11702812025368</v>
      </c>
      <c r="S3732" s="2">
        <f t="shared" si="234"/>
        <v>3.7570988485078582</v>
      </c>
      <c r="T3732" s="2">
        <f t="shared" si="236"/>
        <v>9.3798131309189809</v>
      </c>
      <c r="U3732" s="2">
        <f t="shared" si="237"/>
        <v>241.25394009968053</v>
      </c>
    </row>
    <row r="3733" spans="1:21" x14ac:dyDescent="0.25">
      <c r="A3733">
        <v>4832645</v>
      </c>
      <c r="B3733">
        <v>54</v>
      </c>
      <c r="C3733" s="1">
        <f>7.61710953111591*(10.3/7.3)</f>
        <v>10.747428516506009</v>
      </c>
      <c r="D3733" s="1">
        <f>10.994811222584*(10.3/7.3)</f>
        <v>15.51322679350894</v>
      </c>
      <c r="E3733" s="1">
        <f>38.6356310525423*(10.3/7.3)</f>
        <v>54.513287649477476</v>
      </c>
      <c r="F3733" s="1">
        <f>77.5966858241757*(38.9/42.5)</f>
        <v>71.023790083774927</v>
      </c>
      <c r="G3733" s="1">
        <v>2.9551013706505347</v>
      </c>
      <c r="H3733" s="1">
        <v>6.2782561504929886</v>
      </c>
      <c r="I3733" s="1">
        <v>55.166115427932574</v>
      </c>
      <c r="J3733" s="1">
        <v>6.4842282482390448E-2</v>
      </c>
      <c r="K3733" s="1">
        <v>3.5954322110912273</v>
      </c>
      <c r="L3733" s="1">
        <v>5.2552523913515037</v>
      </c>
      <c r="M3733" s="1">
        <v>0.25276335954208079</v>
      </c>
      <c r="N3733" s="1">
        <v>3.6032701233653359</v>
      </c>
      <c r="O3733" s="1">
        <v>0.21720197530864194</v>
      </c>
      <c r="P3733" s="1">
        <v>0.14983136909139361</v>
      </c>
      <c r="Q3733" s="1">
        <v>4.722764747615015</v>
      </c>
      <c r="R3733" s="2">
        <f t="shared" si="235"/>
        <v>220.91997073995842</v>
      </c>
      <c r="S3733" s="2">
        <f t="shared" si="234"/>
        <v>3.8101058626650115</v>
      </c>
      <c r="T3733" s="2">
        <f t="shared" si="236"/>
        <v>9.3284878495675621</v>
      </c>
      <c r="U3733" s="2">
        <f t="shared" si="237"/>
        <v>234.05856445219098</v>
      </c>
    </row>
    <row r="3734" spans="1:21" x14ac:dyDescent="0.25">
      <c r="A3734">
        <v>4832741</v>
      </c>
      <c r="B3734">
        <v>56</v>
      </c>
      <c r="C3734" s="1">
        <f>3.73983204313787*(10.3/7.3)</f>
        <v>5.2767493211397367</v>
      </c>
      <c r="D3734" s="1">
        <f>5.15325569364557*(10.3/7.3)</f>
        <v>7.2710320061026525</v>
      </c>
      <c r="E3734" s="1">
        <f>17.9892014544815*(10.3/7.3)</f>
        <v>25.382023970021837</v>
      </c>
      <c r="F3734" s="1">
        <f>43.8587671114368*(38.9/42.5)</f>
        <v>40.143671544350411</v>
      </c>
      <c r="G3734" s="1">
        <v>2.0131788107458912</v>
      </c>
      <c r="H3734" s="1">
        <v>8.6560047280636123</v>
      </c>
      <c r="I3734" s="1">
        <v>32.989380368827966</v>
      </c>
      <c r="J3734" s="1">
        <v>3.556350303317779E-2</v>
      </c>
      <c r="K3734" s="1">
        <v>2.3273814925842089</v>
      </c>
      <c r="L3734" s="1">
        <v>3.1960182647778788</v>
      </c>
      <c r="M3734" s="1">
        <v>0.13294656709348346</v>
      </c>
      <c r="N3734" s="1">
        <v>1.6607909465177191</v>
      </c>
      <c r="O3734" s="1">
        <v>0.11752095238095235</v>
      </c>
      <c r="P3734" s="1">
        <v>9.1275042795386438E-2</v>
      </c>
      <c r="Q3734" s="1">
        <v>3.2174090582696948</v>
      </c>
      <c r="R3734" s="2">
        <f t="shared" si="235"/>
        <v>124.94944980752179</v>
      </c>
      <c r="S3734" s="2">
        <f t="shared" si="234"/>
        <v>2.4542200384127728</v>
      </c>
      <c r="T3734" s="2">
        <f t="shared" si="236"/>
        <v>5.1072767307700335</v>
      </c>
      <c r="U3734" s="2">
        <f t="shared" si="237"/>
        <v>132.51094657670458</v>
      </c>
    </row>
    <row r="3735" spans="1:21" x14ac:dyDescent="0.25">
      <c r="A3735">
        <v>4832749</v>
      </c>
      <c r="B3735">
        <v>18</v>
      </c>
      <c r="C3735" s="1">
        <f>3.52472759859414*(10.3/7.3)</f>
        <v>4.9732457897972093</v>
      </c>
      <c r="D3735" s="1">
        <f>4.69128313289655*(10.3/7.3)</f>
        <v>6.6192077080595224</v>
      </c>
      <c r="E3735" s="1">
        <f>16.3983534663222*(10.3/7.3)</f>
        <v>23.137402836043709</v>
      </c>
      <c r="F3735" s="1">
        <f>40.0782412593144*(38.9/42.5)</f>
        <v>36.683378470290144</v>
      </c>
      <c r="G3735" s="1">
        <v>1.8346242752285851</v>
      </c>
      <c r="H3735" s="1">
        <v>6.3789043199949891</v>
      </c>
      <c r="I3735" s="1">
        <v>30.432921951234636</v>
      </c>
      <c r="J3735" s="1">
        <v>3.460285517303166E-2</v>
      </c>
      <c r="K3735" s="1">
        <v>2.2598370773788075</v>
      </c>
      <c r="L3735" s="1">
        <v>3.4944386567471679</v>
      </c>
      <c r="M3735" s="1">
        <v>0.12676099374988398</v>
      </c>
      <c r="N3735" s="1">
        <v>1.6187889472936954</v>
      </c>
      <c r="O3735" s="1">
        <v>0.11212148148148149</v>
      </c>
      <c r="P3735" s="1">
        <v>8.8608513545940834E-2</v>
      </c>
      <c r="Q3735" s="1">
        <v>2.9320479284475125</v>
      </c>
      <c r="R3735" s="2">
        <f t="shared" si="235"/>
        <v>112.99173327909631</v>
      </c>
      <c r="S3735" s="2">
        <f t="shared" si="234"/>
        <v>2.3830484460977797</v>
      </c>
      <c r="T3735" s="2">
        <f t="shared" si="236"/>
        <v>5.3521100792722285</v>
      </c>
      <c r="U3735" s="2">
        <f t="shared" si="237"/>
        <v>120.72689180446631</v>
      </c>
    </row>
    <row r="3736" spans="1:21" x14ac:dyDescent="0.25">
      <c r="A3736">
        <v>4833029</v>
      </c>
      <c r="B3736">
        <v>3</v>
      </c>
      <c r="C3736" s="1">
        <f>2.94908530120865*(10.3/7.3)</f>
        <v>4.1610381647190557</v>
      </c>
      <c r="D3736" s="1">
        <f>3.407965001763*(10.3/7.3)</f>
        <v>4.8084985641313525</v>
      </c>
      <c r="E3736" s="1">
        <f>12.0476980025388*(10.3/7.3)</f>
        <v>16.99880677070545</v>
      </c>
      <c r="F3736" s="1">
        <f>26.4725776558433*(38.9/42.5)</f>
        <v>24.230194607348331</v>
      </c>
      <c r="G3736" s="1">
        <v>1.0698020921561655</v>
      </c>
      <c r="H3736" s="1">
        <v>2.8431303930720162</v>
      </c>
      <c r="I3736" s="1">
        <v>20.57815938046101</v>
      </c>
      <c r="J3736" s="1">
        <v>2.5705328361228883E-2</v>
      </c>
      <c r="K3736" s="1">
        <v>1.6878131693476046</v>
      </c>
      <c r="L3736" s="1">
        <v>1.6638728488924432</v>
      </c>
      <c r="M3736" s="1">
        <v>7.6818392015965395E-2</v>
      </c>
      <c r="N3736" s="1">
        <v>1.0206893814235622</v>
      </c>
      <c r="O3736" s="1">
        <v>7.4737777777777778E-2</v>
      </c>
      <c r="P3736" s="1">
        <v>6.1345378167314564E-2</v>
      </c>
      <c r="Q3736" s="1">
        <v>1.709729371025837</v>
      </c>
      <c r="R3736" s="2">
        <f t="shared" si="235"/>
        <v>76.39935934361921</v>
      </c>
      <c r="S3736" s="2">
        <f t="shared" si="234"/>
        <v>1.7748638758761481</v>
      </c>
      <c r="T3736" s="2">
        <f t="shared" si="236"/>
        <v>2.8361184001097484</v>
      </c>
      <c r="U3736" s="2">
        <f t="shared" si="237"/>
        <v>81.010341619605114</v>
      </c>
    </row>
    <row r="3737" spans="1:21" x14ac:dyDescent="0.25">
      <c r="A3737">
        <v>4844313</v>
      </c>
      <c r="B3737">
        <v>14</v>
      </c>
      <c r="C3737" s="1">
        <f>0.603810379052669*(10.3/7.3)</f>
        <v>0.85195163071814994</v>
      </c>
      <c r="D3737" s="1">
        <f>0.850776174244725*(10.3/7.3)</f>
        <v>1.2004102184548857</v>
      </c>
      <c r="E3737" s="1">
        <f>2.95463564229703*(10.3/7.3)</f>
        <v>4.1688694678985545</v>
      </c>
      <c r="F3737" s="1">
        <f>7.84494918524793*(38.9/42.5)</f>
        <v>7.1804358424975181</v>
      </c>
      <c r="G3737" s="1">
        <v>0.3855490427881324</v>
      </c>
      <c r="H3737" s="1">
        <v>1.6302844046893081</v>
      </c>
      <c r="I3737" s="1">
        <v>5.9616552951769419</v>
      </c>
      <c r="J3737" s="1">
        <v>3.8844105709472908E-2</v>
      </c>
      <c r="K3737" s="1">
        <v>2.7708052273598227</v>
      </c>
      <c r="L3737" s="1">
        <v>2.1881942055281156</v>
      </c>
      <c r="M3737" s="1">
        <v>0.47729584936495428</v>
      </c>
      <c r="N3737" s="1">
        <v>1.3188653885336314</v>
      </c>
      <c r="O3737" s="1">
        <v>0.41118857142857151</v>
      </c>
      <c r="P3737" s="1">
        <v>0.22480303046959027</v>
      </c>
      <c r="Q3737" s="1">
        <v>0.61617426929610264</v>
      </c>
      <c r="R3737" s="2">
        <f t="shared" si="235"/>
        <v>21.995330171519594</v>
      </c>
      <c r="S3737" s="2">
        <f t="shared" si="234"/>
        <v>3.034452363538886</v>
      </c>
      <c r="T3737" s="2">
        <f t="shared" si="236"/>
        <v>4.3955440148552727</v>
      </c>
      <c r="U3737" s="2">
        <f t="shared" si="237"/>
        <v>29.425326549913752</v>
      </c>
    </row>
    <row r="3738" spans="1:21" x14ac:dyDescent="0.25">
      <c r="A3738">
        <v>4844321</v>
      </c>
      <c r="B3738">
        <v>63</v>
      </c>
      <c r="C3738" s="1">
        <f>0.700797595045539*(10.3/7.3)</f>
        <v>0.98879660670808922</v>
      </c>
      <c r="D3738" s="1">
        <f>0.999973561011833*(10.3/7.3)</f>
        <v>1.4109215997838191</v>
      </c>
      <c r="E3738" s="1">
        <f>3.46588598782078*(10.3/7.3)</f>
        <v>4.8902226951443879</v>
      </c>
      <c r="F3738" s="1">
        <f>9.46523195803162*(38.9/42.5)</f>
        <v>8.6634711333512939</v>
      </c>
      <c r="G3738" s="1">
        <v>0.47500321946743368</v>
      </c>
      <c r="H3738" s="1">
        <v>2.0430121027676722</v>
      </c>
      <c r="I3738" s="1">
        <v>7.2082630255501705</v>
      </c>
      <c r="J3738" s="1">
        <v>4.6662174955927449E-2</v>
      </c>
      <c r="K3738" s="1">
        <v>3.0915946216242576</v>
      </c>
      <c r="L3738" s="1">
        <v>2.3799474825419193</v>
      </c>
      <c r="M3738" s="1">
        <v>0.55653583730965284</v>
      </c>
      <c r="N3738" s="1">
        <v>1.5413757980673661</v>
      </c>
      <c r="O3738" s="1">
        <v>0.48905142857142869</v>
      </c>
      <c r="P3738" s="1">
        <v>0.24608391521975928</v>
      </c>
      <c r="Q3738" s="1">
        <v>0.75913756535891308</v>
      </c>
      <c r="R3738" s="2">
        <f t="shared" si="235"/>
        <v>26.438827948131781</v>
      </c>
      <c r="S3738" s="2">
        <f t="shared" si="234"/>
        <v>3.3843407117999442</v>
      </c>
      <c r="T3738" s="2">
        <f t="shared" si="236"/>
        <v>4.9669105464903671</v>
      </c>
      <c r="U3738" s="2">
        <f t="shared" si="237"/>
        <v>34.790079206422092</v>
      </c>
    </row>
    <row r="3739" spans="1:21" x14ac:dyDescent="0.25">
      <c r="A3739">
        <v>4844329</v>
      </c>
      <c r="B3739">
        <v>27</v>
      </c>
      <c r="C3739" s="1">
        <f>0.726602267922855*(10.3/7.3)</f>
        <v>1.025205939671973</v>
      </c>
      <c r="D3739" s="1">
        <f>1.05941040327536*(10.3/7.3)</f>
        <v>1.4947845416076948</v>
      </c>
      <c r="E3739" s="1">
        <f>3.65977235740482*(10.3/7.3)</f>
        <v>5.1637883946944756</v>
      </c>
      <c r="F3739" s="1">
        <f>10.4558348993681*(38.9/42.5)</f>
        <v>9.5701641784804252</v>
      </c>
      <c r="G3739" s="1">
        <v>0.54148975023544399</v>
      </c>
      <c r="H3739" s="1">
        <v>2.9448733757898573</v>
      </c>
      <c r="I3739" s="1">
        <v>7.9881429852540178</v>
      </c>
      <c r="J3739" s="1">
        <v>5.8925527732186227E-2</v>
      </c>
      <c r="K3739" s="1">
        <v>3.2288835811398551</v>
      </c>
      <c r="L3739" s="1">
        <v>2.4789994840210712</v>
      </c>
      <c r="M3739" s="1">
        <v>0.60657769517800608</v>
      </c>
      <c r="N3739" s="1">
        <v>2.0659145318636378</v>
      </c>
      <c r="O3739" s="1">
        <v>0.52126222222222218</v>
      </c>
      <c r="P3739" s="1">
        <v>0.24725908160189794</v>
      </c>
      <c r="Q3739" s="1">
        <v>0.86539457800185204</v>
      </c>
      <c r="R3739" s="2">
        <f t="shared" si="235"/>
        <v>29.593843743735739</v>
      </c>
      <c r="S3739" s="2">
        <f t="shared" si="234"/>
        <v>3.5350681904739392</v>
      </c>
      <c r="T3739" s="2">
        <f t="shared" si="236"/>
        <v>5.6727539332849366</v>
      </c>
      <c r="U3739" s="2">
        <f t="shared" si="237"/>
        <v>38.801665867494613</v>
      </c>
    </row>
    <row r="3740" spans="1:21" x14ac:dyDescent="0.25">
      <c r="A3740">
        <v>4844561</v>
      </c>
      <c r="B3740">
        <v>11</v>
      </c>
      <c r="C3740" s="1">
        <f>1.58972743417531*(10.3/7.3)</f>
        <v>2.2430400783569429</v>
      </c>
      <c r="D3740" s="1">
        <f>2.43463038730975*(10.3/7.3)</f>
        <v>3.4351634231904624</v>
      </c>
      <c r="E3740" s="1">
        <f>8.36255082918677*(10.3/7.3)</f>
        <v>11.799215553510102</v>
      </c>
      <c r="F3740" s="1">
        <f>25.5479190015186*(38.9/42.5)</f>
        <v>23.383859980213462</v>
      </c>
      <c r="G3740" s="1">
        <v>1.3823880203938255</v>
      </c>
      <c r="H3740" s="1">
        <v>8.3625972905865655</v>
      </c>
      <c r="I3740" s="1">
        <v>19.552697333396836</v>
      </c>
      <c r="J3740" s="1">
        <v>4.2158929548537276E-2</v>
      </c>
      <c r="K3740" s="1">
        <v>2.7324066416483941</v>
      </c>
      <c r="L3740" s="1">
        <v>4.3429690617558236</v>
      </c>
      <c r="M3740" s="1">
        <v>0.63120656412773812</v>
      </c>
      <c r="N3740" s="1">
        <v>1.950717987996935</v>
      </c>
      <c r="O3740" s="1">
        <v>0.25538424242424246</v>
      </c>
      <c r="P3740" s="1">
        <v>0.16876646842901796</v>
      </c>
      <c r="Q3740" s="1">
        <v>2.2092959230038329</v>
      </c>
      <c r="R3740" s="2">
        <f t="shared" si="235"/>
        <v>72.368257602652037</v>
      </c>
      <c r="S3740" s="2">
        <f t="shared" si="234"/>
        <v>2.9433320396259495</v>
      </c>
      <c r="T3740" s="2">
        <f t="shared" si="236"/>
        <v>7.1802778563047394</v>
      </c>
      <c r="U3740" s="2">
        <f t="shared" si="237"/>
        <v>82.491867498582721</v>
      </c>
    </row>
    <row r="3741" spans="1:21" x14ac:dyDescent="0.25">
      <c r="A3741">
        <v>4844569</v>
      </c>
      <c r="B3741">
        <v>1</v>
      </c>
      <c r="C3741" s="1">
        <f>1.29882958185406*(10.3/7.3)</f>
        <v>1.8325951634379205</v>
      </c>
      <c r="D3741" s="1">
        <f>1.92075033785191*(10.3/7.3)</f>
        <v>2.7100997917636516</v>
      </c>
      <c r="E3741" s="1">
        <f>6.62496362384911*(10.3/7.3)</f>
        <v>9.3475514144720293</v>
      </c>
      <c r="F3741" s="1">
        <f>19.2715436306109*(38.9/42.5)</f>
        <v>17.639130523076808</v>
      </c>
      <c r="G3741" s="1">
        <v>1.0105037547399136</v>
      </c>
      <c r="H3741" s="1">
        <v>4.9143428226185719</v>
      </c>
      <c r="I3741" s="1">
        <v>14.726098077793472</v>
      </c>
      <c r="J3741" s="1">
        <v>3.8053051294734339E-2</v>
      </c>
      <c r="K3741" s="1">
        <v>2.4900838330617483</v>
      </c>
      <c r="L3741" s="1">
        <v>3.7434465299930881</v>
      </c>
      <c r="M3741" s="1">
        <v>0.51149395453802604</v>
      </c>
      <c r="N3741" s="1">
        <v>1.7661546297245823</v>
      </c>
      <c r="O3741" s="1">
        <v>0.22581333333333334</v>
      </c>
      <c r="P3741" s="1">
        <v>0.15496782567703837</v>
      </c>
      <c r="Q3741" s="1">
        <v>1.6149603386254345</v>
      </c>
      <c r="R3741" s="2">
        <f t="shared" si="235"/>
        <v>53.795281886527803</v>
      </c>
      <c r="S3741" s="2">
        <f t="shared" si="234"/>
        <v>2.683104710033521</v>
      </c>
      <c r="T3741" s="2">
        <f t="shared" si="236"/>
        <v>6.2469084475890293</v>
      </c>
      <c r="U3741" s="2">
        <f t="shared" si="237"/>
        <v>62.72529504415035</v>
      </c>
    </row>
    <row r="3742" spans="1:21" x14ac:dyDescent="0.25">
      <c r="A3742">
        <v>4844577</v>
      </c>
      <c r="B3742">
        <v>13</v>
      </c>
      <c r="C3742" s="1">
        <f>1.60726062944505*(10.3/7.3)</f>
        <v>2.2677786963402755</v>
      </c>
      <c r="D3742" s="1">
        <f>2.42857245708873*(10.3/7.3)</f>
        <v>3.426615932604649</v>
      </c>
      <c r="E3742" s="1">
        <f>8.37916132712617*(10.3/7.3)</f>
        <v>11.822652283479396</v>
      </c>
      <c r="F3742" s="1">
        <f>23.8868390390511*(38.9/42.5)</f>
        <v>21.863483261625607</v>
      </c>
      <c r="G3742" s="1">
        <v>1.2396444815220513</v>
      </c>
      <c r="H3742" s="1">
        <v>5.8949375443093803</v>
      </c>
      <c r="I3742" s="1">
        <v>18.109450410253679</v>
      </c>
      <c r="J3742" s="1">
        <v>4.5607912384317134E-2</v>
      </c>
      <c r="K3742" s="1">
        <v>2.814996713138016</v>
      </c>
      <c r="L3742" s="1">
        <v>4.1243521314490872</v>
      </c>
      <c r="M3742" s="1">
        <v>0.5733692733926895</v>
      </c>
      <c r="N3742" s="1">
        <v>2.0010517142558908</v>
      </c>
      <c r="O3742" s="1">
        <v>0.25396512820512823</v>
      </c>
      <c r="P3742" s="1">
        <v>0.16933226302935883</v>
      </c>
      <c r="Q3742" s="1">
        <v>1.9811669796014537</v>
      </c>
      <c r="R3742" s="2">
        <f t="shared" si="235"/>
        <v>66.605729589736484</v>
      </c>
      <c r="S3742" s="2">
        <f t="shared" si="234"/>
        <v>3.029936888551692</v>
      </c>
      <c r="T3742" s="2">
        <f t="shared" si="236"/>
        <v>6.9527382473027961</v>
      </c>
      <c r="U3742" s="2">
        <f t="shared" si="237"/>
        <v>76.588404725590962</v>
      </c>
    </row>
    <row r="3743" spans="1:21" x14ac:dyDescent="0.25">
      <c r="A3743">
        <v>4844585</v>
      </c>
      <c r="B3743">
        <v>41</v>
      </c>
      <c r="C3743" s="1">
        <f>1.57504009262703*(10.3/7.3)</f>
        <v>2.2223168430216957</v>
      </c>
      <c r="D3743" s="1">
        <f>2.42394949696048*(10.3/7.3)</f>
        <v>3.4200931258483491</v>
      </c>
      <c r="E3743" s="1">
        <f>8.34240193175707*(10.3/7.3)</f>
        <v>11.770786287273676</v>
      </c>
      <c r="F3743" s="1">
        <f>24.5565774415678*(38.9/42.5)</f>
        <v>22.476490881811472</v>
      </c>
      <c r="G3743" s="1">
        <v>1.3014536145004882</v>
      </c>
      <c r="H3743" s="1">
        <v>8.7682795442893351</v>
      </c>
      <c r="I3743" s="1">
        <v>18.656343947531564</v>
      </c>
      <c r="J3743" s="1">
        <v>5.0663645875638201E-2</v>
      </c>
      <c r="K3743" s="1">
        <v>3.0995127723107898</v>
      </c>
      <c r="L3743" s="1">
        <v>4.3940015833628694</v>
      </c>
      <c r="M3743" s="1">
        <v>0.57702850786925852</v>
      </c>
      <c r="N3743" s="1">
        <v>2.3259192828026349</v>
      </c>
      <c r="O3743" s="1">
        <v>0.26886764227642279</v>
      </c>
      <c r="P3743" s="1">
        <v>0.18604330208359776</v>
      </c>
      <c r="Q3743" s="1">
        <v>2.0799486989733862</v>
      </c>
      <c r="R3743" s="2">
        <f t="shared" si="235"/>
        <v>70.695712943249958</v>
      </c>
      <c r="S3743" s="2">
        <f t="shared" si="234"/>
        <v>3.3362197202700257</v>
      </c>
      <c r="T3743" s="2">
        <f t="shared" si="236"/>
        <v>7.5658170163111862</v>
      </c>
      <c r="U3743" s="2">
        <f t="shared" si="237"/>
        <v>81.597749679831168</v>
      </c>
    </row>
    <row r="3744" spans="1:21" x14ac:dyDescent="0.25">
      <c r="A3744">
        <v>4844793</v>
      </c>
      <c r="B3744">
        <v>7</v>
      </c>
      <c r="C3744" s="1">
        <f>12.1046569958222*(10.3/7.3)</f>
        <v>17.079173569447722</v>
      </c>
      <c r="D3744" s="1">
        <f>20.3339237310998*(10.3/7.3)</f>
        <v>28.690330743880523</v>
      </c>
      <c r="E3744" s="1">
        <f>70.9930992378846*(10.3/7.3)</f>
        <v>100.16834550002902</v>
      </c>
      <c r="F3744" s="1">
        <f>145.857810774445*(38.9/42.5)</f>
        <v>133.50279621472708</v>
      </c>
      <c r="G3744" s="1">
        <v>5.8500267426210515</v>
      </c>
      <c r="H3744" s="1">
        <v>9.9625692159343977</v>
      </c>
      <c r="I3744" s="1">
        <v>99.783239918054022</v>
      </c>
      <c r="J3744" s="1">
        <v>5.0157093098182393E-2</v>
      </c>
      <c r="K3744" s="1">
        <v>3.3189231463256164</v>
      </c>
      <c r="L3744" s="1">
        <v>4.159819261009658</v>
      </c>
      <c r="M3744" s="1">
        <v>0.25635389033154538</v>
      </c>
      <c r="N3744" s="1">
        <v>2.6211048192557969</v>
      </c>
      <c r="O3744" s="1">
        <v>0.21100190476190475</v>
      </c>
      <c r="P3744" s="1">
        <v>0.1474915836608818</v>
      </c>
      <c r="Q3744" s="1">
        <v>9.3493578078418729</v>
      </c>
      <c r="R3744" s="2">
        <f t="shared" si="235"/>
        <v>404.3858397125357</v>
      </c>
      <c r="S3744" s="2">
        <f t="shared" si="234"/>
        <v>3.5165718230846807</v>
      </c>
      <c r="T3744" s="2">
        <f t="shared" si="236"/>
        <v>7.2482798753589046</v>
      </c>
      <c r="U3744" s="2">
        <f t="shared" si="237"/>
        <v>415.15069141097928</v>
      </c>
    </row>
    <row r="3745" spans="1:21" x14ac:dyDescent="0.25">
      <c r="A3745">
        <v>4844801</v>
      </c>
      <c r="B3745">
        <v>6</v>
      </c>
      <c r="C3745" s="1">
        <f>12.789813734837*(10.3/7.3)</f>
        <v>18.045901571071454</v>
      </c>
      <c r="D3745" s="1">
        <f>21.5996752038401*(10.3/7.3)</f>
        <v>30.476254054733243</v>
      </c>
      <c r="E3745" s="1">
        <f>75.5141736777417*(10.3/7.3)</f>
        <v>106.54739573708757</v>
      </c>
      <c r="F3745" s="1">
        <f>149.311302318649*(38.9/42.5)</f>
        <v>136.66375671048121</v>
      </c>
      <c r="G3745" s="1">
        <v>5.7368816726500969</v>
      </c>
      <c r="H3745" s="1">
        <v>9.682565404099817</v>
      </c>
      <c r="I3745" s="1">
        <v>100.76638222694783</v>
      </c>
      <c r="J3745" s="1">
        <v>5.1419143129972207E-2</v>
      </c>
      <c r="K3745" s="1">
        <v>3.1745527649626717</v>
      </c>
      <c r="L3745" s="1">
        <v>4.3117659448031107</v>
      </c>
      <c r="M3745" s="1">
        <v>0.25938803330811017</v>
      </c>
      <c r="N3745" s="1">
        <v>3.565192789198067</v>
      </c>
      <c r="O3745" s="1">
        <v>0.21476444444444445</v>
      </c>
      <c r="P3745" s="1">
        <v>0.14676156554354849</v>
      </c>
      <c r="Q3745" s="1">
        <v>9.1685323535503933</v>
      </c>
      <c r="R3745" s="2">
        <f t="shared" si="235"/>
        <v>417.0876697306216</v>
      </c>
      <c r="S3745" s="2">
        <f t="shared" si="234"/>
        <v>3.3727334736361927</v>
      </c>
      <c r="T3745" s="2">
        <f t="shared" si="236"/>
        <v>8.3511112117537323</v>
      </c>
      <c r="U3745" s="2">
        <f t="shared" si="237"/>
        <v>428.81151441601151</v>
      </c>
    </row>
    <row r="3746" spans="1:21" x14ac:dyDescent="0.25">
      <c r="A3746">
        <v>4844809</v>
      </c>
      <c r="B3746">
        <v>61</v>
      </c>
      <c r="C3746" s="1">
        <f>10.6001773214331*(10.3/7.3)</f>
        <v>14.956414576816552</v>
      </c>
      <c r="D3746" s="1">
        <f>17.569103329548*(10.3/7.3)</f>
        <v>24.78928278004717</v>
      </c>
      <c r="E3746" s="1">
        <f>61.5617872324286*(10.3/7.3)</f>
        <v>86.861151848495226</v>
      </c>
      <c r="F3746" s="1">
        <f>116.703104719759*(38.9/42.5)</f>
        <v>106.81766526114421</v>
      </c>
      <c r="G3746" s="1">
        <v>4.24020812333353</v>
      </c>
      <c r="H3746" s="1">
        <v>6.0975120335010242</v>
      </c>
      <c r="I3746" s="1">
        <v>78.112659482438133</v>
      </c>
      <c r="J3746" s="1">
        <v>5.1237589657737129E-2</v>
      </c>
      <c r="K3746" s="1">
        <v>3.1889465570231694</v>
      </c>
      <c r="L3746" s="1">
        <v>4.5268822347776103</v>
      </c>
      <c r="M3746" s="1">
        <v>0.2617177242664448</v>
      </c>
      <c r="N3746" s="1">
        <v>3.1892710729160574</v>
      </c>
      <c r="O3746" s="1">
        <v>0.21718295081967215</v>
      </c>
      <c r="P3746" s="1">
        <v>0.15013131957892242</v>
      </c>
      <c r="Q3746" s="1">
        <v>6.7765883249622734</v>
      </c>
      <c r="R3746" s="2">
        <f t="shared" si="235"/>
        <v>328.65148243073816</v>
      </c>
      <c r="S3746" s="2">
        <f t="shared" si="234"/>
        <v>3.3903154662598292</v>
      </c>
      <c r="T3746" s="2">
        <f t="shared" si="236"/>
        <v>8.1950539827797861</v>
      </c>
      <c r="U3746" s="2">
        <f t="shared" si="237"/>
        <v>340.23685187977776</v>
      </c>
    </row>
    <row r="3747" spans="1:21" x14ac:dyDescent="0.25">
      <c r="A3747">
        <v>4844817</v>
      </c>
      <c r="B3747">
        <v>64</v>
      </c>
      <c r="C3747" s="1">
        <f>8.93978406898458*(10.3/7.3)</f>
        <v>12.613667932950841</v>
      </c>
      <c r="D3747" s="1">
        <f>14.5727013408293*(10.3/7.3)</f>
        <v>20.561482713772911</v>
      </c>
      <c r="E3747" s="1">
        <f>51.1016896631172*(10.3/7.3)</f>
        <v>72.102384045220205</v>
      </c>
      <c r="F3747" s="1">
        <f>96.3815693866318*(38.9/42.5)</f>
        <v>88.217483509175963</v>
      </c>
      <c r="G3747" s="1">
        <v>3.4675210219811885</v>
      </c>
      <c r="H3747" s="1">
        <v>5.5882069662831269</v>
      </c>
      <c r="I3747" s="1">
        <v>64.737891738878616</v>
      </c>
      <c r="J3747" s="1">
        <v>4.9231506392891311E-2</v>
      </c>
      <c r="K3747" s="1">
        <v>3.1241862802362954</v>
      </c>
      <c r="L3747" s="1">
        <v>4.3965813900268111</v>
      </c>
      <c r="M3747" s="1">
        <v>0.25093590438193208</v>
      </c>
      <c r="N3747" s="1">
        <v>2.81611652274109</v>
      </c>
      <c r="O3747" s="1">
        <v>0.21063999999999999</v>
      </c>
      <c r="P3747" s="1">
        <v>0.14772681405418098</v>
      </c>
      <c r="Q3747" s="1">
        <v>5.541700263440263</v>
      </c>
      <c r="R3747" s="2">
        <f t="shared" si="235"/>
        <v>272.83033819170311</v>
      </c>
      <c r="S3747" s="2">
        <f t="shared" si="234"/>
        <v>3.3211446006833678</v>
      </c>
      <c r="T3747" s="2">
        <f t="shared" si="236"/>
        <v>7.6742738171498335</v>
      </c>
      <c r="U3747" s="2">
        <f t="shared" si="237"/>
        <v>283.82575660953626</v>
      </c>
    </row>
    <row r="3748" spans="1:21" x14ac:dyDescent="0.25">
      <c r="A3748">
        <v>4844825</v>
      </c>
      <c r="B3748">
        <v>65</v>
      </c>
      <c r="C3748" s="1">
        <f>8.58104378755184*(10.3/7.3)</f>
        <v>12.107500138600548</v>
      </c>
      <c r="D3748" s="1">
        <f>13.82298235665*(10.3/7.3)</f>
        <v>19.503660037465078</v>
      </c>
      <c r="E3748" s="1">
        <f>48.4453062353381*(10.3/7.3)</f>
        <v>68.354336195066097</v>
      </c>
      <c r="F3748" s="1">
        <f>93.7676915923891*(38.9/42.5)</f>
        <v>85.825016539857359</v>
      </c>
      <c r="G3748" s="1">
        <v>3.4813411778126544</v>
      </c>
      <c r="H3748" s="1">
        <v>6.0468715881444766</v>
      </c>
      <c r="I3748" s="1">
        <v>63.74620577276184</v>
      </c>
      <c r="J3748" s="1">
        <v>5.1977287624190953E-2</v>
      </c>
      <c r="K3748" s="1">
        <v>3.2196187280174087</v>
      </c>
      <c r="L3748" s="1">
        <v>4.6597496431599605</v>
      </c>
      <c r="M3748" s="1">
        <v>0.25656721486476264</v>
      </c>
      <c r="N3748" s="1">
        <v>2.708515891671837</v>
      </c>
      <c r="O3748" s="1">
        <v>0.2146125128205128</v>
      </c>
      <c r="P3748" s="1">
        <v>0.14987006697642793</v>
      </c>
      <c r="Q3748" s="1">
        <v>5.5637872704768503</v>
      </c>
      <c r="R3748" s="2">
        <f t="shared" si="235"/>
        <v>264.62871872018491</v>
      </c>
      <c r="S3748" s="2">
        <f t="shared" si="234"/>
        <v>3.4214660826180276</v>
      </c>
      <c r="T3748" s="2">
        <f t="shared" si="236"/>
        <v>7.8394452625170734</v>
      </c>
      <c r="U3748" s="2">
        <f t="shared" si="237"/>
        <v>275.88963006532003</v>
      </c>
    </row>
    <row r="3749" spans="1:21" x14ac:dyDescent="0.25">
      <c r="A3749">
        <v>4844833</v>
      </c>
      <c r="B3749">
        <v>60</v>
      </c>
      <c r="C3749" s="1">
        <f>9.83223154175079*(10.3/7.3)</f>
        <v>13.872874641100429</v>
      </c>
      <c r="D3749" s="1">
        <f>15.5029505359035*(10.3/7.3)</f>
        <v>21.874026098603636</v>
      </c>
      <c r="E3749" s="1">
        <f>54.3862002985612*(10.3/7.3)</f>
        <v>76.736693571942453</v>
      </c>
      <c r="F3749" s="1">
        <f>104.684884854387*(38.9/42.5)</f>
        <v>95.817459313780034</v>
      </c>
      <c r="G3749" s="1">
        <v>3.8440737352260927</v>
      </c>
      <c r="H3749" s="1">
        <v>7.5354936156486367</v>
      </c>
      <c r="I3749" s="1">
        <v>71.519736013360571</v>
      </c>
      <c r="J3749" s="1">
        <v>5.9228901085257864E-2</v>
      </c>
      <c r="K3749" s="1">
        <v>3.5713941206456306</v>
      </c>
      <c r="L3749" s="1">
        <v>5.3512123741016451</v>
      </c>
      <c r="M3749" s="1">
        <v>0.28268848760303611</v>
      </c>
      <c r="N3749" s="1">
        <v>2.9586727190998423</v>
      </c>
      <c r="O3749" s="1">
        <v>0.23812711111111121</v>
      </c>
      <c r="P3749" s="1">
        <v>0.16185101651772174</v>
      </c>
      <c r="Q3749" s="1">
        <v>6.1434968371193319</v>
      </c>
      <c r="R3749" s="2">
        <f t="shared" si="235"/>
        <v>297.34385382678124</v>
      </c>
      <c r="S3749" s="2">
        <f t="shared" si="234"/>
        <v>3.7924740382486104</v>
      </c>
      <c r="T3749" s="2">
        <f t="shared" si="236"/>
        <v>8.8307006919156361</v>
      </c>
      <c r="U3749" s="2">
        <f t="shared" si="237"/>
        <v>309.96702855694548</v>
      </c>
    </row>
    <row r="3750" spans="1:21" x14ac:dyDescent="0.25">
      <c r="A3750">
        <v>4844841</v>
      </c>
      <c r="B3750">
        <v>66</v>
      </c>
      <c r="C3750" s="1">
        <f>8.3340750147849*(10.3/7.3)</f>
        <v>11.759037349628006</v>
      </c>
      <c r="D3750" s="1">
        <f>12.9049511411948*(10.3/7.3)</f>
        <v>18.208355719768075</v>
      </c>
      <c r="E3750" s="1">
        <f>45.3058997260572*(10.3/7.3)</f>
        <v>63.924762627176577</v>
      </c>
      <c r="F3750" s="1">
        <f>87.0085856358291*(38.9/42.5)</f>
        <v>79.638446617264719</v>
      </c>
      <c r="G3750" s="1">
        <v>3.1746459669325198</v>
      </c>
      <c r="H3750" s="1">
        <v>6.161276263184396</v>
      </c>
      <c r="I3750" s="1">
        <v>59.743296679905868</v>
      </c>
      <c r="J3750" s="1">
        <v>5.4082975015981076E-2</v>
      </c>
      <c r="K3750" s="1">
        <v>3.3672285234446298</v>
      </c>
      <c r="L3750" s="1">
        <v>4.8868903723884296</v>
      </c>
      <c r="M3750" s="1">
        <v>0.26010003466248938</v>
      </c>
      <c r="N3750" s="1">
        <v>2.6253242538862387</v>
      </c>
      <c r="O3750" s="1">
        <v>0.22193212121212125</v>
      </c>
      <c r="P3750" s="1">
        <v>0.15293043910203449</v>
      </c>
      <c r="Q3750" s="1">
        <v>5.0736351069697854</v>
      </c>
      <c r="R3750" s="2">
        <f t="shared" si="235"/>
        <v>247.68345633082998</v>
      </c>
      <c r="S3750" s="2">
        <f t="shared" si="234"/>
        <v>3.5742419375626451</v>
      </c>
      <c r="T3750" s="2">
        <f t="shared" si="236"/>
        <v>7.9942467821492782</v>
      </c>
      <c r="U3750" s="2">
        <f t="shared" si="237"/>
        <v>259.25194505054191</v>
      </c>
    </row>
    <row r="3751" spans="1:21" x14ac:dyDescent="0.25">
      <c r="A3751">
        <v>4844849</v>
      </c>
      <c r="B3751">
        <v>66</v>
      </c>
      <c r="C3751" s="1">
        <f>8.54269543538786*(10.3/7.3)</f>
        <v>12.053392189656851</v>
      </c>
      <c r="D3751" s="1">
        <f>12.9085966848752*(10.3/7.3)</f>
        <v>18.21349943208417</v>
      </c>
      <c r="E3751" s="1">
        <f>45.3499714771288*(10.3/7.3)</f>
        <v>63.986946056770812</v>
      </c>
      <c r="F3751" s="1">
        <f>87.5929804547995*(38.9/42.5)</f>
        <v>80.173339757451785</v>
      </c>
      <c r="G3751" s="1">
        <v>3.2046397799967203</v>
      </c>
      <c r="H3751" s="1">
        <v>6.085849513840782</v>
      </c>
      <c r="I3751" s="1">
        <v>60.719320549911764</v>
      </c>
      <c r="J3751" s="1">
        <v>5.7140653359819063E-2</v>
      </c>
      <c r="K3751" s="1">
        <v>3.4935839962968398</v>
      </c>
      <c r="L3751" s="1">
        <v>5.180757264661719</v>
      </c>
      <c r="M3751" s="1">
        <v>0.26660315886594471</v>
      </c>
      <c r="N3751" s="1">
        <v>2.8503098771042792</v>
      </c>
      <c r="O3751" s="1">
        <v>0.2272638383838384</v>
      </c>
      <c r="P3751" s="1">
        <v>0.15571218705053241</v>
      </c>
      <c r="Q3751" s="1">
        <v>5.1215704246523011</v>
      </c>
      <c r="R3751" s="2">
        <f t="shared" si="235"/>
        <v>249.55855770436517</v>
      </c>
      <c r="S3751" s="2">
        <f t="shared" si="234"/>
        <v>3.7064368367071912</v>
      </c>
      <c r="T3751" s="2">
        <f t="shared" si="236"/>
        <v>8.5249341390157802</v>
      </c>
      <c r="U3751" s="2">
        <f t="shared" si="237"/>
        <v>261.78992868008811</v>
      </c>
    </row>
    <row r="3752" spans="1:21" x14ac:dyDescent="0.25">
      <c r="A3752">
        <v>4844857</v>
      </c>
      <c r="B3752">
        <v>60</v>
      </c>
      <c r="C3752" s="1">
        <f>8.44757007553931*(10.3/7.3)</f>
        <v>11.9191742161719</v>
      </c>
      <c r="D3752" s="1">
        <f>12.6150080788571*(10.3/7.3)</f>
        <v>17.799257974277801</v>
      </c>
      <c r="E3752" s="1">
        <f>44.3199947531392*(10.3/7.3)</f>
        <v>62.533691227032065</v>
      </c>
      <c r="F3752" s="1">
        <f>86.5285839225987*(38.9/42.5)</f>
        <v>79.199103872684475</v>
      </c>
      <c r="G3752" s="1">
        <v>3.2023605753400282</v>
      </c>
      <c r="H3752" s="1">
        <v>5.9843796689242108</v>
      </c>
      <c r="I3752" s="1">
        <v>60.393949986584097</v>
      </c>
      <c r="J3752" s="1">
        <v>5.8879543975913544E-2</v>
      </c>
      <c r="K3752" s="1">
        <v>3.5494074001921745</v>
      </c>
      <c r="L3752" s="1">
        <v>5.2783797563596844</v>
      </c>
      <c r="M3752" s="1">
        <v>0.26656393731442563</v>
      </c>
      <c r="N3752" s="1">
        <v>3.5269394318999088</v>
      </c>
      <c r="O3752" s="1">
        <v>0.22810666666666674</v>
      </c>
      <c r="P3752" s="1">
        <v>0.15559561933533442</v>
      </c>
      <c r="Q3752" s="1">
        <v>5.11792786013247</v>
      </c>
      <c r="R3752" s="2">
        <f t="shared" si="235"/>
        <v>246.14984538114706</v>
      </c>
      <c r="S3752" s="2">
        <f t="shared" si="234"/>
        <v>3.7638825635034223</v>
      </c>
      <c r="T3752" s="2">
        <f t="shared" si="236"/>
        <v>9.2999897922406856</v>
      </c>
      <c r="U3752" s="2">
        <f t="shared" si="237"/>
        <v>259.21371773689117</v>
      </c>
    </row>
    <row r="3753" spans="1:21" x14ac:dyDescent="0.25">
      <c r="A3753">
        <v>4844865</v>
      </c>
      <c r="B3753">
        <v>66</v>
      </c>
      <c r="C3753" s="1">
        <f>8.46014040634972*(10.3/7.3)</f>
        <v>11.93691043635646</v>
      </c>
      <c r="D3753" s="1">
        <f>12.4980791905355*(10.3/7.3)</f>
        <v>17.634276118152897</v>
      </c>
      <c r="E3753" s="1">
        <f>43.9033961435434*(10.3/7.3)</f>
        <v>61.94588770938315</v>
      </c>
      <c r="F3753" s="1">
        <f>86.9219106793511*(38.9/42.5)</f>
        <v>79.559113539453165</v>
      </c>
      <c r="G3753" s="1">
        <v>3.2670496707032113</v>
      </c>
      <c r="H3753" s="1">
        <v>6.0781134369850269</v>
      </c>
      <c r="I3753" s="1">
        <v>61.113019101978786</v>
      </c>
      <c r="J3753" s="1">
        <v>6.2430899789614046E-2</v>
      </c>
      <c r="K3753" s="1">
        <v>3.6675571903859603</v>
      </c>
      <c r="L3753" s="1">
        <v>5.5071992249238937</v>
      </c>
      <c r="M3753" s="1">
        <v>0.26797062461315851</v>
      </c>
      <c r="N3753" s="1">
        <v>3.2969864244742966</v>
      </c>
      <c r="O3753" s="1">
        <v>0.23265777777777766</v>
      </c>
      <c r="P3753" s="1">
        <v>0.15815295542330129</v>
      </c>
      <c r="Q3753" s="1">
        <v>5.2213122591147263</v>
      </c>
      <c r="R3753" s="2">
        <f t="shared" si="235"/>
        <v>246.75568227212744</v>
      </c>
      <c r="S3753" s="2">
        <f t="shared" si="234"/>
        <v>3.8881410455988754</v>
      </c>
      <c r="T3753" s="2">
        <f t="shared" si="236"/>
        <v>9.3048140517891262</v>
      </c>
      <c r="U3753" s="2">
        <f t="shared" si="237"/>
        <v>259.94863736951544</v>
      </c>
    </row>
    <row r="3754" spans="1:21" x14ac:dyDescent="0.25">
      <c r="A3754">
        <v>4844873</v>
      </c>
      <c r="B3754">
        <v>67</v>
      </c>
      <c r="C3754" s="1">
        <f>8.2454726515301*(10.3/7.3)</f>
        <v>11.634023056268491</v>
      </c>
      <c r="D3754" s="1">
        <f>11.9970158275931*(10.3/7.3)</f>
        <v>16.927296304686152</v>
      </c>
      <c r="E3754" s="1">
        <f>42.148252946051*(10.3/7.3)</f>
        <v>59.469452786893896</v>
      </c>
      <c r="F3754" s="1">
        <f>84.4478090132051*(38.9/42.5)</f>
        <v>77.294582837968917</v>
      </c>
      <c r="G3754" s="1">
        <v>3.2114656987697039</v>
      </c>
      <c r="H3754" s="1">
        <v>6.1011530295846992</v>
      </c>
      <c r="I3754" s="1">
        <v>59.849135410461272</v>
      </c>
      <c r="J3754" s="1">
        <v>6.6536474820353408E-2</v>
      </c>
      <c r="K3754" s="1">
        <v>3.7238035547091068</v>
      </c>
      <c r="L3754" s="1">
        <v>5.5811764749733612</v>
      </c>
      <c r="M3754" s="1">
        <v>0.26734026102468733</v>
      </c>
      <c r="N3754" s="1">
        <v>3.2037411408765184</v>
      </c>
      <c r="O3754" s="1">
        <v>0.22945353233830848</v>
      </c>
      <c r="P3754" s="1">
        <v>0.15686367383124517</v>
      </c>
      <c r="Q3754" s="1">
        <v>5.1324794272575227</v>
      </c>
      <c r="R3754" s="2">
        <f t="shared" si="235"/>
        <v>239.61958855189067</v>
      </c>
      <c r="S3754" s="2">
        <f t="shared" si="234"/>
        <v>3.9472037033607053</v>
      </c>
      <c r="T3754" s="2">
        <f t="shared" si="236"/>
        <v>9.2817114092128747</v>
      </c>
      <c r="U3754" s="2">
        <f t="shared" si="237"/>
        <v>252.84850366446426</v>
      </c>
    </row>
    <row r="3755" spans="1:21" x14ac:dyDescent="0.25">
      <c r="A3755">
        <v>4844881</v>
      </c>
      <c r="B3755">
        <v>65</v>
      </c>
      <c r="C3755" s="1">
        <f>7.74444716636186*(10.3/7.3)</f>
        <v>10.927096686784539</v>
      </c>
      <c r="D3755" s="1">
        <f>11.0945371145771*(10.3/7.3)</f>
        <v>15.653935928786836</v>
      </c>
      <c r="E3755" s="1">
        <f>38.9838908968733*(10.3/7.3)</f>
        <v>55.004667977780166</v>
      </c>
      <c r="F3755" s="1">
        <f>78.9921355117731*(38.9/42.5)</f>
        <v>72.301036974305262</v>
      </c>
      <c r="G3755" s="1">
        <v>3.0359846379155191</v>
      </c>
      <c r="H3755" s="1">
        <v>5.9978806107445894</v>
      </c>
      <c r="I3755" s="1">
        <v>56.418904828360517</v>
      </c>
      <c r="J3755" s="1">
        <v>7.141429427502563E-2</v>
      </c>
      <c r="K3755" s="1">
        <v>3.6822248386448351</v>
      </c>
      <c r="L3755" s="1">
        <v>5.3613547893251852</v>
      </c>
      <c r="M3755" s="1">
        <v>0.25569281389429244</v>
      </c>
      <c r="N3755" s="1">
        <v>3.5693923166507346</v>
      </c>
      <c r="O3755" s="1">
        <v>0.21935015384615386</v>
      </c>
      <c r="P3755" s="1">
        <v>0.15116707930317477</v>
      </c>
      <c r="Q3755" s="1">
        <v>4.8520302432439868</v>
      </c>
      <c r="R3755" s="2">
        <f t="shared" si="235"/>
        <v>224.19153788792141</v>
      </c>
      <c r="S3755" s="2">
        <f t="shared" si="234"/>
        <v>3.9048062122230354</v>
      </c>
      <c r="T3755" s="2">
        <f t="shared" si="236"/>
        <v>9.405790073716366</v>
      </c>
      <c r="U3755" s="2">
        <f t="shared" si="237"/>
        <v>237.50213417386081</v>
      </c>
    </row>
    <row r="3756" spans="1:21" x14ac:dyDescent="0.25">
      <c r="A3756">
        <v>4844969</v>
      </c>
      <c r="B3756">
        <v>7</v>
      </c>
      <c r="C3756" s="1">
        <f>3.57683112122012*(10.3/7.3)</f>
        <v>5.046761718981819</v>
      </c>
      <c r="D3756" s="1">
        <f>5.00523418034989*(10.3/7.3)</f>
        <v>7.062179733918339</v>
      </c>
      <c r="E3756" s="1">
        <f>17.455252520086*(10.3/7.3)</f>
        <v>24.628643966696625</v>
      </c>
      <c r="F3756" s="1">
        <f>42.8748146591499*(38.9/42.5)</f>
        <v>39.243065652727758</v>
      </c>
      <c r="G3756" s="1">
        <v>1.9841900168534692</v>
      </c>
      <c r="H3756" s="1">
        <v>8.2297607077344512</v>
      </c>
      <c r="I3756" s="1">
        <v>32.168470988722568</v>
      </c>
      <c r="J3756" s="1">
        <v>3.3275203864106449E-2</v>
      </c>
      <c r="K3756" s="1">
        <v>2.2076310809549353</v>
      </c>
      <c r="L3756" s="1">
        <v>3.1070021211170982</v>
      </c>
      <c r="M3756" s="1">
        <v>0.12785938818249218</v>
      </c>
      <c r="N3756" s="1">
        <v>1.5595394010476531</v>
      </c>
      <c r="O3756" s="1">
        <v>0.11285333333333335</v>
      </c>
      <c r="P3756" s="1">
        <v>8.8148698159198111E-2</v>
      </c>
      <c r="Q3756" s="1">
        <v>3.1710799356105706</v>
      </c>
      <c r="R3756" s="2">
        <f t="shared" si="235"/>
        <v>121.5341527212456</v>
      </c>
      <c r="S3756" s="2">
        <f t="shared" si="234"/>
        <v>2.3290549829782399</v>
      </c>
      <c r="T3756" s="2">
        <f t="shared" si="236"/>
        <v>4.9072542436805771</v>
      </c>
      <c r="U3756" s="2">
        <f t="shared" si="237"/>
        <v>128.77046194790441</v>
      </c>
    </row>
    <row r="3757" spans="1:21" x14ac:dyDescent="0.25">
      <c r="A3757">
        <v>4844977</v>
      </c>
      <c r="B3757">
        <v>43</v>
      </c>
      <c r="C3757" s="1">
        <f>4.71974864754109*(10.3/7.3)</f>
        <v>6.6593713794072933</v>
      </c>
      <c r="D3757" s="1">
        <f>6.48591410831048*(10.3/7.3)</f>
        <v>9.1513582624106746</v>
      </c>
      <c r="E3757" s="1">
        <f>22.4792469409353*(10.3/7.3)</f>
        <v>31.71729362899092</v>
      </c>
      <c r="F3757" s="1">
        <f>63.1845866353673*(38.9/42.5)</f>
        <v>57.832480473312678</v>
      </c>
      <c r="G3757" s="1">
        <v>3.2188981359039914</v>
      </c>
      <c r="H3757" s="1">
        <v>9.7684564520177464</v>
      </c>
      <c r="I3757" s="1">
        <v>48.754651470186822</v>
      </c>
      <c r="J3757" s="1">
        <v>3.8793144973318941E-2</v>
      </c>
      <c r="K3757" s="1">
        <v>2.4798158979308358</v>
      </c>
      <c r="L3757" s="1">
        <v>3.6963958239782371</v>
      </c>
      <c r="M3757" s="1">
        <v>0.13936453277849362</v>
      </c>
      <c r="N3757" s="1">
        <v>1.7805487202344974</v>
      </c>
      <c r="O3757" s="1">
        <v>0.12490170542635656</v>
      </c>
      <c r="P3757" s="1">
        <v>9.5303942263801317E-2</v>
      </c>
      <c r="Q3757" s="1">
        <v>5.1443577514447423</v>
      </c>
      <c r="R3757" s="2">
        <f t="shared" si="235"/>
        <v>172.24686755367486</v>
      </c>
      <c r="S3757" s="2">
        <f t="shared" si="234"/>
        <v>2.6139129851679557</v>
      </c>
      <c r="T3757" s="2">
        <f t="shared" si="236"/>
        <v>5.7412107824175855</v>
      </c>
      <c r="U3757" s="2">
        <f t="shared" si="237"/>
        <v>180.60199132126041</v>
      </c>
    </row>
    <row r="3758" spans="1:21" x14ac:dyDescent="0.25">
      <c r="A3758">
        <v>4845257</v>
      </c>
      <c r="B3758">
        <v>17</v>
      </c>
      <c r="C3758" s="1">
        <f>3.9481026779327*(10.3/7.3)</f>
        <v>5.5706106277680556</v>
      </c>
      <c r="D3758" s="1">
        <f>4.56575074375777*(10.3/7.3)</f>
        <v>6.4420866658500078</v>
      </c>
      <c r="E3758" s="1">
        <f>16.1202419530981*(10.3/7.3)</f>
        <v>22.744998920124729</v>
      </c>
      <c r="F3758" s="1">
        <f>36.4266213404942*(38.9/42.5)</f>
        <v>33.341072238711156</v>
      </c>
      <c r="G3758" s="1">
        <v>1.5160775169329983</v>
      </c>
      <c r="H3758" s="1">
        <v>4.077811851855917</v>
      </c>
      <c r="I3758" s="1">
        <v>28.429797194491112</v>
      </c>
      <c r="J3758" s="1">
        <v>3.2257334162816072E-2</v>
      </c>
      <c r="K3758" s="1">
        <v>1.963890046946823</v>
      </c>
      <c r="L3758" s="1">
        <v>2.0006939594579367</v>
      </c>
      <c r="M3758" s="1">
        <v>9.1588438123785365E-2</v>
      </c>
      <c r="N3758" s="1">
        <v>1.218488574974901</v>
      </c>
      <c r="O3758" s="1">
        <v>8.8464313725490185E-2</v>
      </c>
      <c r="P3758" s="1">
        <v>6.9376640880147541E-2</v>
      </c>
      <c r="Q3758" s="1">
        <v>2.4229549357376716</v>
      </c>
      <c r="R3758" s="2">
        <f t="shared" si="235"/>
        <v>104.54540995147165</v>
      </c>
      <c r="S3758" s="2">
        <f t="shared" si="234"/>
        <v>2.0655240219897868</v>
      </c>
      <c r="T3758" s="2">
        <f t="shared" si="236"/>
        <v>3.3992352862821136</v>
      </c>
      <c r="U3758" s="2">
        <f t="shared" si="237"/>
        <v>110.01016925974355</v>
      </c>
    </row>
    <row r="3759" spans="1:21" x14ac:dyDescent="0.25">
      <c r="A3759">
        <v>4856549</v>
      </c>
      <c r="B3759">
        <v>51</v>
      </c>
      <c r="C3759" s="1">
        <f>0.653526568108612*(10.3/7.3)</f>
        <v>0.92209913034502855</v>
      </c>
      <c r="D3759" s="1">
        <f>0.925267302451471*(10.3/7.3)</f>
        <v>1.3055141390753637</v>
      </c>
      <c r="E3759" s="1">
        <f>3.21106022581511*(10.3/7.3)</f>
        <v>4.5306740172459827</v>
      </c>
      <c r="F3759" s="1">
        <f>8.6103135353106*(38.9/42.5)</f>
        <v>7.8809693299666437</v>
      </c>
      <c r="G3759" s="1">
        <v>0.42634381161137613</v>
      </c>
      <c r="H3759" s="1">
        <v>1.7907550940555268</v>
      </c>
      <c r="I3759" s="1">
        <v>6.5475439932285395</v>
      </c>
      <c r="J3759" s="1">
        <v>4.1922021120580785E-2</v>
      </c>
      <c r="K3759" s="1">
        <v>2.9071351371285696</v>
      </c>
      <c r="L3759" s="1">
        <v>2.2455136772451709</v>
      </c>
      <c r="M3759" s="1">
        <v>0.51058980351985328</v>
      </c>
      <c r="N3759" s="1">
        <v>1.4013814347123241</v>
      </c>
      <c r="O3759" s="1">
        <v>0.44835032679738562</v>
      </c>
      <c r="P3759" s="1">
        <v>0.23354460108658301</v>
      </c>
      <c r="Q3759" s="1">
        <v>0.68137138842000833</v>
      </c>
      <c r="R3759" s="2">
        <f t="shared" si="235"/>
        <v>24.085270903948469</v>
      </c>
      <c r="S3759" s="2">
        <f t="shared" si="234"/>
        <v>3.1826017593357334</v>
      </c>
      <c r="T3759" s="2">
        <f t="shared" si="236"/>
        <v>4.6058352422747344</v>
      </c>
      <c r="U3759" s="2">
        <f t="shared" si="237"/>
        <v>31.873707905558938</v>
      </c>
    </row>
    <row r="3760" spans="1:21" x14ac:dyDescent="0.25">
      <c r="A3760">
        <v>4856557</v>
      </c>
      <c r="B3760">
        <v>61</v>
      </c>
      <c r="C3760" s="1">
        <f>0.695136731531255*(10.3/7.3)</f>
        <v>0.98080936092766102</v>
      </c>
      <c r="D3760" s="1">
        <f>0.998709939980801*(10.3/7.3)</f>
        <v>1.4091386824386651</v>
      </c>
      <c r="E3760" s="1">
        <f>3.45855152268079*(10.3/7.3)</f>
        <v>4.8798740662482363</v>
      </c>
      <c r="F3760" s="1">
        <f>9.54844129338873*(38.9/42.5)</f>
        <v>8.7396321485369786</v>
      </c>
      <c r="G3760" s="1">
        <v>0.48302423523952576</v>
      </c>
      <c r="H3760" s="1">
        <v>2.1033054676226199</v>
      </c>
      <c r="I3760" s="1">
        <v>7.2745452091875311</v>
      </c>
      <c r="J3760" s="1">
        <v>5.3708664580219521E-2</v>
      </c>
      <c r="K3760" s="1">
        <v>3.1071886339796486</v>
      </c>
      <c r="L3760" s="1">
        <v>2.3605758788578632</v>
      </c>
      <c r="M3760" s="1">
        <v>0.56987395041246081</v>
      </c>
      <c r="N3760" s="1">
        <v>1.6502212509418452</v>
      </c>
      <c r="O3760" s="1">
        <v>0.48866797814207646</v>
      </c>
      <c r="P3760" s="1">
        <v>0.24497286967145118</v>
      </c>
      <c r="Q3760" s="1">
        <v>0.77195654033714267</v>
      </c>
      <c r="R3760" s="2">
        <f t="shared" si="235"/>
        <v>26.64228571053836</v>
      </c>
      <c r="S3760" s="2">
        <f t="shared" si="234"/>
        <v>3.4058701682313193</v>
      </c>
      <c r="T3760" s="2">
        <f t="shared" si="236"/>
        <v>5.0693390583542453</v>
      </c>
      <c r="U3760" s="2">
        <f t="shared" si="237"/>
        <v>35.117494937123922</v>
      </c>
    </row>
    <row r="3761" spans="1:21" x14ac:dyDescent="0.25">
      <c r="A3761">
        <v>4856789</v>
      </c>
      <c r="B3761">
        <v>9</v>
      </c>
      <c r="C3761" s="1">
        <f>1.75500646453325*(10.3/7.3)</f>
        <v>2.4762419979030836</v>
      </c>
      <c r="D3761" s="1">
        <f>2.72763404909045*(10.3/7.3)</f>
        <v>3.8485795487166601</v>
      </c>
      <c r="E3761" s="1">
        <f>9.35266944200233*(10.3/7.3)</f>
        <v>13.196232226386847</v>
      </c>
      <c r="F3761" s="1">
        <f>29.1506129634571*(38.9/42.5)</f>
        <v>26.681384571258373</v>
      </c>
      <c r="G3761" s="1">
        <v>1.596548722715005</v>
      </c>
      <c r="H3761" s="1">
        <v>10.800581195483877</v>
      </c>
      <c r="I3761" s="1">
        <v>22.32513075791665</v>
      </c>
      <c r="J3761" s="1">
        <v>4.659792072760386E-2</v>
      </c>
      <c r="K3761" s="1">
        <v>3.0002428844112212</v>
      </c>
      <c r="L3761" s="1">
        <v>4.8437094197440551</v>
      </c>
      <c r="M3761" s="1">
        <v>0.70656420909208206</v>
      </c>
      <c r="N3761" s="1">
        <v>2.1849192718004899</v>
      </c>
      <c r="O3761" s="1">
        <v>0.27964444444444442</v>
      </c>
      <c r="P3761" s="1">
        <v>0.18373146302776025</v>
      </c>
      <c r="Q3761" s="1">
        <v>2.5515618856175899</v>
      </c>
      <c r="R3761" s="2">
        <f t="shared" si="235"/>
        <v>83.476260905998089</v>
      </c>
      <c r="S3761" s="2">
        <f t="shared" si="234"/>
        <v>3.2305722681665854</v>
      </c>
      <c r="T3761" s="2">
        <f t="shared" si="236"/>
        <v>8.014837345081073</v>
      </c>
      <c r="U3761" s="2">
        <f t="shared" si="237"/>
        <v>94.721670519245748</v>
      </c>
    </row>
    <row r="3762" spans="1:21" x14ac:dyDescent="0.25">
      <c r="A3762">
        <v>4856805</v>
      </c>
      <c r="B3762">
        <v>10</v>
      </c>
      <c r="C3762" s="1">
        <f>1.20315988986959*(10.3/7.3)</f>
        <v>1.6976091596790157</v>
      </c>
      <c r="D3762" s="1">
        <f>1.77578083543907*(10.3/7.3)</f>
        <v>2.5055537815099145</v>
      </c>
      <c r="E3762" s="1">
        <f>6.13386338260712*(10.3/7.3)</f>
        <v>8.654629156281274</v>
      </c>
      <c r="F3762" s="1">
        <f>17.4083009922946*(38.9/42.5)</f>
        <v>15.933715496476726</v>
      </c>
      <c r="G3762" s="1">
        <v>0.89888482757321886</v>
      </c>
      <c r="H3762" s="1">
        <v>4.3614372664989434</v>
      </c>
      <c r="I3762" s="1">
        <v>13.250935515969591</v>
      </c>
      <c r="J3762" s="1">
        <v>3.7711897712653979E-2</v>
      </c>
      <c r="K3762" s="1">
        <v>2.4277574328250378</v>
      </c>
      <c r="L3762" s="1">
        <v>3.5006696871645993</v>
      </c>
      <c r="M3762" s="1">
        <v>0.48880506758468034</v>
      </c>
      <c r="N3762" s="1">
        <v>1.6875499630203905</v>
      </c>
      <c r="O3762" s="1">
        <v>0.21892799999999996</v>
      </c>
      <c r="P3762" s="1">
        <v>0.14980897113643227</v>
      </c>
      <c r="Q3762" s="1">
        <v>1.4365739253453285</v>
      </c>
      <c r="R3762" s="2">
        <f t="shared" si="235"/>
        <v>48.739339129334013</v>
      </c>
      <c r="S3762" s="2">
        <f t="shared" si="234"/>
        <v>2.6152783016741239</v>
      </c>
      <c r="T3762" s="2">
        <f t="shared" si="236"/>
        <v>5.8959527177696698</v>
      </c>
      <c r="U3762" s="2">
        <f t="shared" si="237"/>
        <v>57.250570148777804</v>
      </c>
    </row>
    <row r="3763" spans="1:21" x14ac:dyDescent="0.25">
      <c r="A3763">
        <v>4856813</v>
      </c>
      <c r="B3763">
        <v>40</v>
      </c>
      <c r="C3763" s="1">
        <f>2.75547233484278*(10.3/7.3)</f>
        <v>3.887858225874059</v>
      </c>
      <c r="D3763" s="1">
        <f>4.30130637232589*(10.3/7.3)</f>
        <v>6.0689665253365259</v>
      </c>
      <c r="E3763" s="1">
        <f>14.8183577432489*(10.3/7.3)</f>
        <v>20.908093802118383</v>
      </c>
      <c r="F3763" s="1">
        <f>42.4644354618142*(38.9/42.5)</f>
        <v>38.867447987401675</v>
      </c>
      <c r="G3763" s="1">
        <v>2.2175450177347473</v>
      </c>
      <c r="H3763" s="1">
        <v>9.3525352042896515</v>
      </c>
      <c r="I3763" s="1">
        <v>32.01592778237233</v>
      </c>
      <c r="J3763" s="1">
        <v>7.3766612197926323E-2</v>
      </c>
      <c r="K3763" s="1">
        <v>4.1077110194140998</v>
      </c>
      <c r="L3763" s="1">
        <v>6.6960307990116004</v>
      </c>
      <c r="M3763" s="1">
        <v>0.89534288806217732</v>
      </c>
      <c r="N3763" s="1">
        <v>2.9948835678219519</v>
      </c>
      <c r="O3763" s="1">
        <v>0.38266266666666671</v>
      </c>
      <c r="P3763" s="1">
        <v>0.23190009684085428</v>
      </c>
      <c r="Q3763" s="1">
        <v>3.5440217178409243</v>
      </c>
      <c r="R3763" s="2">
        <f t="shared" si="235"/>
        <v>116.8623962629683</v>
      </c>
      <c r="S3763" s="2">
        <f t="shared" si="234"/>
        <v>4.4133777284528799</v>
      </c>
      <c r="T3763" s="2">
        <f t="shared" si="236"/>
        <v>10.968919921562396</v>
      </c>
      <c r="U3763" s="2">
        <f t="shared" si="237"/>
        <v>132.24469391298359</v>
      </c>
    </row>
    <row r="3764" spans="1:21" x14ac:dyDescent="0.25">
      <c r="A3764">
        <v>4857021</v>
      </c>
      <c r="B3764">
        <v>3</v>
      </c>
      <c r="C3764" s="1">
        <f>15.7046459406641*(10.3/7.3)</f>
        <v>22.158610025868505</v>
      </c>
      <c r="D3764" s="1">
        <f>23.3638361428068*(10.3/7.3)</f>
        <v>32.965412639850619</v>
      </c>
      <c r="E3764" s="1">
        <f>82.0265132780611*(10.3/7.3)</f>
        <v>115.73603928274376</v>
      </c>
      <c r="F3764" s="1">
        <f>163.618697723838*(38.9/42.5)</f>
        <v>149.75923156370149</v>
      </c>
      <c r="G3764" s="1">
        <v>6.2145229851917385</v>
      </c>
      <c r="H3764" s="1">
        <v>9.109841240561563</v>
      </c>
      <c r="I3764" s="1">
        <v>115.01831016964398</v>
      </c>
      <c r="J3764" s="1">
        <v>5.0202758052902939E-2</v>
      </c>
      <c r="K3764" s="1">
        <v>3.3374226590024603</v>
      </c>
      <c r="L3764" s="1">
        <v>4.1457307804453123</v>
      </c>
      <c r="M3764" s="1">
        <v>0.26420961761753392</v>
      </c>
      <c r="N3764" s="1">
        <v>2.5655155451863227</v>
      </c>
      <c r="O3764" s="1">
        <v>0.21493333333333331</v>
      </c>
      <c r="P3764" s="1">
        <v>0.14694640574549248</v>
      </c>
      <c r="Q3764" s="1">
        <v>9.9318860493932011</v>
      </c>
      <c r="R3764" s="2">
        <f t="shared" si="235"/>
        <v>460.8938539569549</v>
      </c>
      <c r="S3764" s="2">
        <f t="shared" si="234"/>
        <v>3.5345718228008556</v>
      </c>
      <c r="T3764" s="2">
        <f t="shared" si="236"/>
        <v>7.1903892765825033</v>
      </c>
      <c r="U3764" s="2">
        <f t="shared" si="237"/>
        <v>471.61881505633824</v>
      </c>
    </row>
    <row r="3765" spans="1:21" x14ac:dyDescent="0.25">
      <c r="A3765">
        <v>4857029</v>
      </c>
      <c r="B3765">
        <v>45</v>
      </c>
      <c r="C3765" s="1">
        <f>14.026952341288*(10.3/7.3)</f>
        <v>19.791453303461214</v>
      </c>
      <c r="D3765" s="1">
        <f>23.5782601354252*(10.3/7.3)</f>
        <v>33.267956081490283</v>
      </c>
      <c r="E3765" s="1">
        <f>82.4921356265503*(10.3/7.3)</f>
        <v>116.39301328129702</v>
      </c>
      <c r="F3765" s="1">
        <f>160.707402723033*(38.9/42.5)</f>
        <v>147.09454037472869</v>
      </c>
      <c r="G3765" s="1">
        <v>6.0602567032926045</v>
      </c>
      <c r="H3765" s="1">
        <v>9.3557263359926495</v>
      </c>
      <c r="I3765" s="1">
        <v>108.08213865904872</v>
      </c>
      <c r="J3765" s="1">
        <v>6.422381196142167E-2</v>
      </c>
      <c r="K3765" s="1">
        <v>3.834234223538926</v>
      </c>
      <c r="L3765" s="1">
        <v>5.5127587906066156</v>
      </c>
      <c r="M3765" s="1">
        <v>0.32279047629959062</v>
      </c>
      <c r="N3765" s="1">
        <v>3.2272326845584463</v>
      </c>
      <c r="O3765" s="1">
        <v>0.25796503703703705</v>
      </c>
      <c r="P3765" s="1">
        <v>0.17169445661030699</v>
      </c>
      <c r="Q3765" s="1">
        <v>9.6853417632530299</v>
      </c>
      <c r="R3765" s="2">
        <f t="shared" si="235"/>
        <v>449.73042650256417</v>
      </c>
      <c r="S3765" s="2">
        <f t="shared" si="234"/>
        <v>4.0701524921106547</v>
      </c>
      <c r="T3765" s="2">
        <f t="shared" si="236"/>
        <v>9.3207469885016891</v>
      </c>
      <c r="U3765" s="2">
        <f t="shared" si="237"/>
        <v>463.12132598317652</v>
      </c>
    </row>
    <row r="3766" spans="1:21" x14ac:dyDescent="0.25">
      <c r="A3766">
        <v>4857037</v>
      </c>
      <c r="B3766">
        <v>38</v>
      </c>
      <c r="C3766" s="1">
        <f>12.5560443945694*(10.3/7.3)</f>
        <v>17.716062638913005</v>
      </c>
      <c r="D3766" s="1">
        <f>21.0076177360037*(10.3/7.3)</f>
        <v>29.64088529874488</v>
      </c>
      <c r="E3766" s="1">
        <f>73.5469402825371*(10.3/7.3)</f>
        <v>103.77171026166199</v>
      </c>
      <c r="F3766" s="1">
        <f>141.418548719895*(38.9/42.5)</f>
        <v>129.4395657695037</v>
      </c>
      <c r="G3766" s="1">
        <v>5.2422049352586972</v>
      </c>
      <c r="H3766" s="1">
        <v>7.2617251598246755</v>
      </c>
      <c r="I3766" s="1">
        <v>94.831494254761935</v>
      </c>
      <c r="J3766" s="1">
        <v>5.2885281691347909E-2</v>
      </c>
      <c r="K3766" s="1">
        <v>3.2715375969896501</v>
      </c>
      <c r="L3766" s="1">
        <v>4.6071260464553232</v>
      </c>
      <c r="M3766" s="1">
        <v>0.27206805556752506</v>
      </c>
      <c r="N3766" s="1">
        <v>3.4314078971403639</v>
      </c>
      <c r="O3766" s="1">
        <v>0.22501894736842101</v>
      </c>
      <c r="P3766" s="1">
        <v>0.15252883980006321</v>
      </c>
      <c r="Q3766" s="1">
        <v>8.3779530928792081</v>
      </c>
      <c r="R3766" s="2">
        <f t="shared" si="235"/>
        <v>396.28160141154808</v>
      </c>
      <c r="S3766" s="2">
        <f t="shared" si="234"/>
        <v>3.476951718481061</v>
      </c>
      <c r="T3766" s="2">
        <f t="shared" si="236"/>
        <v>8.5356209465316315</v>
      </c>
      <c r="U3766" s="2">
        <f t="shared" si="237"/>
        <v>408.29417407656081</v>
      </c>
    </row>
    <row r="3767" spans="1:21" x14ac:dyDescent="0.25">
      <c r="A3767">
        <v>4857045</v>
      </c>
      <c r="B3767">
        <v>63</v>
      </c>
      <c r="C3767" s="1">
        <f>11.5072825065994*(10.3/7.3)</f>
        <v>16.236302714790952</v>
      </c>
      <c r="D3767" s="1">
        <f>18.9304040768704*(10.3/7.3)</f>
        <v>26.71002219065269</v>
      </c>
      <c r="E3767" s="1">
        <f>66.3545367144235*(10.3/7.3)</f>
        <v>93.623524405282524</v>
      </c>
      <c r="F3767" s="1">
        <f>125.504603848214*(38.9/42.5)</f>
        <v>114.87362563989457</v>
      </c>
      <c r="G3767" s="1">
        <v>4.5401258219202161</v>
      </c>
      <c r="H3767" s="1">
        <v>6.5979913737564448</v>
      </c>
      <c r="I3767" s="1">
        <v>84.136284336381891</v>
      </c>
      <c r="J3767" s="1">
        <v>5.6025645951737167E-2</v>
      </c>
      <c r="K3767" s="1">
        <v>3.4270676524924992</v>
      </c>
      <c r="L3767" s="1">
        <v>4.9974924889293666</v>
      </c>
      <c r="M3767" s="1">
        <v>0.28481814101122316</v>
      </c>
      <c r="N3767" s="1">
        <v>3.8912120611087331</v>
      </c>
      <c r="O3767" s="1">
        <v>0.23548698412698407</v>
      </c>
      <c r="P3767" s="1">
        <v>0.15882147357059587</v>
      </c>
      <c r="Q3767" s="1">
        <v>7.2559088478177012</v>
      </c>
      <c r="R3767" s="2">
        <f t="shared" si="235"/>
        <v>353.97378533049698</v>
      </c>
      <c r="S3767" s="2">
        <f t="shared" si="234"/>
        <v>3.6419147720148319</v>
      </c>
      <c r="T3767" s="2">
        <f t="shared" si="236"/>
        <v>9.409009675176307</v>
      </c>
      <c r="U3767" s="2">
        <f t="shared" si="237"/>
        <v>367.02470977768814</v>
      </c>
    </row>
    <row r="3768" spans="1:21" x14ac:dyDescent="0.25">
      <c r="A3768">
        <v>4857053</v>
      </c>
      <c r="B3768">
        <v>61</v>
      </c>
      <c r="C3768" s="1">
        <f>10.8616787453816*(10.3/7.3)</f>
        <v>15.325382339373997</v>
      </c>
      <c r="D3768" s="1">
        <f>17.6215859397397*(10.3/7.3)</f>
        <v>24.863333586208114</v>
      </c>
      <c r="E3768" s="1">
        <f>61.7846538708868*(10.3/7.3)</f>
        <v>87.175607516456751</v>
      </c>
      <c r="F3768" s="1">
        <f>117.475716250999*(38.9/42.5)</f>
        <v>107.52483205091438</v>
      </c>
      <c r="G3768" s="1">
        <v>4.2681223973392246</v>
      </c>
      <c r="H3768" s="1">
        <v>6.4936639139389083</v>
      </c>
      <c r="I3768" s="1">
        <v>79.234420670036386</v>
      </c>
      <c r="J3768" s="1">
        <v>5.8448670980619073E-2</v>
      </c>
      <c r="K3768" s="1">
        <v>3.5480020483915458</v>
      </c>
      <c r="L3768" s="1">
        <v>5.3125381842378889</v>
      </c>
      <c r="M3768" s="1">
        <v>0.29109154350911126</v>
      </c>
      <c r="N3768" s="1">
        <v>4.0118450082611732</v>
      </c>
      <c r="O3768" s="1">
        <v>0.242047650273224</v>
      </c>
      <c r="P3768" s="1">
        <v>0.16313576911000582</v>
      </c>
      <c r="Q3768" s="1">
        <v>6.8212001783960297</v>
      </c>
      <c r="R3768" s="2">
        <f t="shared" si="235"/>
        <v>331.70656265266382</v>
      </c>
      <c r="S3768" s="2">
        <f t="shared" si="234"/>
        <v>3.7695864884821706</v>
      </c>
      <c r="T3768" s="2">
        <f t="shared" si="236"/>
        <v>9.8575223862813974</v>
      </c>
      <c r="U3768" s="2">
        <f t="shared" si="237"/>
        <v>345.33367152742738</v>
      </c>
    </row>
    <row r="3769" spans="1:21" x14ac:dyDescent="0.25">
      <c r="A3769">
        <v>4857061</v>
      </c>
      <c r="B3769">
        <v>60</v>
      </c>
      <c r="C3769" s="1">
        <f>7.52399775762376*(10.3/7.3)</f>
        <v>10.616051630619831</v>
      </c>
      <c r="D3769" s="1">
        <f>12.1431514284877*(10.3/7.3)</f>
        <v>17.133487631975857</v>
      </c>
      <c r="E3769" s="1">
        <f>42.5113596030878*(10.3/7.3)</f>
        <v>59.981781357781379</v>
      </c>
      <c r="F3769" s="1">
        <f>84.4908178896333*(38.9/42.5)</f>
        <v>77.333948609570285</v>
      </c>
      <c r="G3769" s="1">
        <v>3.2416662887419951</v>
      </c>
      <c r="H3769" s="1">
        <v>5.6323474557933624</v>
      </c>
      <c r="I3769" s="1">
        <v>57.879988926015344</v>
      </c>
      <c r="J3769" s="1">
        <v>4.7359245775065673E-2</v>
      </c>
      <c r="K3769" s="1">
        <v>3.0092630193655023</v>
      </c>
      <c r="L3769" s="1">
        <v>4.2068875094532903</v>
      </c>
      <c r="M3769" s="1">
        <v>0.23667535334762665</v>
      </c>
      <c r="N3769" s="1">
        <v>2.7942664507379016</v>
      </c>
      <c r="O3769" s="1">
        <v>0.2003173333333334</v>
      </c>
      <c r="P3769" s="1">
        <v>0.1412867418613275</v>
      </c>
      <c r="Q3769" s="1">
        <v>5.1807452103182605</v>
      </c>
      <c r="R3769" s="2">
        <f t="shared" si="235"/>
        <v>237.00001711081632</v>
      </c>
      <c r="S3769" s="2">
        <f t="shared" si="234"/>
        <v>3.1979090070018956</v>
      </c>
      <c r="T3769" s="2">
        <f t="shared" si="236"/>
        <v>7.438146646872152</v>
      </c>
      <c r="U3769" s="2">
        <f t="shared" si="237"/>
        <v>247.63607276469037</v>
      </c>
    </row>
    <row r="3770" spans="1:21" x14ac:dyDescent="0.25">
      <c r="A3770">
        <v>4857069</v>
      </c>
      <c r="B3770">
        <v>55</v>
      </c>
      <c r="C3770" s="1">
        <f>8.85294061395884*(10.3/7.3)</f>
        <v>12.491135386818645</v>
      </c>
      <c r="D3770" s="1">
        <f>13.8578898047252*(10.3/7.3)</f>
        <v>19.552913012146483</v>
      </c>
      <c r="E3770" s="1">
        <f>48.6269277086316*(10.3/7.3)</f>
        <v>68.610596629987043</v>
      </c>
      <c r="F3770" s="1">
        <f>93.6490584106412*(38.9/42.5)</f>
        <v>85.716432286445695</v>
      </c>
      <c r="G3770" s="1">
        <v>3.4365008962280927</v>
      </c>
      <c r="H3770" s="1">
        <v>7.3895006126174891</v>
      </c>
      <c r="I3770" s="1">
        <v>64.136985698049642</v>
      </c>
      <c r="J3770" s="1">
        <v>5.6086821561230862E-2</v>
      </c>
      <c r="K3770" s="1">
        <v>3.4457943311110766</v>
      </c>
      <c r="L3770" s="1">
        <v>5.0735356144701926</v>
      </c>
      <c r="M3770" s="1">
        <v>0.27055332993014625</v>
      </c>
      <c r="N3770" s="1">
        <v>2.8511056103114569</v>
      </c>
      <c r="O3770" s="1">
        <v>0.22920242424242424</v>
      </c>
      <c r="P3770" s="1">
        <v>0.15672866573927316</v>
      </c>
      <c r="Q3770" s="1">
        <v>5.4921247199992402</v>
      </c>
      <c r="R3770" s="2">
        <f t="shared" si="235"/>
        <v>266.8261892422924</v>
      </c>
      <c r="S3770" s="2">
        <f t="shared" si="234"/>
        <v>3.6586098184115805</v>
      </c>
      <c r="T3770" s="2">
        <f t="shared" si="236"/>
        <v>8.4243969789542206</v>
      </c>
      <c r="U3770" s="2">
        <f t="shared" si="237"/>
        <v>278.90919603965824</v>
      </c>
    </row>
    <row r="3771" spans="1:21" x14ac:dyDescent="0.25">
      <c r="A3771">
        <v>4857077</v>
      </c>
      <c r="B3771">
        <v>59</v>
      </c>
      <c r="C3771" s="1">
        <f>8.03671857544612*(10.3/7.3)</f>
        <v>11.33947963384864</v>
      </c>
      <c r="D3771" s="1">
        <f>12.3130342733482*(10.3/7.3)</f>
        <v>17.373185344587256</v>
      </c>
      <c r="E3771" s="1">
        <f>43.235430953895*(10.3/7.3)</f>
        <v>61.00341627741345</v>
      </c>
      <c r="F3771" s="1">
        <f>83.5039510222992*(38.9/42.5)</f>
        <v>76.430675170998612</v>
      </c>
      <c r="G3771" s="1">
        <v>3.0629977830199588</v>
      </c>
      <c r="H3771" s="1">
        <v>5.7344722103384935</v>
      </c>
      <c r="I3771" s="1">
        <v>57.628709926796525</v>
      </c>
      <c r="J3771" s="1">
        <v>5.4319193101261584E-2</v>
      </c>
      <c r="K3771" s="1">
        <v>3.3590978093926154</v>
      </c>
      <c r="L3771" s="1">
        <v>4.9172955416226571</v>
      </c>
      <c r="M3771" s="1">
        <v>0.25863788570277779</v>
      </c>
      <c r="N3771" s="1">
        <v>2.702293018685852</v>
      </c>
      <c r="O3771" s="1">
        <v>0.21938350282485869</v>
      </c>
      <c r="P3771" s="1">
        <v>0.15212811555002995</v>
      </c>
      <c r="Q3771" s="1">
        <v>4.8952019363332733</v>
      </c>
      <c r="R3771" s="2">
        <f t="shared" si="235"/>
        <v>237.4681382833362</v>
      </c>
      <c r="S3771" s="2">
        <f t="shared" si="234"/>
        <v>3.5655451180439068</v>
      </c>
      <c r="T3771" s="2">
        <f t="shared" si="236"/>
        <v>8.0976099488361459</v>
      </c>
      <c r="U3771" s="2">
        <f t="shared" si="237"/>
        <v>249.13129335021625</v>
      </c>
    </row>
    <row r="3772" spans="1:21" x14ac:dyDescent="0.25">
      <c r="A3772">
        <v>4857085</v>
      </c>
      <c r="B3772">
        <v>57</v>
      </c>
      <c r="C3772" s="1">
        <f>12.3691267484131*(10.3/7.3)</f>
        <v>17.452329521733564</v>
      </c>
      <c r="D3772" s="1">
        <f>14.614730189235*(10.3/7.3)</f>
        <v>20.620783691660321</v>
      </c>
      <c r="E3772" s="1">
        <f>51.9657904458319*(10.3/7.3)</f>
        <v>73.32159473863949</v>
      </c>
      <c r="F3772" s="1">
        <f>96.1692635635875*(38.9/42.5)</f>
        <v>88.023161238201297</v>
      </c>
      <c r="G3772" s="1">
        <v>3.1214545426916893</v>
      </c>
      <c r="H3772" s="1">
        <v>5.8732145481863993</v>
      </c>
      <c r="I3772" s="1">
        <v>71.971299346194641</v>
      </c>
      <c r="J3772" s="1">
        <v>5.593569853976086E-2</v>
      </c>
      <c r="K3772" s="1">
        <v>3.4312211719743657</v>
      </c>
      <c r="L3772" s="1">
        <v>5.0344722608115537</v>
      </c>
      <c r="M3772" s="1">
        <v>0.25976565806735163</v>
      </c>
      <c r="N3772" s="1">
        <v>3.5223911730545288</v>
      </c>
      <c r="O3772" s="1">
        <v>0.22202105263157892</v>
      </c>
      <c r="P3772" s="1">
        <v>0.15251460115644738</v>
      </c>
      <c r="Q3772" s="1">
        <v>4.9886259814707437</v>
      </c>
      <c r="R3772" s="2">
        <f t="shared" si="235"/>
        <v>285.37246360877816</v>
      </c>
      <c r="S3772" s="2">
        <f t="shared" si="234"/>
        <v>3.639671471670574</v>
      </c>
      <c r="T3772" s="2">
        <f t="shared" si="236"/>
        <v>9.0386501445650129</v>
      </c>
      <c r="U3772" s="2">
        <f t="shared" si="237"/>
        <v>298.05078522501373</v>
      </c>
    </row>
    <row r="3773" spans="1:21" x14ac:dyDescent="0.25">
      <c r="A3773">
        <v>4857093</v>
      </c>
      <c r="B3773">
        <v>60</v>
      </c>
      <c r="C3773" s="1">
        <f>7.524050863198*(10.3/7.3)</f>
        <v>10.616126560402655</v>
      </c>
      <c r="D3773" s="1">
        <f>11.1929220729403*(10.3/7.3)</f>
        <v>15.792753061819869</v>
      </c>
      <c r="E3773" s="1">
        <f>39.3179656415745*(10.3/7.3)</f>
        <v>55.47603371345437</v>
      </c>
      <c r="F3773" s="1">
        <f>77.3473347060421*(38.9/42.5)</f>
        <v>70.795560472118524</v>
      </c>
      <c r="G3773" s="1">
        <v>2.8879685155948152</v>
      </c>
      <c r="H3773" s="1">
        <v>5.6053627982346699</v>
      </c>
      <c r="I3773" s="1">
        <v>54.166330592081323</v>
      </c>
      <c r="J3773" s="1">
        <v>5.5390923286853848E-2</v>
      </c>
      <c r="K3773" s="1">
        <v>3.3661253587904572</v>
      </c>
      <c r="L3773" s="1">
        <v>4.9191861094454774</v>
      </c>
      <c r="M3773" s="1">
        <v>0.24882543712889404</v>
      </c>
      <c r="N3773" s="1">
        <v>2.7488774693553073</v>
      </c>
      <c r="O3773" s="1">
        <v>0.21399377777777778</v>
      </c>
      <c r="P3773" s="1">
        <v>0.1488212156810734</v>
      </c>
      <c r="Q3773" s="1">
        <v>4.615474796612725</v>
      </c>
      <c r="R3773" s="2">
        <f t="shared" si="235"/>
        <v>219.95561051031893</v>
      </c>
      <c r="S3773" s="2">
        <f t="shared" si="234"/>
        <v>3.5703374977583842</v>
      </c>
      <c r="T3773" s="2">
        <f t="shared" si="236"/>
        <v>8.1308827937074568</v>
      </c>
      <c r="U3773" s="2">
        <f t="shared" si="237"/>
        <v>231.65683080178476</v>
      </c>
    </row>
    <row r="3774" spans="1:21" x14ac:dyDescent="0.25">
      <c r="A3774">
        <v>4857101</v>
      </c>
      <c r="B3774">
        <v>59</v>
      </c>
      <c r="C3774" s="1">
        <f>8.2503109952085*(10.3/7.3)</f>
        <v>11.640849760362679</v>
      </c>
      <c r="D3774" s="1">
        <f>12.1188089563639*(10.3/7.3)</f>
        <v>17.099141404184614</v>
      </c>
      <c r="E3774" s="1">
        <f>42.567342215786*(10.3/7.3)</f>
        <v>60.060770523643264</v>
      </c>
      <c r="F3774" s="1">
        <f>84.9378890503769*(38.9/42.5)</f>
        <v>77.743150213168533</v>
      </c>
      <c r="G3774" s="1">
        <v>3.2197756960248585</v>
      </c>
      <c r="H3774" s="1">
        <v>6.3210027866863348</v>
      </c>
      <c r="I3774" s="1">
        <v>59.951722413691442</v>
      </c>
      <c r="J3774" s="1">
        <v>6.4354873418037278E-2</v>
      </c>
      <c r="K3774" s="1">
        <v>3.6700506484429409</v>
      </c>
      <c r="L3774" s="1">
        <v>5.4912446890952262</v>
      </c>
      <c r="M3774" s="1">
        <v>0.26843433557332114</v>
      </c>
      <c r="N3774" s="1">
        <v>2.996228711477213</v>
      </c>
      <c r="O3774" s="1">
        <v>0.23059887005649712</v>
      </c>
      <c r="P3774" s="1">
        <v>0.15666137138366085</v>
      </c>
      <c r="Q3774" s="1">
        <v>5.1457602447885922</v>
      </c>
      <c r="R3774" s="2">
        <f t="shared" si="235"/>
        <v>241.18217304255032</v>
      </c>
      <c r="S3774" s="2">
        <f t="shared" si="234"/>
        <v>3.8910668932446391</v>
      </c>
      <c r="T3774" s="2">
        <f t="shared" si="236"/>
        <v>8.9865066062022567</v>
      </c>
      <c r="U3774" s="2">
        <f t="shared" si="237"/>
        <v>254.05974654199721</v>
      </c>
    </row>
    <row r="3775" spans="1:21" x14ac:dyDescent="0.25">
      <c r="A3775">
        <v>4857109</v>
      </c>
      <c r="B3775">
        <v>60</v>
      </c>
      <c r="C3775" s="1">
        <f>8.32131157279544*(10.3/7.3)</f>
        <v>11.741028657505899</v>
      </c>
      <c r="D3775" s="1">
        <f>12.019496317131*(10.3/7.3)</f>
        <v>16.959015351568368</v>
      </c>
      <c r="E3775" s="1">
        <f>42.2246027895936*(10.3/7.3)</f>
        <v>59.577179278467682</v>
      </c>
      <c r="F3775" s="1">
        <f>85.3411947955907*(38.9/42.5)</f>
        <v>78.112293589375994</v>
      </c>
      <c r="G3775" s="1">
        <v>3.2751065453669601</v>
      </c>
      <c r="H3775" s="1">
        <v>6.2401180832978884</v>
      </c>
      <c r="I3775" s="1">
        <v>60.757687197163214</v>
      </c>
      <c r="J3775" s="1">
        <v>7.0777204430903379E-2</v>
      </c>
      <c r="K3775" s="1">
        <v>3.7899957703265623</v>
      </c>
      <c r="L3775" s="1">
        <v>5.6508871051302982</v>
      </c>
      <c r="M3775" s="1">
        <v>0.27000391337757618</v>
      </c>
      <c r="N3775" s="1">
        <v>3.1416216373564563</v>
      </c>
      <c r="O3775" s="1">
        <v>0.23181066666666664</v>
      </c>
      <c r="P3775" s="1">
        <v>0.15780343449518541</v>
      </c>
      <c r="Q3775" s="1">
        <v>5.234188542823917</v>
      </c>
      <c r="R3775" s="2">
        <f t="shared" si="235"/>
        <v>241.8966172455699</v>
      </c>
      <c r="S3775" s="2">
        <f t="shared" si="234"/>
        <v>4.0185764092526508</v>
      </c>
      <c r="T3775" s="2">
        <f t="shared" si="236"/>
        <v>9.2943233225309978</v>
      </c>
      <c r="U3775" s="2">
        <f t="shared" si="237"/>
        <v>255.20951697735356</v>
      </c>
    </row>
    <row r="3776" spans="1:21" x14ac:dyDescent="0.25">
      <c r="A3776">
        <v>4857117</v>
      </c>
      <c r="B3776">
        <v>32</v>
      </c>
      <c r="C3776" s="1">
        <f>6.98504256110567*(10.3/7.3)</f>
        <v>9.8556079971764863</v>
      </c>
      <c r="D3776" s="1">
        <f>9.97628451807015*(10.3/7.3)</f>
        <v>14.076127470701724</v>
      </c>
      <c r="E3776" s="1">
        <f>35.0529104940423*(10.3/7.3)</f>
        <v>49.458216176525454</v>
      </c>
      <c r="F3776" s="1">
        <f>71.3245703302414*(38.9/42.5)</f>
        <v>65.282959666973881</v>
      </c>
      <c r="G3776" s="1">
        <v>2.753322305831345</v>
      </c>
      <c r="H3776" s="1">
        <v>5.6153420829023801</v>
      </c>
      <c r="I3776" s="1">
        <v>51.044503730522294</v>
      </c>
      <c r="J3776" s="1">
        <v>7.0610623323401234E-2</v>
      </c>
      <c r="K3776" s="1">
        <v>3.4340409729776886</v>
      </c>
      <c r="L3776" s="1">
        <v>4.7485336510176888</v>
      </c>
      <c r="M3776" s="1">
        <v>0.23350248916665936</v>
      </c>
      <c r="N3776" s="1">
        <v>3.6776656262962839</v>
      </c>
      <c r="O3776" s="1">
        <v>0.20194166666666669</v>
      </c>
      <c r="P3776" s="1">
        <v>0.14029572434662002</v>
      </c>
      <c r="Q3776" s="1">
        <v>4.4002867901414229</v>
      </c>
      <c r="R3776" s="2">
        <f t="shared" si="235"/>
        <v>202.48636622077498</v>
      </c>
      <c r="S3776" s="2">
        <f t="shared" si="234"/>
        <v>3.6449473206477099</v>
      </c>
      <c r="T3776" s="2">
        <f t="shared" si="236"/>
        <v>8.8616434331472984</v>
      </c>
      <c r="U3776" s="2">
        <f t="shared" si="237"/>
        <v>214.99295697456998</v>
      </c>
    </row>
    <row r="3777" spans="1:21" x14ac:dyDescent="0.25">
      <c r="A3777">
        <v>4857205</v>
      </c>
      <c r="B3777">
        <v>49</v>
      </c>
      <c r="C3777" s="1">
        <f>3.35078832827581*(10.3/7.3)</f>
        <v>4.7278246275672346</v>
      </c>
      <c r="D3777" s="1">
        <f>4.60403809670032*(10.3/7.3)</f>
        <v>6.4961085473990856</v>
      </c>
      <c r="E3777" s="1">
        <f>16.0756948442219*(10.3/7.3)</f>
        <v>22.682144780203565</v>
      </c>
      <c r="F3777" s="1">
        <f>39.0998276815921*(38.9/42.5)</f>
        <v>35.78784227797486</v>
      </c>
      <c r="G3777" s="1">
        <v>1.7904679059545827</v>
      </c>
      <c r="H3777" s="1">
        <v>7.7343297986565904</v>
      </c>
      <c r="I3777" s="1">
        <v>29.418090938747977</v>
      </c>
      <c r="J3777" s="1">
        <v>3.3551618280290962E-2</v>
      </c>
      <c r="K3777" s="1">
        <v>2.2378174990782496</v>
      </c>
      <c r="L3777" s="1">
        <v>3.2475561898989027</v>
      </c>
      <c r="M3777" s="1">
        <v>0.12950512061309083</v>
      </c>
      <c r="N3777" s="1">
        <v>1.5855962331507838</v>
      </c>
      <c r="O3777" s="1">
        <v>0.1140277551020408</v>
      </c>
      <c r="P3777" s="1">
        <v>8.9357370739512026E-2</v>
      </c>
      <c r="Q3777" s="1">
        <v>2.8614783885118924</v>
      </c>
      <c r="R3777" s="2">
        <f t="shared" si="235"/>
        <v>111.4982872650158</v>
      </c>
      <c r="S3777" s="2">
        <f t="shared" si="234"/>
        <v>2.3607264880980527</v>
      </c>
      <c r="T3777" s="2">
        <f t="shared" si="236"/>
        <v>5.0766852987648177</v>
      </c>
      <c r="U3777" s="2">
        <f t="shared" si="237"/>
        <v>118.93569905187867</v>
      </c>
    </row>
    <row r="3778" spans="1:21" x14ac:dyDescent="0.25">
      <c r="A3778">
        <v>4857493</v>
      </c>
      <c r="B3778">
        <v>57</v>
      </c>
      <c r="C3778" s="1">
        <f>3.33644155222454*(10.3/7.3)</f>
        <v>4.7075819161524288</v>
      </c>
      <c r="D3778" s="1">
        <f>3.86392280201916*(10.3/7.3)</f>
        <v>5.451836282301012</v>
      </c>
      <c r="E3778" s="1">
        <f>13.6473766714456*(10.3/7.3)</f>
        <v>19.255887632313719</v>
      </c>
      <c r="F3778" s="1">
        <f>30.5334498256344*(38.9/42.5)</f>
        <v>27.947087016874804</v>
      </c>
      <c r="G3778" s="1">
        <v>1.2582157733618764</v>
      </c>
      <c r="H3778" s="1">
        <v>3.2528858472571089</v>
      </c>
      <c r="I3778" s="1">
        <v>23.783980626800702</v>
      </c>
      <c r="J3778" s="1">
        <v>2.8924356727362863E-2</v>
      </c>
      <c r="K3778" s="1">
        <v>1.8104006313799861</v>
      </c>
      <c r="L3778" s="1">
        <v>1.8065585368977519</v>
      </c>
      <c r="M3778" s="1">
        <v>8.249913224539257E-2</v>
      </c>
      <c r="N3778" s="1">
        <v>1.1180087300785351</v>
      </c>
      <c r="O3778" s="1">
        <v>8.0637192982456127E-2</v>
      </c>
      <c r="P3778" s="1">
        <v>6.4725503835626849E-2</v>
      </c>
      <c r="Q3778" s="1">
        <v>2.0108471263774295</v>
      </c>
      <c r="R3778" s="2">
        <f t="shared" si="235"/>
        <v>87.668322221439084</v>
      </c>
      <c r="S3778" s="2">
        <f t="shared" si="234"/>
        <v>1.9040504919429759</v>
      </c>
      <c r="T3778" s="2">
        <f t="shared" si="236"/>
        <v>3.0877035922041358</v>
      </c>
      <c r="U3778" s="2">
        <f t="shared" si="237"/>
        <v>92.660076305586202</v>
      </c>
    </row>
    <row r="3779" spans="1:21" x14ac:dyDescent="0.25">
      <c r="A3779">
        <v>4868785</v>
      </c>
      <c r="B3779">
        <v>44</v>
      </c>
      <c r="C3779" s="1">
        <f>0.723180243956836*(10.3/7.3)</f>
        <v>1.020377604487043</v>
      </c>
      <c r="D3779" s="1">
        <f>1.03487761836012*(10.3/7.3)</f>
        <v>1.4601697902889366</v>
      </c>
      <c r="E3779" s="1">
        <f>3.58622236838438*(10.3/7.3)</f>
        <v>5.060012382788921</v>
      </c>
      <c r="F3779" s="1">
        <f>9.80573436889477*(38.9/42.5)</f>
        <v>8.9751309870589768</v>
      </c>
      <c r="G3779" s="1">
        <v>0.49264472179744251</v>
      </c>
      <c r="H3779" s="1">
        <v>2.0576844740974782</v>
      </c>
      <c r="I3779" s="1">
        <v>7.4644262729907505</v>
      </c>
      <c r="J3779" s="1">
        <v>5.0972063752279834E-2</v>
      </c>
      <c r="K3779" s="1">
        <v>3.063059422392556</v>
      </c>
      <c r="L3779" s="1">
        <v>2.34439160485111</v>
      </c>
      <c r="M3779" s="1">
        <v>0.55628949377292725</v>
      </c>
      <c r="N3779" s="1">
        <v>1.5393597146749203</v>
      </c>
      <c r="O3779" s="1">
        <v>0.48937333333333338</v>
      </c>
      <c r="P3779" s="1">
        <v>0.24052221402655649</v>
      </c>
      <c r="Q3779" s="1">
        <v>0.78733174716486332</v>
      </c>
      <c r="R3779" s="2">
        <f t="shared" si="235"/>
        <v>27.317777980674411</v>
      </c>
      <c r="S3779" s="2">
        <f t="shared" si="234"/>
        <v>3.3545537001713921</v>
      </c>
      <c r="T3779" s="2">
        <f t="shared" si="236"/>
        <v>4.9294141466322907</v>
      </c>
      <c r="U3779" s="2">
        <f t="shared" si="237"/>
        <v>35.601745827478091</v>
      </c>
    </row>
    <row r="3780" spans="1:21" x14ac:dyDescent="0.25">
      <c r="A3780">
        <v>4868793</v>
      </c>
      <c r="B3780">
        <v>6</v>
      </c>
      <c r="C3780" s="1">
        <f>0.844577776240888*(10.3/7.3)</f>
        <v>1.1916645336001566</v>
      </c>
      <c r="D3780" s="1">
        <f>1.23407832357395*(10.3/7.3)</f>
        <v>1.7412337990153064</v>
      </c>
      <c r="E3780" s="1">
        <f>4.26085651081651*(10.3/7.3)</f>
        <v>6.0118934330698766</v>
      </c>
      <c r="F3780" s="1">
        <f>12.2734861903747*(38.9/42.5)</f>
        <v>11.233849713072404</v>
      </c>
      <c r="G3780" s="1">
        <v>0.63899502137965125</v>
      </c>
      <c r="H3780" s="1">
        <v>2.4467022599327799</v>
      </c>
      <c r="I3780" s="1">
        <v>9.3857961601619575</v>
      </c>
      <c r="J3780" s="1">
        <v>7.6700151115479245E-2</v>
      </c>
      <c r="K3780" s="1">
        <v>3.3035046897847127</v>
      </c>
      <c r="L3780" s="1">
        <v>2.7660287447025937</v>
      </c>
      <c r="M3780" s="1">
        <v>0.62579573158156299</v>
      </c>
      <c r="N3780" s="1">
        <v>1.8543632115425204</v>
      </c>
      <c r="O3780" s="1">
        <v>0.52814222222222218</v>
      </c>
      <c r="P3780" s="1">
        <v>0.24711307460125512</v>
      </c>
      <c r="Q3780" s="1">
        <v>1.0212249200131425</v>
      </c>
      <c r="R3780" s="2">
        <f t="shared" si="235"/>
        <v>33.671359840245273</v>
      </c>
      <c r="S3780" s="2">
        <f t="shared" si="234"/>
        <v>3.6273179155014472</v>
      </c>
      <c r="T3780" s="2">
        <f t="shared" si="236"/>
        <v>5.7743299100488992</v>
      </c>
      <c r="U3780" s="2">
        <f t="shared" si="237"/>
        <v>43.073007665795622</v>
      </c>
    </row>
    <row r="3781" spans="1:21" x14ac:dyDescent="0.25">
      <c r="A3781">
        <v>4869025</v>
      </c>
      <c r="B3781">
        <v>39</v>
      </c>
      <c r="C3781" s="1">
        <f>1.59715014511953*(10.3/7.3)</f>
        <v>2.25351321845632</v>
      </c>
      <c r="D3781" s="1">
        <f>2.47633717471249*(10.3/7.3)</f>
        <v>3.4940099862381699</v>
      </c>
      <c r="E3781" s="1">
        <f>8.49732943466393*(10.3/7.3)</f>
        <v>11.989382626991571</v>
      </c>
      <c r="F3781" s="1">
        <f>26.1971284013326*(38.9/42.5)</f>
        <v>23.978077524984382</v>
      </c>
      <c r="G3781" s="1">
        <v>1.426081821769204</v>
      </c>
      <c r="H3781" s="1">
        <v>8.3528410641065332</v>
      </c>
      <c r="I3781" s="1">
        <v>20.03500377703654</v>
      </c>
      <c r="J3781" s="1">
        <v>4.332724476486044E-2</v>
      </c>
      <c r="K3781" s="1">
        <v>2.8038344785429921</v>
      </c>
      <c r="L3781" s="1">
        <v>4.4649186072433125</v>
      </c>
      <c r="M3781" s="1">
        <v>0.66278849931518902</v>
      </c>
      <c r="N3781" s="1">
        <v>2.0663084307433102</v>
      </c>
      <c r="O3781" s="1">
        <v>0.2616519658119657</v>
      </c>
      <c r="P3781" s="1">
        <v>0.17226946475720262</v>
      </c>
      <c r="Q3781" s="1">
        <v>2.2791261991745286</v>
      </c>
      <c r="R3781" s="2">
        <f t="shared" si="235"/>
        <v>73.808036218757252</v>
      </c>
      <c r="S3781" s="2">
        <f t="shared" si="234"/>
        <v>3.0194311880650551</v>
      </c>
      <c r="T3781" s="2">
        <f t="shared" si="236"/>
        <v>7.4556675031137782</v>
      </c>
      <c r="U3781" s="2">
        <f t="shared" si="237"/>
        <v>84.283134909936081</v>
      </c>
    </row>
    <row r="3782" spans="1:21" x14ac:dyDescent="0.25">
      <c r="A3782">
        <v>4869033</v>
      </c>
      <c r="B3782">
        <v>8</v>
      </c>
      <c r="C3782" s="1">
        <f>1.43848064660033*(10.3/7.3)</f>
        <v>2.0296370767100518</v>
      </c>
      <c r="D3782" s="1">
        <f>2.17391478658797*(10.3/7.3)</f>
        <v>3.0673044249117942</v>
      </c>
      <c r="E3782" s="1">
        <f>7.48927085100696*(10.3/7.3)</f>
        <v>10.567053392516677</v>
      </c>
      <c r="F3782" s="1">
        <f>21.9254297892628*(38.9/42.5)</f>
        <v>20.068216912995837</v>
      </c>
      <c r="G3782" s="1">
        <v>1.1563846389550607</v>
      </c>
      <c r="H3782" s="1">
        <v>5.5832208229971929</v>
      </c>
      <c r="I3782" s="1">
        <v>16.700381986084</v>
      </c>
      <c r="J3782" s="1">
        <v>4.1657652886491342E-2</v>
      </c>
      <c r="K3782" s="1">
        <v>2.6883495563019411</v>
      </c>
      <c r="L3782" s="1">
        <v>4.0042736291823839</v>
      </c>
      <c r="M3782" s="1">
        <v>0.58317803041038363</v>
      </c>
      <c r="N3782" s="1">
        <v>1.9312134115598709</v>
      </c>
      <c r="O3782" s="1">
        <v>0.24551333333333333</v>
      </c>
      <c r="P3782" s="1">
        <v>0.1646814744713633</v>
      </c>
      <c r="Q3782" s="1">
        <v>1.8481033042660806</v>
      </c>
      <c r="R3782" s="2">
        <f t="shared" si="235"/>
        <v>61.020302559436693</v>
      </c>
      <c r="S3782" s="2">
        <f t="shared" si="234"/>
        <v>2.8946886836597958</v>
      </c>
      <c r="T3782" s="2">
        <f t="shared" si="236"/>
        <v>6.7641784044859721</v>
      </c>
      <c r="U3782" s="2">
        <f t="shared" si="237"/>
        <v>70.679169647582455</v>
      </c>
    </row>
    <row r="3783" spans="1:21" x14ac:dyDescent="0.25">
      <c r="A3783">
        <v>4869041</v>
      </c>
      <c r="B3783">
        <v>52</v>
      </c>
      <c r="C3783" s="1">
        <f>2.41302793290001*(10.3/7.3)</f>
        <v>3.4046832477904312</v>
      </c>
      <c r="D3783" s="1">
        <f>3.74485159545622*(10.3/7.3)</f>
        <v>5.2838317031779507</v>
      </c>
      <c r="E3783" s="1">
        <f>12.9033008058529*(10.3/7.3)</f>
        <v>18.20602716442264</v>
      </c>
      <c r="F3783" s="1">
        <f>37.0162459854072*(38.9/42.5)</f>
        <v>33.880752207819739</v>
      </c>
      <c r="G3783" s="1">
        <v>1.9332711981706816</v>
      </c>
      <c r="H3783" s="1">
        <v>8.1205904126318504</v>
      </c>
      <c r="I3783" s="1">
        <v>27.945894429565218</v>
      </c>
      <c r="J3783" s="1">
        <v>6.5941671189196568E-2</v>
      </c>
      <c r="K3783" s="1">
        <v>3.6984167519352109</v>
      </c>
      <c r="L3783" s="1">
        <v>5.8810958642630631</v>
      </c>
      <c r="M3783" s="1">
        <v>0.82064770256793673</v>
      </c>
      <c r="N3783" s="1">
        <v>2.6578902553963584</v>
      </c>
      <c r="O3783" s="1">
        <v>0.34394974358974373</v>
      </c>
      <c r="P3783" s="1">
        <v>0.21140595205275148</v>
      </c>
      <c r="Q3783" s="1">
        <v>3.0897028281266636</v>
      </c>
      <c r="R3783" s="2">
        <f t="shared" si="235"/>
        <v>101.86475319170516</v>
      </c>
      <c r="S3783" s="2">
        <f t="shared" si="234"/>
        <v>3.975764375177159</v>
      </c>
      <c r="T3783" s="2">
        <f t="shared" si="236"/>
        <v>9.7035835658171017</v>
      </c>
      <c r="U3783" s="2">
        <f t="shared" si="237"/>
        <v>115.54410113269942</v>
      </c>
    </row>
    <row r="3784" spans="1:21" x14ac:dyDescent="0.25">
      <c r="A3784">
        <v>4869049</v>
      </c>
      <c r="B3784">
        <v>53</v>
      </c>
      <c r="C3784" s="1">
        <f>1.80769621210214*(10.3/7.3)</f>
        <v>2.5505850663906857</v>
      </c>
      <c r="D3784" s="1">
        <f>2.78916416679576*(10.3/7.3)</f>
        <v>3.9353960161638741</v>
      </c>
      <c r="E3784" s="1">
        <f>9.6096903613243*(10.3/7.3)</f>
        <v>13.558878181046612</v>
      </c>
      <c r="F3784" s="1">
        <f>27.708222901249*(38.9/42.5)</f>
        <v>25.361173431966733</v>
      </c>
      <c r="G3784" s="1">
        <v>1.4508421927790518</v>
      </c>
      <c r="H3784" s="1">
        <v>9.3019429325534233</v>
      </c>
      <c r="I3784" s="1">
        <v>20.962178608582654</v>
      </c>
      <c r="J3784" s="1">
        <v>5.748164051321001E-2</v>
      </c>
      <c r="K3784" s="1">
        <v>3.4007058633789575</v>
      </c>
      <c r="L3784" s="1">
        <v>4.9133610361761466</v>
      </c>
      <c r="M3784" s="1">
        <v>0.67475276176561805</v>
      </c>
      <c r="N3784" s="1">
        <v>2.5165430335311263</v>
      </c>
      <c r="O3784" s="1">
        <v>0.29798238993710696</v>
      </c>
      <c r="P3784" s="1">
        <v>0.19911873100534408</v>
      </c>
      <c r="Q3784" s="1">
        <v>2.3186975683683504</v>
      </c>
      <c r="R3784" s="2">
        <f t="shared" si="235"/>
        <v>79.439693997851379</v>
      </c>
      <c r="S3784" s="2">
        <f t="shared" si="234"/>
        <v>3.6573062348975118</v>
      </c>
      <c r="T3784" s="2">
        <f t="shared" si="236"/>
        <v>8.4026392214099985</v>
      </c>
      <c r="U3784" s="2">
        <f t="shared" si="237"/>
        <v>91.499639454158896</v>
      </c>
    </row>
    <row r="3785" spans="1:21" x14ac:dyDescent="0.25">
      <c r="A3785">
        <v>4869249</v>
      </c>
      <c r="B3785">
        <v>23</v>
      </c>
      <c r="C3785" s="1">
        <f>19.1323798637364*(10.3/7.3)</f>
        <v>26.995001725545873</v>
      </c>
      <c r="D3785" s="1">
        <f>25.2734504129909*(10.3/7.3)</f>
        <v>35.659799897781681</v>
      </c>
      <c r="E3785" s="1">
        <f>89.4648551066172*(10.3/7.3)</f>
        <v>126.23123391755584</v>
      </c>
      <c r="F3785" s="1">
        <f>162.989812041236*(38.9/42.5)</f>
        <v>149.18361619774299</v>
      </c>
      <c r="G3785" s="1">
        <v>5.32108267612682</v>
      </c>
      <c r="H3785" s="1">
        <v>7.5266894025519537</v>
      </c>
      <c r="I3785" s="1">
        <v>116.4991946412156</v>
      </c>
      <c r="J3785" s="1">
        <v>5.9755378128827405E-2</v>
      </c>
      <c r="K3785" s="1">
        <v>3.4485987651805332</v>
      </c>
      <c r="L3785" s="1">
        <v>4.9300810591303081</v>
      </c>
      <c r="M3785" s="1">
        <v>0.30625925739235532</v>
      </c>
      <c r="N3785" s="1">
        <v>2.9084082644772709</v>
      </c>
      <c r="O3785" s="1">
        <v>0.24390956521739132</v>
      </c>
      <c r="P3785" s="1">
        <v>0.16227314631586073</v>
      </c>
      <c r="Q3785" s="1">
        <v>8.5040134093351085</v>
      </c>
      <c r="R3785" s="2">
        <f t="shared" si="235"/>
        <v>475.92063186785583</v>
      </c>
      <c r="S3785" s="2">
        <f t="shared" ref="S3785:S3848" si="238">J3785+K3785+P3785</f>
        <v>3.6706272896252212</v>
      </c>
      <c r="T3785" s="2">
        <f t="shared" si="236"/>
        <v>8.3886581462173258</v>
      </c>
      <c r="U3785" s="2">
        <f t="shared" si="237"/>
        <v>487.97991730369836</v>
      </c>
    </row>
    <row r="3786" spans="1:21" x14ac:dyDescent="0.25">
      <c r="A3786">
        <v>4869257</v>
      </c>
      <c r="B3786">
        <v>66</v>
      </c>
      <c r="C3786" s="1">
        <f>16.2561593985439*(10.3/7.3)</f>
        <v>22.936772850000303</v>
      </c>
      <c r="D3786" s="1">
        <f>25.814132151226*(10.3/7.3)</f>
        <v>36.422679610633985</v>
      </c>
      <c r="E3786" s="1">
        <f>90.5040889611988*(10.3/7.3)</f>
        <v>127.6975501781298</v>
      </c>
      <c r="F3786" s="1">
        <f>175.813033931513*(38.9/42.5)</f>
        <v>160.92063576319637</v>
      </c>
      <c r="G3786" s="1">
        <v>6.5405045242504842</v>
      </c>
      <c r="H3786" s="1">
        <v>8.5748304516951137</v>
      </c>
      <c r="I3786" s="1">
        <v>120.18878507238433</v>
      </c>
      <c r="J3786" s="1">
        <v>6.8991792871797908E-2</v>
      </c>
      <c r="K3786" s="1">
        <v>4.3831385578611712</v>
      </c>
      <c r="L3786" s="1">
        <v>5.9573919769775694</v>
      </c>
      <c r="M3786" s="1">
        <v>0.34887471487830479</v>
      </c>
      <c r="N3786" s="1">
        <v>3.3041596475902493</v>
      </c>
      <c r="O3786" s="1">
        <v>0.2759587878787878</v>
      </c>
      <c r="P3786" s="1">
        <v>0.18093486750553633</v>
      </c>
      <c r="Q3786" s="1">
        <v>10.452861111815855</v>
      </c>
      <c r="R3786" s="2">
        <f t="shared" ref="R3786:R3849" si="239">C3786+D3786+E3786+F3786+G3786+H3786+I3786+Q3786</f>
        <v>493.73461956210627</v>
      </c>
      <c r="S3786" s="2">
        <f t="shared" si="238"/>
        <v>4.6330652182385057</v>
      </c>
      <c r="T3786" s="2">
        <f t="shared" ref="T3786:T3849" si="240">L3786+M3786+N3786+O3786</f>
        <v>9.8863851273249104</v>
      </c>
      <c r="U3786" s="2">
        <f t="shared" ref="U3786:U3849" si="241">R3786+S3786+T3786</f>
        <v>508.2540699076697</v>
      </c>
    </row>
    <row r="3787" spans="1:21" x14ac:dyDescent="0.25">
      <c r="A3787">
        <v>4869265</v>
      </c>
      <c r="B3787">
        <v>57</v>
      </c>
      <c r="C3787" s="1">
        <f>12.8929154121842*(10.3/7.3)</f>
        <v>18.191373800753052</v>
      </c>
      <c r="D3787" s="1">
        <f>21.5147486840032*(10.3/7.3)</f>
        <v>30.356426225374321</v>
      </c>
      <c r="E3787" s="1">
        <f>75.3317894376669*(10.3/7.3)</f>
        <v>106.29005906958479</v>
      </c>
      <c r="F3787" s="1">
        <f>144.716510165927*(38.9/42.5)</f>
        <v>132.45817048128359</v>
      </c>
      <c r="G3787" s="1">
        <v>5.3556740413297907</v>
      </c>
      <c r="H3787" s="1">
        <v>8.1454889009885854</v>
      </c>
      <c r="I3787" s="1">
        <v>97.090416843186873</v>
      </c>
      <c r="J3787" s="1">
        <v>6.0845904150745478E-2</v>
      </c>
      <c r="K3787" s="1">
        <v>3.6415575927282595</v>
      </c>
      <c r="L3787" s="1">
        <v>5.3178273968568099</v>
      </c>
      <c r="M3787" s="1">
        <v>0.31038364970711335</v>
      </c>
      <c r="N3787" s="1">
        <v>3.4601984924525873</v>
      </c>
      <c r="O3787" s="1">
        <v>0.25087719298245603</v>
      </c>
      <c r="P3787" s="1">
        <v>0.16773517251217798</v>
      </c>
      <c r="Q3787" s="1">
        <v>8.5592964130841516</v>
      </c>
      <c r="R3787" s="2">
        <f t="shared" si="239"/>
        <v>406.44690577558515</v>
      </c>
      <c r="S3787" s="2">
        <f t="shared" si="238"/>
        <v>3.8701386693911828</v>
      </c>
      <c r="T3787" s="2">
        <f t="shared" si="240"/>
        <v>9.3392867319989659</v>
      </c>
      <c r="U3787" s="2">
        <f t="shared" si="241"/>
        <v>419.6563311769753</v>
      </c>
    </row>
    <row r="3788" spans="1:21" x14ac:dyDescent="0.25">
      <c r="A3788">
        <v>4869273</v>
      </c>
      <c r="B3788">
        <v>58</v>
      </c>
      <c r="C3788" s="1">
        <f>10.5380458259355*(10.3/7.3)</f>
        <v>14.868749590018552</v>
      </c>
      <c r="D3788" s="1">
        <f>17.4225450216299*(10.3/7.3)</f>
        <v>24.582495030518864</v>
      </c>
      <c r="E3788" s="1">
        <f>61.0446207815782*(10.3/7.3)</f>
        <v>86.131451239760978</v>
      </c>
      <c r="F3788" s="1">
        <f>116.170091844754*(38.9/42.5)</f>
        <v>106.32980171202146</v>
      </c>
      <c r="G3788" s="1">
        <v>4.2402775708787521</v>
      </c>
      <c r="H3788" s="1">
        <v>6.3025719863370444</v>
      </c>
      <c r="I3788" s="1">
        <v>77.916502692640861</v>
      </c>
      <c r="J3788" s="1">
        <v>5.1794154551687732E-2</v>
      </c>
      <c r="K3788" s="1">
        <v>3.2298750647932328</v>
      </c>
      <c r="L3788" s="1">
        <v>4.5589145047191986</v>
      </c>
      <c r="M3788" s="1">
        <v>0.26834924903446333</v>
      </c>
      <c r="N3788" s="1">
        <v>2.7136424858851407</v>
      </c>
      <c r="O3788" s="1">
        <v>0.22114850574712638</v>
      </c>
      <c r="P3788" s="1">
        <v>0.15126837388040396</v>
      </c>
      <c r="Q3788" s="1">
        <v>6.7766993141897931</v>
      </c>
      <c r="R3788" s="2">
        <f t="shared" si="239"/>
        <v>327.14854913636634</v>
      </c>
      <c r="S3788" s="2">
        <f t="shared" si="238"/>
        <v>3.4329375932253243</v>
      </c>
      <c r="T3788" s="2">
        <f t="shared" si="240"/>
        <v>7.762054745385929</v>
      </c>
      <c r="U3788" s="2">
        <f t="shared" si="241"/>
        <v>338.3435414749776</v>
      </c>
    </row>
    <row r="3789" spans="1:21" x14ac:dyDescent="0.25">
      <c r="A3789">
        <v>4869281</v>
      </c>
      <c r="B3789">
        <v>68</v>
      </c>
      <c r="C3789" s="1">
        <f>11.4913629206816*(10.3/7.3)</f>
        <v>16.213840833290448</v>
      </c>
      <c r="D3789" s="1">
        <f>18.7522018484158*(10.3/7.3)</f>
        <v>26.458586169682526</v>
      </c>
      <c r="E3789" s="1">
        <f>65.7294066087939*(10.3/7.3)</f>
        <v>92.741491516517485</v>
      </c>
      <c r="F3789" s="1">
        <f>125.277217494748*(38.9/42.5)</f>
        <v>114.66550024813444</v>
      </c>
      <c r="G3789" s="1">
        <v>4.57087493909256</v>
      </c>
      <c r="H3789" s="1">
        <v>6.7610497511776666</v>
      </c>
      <c r="I3789" s="1">
        <v>84.408703133245766</v>
      </c>
      <c r="J3789" s="1">
        <v>6.1973987675942394E-2</v>
      </c>
      <c r="K3789" s="1">
        <v>3.7037080235822804</v>
      </c>
      <c r="L3789" s="1">
        <v>5.6103646361688968</v>
      </c>
      <c r="M3789" s="1">
        <v>0.3101724026767062</v>
      </c>
      <c r="N3789" s="1">
        <v>3.7347073865657157</v>
      </c>
      <c r="O3789" s="1">
        <v>0.25464627450980393</v>
      </c>
      <c r="P3789" s="1">
        <v>0.17004069261864302</v>
      </c>
      <c r="Q3789" s="1">
        <v>7.3050512725223653</v>
      </c>
      <c r="R3789" s="2">
        <f t="shared" si="239"/>
        <v>353.12509786366326</v>
      </c>
      <c r="S3789" s="2">
        <f t="shared" si="238"/>
        <v>3.9357227038768658</v>
      </c>
      <c r="T3789" s="2">
        <f t="shared" si="240"/>
        <v>9.9098906999211227</v>
      </c>
      <c r="U3789" s="2">
        <f t="shared" si="241"/>
        <v>366.97071126746124</v>
      </c>
    </row>
    <row r="3790" spans="1:21" x14ac:dyDescent="0.25">
      <c r="A3790">
        <v>4869289</v>
      </c>
      <c r="B3790">
        <v>66</v>
      </c>
      <c r="C3790" s="1">
        <f>6.75834814108974*(10.3/7.3)</f>
        <v>9.5357514867430613</v>
      </c>
      <c r="D3790" s="1">
        <f>10.9100013596639*(10.3/7.3)</f>
        <v>15.393563562265539</v>
      </c>
      <c r="E3790" s="1">
        <f>38.2450724170095*(10.3/7.3)</f>
        <v>53.962225465095607</v>
      </c>
      <c r="F3790" s="1">
        <f>73.4330285767715*(38.9/42.5)</f>
        <v>67.212819097327298</v>
      </c>
      <c r="G3790" s="1">
        <v>2.6996382574891968</v>
      </c>
      <c r="H3790" s="1">
        <v>5.0012718967608762</v>
      </c>
      <c r="I3790" s="1">
        <v>49.762458422659968</v>
      </c>
      <c r="J3790" s="1">
        <v>4.2505715019240844E-2</v>
      </c>
      <c r="K3790" s="1">
        <v>2.8314877435325156</v>
      </c>
      <c r="L3790" s="1">
        <v>3.7459497198735385</v>
      </c>
      <c r="M3790" s="1">
        <v>0.22122062705829185</v>
      </c>
      <c r="N3790" s="1">
        <v>3.0554594921744149</v>
      </c>
      <c r="O3790" s="1">
        <v>0.189070707070707</v>
      </c>
      <c r="P3790" s="1">
        <v>0.13614332521081035</v>
      </c>
      <c r="Q3790" s="1">
        <v>4.3144903658503209</v>
      </c>
      <c r="R3790" s="2">
        <f t="shared" si="239"/>
        <v>207.88221855419187</v>
      </c>
      <c r="S3790" s="2">
        <f t="shared" si="238"/>
        <v>3.010136783762567</v>
      </c>
      <c r="T3790" s="2">
        <f t="shared" si="240"/>
        <v>7.2117005461769521</v>
      </c>
      <c r="U3790" s="2">
        <f t="shared" si="241"/>
        <v>218.10405588413138</v>
      </c>
    </row>
    <row r="3791" spans="1:21" x14ac:dyDescent="0.25">
      <c r="A3791">
        <v>4869297</v>
      </c>
      <c r="B3791">
        <v>64</v>
      </c>
      <c r="C3791" s="1">
        <f>8.16541767030462*(10.3/7.3)</f>
        <v>11.521068767690087</v>
      </c>
      <c r="D3791" s="1">
        <f>12.9408092680015*(10.3/7.3)</f>
        <v>18.258950063070625</v>
      </c>
      <c r="E3791" s="1">
        <f>45.3802166509702*(10.3/7.3)</f>
        <v>64.029620754108606</v>
      </c>
      <c r="F3791" s="1">
        <f>87.8198689004895*(38.9/42.5)</f>
        <v>80.381009417153948</v>
      </c>
      <c r="G3791" s="1">
        <v>3.2501146476934699</v>
      </c>
      <c r="H3791" s="1">
        <v>5.8394036164567096</v>
      </c>
      <c r="I3791" s="1">
        <v>60.001266374444121</v>
      </c>
      <c r="J3791" s="1">
        <v>5.1552008447620097E-2</v>
      </c>
      <c r="K3791" s="1">
        <v>3.2326695356337964</v>
      </c>
      <c r="L3791" s="1">
        <v>4.6169349381911085</v>
      </c>
      <c r="M3791" s="1">
        <v>0.25540442757866172</v>
      </c>
      <c r="N3791" s="1">
        <v>3.56098840121025</v>
      </c>
      <c r="O3791" s="1">
        <v>0.21639166666666662</v>
      </c>
      <c r="P3791" s="1">
        <v>0.14917243395471361</v>
      </c>
      <c r="Q3791" s="1">
        <v>5.1942471538480142</v>
      </c>
      <c r="R3791" s="2">
        <f t="shared" si="239"/>
        <v>248.47568079446557</v>
      </c>
      <c r="S3791" s="2">
        <f t="shared" si="238"/>
        <v>3.43339397803613</v>
      </c>
      <c r="T3791" s="2">
        <f t="shared" si="240"/>
        <v>8.6497194336466876</v>
      </c>
      <c r="U3791" s="2">
        <f t="shared" si="241"/>
        <v>260.55879420614838</v>
      </c>
    </row>
    <row r="3792" spans="1:21" x14ac:dyDescent="0.25">
      <c r="A3792">
        <v>4869305</v>
      </c>
      <c r="B3792">
        <v>71</v>
      </c>
      <c r="C3792" s="1">
        <f>7.55357606654102*(10.3/7.3)</f>
        <v>10.657785408955146</v>
      </c>
      <c r="D3792" s="1">
        <f>11.7389199021915*(10.3/7.3)</f>
        <v>16.563133560626408</v>
      </c>
      <c r="E3792" s="1">
        <f>41.194290699078*(10.3/7.3)</f>
        <v>58.123451260342989</v>
      </c>
      <c r="F3792" s="1">
        <f>79.741937667944*(38.9/42.5)</f>
        <v>72.987326477247549</v>
      </c>
      <c r="G3792" s="1">
        <v>2.9414832527031738</v>
      </c>
      <c r="H3792" s="1">
        <v>5.6079704267352417</v>
      </c>
      <c r="I3792" s="1">
        <v>54.821796557224943</v>
      </c>
      <c r="J3792" s="1">
        <v>5.1478428455706868E-2</v>
      </c>
      <c r="K3792" s="1">
        <v>3.2317695865719549</v>
      </c>
      <c r="L3792" s="1">
        <v>4.6477238989715532</v>
      </c>
      <c r="M3792" s="1">
        <v>0.25043638326563777</v>
      </c>
      <c r="N3792" s="1">
        <v>2.7716981279839001</v>
      </c>
      <c r="O3792" s="1">
        <v>0.21285183098591548</v>
      </c>
      <c r="P3792" s="1">
        <v>0.14829972534492147</v>
      </c>
      <c r="Q3792" s="1">
        <v>4.7010006321740248</v>
      </c>
      <c r="R3792" s="2">
        <f t="shared" si="239"/>
        <v>226.40394757600947</v>
      </c>
      <c r="S3792" s="2">
        <f t="shared" si="238"/>
        <v>3.4315477403725834</v>
      </c>
      <c r="T3792" s="2">
        <f t="shared" si="240"/>
        <v>7.8827102412070058</v>
      </c>
      <c r="U3792" s="2">
        <f t="shared" si="241"/>
        <v>237.71820555758907</v>
      </c>
    </row>
    <row r="3793" spans="1:21" x14ac:dyDescent="0.25">
      <c r="A3793">
        <v>4869313</v>
      </c>
      <c r="B3793">
        <v>70</v>
      </c>
      <c r="C3793" s="1">
        <f>9.11712705212264*(10.3/7.3)</f>
        <v>12.863891594090845</v>
      </c>
      <c r="D3793" s="1">
        <f>13.2712280188588*(10.3/7.3)</f>
        <v>18.725157341677519</v>
      </c>
      <c r="E3793" s="1">
        <f>46.6912974893361*(10.3/7.3)</f>
        <v>65.879501937008541</v>
      </c>
      <c r="F3793" s="1">
        <f>90.1549716384727*(38.9/42.5)</f>
        <v>82.518315217331448</v>
      </c>
      <c r="G3793" s="1">
        <v>3.27252635749903</v>
      </c>
      <c r="H3793" s="1">
        <v>6.0339741744136735</v>
      </c>
      <c r="I3793" s="1">
        <v>63.252422785137206</v>
      </c>
      <c r="J3793" s="1">
        <v>5.7175473347014637E-2</v>
      </c>
      <c r="K3793" s="1">
        <v>3.4846212684198155</v>
      </c>
      <c r="L3793" s="1">
        <v>5.1518820432261627</v>
      </c>
      <c r="M3793" s="1">
        <v>0.26913182922726364</v>
      </c>
      <c r="N3793" s="1">
        <v>3.5331460774930954</v>
      </c>
      <c r="O3793" s="1">
        <v>0.22833904761904758</v>
      </c>
      <c r="P3793" s="1">
        <v>0.15549050252203958</v>
      </c>
      <c r="Q3793" s="1">
        <v>5.230064954907129</v>
      </c>
      <c r="R3793" s="2">
        <f t="shared" si="239"/>
        <v>257.77585436206539</v>
      </c>
      <c r="S3793" s="2">
        <f t="shared" si="238"/>
        <v>3.6972872442888693</v>
      </c>
      <c r="T3793" s="2">
        <f t="shared" si="240"/>
        <v>9.1824989975655704</v>
      </c>
      <c r="U3793" s="2">
        <f t="shared" si="241"/>
        <v>270.65564060391984</v>
      </c>
    </row>
    <row r="3794" spans="1:21" x14ac:dyDescent="0.25">
      <c r="A3794">
        <v>4869321</v>
      </c>
      <c r="B3794">
        <v>70</v>
      </c>
      <c r="C3794" s="1">
        <f>5.5291380704302*(10.3/7.3)</f>
        <v>7.8013865925248007</v>
      </c>
      <c r="D3794" s="1">
        <f>8.17275361663023*(10.3/7.3)</f>
        <v>11.531419486478272</v>
      </c>
      <c r="E3794" s="1">
        <f>28.72914611373*(10.3/7.3)</f>
        <v>40.535644516632679</v>
      </c>
      <c r="F3794" s="1">
        <f>55.8486993489747*(38.9/42.5)</f>
        <v>51.117985992355685</v>
      </c>
      <c r="G3794" s="1">
        <v>2.0514639448872258</v>
      </c>
      <c r="H3794" s="1">
        <v>4.4650890631677846</v>
      </c>
      <c r="I3794" s="1">
        <v>39.061433947130872</v>
      </c>
      <c r="J3794" s="1">
        <v>4.3034087568136446E-2</v>
      </c>
      <c r="K3794" s="1">
        <v>2.800385771212401</v>
      </c>
      <c r="L3794" s="1">
        <v>3.81949782313953</v>
      </c>
      <c r="M3794" s="1">
        <v>0.20555709873756906</v>
      </c>
      <c r="N3794" s="1">
        <v>2.20075120904675</v>
      </c>
      <c r="O3794" s="1">
        <v>0.17698361904761903</v>
      </c>
      <c r="P3794" s="1">
        <v>0.12952310214995882</v>
      </c>
      <c r="Q3794" s="1">
        <v>3.2785953457101824</v>
      </c>
      <c r="R3794" s="2">
        <f t="shared" si="239"/>
        <v>159.84301888888751</v>
      </c>
      <c r="S3794" s="2">
        <f t="shared" si="238"/>
        <v>2.9729429609304963</v>
      </c>
      <c r="T3794" s="2">
        <f t="shared" si="240"/>
        <v>6.4027897499714683</v>
      </c>
      <c r="U3794" s="2">
        <f t="shared" si="241"/>
        <v>169.2187515997895</v>
      </c>
    </row>
    <row r="3795" spans="1:21" x14ac:dyDescent="0.25">
      <c r="A3795">
        <v>4869329</v>
      </c>
      <c r="B3795">
        <v>66</v>
      </c>
      <c r="C3795" s="1">
        <f>5.7704275574846*(10.3/7.3)</f>
        <v>8.1418361427522381</v>
      </c>
      <c r="D3795" s="1">
        <f>8.57211768007946*(10.3/7.3)</f>
        <v>12.09490576778335</v>
      </c>
      <c r="E3795" s="1">
        <f>30.1084199465282*(10.3/7.3)</f>
        <v>42.481743212224771</v>
      </c>
      <c r="F3795" s="1">
        <f>59.4786685952253*(38.9/42.5)</f>
        <v>54.440475490688549</v>
      </c>
      <c r="G3795" s="1">
        <v>2.2318160577338855</v>
      </c>
      <c r="H3795" s="1">
        <v>5.0583254635720696</v>
      </c>
      <c r="I3795" s="1">
        <v>41.719743651305009</v>
      </c>
      <c r="J3795" s="1">
        <v>4.7223643269539532E-2</v>
      </c>
      <c r="K3795" s="1">
        <v>2.9450787620125225</v>
      </c>
      <c r="L3795" s="1">
        <v>4.0575223511766865</v>
      </c>
      <c r="M3795" s="1">
        <v>0.21407220011738876</v>
      </c>
      <c r="N3795" s="1">
        <v>2.2643818716706217</v>
      </c>
      <c r="O3795" s="1">
        <v>0.18479030303030308</v>
      </c>
      <c r="P3795" s="1">
        <v>0.1325301330007928</v>
      </c>
      <c r="Q3795" s="1">
        <v>3.5668293160130622</v>
      </c>
      <c r="R3795" s="2">
        <f t="shared" si="239"/>
        <v>169.73567510207295</v>
      </c>
      <c r="S3795" s="2">
        <f t="shared" si="238"/>
        <v>3.1248325382828548</v>
      </c>
      <c r="T3795" s="2">
        <f t="shared" si="240"/>
        <v>6.7207667259950004</v>
      </c>
      <c r="U3795" s="2">
        <f t="shared" si="241"/>
        <v>179.58127436635078</v>
      </c>
    </row>
    <row r="3796" spans="1:21" x14ac:dyDescent="0.25">
      <c r="A3796">
        <v>4869337</v>
      </c>
      <c r="B3796">
        <v>69</v>
      </c>
      <c r="C3796" s="1">
        <f>8.55386492301231*(10.3/7.3)</f>
        <v>12.069151877674898</v>
      </c>
      <c r="D3796" s="1">
        <f>12.4712278931164*(10.3/7.3)</f>
        <v>17.596390040972498</v>
      </c>
      <c r="E3796" s="1">
        <f>43.8015958437227*(10.3/7.3)</f>
        <v>61.802251669910063</v>
      </c>
      <c r="F3796" s="1">
        <f>88.2236574390294*(38.9/42.5)</f>
        <v>80.7505946912528</v>
      </c>
      <c r="G3796" s="1">
        <v>3.3776602940148677</v>
      </c>
      <c r="H3796" s="1">
        <v>6.3232116477107647</v>
      </c>
      <c r="I3796" s="1">
        <v>62.571430485736762</v>
      </c>
      <c r="J3796" s="1">
        <v>6.9411065009057624E-2</v>
      </c>
      <c r="K3796" s="1">
        <v>3.8077352055548639</v>
      </c>
      <c r="L3796" s="1">
        <v>5.7253085081632245</v>
      </c>
      <c r="M3796" s="1">
        <v>0.27658865688185824</v>
      </c>
      <c r="N3796" s="1">
        <v>3.0766302580009612</v>
      </c>
      <c r="O3796" s="1">
        <v>0.23687884057971012</v>
      </c>
      <c r="P3796" s="1">
        <v>0.16048306430051723</v>
      </c>
      <c r="Q3796" s="1">
        <v>5.3980872278776451</v>
      </c>
      <c r="R3796" s="2">
        <f t="shared" si="239"/>
        <v>249.8887779351503</v>
      </c>
      <c r="S3796" s="2">
        <f t="shared" si="238"/>
        <v>4.0376293348644392</v>
      </c>
      <c r="T3796" s="2">
        <f t="shared" si="240"/>
        <v>9.3154062636257535</v>
      </c>
      <c r="U3796" s="2">
        <f t="shared" si="241"/>
        <v>263.24181353364048</v>
      </c>
    </row>
    <row r="3797" spans="1:21" x14ac:dyDescent="0.25">
      <c r="A3797">
        <v>4869345</v>
      </c>
      <c r="B3797">
        <v>49</v>
      </c>
      <c r="C3797" s="1">
        <f>7.76035007658668*(10.3/7.3)</f>
        <v>10.949535039567504</v>
      </c>
      <c r="D3797" s="1">
        <f>11.1598089415542*(10.3/7.3)</f>
        <v>15.746031794247747</v>
      </c>
      <c r="E3797" s="1">
        <f>39.201811440326*(10.3/7.3)</f>
        <v>55.312144908953172</v>
      </c>
      <c r="F3797" s="1">
        <f>79.7124838581355*(38.9/42.5)</f>
        <v>72.960367578387505</v>
      </c>
      <c r="G3797" s="1">
        <v>3.0785546216352682</v>
      </c>
      <c r="H3797" s="1">
        <v>5.9145963710280132</v>
      </c>
      <c r="I3797" s="1">
        <v>56.916283747932923</v>
      </c>
      <c r="J3797" s="1">
        <v>7.0792399141500637E-2</v>
      </c>
      <c r="K3797" s="1">
        <v>3.6059031344933863</v>
      </c>
      <c r="L3797" s="1">
        <v>5.2375788830768695</v>
      </c>
      <c r="M3797" s="1">
        <v>0.25381227399884504</v>
      </c>
      <c r="N3797" s="1">
        <v>2.9598191763157407</v>
      </c>
      <c r="O3797" s="1">
        <v>0.22017306122448979</v>
      </c>
      <c r="P3797" s="1">
        <v>0.15057450010267212</v>
      </c>
      <c r="Q3797" s="1">
        <v>4.9200644638006628</v>
      </c>
      <c r="R3797" s="2">
        <f t="shared" si="239"/>
        <v>225.79757852555281</v>
      </c>
      <c r="S3797" s="2">
        <f t="shared" si="238"/>
        <v>3.8272700337375589</v>
      </c>
      <c r="T3797" s="2">
        <f t="shared" si="240"/>
        <v>8.671383394615944</v>
      </c>
      <c r="U3797" s="2">
        <f t="shared" si="241"/>
        <v>238.29623195390633</v>
      </c>
    </row>
    <row r="3798" spans="1:21" x14ac:dyDescent="0.25">
      <c r="A3798">
        <v>4869433</v>
      </c>
      <c r="B3798">
        <v>19</v>
      </c>
      <c r="C3798" s="1">
        <f>3.44975207746083*(10.3/7.3)</f>
        <v>4.8674584106639047</v>
      </c>
      <c r="D3798" s="1">
        <f>4.87105114201424*(10.3/7.3)</f>
        <v>6.872852981198168</v>
      </c>
      <c r="E3798" s="1">
        <f>16.9580639538756*(10.3/7.3)</f>
        <v>23.927131332180593</v>
      </c>
      <c r="F3798" s="1">
        <f>42.8288013091992*(38.9/42.5)</f>
        <v>39.200949904184689</v>
      </c>
      <c r="G3798" s="1">
        <v>2.0287214510305791</v>
      </c>
      <c r="H3798" s="1">
        <v>7.5915343671346358</v>
      </c>
      <c r="I3798" s="1">
        <v>32.23335539356426</v>
      </c>
      <c r="J3798" s="1">
        <v>3.3129148324252726E-2</v>
      </c>
      <c r="K3798" s="1">
        <v>2.2178320879507374</v>
      </c>
      <c r="L3798" s="1">
        <v>3.3621270593234733</v>
      </c>
      <c r="M3798" s="1">
        <v>0.12928224026057294</v>
      </c>
      <c r="N3798" s="1">
        <v>1.5780735158919199</v>
      </c>
      <c r="O3798" s="1">
        <v>0.11403508771929824</v>
      </c>
      <c r="P3798" s="1">
        <v>9.0007336212202305E-2</v>
      </c>
      <c r="Q3798" s="1">
        <v>3.2422488943411123</v>
      </c>
      <c r="R3798" s="2">
        <f t="shared" si="239"/>
        <v>119.96425273429796</v>
      </c>
      <c r="S3798" s="2">
        <f t="shared" si="238"/>
        <v>2.3409685724871925</v>
      </c>
      <c r="T3798" s="2">
        <f t="shared" si="240"/>
        <v>5.1835179031952645</v>
      </c>
      <c r="U3798" s="2">
        <f t="shared" si="241"/>
        <v>127.48873920998042</v>
      </c>
    </row>
    <row r="3799" spans="1:21" x14ac:dyDescent="0.25">
      <c r="A3799">
        <v>4869441</v>
      </c>
      <c r="B3799">
        <v>42</v>
      </c>
      <c r="C3799" s="1">
        <f>3.41616779288254*(10.3/7.3)</f>
        <v>4.820072365300029</v>
      </c>
      <c r="D3799" s="1">
        <f>4.72903020054928*(10.3/7.3)</f>
        <v>6.6724672692681661</v>
      </c>
      <c r="E3799" s="1">
        <f>16.4729243221902*(10.3/7.3)</f>
        <v>23.242619249117681</v>
      </c>
      <c r="F3799" s="1">
        <f>41.8038965131688*(38.9/42.5)</f>
        <v>38.262860573229787</v>
      </c>
      <c r="G3799" s="1">
        <v>1.9826316855668973</v>
      </c>
      <c r="H3799" s="1">
        <v>8.6357302446874158</v>
      </c>
      <c r="I3799" s="1">
        <v>31.642988971950846</v>
      </c>
      <c r="J3799" s="1">
        <v>3.5075534601097677E-2</v>
      </c>
      <c r="K3799" s="1">
        <v>2.2974190116906237</v>
      </c>
      <c r="L3799" s="1">
        <v>3.139895923364068</v>
      </c>
      <c r="M3799" s="1">
        <v>0.13147808629431892</v>
      </c>
      <c r="N3799" s="1">
        <v>1.6502524901494489</v>
      </c>
      <c r="O3799" s="1">
        <v>0.11677841269841267</v>
      </c>
      <c r="P3799" s="1">
        <v>9.1655767642674912E-2</v>
      </c>
      <c r="Q3799" s="1">
        <v>3.1685894518192455</v>
      </c>
      <c r="R3799" s="2">
        <f t="shared" si="239"/>
        <v>118.42795981094007</v>
      </c>
      <c r="S3799" s="2">
        <f t="shared" si="238"/>
        <v>2.4241503139343963</v>
      </c>
      <c r="T3799" s="2">
        <f t="shared" si="240"/>
        <v>5.0384049125062482</v>
      </c>
      <c r="U3799" s="2">
        <f t="shared" si="241"/>
        <v>125.89051503738071</v>
      </c>
    </row>
    <row r="3800" spans="1:21" x14ac:dyDescent="0.25">
      <c r="A3800">
        <v>4869721</v>
      </c>
      <c r="B3800">
        <v>4</v>
      </c>
      <c r="C3800" s="1">
        <f>4.15756902489531*(10.3/7.3)</f>
        <v>5.8661590351262589</v>
      </c>
      <c r="D3800" s="1">
        <f>4.85109526077823*(10.3/7.3)</f>
        <v>6.8446960528788727</v>
      </c>
      <c r="E3800" s="1">
        <f>17.0990460899956*(10.3/7.3)</f>
        <v>24.12605133245961</v>
      </c>
      <c r="F3800" s="1">
        <f>39.7171730020438*(38.9/42.5)</f>
        <v>36.352894818341284</v>
      </c>
      <c r="G3800" s="1">
        <v>1.7014295275842197</v>
      </c>
      <c r="H3800" s="1">
        <v>5.6315076842925738</v>
      </c>
      <c r="I3800" s="1">
        <v>31.039762761067905</v>
      </c>
      <c r="J3800" s="1">
        <v>3.5074322257167043E-2</v>
      </c>
      <c r="K3800" s="1">
        <v>2.0484060562583979</v>
      </c>
      <c r="L3800" s="1">
        <v>2.095702398001289</v>
      </c>
      <c r="M3800" s="1">
        <v>9.5092206212738686E-2</v>
      </c>
      <c r="N3800" s="1">
        <v>1.3121836707198122</v>
      </c>
      <c r="O3800" s="1">
        <v>9.2079999999999995E-2</v>
      </c>
      <c r="P3800" s="1">
        <v>7.1653270058720242E-2</v>
      </c>
      <c r="Q3800" s="1">
        <v>2.7191796102944172</v>
      </c>
      <c r="R3800" s="2">
        <f t="shared" si="239"/>
        <v>114.28168082204515</v>
      </c>
      <c r="S3800" s="2">
        <f t="shared" si="238"/>
        <v>2.1551336485742851</v>
      </c>
      <c r="T3800" s="2">
        <f t="shared" si="240"/>
        <v>3.59505827493384</v>
      </c>
      <c r="U3800" s="2">
        <f t="shared" si="241"/>
        <v>120.03187274555326</v>
      </c>
    </row>
    <row r="3801" spans="1:21" x14ac:dyDescent="0.25">
      <c r="A3801">
        <v>4869729</v>
      </c>
      <c r="B3801">
        <v>24</v>
      </c>
      <c r="C3801" s="1">
        <f>3.5515182544296*(10.3/7.3)</f>
        <v>5.0110463041951876</v>
      </c>
      <c r="D3801" s="1">
        <f>4.12331302071921*(10.3/7.3)</f>
        <v>5.8178252210147763</v>
      </c>
      <c r="E3801" s="1">
        <f>14.5553621499111*(10.3/7.3)</f>
        <v>20.537017827956728</v>
      </c>
      <c r="F3801" s="1">
        <f>32.8901523606312*(38.9/42.5)</f>
        <v>30.104162984201281</v>
      </c>
      <c r="G3801" s="1">
        <v>1.3698881597623538</v>
      </c>
      <c r="H3801" s="1">
        <v>3.4415795569177807</v>
      </c>
      <c r="I3801" s="1">
        <v>25.638088567089735</v>
      </c>
      <c r="J3801" s="1">
        <v>3.0162460307873683E-2</v>
      </c>
      <c r="K3801" s="1">
        <v>1.8607287540560622</v>
      </c>
      <c r="L3801" s="1">
        <v>1.8689312053336418</v>
      </c>
      <c r="M3801" s="1">
        <v>8.4083859102142222E-2</v>
      </c>
      <c r="N3801" s="1">
        <v>1.1747755196529714</v>
      </c>
      <c r="O3801" s="1">
        <v>8.3731111111111103E-2</v>
      </c>
      <c r="P3801" s="1">
        <v>6.6374916048848667E-2</v>
      </c>
      <c r="Q3801" s="1">
        <v>2.1893189767891523</v>
      </c>
      <c r="R3801" s="2">
        <f t="shared" si="239"/>
        <v>94.108927597927007</v>
      </c>
      <c r="S3801" s="2">
        <f t="shared" si="238"/>
        <v>1.9572661304127845</v>
      </c>
      <c r="T3801" s="2">
        <f t="shared" si="240"/>
        <v>3.2115216951998664</v>
      </c>
      <c r="U3801" s="2">
        <f t="shared" si="241"/>
        <v>99.277715423539661</v>
      </c>
    </row>
    <row r="3802" spans="1:21" x14ac:dyDescent="0.25">
      <c r="A3802">
        <v>4881013</v>
      </c>
      <c r="B3802">
        <v>3</v>
      </c>
      <c r="C3802" s="1">
        <f>0.595313487175059*(10.3/7.3)</f>
        <v>0.8399628654661796</v>
      </c>
      <c r="D3802" s="1">
        <f>0.843236498399678*(10.3/7.3)</f>
        <v>1.189772045687217</v>
      </c>
      <c r="E3802" s="1">
        <f>2.9261814994146*(10.3/7.3)</f>
        <v>4.1287218416397806</v>
      </c>
      <c r="F3802" s="1">
        <f>7.85379237003032*(38.9/42.5)</f>
        <v>7.1885299575101067</v>
      </c>
      <c r="G3802" s="1">
        <v>0.38915875116178239</v>
      </c>
      <c r="H3802" s="1">
        <v>1.6749522507074781</v>
      </c>
      <c r="I3802" s="1">
        <v>5.9726317752863478</v>
      </c>
      <c r="J3802" s="1">
        <v>4.1091185184902693E-2</v>
      </c>
      <c r="K3802" s="1">
        <v>2.7160830722049867</v>
      </c>
      <c r="L3802" s="1">
        <v>2.1432859174091221</v>
      </c>
      <c r="M3802" s="1">
        <v>0.50619924932372251</v>
      </c>
      <c r="N3802" s="1">
        <v>1.3523621603235325</v>
      </c>
      <c r="O3802" s="1">
        <v>0.40444444444444444</v>
      </c>
      <c r="P3802" s="1">
        <v>0.21229614182280607</v>
      </c>
      <c r="Q3802" s="1">
        <v>0.62194320961928762</v>
      </c>
      <c r="R3802" s="2">
        <f t="shared" si="239"/>
        <v>22.005672697078182</v>
      </c>
      <c r="S3802" s="2">
        <f t="shared" si="238"/>
        <v>2.9694703992126956</v>
      </c>
      <c r="T3802" s="2">
        <f t="shared" si="240"/>
        <v>4.4062917715008219</v>
      </c>
      <c r="U3802" s="2">
        <f t="shared" si="241"/>
        <v>29.3814348677917</v>
      </c>
    </row>
    <row r="3803" spans="1:21" x14ac:dyDescent="0.25">
      <c r="A3803">
        <v>4881021</v>
      </c>
      <c r="B3803">
        <v>11</v>
      </c>
      <c r="C3803" s="1">
        <f>0.796438780141672*(10.3/7.3)</f>
        <v>1.1237423884190711</v>
      </c>
      <c r="D3803" s="1">
        <f>1.15299308690341*(10.3/7.3)</f>
        <v>1.6268258623431695</v>
      </c>
      <c r="E3803" s="1">
        <f>3.98726345900624*(10.3/7.3)</f>
        <v>5.6258648805156577</v>
      </c>
      <c r="F3803" s="1">
        <f>11.2324412755552*(38.9/42.5)</f>
        <v>10.280987426331697</v>
      </c>
      <c r="G3803" s="1">
        <v>0.57616407931361568</v>
      </c>
      <c r="H3803" s="1">
        <v>2.292576197154597</v>
      </c>
      <c r="I3803" s="1">
        <v>8.5735255461805</v>
      </c>
      <c r="J3803" s="1">
        <v>6.8545484985697777E-2</v>
      </c>
      <c r="K3803" s="1">
        <v>3.1656440922763807</v>
      </c>
      <c r="L3803" s="1">
        <v>2.5541470373703699</v>
      </c>
      <c r="M3803" s="1">
        <v>0.59817610574083002</v>
      </c>
      <c r="N3803" s="1">
        <v>1.6850444933748108</v>
      </c>
      <c r="O3803" s="1">
        <v>0.50388848484848481</v>
      </c>
      <c r="P3803" s="1">
        <v>0.24219538492784543</v>
      </c>
      <c r="Q3803" s="1">
        <v>0.92081017241902141</v>
      </c>
      <c r="R3803" s="2">
        <f t="shared" si="239"/>
        <v>31.020496552677333</v>
      </c>
      <c r="S3803" s="2">
        <f t="shared" si="238"/>
        <v>3.4763849621899237</v>
      </c>
      <c r="T3803" s="2">
        <f t="shared" si="240"/>
        <v>5.3412561213344958</v>
      </c>
      <c r="U3803" s="2">
        <f t="shared" si="241"/>
        <v>39.838137636201751</v>
      </c>
    </row>
    <row r="3804" spans="1:21" x14ac:dyDescent="0.25">
      <c r="A3804">
        <v>4881253</v>
      </c>
      <c r="B3804">
        <v>8</v>
      </c>
      <c r="C3804" s="1">
        <f>1.70752676206872*(10.3/7.3)</f>
        <v>2.4092500889462727</v>
      </c>
      <c r="D3804" s="1">
        <f>2.69392203484049*(10.3/7.3)</f>
        <v>3.8010132820352154</v>
      </c>
      <c r="E3804" s="1">
        <f>9.2232436049909*(10.3/7.3)</f>
        <v>13.013617689233739</v>
      </c>
      <c r="F3804" s="1">
        <f>29.2012840339822*(38.9/42.5)</f>
        <v>26.727763504044884</v>
      </c>
      <c r="G3804" s="1">
        <v>1.6145206253396531</v>
      </c>
      <c r="H3804" s="1">
        <v>8.8822631638476821</v>
      </c>
      <c r="I3804" s="1">
        <v>22.36337922218323</v>
      </c>
      <c r="J3804" s="1">
        <v>4.7425227593490417E-2</v>
      </c>
      <c r="K3804" s="1">
        <v>3.0367569381707264</v>
      </c>
      <c r="L3804" s="1">
        <v>5.0140489666504831</v>
      </c>
      <c r="M3804" s="1">
        <v>0.72932389057094049</v>
      </c>
      <c r="N3804" s="1">
        <v>2.3250366428506819</v>
      </c>
      <c r="O3804" s="1">
        <v>0.28160000000000002</v>
      </c>
      <c r="P3804" s="1">
        <v>0.18448206773480821</v>
      </c>
      <c r="Q3804" s="1">
        <v>2.5802841044241056</v>
      </c>
      <c r="R3804" s="2">
        <f t="shared" si="239"/>
        <v>81.392091680054776</v>
      </c>
      <c r="S3804" s="2">
        <f t="shared" si="238"/>
        <v>3.2686642334990248</v>
      </c>
      <c r="T3804" s="2">
        <f t="shared" si="240"/>
        <v>8.3500095000721046</v>
      </c>
      <c r="U3804" s="2">
        <f t="shared" si="241"/>
        <v>93.010765413625904</v>
      </c>
    </row>
    <row r="3805" spans="1:21" x14ac:dyDescent="0.25">
      <c r="A3805">
        <v>4881261</v>
      </c>
      <c r="B3805">
        <v>3</v>
      </c>
      <c r="C3805" s="1">
        <f>1.34861605769943*(10.3/7.3)</f>
        <v>1.9028418348361846</v>
      </c>
      <c r="D3805" s="1">
        <f>2.06392714220471*(10.3/7.3)</f>
        <v>2.9121163787271942</v>
      </c>
      <c r="E3805" s="1">
        <f>7.09995187668301*(10.3/7.3)</f>
        <v>10.017740319155477</v>
      </c>
      <c r="F3805" s="1">
        <f>21.1485325185069*(38.9/42.5)</f>
        <v>19.357127411056858</v>
      </c>
      <c r="G3805" s="1">
        <v>1.1280274801619903</v>
      </c>
      <c r="H3805" s="1">
        <v>5.6029554532657402</v>
      </c>
      <c r="I3805" s="1">
        <v>16.117863549103703</v>
      </c>
      <c r="J3805" s="1">
        <v>4.0335894916117825E-2</v>
      </c>
      <c r="K3805" s="1">
        <v>2.6310750586879643</v>
      </c>
      <c r="L3805" s="1">
        <v>4.0802823285019665</v>
      </c>
      <c r="M3805" s="1">
        <v>0.61117478822372762</v>
      </c>
      <c r="N3805" s="1">
        <v>1.8960898863448443</v>
      </c>
      <c r="O3805" s="1">
        <v>0.24380444444444441</v>
      </c>
      <c r="P3805" s="1">
        <v>0.16199956297146606</v>
      </c>
      <c r="Q3805" s="1">
        <v>1.8027836440945071</v>
      </c>
      <c r="R3805" s="2">
        <f t="shared" si="239"/>
        <v>58.841456070401655</v>
      </c>
      <c r="S3805" s="2">
        <f t="shared" si="238"/>
        <v>2.8334105165755483</v>
      </c>
      <c r="T3805" s="2">
        <f t="shared" si="240"/>
        <v>6.831351447514983</v>
      </c>
      <c r="U3805" s="2">
        <f t="shared" si="241"/>
        <v>68.506218034492179</v>
      </c>
    </row>
    <row r="3806" spans="1:21" x14ac:dyDescent="0.25">
      <c r="A3806">
        <v>4881269</v>
      </c>
      <c r="B3806">
        <v>1</v>
      </c>
      <c r="C3806" s="1">
        <f>1.1650035347817*(10.3/7.3)</f>
        <v>1.6437721107193857</v>
      </c>
      <c r="D3806" s="1">
        <f>1.72381769541755*(10.3/7.3)</f>
        <v>2.4322359264110611</v>
      </c>
      <c r="E3806" s="1">
        <f>5.95438136804116*(10.3/7.3)</f>
        <v>8.401387409701913</v>
      </c>
      <c r="F3806" s="1">
        <f>16.8688329222528*(38.9/42.5)</f>
        <v>15.439943545309017</v>
      </c>
      <c r="G3806" s="1">
        <v>0.87026926679713734</v>
      </c>
      <c r="H3806" s="1">
        <v>4.2156529339619331</v>
      </c>
      <c r="I3806" s="1">
        <v>12.829559993825113</v>
      </c>
      <c r="J3806" s="1">
        <v>3.7391111508608271E-2</v>
      </c>
      <c r="K3806" s="1">
        <v>2.4128581490214698</v>
      </c>
      <c r="L3806" s="1">
        <v>3.4432227751582305</v>
      </c>
      <c r="M3806" s="1">
        <v>0.49273107292552742</v>
      </c>
      <c r="N3806" s="1">
        <v>1.6659814868803837</v>
      </c>
      <c r="O3806" s="1">
        <v>0.21829333333333334</v>
      </c>
      <c r="P3806" s="1">
        <v>0.14864850253365533</v>
      </c>
      <c r="Q3806" s="1">
        <v>1.3908412939680292</v>
      </c>
      <c r="R3806" s="2">
        <f t="shared" si="239"/>
        <v>47.223662480693591</v>
      </c>
      <c r="S3806" s="2">
        <f t="shared" si="238"/>
        <v>2.5988977630637331</v>
      </c>
      <c r="T3806" s="2">
        <f t="shared" si="240"/>
        <v>5.8202286682974753</v>
      </c>
      <c r="U3806" s="2">
        <f t="shared" si="241"/>
        <v>55.642788912054797</v>
      </c>
    </row>
    <row r="3807" spans="1:21" x14ac:dyDescent="0.25">
      <c r="A3807">
        <v>4881277</v>
      </c>
      <c r="B3807">
        <v>35</v>
      </c>
      <c r="C3807" s="1">
        <f>2.54193245005903*(10.3/7.3)</f>
        <v>3.5865622240558865</v>
      </c>
      <c r="D3807" s="1">
        <f>3.97334713814035*(10.3/7.3)</f>
        <v>5.6062295236774773</v>
      </c>
      <c r="E3807" s="1">
        <f>13.6880167725926*(10.3/7.3)</f>
        <v>19.313229144890876</v>
      </c>
      <c r="F3807" s="1">
        <f>39.2159600028741*(38.9/42.5)</f>
        <v>35.894137508513026</v>
      </c>
      <c r="G3807" s="1">
        <v>2.0478619004379373</v>
      </c>
      <c r="H3807" s="1">
        <v>8.757041236344282</v>
      </c>
      <c r="I3807" s="1">
        <v>29.557577126386253</v>
      </c>
      <c r="J3807" s="1">
        <v>7.3642619722420755E-2</v>
      </c>
      <c r="K3807" s="1">
        <v>3.9482178781104209</v>
      </c>
      <c r="L3807" s="1">
        <v>6.252112246513863</v>
      </c>
      <c r="M3807" s="1">
        <v>0.86455384080167819</v>
      </c>
      <c r="N3807" s="1">
        <v>2.8765926642460729</v>
      </c>
      <c r="O3807" s="1">
        <v>0.36458361904761893</v>
      </c>
      <c r="P3807" s="1">
        <v>0.22329854024193005</v>
      </c>
      <c r="Q3807" s="1">
        <v>3.2728386536679395</v>
      </c>
      <c r="R3807" s="2">
        <f t="shared" si="239"/>
        <v>108.03547731797366</v>
      </c>
      <c r="S3807" s="2">
        <f t="shared" si="238"/>
        <v>4.2451590380747719</v>
      </c>
      <c r="T3807" s="2">
        <f t="shared" si="240"/>
        <v>10.357842370609232</v>
      </c>
      <c r="U3807" s="2">
        <f t="shared" si="241"/>
        <v>122.63847872665767</v>
      </c>
    </row>
    <row r="3808" spans="1:21" x14ac:dyDescent="0.25">
      <c r="A3808">
        <v>4881485</v>
      </c>
      <c r="B3808">
        <v>66</v>
      </c>
      <c r="C3808" s="1">
        <f>16.1614745735725*(10.3/7.3)</f>
        <v>22.803176453122891</v>
      </c>
      <c r="D3808" s="1">
        <f>24.0458856671739*(10.3/7.3)</f>
        <v>33.927756489300123</v>
      </c>
      <c r="E3808" s="1">
        <f>84.6143072508523*(10.3/7.3)</f>
        <v>119.38731023065461</v>
      </c>
      <c r="F3808" s="1">
        <f>159.012337797178*(38.9/42.5)</f>
        <v>145.54305741906444</v>
      </c>
      <c r="G3808" s="1">
        <v>5.5895462104274047</v>
      </c>
      <c r="H3808" s="1">
        <v>8.2041095055285265</v>
      </c>
      <c r="I3808" s="1">
        <v>109.90367985600599</v>
      </c>
      <c r="J3808" s="1">
        <v>6.5023497285274512E-2</v>
      </c>
      <c r="K3808" s="1">
        <v>3.7962090646930156</v>
      </c>
      <c r="L3808" s="1">
        <v>5.5267730018914873</v>
      </c>
      <c r="M3808" s="1">
        <v>0.33385845095196359</v>
      </c>
      <c r="N3808" s="1">
        <v>3.1406143822348231</v>
      </c>
      <c r="O3808" s="1">
        <v>0.26502383838383842</v>
      </c>
      <c r="P3808" s="1">
        <v>0.17467321978229006</v>
      </c>
      <c r="Q3808" s="1">
        <v>8.9330647198611608</v>
      </c>
      <c r="R3808" s="2">
        <f t="shared" si="239"/>
        <v>454.29170088396518</v>
      </c>
      <c r="S3808" s="2">
        <f t="shared" si="238"/>
        <v>4.0359057817605803</v>
      </c>
      <c r="T3808" s="2">
        <f t="shared" si="240"/>
        <v>9.2662696734621122</v>
      </c>
      <c r="U3808" s="2">
        <f t="shared" si="241"/>
        <v>467.59387633918783</v>
      </c>
    </row>
    <row r="3809" spans="1:21" x14ac:dyDescent="0.25">
      <c r="A3809">
        <v>4881493</v>
      </c>
      <c r="B3809">
        <v>69</v>
      </c>
      <c r="C3809" s="1">
        <f>13.6325472468423*(10.3/7.3)</f>
        <v>19.234963923626768</v>
      </c>
      <c r="D3809" s="1">
        <f>22.2376366205349*(10.3/7.3)</f>
        <v>31.376391396097123</v>
      </c>
      <c r="E3809" s="1">
        <f>77.9308514158742*(10.3/7.3)</f>
        <v>109.95722871006915</v>
      </c>
      <c r="F3809" s="1">
        <f>149.369416381227*(38.9/42.5)</f>
        <v>136.71694817011172</v>
      </c>
      <c r="G3809" s="1">
        <v>5.4893491336663525</v>
      </c>
      <c r="H3809" s="1">
        <v>7.3580535487123093</v>
      </c>
      <c r="I3809" s="1">
        <v>100.83779478877541</v>
      </c>
      <c r="J3809" s="1">
        <v>6.5380513405353155E-2</v>
      </c>
      <c r="K3809" s="1">
        <v>3.8942485531196636</v>
      </c>
      <c r="L3809" s="1">
        <v>5.7073421822151742</v>
      </c>
      <c r="M3809" s="1">
        <v>0.33529050243594971</v>
      </c>
      <c r="N3809" s="1">
        <v>3.1428322070094685</v>
      </c>
      <c r="O3809" s="1">
        <v>0.26753468599033814</v>
      </c>
      <c r="P3809" s="1">
        <v>0.17704276244568093</v>
      </c>
      <c r="Q3809" s="1">
        <v>8.7729324054028606</v>
      </c>
      <c r="R3809" s="2">
        <f t="shared" si="239"/>
        <v>419.74366207646165</v>
      </c>
      <c r="S3809" s="2">
        <f t="shared" si="238"/>
        <v>4.1366718289706972</v>
      </c>
      <c r="T3809" s="2">
        <f t="shared" si="240"/>
        <v>9.4529995776509299</v>
      </c>
      <c r="U3809" s="2">
        <f t="shared" si="241"/>
        <v>433.33333348308327</v>
      </c>
    </row>
    <row r="3810" spans="1:21" x14ac:dyDescent="0.25">
      <c r="A3810">
        <v>4881501</v>
      </c>
      <c r="B3810">
        <v>9</v>
      </c>
      <c r="C3810" s="1">
        <f>13.1002600708862*(10.3/7.3)</f>
        <v>18.483928593168191</v>
      </c>
      <c r="D3810" s="1">
        <f>21.7028908673075*(10.3/7.3)</f>
        <v>30.621887114146194</v>
      </c>
      <c r="E3810" s="1">
        <f>76.0234249950784*(10.3/7.3)</f>
        <v>107.26592841771341</v>
      </c>
      <c r="F3810" s="1">
        <f>145.340512348998*(38.9/42.5)</f>
        <v>133.02931600884745</v>
      </c>
      <c r="G3810" s="1">
        <v>5.3386386164800355</v>
      </c>
      <c r="H3810" s="1">
        <v>7.2067324038841054</v>
      </c>
      <c r="I3810" s="1">
        <v>97.568591004686311</v>
      </c>
      <c r="J3810" s="1">
        <v>6.1171911232396549E-2</v>
      </c>
      <c r="K3810" s="1">
        <v>3.6323103446870206</v>
      </c>
      <c r="L3810" s="1">
        <v>5.3995301054625777</v>
      </c>
      <c r="M3810" s="1">
        <v>0.31362382830958108</v>
      </c>
      <c r="N3810" s="1">
        <v>3.6431249978295992</v>
      </c>
      <c r="O3810" s="1">
        <v>0.25381925925925924</v>
      </c>
      <c r="P3810" s="1">
        <v>0.16866803609940828</v>
      </c>
      <c r="Q3810" s="1">
        <v>8.5320708482557723</v>
      </c>
      <c r="R3810" s="2">
        <f t="shared" si="239"/>
        <v>408.0470930071815</v>
      </c>
      <c r="S3810" s="2">
        <f t="shared" si="238"/>
        <v>3.8621502920188253</v>
      </c>
      <c r="T3810" s="2">
        <f t="shared" si="240"/>
        <v>9.6100981908610166</v>
      </c>
      <c r="U3810" s="2">
        <f t="shared" si="241"/>
        <v>421.51934149006138</v>
      </c>
    </row>
    <row r="3811" spans="1:21" x14ac:dyDescent="0.25">
      <c r="A3811">
        <v>4881509</v>
      </c>
      <c r="B3811">
        <v>67</v>
      </c>
      <c r="C3811" s="1">
        <f>9.97078953327365*(10.3/7.3)</f>
        <v>14.068374272975145</v>
      </c>
      <c r="D3811" s="1">
        <f>16.3838786198897*(10.3/7.3)</f>
        <v>23.116979422584087</v>
      </c>
      <c r="E3811" s="1">
        <f>57.3972893540541*(10.3/7.3)</f>
        <v>80.985216485857137</v>
      </c>
      <c r="F3811" s="1">
        <f>110.249871526173*(38.9/42.5)</f>
        <v>100.91105887925016</v>
      </c>
      <c r="G3811" s="1">
        <v>4.0682878667618363</v>
      </c>
      <c r="H3811" s="1">
        <v>6.3587999395880344</v>
      </c>
      <c r="I3811" s="1">
        <v>74.313055222886149</v>
      </c>
      <c r="J3811" s="1">
        <v>5.3310598703301793E-2</v>
      </c>
      <c r="K3811" s="1">
        <v>3.310983917099227</v>
      </c>
      <c r="L3811" s="1">
        <v>4.7253058207806982</v>
      </c>
      <c r="M3811" s="1">
        <v>0.27613245201490272</v>
      </c>
      <c r="N3811" s="1">
        <v>2.6485367777612812</v>
      </c>
      <c r="O3811" s="1">
        <v>0.22766805970149265</v>
      </c>
      <c r="P3811" s="1">
        <v>0.15468978494228358</v>
      </c>
      <c r="Q3811" s="1">
        <v>6.5018299240486019</v>
      </c>
      <c r="R3811" s="2">
        <f t="shared" si="239"/>
        <v>310.32360201395113</v>
      </c>
      <c r="S3811" s="2">
        <f t="shared" si="238"/>
        <v>3.5189843007448123</v>
      </c>
      <c r="T3811" s="2">
        <f t="shared" si="240"/>
        <v>7.8776431102583748</v>
      </c>
      <c r="U3811" s="2">
        <f t="shared" si="241"/>
        <v>321.72022942495431</v>
      </c>
    </row>
    <row r="3812" spans="1:21" x14ac:dyDescent="0.25">
      <c r="A3812">
        <v>4881517</v>
      </c>
      <c r="B3812">
        <v>65</v>
      </c>
      <c r="C3812" s="1">
        <f>10.9245927785452*(10.3/7.3)</f>
        <v>15.414151454659642</v>
      </c>
      <c r="D3812" s="1">
        <f>17.7075882624586*(10.3/7.3)</f>
        <v>24.98467932922247</v>
      </c>
      <c r="E3812" s="1">
        <f>62.0610748602828*(10.3/7.3)</f>
        <v>87.565626172727818</v>
      </c>
      <c r="F3812" s="1">
        <f>119.366322321714*(38.9/42.5)</f>
        <v>109.25529266622723</v>
      </c>
      <c r="G3812" s="1">
        <v>4.4012714953985457</v>
      </c>
      <c r="H3812" s="1">
        <v>6.7347090450986098</v>
      </c>
      <c r="I3812" s="1">
        <v>80.831851940714955</v>
      </c>
      <c r="J3812" s="1">
        <v>6.2822785867525474E-2</v>
      </c>
      <c r="K3812" s="1">
        <v>3.7600729174052581</v>
      </c>
      <c r="L3812" s="1">
        <v>5.7091171625655974</v>
      </c>
      <c r="M3812" s="1">
        <v>0.31275678558452236</v>
      </c>
      <c r="N3812" s="1">
        <v>3.2854155632059587</v>
      </c>
      <c r="O3812" s="1">
        <v>0.25783548717948723</v>
      </c>
      <c r="P3812" s="1">
        <v>0.1724174570963887</v>
      </c>
      <c r="Q3812" s="1">
        <v>7.0339955405912855</v>
      </c>
      <c r="R3812" s="2">
        <f t="shared" si="239"/>
        <v>336.22157764464055</v>
      </c>
      <c r="S3812" s="2">
        <f t="shared" si="238"/>
        <v>3.9953131603691721</v>
      </c>
      <c r="T3812" s="2">
        <f t="shared" si="240"/>
        <v>9.5651249985355662</v>
      </c>
      <c r="U3812" s="2">
        <f t="shared" si="241"/>
        <v>349.78201580354528</v>
      </c>
    </row>
    <row r="3813" spans="1:21" x14ac:dyDescent="0.25">
      <c r="A3813">
        <v>4881525</v>
      </c>
      <c r="B3813">
        <v>60</v>
      </c>
      <c r="C3813" s="1">
        <f>6.46022672372765*(10.3/7.3)</f>
        <v>9.1151144184102524</v>
      </c>
      <c r="D3813" s="1">
        <f>10.3676571095121*(10.3/7.3)</f>
        <v>14.62833811342114</v>
      </c>
      <c r="E3813" s="1">
        <f>36.3369853225065*(10.3/7.3)</f>
        <v>51.269992989289975</v>
      </c>
      <c r="F3813" s="1">
        <f>70.4976953371537*(38.9/42.5)</f>
        <v>64.52612584977129</v>
      </c>
      <c r="G3813" s="1">
        <v>2.6234149559639262</v>
      </c>
      <c r="H3813" s="1">
        <v>4.8986670879371719</v>
      </c>
      <c r="I3813" s="1">
        <v>48.017408826626628</v>
      </c>
      <c r="J3813" s="1">
        <v>4.1338705404073778E-2</v>
      </c>
      <c r="K3813" s="1">
        <v>2.7642028770514115</v>
      </c>
      <c r="L3813" s="1">
        <v>3.6792978221272028</v>
      </c>
      <c r="M3813" s="1">
        <v>0.2153434730848344</v>
      </c>
      <c r="N3813" s="1">
        <v>3.0282093330712931</v>
      </c>
      <c r="O3813" s="1">
        <v>0.18400266666666673</v>
      </c>
      <c r="P3813" s="1">
        <v>0.13281390054190836</v>
      </c>
      <c r="Q3813" s="1">
        <v>4.1926723040519418</v>
      </c>
      <c r="R3813" s="2">
        <f t="shared" si="239"/>
        <v>199.27173454547233</v>
      </c>
      <c r="S3813" s="2">
        <f t="shared" si="238"/>
        <v>2.9383554829973937</v>
      </c>
      <c r="T3813" s="2">
        <f t="shared" si="240"/>
        <v>7.1068532949499961</v>
      </c>
      <c r="U3813" s="2">
        <f t="shared" si="241"/>
        <v>209.31694332341971</v>
      </c>
    </row>
    <row r="3814" spans="1:21" x14ac:dyDescent="0.25">
      <c r="A3814">
        <v>4881533</v>
      </c>
      <c r="B3814">
        <v>63</v>
      </c>
      <c r="C3814" s="1">
        <f>8.92628837785363*(10.3/7.3)</f>
        <v>12.594626067382523</v>
      </c>
      <c r="D3814" s="1">
        <f>14.0368028450445*(10.3/7.3)</f>
        <v>19.805351959446391</v>
      </c>
      <c r="E3814" s="1">
        <f>49.2301785580539*(10.3/7.3)</f>
        <v>69.46175878739119</v>
      </c>
      <c r="F3814" s="1">
        <f>95.6360263930656*(38.9/42.5)</f>
        <v>87.535092392711789</v>
      </c>
      <c r="G3814" s="1">
        <v>3.5515136413416126</v>
      </c>
      <c r="H3814" s="1">
        <v>6.2271589427730127</v>
      </c>
      <c r="I3814" s="1">
        <v>65.577048291101178</v>
      </c>
      <c r="J3814" s="1">
        <v>5.7286887754239894E-2</v>
      </c>
      <c r="K3814" s="1">
        <v>3.5035344809109383</v>
      </c>
      <c r="L3814" s="1">
        <v>5.1859050830762312</v>
      </c>
      <c r="M3814" s="1">
        <v>0.27910331601222088</v>
      </c>
      <c r="N3814" s="1">
        <v>3.8857235107853532</v>
      </c>
      <c r="O3814" s="1">
        <v>0.23445841269841275</v>
      </c>
      <c r="P3814" s="1">
        <v>0.15904262558328358</v>
      </c>
      <c r="Q3814" s="1">
        <v>5.6759350432400275</v>
      </c>
      <c r="R3814" s="2">
        <f t="shared" si="239"/>
        <v>270.42848512538774</v>
      </c>
      <c r="S3814" s="2">
        <f t="shared" si="238"/>
        <v>3.7198639942484619</v>
      </c>
      <c r="T3814" s="2">
        <f t="shared" si="240"/>
        <v>9.5851903225722168</v>
      </c>
      <c r="U3814" s="2">
        <f t="shared" si="241"/>
        <v>283.73353944220838</v>
      </c>
    </row>
    <row r="3815" spans="1:21" x14ac:dyDescent="0.25">
      <c r="A3815">
        <v>4881541</v>
      </c>
      <c r="B3815">
        <v>63</v>
      </c>
      <c r="C3815" s="1">
        <f>9.01524021469737*(10.3/7.3)</f>
        <v>12.720133453614093</v>
      </c>
      <c r="D3815" s="1">
        <f>13.8753469091962*(10.3/7.3)</f>
        <v>19.577544269139835</v>
      </c>
      <c r="E3815" s="1">
        <f>48.6954577545862*(10.3/7.3)</f>
        <v>68.707289708525721</v>
      </c>
      <c r="F3815" s="1">
        <f>94.935489776989*(38.9/42.5)</f>
        <v>86.893895348820479</v>
      </c>
      <c r="G3815" s="1">
        <v>3.5273297022494536</v>
      </c>
      <c r="H3815" s="1">
        <v>6.2527519789875381</v>
      </c>
      <c r="I3815" s="1">
        <v>65.604992817122991</v>
      </c>
      <c r="J3815" s="1">
        <v>5.9936128652437151E-2</v>
      </c>
      <c r="K3815" s="1">
        <v>3.6010073215216107</v>
      </c>
      <c r="L3815" s="1">
        <v>5.4245924720573955</v>
      </c>
      <c r="M3815" s="1">
        <v>0.28345497130752073</v>
      </c>
      <c r="N3815" s="1">
        <v>3.7053514478779639</v>
      </c>
      <c r="O3815" s="1">
        <v>0.23866920634920633</v>
      </c>
      <c r="P3815" s="1">
        <v>0.16096092295487036</v>
      </c>
      <c r="Q3815" s="1">
        <v>5.6372849122708208</v>
      </c>
      <c r="R3815" s="2">
        <f t="shared" si="239"/>
        <v>268.92122219073099</v>
      </c>
      <c r="S3815" s="2">
        <f t="shared" si="238"/>
        <v>3.8219043731289184</v>
      </c>
      <c r="T3815" s="2">
        <f t="shared" si="240"/>
        <v>9.6520680975920854</v>
      </c>
      <c r="U3815" s="2">
        <f t="shared" si="241"/>
        <v>282.39519466145197</v>
      </c>
    </row>
    <row r="3816" spans="1:21" x14ac:dyDescent="0.25">
      <c r="A3816">
        <v>4881549</v>
      </c>
      <c r="B3816">
        <v>55</v>
      </c>
      <c r="C3816" s="1">
        <f>6.67124292989555*(10.3/7.3)</f>
        <v>9.4128496134142647</v>
      </c>
      <c r="D3816" s="1">
        <f>9.10123139669295*(10.3/7.3)</f>
        <v>12.841463477525668</v>
      </c>
      <c r="E3816" s="1">
        <f>32.1191748579569*(10.3/7.3)</f>
        <v>45.318835758487083</v>
      </c>
      <c r="F3816" s="1">
        <f>61.2477913054525*(38.9/42.5)</f>
        <v>56.059743100755313</v>
      </c>
      <c r="G3816" s="1">
        <v>2.155828479942723</v>
      </c>
      <c r="H3816" s="1">
        <v>5.0962220611167774</v>
      </c>
      <c r="I3816" s="1">
        <v>43.776431569440412</v>
      </c>
      <c r="J3816" s="1">
        <v>4.2174205082063272E-2</v>
      </c>
      <c r="K3816" s="1">
        <v>2.7805388018348727</v>
      </c>
      <c r="L3816" s="1">
        <v>3.6931987244053168</v>
      </c>
      <c r="M3816" s="1">
        <v>0.20657238254552282</v>
      </c>
      <c r="N3816" s="1">
        <v>2.1839522976775108</v>
      </c>
      <c r="O3816" s="1">
        <v>0.17861721212121212</v>
      </c>
      <c r="P3816" s="1">
        <v>0.1291868355779123</v>
      </c>
      <c r="Q3816" s="1">
        <v>3.4453879816436253</v>
      </c>
      <c r="R3816" s="2">
        <f t="shared" si="239"/>
        <v>178.10676204232587</v>
      </c>
      <c r="S3816" s="2">
        <f t="shared" si="238"/>
        <v>2.9518998424948486</v>
      </c>
      <c r="T3816" s="2">
        <f t="shared" si="240"/>
        <v>6.2623406167495625</v>
      </c>
      <c r="U3816" s="2">
        <f t="shared" si="241"/>
        <v>187.32100250157026</v>
      </c>
    </row>
    <row r="3817" spans="1:21" x14ac:dyDescent="0.25">
      <c r="A3817">
        <v>4881557</v>
      </c>
      <c r="B3817">
        <v>62</v>
      </c>
      <c r="C3817" s="1">
        <f>5.43801936708568*(10.3/7.3)</f>
        <v>7.6728218467099296</v>
      </c>
      <c r="D3817" s="1">
        <f>8.10714599755658*(10.3/7.3)</f>
        <v>11.438849832168872</v>
      </c>
      <c r="E3817" s="1">
        <f>28.4763808967472*(10.3/7.3)</f>
        <v>40.179003183081605</v>
      </c>
      <c r="F3817" s="1">
        <f>56.0032135818026*(38.9/42.5)</f>
        <v>51.259411960755799</v>
      </c>
      <c r="G3817" s="1">
        <v>2.0911264840147807</v>
      </c>
      <c r="H3817" s="1">
        <v>4.5778382554313515</v>
      </c>
      <c r="I3817" s="1">
        <v>39.189148225661349</v>
      </c>
      <c r="J3817" s="1">
        <v>4.4056226468414443E-2</v>
      </c>
      <c r="K3817" s="1">
        <v>2.8248917050308138</v>
      </c>
      <c r="L3817" s="1">
        <v>3.8344072364464057</v>
      </c>
      <c r="M3817" s="1">
        <v>0.20649250446123407</v>
      </c>
      <c r="N3817" s="1">
        <v>2.1330261214254609</v>
      </c>
      <c r="O3817" s="1">
        <v>0.17776172043010752</v>
      </c>
      <c r="P3817" s="1">
        <v>0.1296721795076273</v>
      </c>
      <c r="Q3817" s="1">
        <v>3.3419829653204292</v>
      </c>
      <c r="R3817" s="2">
        <f t="shared" si="239"/>
        <v>159.75018275314409</v>
      </c>
      <c r="S3817" s="2">
        <f t="shared" si="238"/>
        <v>2.9986201110068555</v>
      </c>
      <c r="T3817" s="2">
        <f t="shared" si="240"/>
        <v>6.3516875827632084</v>
      </c>
      <c r="U3817" s="2">
        <f t="shared" si="241"/>
        <v>169.10049044691416</v>
      </c>
    </row>
    <row r="3818" spans="1:21" x14ac:dyDescent="0.25">
      <c r="A3818">
        <v>4881565</v>
      </c>
      <c r="B3818">
        <v>63</v>
      </c>
      <c r="C3818" s="1">
        <f>8.60183860764608*(10.3/7.3)</f>
        <v>12.136840775171873</v>
      </c>
      <c r="D3818" s="1">
        <f>12.669263643048*(10.3/7.3)</f>
        <v>17.875810345670438</v>
      </c>
      <c r="E3818" s="1">
        <f>44.4859504663685*(10.3/7.3)</f>
        <v>62.767847918300816</v>
      </c>
      <c r="F3818" s="1">
        <f>89.2828292844253*(38.9/42.5)</f>
        <v>81.720048450921027</v>
      </c>
      <c r="G3818" s="1">
        <v>3.4100205667094614</v>
      </c>
      <c r="H3818" s="1">
        <v>6.4365419703031259</v>
      </c>
      <c r="I3818" s="1">
        <v>63.063235222485751</v>
      </c>
      <c r="J3818" s="1">
        <v>6.7063229210870989E-2</v>
      </c>
      <c r="K3818" s="1">
        <v>3.7733834777355919</v>
      </c>
      <c r="L3818" s="1">
        <v>5.6754203607288831</v>
      </c>
      <c r="M3818" s="1">
        <v>0.2789126049510357</v>
      </c>
      <c r="N3818" s="1">
        <v>2.9911063240604729</v>
      </c>
      <c r="O3818" s="1">
        <v>0.23722074074074068</v>
      </c>
      <c r="P3818" s="1">
        <v>0.16106315502859933</v>
      </c>
      <c r="Q3818" s="1">
        <v>5.4498045586680952</v>
      </c>
      <c r="R3818" s="2">
        <f t="shared" si="239"/>
        <v>252.86014980823057</v>
      </c>
      <c r="S3818" s="2">
        <f t="shared" si="238"/>
        <v>4.0015098619750624</v>
      </c>
      <c r="T3818" s="2">
        <f t="shared" si="240"/>
        <v>9.1826600304811326</v>
      </c>
      <c r="U3818" s="2">
        <f t="shared" si="241"/>
        <v>266.0443197006868</v>
      </c>
    </row>
    <row r="3819" spans="1:21" x14ac:dyDescent="0.25">
      <c r="A3819">
        <v>4881573</v>
      </c>
      <c r="B3819">
        <v>62</v>
      </c>
      <c r="C3819" s="1">
        <f>8.27219962339701*(10.3/7.3)</f>
        <v>11.671733715203997</v>
      </c>
      <c r="D3819" s="1">
        <f>12.0030793783444*(10.3/7.3)</f>
        <v>16.935851725609204</v>
      </c>
      <c r="E3819" s="1">
        <f>42.1517651576935*(10.3/7.3)</f>
        <v>59.474408373184005</v>
      </c>
      <c r="F3819" s="1">
        <f>85.5798532947956*(38.9/42.5)</f>
        <v>78.330736309824715</v>
      </c>
      <c r="G3819" s="1">
        <v>3.3046495728430862</v>
      </c>
      <c r="H3819" s="1">
        <v>6.2025523048292515</v>
      </c>
      <c r="I3819" s="1">
        <v>60.912260110924088</v>
      </c>
      <c r="J3819" s="1">
        <v>7.0993315817101652E-2</v>
      </c>
      <c r="K3819" s="1">
        <v>3.756962827381388</v>
      </c>
      <c r="L3819" s="1">
        <v>5.5648372050495025</v>
      </c>
      <c r="M3819" s="1">
        <v>0.27031534103532001</v>
      </c>
      <c r="N3819" s="1">
        <v>3.0102292568474494</v>
      </c>
      <c r="O3819" s="1">
        <v>0.23243956989247314</v>
      </c>
      <c r="P3819" s="1">
        <v>0.15781370184872326</v>
      </c>
      <c r="Q3819" s="1">
        <v>5.2814034269181827</v>
      </c>
      <c r="R3819" s="2">
        <f t="shared" si="239"/>
        <v>242.11359553933653</v>
      </c>
      <c r="S3819" s="2">
        <f t="shared" si="238"/>
        <v>3.9857698450472125</v>
      </c>
      <c r="T3819" s="2">
        <f t="shared" si="240"/>
        <v>9.0778213728247454</v>
      </c>
      <c r="U3819" s="2">
        <f t="shared" si="241"/>
        <v>255.17718675720849</v>
      </c>
    </row>
    <row r="3820" spans="1:21" x14ac:dyDescent="0.25">
      <c r="A3820">
        <v>4881669</v>
      </c>
      <c r="B3820">
        <v>48</v>
      </c>
      <c r="C3820" s="1">
        <f>3.39722996578479*(10.3/7.3)</f>
        <v>4.7933518695319668</v>
      </c>
      <c r="D3820" s="1">
        <f>4.71550294547291*(10.3/7.3)</f>
        <v>6.6533808682699949</v>
      </c>
      <c r="E3820" s="1">
        <f>16.4429089493132*(10.3/7.3)</f>
        <v>23.200268791496764</v>
      </c>
      <c r="F3820" s="1">
        <f>40.7629634662762*(38.9/42.5)</f>
        <v>37.310100678544615</v>
      </c>
      <c r="G3820" s="1">
        <v>1.8986063348628519</v>
      </c>
      <c r="H3820" s="1">
        <v>8.6980033003828456</v>
      </c>
      <c r="I3820" s="1">
        <v>30.700711473426225</v>
      </c>
      <c r="J3820" s="1">
        <v>3.322393181870674E-2</v>
      </c>
      <c r="K3820" s="1">
        <v>2.212186929743265</v>
      </c>
      <c r="L3820" s="1">
        <v>3.2551008702032314</v>
      </c>
      <c r="M3820" s="1">
        <v>0.12876763697162055</v>
      </c>
      <c r="N3820" s="1">
        <v>1.577081971502482</v>
      </c>
      <c r="O3820" s="1">
        <v>0.11358888888888885</v>
      </c>
      <c r="P3820" s="1">
        <v>8.9935549423843478E-2</v>
      </c>
      <c r="Q3820" s="1">
        <v>3.0343023616529634</v>
      </c>
      <c r="R3820" s="2">
        <f t="shared" si="239"/>
        <v>116.28872567816823</v>
      </c>
      <c r="S3820" s="2">
        <f t="shared" si="238"/>
        <v>2.3353464109858151</v>
      </c>
      <c r="T3820" s="2">
        <f t="shared" si="240"/>
        <v>5.0745393675662225</v>
      </c>
      <c r="U3820" s="2">
        <f t="shared" si="241"/>
        <v>123.69861145672027</v>
      </c>
    </row>
    <row r="3821" spans="1:21" x14ac:dyDescent="0.25">
      <c r="A3821">
        <v>4881677</v>
      </c>
      <c r="B3821">
        <v>3</v>
      </c>
      <c r="C3821" s="1">
        <f>4.49405921964223*(10.3/7.3)</f>
        <v>6.3409328715499944</v>
      </c>
      <c r="D3821" s="1">
        <f>6.16871695621442*(10.3/7.3)</f>
        <v>8.7038061163025322</v>
      </c>
      <c r="E3821" s="1">
        <f>21.5042697079893*(10.3/7.3)</f>
        <v>30.341640820861603</v>
      </c>
      <c r="F3821" s="1">
        <f>54.1170604241478*(38.9/42.5)</f>
        <v>49.533027070572899</v>
      </c>
      <c r="G3821" s="1">
        <v>2.5471819003531055</v>
      </c>
      <c r="H3821" s="1">
        <v>10.017914156748317</v>
      </c>
      <c r="I3821" s="1">
        <v>40.9864528756002</v>
      </c>
      <c r="J3821" s="1">
        <v>4.0794160921897409E-2</v>
      </c>
      <c r="K3821" s="1">
        <v>2.5209552311737067</v>
      </c>
      <c r="L3821" s="1">
        <v>3.7276464764664134</v>
      </c>
      <c r="M3821" s="1">
        <v>0.1437326140372284</v>
      </c>
      <c r="N3821" s="1">
        <v>1.8369317709391417</v>
      </c>
      <c r="O3821" s="1">
        <v>0.1292622222222222</v>
      </c>
      <c r="P3821" s="1">
        <v>9.8794780769952281E-2</v>
      </c>
      <c r="Q3821" s="1">
        <v>4.0708386535323653</v>
      </c>
      <c r="R3821" s="2">
        <f t="shared" si="239"/>
        <v>152.54179446552104</v>
      </c>
      <c r="S3821" s="2">
        <f t="shared" si="238"/>
        <v>2.6605441728655563</v>
      </c>
      <c r="T3821" s="2">
        <f t="shared" si="240"/>
        <v>5.8375730836650064</v>
      </c>
      <c r="U3821" s="2">
        <f t="shared" si="241"/>
        <v>161.03991172205161</v>
      </c>
    </row>
    <row r="3822" spans="1:21" x14ac:dyDescent="0.25">
      <c r="A3822">
        <v>4881957</v>
      </c>
      <c r="B3822">
        <v>16</v>
      </c>
      <c r="C3822" s="1">
        <f>3.8782917886407*(10.3/7.3)</f>
        <v>5.4721103319176967</v>
      </c>
      <c r="D3822" s="1">
        <f>4.51472354257641*(10.3/7.3)</f>
        <v>6.3700893819913782</v>
      </c>
      <c r="E3822" s="1">
        <f>15.9240882419669*(10.3/7.3)</f>
        <v>22.468234094829974</v>
      </c>
      <c r="F3822" s="1">
        <f>36.536221102958*(38.9/42.5)</f>
        <v>33.441388256589796</v>
      </c>
      <c r="G3822" s="1">
        <v>1.5459189224104926</v>
      </c>
      <c r="H3822" s="1">
        <v>3.8815288480854178</v>
      </c>
      <c r="I3822" s="1">
        <v>28.52191104185799</v>
      </c>
      <c r="J3822" s="1">
        <v>3.3659213804134717E-2</v>
      </c>
      <c r="K3822" s="1">
        <v>1.9941766646840042</v>
      </c>
      <c r="L3822" s="1">
        <v>2.0268597681813492</v>
      </c>
      <c r="M3822" s="1">
        <v>8.9617217253599946E-2</v>
      </c>
      <c r="N3822" s="1">
        <v>1.2839566551660635</v>
      </c>
      <c r="O3822" s="1">
        <v>8.9606666666666668E-2</v>
      </c>
      <c r="P3822" s="1">
        <v>7.0069936279703759E-2</v>
      </c>
      <c r="Q3822" s="1">
        <v>2.4706466796514746</v>
      </c>
      <c r="R3822" s="2">
        <f t="shared" si="239"/>
        <v>104.17182755733423</v>
      </c>
      <c r="S3822" s="2">
        <f t="shared" si="238"/>
        <v>2.0979058147678424</v>
      </c>
      <c r="T3822" s="2">
        <f t="shared" si="240"/>
        <v>3.4900403072676793</v>
      </c>
      <c r="U3822" s="2">
        <f t="shared" si="241"/>
        <v>109.75977367936974</v>
      </c>
    </row>
    <row r="3823" spans="1:21" x14ac:dyDescent="0.25">
      <c r="A3823">
        <v>4893489</v>
      </c>
      <c r="B3823">
        <v>61</v>
      </c>
      <c r="C3823" s="1">
        <f>1.3017220944835*(10.3/7.3)</f>
        <v>1.8366763798876822</v>
      </c>
      <c r="D3823" s="1">
        <f>2.00848085127315*(10.3/7.3)</f>
        <v>2.8338839408374517</v>
      </c>
      <c r="E3823" s="1">
        <f>6.90055160059869*(10.3/7.3)</f>
        <v>9.7363947241324045</v>
      </c>
      <c r="F3823" s="1">
        <f>20.893031576678*(38.9/42.5)</f>
        <v>19.12326890194764</v>
      </c>
      <c r="G3823" s="1">
        <v>1.1255819763418318</v>
      </c>
      <c r="H3823" s="1">
        <v>5.8535102289110501</v>
      </c>
      <c r="I3823" s="1">
        <v>15.943585371169634</v>
      </c>
      <c r="J3823" s="1">
        <v>3.9155866907307144E-2</v>
      </c>
      <c r="K3823" s="1">
        <v>2.5600804760502243</v>
      </c>
      <c r="L3823" s="1">
        <v>3.9864013201406512</v>
      </c>
      <c r="M3823" s="1">
        <v>0.60937483988013497</v>
      </c>
      <c r="N3823" s="1">
        <v>1.8215972883712692</v>
      </c>
      <c r="O3823" s="1">
        <v>0.23763846994535526</v>
      </c>
      <c r="P3823" s="1">
        <v>0.15811271428973406</v>
      </c>
      <c r="Q3823" s="1">
        <v>1.7988753046558976</v>
      </c>
      <c r="R3823" s="2">
        <f t="shared" si="239"/>
        <v>58.251776827883589</v>
      </c>
      <c r="S3823" s="2">
        <f t="shared" si="238"/>
        <v>2.7573490572472656</v>
      </c>
      <c r="T3823" s="2">
        <f t="shared" si="240"/>
        <v>6.6550119183374106</v>
      </c>
      <c r="U3823" s="2">
        <f t="shared" si="241"/>
        <v>67.664137803468265</v>
      </c>
    </row>
    <row r="3824" spans="1:21" x14ac:dyDescent="0.25">
      <c r="A3824">
        <v>4893497</v>
      </c>
      <c r="B3824">
        <v>7</v>
      </c>
      <c r="C3824" s="1">
        <f>1.91100408884875*(10.3/7.3)</f>
        <v>2.6963482349509786</v>
      </c>
      <c r="D3824" s="1">
        <f>2.99434344084666*(10.3/7.3)</f>
        <v>4.224895539824745</v>
      </c>
      <c r="E3824" s="1">
        <f>10.298229455277*(10.3/7.3)</f>
        <v>14.530378546486741</v>
      </c>
      <c r="F3824" s="1">
        <f>30.3387787639841*(38.9/42.5)</f>
        <v>27.768905739270146</v>
      </c>
      <c r="G3824" s="1">
        <v>1.6112174739404106</v>
      </c>
      <c r="H3824" s="1">
        <v>7.3444016111880908</v>
      </c>
      <c r="I3824" s="1">
        <v>22.973487222835811</v>
      </c>
      <c r="J3824" s="1">
        <v>4.5653235395877755E-2</v>
      </c>
      <c r="K3824" s="1">
        <v>2.7396957340862715</v>
      </c>
      <c r="L3824" s="1">
        <v>3.9929941927266746</v>
      </c>
      <c r="M3824" s="1">
        <v>0.61603441682995541</v>
      </c>
      <c r="N3824" s="1">
        <v>1.8670695882630002</v>
      </c>
      <c r="O3824" s="1">
        <v>0.25283047619047622</v>
      </c>
      <c r="P3824" s="1">
        <v>0.16429992532566667</v>
      </c>
      <c r="Q3824" s="1">
        <v>2.5750050953385584</v>
      </c>
      <c r="R3824" s="2">
        <f t="shared" si="239"/>
        <v>83.724639463835473</v>
      </c>
      <c r="S3824" s="2">
        <f t="shared" si="238"/>
        <v>2.9496488948078157</v>
      </c>
      <c r="T3824" s="2">
        <f t="shared" si="240"/>
        <v>6.7289286740101053</v>
      </c>
      <c r="U3824" s="2">
        <f t="shared" si="241"/>
        <v>93.403217032653401</v>
      </c>
    </row>
    <row r="3825" spans="1:21" x14ac:dyDescent="0.25">
      <c r="A3825">
        <v>4893505</v>
      </c>
      <c r="B3825">
        <v>22</v>
      </c>
      <c r="C3825" s="1">
        <f>2.09626409151264*(10.3/7.3)</f>
        <v>2.9577424852849576</v>
      </c>
      <c r="D3825" s="1">
        <f>3.28272258059764*(10.3/7.3)</f>
        <v>4.6317866548158424</v>
      </c>
      <c r="E3825" s="1">
        <f>11.2996141828363*(10.3/7.3)</f>
        <v>15.943291244275891</v>
      </c>
      <c r="F3825" s="1">
        <f>32.8083560104698*(38.9/42.5)</f>
        <v>30.029295266053495</v>
      </c>
      <c r="G3825" s="1">
        <v>1.7273997803593217</v>
      </c>
      <c r="H3825" s="1">
        <v>8.2067051628945986</v>
      </c>
      <c r="I3825" s="1">
        <v>24.780464387272364</v>
      </c>
      <c r="J3825" s="1">
        <v>6.0368831345537964E-2</v>
      </c>
      <c r="K3825" s="1">
        <v>3.2981867147226449</v>
      </c>
      <c r="L3825" s="1">
        <v>4.8406088695648855</v>
      </c>
      <c r="M3825" s="1">
        <v>0.71463591338902466</v>
      </c>
      <c r="N3825" s="1">
        <v>2.3743459140429342</v>
      </c>
      <c r="O3825" s="1">
        <v>0.29876121212121209</v>
      </c>
      <c r="P3825" s="1">
        <v>0.19124879537278228</v>
      </c>
      <c r="Q3825" s="1">
        <v>2.7606845804829372</v>
      </c>
      <c r="R3825" s="2">
        <f t="shared" si="239"/>
        <v>91.037369561439405</v>
      </c>
      <c r="S3825" s="2">
        <f t="shared" si="238"/>
        <v>3.5498043414409652</v>
      </c>
      <c r="T3825" s="2">
        <f t="shared" si="240"/>
        <v>8.2283519091180555</v>
      </c>
      <c r="U3825" s="2">
        <f t="shared" si="241"/>
        <v>102.81552581199843</v>
      </c>
    </row>
    <row r="3826" spans="1:21" x14ac:dyDescent="0.25">
      <c r="A3826">
        <v>4893513</v>
      </c>
      <c r="B3826">
        <v>30</v>
      </c>
      <c r="C3826" s="1">
        <f>1.77908984244885*(10.3/7.3)</f>
        <v>2.5102226544141373</v>
      </c>
      <c r="D3826" s="1">
        <f>2.77311527566306*(10.3/7.3)</f>
        <v>3.91275169031911</v>
      </c>
      <c r="E3826" s="1">
        <f>9.54667269936591*(10.3/7.3)</f>
        <v>13.469962849790253</v>
      </c>
      <c r="F3826" s="1">
        <f>27.7399588506609*(38.9/42.5)</f>
        <v>25.390221159781404</v>
      </c>
      <c r="G3826" s="1">
        <v>1.4606060324139356</v>
      </c>
      <c r="H3826" s="1">
        <v>9.013995319938152</v>
      </c>
      <c r="I3826" s="1">
        <v>20.974049354246752</v>
      </c>
      <c r="J3826" s="1">
        <v>5.8650128092773278E-2</v>
      </c>
      <c r="K3826" s="1">
        <v>3.3469193374046893</v>
      </c>
      <c r="L3826" s="1">
        <v>4.7276077515451567</v>
      </c>
      <c r="M3826" s="1">
        <v>0.67353531784960885</v>
      </c>
      <c r="N3826" s="1">
        <v>2.6684567415104357</v>
      </c>
      <c r="O3826" s="1">
        <v>0.29258666666666672</v>
      </c>
      <c r="P3826" s="1">
        <v>0.19366934747778991</v>
      </c>
      <c r="Q3826" s="1">
        <v>2.3343018782871141</v>
      </c>
      <c r="R3826" s="2">
        <f t="shared" si="239"/>
        <v>79.06611093919085</v>
      </c>
      <c r="S3826" s="2">
        <f t="shared" si="238"/>
        <v>3.5992388129752526</v>
      </c>
      <c r="T3826" s="2">
        <f t="shared" si="240"/>
        <v>8.3621864775718677</v>
      </c>
      <c r="U3826" s="2">
        <f t="shared" si="241"/>
        <v>91.027536229737976</v>
      </c>
    </row>
    <row r="3827" spans="1:21" x14ac:dyDescent="0.25">
      <c r="A3827">
        <v>4893713</v>
      </c>
      <c r="B3827">
        <v>45</v>
      </c>
      <c r="C3827" s="1">
        <f>15.2076662751143*(10.3/7.3)</f>
        <v>21.457392141599609</v>
      </c>
      <c r="D3827" s="1">
        <f>22.8246764504784*(10.3/7.3)</f>
        <v>32.204680471222964</v>
      </c>
      <c r="E3827" s="1">
        <f>80.3198935544632*(10.3/7.3)</f>
        <v>113.32806898780427</v>
      </c>
      <c r="F3827" s="1">
        <f>149.459344610508*(38.9/42.5)</f>
        <v>136.79925894938225</v>
      </c>
      <c r="G3827" s="1">
        <v>5.1909530909648502</v>
      </c>
      <c r="H3827" s="1">
        <v>8.0824088017293008</v>
      </c>
      <c r="I3827" s="1">
        <v>102.69596747166632</v>
      </c>
      <c r="J3827" s="1">
        <v>6.5442837254162098E-2</v>
      </c>
      <c r="K3827" s="1">
        <v>3.744867556285457</v>
      </c>
      <c r="L3827" s="1">
        <v>5.4982636404454395</v>
      </c>
      <c r="M3827" s="1">
        <v>0.33790172723942941</v>
      </c>
      <c r="N3827" s="1">
        <v>2.968350735230274</v>
      </c>
      <c r="O3827" s="1">
        <v>0.26654103703703719</v>
      </c>
      <c r="P3827" s="1">
        <v>0.17595496224443175</v>
      </c>
      <c r="Q3827" s="1">
        <v>8.2960437526835591</v>
      </c>
      <c r="R3827" s="2">
        <f t="shared" si="239"/>
        <v>428.0547736670531</v>
      </c>
      <c r="S3827" s="2">
        <f t="shared" si="238"/>
        <v>3.9862653557840506</v>
      </c>
      <c r="T3827" s="2">
        <f t="shared" si="240"/>
        <v>9.0710571399521793</v>
      </c>
      <c r="U3827" s="2">
        <f t="shared" si="241"/>
        <v>441.11209616278933</v>
      </c>
    </row>
    <row r="3828" spans="1:21" x14ac:dyDescent="0.25">
      <c r="A3828">
        <v>4893721</v>
      </c>
      <c r="B3828">
        <v>62</v>
      </c>
      <c r="C3828" s="1">
        <f>14.5212053496661*(10.3/7.3)</f>
        <v>20.488823986515182</v>
      </c>
      <c r="D3828" s="1">
        <f>22.9854414997179*(10.3/7.3)</f>
        <v>32.431513348917051</v>
      </c>
      <c r="E3828" s="1">
        <f>80.6760354557579*(10.3/7.3)</f>
        <v>113.83057057456259</v>
      </c>
      <c r="F3828" s="1">
        <f>152.685405083245*(38.9/42.5)</f>
        <v>139.75205312325278</v>
      </c>
      <c r="G3828" s="1">
        <v>5.4875305370850063</v>
      </c>
      <c r="H3828" s="1">
        <v>7.5047399191175792</v>
      </c>
      <c r="I3828" s="1">
        <v>103.63473232857572</v>
      </c>
      <c r="J3828" s="1">
        <v>6.7530040285968124E-2</v>
      </c>
      <c r="K3828" s="1">
        <v>3.9549669176036253</v>
      </c>
      <c r="L3828" s="1">
        <v>5.8687747270289528</v>
      </c>
      <c r="M3828" s="1">
        <v>0.35012617612893221</v>
      </c>
      <c r="N3828" s="1">
        <v>3.2263384988695725</v>
      </c>
      <c r="O3828" s="1">
        <v>0.27653075268817207</v>
      </c>
      <c r="P3828" s="1">
        <v>0.1807271635018711</v>
      </c>
      <c r="Q3828" s="1">
        <v>8.7700259725102985</v>
      </c>
      <c r="R3828" s="2">
        <f t="shared" si="239"/>
        <v>431.89998979053621</v>
      </c>
      <c r="S3828" s="2">
        <f t="shared" si="238"/>
        <v>4.2032241213914645</v>
      </c>
      <c r="T3828" s="2">
        <f t="shared" si="240"/>
        <v>9.7217701547156299</v>
      </c>
      <c r="U3828" s="2">
        <f t="shared" si="241"/>
        <v>445.82498406664331</v>
      </c>
    </row>
    <row r="3829" spans="1:21" x14ac:dyDescent="0.25">
      <c r="A3829">
        <v>4893729</v>
      </c>
      <c r="B3829">
        <v>62</v>
      </c>
      <c r="C3829" s="1">
        <f>13.1041858861858*(10.3/7.3)</f>
        <v>18.48946775722111</v>
      </c>
      <c r="D3829" s="1">
        <f>21.5851502087801*(10.3/7.3)</f>
        <v>30.455759883621198</v>
      </c>
      <c r="E3829" s="1">
        <f>75.6202169649235*(10.3/7.3)</f>
        <v>106.69701845735776</v>
      </c>
      <c r="F3829" s="1">
        <f>144.859437297702*(38.9/42.5)</f>
        <v>132.58899084424942</v>
      </c>
      <c r="G3829" s="1">
        <v>5.3291839708688</v>
      </c>
      <c r="H3829" s="1">
        <v>7.3159267784562632</v>
      </c>
      <c r="I3829" s="1">
        <v>97.481757583461231</v>
      </c>
      <c r="J3829" s="1">
        <v>6.7348951299813289E-2</v>
      </c>
      <c r="K3829" s="1">
        <v>3.9240396425479651</v>
      </c>
      <c r="L3829" s="1">
        <v>5.912014303127302</v>
      </c>
      <c r="M3829" s="1">
        <v>0.34400101769782065</v>
      </c>
      <c r="N3829" s="1">
        <v>3.3266816184708112</v>
      </c>
      <c r="O3829" s="1">
        <v>0.27344258064516125</v>
      </c>
      <c r="P3829" s="1">
        <v>0.18067200917468665</v>
      </c>
      <c r="Q3829" s="1">
        <v>8.5169606840369045</v>
      </c>
      <c r="R3829" s="2">
        <f t="shared" si="239"/>
        <v>406.87506595927277</v>
      </c>
      <c r="S3829" s="2">
        <f t="shared" si="238"/>
        <v>4.172060603022465</v>
      </c>
      <c r="T3829" s="2">
        <f t="shared" si="240"/>
        <v>9.8561395199410953</v>
      </c>
      <c r="U3829" s="2">
        <f t="shared" si="241"/>
        <v>420.90326608223637</v>
      </c>
    </row>
    <row r="3830" spans="1:21" x14ac:dyDescent="0.25">
      <c r="A3830">
        <v>4893737</v>
      </c>
      <c r="B3830">
        <v>53</v>
      </c>
      <c r="C3830" s="1">
        <f>11.173062121869*(10.3/7.3)</f>
        <v>15.764731487020603</v>
      </c>
      <c r="D3830" s="1">
        <f>18.4072755718778*(10.3/7.3)</f>
        <v>25.971909368539951</v>
      </c>
      <c r="E3830" s="1">
        <f>64.4711654666509*(10.3/7.3)</f>
        <v>90.966164973493761</v>
      </c>
      <c r="F3830" s="1">
        <f>124.282650683269*(38.9/42.5)</f>
        <v>113.75517909598004</v>
      </c>
      <c r="G3830" s="1">
        <v>4.6092489568938309</v>
      </c>
      <c r="H3830" s="1">
        <v>6.7716004874583913</v>
      </c>
      <c r="I3830" s="1">
        <v>83.802979762518234</v>
      </c>
      <c r="J3830" s="1">
        <v>6.0023079382439053E-2</v>
      </c>
      <c r="K3830" s="1">
        <v>3.6154460320800044</v>
      </c>
      <c r="L3830" s="1">
        <v>5.3297193917644465</v>
      </c>
      <c r="M3830" s="1">
        <v>0.30796822383869688</v>
      </c>
      <c r="N3830" s="1">
        <v>2.8725200874824051</v>
      </c>
      <c r="O3830" s="1">
        <v>0.2512543396226416</v>
      </c>
      <c r="P3830" s="1">
        <v>0.16811413686256355</v>
      </c>
      <c r="Q3830" s="1">
        <v>7.3663796114741658</v>
      </c>
      <c r="R3830" s="2">
        <f t="shared" si="239"/>
        <v>349.00819374337897</v>
      </c>
      <c r="S3830" s="2">
        <f t="shared" si="238"/>
        <v>3.843583248325007</v>
      </c>
      <c r="T3830" s="2">
        <f t="shared" si="240"/>
        <v>8.7614620427081906</v>
      </c>
      <c r="U3830" s="2">
        <f t="shared" si="241"/>
        <v>361.61323903441217</v>
      </c>
    </row>
    <row r="3831" spans="1:21" x14ac:dyDescent="0.25">
      <c r="A3831">
        <v>4893745</v>
      </c>
      <c r="B3831">
        <v>65</v>
      </c>
      <c r="C3831" s="1">
        <f>11.032744322997*(10.3/7.3)</f>
        <v>15.566748839297095</v>
      </c>
      <c r="D3831" s="1">
        <f>18.0973648724778*(10.3/7.3)</f>
        <v>25.534638107742609</v>
      </c>
      <c r="E3831" s="1">
        <f>63.3423672603723*(10.3/7.3)</f>
        <v>89.373477093402059</v>
      </c>
      <c r="F3831" s="1">
        <f>124.772013677126*(38.9/42.5)</f>
        <v>114.20309016565214</v>
      </c>
      <c r="G3831" s="1">
        <v>4.7491712150009153</v>
      </c>
      <c r="H3831" s="1">
        <v>7.2018287125222296</v>
      </c>
      <c r="I3831" s="1">
        <v>84.827516061743438</v>
      </c>
      <c r="J3831" s="1">
        <v>6.329071332185994E-2</v>
      </c>
      <c r="K3831" s="1">
        <v>3.7705538983108022</v>
      </c>
      <c r="L3831" s="1">
        <v>5.700282450738996</v>
      </c>
      <c r="M3831" s="1">
        <v>0.31811354316356261</v>
      </c>
      <c r="N3831" s="1">
        <v>3.0699996969311467</v>
      </c>
      <c r="O3831" s="1">
        <v>0.26019610256410264</v>
      </c>
      <c r="P3831" s="1">
        <v>0.17298762844664095</v>
      </c>
      <c r="Q3831" s="1">
        <v>7.5899996586772724</v>
      </c>
      <c r="R3831" s="2">
        <f t="shared" si="239"/>
        <v>349.04646985403781</v>
      </c>
      <c r="S3831" s="2">
        <f t="shared" si="238"/>
        <v>4.0068322400793033</v>
      </c>
      <c r="T3831" s="2">
        <f t="shared" si="240"/>
        <v>9.3485917933978087</v>
      </c>
      <c r="U3831" s="2">
        <f t="shared" si="241"/>
        <v>362.40189388751492</v>
      </c>
    </row>
    <row r="3832" spans="1:21" x14ac:dyDescent="0.25">
      <c r="A3832">
        <v>4893753</v>
      </c>
      <c r="B3832">
        <v>66</v>
      </c>
      <c r="C3832" s="1">
        <f>7.45855720682774*(10.3/7.3)</f>
        <v>10.523717702784344</v>
      </c>
      <c r="D3832" s="1">
        <f>12.0406503450918*(10.3/7.3)</f>
        <v>16.988862815677511</v>
      </c>
      <c r="E3832" s="1">
        <f>42.1939253928893*(10.3/7.3)</f>
        <v>59.53389473243287</v>
      </c>
      <c r="F3832" s="1">
        <f>81.7511251194041*(38.9/42.5)</f>
        <v>74.826323932819236</v>
      </c>
      <c r="G3832" s="1">
        <v>3.0402834384904409</v>
      </c>
      <c r="H3832" s="1">
        <v>5.6020393389012426</v>
      </c>
      <c r="I3832" s="1">
        <v>55.558097077540154</v>
      </c>
      <c r="J3832" s="1">
        <v>4.7176839446278096E-2</v>
      </c>
      <c r="K3832" s="1">
        <v>3.0484088687329902</v>
      </c>
      <c r="L3832" s="1">
        <v>4.1931596775185875</v>
      </c>
      <c r="M3832" s="1">
        <v>0.24373270598650637</v>
      </c>
      <c r="N3832" s="1">
        <v>2.4446152348781514</v>
      </c>
      <c r="O3832" s="1">
        <v>0.20586505050505052</v>
      </c>
      <c r="P3832" s="1">
        <v>0.14495820511158106</v>
      </c>
      <c r="Q3832" s="1">
        <v>4.8589004724733114</v>
      </c>
      <c r="R3832" s="2">
        <f t="shared" si="239"/>
        <v>230.93211951111911</v>
      </c>
      <c r="S3832" s="2">
        <f t="shared" si="238"/>
        <v>3.2405439132908493</v>
      </c>
      <c r="T3832" s="2">
        <f t="shared" si="240"/>
        <v>7.0873726688882952</v>
      </c>
      <c r="U3832" s="2">
        <f t="shared" si="241"/>
        <v>241.26003609329825</v>
      </c>
    </row>
    <row r="3833" spans="1:21" x14ac:dyDescent="0.25">
      <c r="A3833">
        <v>4893761</v>
      </c>
      <c r="B3833">
        <v>67</v>
      </c>
      <c r="C3833" s="1">
        <f>7.05125114316272*(10.3/7.3)</f>
        <v>9.949025585558358</v>
      </c>
      <c r="D3833" s="1">
        <f>11.1999037951359*(10.3/7.3)</f>
        <v>15.802603984917758</v>
      </c>
      <c r="E3833" s="1">
        <f>39.2630874510811*(10.3/7.3)</f>
        <v>55.398602841936359</v>
      </c>
      <c r="F3833" s="1">
        <f>76.4393259788443*(38.9/42.5)</f>
        <v>69.964465425342183</v>
      </c>
      <c r="G3833" s="1">
        <v>2.8516112778488156</v>
      </c>
      <c r="H3833" s="1">
        <v>5.2801322476787655</v>
      </c>
      <c r="I3833" s="1">
        <v>52.286343640811971</v>
      </c>
      <c r="J3833" s="1">
        <v>4.7971761737130067E-2</v>
      </c>
      <c r="K3833" s="1">
        <v>3.0701066936520909</v>
      </c>
      <c r="L3833" s="1">
        <v>4.3042643574165185</v>
      </c>
      <c r="M3833" s="1">
        <v>0.24249070598953432</v>
      </c>
      <c r="N3833" s="1">
        <v>2.818685827107994</v>
      </c>
      <c r="O3833" s="1">
        <v>0.20338945273631842</v>
      </c>
      <c r="P3833" s="1">
        <v>0.14411157095922217</v>
      </c>
      <c r="Q3833" s="1">
        <v>4.5573696221328142</v>
      </c>
      <c r="R3833" s="2">
        <f t="shared" si="239"/>
        <v>216.09015462622702</v>
      </c>
      <c r="S3833" s="2">
        <f t="shared" si="238"/>
        <v>3.2621900263484434</v>
      </c>
      <c r="T3833" s="2">
        <f t="shared" si="240"/>
        <v>7.5688303432503652</v>
      </c>
      <c r="U3833" s="2">
        <f t="shared" si="241"/>
        <v>226.92117499582582</v>
      </c>
    </row>
    <row r="3834" spans="1:21" x14ac:dyDescent="0.25">
      <c r="A3834">
        <v>4893769</v>
      </c>
      <c r="B3834">
        <v>68</v>
      </c>
      <c r="C3834" s="1">
        <f>8.80224892946174*(10.3/7.3)</f>
        <v>12.41961150321314</v>
      </c>
      <c r="D3834" s="1">
        <f>13.7440382323073*(10.3/7.3)</f>
        <v>19.392273122296611</v>
      </c>
      <c r="E3834" s="1">
        <f>48.2025131342707*(10.3/7.3)</f>
        <v>68.011765107258626</v>
      </c>
      <c r="F3834" s="1">
        <f>94.3090499205956*(38.9/42.5)</f>
        <v>86.320518633203932</v>
      </c>
      <c r="G3834" s="1">
        <v>3.5291041762393864</v>
      </c>
      <c r="H3834" s="1">
        <v>6.207195747245378</v>
      </c>
      <c r="I3834" s="1">
        <v>64.948685304619289</v>
      </c>
      <c r="J3834" s="1">
        <v>5.8771616840347596E-2</v>
      </c>
      <c r="K3834" s="1">
        <v>3.5693814207074714</v>
      </c>
      <c r="L3834" s="1">
        <v>5.3053798947072881</v>
      </c>
      <c r="M3834" s="1">
        <v>0.28414876192910044</v>
      </c>
      <c r="N3834" s="1">
        <v>3.532533256729014</v>
      </c>
      <c r="O3834" s="1">
        <v>0.23737019607843138</v>
      </c>
      <c r="P3834" s="1">
        <v>0.16086946850560152</v>
      </c>
      <c r="Q3834" s="1">
        <v>5.6401208296063317</v>
      </c>
      <c r="R3834" s="2">
        <f t="shared" si="239"/>
        <v>266.46927442368269</v>
      </c>
      <c r="S3834" s="2">
        <f t="shared" si="238"/>
        <v>3.7890225060534206</v>
      </c>
      <c r="T3834" s="2">
        <f t="shared" si="240"/>
        <v>9.3594321094438353</v>
      </c>
      <c r="U3834" s="2">
        <f t="shared" si="241"/>
        <v>279.61772903917995</v>
      </c>
    </row>
    <row r="3835" spans="1:21" x14ac:dyDescent="0.25">
      <c r="A3835">
        <v>4893777</v>
      </c>
      <c r="B3835">
        <v>38</v>
      </c>
      <c r="C3835" s="1">
        <f>6.99190785409066*(10.3/7.3)</f>
        <v>9.8652946434429847</v>
      </c>
      <c r="D3835" s="1">
        <f>10.6361568402952*(10.3/7.3)</f>
        <v>15.007180199320571</v>
      </c>
      <c r="E3835" s="1">
        <f>37.3422346100319*(10.3/7.3)</f>
        <v>52.688358422373781</v>
      </c>
      <c r="F3835" s="1">
        <f>72.8782714405267*(38.9/42.5)</f>
        <v>66.70505315379971</v>
      </c>
      <c r="G3835" s="1">
        <v>2.7054419383910506</v>
      </c>
      <c r="H3835" s="1">
        <v>6.4230144230364452</v>
      </c>
      <c r="I3835" s="1">
        <v>50.563515022318768</v>
      </c>
      <c r="J3835" s="1">
        <v>4.8604335753341645E-2</v>
      </c>
      <c r="K3835" s="1">
        <v>3.1008249085589257</v>
      </c>
      <c r="L3835" s="1">
        <v>4.2757024290689181</v>
      </c>
      <c r="M3835" s="1">
        <v>0.23725805106201459</v>
      </c>
      <c r="N3835" s="1">
        <v>2.6084434104303957</v>
      </c>
      <c r="O3835" s="1">
        <v>0.20351157894736835</v>
      </c>
      <c r="P3835" s="1">
        <v>0.14133139152552759</v>
      </c>
      <c r="Q3835" s="1">
        <v>4.3237656549628722</v>
      </c>
      <c r="R3835" s="2">
        <f t="shared" si="239"/>
        <v>208.28162345764619</v>
      </c>
      <c r="S3835" s="2">
        <f t="shared" si="238"/>
        <v>3.290760635837795</v>
      </c>
      <c r="T3835" s="2">
        <f t="shared" si="240"/>
        <v>7.3249154695086967</v>
      </c>
      <c r="U3835" s="2">
        <f t="shared" si="241"/>
        <v>218.89729956299269</v>
      </c>
    </row>
    <row r="3836" spans="1:21" x14ac:dyDescent="0.25">
      <c r="A3836">
        <v>4893785</v>
      </c>
      <c r="B3836">
        <v>70</v>
      </c>
      <c r="C3836" s="1">
        <f>4.40959670044901*(10.3/7.3)</f>
        <v>6.221759728030797</v>
      </c>
      <c r="D3836" s="1">
        <f>6.24647941617475*(10.3/7.3)</f>
        <v>8.813525751589026</v>
      </c>
      <c r="E3836" s="1">
        <f>21.9996080342055*(10.3/7.3)</f>
        <v>31.040542842783037</v>
      </c>
      <c r="F3836" s="1">
        <f>42.5089669504306*(38.9/42.5)</f>
        <v>38.908207396982384</v>
      </c>
      <c r="G3836" s="1">
        <v>1.5358351139335709</v>
      </c>
      <c r="H3836" s="1">
        <v>3.7690864433136735</v>
      </c>
      <c r="I3836" s="1">
        <v>30.099661749260445</v>
      </c>
      <c r="J3836" s="1">
        <v>3.5525314199362813E-2</v>
      </c>
      <c r="K3836" s="1">
        <v>2.4223837856010983</v>
      </c>
      <c r="L3836" s="1">
        <v>3.1381738441817699</v>
      </c>
      <c r="M3836" s="1">
        <v>0.17615113507788971</v>
      </c>
      <c r="N3836" s="1">
        <v>1.7777421173369177</v>
      </c>
      <c r="O3836" s="1">
        <v>0.15163961904761908</v>
      </c>
      <c r="P3836" s="1">
        <v>0.11587375876724119</v>
      </c>
      <c r="Q3836" s="1">
        <v>2.4545310040034272</v>
      </c>
      <c r="R3836" s="2">
        <f t="shared" si="239"/>
        <v>122.84315002989636</v>
      </c>
      <c r="S3836" s="2">
        <f t="shared" si="238"/>
        <v>2.5737828585677023</v>
      </c>
      <c r="T3836" s="2">
        <f t="shared" si="240"/>
        <v>5.2437067156441959</v>
      </c>
      <c r="U3836" s="2">
        <f t="shared" si="241"/>
        <v>130.66063960410827</v>
      </c>
    </row>
    <row r="3837" spans="1:21" x14ac:dyDescent="0.25">
      <c r="A3837">
        <v>4893793</v>
      </c>
      <c r="B3837">
        <v>70</v>
      </c>
      <c r="C3837" s="1">
        <f>7.50494992612224*(10.3/7.3)</f>
        <v>10.589175923158773</v>
      </c>
      <c r="D3837" s="1">
        <f>11.1532135512373*(10.3/7.3)</f>
        <v>15.736725969554042</v>
      </c>
      <c r="E3837" s="1">
        <f>39.1577666111913*(10.3/7.3)</f>
        <v>55.249999465105589</v>
      </c>
      <c r="F3837" s="1">
        <f>78.153327239455*(38.9/42.5)</f>
        <v>71.533280696818807</v>
      </c>
      <c r="G3837" s="1">
        <v>2.9698933123638049</v>
      </c>
      <c r="H3837" s="1">
        <v>5.7709097534235854</v>
      </c>
      <c r="I3837" s="1">
        <v>54.96601276939591</v>
      </c>
      <c r="J3837" s="1">
        <v>5.8169231666955187E-2</v>
      </c>
      <c r="K3837" s="1">
        <v>3.4380175420713579</v>
      </c>
      <c r="L3837" s="1">
        <v>4.9775740068654146</v>
      </c>
      <c r="M3837" s="1">
        <v>0.25553974011784142</v>
      </c>
      <c r="N3837" s="1">
        <v>2.6462274737339087</v>
      </c>
      <c r="O3837" s="1">
        <v>0.21837028571428566</v>
      </c>
      <c r="P3837" s="1">
        <v>0.15089805853651778</v>
      </c>
      <c r="Q3837" s="1">
        <v>4.7464048371111058</v>
      </c>
      <c r="R3837" s="2">
        <f t="shared" si="239"/>
        <v>221.56240272693159</v>
      </c>
      <c r="S3837" s="2">
        <f t="shared" si="238"/>
        <v>3.6470848322748308</v>
      </c>
      <c r="T3837" s="2">
        <f t="shared" si="240"/>
        <v>8.09771150643145</v>
      </c>
      <c r="U3837" s="2">
        <f t="shared" si="241"/>
        <v>233.30719906563786</v>
      </c>
    </row>
    <row r="3838" spans="1:21" x14ac:dyDescent="0.25">
      <c r="A3838">
        <v>4893801</v>
      </c>
      <c r="B3838">
        <v>70</v>
      </c>
      <c r="C3838" s="1">
        <f>8.26148245353669*(10.3/7.3)</f>
        <v>11.656612228962732</v>
      </c>
      <c r="D3838" s="1">
        <f>12.1120626900577*(10.3/7.3)</f>
        <v>17.0896226996704</v>
      </c>
      <c r="E3838" s="1">
        <f>42.5233189009514*(10.3/7.3)</f>
        <v>59.998655435588951</v>
      </c>
      <c r="F3838" s="1">
        <f>86.0345413590889*(38.9/42.5)</f>
        <v>78.746909620436682</v>
      </c>
      <c r="G3838" s="1">
        <v>3.3148618756647248</v>
      </c>
      <c r="H3838" s="1">
        <v>6.2130134583819379</v>
      </c>
      <c r="I3838" s="1">
        <v>60.985528083428107</v>
      </c>
      <c r="J3838" s="1">
        <v>6.8177252048730402E-2</v>
      </c>
      <c r="K3838" s="1">
        <v>3.7328559376071082</v>
      </c>
      <c r="L3838" s="1">
        <v>5.5477921486176056</v>
      </c>
      <c r="M3838" s="1">
        <v>0.27369794380755785</v>
      </c>
      <c r="N3838" s="1">
        <v>2.9477935659395276</v>
      </c>
      <c r="O3838" s="1">
        <v>0.23367923809523811</v>
      </c>
      <c r="P3838" s="1">
        <v>0.15872880509130605</v>
      </c>
      <c r="Q3838" s="1">
        <v>5.2977244588249066</v>
      </c>
      <c r="R3838" s="2">
        <f t="shared" si="239"/>
        <v>243.30292786095845</v>
      </c>
      <c r="S3838" s="2">
        <f t="shared" si="238"/>
        <v>3.9597619947471445</v>
      </c>
      <c r="T3838" s="2">
        <f t="shared" si="240"/>
        <v>9.0029628964599286</v>
      </c>
      <c r="U3838" s="2">
        <f t="shared" si="241"/>
        <v>256.26565275216552</v>
      </c>
    </row>
    <row r="3839" spans="1:21" x14ac:dyDescent="0.25">
      <c r="A3839">
        <v>4893809</v>
      </c>
      <c r="B3839">
        <v>41</v>
      </c>
      <c r="C3839" s="1">
        <f>7.92765840841611*(10.3/7.3)</f>
        <v>11.185600220093967</v>
      </c>
      <c r="D3839" s="1">
        <f>11.4584755537802*(10.3/7.3)</f>
        <v>16.16743811012827</v>
      </c>
      <c r="E3839" s="1">
        <f>40.2323603336774*(10.3/7.3)</f>
        <v>56.766207046147599</v>
      </c>
      <c r="F3839" s="1">
        <f>82.3409146834764*(38.9/42.5)</f>
        <v>75.366154851464259</v>
      </c>
      <c r="G3839" s="1">
        <v>3.2072289742502638</v>
      </c>
      <c r="H3839" s="1">
        <v>6.0701141944852726</v>
      </c>
      <c r="I3839" s="1">
        <v>58.797541072086723</v>
      </c>
      <c r="J3839" s="1">
        <v>7.5681782213746829E-2</v>
      </c>
      <c r="K3839" s="1">
        <v>3.6782001417482109</v>
      </c>
      <c r="L3839" s="1">
        <v>5.3636589970684181</v>
      </c>
      <c r="M3839" s="1">
        <v>0.26344051763655252</v>
      </c>
      <c r="N3839" s="1">
        <v>2.9745097201032227</v>
      </c>
      <c r="O3839" s="1">
        <v>0.225849756097561</v>
      </c>
      <c r="P3839" s="1">
        <v>0.15419140002575851</v>
      </c>
      <c r="Q3839" s="1">
        <v>5.1257084063360443</v>
      </c>
      <c r="R3839" s="2">
        <f t="shared" si="239"/>
        <v>232.68599287499237</v>
      </c>
      <c r="S3839" s="2">
        <f t="shared" si="238"/>
        <v>3.9080733239877166</v>
      </c>
      <c r="T3839" s="2">
        <f t="shared" si="240"/>
        <v>8.8274589909057557</v>
      </c>
      <c r="U3839" s="2">
        <f t="shared" si="241"/>
        <v>245.42152518988584</v>
      </c>
    </row>
    <row r="3840" spans="1:21" x14ac:dyDescent="0.25">
      <c r="A3840">
        <v>4893905</v>
      </c>
      <c r="B3840">
        <v>23</v>
      </c>
      <c r="C3840" s="1">
        <f>3.42444368640775*(10.3/7.3)</f>
        <v>4.8317493109588794</v>
      </c>
      <c r="D3840" s="1">
        <f>4.72562332890648*(10.3/7.3)</f>
        <v>6.6676603133885912</v>
      </c>
      <c r="E3840" s="1">
        <f>16.482871408255*(10.3/7.3)</f>
        <v>23.256654178770727</v>
      </c>
      <c r="F3840" s="1">
        <f>40.8244334140041*(38.9/42.5)</f>
        <v>37.366363760112009</v>
      </c>
      <c r="G3840" s="1">
        <v>1.8986073067373186</v>
      </c>
      <c r="H3840" s="1">
        <v>8.6296379893276498</v>
      </c>
      <c r="I3840" s="1">
        <v>30.786958139292711</v>
      </c>
      <c r="J3840" s="1">
        <v>3.3356009222613482E-2</v>
      </c>
      <c r="K3840" s="1">
        <v>2.1783587705468399</v>
      </c>
      <c r="L3840" s="1">
        <v>3.3204167270569291</v>
      </c>
      <c r="M3840" s="1">
        <v>0.12524131784553094</v>
      </c>
      <c r="N3840" s="1">
        <v>1.542262334844088</v>
      </c>
      <c r="O3840" s="1">
        <v>0.11136231884057969</v>
      </c>
      <c r="P3840" s="1">
        <v>8.8443400293051755E-2</v>
      </c>
      <c r="Q3840" s="1">
        <v>3.0343039148769959</v>
      </c>
      <c r="R3840" s="2">
        <f t="shared" si="239"/>
        <v>116.47193491346488</v>
      </c>
      <c r="S3840" s="2">
        <f t="shared" si="238"/>
        <v>2.3001581800625051</v>
      </c>
      <c r="T3840" s="2">
        <f t="shared" si="240"/>
        <v>5.0992826985871273</v>
      </c>
      <c r="U3840" s="2">
        <f t="shared" si="241"/>
        <v>123.87137579211452</v>
      </c>
    </row>
    <row r="3841" spans="1:21" x14ac:dyDescent="0.25">
      <c r="A3841">
        <v>4894193</v>
      </c>
      <c r="B3841">
        <v>2</v>
      </c>
      <c r="C3841" s="1">
        <f>3.5272722406929*(10.3/7.3)</f>
        <v>4.9768361752242329</v>
      </c>
      <c r="D3841" s="1">
        <f>4.12120288811977*(10.3/7.3)</f>
        <v>5.8148479106347395</v>
      </c>
      <c r="E3841" s="1">
        <f>14.5330918028849*(10.3/7.3)</f>
        <v>20.505595283522592</v>
      </c>
      <c r="F3841" s="1">
        <f>33.3660513083937*(38.9/42.5)</f>
        <v>30.539750491682724</v>
      </c>
      <c r="G3841" s="1">
        <v>1.4136108482372438</v>
      </c>
      <c r="H3841" s="1">
        <v>3.5505539053368631</v>
      </c>
      <c r="I3841" s="1">
        <v>26.020344581493788</v>
      </c>
      <c r="J3841" s="1">
        <v>2.9655751059199188E-2</v>
      </c>
      <c r="K3841" s="1">
        <v>1.8087336012238198</v>
      </c>
      <c r="L3841" s="1">
        <v>1.8003487490757815</v>
      </c>
      <c r="M3841" s="1">
        <v>8.1137311483028385E-2</v>
      </c>
      <c r="N3841" s="1">
        <v>1.2959203276967937</v>
      </c>
      <c r="O3841" s="1">
        <v>8.1626666666666667E-2</v>
      </c>
      <c r="P3841" s="1">
        <v>6.4879346996493489E-2</v>
      </c>
      <c r="Q3841" s="1">
        <v>2.2591954195572415</v>
      </c>
      <c r="R3841" s="2">
        <f t="shared" si="239"/>
        <v>95.080734615689423</v>
      </c>
      <c r="S3841" s="2">
        <f t="shared" si="238"/>
        <v>1.9032686992795125</v>
      </c>
      <c r="T3841" s="2">
        <f t="shared" si="240"/>
        <v>3.2590330549222699</v>
      </c>
      <c r="U3841" s="2">
        <f t="shared" si="241"/>
        <v>100.2430363698912</v>
      </c>
    </row>
    <row r="3842" spans="1:21" x14ac:dyDescent="0.25">
      <c r="A3842">
        <v>490201</v>
      </c>
      <c r="B3842">
        <v>8</v>
      </c>
      <c r="C3842" s="1">
        <f>1.22878001033962*(10.3/7.3)</f>
        <v>1.7337580967805628</v>
      </c>
      <c r="D3842" s="1">
        <f>1.53483309313023*(10.3/7.3)</f>
        <v>2.1655864190741538</v>
      </c>
      <c r="E3842" s="1">
        <f>5.42477098837668*(10.3/7.3)</f>
        <v>7.6541289288054539</v>
      </c>
      <c r="F3842" s="1">
        <f>10.9758944264364*(38.9/42.5)</f>
        <v>10.04617160443242</v>
      </c>
      <c r="G3842" s="1">
        <v>0.40961184929804234</v>
      </c>
      <c r="H3842" s="1">
        <v>0.95969087110193163</v>
      </c>
      <c r="I3842" s="1">
        <v>8.1947558100433771</v>
      </c>
      <c r="J3842" s="1">
        <v>2.7600979639766189E-2</v>
      </c>
      <c r="K3842" s="1">
        <v>4.4167898292762295</v>
      </c>
      <c r="L3842" s="1">
        <v>1.5692401490357051</v>
      </c>
      <c r="M3842" s="1">
        <v>8.2774798665029209E-2</v>
      </c>
      <c r="N3842" s="1">
        <v>0.87511341556887501</v>
      </c>
      <c r="O3842" s="1">
        <v>7.6666666666666661E-2</v>
      </c>
      <c r="P3842" s="1">
        <v>6.545683724444569E-2</v>
      </c>
      <c r="Q3842" s="1">
        <v>0.65463080938043372</v>
      </c>
      <c r="R3842" s="2">
        <f t="shared" si="239"/>
        <v>31.818334388916373</v>
      </c>
      <c r="S3842" s="2">
        <f t="shared" si="238"/>
        <v>4.5098476461604413</v>
      </c>
      <c r="T3842" s="2">
        <f t="shared" si="240"/>
        <v>2.603795029936276</v>
      </c>
      <c r="U3842" s="2">
        <f t="shared" si="241"/>
        <v>38.931977065013093</v>
      </c>
    </row>
    <row r="3843" spans="1:21" x14ac:dyDescent="0.25">
      <c r="A3843">
        <v>490209</v>
      </c>
      <c r="B3843">
        <v>21</v>
      </c>
      <c r="C3843" s="1">
        <f>1.18738374106648*(10.3/7.3)</f>
        <v>1.6753496620527011</v>
      </c>
      <c r="D3843" s="1">
        <f>1.50920425330394*(10.3/7.3)</f>
        <v>2.1294251793192518</v>
      </c>
      <c r="E3843" s="1">
        <f>5.32052921076504*(10.3/7.3)</f>
        <v>7.5070480645040929</v>
      </c>
      <c r="F3843" s="1">
        <f>11.2445646227968*(38.9/42.5)</f>
        <v>10.292083854748132</v>
      </c>
      <c r="G3843" s="1">
        <v>0.44354706770460506</v>
      </c>
      <c r="H3843" s="1">
        <v>0.97298325428585231</v>
      </c>
      <c r="I3843" s="1">
        <v>8.4198966359883958</v>
      </c>
      <c r="J3843" s="1">
        <v>2.97541529749023E-2</v>
      </c>
      <c r="K3843" s="1">
        <v>3.4693858935610713</v>
      </c>
      <c r="L3843" s="1">
        <v>2.2273094845618879</v>
      </c>
      <c r="M3843" s="1">
        <v>8.4101744983376692E-2</v>
      </c>
      <c r="N3843" s="1">
        <v>0.92863833555013053</v>
      </c>
      <c r="O3843" s="1">
        <v>7.7818412698412692E-2</v>
      </c>
      <c r="P3843" s="1">
        <v>6.6790520023939273E-2</v>
      </c>
      <c r="Q3843" s="1">
        <v>0.70886517669685822</v>
      </c>
      <c r="R3843" s="2">
        <f t="shared" si="239"/>
        <v>32.14919889529989</v>
      </c>
      <c r="S3843" s="2">
        <f t="shared" si="238"/>
        <v>3.5659305665599126</v>
      </c>
      <c r="T3843" s="2">
        <f t="shared" si="240"/>
        <v>3.3178679777938078</v>
      </c>
      <c r="U3843" s="2">
        <f t="shared" si="241"/>
        <v>39.032997439653613</v>
      </c>
    </row>
    <row r="3844" spans="1:21" x14ac:dyDescent="0.25">
      <c r="A3844">
        <v>490233</v>
      </c>
      <c r="B3844">
        <v>47</v>
      </c>
      <c r="C3844" s="1">
        <f>1.27906752880361*(10.3/7.3)</f>
        <v>1.8047117187228994</v>
      </c>
      <c r="D3844" s="1">
        <f>2.12170497675663*(10.3/7.3)</f>
        <v>2.9936385288483964</v>
      </c>
      <c r="E3844" s="1">
        <f>7.33227166271931*(10.3/7.3)</f>
        <v>10.345533989864229</v>
      </c>
      <c r="F3844" s="1">
        <f>19.0339014014258*(38.9/42.5)</f>
        <v>17.421617988599159</v>
      </c>
      <c r="G3844" s="1">
        <v>0.936837787665316</v>
      </c>
      <c r="H3844" s="1">
        <v>3.8520497415989357</v>
      </c>
      <c r="I3844" s="1">
        <v>13.889982251014793</v>
      </c>
      <c r="J3844" s="1">
        <v>3.19527687867504E-2</v>
      </c>
      <c r="K3844" s="1">
        <v>4.4256178836481723</v>
      </c>
      <c r="L3844" s="1">
        <v>1.5174513780045067</v>
      </c>
      <c r="M3844" s="1">
        <v>8.4436600759806635E-2</v>
      </c>
      <c r="N3844" s="1">
        <v>1.0187553074077351</v>
      </c>
      <c r="O3844" s="1">
        <v>7.6608226950354602E-2</v>
      </c>
      <c r="P3844" s="1">
        <v>6.5454363948037136E-2</v>
      </c>
      <c r="Q3844" s="1">
        <v>1.4972293410176301</v>
      </c>
      <c r="R3844" s="2">
        <f t="shared" si="239"/>
        <v>52.741601347331354</v>
      </c>
      <c r="S3844" s="2">
        <f t="shared" si="238"/>
        <v>4.5230250163829595</v>
      </c>
      <c r="T3844" s="2">
        <f t="shared" si="240"/>
        <v>2.6972515131224029</v>
      </c>
      <c r="U3844" s="2">
        <f t="shared" si="241"/>
        <v>59.961877876836716</v>
      </c>
    </row>
    <row r="3845" spans="1:21" x14ac:dyDescent="0.25">
      <c r="A3845">
        <v>490289</v>
      </c>
      <c r="B3845">
        <v>6</v>
      </c>
      <c r="C3845" s="1">
        <f>1.12384671474953*(10.3/7.3)</f>
        <v>1.5857015290301537</v>
      </c>
      <c r="D3845" s="1">
        <f>1.83467117254479*(10.3/7.3)</f>
        <v>2.5886456270152531</v>
      </c>
      <c r="E3845" s="1">
        <f>6.31313254056931*(10.3/7.3)</f>
        <v>8.9075705709402602</v>
      </c>
      <c r="F3845" s="1">
        <f>17.9564770920095*(38.9/42.5)</f>
        <v>16.435457855980491</v>
      </c>
      <c r="G3845" s="1">
        <v>0.93718554502741913</v>
      </c>
      <c r="H3845" s="1">
        <v>4.374089823777501</v>
      </c>
      <c r="I3845" s="1">
        <v>13.401760728956903</v>
      </c>
      <c r="J3845" s="1">
        <v>3.214934046719118E-2</v>
      </c>
      <c r="K3845" s="1">
        <v>2.6536228875736785</v>
      </c>
      <c r="L3845" s="1">
        <v>1.1357569352399011</v>
      </c>
      <c r="M3845" s="1">
        <v>6.1421006947886186E-2</v>
      </c>
      <c r="N3845" s="1">
        <v>1.1018287427097657</v>
      </c>
      <c r="O3845" s="1">
        <v>6.1671111111111121E-2</v>
      </c>
      <c r="P3845" s="1">
        <v>5.3892350256516945E-2</v>
      </c>
      <c r="Q3845" s="1">
        <v>1.4977851176237307</v>
      </c>
      <c r="R3845" s="2">
        <f t="shared" si="239"/>
        <v>49.728196798351711</v>
      </c>
      <c r="S3845" s="2">
        <f t="shared" si="238"/>
        <v>2.7396645782973867</v>
      </c>
      <c r="T3845" s="2">
        <f t="shared" si="240"/>
        <v>2.3606777960086642</v>
      </c>
      <c r="U3845" s="2">
        <f t="shared" si="241"/>
        <v>54.828539172657763</v>
      </c>
    </row>
    <row r="3846" spans="1:21" x14ac:dyDescent="0.25">
      <c r="A3846">
        <v>490297</v>
      </c>
      <c r="B3846">
        <v>1</v>
      </c>
      <c r="C3846" s="1">
        <f>1.03237236312963*(10.3/7.3)</f>
        <v>1.4566349781144095</v>
      </c>
      <c r="D3846" s="1">
        <f>1.57371823235982*(10.3/7.3)</f>
        <v>2.2204517525076928</v>
      </c>
      <c r="E3846" s="1">
        <f>5.46176668992259*(10.3/7.3)</f>
        <v>7.7063283433154322</v>
      </c>
      <c r="F3846" s="1">
        <f>13.8328168295228*(38.9/42.5)</f>
        <v>12.661095874551494</v>
      </c>
      <c r="G3846" s="1">
        <v>0.6626535558795611</v>
      </c>
      <c r="H3846" s="1">
        <v>5.0352699187322214</v>
      </c>
      <c r="I3846" s="1">
        <v>10.229305461126433</v>
      </c>
      <c r="J3846" s="1">
        <v>2.2845409028863704E-2</v>
      </c>
      <c r="K3846" s="1">
        <v>2.2843934438914668</v>
      </c>
      <c r="L3846" s="1">
        <v>1.0515655969026398</v>
      </c>
      <c r="M3846" s="1">
        <v>5.8354092229357751E-2</v>
      </c>
      <c r="N3846" s="1">
        <v>0.87766106657339205</v>
      </c>
      <c r="O3846" s="1">
        <v>5.8453333333333336E-2</v>
      </c>
      <c r="P3846" s="1">
        <v>5.1773971907181401E-2</v>
      </c>
      <c r="Q3846" s="1">
        <v>1.0590353632778384</v>
      </c>
      <c r="R3846" s="2">
        <f t="shared" si="239"/>
        <v>41.030775247505083</v>
      </c>
      <c r="S3846" s="2">
        <f t="shared" si="238"/>
        <v>2.359012824827512</v>
      </c>
      <c r="T3846" s="2">
        <f t="shared" si="240"/>
        <v>2.0460340890387232</v>
      </c>
      <c r="U3846" s="2">
        <f t="shared" si="241"/>
        <v>45.435822161371313</v>
      </c>
    </row>
    <row r="3847" spans="1:21" x14ac:dyDescent="0.25">
      <c r="A3847">
        <v>490305</v>
      </c>
      <c r="B3847">
        <v>24</v>
      </c>
      <c r="C3847" s="1">
        <f>0.970437987177987*(10.3/7.3)</f>
        <v>1.3692481188949688</v>
      </c>
      <c r="D3847" s="1">
        <f>1.55841222409616*(10.3/7.3)</f>
        <v>2.1988556038617078</v>
      </c>
      <c r="E3847" s="1">
        <f>5.39892774679806*(10.3/7.3)</f>
        <v>7.6176651769890436</v>
      </c>
      <c r="F3847" s="1">
        <f>13.647103091322*(38.9/42.5)</f>
        <v>12.491113182410006</v>
      </c>
      <c r="G3847" s="1">
        <v>0.65659586233319345</v>
      </c>
      <c r="H3847" s="1">
        <v>4.3743697476110981</v>
      </c>
      <c r="I3847" s="1">
        <v>9.9694383340428114</v>
      </c>
      <c r="J3847" s="1">
        <v>2.2607436018146368E-2</v>
      </c>
      <c r="K3847" s="1">
        <v>2.2067773878496832</v>
      </c>
      <c r="L3847" s="1">
        <v>1.000023707610441</v>
      </c>
      <c r="M3847" s="1">
        <v>5.5254248480152403E-2</v>
      </c>
      <c r="N3847" s="1">
        <v>0.79473114920619958</v>
      </c>
      <c r="O3847" s="1">
        <v>5.5833999999999995E-2</v>
      </c>
      <c r="P3847" s="1">
        <v>5.0025327392939495E-2</v>
      </c>
      <c r="Q3847" s="1">
        <v>1.0493541178841004</v>
      </c>
      <c r="R3847" s="2">
        <f t="shared" si="239"/>
        <v>39.726640144026931</v>
      </c>
      <c r="S3847" s="2">
        <f t="shared" si="238"/>
        <v>2.2794101512607692</v>
      </c>
      <c r="T3847" s="2">
        <f t="shared" si="240"/>
        <v>1.905843105296793</v>
      </c>
      <c r="U3847" s="2">
        <f t="shared" si="241"/>
        <v>43.911893400584496</v>
      </c>
    </row>
    <row r="3848" spans="1:21" x14ac:dyDescent="0.25">
      <c r="A3848">
        <v>4905485</v>
      </c>
      <c r="B3848">
        <v>6</v>
      </c>
      <c r="C3848" s="1">
        <f>0.561657829503588*(10.3/7.3)</f>
        <v>0.79247611560095288</v>
      </c>
      <c r="D3848" s="1">
        <f>0.79429805786416*(10.3/7.3)</f>
        <v>1.1207219172603895</v>
      </c>
      <c r="E3848" s="1">
        <f>2.75735915551208*(10.3/7.3)</f>
        <v>3.8905204522978707</v>
      </c>
      <c r="F3848" s="1">
        <f>7.35837699950063*(38.9/42.5)</f>
        <v>6.7350791830723438</v>
      </c>
      <c r="G3848" s="1">
        <v>0.3630860804884124</v>
      </c>
      <c r="H3848" s="1">
        <v>1.8337250491233619</v>
      </c>
      <c r="I3848" s="1">
        <v>5.5922186776561462</v>
      </c>
      <c r="J3848" s="1">
        <v>6.3110583882361224E-2</v>
      </c>
      <c r="K3848" s="1">
        <v>2.7182633292198957</v>
      </c>
      <c r="L3848" s="1">
        <v>2.0783532422163207</v>
      </c>
      <c r="M3848" s="1">
        <v>0.53951844754298228</v>
      </c>
      <c r="N3848" s="1">
        <v>1.8225231317662471</v>
      </c>
      <c r="O3848" s="1">
        <v>0.39219555555555558</v>
      </c>
      <c r="P3848" s="1">
        <v>0.20988066623372192</v>
      </c>
      <c r="Q3848" s="1">
        <v>0.58027455785819382</v>
      </c>
      <c r="R3848" s="2">
        <f t="shared" si="239"/>
        <v>20.908102033357668</v>
      </c>
      <c r="S3848" s="2">
        <f t="shared" si="238"/>
        <v>2.9912545793359788</v>
      </c>
      <c r="T3848" s="2">
        <f t="shared" si="240"/>
        <v>4.8325903770811056</v>
      </c>
      <c r="U3848" s="2">
        <f t="shared" si="241"/>
        <v>28.731946989774755</v>
      </c>
    </row>
    <row r="3849" spans="1:21" x14ac:dyDescent="0.25">
      <c r="A3849">
        <v>4905717</v>
      </c>
      <c r="B3849">
        <v>26</v>
      </c>
      <c r="C3849" s="1">
        <f>1.52403296074723*(10.3/7.3)</f>
        <v>2.1503478761228072</v>
      </c>
      <c r="D3849" s="1">
        <f>2.48371282322203*(10.3/7.3)</f>
        <v>3.5044167231762824</v>
      </c>
      <c r="E3849" s="1">
        <f>8.48225715767606*(10.3/7.3)</f>
        <v>11.968116263570327</v>
      </c>
      <c r="F3849" s="1">
        <f>27.4488557054129*(38.9/42.5)</f>
        <v>25.123776163307344</v>
      </c>
      <c r="G3849" s="1">
        <v>1.5384031181268776</v>
      </c>
      <c r="H3849" s="1">
        <v>10.605151294428415</v>
      </c>
      <c r="I3849" s="1">
        <v>20.982679293577288</v>
      </c>
      <c r="J3849" s="1">
        <v>4.9395134937779042E-2</v>
      </c>
      <c r="K3849" s="1">
        <v>2.944082780627554</v>
      </c>
      <c r="L3849" s="1">
        <v>4.9558035686039812</v>
      </c>
      <c r="M3849" s="1">
        <v>0.74440571236537223</v>
      </c>
      <c r="N3849" s="1">
        <v>2.1753771744715698</v>
      </c>
      <c r="O3849" s="1">
        <v>0.27343794871794869</v>
      </c>
      <c r="P3849" s="1">
        <v>0.17902342206266272</v>
      </c>
      <c r="Q3849" s="1">
        <v>2.4586351202940997</v>
      </c>
      <c r="R3849" s="2">
        <f t="shared" si="239"/>
        <v>78.331525852603448</v>
      </c>
      <c r="S3849" s="2">
        <f t="shared" ref="S3849:S3912" si="242">J3849+K3849+P3849</f>
        <v>3.1725013376279958</v>
      </c>
      <c r="T3849" s="2">
        <f t="shared" si="240"/>
        <v>8.1490244041588724</v>
      </c>
      <c r="U3849" s="2">
        <f t="shared" si="241"/>
        <v>89.65305159439032</v>
      </c>
    </row>
    <row r="3850" spans="1:21" x14ac:dyDescent="0.25">
      <c r="A3850">
        <v>4905725</v>
      </c>
      <c r="B3850">
        <v>4</v>
      </c>
      <c r="C3850" s="1">
        <f>1.25302602407632*(10.3/7.3)</f>
        <v>1.767968225751517</v>
      </c>
      <c r="D3850" s="1">
        <f>1.93502146360698*(10.3/7.3)</f>
        <v>2.7302357637194357</v>
      </c>
      <c r="E3850" s="1">
        <f>6.65413521299629*(10.3/7.3)</f>
        <v>9.3887113279262717</v>
      </c>
      <c r="F3850" s="1">
        <f>19.8286391724707*(38.9/42.5)</f>
        <v>18.149036795508451</v>
      </c>
      <c r="G3850" s="1">
        <v>1.0587060070033354</v>
      </c>
      <c r="H3850" s="1">
        <v>5.1981855898853313</v>
      </c>
      <c r="I3850" s="1">
        <v>15.087076680531249</v>
      </c>
      <c r="J3850" s="1">
        <v>3.9086271409617013E-2</v>
      </c>
      <c r="K3850" s="1">
        <v>2.5704937873956046</v>
      </c>
      <c r="L3850" s="1">
        <v>3.9558872679450072</v>
      </c>
      <c r="M3850" s="1">
        <v>0.60614564624478251</v>
      </c>
      <c r="N3850" s="1">
        <v>1.8170077107526224</v>
      </c>
      <c r="O3850" s="1">
        <v>0.23714666666666664</v>
      </c>
      <c r="P3850" s="1">
        <v>0.15814048402850375</v>
      </c>
      <c r="Q3850" s="1">
        <v>1.6919959016035058</v>
      </c>
      <c r="R3850" s="2">
        <f t="shared" ref="R3850:R3913" si="243">C3850+D3850+E3850+F3850+G3850+H3850+I3850+Q3850</f>
        <v>55.071916291929099</v>
      </c>
      <c r="S3850" s="2">
        <f t="shared" si="242"/>
        <v>2.7677205428337257</v>
      </c>
      <c r="T3850" s="2">
        <f t="shared" ref="T3850:T3913" si="244">L3850+M3850+N3850+O3850</f>
        <v>6.6161872916090791</v>
      </c>
      <c r="U3850" s="2">
        <f t="shared" ref="U3850:U3913" si="245">R3850+S3850+T3850</f>
        <v>64.455824126371908</v>
      </c>
    </row>
    <row r="3851" spans="1:21" x14ac:dyDescent="0.25">
      <c r="A3851">
        <v>4905733</v>
      </c>
      <c r="B3851">
        <v>21</v>
      </c>
      <c r="C3851" s="1">
        <f>1.74019380257697*(10.3/7.3)</f>
        <v>2.4553419406223052</v>
      </c>
      <c r="D3851" s="1">
        <f>2.70759310627061*(10.3/7.3)</f>
        <v>3.8203026019982547</v>
      </c>
      <c r="E3851" s="1">
        <f>9.32267126021065*(10.3/7.3)</f>
        <v>13.153906024680774</v>
      </c>
      <c r="F3851" s="1">
        <f>27.0403180375727*(38.9/42.5)</f>
        <v>24.749844039095972</v>
      </c>
      <c r="G3851" s="1">
        <v>1.4220054000531068</v>
      </c>
      <c r="H3851" s="1">
        <v>6.4884745062884406</v>
      </c>
      <c r="I3851" s="1">
        <v>20.445486623197365</v>
      </c>
      <c r="J3851" s="1">
        <v>4.9211464832288013E-2</v>
      </c>
      <c r="K3851" s="1">
        <v>2.8495648503206374</v>
      </c>
      <c r="L3851" s="1">
        <v>4.1480856193955145</v>
      </c>
      <c r="M3851" s="1">
        <v>0.63831378398943217</v>
      </c>
      <c r="N3851" s="1">
        <v>2.0176196891751821</v>
      </c>
      <c r="O3851" s="1">
        <v>0.26219936507936509</v>
      </c>
      <c r="P3851" s="1">
        <v>0.16934020250134071</v>
      </c>
      <c r="Q3851" s="1">
        <v>2.2726113699478896</v>
      </c>
      <c r="R3851" s="2">
        <f t="shared" si="243"/>
        <v>74.807972505884123</v>
      </c>
      <c r="S3851" s="2">
        <f t="shared" si="242"/>
        <v>3.068116517654266</v>
      </c>
      <c r="T3851" s="2">
        <f t="shared" si="244"/>
        <v>7.0662184576394935</v>
      </c>
      <c r="U3851" s="2">
        <f t="shared" si="245"/>
        <v>84.942307481177878</v>
      </c>
    </row>
    <row r="3852" spans="1:21" x14ac:dyDescent="0.25">
      <c r="A3852">
        <v>4905741</v>
      </c>
      <c r="B3852">
        <v>48</v>
      </c>
      <c r="C3852" s="1">
        <f>1.77657230632027*(10.3/7.3)</f>
        <v>2.5066705143970984</v>
      </c>
      <c r="D3852" s="1">
        <f>2.76077417378185*(10.3/7.3)</f>
        <v>3.8953389027332963</v>
      </c>
      <c r="E3852" s="1">
        <f>9.51056773053298*(10.3/7.3)</f>
        <v>13.419020222532838</v>
      </c>
      <c r="F3852" s="1">
        <f>27.361583006749*(38.9/42.5)</f>
        <v>25.043895975589116</v>
      </c>
      <c r="G3852" s="1">
        <v>1.4316945164254786</v>
      </c>
      <c r="H3852" s="1">
        <v>10.043177282730396</v>
      </c>
      <c r="I3852" s="1">
        <v>20.662500717714888</v>
      </c>
      <c r="J3852" s="1">
        <v>5.7276355516342504E-2</v>
      </c>
      <c r="K3852" s="1">
        <v>3.2862294446557243</v>
      </c>
      <c r="L3852" s="1">
        <v>4.6696375545679443</v>
      </c>
      <c r="M3852" s="1">
        <v>0.69446810274409898</v>
      </c>
      <c r="N3852" s="1">
        <v>2.4872780037506907</v>
      </c>
      <c r="O3852" s="1">
        <v>0.29092000000000001</v>
      </c>
      <c r="P3852" s="1">
        <v>0.19129587117508995</v>
      </c>
      <c r="Q3852" s="1">
        <v>2.2880962591274789</v>
      </c>
      <c r="R3852" s="2">
        <f t="shared" si="243"/>
        <v>79.290394391250601</v>
      </c>
      <c r="S3852" s="2">
        <f t="shared" si="242"/>
        <v>3.5348016713471568</v>
      </c>
      <c r="T3852" s="2">
        <f t="shared" si="244"/>
        <v>8.1423036610627335</v>
      </c>
      <c r="U3852" s="2">
        <f t="shared" si="245"/>
        <v>90.967499723660495</v>
      </c>
    </row>
    <row r="3853" spans="1:21" x14ac:dyDescent="0.25">
      <c r="A3853">
        <v>4905941</v>
      </c>
      <c r="B3853">
        <v>19</v>
      </c>
      <c r="C3853" s="1">
        <f>12.5528999855687*(10.3/7.3)</f>
        <v>17.711626007035228</v>
      </c>
      <c r="D3853" s="1">
        <f>19.6662478709479*(10.3/7.3)</f>
        <v>27.748267543940194</v>
      </c>
      <c r="E3853" s="1">
        <f>69.0585526883515*(10.3/7.3)</f>
        <v>97.438779820550792</v>
      </c>
      <c r="F3853" s="1">
        <f>130.357245616467*(38.9/42.5)</f>
        <v>119.31522010542501</v>
      </c>
      <c r="G3853" s="1">
        <v>4.6591981082457616</v>
      </c>
      <c r="H3853" s="1">
        <v>11.406395302719899</v>
      </c>
      <c r="I3853" s="1">
        <v>88.699958380323267</v>
      </c>
      <c r="J3853" s="1">
        <v>6.2477825427337416E-2</v>
      </c>
      <c r="K3853" s="1">
        <v>3.5486821718873509</v>
      </c>
      <c r="L3853" s="1">
        <v>5.0833727412945464</v>
      </c>
      <c r="M3853" s="1">
        <v>0.324510962758704</v>
      </c>
      <c r="N3853" s="1">
        <v>2.7889441425339259</v>
      </c>
      <c r="O3853" s="1">
        <v>0.25564912280701757</v>
      </c>
      <c r="P3853" s="1">
        <v>0.16926914741612037</v>
      </c>
      <c r="Q3853" s="1">
        <v>7.4462070223105856</v>
      </c>
      <c r="R3853" s="2">
        <f t="shared" si="243"/>
        <v>374.42565229055077</v>
      </c>
      <c r="S3853" s="2">
        <f t="shared" si="242"/>
        <v>3.7804291447308089</v>
      </c>
      <c r="T3853" s="2">
        <f t="shared" si="244"/>
        <v>8.4524769693941941</v>
      </c>
      <c r="U3853" s="2">
        <f t="shared" si="245"/>
        <v>386.65855840467577</v>
      </c>
    </row>
    <row r="3854" spans="1:21" x14ac:dyDescent="0.25">
      <c r="A3854">
        <v>4905949</v>
      </c>
      <c r="B3854">
        <v>64</v>
      </c>
      <c r="C3854" s="1">
        <f>14.6948517443303*(10.3/7.3)</f>
        <v>20.733831913233207</v>
      </c>
      <c r="D3854" s="1">
        <f>22.928105921408*(10.3/7.3)</f>
        <v>32.350615204178361</v>
      </c>
      <c r="E3854" s="1">
        <f>80.5460461793032*(10.3/7.3)</f>
        <v>113.64716104750997</v>
      </c>
      <c r="F3854" s="1">
        <f>150.962774532952*(38.9/42.5)</f>
        <v>138.17533951369032</v>
      </c>
      <c r="G3854" s="1">
        <v>5.3391471497943508</v>
      </c>
      <c r="H3854" s="1">
        <v>7.7919248415104674</v>
      </c>
      <c r="I3854" s="1">
        <v>102.62696781529097</v>
      </c>
      <c r="J3854" s="1">
        <v>7.0392761330491549E-2</v>
      </c>
      <c r="K3854" s="1">
        <v>4.0034175340560925</v>
      </c>
      <c r="L3854" s="1">
        <v>6.0414656381428555</v>
      </c>
      <c r="M3854" s="1">
        <v>0.3656747682366176</v>
      </c>
      <c r="N3854" s="1">
        <v>3.2076130388153792</v>
      </c>
      <c r="O3854" s="1">
        <v>0.28468916666666672</v>
      </c>
      <c r="P3854" s="1">
        <v>0.1856803893323189</v>
      </c>
      <c r="Q3854" s="1">
        <v>8.5328835727307073</v>
      </c>
      <c r="R3854" s="2">
        <f t="shared" si="243"/>
        <v>429.19787105793841</v>
      </c>
      <c r="S3854" s="2">
        <f t="shared" si="242"/>
        <v>4.2594906847189034</v>
      </c>
      <c r="T3854" s="2">
        <f t="shared" si="244"/>
        <v>9.8994426118615184</v>
      </c>
      <c r="U3854" s="2">
        <f t="shared" si="245"/>
        <v>443.35680435451883</v>
      </c>
    </row>
    <row r="3855" spans="1:21" x14ac:dyDescent="0.25">
      <c r="A3855">
        <v>4905957</v>
      </c>
      <c r="B3855">
        <v>61</v>
      </c>
      <c r="C3855" s="1">
        <f>12.4664682579423*(10.3/7.3)</f>
        <v>17.589674391343227</v>
      </c>
      <c r="D3855" s="1">
        <f>20.2092432321987*(10.3/7.3)</f>
        <v>28.51441168378723</v>
      </c>
      <c r="E3855" s="1">
        <f>70.8497258678166*(10.3/7.3)</f>
        <v>99.966051566919376</v>
      </c>
      <c r="F3855" s="1">
        <f>135.200780894992*(38.9/42.5)</f>
        <v>123.74847945447536</v>
      </c>
      <c r="G3855" s="1">
        <v>4.9347405892369869</v>
      </c>
      <c r="H3855" s="1">
        <v>7.0556775491556207</v>
      </c>
      <c r="I3855" s="1">
        <v>91.319264416651976</v>
      </c>
      <c r="J3855" s="1">
        <v>6.3768952884997607E-2</v>
      </c>
      <c r="K3855" s="1">
        <v>3.7705804629484936</v>
      </c>
      <c r="L3855" s="1">
        <v>5.5540145772349909</v>
      </c>
      <c r="M3855" s="1">
        <v>0.33216718873991641</v>
      </c>
      <c r="N3855" s="1">
        <v>3.0741705288718806</v>
      </c>
      <c r="O3855" s="1">
        <v>0.26418797814207656</v>
      </c>
      <c r="P3855" s="1">
        <v>0.1749758592522454</v>
      </c>
      <c r="Q3855" s="1">
        <v>7.8865717179586614</v>
      </c>
      <c r="R3855" s="2">
        <f t="shared" si="243"/>
        <v>381.01487136952835</v>
      </c>
      <c r="S3855" s="2">
        <f t="shared" si="242"/>
        <v>4.0093252750857369</v>
      </c>
      <c r="T3855" s="2">
        <f t="shared" si="244"/>
        <v>9.2245402729888646</v>
      </c>
      <c r="U3855" s="2">
        <f t="shared" si="245"/>
        <v>394.24873691760297</v>
      </c>
    </row>
    <row r="3856" spans="1:21" x14ac:dyDescent="0.25">
      <c r="A3856">
        <v>4905965</v>
      </c>
      <c r="B3856">
        <v>24</v>
      </c>
      <c r="C3856" s="1">
        <f>10.8926170952894*(10.3/7.3)</f>
        <v>15.369035079654928</v>
      </c>
      <c r="D3856" s="1">
        <f>17.9710305843132*(10.3/7.3)</f>
        <v>25.35638561896247</v>
      </c>
      <c r="E3856" s="1">
        <f>62.9464962229769*(10.3/7.3)</f>
        <v>88.814919328309941</v>
      </c>
      <c r="F3856" s="1">
        <f>121.021165905403*(38.9/42.5)</f>
        <v>110.76996126400439</v>
      </c>
      <c r="G3856" s="1">
        <v>4.4742884539304191</v>
      </c>
      <c r="H3856" s="1">
        <v>6.6242575601422411</v>
      </c>
      <c r="I3856" s="1">
        <v>81.497203552877309</v>
      </c>
      <c r="J3856" s="1">
        <v>5.5363201022306678E-2</v>
      </c>
      <c r="K3856" s="1">
        <v>3.3667752902686332</v>
      </c>
      <c r="L3856" s="1">
        <v>4.8000967421064091</v>
      </c>
      <c r="M3856" s="1">
        <v>0.28786024621450951</v>
      </c>
      <c r="N3856" s="1">
        <v>3.2631734743951539</v>
      </c>
      <c r="O3856" s="1">
        <v>0.23613555555555554</v>
      </c>
      <c r="P3856" s="1">
        <v>0.15900332651886775</v>
      </c>
      <c r="Q3856" s="1">
        <v>7.1506893099344664</v>
      </c>
      <c r="R3856" s="2">
        <f t="shared" si="243"/>
        <v>340.0567401678162</v>
      </c>
      <c r="S3856" s="2">
        <f t="shared" si="242"/>
        <v>3.5811418178098076</v>
      </c>
      <c r="T3856" s="2">
        <f t="shared" si="244"/>
        <v>8.5872660182716292</v>
      </c>
      <c r="U3856" s="2">
        <f t="shared" si="245"/>
        <v>352.22514800389763</v>
      </c>
    </row>
    <row r="3857" spans="1:21" x14ac:dyDescent="0.25">
      <c r="A3857">
        <v>4905973</v>
      </c>
      <c r="B3857">
        <v>41</v>
      </c>
      <c r="C3857" s="1">
        <f>9.07017302776717*(10.3/7.3)</f>
        <v>12.797641395342723</v>
      </c>
      <c r="D3857" s="1">
        <f>15.1519869906633*(10.3/7.3)</f>
        <v>21.378830959429024</v>
      </c>
      <c r="E3857" s="1">
        <f>52.9230461783905*(10.3/7.3)</f>
        <v>74.67224323800302</v>
      </c>
      <c r="F3857" s="1">
        <f>108.12843136487*(38.9/42.5)</f>
        <v>98.969317178668874</v>
      </c>
      <c r="G3857" s="1">
        <v>4.3065310689770087</v>
      </c>
      <c r="H3857" s="1">
        <v>8.1997747204867597</v>
      </c>
      <c r="I3857" s="1">
        <v>73.96068154251202</v>
      </c>
      <c r="J3857" s="1">
        <v>5.3354664999911178E-2</v>
      </c>
      <c r="K3857" s="1">
        <v>3.3209252232254638</v>
      </c>
      <c r="L3857" s="1">
        <v>4.6751822326242714</v>
      </c>
      <c r="M3857" s="1">
        <v>0.27747810485657903</v>
      </c>
      <c r="N3857" s="1">
        <v>2.5643869535759385</v>
      </c>
      <c r="O3857" s="1">
        <v>0.22894829268292677</v>
      </c>
      <c r="P3857" s="1">
        <v>0.15709915667345112</v>
      </c>
      <c r="Q3857" s="1">
        <v>6.8825839001915723</v>
      </c>
      <c r="R3857" s="2">
        <f t="shared" si="243"/>
        <v>301.16760400361102</v>
      </c>
      <c r="S3857" s="2">
        <f t="shared" si="242"/>
        <v>3.5313790448988263</v>
      </c>
      <c r="T3857" s="2">
        <f t="shared" si="244"/>
        <v>7.7459955837397159</v>
      </c>
      <c r="U3857" s="2">
        <f t="shared" si="245"/>
        <v>312.44497863224956</v>
      </c>
    </row>
    <row r="3858" spans="1:21" x14ac:dyDescent="0.25">
      <c r="A3858">
        <v>4905981</v>
      </c>
      <c r="B3858">
        <v>54</v>
      </c>
      <c r="C3858" s="1">
        <f>9.92196521065965*(10.3/7.3)</f>
        <v>13.999485160245811</v>
      </c>
      <c r="D3858" s="1">
        <f>16.1254136764704*(10.3/7.3)</f>
        <v>22.752296009266423</v>
      </c>
      <c r="E3858" s="1">
        <f>56.4743463100609*(10.3/7.3)</f>
        <v>79.68298177994896</v>
      </c>
      <c r="F3858" s="1">
        <f>110.448908795855*(38.9/42.5)</f>
        <v>101.09323652138214</v>
      </c>
      <c r="G3858" s="1">
        <v>4.1607189887332003</v>
      </c>
      <c r="H3858" s="1">
        <v>6.8000963816130522</v>
      </c>
      <c r="I3858" s="1">
        <v>75.128864577758236</v>
      </c>
      <c r="J3858" s="1">
        <v>6.0000472684014858E-2</v>
      </c>
      <c r="K3858" s="1">
        <v>3.6221804756487357</v>
      </c>
      <c r="L3858" s="1">
        <v>5.37737119921184</v>
      </c>
      <c r="M3858" s="1">
        <v>0.30354795360886577</v>
      </c>
      <c r="N3858" s="1">
        <v>2.889713461087704</v>
      </c>
      <c r="O3858" s="1">
        <v>0.24904296296296297</v>
      </c>
      <c r="P3858" s="1">
        <v>0.16700391183690819</v>
      </c>
      <c r="Q3858" s="1">
        <v>6.6495508952357163</v>
      </c>
      <c r="R3858" s="2">
        <f t="shared" si="243"/>
        <v>310.26723031418356</v>
      </c>
      <c r="S3858" s="2">
        <f t="shared" si="242"/>
        <v>3.8491848601696583</v>
      </c>
      <c r="T3858" s="2">
        <f t="shared" si="244"/>
        <v>8.8196755768713739</v>
      </c>
      <c r="U3858" s="2">
        <f t="shared" si="245"/>
        <v>322.93609075122458</v>
      </c>
    </row>
    <row r="3859" spans="1:21" x14ac:dyDescent="0.25">
      <c r="A3859">
        <v>4905989</v>
      </c>
      <c r="B3859">
        <v>55</v>
      </c>
      <c r="C3859" s="1">
        <f>6.55428997209151*(10.3/7.3)</f>
        <v>9.2478337962387069</v>
      </c>
      <c r="D3859" s="1">
        <f>10.5085095096853*(10.3/7.3)</f>
        <v>14.827075061610786</v>
      </c>
      <c r="E3859" s="1">
        <f>36.8241105327836*(10.3/7.3)</f>
        <v>51.957306642146676</v>
      </c>
      <c r="F3859" s="1">
        <f>71.8358277554397*(38.9/42.5)</f>
        <v>65.750910580861287</v>
      </c>
      <c r="G3859" s="1">
        <v>2.6911717112323763</v>
      </c>
      <c r="H3859" s="1">
        <v>5.1960785268469838</v>
      </c>
      <c r="I3859" s="1">
        <v>49.026927989150998</v>
      </c>
      <c r="J3859" s="1">
        <v>4.4498092056152912E-2</v>
      </c>
      <c r="K3859" s="1">
        <v>2.9246640735505585</v>
      </c>
      <c r="L3859" s="1">
        <v>3.9097248749113818</v>
      </c>
      <c r="M3859" s="1">
        <v>0.23089010190312212</v>
      </c>
      <c r="N3859" s="1">
        <v>2.8239775249078378</v>
      </c>
      <c r="O3859" s="1">
        <v>0.19522230303030302</v>
      </c>
      <c r="P3859" s="1">
        <v>0.13929659702293848</v>
      </c>
      <c r="Q3859" s="1">
        <v>4.300959355850833</v>
      </c>
      <c r="R3859" s="2">
        <f t="shared" si="243"/>
        <v>202.99826366393867</v>
      </c>
      <c r="S3859" s="2">
        <f t="shared" si="242"/>
        <v>3.1084587626296498</v>
      </c>
      <c r="T3859" s="2">
        <f t="shared" si="244"/>
        <v>7.1598148047526449</v>
      </c>
      <c r="U3859" s="2">
        <f t="shared" si="245"/>
        <v>213.26653723132097</v>
      </c>
    </row>
    <row r="3860" spans="1:21" x14ac:dyDescent="0.25">
      <c r="A3860">
        <v>4905997</v>
      </c>
      <c r="B3860">
        <v>55</v>
      </c>
      <c r="C3860" s="1">
        <f>8.95577231679583*(10.3/7.3)</f>
        <v>12.636226693561238</v>
      </c>
      <c r="D3860" s="1">
        <f>14.1396291543233*(10.3/7.3)</f>
        <v>19.950435656100044</v>
      </c>
      <c r="E3860" s="1">
        <f>49.5650899720353*(10.3/7.3)</f>
        <v>69.934305029036111</v>
      </c>
      <c r="F3860" s="1">
        <f>97.2221455729006*(38.9/42.5)</f>
        <v>88.986857947901925</v>
      </c>
      <c r="G3860" s="1">
        <v>3.6569627378141418</v>
      </c>
      <c r="H3860" s="1">
        <v>6.2655504359611829</v>
      </c>
      <c r="I3860" s="1">
        <v>66.777694268473866</v>
      </c>
      <c r="J3860" s="1">
        <v>5.8555131761384396E-2</v>
      </c>
      <c r="K3860" s="1">
        <v>3.5829977578402494</v>
      </c>
      <c r="L3860" s="1">
        <v>5.3052070379579011</v>
      </c>
      <c r="M3860" s="1">
        <v>0.28747769387737448</v>
      </c>
      <c r="N3860" s="1">
        <v>2.9835212741349433</v>
      </c>
      <c r="O3860" s="1">
        <v>0.23961696969696969</v>
      </c>
      <c r="P3860" s="1">
        <v>0.16304347314495971</v>
      </c>
      <c r="Q3860" s="1">
        <v>5.8444609965066237</v>
      </c>
      <c r="R3860" s="2">
        <f t="shared" si="243"/>
        <v>274.05249376535511</v>
      </c>
      <c r="S3860" s="2">
        <f t="shared" si="242"/>
        <v>3.8045963627465937</v>
      </c>
      <c r="T3860" s="2">
        <f t="shared" si="244"/>
        <v>8.8158229756671886</v>
      </c>
      <c r="U3860" s="2">
        <f t="shared" si="245"/>
        <v>286.67291310376891</v>
      </c>
    </row>
    <row r="3861" spans="1:21" x14ac:dyDescent="0.25">
      <c r="A3861">
        <v>4906005</v>
      </c>
      <c r="B3861">
        <v>51</v>
      </c>
      <c r="C3861" s="1">
        <f>8.62465764150507*(10.3/7.3)</f>
        <v>12.16903749417839</v>
      </c>
      <c r="D3861" s="1">
        <f>13.3643449289922*(10.3/7.3)</f>
        <v>18.856541475153364</v>
      </c>
      <c r="E3861" s="1">
        <f>46.871474691438*(10.3/7.3)</f>
        <v>66.133724564631649</v>
      </c>
      <c r="F3861" s="1">
        <f>92.3342372571219*(38.9/42.5)</f>
        <v>84.512984218871566</v>
      </c>
      <c r="G3861" s="1">
        <v>3.4797642820275563</v>
      </c>
      <c r="H3861" s="1">
        <v>6.2156922589004235</v>
      </c>
      <c r="I3861" s="1">
        <v>63.867854548953424</v>
      </c>
      <c r="J3861" s="1">
        <v>5.9449281440397461E-2</v>
      </c>
      <c r="K3861" s="1">
        <v>3.6008193585186716</v>
      </c>
      <c r="L3861" s="1">
        <v>5.3545934724121276</v>
      </c>
      <c r="M3861" s="1">
        <v>0.28465855238131343</v>
      </c>
      <c r="N3861" s="1">
        <v>2.9798344633889542</v>
      </c>
      <c r="O3861" s="1">
        <v>0.23829124183006531</v>
      </c>
      <c r="P3861" s="1">
        <v>0.16214873066562041</v>
      </c>
      <c r="Q3861" s="1">
        <v>5.5612671173956443</v>
      </c>
      <c r="R3861" s="2">
        <f t="shared" si="243"/>
        <v>260.79686596011203</v>
      </c>
      <c r="S3861" s="2">
        <f t="shared" si="242"/>
        <v>3.8224173706246898</v>
      </c>
      <c r="T3861" s="2">
        <f t="shared" si="244"/>
        <v>8.8573777300124608</v>
      </c>
      <c r="U3861" s="2">
        <f t="shared" si="245"/>
        <v>273.47666106074917</v>
      </c>
    </row>
    <row r="3862" spans="1:21" x14ac:dyDescent="0.25">
      <c r="A3862">
        <v>4906013</v>
      </c>
      <c r="B3862">
        <v>55</v>
      </c>
      <c r="C3862" s="1">
        <f>4.28909584199227*(10.3/7.3)</f>
        <v>6.0517379688384025</v>
      </c>
      <c r="D3862" s="1">
        <f>6.2701318094373*(10.3/7.3)</f>
        <v>8.846898306466322</v>
      </c>
      <c r="E3862" s="1">
        <f>22.0502856430641*(10.3/7.3)</f>
        <v>31.112046866241073</v>
      </c>
      <c r="F3862" s="1">
        <f>42.8706483472211*(38.9/42.5)</f>
        <v>39.239252251927041</v>
      </c>
      <c r="G3862" s="1">
        <v>1.5715587555376109</v>
      </c>
      <c r="H3862" s="1">
        <v>4.0632725780005412</v>
      </c>
      <c r="I3862" s="1">
        <v>30.09290967805461</v>
      </c>
      <c r="J3862" s="1">
        <v>3.5525336241979746E-2</v>
      </c>
      <c r="K3862" s="1">
        <v>2.4347450933555446</v>
      </c>
      <c r="L3862" s="1">
        <v>3.1419972601396688</v>
      </c>
      <c r="M3862" s="1">
        <v>0.17928867040430316</v>
      </c>
      <c r="N3862" s="1">
        <v>1.7930165420164756</v>
      </c>
      <c r="O3862" s="1">
        <v>0.15370278787878786</v>
      </c>
      <c r="P3862" s="1">
        <v>0.1172128891391627</v>
      </c>
      <c r="Q3862" s="1">
        <v>2.5116235819094261</v>
      </c>
      <c r="R3862" s="2">
        <f t="shared" si="243"/>
        <v>123.48929998697503</v>
      </c>
      <c r="S3862" s="2">
        <f t="shared" si="242"/>
        <v>2.587483318736687</v>
      </c>
      <c r="T3862" s="2">
        <f t="shared" si="244"/>
        <v>5.268005260439236</v>
      </c>
      <c r="U3862" s="2">
        <f t="shared" si="245"/>
        <v>131.34478856615095</v>
      </c>
    </row>
    <row r="3863" spans="1:21" x14ac:dyDescent="0.25">
      <c r="A3863">
        <v>4906021</v>
      </c>
      <c r="B3863">
        <v>55</v>
      </c>
      <c r="C3863" s="1">
        <f>5.51756536576434*(10.3/7.3)</f>
        <v>7.7850579818318772</v>
      </c>
      <c r="D3863" s="1">
        <f>8.19288869736441*(10.3/7.3)</f>
        <v>11.559829257925127</v>
      </c>
      <c r="E3863" s="1">
        <f>28.7768961415021*(10.3/7.3)</f>
        <v>40.603017843489319</v>
      </c>
      <c r="F3863" s="1">
        <f>56.8490442856699*(38.9/42.5)</f>
        <v>52.033595828530814</v>
      </c>
      <c r="G3863" s="1">
        <v>2.1330039197572819</v>
      </c>
      <c r="H3863" s="1">
        <v>4.6718778874816076</v>
      </c>
      <c r="I3863" s="1">
        <v>39.880931406419592</v>
      </c>
      <c r="J3863" s="1">
        <v>4.4547158921418209E-2</v>
      </c>
      <c r="K3863" s="1">
        <v>2.8450182054479134</v>
      </c>
      <c r="L3863" s="1">
        <v>3.8288157589582554</v>
      </c>
      <c r="M3863" s="1">
        <v>0.21018964956954519</v>
      </c>
      <c r="N3863" s="1">
        <v>2.1169689819755848</v>
      </c>
      <c r="O3863" s="1">
        <v>0.18088921212121215</v>
      </c>
      <c r="P3863" s="1">
        <v>0.1306714614598504</v>
      </c>
      <c r="Q3863" s="1">
        <v>3.4089103740413207</v>
      </c>
      <c r="R3863" s="2">
        <f t="shared" si="243"/>
        <v>162.07622449947695</v>
      </c>
      <c r="S3863" s="2">
        <f t="shared" si="242"/>
        <v>3.0202368258291821</v>
      </c>
      <c r="T3863" s="2">
        <f t="shared" si="244"/>
        <v>6.3368636026245966</v>
      </c>
      <c r="U3863" s="2">
        <f t="shared" si="245"/>
        <v>171.43332492793073</v>
      </c>
    </row>
    <row r="3864" spans="1:21" x14ac:dyDescent="0.25">
      <c r="A3864">
        <v>4906029</v>
      </c>
      <c r="B3864">
        <v>55</v>
      </c>
      <c r="C3864" s="1">
        <f>8.01261731838111*(10.3/7.3)</f>
        <v>11.305473750592519</v>
      </c>
      <c r="D3864" s="1">
        <f>11.8630617753722*(10.3/7.3)</f>
        <v>16.738292641963501</v>
      </c>
      <c r="E3864" s="1">
        <f>41.6406085247234*(10.3/7.3)</f>
        <v>58.75318737050015</v>
      </c>
      <c r="F3864" s="1">
        <f>83.8831892343185*(38.9/42.5)</f>
        <v>76.777789675646801</v>
      </c>
      <c r="G3864" s="1">
        <v>3.2211111791276981</v>
      </c>
      <c r="H3864" s="1">
        <v>6.0900229237234926</v>
      </c>
      <c r="I3864" s="1">
        <v>59.212527084921284</v>
      </c>
      <c r="J3864" s="1">
        <v>6.4247351027113223E-2</v>
      </c>
      <c r="K3864" s="1">
        <v>3.6358509634780445</v>
      </c>
      <c r="L3864" s="1">
        <v>5.3597297427850403</v>
      </c>
      <c r="M3864" s="1">
        <v>0.27101230548661326</v>
      </c>
      <c r="N3864" s="1">
        <v>2.8247883461021113</v>
      </c>
      <c r="O3864" s="1">
        <v>0.23074424242424244</v>
      </c>
      <c r="P3864" s="1">
        <v>0.15713321983782164</v>
      </c>
      <c r="Q3864" s="1">
        <v>5.1478945785145882</v>
      </c>
      <c r="R3864" s="2">
        <f t="shared" si="243"/>
        <v>237.24629920499001</v>
      </c>
      <c r="S3864" s="2">
        <f t="shared" si="242"/>
        <v>3.8572315343429793</v>
      </c>
      <c r="T3864" s="2">
        <f t="shared" si="244"/>
        <v>8.6862746367980073</v>
      </c>
      <c r="U3864" s="2">
        <f t="shared" si="245"/>
        <v>249.789805376131</v>
      </c>
    </row>
    <row r="3865" spans="1:21" x14ac:dyDescent="0.25">
      <c r="A3865">
        <v>4906037</v>
      </c>
      <c r="B3865">
        <v>55</v>
      </c>
      <c r="C3865" s="1">
        <f>7.98321614137279*(10.3/7.3)</f>
        <v>11.263989898101327</v>
      </c>
      <c r="D3865" s="1">
        <f>11.6412696952726*(10.3/7.3)</f>
        <v>16.425353131686038</v>
      </c>
      <c r="E3865" s="1">
        <f>40.8653984922771*(10.3/7.3)</f>
        <v>57.659397872664968</v>
      </c>
      <c r="F3865" s="1">
        <f>83.3664052720869*(38.9/42.5)</f>
        <v>76.304780354921874</v>
      </c>
      <c r="G3865" s="1">
        <v>3.2401706622910962</v>
      </c>
      <c r="H3865" s="1">
        <v>6.1085895081773049</v>
      </c>
      <c r="I3865" s="1">
        <v>59.319483454678597</v>
      </c>
      <c r="J3865" s="1">
        <v>7.0005301376499296E-2</v>
      </c>
      <c r="K3865" s="1">
        <v>3.6837037637251457</v>
      </c>
      <c r="L3865" s="1">
        <v>5.4026694228729726</v>
      </c>
      <c r="M3865" s="1">
        <v>0.26773059329196469</v>
      </c>
      <c r="N3865" s="1">
        <v>2.9150930285899221</v>
      </c>
      <c r="O3865" s="1">
        <v>0.22978133333333334</v>
      </c>
      <c r="P3865" s="1">
        <v>0.15612845071378273</v>
      </c>
      <c r="Q3865" s="1">
        <v>5.1783549397346329</v>
      </c>
      <c r="R3865" s="2">
        <f t="shared" si="243"/>
        <v>235.50011982225587</v>
      </c>
      <c r="S3865" s="2">
        <f t="shared" si="242"/>
        <v>3.9098375158154277</v>
      </c>
      <c r="T3865" s="2">
        <f t="shared" si="244"/>
        <v>8.8152743780881924</v>
      </c>
      <c r="U3865" s="2">
        <f t="shared" si="245"/>
        <v>248.2252317161595</v>
      </c>
    </row>
    <row r="3866" spans="1:21" x14ac:dyDescent="0.25">
      <c r="A3866">
        <v>4906045</v>
      </c>
      <c r="B3866">
        <v>9</v>
      </c>
      <c r="C3866" s="1">
        <f>7.62817319241488*(10.3/7.3)</f>
        <v>10.763038887927847</v>
      </c>
      <c r="D3866" s="1">
        <f>10.9897799364699*(10.3/7.3)</f>
        <v>15.506127855567097</v>
      </c>
      <c r="E3866" s="1">
        <f>38.583778067957*(10.3/7.3)</f>
        <v>54.440125219172188</v>
      </c>
      <c r="F3866" s="1">
        <f>79.3640360495803*(38.9/42.5)</f>
        <v>72.64143534890998</v>
      </c>
      <c r="G3866" s="1">
        <v>3.1073807091970282</v>
      </c>
      <c r="H3866" s="1">
        <v>5.9153504515593331</v>
      </c>
      <c r="I3866" s="1">
        <v>56.800107672532619</v>
      </c>
      <c r="J3866" s="1">
        <v>8.1973038984449284E-2</v>
      </c>
      <c r="K3866" s="1">
        <v>3.5762632488769466</v>
      </c>
      <c r="L3866" s="1">
        <v>5.1371022117150806</v>
      </c>
      <c r="M3866" s="1">
        <v>0.25328756010503106</v>
      </c>
      <c r="N3866" s="1">
        <v>2.9538167818092611</v>
      </c>
      <c r="O3866" s="1">
        <v>0.21895703703703703</v>
      </c>
      <c r="P3866" s="1">
        <v>0.15017987554815754</v>
      </c>
      <c r="Q3866" s="1">
        <v>4.966133553511237</v>
      </c>
      <c r="R3866" s="2">
        <f t="shared" si="243"/>
        <v>224.13969969837731</v>
      </c>
      <c r="S3866" s="2">
        <f t="shared" si="242"/>
        <v>3.8084161634095532</v>
      </c>
      <c r="T3866" s="2">
        <f t="shared" si="244"/>
        <v>8.5631635906664094</v>
      </c>
      <c r="U3866" s="2">
        <f t="shared" si="245"/>
        <v>236.51127945245329</v>
      </c>
    </row>
    <row r="3867" spans="1:21" x14ac:dyDescent="0.25">
      <c r="A3867">
        <v>4906141</v>
      </c>
      <c r="B3867">
        <v>23</v>
      </c>
      <c r="C3867" s="1">
        <f>3.40934323182091*(10.3/7.3)</f>
        <v>4.8104431901034737</v>
      </c>
      <c r="D3867" s="1">
        <f>4.67331910003962*(10.3/7.3)</f>
        <v>6.5938611959463103</v>
      </c>
      <c r="E3867" s="1">
        <f>16.3156985619995*(10.3/7.3)</f>
        <v>23.020780162821225</v>
      </c>
      <c r="F3867" s="1">
        <f>39.8622015284674*(38.9/42.5)</f>
        <v>36.485638575467796</v>
      </c>
      <c r="G3867" s="1">
        <v>1.8316179435471955</v>
      </c>
      <c r="H3867" s="1">
        <v>7.5318010551654559</v>
      </c>
      <c r="I3867" s="1">
        <v>30.035718604572782</v>
      </c>
      <c r="J3867" s="1">
        <v>3.5166565817106574E-2</v>
      </c>
      <c r="K3867" s="1">
        <v>2.2368620728137572</v>
      </c>
      <c r="L3867" s="1">
        <v>3.3412898746997537</v>
      </c>
      <c r="M3867" s="1">
        <v>0.12806130354903314</v>
      </c>
      <c r="N3867" s="1">
        <v>1.6412294477007254</v>
      </c>
      <c r="O3867" s="1">
        <v>0.11278840579710145</v>
      </c>
      <c r="P3867" s="1">
        <v>8.984680111198115E-2</v>
      </c>
      <c r="Q3867" s="1">
        <v>2.9272432887740591</v>
      </c>
      <c r="R3867" s="2">
        <f t="shared" si="243"/>
        <v>113.23710401639831</v>
      </c>
      <c r="S3867" s="2">
        <f t="shared" si="242"/>
        <v>2.3618754397428452</v>
      </c>
      <c r="T3867" s="2">
        <f t="shared" si="244"/>
        <v>5.2233690317466142</v>
      </c>
      <c r="U3867" s="2">
        <f t="shared" si="245"/>
        <v>120.82234848788777</v>
      </c>
    </row>
    <row r="3868" spans="1:21" x14ac:dyDescent="0.25">
      <c r="A3868">
        <v>4917721</v>
      </c>
      <c r="B3868">
        <v>4</v>
      </c>
      <c r="C3868" s="1">
        <f>0.785730161791658*(10.3/7.3)</f>
        <v>1.1086329680074078</v>
      </c>
      <c r="D3868" s="1">
        <f>1.13380077480488*(10.3/7.3)</f>
        <v>1.599746298697293</v>
      </c>
      <c r="E3868" s="1">
        <f>3.92134044241915*(10.3/7.3)</f>
        <v>5.5328502132763289</v>
      </c>
      <c r="F3868" s="1">
        <f>11.0494235577454*(38.9/42.5)</f>
        <v>10.113472385795161</v>
      </c>
      <c r="G3868" s="1">
        <v>0.56667823111688831</v>
      </c>
      <c r="H3868" s="1">
        <v>2.3518640651103166</v>
      </c>
      <c r="I3868" s="1">
        <v>8.4399900315276462</v>
      </c>
      <c r="J3868" s="1">
        <v>6.5905440757115713E-2</v>
      </c>
      <c r="K3868" s="1">
        <v>3.2482475713018832</v>
      </c>
      <c r="L3868" s="1">
        <v>2.6920484140367948</v>
      </c>
      <c r="M3868" s="1">
        <v>0.6705375664388048</v>
      </c>
      <c r="N3868" s="1">
        <v>1.8039713860954025</v>
      </c>
      <c r="O3868" s="1">
        <v>0.52061333333333337</v>
      </c>
      <c r="P3868" s="1">
        <v>0.23814865742826319</v>
      </c>
      <c r="Q3868" s="1">
        <v>0.90565014105438868</v>
      </c>
      <c r="R3868" s="2">
        <f t="shared" si="243"/>
        <v>30.618884334585431</v>
      </c>
      <c r="S3868" s="2">
        <f t="shared" si="242"/>
        <v>3.552301669487262</v>
      </c>
      <c r="T3868" s="2">
        <f t="shared" si="244"/>
        <v>5.6871706999043354</v>
      </c>
      <c r="U3868" s="2">
        <f t="shared" si="245"/>
        <v>39.85835670397703</v>
      </c>
    </row>
    <row r="3869" spans="1:21" x14ac:dyDescent="0.25">
      <c r="A3869">
        <v>4917953</v>
      </c>
      <c r="B3869">
        <v>62</v>
      </c>
      <c r="C3869" s="1">
        <f>1.22483081859434*(10.3/7.3)</f>
        <v>1.7281859495235197</v>
      </c>
      <c r="D3869" s="1">
        <f>1.91931837353415*(10.3/7.3)</f>
        <v>2.708079348959139</v>
      </c>
      <c r="E3869" s="1">
        <f>6.58945601069493*(10.3/7.3)</f>
        <v>9.2974516315284692</v>
      </c>
      <c r="F3869" s="1">
        <f>20.0039815660789*(38.9/42.5)</f>
        <v>18.309526656952222</v>
      </c>
      <c r="G3869" s="1">
        <v>1.080681568436084</v>
      </c>
      <c r="H3869" s="1">
        <v>5.6987435831622149</v>
      </c>
      <c r="I3869" s="1">
        <v>15.228473426624538</v>
      </c>
      <c r="J3869" s="1">
        <v>3.8034846581840462E-2</v>
      </c>
      <c r="K3869" s="1">
        <v>2.4846029297083692</v>
      </c>
      <c r="L3869" s="1">
        <v>3.879609347557285</v>
      </c>
      <c r="M3869" s="1">
        <v>0.60598426867772381</v>
      </c>
      <c r="N3869" s="1">
        <v>1.74273520937301</v>
      </c>
      <c r="O3869" s="1">
        <v>0.23103139784946233</v>
      </c>
      <c r="P3869" s="1">
        <v>0.15292775078300216</v>
      </c>
      <c r="Q3869" s="1">
        <v>1.7271166618841542</v>
      </c>
      <c r="R3869" s="2">
        <f t="shared" si="243"/>
        <v>55.778258827070339</v>
      </c>
      <c r="S3869" s="2">
        <f t="shared" si="242"/>
        <v>2.6755655270732115</v>
      </c>
      <c r="T3869" s="2">
        <f t="shared" si="244"/>
        <v>6.4593602234574812</v>
      </c>
      <c r="U3869" s="2">
        <f t="shared" si="245"/>
        <v>64.913184577601029</v>
      </c>
    </row>
    <row r="3870" spans="1:21" x14ac:dyDescent="0.25">
      <c r="A3870">
        <v>4917961</v>
      </c>
      <c r="B3870">
        <v>26</v>
      </c>
      <c r="C3870" s="1">
        <f>1.78443920779199*(10.3/7.3)</f>
        <v>2.5177703890763756</v>
      </c>
      <c r="D3870" s="1">
        <f>2.83252203626169*(10.3/7.3)</f>
        <v>3.9965721881500493</v>
      </c>
      <c r="E3870" s="1">
        <f>9.73422221295301*(10.3/7.3)</f>
        <v>13.734587505947397</v>
      </c>
      <c r="F3870" s="1">
        <f>28.8267510052686*(38.9/42.5)</f>
        <v>26.384955625998749</v>
      </c>
      <c r="G3870" s="1">
        <v>1.5372558876034221</v>
      </c>
      <c r="H3870" s="1">
        <v>7.1083427651420639</v>
      </c>
      <c r="I3870" s="1">
        <v>21.795824221720643</v>
      </c>
      <c r="J3870" s="1">
        <v>4.7706666242695143E-2</v>
      </c>
      <c r="K3870" s="1">
        <v>2.946587218267247</v>
      </c>
      <c r="L3870" s="1">
        <v>4.3459544609884739</v>
      </c>
      <c r="M3870" s="1">
        <v>0.69841083502869761</v>
      </c>
      <c r="N3870" s="1">
        <v>2.1036192448725779</v>
      </c>
      <c r="O3870" s="1">
        <v>0.27099282051282053</v>
      </c>
      <c r="P3870" s="1">
        <v>0.17473026133927771</v>
      </c>
      <c r="Q3870" s="1">
        <v>2.4568016468547862</v>
      </c>
      <c r="R3870" s="2">
        <f t="shared" si="243"/>
        <v>79.532110230493487</v>
      </c>
      <c r="S3870" s="2">
        <f t="shared" si="242"/>
        <v>3.1690241458492197</v>
      </c>
      <c r="T3870" s="2">
        <f t="shared" si="244"/>
        <v>7.4189773614025709</v>
      </c>
      <c r="U3870" s="2">
        <f t="shared" si="245"/>
        <v>90.120111737745276</v>
      </c>
    </row>
    <row r="3871" spans="1:21" x14ac:dyDescent="0.25">
      <c r="A3871">
        <v>4917969</v>
      </c>
      <c r="B3871">
        <v>63</v>
      </c>
      <c r="C3871" s="1">
        <f>1.7572508072539*(10.3/7.3)</f>
        <v>2.4794086732486558</v>
      </c>
      <c r="D3871" s="1">
        <f>2.75697213180344*(10.3/7.3)</f>
        <v>3.8899743777500535</v>
      </c>
      <c r="E3871" s="1">
        <f>9.48846152824029*(10.3/7.3)</f>
        <v>13.387829279571914</v>
      </c>
      <c r="F3871" s="1">
        <f>27.5907523165194*(38.9/42.5)</f>
        <v>25.253653296767133</v>
      </c>
      <c r="G3871" s="1">
        <v>1.4542177256861408</v>
      </c>
      <c r="H3871" s="1">
        <v>7.6319500368234126</v>
      </c>
      <c r="I3871" s="1">
        <v>20.837767296199843</v>
      </c>
      <c r="J3871" s="1">
        <v>5.4562212122580958E-2</v>
      </c>
      <c r="K3871" s="1">
        <v>3.2734733400307201</v>
      </c>
      <c r="L3871" s="1">
        <v>4.720057301176217</v>
      </c>
      <c r="M3871" s="1">
        <v>0.72505614573509836</v>
      </c>
      <c r="N3871" s="1">
        <v>2.3941015431859669</v>
      </c>
      <c r="O3871" s="1">
        <v>0.29333164021164038</v>
      </c>
      <c r="P3871" s="1">
        <v>0.19136247665718667</v>
      </c>
      <c r="Q3871" s="1">
        <v>2.3240922556627841</v>
      </c>
      <c r="R3871" s="2">
        <f t="shared" si="243"/>
        <v>77.258892941709945</v>
      </c>
      <c r="S3871" s="2">
        <f t="shared" si="242"/>
        <v>3.519398028810488</v>
      </c>
      <c r="T3871" s="2">
        <f t="shared" si="244"/>
        <v>8.1325466303089229</v>
      </c>
      <c r="U3871" s="2">
        <f t="shared" si="245"/>
        <v>88.910837600829353</v>
      </c>
    </row>
    <row r="3872" spans="1:21" x14ac:dyDescent="0.25">
      <c r="A3872">
        <v>4917977</v>
      </c>
      <c r="B3872">
        <v>48</v>
      </c>
      <c r="C3872" s="1">
        <f>1.6827082038598*(10.3/7.3)</f>
        <v>2.3742321232542372</v>
      </c>
      <c r="D3872" s="1">
        <f>2.63864288072127*(10.3/7.3)</f>
        <v>3.7230166673190581</v>
      </c>
      <c r="E3872" s="1">
        <f>9.08248471989984*(10.3/7.3)</f>
        <v>12.815012686981968</v>
      </c>
      <c r="F3872" s="1">
        <f>26.353936682446*(38.9/42.5)</f>
        <v>24.121603222285884</v>
      </c>
      <c r="G3872" s="1">
        <v>1.3871984102505721</v>
      </c>
      <c r="H3872" s="1">
        <v>9.0171864516411535</v>
      </c>
      <c r="I3872" s="1">
        <v>19.897849436090237</v>
      </c>
      <c r="J3872" s="1">
        <v>5.8408583718893604E-2</v>
      </c>
      <c r="K3872" s="1">
        <v>3.399051929631002</v>
      </c>
      <c r="L3872" s="1">
        <v>4.7919415376116525</v>
      </c>
      <c r="M3872" s="1">
        <v>0.70856089598131256</v>
      </c>
      <c r="N3872" s="1">
        <v>2.6362702493206727</v>
      </c>
      <c r="O3872" s="1">
        <v>0.29779222222222224</v>
      </c>
      <c r="P3872" s="1">
        <v>0.19587386650988156</v>
      </c>
      <c r="Q3872" s="1">
        <v>2.2169837606744336</v>
      </c>
      <c r="R3872" s="2">
        <f t="shared" si="243"/>
        <v>75.553082758497538</v>
      </c>
      <c r="S3872" s="2">
        <f t="shared" si="242"/>
        <v>3.653334379859777</v>
      </c>
      <c r="T3872" s="2">
        <f t="shared" si="244"/>
        <v>8.4345649051358595</v>
      </c>
      <c r="U3872" s="2">
        <f t="shared" si="245"/>
        <v>87.640982043493167</v>
      </c>
    </row>
    <row r="3873" spans="1:21" x14ac:dyDescent="0.25">
      <c r="A3873">
        <v>4918169</v>
      </c>
      <c r="B3873">
        <v>26</v>
      </c>
      <c r="C3873" s="1">
        <f>12.5840296346762*(10.3/7.3)</f>
        <v>17.755548662625298</v>
      </c>
      <c r="D3873" s="1">
        <f>20.915774894768*(10.3/7.3)</f>
        <v>29.511298824124708</v>
      </c>
      <c r="E3873" s="1">
        <f>73.2987934609133*(10.3/7.3)</f>
        <v>103.4215852941653</v>
      </c>
      <c r="F3873" s="1">
        <f>138.076846824054*(38.9/42.5)</f>
        <v>126.38092568131054</v>
      </c>
      <c r="G3873" s="1">
        <v>4.9775361168247452</v>
      </c>
      <c r="H3873" s="1">
        <v>10.381513683987471</v>
      </c>
      <c r="I3873" s="1">
        <v>92.141152959350777</v>
      </c>
      <c r="J3873" s="1">
        <v>6.9909393102484771E-2</v>
      </c>
      <c r="K3873" s="1">
        <v>3.7722400647614571</v>
      </c>
      <c r="L3873" s="1">
        <v>5.5496568328266598</v>
      </c>
      <c r="M3873" s="1">
        <v>0.35680070997159252</v>
      </c>
      <c r="N3873" s="1">
        <v>3.0299069501492113</v>
      </c>
      <c r="O3873" s="1">
        <v>0.27698666666666666</v>
      </c>
      <c r="P3873" s="1">
        <v>0.17987520923665892</v>
      </c>
      <c r="Q3873" s="1">
        <v>7.9549663967518836</v>
      </c>
      <c r="R3873" s="2">
        <f t="shared" si="243"/>
        <v>392.52452761914077</v>
      </c>
      <c r="S3873" s="2">
        <f t="shared" si="242"/>
        <v>4.0220246671006006</v>
      </c>
      <c r="T3873" s="2">
        <f t="shared" si="244"/>
        <v>9.2133511596141293</v>
      </c>
      <c r="U3873" s="2">
        <f t="shared" si="245"/>
        <v>405.75990344585551</v>
      </c>
    </row>
    <row r="3874" spans="1:21" x14ac:dyDescent="0.25">
      <c r="A3874">
        <v>4918177</v>
      </c>
      <c r="B3874">
        <v>51</v>
      </c>
      <c r="C3874" s="1">
        <f>12.4402931502944*(10.3/7.3)</f>
        <v>17.552742390141368</v>
      </c>
      <c r="D3874" s="1">
        <f>19.6786497571392*(10.3/7.3)</f>
        <v>27.765766095689578</v>
      </c>
      <c r="E3874" s="1">
        <f>69.0919885424866*(10.3/7.3)</f>
        <v>97.485956436659151</v>
      </c>
      <c r="F3874" s="1">
        <f>129.71683840465*(38.9/42.5)</f>
        <v>118.72905915155002</v>
      </c>
      <c r="G3874" s="1">
        <v>4.6111368397632306</v>
      </c>
      <c r="H3874" s="1">
        <v>8.75555646387566</v>
      </c>
      <c r="I3874" s="1">
        <v>87.838479804740601</v>
      </c>
      <c r="J3874" s="1">
        <v>6.3749061247712069E-2</v>
      </c>
      <c r="K3874" s="1">
        <v>3.6687651107812607</v>
      </c>
      <c r="L3874" s="1">
        <v>5.3237899530471662</v>
      </c>
      <c r="M3874" s="1">
        <v>0.33573265182645212</v>
      </c>
      <c r="N3874" s="1">
        <v>2.9483192190378769</v>
      </c>
      <c r="O3874" s="1">
        <v>0.26480732026143788</v>
      </c>
      <c r="P3874" s="1">
        <v>0.17435222528454553</v>
      </c>
      <c r="Q3874" s="1">
        <v>7.3693967758773153</v>
      </c>
      <c r="R3874" s="2">
        <f t="shared" si="243"/>
        <v>370.10809395829688</v>
      </c>
      <c r="S3874" s="2">
        <f t="shared" si="242"/>
        <v>3.906866397313518</v>
      </c>
      <c r="T3874" s="2">
        <f t="shared" si="244"/>
        <v>8.872649144172934</v>
      </c>
      <c r="U3874" s="2">
        <f t="shared" si="245"/>
        <v>382.88760949978337</v>
      </c>
    </row>
    <row r="3875" spans="1:21" x14ac:dyDescent="0.25">
      <c r="A3875">
        <v>4918185</v>
      </c>
      <c r="B3875">
        <v>58</v>
      </c>
      <c r="C3875" s="1">
        <f>12.1107490946399*(10.3/7.3)</f>
        <v>17.087769270519313</v>
      </c>
      <c r="D3875" s="1">
        <f>19.3853349761971*(10.3/7.3)</f>
        <v>27.351910993812314</v>
      </c>
      <c r="E3875" s="1">
        <f>68.0094143507197*(10.3/7.3)</f>
        <v>95.958488741426464</v>
      </c>
      <c r="F3875" s="1">
        <f>128.889620030274*(38.9/42.5)</f>
        <v>117.97191103947412</v>
      </c>
      <c r="G3875" s="1">
        <v>4.6507917151335816</v>
      </c>
      <c r="H3875" s="1">
        <v>7.0246017311880307</v>
      </c>
      <c r="I3875" s="1">
        <v>87.210577135557529</v>
      </c>
      <c r="J3875" s="1">
        <v>6.3654201687854947E-2</v>
      </c>
      <c r="K3875" s="1">
        <v>3.7327802590742696</v>
      </c>
      <c r="L3875" s="1">
        <v>5.4772236828411129</v>
      </c>
      <c r="M3875" s="1">
        <v>0.33454587967197058</v>
      </c>
      <c r="N3875" s="1">
        <v>2.9201007375260399</v>
      </c>
      <c r="O3875" s="1">
        <v>0.26543816091954026</v>
      </c>
      <c r="P3875" s="1">
        <v>0.17525933422732953</v>
      </c>
      <c r="Q3875" s="1">
        <v>7.4327721474737647</v>
      </c>
      <c r="R3875" s="2">
        <f t="shared" si="243"/>
        <v>364.68882277458516</v>
      </c>
      <c r="S3875" s="2">
        <f t="shared" si="242"/>
        <v>3.971693794989454</v>
      </c>
      <c r="T3875" s="2">
        <f t="shared" si="244"/>
        <v>8.9973084609586635</v>
      </c>
      <c r="U3875" s="2">
        <f t="shared" si="245"/>
        <v>377.65782503053327</v>
      </c>
    </row>
    <row r="3876" spans="1:21" x14ac:dyDescent="0.25">
      <c r="A3876">
        <v>4918193</v>
      </c>
      <c r="B3876">
        <v>59</v>
      </c>
      <c r="C3876" s="1">
        <f>12.2248581841876*(10.3/7.3)</f>
        <v>17.248772506456529</v>
      </c>
      <c r="D3876" s="1">
        <f>20.059616877621*(10.3/7.3)</f>
        <v>28.303295046506403</v>
      </c>
      <c r="E3876" s="1">
        <f>70.269318238426*(10.3/7.3)</f>
        <v>99.147120254217484</v>
      </c>
      <c r="F3876" s="1">
        <f>135.404233269951*(38.9/42.5)</f>
        <v>123.9346982164965</v>
      </c>
      <c r="G3876" s="1">
        <v>5.0155111118314588</v>
      </c>
      <c r="H3876" s="1">
        <v>7.1529174422478397</v>
      </c>
      <c r="I3876" s="1">
        <v>91.401726490351223</v>
      </c>
      <c r="J3876" s="1">
        <v>6.6004688573809964E-2</v>
      </c>
      <c r="K3876" s="1">
        <v>3.863975387153324</v>
      </c>
      <c r="L3876" s="1">
        <v>5.7793367778357698</v>
      </c>
      <c r="M3876" s="1">
        <v>0.34169113086404174</v>
      </c>
      <c r="N3876" s="1">
        <v>3.1928288986708613</v>
      </c>
      <c r="O3876" s="1">
        <v>0.27217988700564966</v>
      </c>
      <c r="P3876" s="1">
        <v>0.179422429923219</v>
      </c>
      <c r="Q3876" s="1">
        <v>8.015657028041149</v>
      </c>
      <c r="R3876" s="2">
        <f t="shared" si="243"/>
        <v>380.21969809614859</v>
      </c>
      <c r="S3876" s="2">
        <f t="shared" si="242"/>
        <v>4.1094025056503529</v>
      </c>
      <c r="T3876" s="2">
        <f t="shared" si="244"/>
        <v>9.5860366943763218</v>
      </c>
      <c r="U3876" s="2">
        <f t="shared" si="245"/>
        <v>393.91513729617526</v>
      </c>
    </row>
    <row r="3877" spans="1:21" x14ac:dyDescent="0.25">
      <c r="A3877">
        <v>4918201</v>
      </c>
      <c r="B3877">
        <v>55</v>
      </c>
      <c r="C3877" s="1">
        <f>9.908558735265*(10.3/7.3)</f>
        <v>13.980569174415006</v>
      </c>
      <c r="D3877" s="1">
        <f>16.3053634830404*(10.3/7.3)</f>
        <v>23.006197791139144</v>
      </c>
      <c r="E3877" s="1">
        <f>57.0756528690673*(10.3/7.3)</f>
        <v>80.531400623478518</v>
      </c>
      <c r="F3877" s="1">
        <f>111.833777796608*(38.9/42.5)</f>
        <v>102.36079897148329</v>
      </c>
      <c r="G3877" s="1">
        <v>4.2316929665520062</v>
      </c>
      <c r="H3877" s="1">
        <v>6.5744031253787218</v>
      </c>
      <c r="I3877" s="1">
        <v>75.831608105940646</v>
      </c>
      <c r="J3877" s="1">
        <v>5.751053214551647E-2</v>
      </c>
      <c r="K3877" s="1">
        <v>3.481272326056291</v>
      </c>
      <c r="L3877" s="1">
        <v>5.0063587264956571</v>
      </c>
      <c r="M3877" s="1">
        <v>0.29748427777004</v>
      </c>
      <c r="N3877" s="1">
        <v>2.7213352116432841</v>
      </c>
      <c r="O3877" s="1">
        <v>0.24238739393939387</v>
      </c>
      <c r="P3877" s="1">
        <v>0.16375028718052079</v>
      </c>
      <c r="Q3877" s="1">
        <v>6.7629796269096056</v>
      </c>
      <c r="R3877" s="2">
        <f t="shared" si="243"/>
        <v>313.27965038529692</v>
      </c>
      <c r="S3877" s="2">
        <f t="shared" si="242"/>
        <v>3.7025331453823283</v>
      </c>
      <c r="T3877" s="2">
        <f t="shared" si="244"/>
        <v>8.2675656098483739</v>
      </c>
      <c r="U3877" s="2">
        <f t="shared" si="245"/>
        <v>325.24974914052763</v>
      </c>
    </row>
    <row r="3878" spans="1:21" x14ac:dyDescent="0.25">
      <c r="A3878">
        <v>4918209</v>
      </c>
      <c r="B3878">
        <v>55</v>
      </c>
      <c r="C3878" s="1">
        <f>10.0941627172165*(10.3/7.3)</f>
        <v>14.242448765387733</v>
      </c>
      <c r="D3878" s="1">
        <f>16.6765208813633*(10.3/7.3)</f>
        <v>23.529885627129008</v>
      </c>
      <c r="E3878" s="1">
        <f>58.2892852769011*(10.3/7.3)</f>
        <v>82.243786075627639</v>
      </c>
      <c r="F3878" s="1">
        <f>118.125494749527*(38.9/42.5)</f>
        <v>108.11957048839041</v>
      </c>
      <c r="G3878" s="1">
        <v>4.6537132319294949</v>
      </c>
      <c r="H3878" s="1">
        <v>8.407486894446933</v>
      </c>
      <c r="I3878" s="1">
        <v>80.850973861527038</v>
      </c>
      <c r="J3878" s="1">
        <v>6.0374000339205834E-2</v>
      </c>
      <c r="K3878" s="1">
        <v>3.6424869570119531</v>
      </c>
      <c r="L3878" s="1">
        <v>5.3714952290244726</v>
      </c>
      <c r="M3878" s="1">
        <v>0.30830513415056432</v>
      </c>
      <c r="N3878" s="1">
        <v>2.8589541581099973</v>
      </c>
      <c r="O3878" s="1">
        <v>0.25117769696969694</v>
      </c>
      <c r="P3878" s="1">
        <v>0.16928539303430723</v>
      </c>
      <c r="Q3878" s="1">
        <v>7.4374412382434931</v>
      </c>
      <c r="R3878" s="2">
        <f t="shared" si="243"/>
        <v>329.48530618268177</v>
      </c>
      <c r="S3878" s="2">
        <f t="shared" si="242"/>
        <v>3.8721463503854663</v>
      </c>
      <c r="T3878" s="2">
        <f t="shared" si="244"/>
        <v>8.7899322182547301</v>
      </c>
      <c r="U3878" s="2">
        <f t="shared" si="245"/>
        <v>342.14738475132197</v>
      </c>
    </row>
    <row r="3879" spans="1:21" x14ac:dyDescent="0.25">
      <c r="A3879">
        <v>4918217</v>
      </c>
      <c r="B3879">
        <v>24</v>
      </c>
      <c r="C3879" s="1">
        <f>8.29724810947018*(10.3/7.3)</f>
        <v>11.707076099663409</v>
      </c>
      <c r="D3879" s="1">
        <f>13.443594448494*(10.3/7.3)</f>
        <v>18.968359290340878</v>
      </c>
      <c r="E3879" s="1">
        <f>47.0734334300531*(10.3/7.3)</f>
        <v>66.418680045143361</v>
      </c>
      <c r="F3879" s="1">
        <f>92.7554995694026*(38.9/42.5)</f>
        <v>84.898563135288498</v>
      </c>
      <c r="G3879" s="1">
        <v>3.524459988350138</v>
      </c>
      <c r="H3879" s="1">
        <v>8.1613193304201292</v>
      </c>
      <c r="I3879" s="1">
        <v>63.299644610536994</v>
      </c>
      <c r="J3879" s="1">
        <v>5.1935045986787338E-2</v>
      </c>
      <c r="K3879" s="1">
        <v>3.2563656053678329</v>
      </c>
      <c r="L3879" s="1">
        <v>4.5787587762568096</v>
      </c>
      <c r="M3879" s="1">
        <v>0.26634676166323473</v>
      </c>
      <c r="N3879" s="1">
        <v>2.5632866888660732</v>
      </c>
      <c r="O3879" s="1">
        <v>0.22179333333333337</v>
      </c>
      <c r="P3879" s="1">
        <v>0.15172200171315489</v>
      </c>
      <c r="Q3879" s="1">
        <v>5.6326986115184896</v>
      </c>
      <c r="R3879" s="2">
        <f t="shared" si="243"/>
        <v>262.61080111126188</v>
      </c>
      <c r="S3879" s="2">
        <f t="shared" si="242"/>
        <v>3.4600226530677753</v>
      </c>
      <c r="T3879" s="2">
        <f t="shared" si="244"/>
        <v>7.6301855601194513</v>
      </c>
      <c r="U3879" s="2">
        <f t="shared" si="245"/>
        <v>273.7010093244491</v>
      </c>
    </row>
    <row r="3880" spans="1:21" x14ac:dyDescent="0.25">
      <c r="A3880">
        <v>4918225</v>
      </c>
      <c r="B3880">
        <v>65</v>
      </c>
      <c r="C3880" s="1">
        <f>8.63864291037602*(10.3/7.3)</f>
        <v>12.188770133818227</v>
      </c>
      <c r="D3880" s="1">
        <f>13.7352912820795*(10.3/7.3)</f>
        <v>19.379931534988931</v>
      </c>
      <c r="E3880" s="1">
        <f>48.1286035340984*(10.3/7.3)</f>
        <v>67.907481698796389</v>
      </c>
      <c r="F3880" s="1">
        <f>94.7545862042192*(38.9/42.5)</f>
        <v>86.72831537280301</v>
      </c>
      <c r="G3880" s="1">
        <v>3.5848890493758399</v>
      </c>
      <c r="H3880" s="1">
        <v>6.1464038903303262</v>
      </c>
      <c r="I3880" s="1">
        <v>65.015981960317703</v>
      </c>
      <c r="J3880" s="1">
        <v>5.6475214166957999E-2</v>
      </c>
      <c r="K3880" s="1">
        <v>3.4759524449785886</v>
      </c>
      <c r="L3880" s="1">
        <v>5.0670789361217992</v>
      </c>
      <c r="M3880" s="1">
        <v>0.28164569857036931</v>
      </c>
      <c r="N3880" s="1">
        <v>3.2760670442095767</v>
      </c>
      <c r="O3880" s="1">
        <v>0.23436143589743594</v>
      </c>
      <c r="P3880" s="1">
        <v>0.15945462624429294</v>
      </c>
      <c r="Q3880" s="1">
        <v>5.7292747364454115</v>
      </c>
      <c r="R3880" s="2">
        <f t="shared" si="243"/>
        <v>266.68104837687588</v>
      </c>
      <c r="S3880" s="2">
        <f t="shared" si="242"/>
        <v>3.6918822853898394</v>
      </c>
      <c r="T3880" s="2">
        <f t="shared" si="244"/>
        <v>8.8591531147991809</v>
      </c>
      <c r="U3880" s="2">
        <f t="shared" si="245"/>
        <v>279.23208377706493</v>
      </c>
    </row>
    <row r="3881" spans="1:21" x14ac:dyDescent="0.25">
      <c r="A3881">
        <v>4918233</v>
      </c>
      <c r="B3881">
        <v>66</v>
      </c>
      <c r="C3881" s="1">
        <f>9.38942760821988*(10.3/7.3)</f>
        <v>13.248096488310249</v>
      </c>
      <c r="D3881" s="1">
        <f>14.7218587942724*(10.3/7.3)</f>
        <v>20.771937750822669</v>
      </c>
      <c r="E3881" s="1">
        <f>51.6039856254745*(10.3/7.3)</f>
        <v>72.811103005806558</v>
      </c>
      <c r="F3881" s="1">
        <f>101.977937007245*(38.9/42.5)</f>
        <v>93.339805872513551</v>
      </c>
      <c r="G3881" s="1">
        <v>3.8662431459988049</v>
      </c>
      <c r="H3881" s="1">
        <v>6.5365268859310071</v>
      </c>
      <c r="I3881" s="1">
        <v>70.349331309035065</v>
      </c>
      <c r="J3881" s="1">
        <v>6.3269511150358837E-2</v>
      </c>
      <c r="K3881" s="1">
        <v>3.785104451349663</v>
      </c>
      <c r="L3881" s="1">
        <v>5.7297049240231717</v>
      </c>
      <c r="M3881" s="1">
        <v>0.30530741455754146</v>
      </c>
      <c r="N3881" s="1">
        <v>3.1184755002380133</v>
      </c>
      <c r="O3881" s="1">
        <v>0.25265050505050507</v>
      </c>
      <c r="P3881" s="1">
        <v>0.16975597348723939</v>
      </c>
      <c r="Q3881" s="1">
        <v>6.1789274022812011</v>
      </c>
      <c r="R3881" s="2">
        <f t="shared" si="243"/>
        <v>287.10197186069911</v>
      </c>
      <c r="S3881" s="2">
        <f t="shared" si="242"/>
        <v>4.0181299359872611</v>
      </c>
      <c r="T3881" s="2">
        <f t="shared" si="244"/>
        <v>9.4061383438692321</v>
      </c>
      <c r="U3881" s="2">
        <f t="shared" si="245"/>
        <v>300.52624014055561</v>
      </c>
    </row>
    <row r="3882" spans="1:21" x14ac:dyDescent="0.25">
      <c r="A3882">
        <v>4918241</v>
      </c>
      <c r="B3882">
        <v>66</v>
      </c>
      <c r="C3882" s="1">
        <f>6.75321862539658*(10.3/7.3)</f>
        <v>9.5285139509020258</v>
      </c>
      <c r="D3882" s="1">
        <f>10.3804589726148*(10.3/7.3)</f>
        <v>14.64640101615511</v>
      </c>
      <c r="E3882" s="1">
        <f>36.4125295466041*(10.3/7.3)</f>
        <v>51.376582784934506</v>
      </c>
      <c r="F3882" s="1">
        <f>71.9659860181156*(38.9/42.5)</f>
        <v>65.870043673051697</v>
      </c>
      <c r="G3882" s="1">
        <v>2.7190976581601189</v>
      </c>
      <c r="H3882" s="1">
        <v>5.6661164491735851</v>
      </c>
      <c r="I3882" s="1">
        <v>49.950527414405059</v>
      </c>
      <c r="J3882" s="1">
        <v>4.9738705860181712E-2</v>
      </c>
      <c r="K3882" s="1">
        <v>3.1456896148715496</v>
      </c>
      <c r="L3882" s="1">
        <v>4.408457456419959</v>
      </c>
      <c r="M3882" s="1">
        <v>0.24332427549794336</v>
      </c>
      <c r="N3882" s="1">
        <v>2.4196916873925902</v>
      </c>
      <c r="O3882" s="1">
        <v>0.20610505050505049</v>
      </c>
      <c r="P3882" s="1">
        <v>0.14460978665171953</v>
      </c>
      <c r="Q3882" s="1">
        <v>4.3455898646394653</v>
      </c>
      <c r="R3882" s="2">
        <f t="shared" si="243"/>
        <v>204.10287281142155</v>
      </c>
      <c r="S3882" s="2">
        <f t="shared" si="242"/>
        <v>3.3400381073834513</v>
      </c>
      <c r="T3882" s="2">
        <f t="shared" si="244"/>
        <v>7.277578469815543</v>
      </c>
      <c r="U3882" s="2">
        <f t="shared" si="245"/>
        <v>214.72048938862056</v>
      </c>
    </row>
    <row r="3883" spans="1:21" x14ac:dyDescent="0.25">
      <c r="A3883">
        <v>4918249</v>
      </c>
      <c r="B3883">
        <v>67</v>
      </c>
      <c r="C3883" s="1">
        <f>4.81698866822207*(10.3/7.3)</f>
        <v>6.7965730524229251</v>
      </c>
      <c r="D3883" s="1">
        <f>6.65343775343332*(10.3/7.3)</f>
        <v>9.3877272411456421</v>
      </c>
      <c r="E3883" s="1">
        <f>23.4556936241932*(10.3/7.3)</f>
        <v>33.095019771121912</v>
      </c>
      <c r="F3883" s="1">
        <f>45.3814130342663*(38.9/42.5)</f>
        <v>41.537340400775506</v>
      </c>
      <c r="G3883" s="1">
        <v>1.6336695694817094</v>
      </c>
      <c r="H3883" s="1">
        <v>3.8848581660689576</v>
      </c>
      <c r="I3883" s="1">
        <v>32.417891500568679</v>
      </c>
      <c r="J3883" s="1">
        <v>3.7042788812120211E-2</v>
      </c>
      <c r="K3883" s="1">
        <v>2.4959579908459366</v>
      </c>
      <c r="L3883" s="1">
        <v>3.239273576656704</v>
      </c>
      <c r="M3883" s="1">
        <v>0.18375139182305239</v>
      </c>
      <c r="N3883" s="1">
        <v>1.8198629352983633</v>
      </c>
      <c r="O3883" s="1">
        <v>0.15751562189054724</v>
      </c>
      <c r="P3883" s="1">
        <v>0.11894626907213116</v>
      </c>
      <c r="Q3883" s="1">
        <v>2.6108874398109543</v>
      </c>
      <c r="R3883" s="2">
        <f t="shared" si="243"/>
        <v>131.3639671413963</v>
      </c>
      <c r="S3883" s="2">
        <f t="shared" si="242"/>
        <v>2.6519470487301877</v>
      </c>
      <c r="T3883" s="2">
        <f t="shared" si="244"/>
        <v>5.4004035256686667</v>
      </c>
      <c r="U3883" s="2">
        <f t="shared" si="245"/>
        <v>139.41631771579517</v>
      </c>
    </row>
    <row r="3884" spans="1:21" x14ac:dyDescent="0.25">
      <c r="A3884">
        <v>4918257</v>
      </c>
      <c r="B3884">
        <v>66</v>
      </c>
      <c r="C3884" s="1">
        <f>8.10922118569416*(10.3/7.3)</f>
        <v>11.441777837349296</v>
      </c>
      <c r="D3884" s="1">
        <f>12.0780991788895*(10.3/7.3)</f>
        <v>17.041701581172884</v>
      </c>
      <c r="E3884" s="1">
        <f>42.391119721071*(10.3/7.3)</f>
        <v>59.812127825620749</v>
      </c>
      <c r="F3884" s="1">
        <f>85.1223453500997*(38.9/42.5)</f>
        <v>77.911981979267708</v>
      </c>
      <c r="G3884" s="1">
        <v>3.2597991337782055</v>
      </c>
      <c r="H3884" s="1">
        <v>6.1138418972004214</v>
      </c>
      <c r="I3884" s="1">
        <v>59.924874705829197</v>
      </c>
      <c r="J3884" s="1">
        <v>6.2297431744159727E-2</v>
      </c>
      <c r="K3884" s="1">
        <v>3.5893789794581803</v>
      </c>
      <c r="L3884" s="1">
        <v>5.2577502841743406</v>
      </c>
      <c r="M3884" s="1">
        <v>0.27082258521532526</v>
      </c>
      <c r="N3884" s="1">
        <v>2.7539334070970143</v>
      </c>
      <c r="O3884" s="1">
        <v>0.23054222222222226</v>
      </c>
      <c r="P3884" s="1">
        <v>0.1568568655198565</v>
      </c>
      <c r="Q3884" s="1">
        <v>5.2097246430245345</v>
      </c>
      <c r="R3884" s="2">
        <f t="shared" si="243"/>
        <v>240.71582960324301</v>
      </c>
      <c r="S3884" s="2">
        <f t="shared" si="242"/>
        <v>3.8085332767221964</v>
      </c>
      <c r="T3884" s="2">
        <f t="shared" si="244"/>
        <v>8.513048498708903</v>
      </c>
      <c r="U3884" s="2">
        <f t="shared" si="245"/>
        <v>253.03741137867411</v>
      </c>
    </row>
    <row r="3885" spans="1:21" x14ac:dyDescent="0.25">
      <c r="A3885">
        <v>4918265</v>
      </c>
      <c r="B3885">
        <v>67</v>
      </c>
      <c r="C3885" s="1">
        <f>8.12158606566531*(10.3/7.3)</f>
        <v>11.459224174842838</v>
      </c>
      <c r="D3885" s="1">
        <f>11.9525352178872*(10.3/7.3)</f>
        <v>16.864535992361443</v>
      </c>
      <c r="E3885" s="1">
        <f>41.9479960141304*(10.3/7.3)</f>
        <v>59.186898485690818</v>
      </c>
      <c r="F3885" s="1">
        <f>85.3277747241429*(38.9/42.5)</f>
        <v>78.10001027692141</v>
      </c>
      <c r="G3885" s="1">
        <v>3.3107215263193304</v>
      </c>
      <c r="H3885" s="1">
        <v>6.1976139470484881</v>
      </c>
      <c r="I3885" s="1">
        <v>60.49874239671783</v>
      </c>
      <c r="J3885" s="1">
        <v>6.7772450410291799E-2</v>
      </c>
      <c r="K3885" s="1">
        <v>3.7085127639735336</v>
      </c>
      <c r="L3885" s="1">
        <v>5.4584177349106113</v>
      </c>
      <c r="M3885" s="1">
        <v>0.27318835768523608</v>
      </c>
      <c r="N3885" s="1">
        <v>2.896108904513444</v>
      </c>
      <c r="O3885" s="1">
        <v>0.2340011940298507</v>
      </c>
      <c r="P3885" s="1">
        <v>0.15859623406536658</v>
      </c>
      <c r="Q3885" s="1">
        <v>5.2911074621541836</v>
      </c>
      <c r="R3885" s="2">
        <f t="shared" si="243"/>
        <v>240.90885426205634</v>
      </c>
      <c r="S3885" s="2">
        <f t="shared" si="242"/>
        <v>3.9348814484491919</v>
      </c>
      <c r="T3885" s="2">
        <f t="shared" si="244"/>
        <v>8.8617161911391431</v>
      </c>
      <c r="U3885" s="2">
        <f t="shared" si="245"/>
        <v>253.70545190164469</v>
      </c>
    </row>
    <row r="3886" spans="1:21" x14ac:dyDescent="0.25">
      <c r="A3886">
        <v>4918273</v>
      </c>
      <c r="B3886">
        <v>50</v>
      </c>
      <c r="C3886" s="1">
        <f>7.31972716632859*(10.3/7.3)</f>
        <v>10.327834220984181</v>
      </c>
      <c r="D3886" s="1">
        <f>10.6285012776838*(10.3/7.3)</f>
        <v>14.996378515088056</v>
      </c>
      <c r="E3886" s="1">
        <f>37.3073183906794*(10.3/7.3)</f>
        <v>52.639093071780493</v>
      </c>
      <c r="F3886" s="1">
        <f>76.5650142010946*(38.9/42.5)</f>
        <v>70.079507115825379</v>
      </c>
      <c r="G3886" s="1">
        <v>2.9942155427133073</v>
      </c>
      <c r="H3886" s="1">
        <v>5.8071878822576801</v>
      </c>
      <c r="I3886" s="1">
        <v>54.634451258456423</v>
      </c>
      <c r="J3886" s="1">
        <v>6.985569372693573E-2</v>
      </c>
      <c r="K3886" s="1">
        <v>3.4610732853663713</v>
      </c>
      <c r="L3886" s="1">
        <v>4.9288564526205718</v>
      </c>
      <c r="M3886" s="1">
        <v>0.24797611939883971</v>
      </c>
      <c r="N3886" s="1">
        <v>2.7707026200226368</v>
      </c>
      <c r="O3886" s="1">
        <v>0.21480000000000005</v>
      </c>
      <c r="P3886" s="1">
        <v>0.14729510487978403</v>
      </c>
      <c r="Q3886" s="1">
        <v>4.7852759815052899</v>
      </c>
      <c r="R3886" s="2">
        <f t="shared" si="243"/>
        <v>216.26394358861083</v>
      </c>
      <c r="S3886" s="2">
        <f t="shared" si="242"/>
        <v>3.6782240839730913</v>
      </c>
      <c r="T3886" s="2">
        <f t="shared" si="244"/>
        <v>8.1623351920420486</v>
      </c>
      <c r="U3886" s="2">
        <f t="shared" si="245"/>
        <v>228.10450286462594</v>
      </c>
    </row>
    <row r="3887" spans="1:21" x14ac:dyDescent="0.25">
      <c r="A3887">
        <v>4918369</v>
      </c>
      <c r="B3887">
        <v>16</v>
      </c>
      <c r="C3887" s="1">
        <f>3.33186032299982*(10.3/7.3)</f>
        <v>4.7011179899860451</v>
      </c>
      <c r="D3887" s="1">
        <f>4.6144063052605*(10.3/7.3)</f>
        <v>6.510737663586732</v>
      </c>
      <c r="E3887" s="1">
        <f>16.0917598103399*(10.3/7.3)</f>
        <v>22.704811787191893</v>
      </c>
      <c r="F3887" s="1">
        <f>39.8975623032207*(38.9/42.5)</f>
        <v>36.51800408459497</v>
      </c>
      <c r="G3887" s="1">
        <v>1.8579460228302223</v>
      </c>
      <c r="H3887" s="1">
        <v>7.8745373629006057</v>
      </c>
      <c r="I3887" s="1">
        <v>30.066630973784736</v>
      </c>
      <c r="J3887" s="1">
        <v>3.5558047485489942E-2</v>
      </c>
      <c r="K3887" s="1">
        <v>2.3061563401328495</v>
      </c>
      <c r="L3887" s="1">
        <v>3.0469284335570621</v>
      </c>
      <c r="M3887" s="1">
        <v>0.13210788994124009</v>
      </c>
      <c r="N3887" s="1">
        <v>1.7221043762349584</v>
      </c>
      <c r="O3887" s="1">
        <v>0.11537666666666666</v>
      </c>
      <c r="P3887" s="1">
        <v>9.2165940640000665E-2</v>
      </c>
      <c r="Q3887" s="1">
        <v>2.9693201278108603</v>
      </c>
      <c r="R3887" s="2">
        <f t="shared" si="243"/>
        <v>113.20310601268608</v>
      </c>
      <c r="S3887" s="2">
        <f t="shared" si="242"/>
        <v>2.4338803282583399</v>
      </c>
      <c r="T3887" s="2">
        <f t="shared" si="244"/>
        <v>5.0165173663999267</v>
      </c>
      <c r="U3887" s="2">
        <f t="shared" si="245"/>
        <v>120.65350370734434</v>
      </c>
    </row>
    <row r="3888" spans="1:21" x14ac:dyDescent="0.25">
      <c r="A3888">
        <v>4929949</v>
      </c>
      <c r="B3888">
        <v>39</v>
      </c>
      <c r="C3888" s="1">
        <f>0.593914359546174*(10.3/7.3)</f>
        <v>0.83798875388021821</v>
      </c>
      <c r="D3888" s="1">
        <f>0.840072047645903*(10.3/7.3)</f>
        <v>1.1853071357195615</v>
      </c>
      <c r="E3888" s="1">
        <f>2.91601420888697*(10.3/7.3)</f>
        <v>4.114376212539149</v>
      </c>
      <c r="F3888" s="1">
        <f>7.79326868468932*(38.9/42.5)</f>
        <v>7.1331329843391691</v>
      </c>
      <c r="G3888" s="1">
        <v>0.38495223924244265</v>
      </c>
      <c r="H3888" s="1">
        <v>2.0996268519168497</v>
      </c>
      <c r="I3888" s="1">
        <v>5.9240297610461328</v>
      </c>
      <c r="J3888" s="1">
        <v>4.6880003110711929E-2</v>
      </c>
      <c r="K3888" s="1">
        <v>2.8301815687473852</v>
      </c>
      <c r="L3888" s="1">
        <v>2.152501976945417</v>
      </c>
      <c r="M3888" s="1">
        <v>0.56663521608441958</v>
      </c>
      <c r="N3888" s="1">
        <v>1.464082979949916</v>
      </c>
      <c r="O3888" s="1">
        <v>0.42015589743589743</v>
      </c>
      <c r="P3888" s="1">
        <v>0.21728927178072616</v>
      </c>
      <c r="Q3888" s="1">
        <v>0.6152204736751371</v>
      </c>
      <c r="R3888" s="2">
        <f t="shared" si="243"/>
        <v>22.294634412358661</v>
      </c>
      <c r="S3888" s="2">
        <f t="shared" si="242"/>
        <v>3.0943508436388232</v>
      </c>
      <c r="T3888" s="2">
        <f t="shared" si="244"/>
        <v>4.6033760704156501</v>
      </c>
      <c r="U3888" s="2">
        <f t="shared" si="245"/>
        <v>29.992361326413132</v>
      </c>
    </row>
    <row r="3889" spans="1:21" x14ac:dyDescent="0.25">
      <c r="A3889">
        <v>4930181</v>
      </c>
      <c r="B3889">
        <v>30</v>
      </c>
      <c r="C3889" s="1">
        <f>1.60062856023192*(10.3/7.3)</f>
        <v>2.2584211192313455</v>
      </c>
      <c r="D3889" s="1">
        <f>2.7423324847294*(10.3/7.3)</f>
        <v>3.8693184373579168</v>
      </c>
      <c r="E3889" s="1">
        <f>9.32927904061703*(10.3/7.3)</f>
        <v>13.16322933128156</v>
      </c>
      <c r="F3889" s="1">
        <f>31.2357202947553*(38.9/42.5)</f>
        <v>28.589871046258395</v>
      </c>
      <c r="G3889" s="1">
        <v>1.7859958236160216</v>
      </c>
      <c r="H3889" s="1">
        <v>10.661850943553496</v>
      </c>
      <c r="I3889" s="1">
        <v>23.825123405720703</v>
      </c>
      <c r="J3889" s="1">
        <v>4.7781020228533172E-2</v>
      </c>
      <c r="K3889" s="1">
        <v>2.9264782761850818</v>
      </c>
      <c r="L3889" s="1">
        <v>4.9850161621459286</v>
      </c>
      <c r="M3889" s="1">
        <v>0.77237963758750605</v>
      </c>
      <c r="N3889" s="1">
        <v>2.1466029618823179</v>
      </c>
      <c r="O3889" s="1">
        <v>0.27359111111111106</v>
      </c>
      <c r="P3889" s="1">
        <v>0.17521507623838983</v>
      </c>
      <c r="Q3889" s="1">
        <v>2.854331224957114</v>
      </c>
      <c r="R3889" s="2">
        <f t="shared" si="243"/>
        <v>87.008141331976546</v>
      </c>
      <c r="S3889" s="2">
        <f t="shared" si="242"/>
        <v>3.1494743726520049</v>
      </c>
      <c r="T3889" s="2">
        <f t="shared" si="244"/>
        <v>8.1775898727268643</v>
      </c>
      <c r="U3889" s="2">
        <f t="shared" si="245"/>
        <v>98.335205577355424</v>
      </c>
    </row>
    <row r="3890" spans="1:21" x14ac:dyDescent="0.25">
      <c r="A3890">
        <v>4930189</v>
      </c>
      <c r="B3890">
        <v>38</v>
      </c>
      <c r="C3890" s="1">
        <f>1.34334393194149*(10.3/7.3)</f>
        <v>1.8954030820544316</v>
      </c>
      <c r="D3890" s="1">
        <f>2.12318881017094*(10.3/7.3)</f>
        <v>2.9957321568165356</v>
      </c>
      <c r="E3890" s="1">
        <f>7.29739276054008*(10.3/7.3)</f>
        <v>10.296321292268887</v>
      </c>
      <c r="F3890" s="1">
        <f>21.6242555775931*(38.9/42.5)</f>
        <v>19.792553928667534</v>
      </c>
      <c r="G3890" s="1">
        <v>1.1531693201626305</v>
      </c>
      <c r="H3890" s="1">
        <v>5.622314396283933</v>
      </c>
      <c r="I3890" s="1">
        <v>16.365146242530983</v>
      </c>
      <c r="J3890" s="1">
        <v>4.0306192489817289E-2</v>
      </c>
      <c r="K3890" s="1">
        <v>2.6154425153448497</v>
      </c>
      <c r="L3890" s="1">
        <v>3.9869185664007469</v>
      </c>
      <c r="M3890" s="1">
        <v>0.64517207978753821</v>
      </c>
      <c r="N3890" s="1">
        <v>1.8671701639695879</v>
      </c>
      <c r="O3890" s="1">
        <v>0.24334877192982451</v>
      </c>
      <c r="P3890" s="1">
        <v>0.15862805297740581</v>
      </c>
      <c r="Q3890" s="1">
        <v>1.8429646669265807</v>
      </c>
      <c r="R3890" s="2">
        <f t="shared" si="243"/>
        <v>59.963605085711521</v>
      </c>
      <c r="S3890" s="2">
        <f t="shared" si="242"/>
        <v>2.8143767608120727</v>
      </c>
      <c r="T3890" s="2">
        <f t="shared" si="244"/>
        <v>6.742609582087697</v>
      </c>
      <c r="U3890" s="2">
        <f t="shared" si="245"/>
        <v>69.520591428611297</v>
      </c>
    </row>
    <row r="3891" spans="1:21" x14ac:dyDescent="0.25">
      <c r="A3891">
        <v>4930197</v>
      </c>
      <c r="B3891">
        <v>61</v>
      </c>
      <c r="C3891" s="1">
        <f>1.93328884190583*(10.3/7.3)</f>
        <v>2.7277911057027526</v>
      </c>
      <c r="D3891" s="1">
        <f>3.12971602957943*(10.3/7.3)</f>
        <v>4.4159006992696082</v>
      </c>
      <c r="E3891" s="1">
        <f>10.7390415146462*(10.3/7.3)</f>
        <v>15.15234624669254</v>
      </c>
      <c r="F3891" s="1">
        <f>32.2656399327925*(38.9/42.5)</f>
        <v>29.532550432603021</v>
      </c>
      <c r="G3891" s="1">
        <v>1.7377031328572123</v>
      </c>
      <c r="H3891" s="1">
        <v>7.6201141316532999</v>
      </c>
      <c r="I3891" s="1">
        <v>24.372203896215481</v>
      </c>
      <c r="J3891" s="1">
        <v>5.6415272091586185E-2</v>
      </c>
      <c r="K3891" s="1">
        <v>3.3912103618806158</v>
      </c>
      <c r="L3891" s="1">
        <v>5.1109294802530041</v>
      </c>
      <c r="M3891" s="1">
        <v>0.80463259700366507</v>
      </c>
      <c r="N3891" s="1">
        <v>2.4742837526288284</v>
      </c>
      <c r="O3891" s="1">
        <v>0.31008262295081968</v>
      </c>
      <c r="P3891" s="1">
        <v>0.19659729337218562</v>
      </c>
      <c r="Q3891" s="1">
        <v>2.7771511255708914</v>
      </c>
      <c r="R3891" s="2">
        <f t="shared" si="243"/>
        <v>88.335760770564818</v>
      </c>
      <c r="S3891" s="2">
        <f t="shared" si="242"/>
        <v>3.6442229273443876</v>
      </c>
      <c r="T3891" s="2">
        <f t="shared" si="244"/>
        <v>8.6999284528363177</v>
      </c>
      <c r="U3891" s="2">
        <f t="shared" si="245"/>
        <v>100.67991215074552</v>
      </c>
    </row>
    <row r="3892" spans="1:21" x14ac:dyDescent="0.25">
      <c r="A3892">
        <v>4930205</v>
      </c>
      <c r="B3892">
        <v>60</v>
      </c>
      <c r="C3892" s="1">
        <f>2.12315421972105*(10.3/7.3)</f>
        <v>2.995683351113263</v>
      </c>
      <c r="D3892" s="1">
        <f>3.38170493384363*(10.3/7.3)</f>
        <v>4.7714466874780035</v>
      </c>
      <c r="E3892" s="1">
        <f>11.633662778233*(10.3/7.3)</f>
        <v>16.414620084356166</v>
      </c>
      <c r="F3892" s="1">
        <f>33.7551217129867*(38.9/42.5)</f>
        <v>30.895864344357243</v>
      </c>
      <c r="G3892" s="1">
        <v>1.7791825948598115</v>
      </c>
      <c r="H3892" s="1">
        <v>10.224441961175748</v>
      </c>
      <c r="I3892" s="1">
        <v>25.409394981766873</v>
      </c>
      <c r="J3892" s="1">
        <v>6.5010266204467884E-2</v>
      </c>
      <c r="K3892" s="1">
        <v>3.7457927944306082</v>
      </c>
      <c r="L3892" s="1">
        <v>5.6470539424294213</v>
      </c>
      <c r="M3892" s="1">
        <v>0.84923910347964371</v>
      </c>
      <c r="N3892" s="1">
        <v>2.8378429499952063</v>
      </c>
      <c r="O3892" s="1">
        <v>0.34182133333333314</v>
      </c>
      <c r="P3892" s="1">
        <v>0.21195302548896175</v>
      </c>
      <c r="Q3892" s="1">
        <v>2.8434425032006145</v>
      </c>
      <c r="R3892" s="2">
        <f t="shared" si="243"/>
        <v>95.334076508307717</v>
      </c>
      <c r="S3892" s="2">
        <f t="shared" si="242"/>
        <v>4.0227560861240379</v>
      </c>
      <c r="T3892" s="2">
        <f t="shared" si="244"/>
        <v>9.6759573292376047</v>
      </c>
      <c r="U3892" s="2">
        <f t="shared" si="245"/>
        <v>109.03278992366936</v>
      </c>
    </row>
    <row r="3893" spans="1:21" x14ac:dyDescent="0.25">
      <c r="A3893">
        <v>4930213</v>
      </c>
      <c r="B3893">
        <v>4</v>
      </c>
      <c r="C3893" s="1">
        <f>1.7416304980228*(10.3/7.3)</f>
        <v>2.4573690588540837</v>
      </c>
      <c r="D3893" s="1">
        <f>2.85072416572208*(10.3/7.3)</f>
        <v>4.0222546447859466</v>
      </c>
      <c r="E3893" s="1">
        <f>9.76596546280781*(10.3/7.3)</f>
        <v>13.779375926975403</v>
      </c>
      <c r="F3893" s="1">
        <f>29.959238742029*(38.9/42.5)</f>
        <v>27.42151498976299</v>
      </c>
      <c r="G3893" s="1">
        <v>1.6335654773747277</v>
      </c>
      <c r="H3893" s="1">
        <v>9.2979500567383493</v>
      </c>
      <c r="I3893" s="1">
        <v>22.671420121300741</v>
      </c>
      <c r="J3893" s="1">
        <v>5.7005320876350185E-2</v>
      </c>
      <c r="K3893" s="1">
        <v>3.2281544608457082</v>
      </c>
      <c r="L3893" s="1">
        <v>4.4627461932072805</v>
      </c>
      <c r="M3893" s="1">
        <v>0.65739071831499551</v>
      </c>
      <c r="N3893" s="1">
        <v>2.6689607523446037</v>
      </c>
      <c r="O3893" s="1">
        <v>0.28094666666666662</v>
      </c>
      <c r="P3893" s="1">
        <v>0.18542794520706082</v>
      </c>
      <c r="Q3893" s="1">
        <v>2.6107210825623532</v>
      </c>
      <c r="R3893" s="2">
        <f t="shared" si="243"/>
        <v>83.894171358354598</v>
      </c>
      <c r="S3893" s="2">
        <f t="shared" si="242"/>
        <v>3.4705877269291192</v>
      </c>
      <c r="T3893" s="2">
        <f t="shared" si="244"/>
        <v>8.0700443305335465</v>
      </c>
      <c r="U3893" s="2">
        <f t="shared" si="245"/>
        <v>95.434803415817271</v>
      </c>
    </row>
    <row r="3894" spans="1:21" x14ac:dyDescent="0.25">
      <c r="A3894">
        <v>4930397</v>
      </c>
      <c r="B3894">
        <v>31</v>
      </c>
      <c r="C3894" s="1">
        <f>12.7816980039358*(10.3/7.3)</f>
        <v>18.034450608292985</v>
      </c>
      <c r="D3894" s="1">
        <f>20.2515789625103*(10.3/7.3)</f>
        <v>28.5741456594323</v>
      </c>
      <c r="E3894" s="1">
        <f>71.1394281759173*(10.3/7.3)</f>
        <v>100.37480961807515</v>
      </c>
      <c r="F3894" s="1">
        <f>131.545200427904*(38.9/42.5)</f>
        <v>120.40254815636369</v>
      </c>
      <c r="G3894" s="1">
        <v>4.5798326414996282</v>
      </c>
      <c r="H3894" s="1">
        <v>8.8948597363595248</v>
      </c>
      <c r="I3894" s="1">
        <v>88.591649787691821</v>
      </c>
      <c r="J3894" s="1">
        <v>6.5749947871044739E-2</v>
      </c>
      <c r="K3894" s="1">
        <v>3.5698194114337394</v>
      </c>
      <c r="L3894" s="1">
        <v>5.0661998994425135</v>
      </c>
      <c r="M3894" s="1">
        <v>0.3357897930250282</v>
      </c>
      <c r="N3894" s="1">
        <v>2.8903161110764488</v>
      </c>
      <c r="O3894" s="1">
        <v>0.26379698924731182</v>
      </c>
      <c r="P3894" s="1">
        <v>0.17254170793643056</v>
      </c>
      <c r="Q3894" s="1">
        <v>7.3193672352733854</v>
      </c>
      <c r="R3894" s="2">
        <f t="shared" si="243"/>
        <v>376.77166344298854</v>
      </c>
      <c r="S3894" s="2">
        <f t="shared" si="242"/>
        <v>3.8081110672412146</v>
      </c>
      <c r="T3894" s="2">
        <f t="shared" si="244"/>
        <v>8.556102792791302</v>
      </c>
      <c r="U3894" s="2">
        <f t="shared" si="245"/>
        <v>389.13587730302106</v>
      </c>
    </row>
    <row r="3895" spans="1:21" x14ac:dyDescent="0.25">
      <c r="A3895">
        <v>4930405</v>
      </c>
      <c r="B3895">
        <v>68</v>
      </c>
      <c r="C3895" s="1">
        <f>13.3222752129763*(10.3/7.3)</f>
        <v>18.797182834747328</v>
      </c>
      <c r="D3895" s="1">
        <f>21.6748044421938*(10.3/7.3)</f>
        <v>30.582258322547357</v>
      </c>
      <c r="E3895" s="1">
        <f>76.0255425926038*(10.3/7.3)</f>
        <v>107.26891626079718</v>
      </c>
      <c r="F3895" s="1">
        <f>142.685655641599*(38.9/42.5)</f>
        <v>130.59934128136928</v>
      </c>
      <c r="G3895" s="1">
        <v>5.0976457636086936</v>
      </c>
      <c r="H3895" s="1">
        <v>8.7392056187720559</v>
      </c>
      <c r="I3895" s="1">
        <v>95.741700874800671</v>
      </c>
      <c r="J3895" s="1">
        <v>7.1424226443820238E-2</v>
      </c>
      <c r="K3895" s="1">
        <v>3.948493438424916</v>
      </c>
      <c r="L3895" s="1">
        <v>5.910302740846789</v>
      </c>
      <c r="M3895" s="1">
        <v>0.37281927462961462</v>
      </c>
      <c r="N3895" s="1">
        <v>3.1374263961384536</v>
      </c>
      <c r="O3895" s="1">
        <v>0.28915921568627462</v>
      </c>
      <c r="P3895" s="1">
        <v>0.18659493702102564</v>
      </c>
      <c r="Q3895" s="1">
        <v>8.1469224532559092</v>
      </c>
      <c r="R3895" s="2">
        <f t="shared" si="243"/>
        <v>404.97317340989844</v>
      </c>
      <c r="S3895" s="2">
        <f t="shared" si="242"/>
        <v>4.2065126018897621</v>
      </c>
      <c r="T3895" s="2">
        <f t="shared" si="244"/>
        <v>9.7097076273011318</v>
      </c>
      <c r="U3895" s="2">
        <f t="shared" si="245"/>
        <v>418.88939363908935</v>
      </c>
    </row>
    <row r="3896" spans="1:21" x14ac:dyDescent="0.25">
      <c r="A3896">
        <v>4930413</v>
      </c>
      <c r="B3896">
        <v>53</v>
      </c>
      <c r="C3896" s="1">
        <f>11.5705272852594*(10.3/7.3)</f>
        <v>16.325538498379725</v>
      </c>
      <c r="D3896" s="1">
        <f>18.4823042949624*(10.3/7.3)</f>
        <v>26.077771813440066</v>
      </c>
      <c r="E3896" s="1">
        <f>64.8596462336247*(10.3/7.3)</f>
        <v>91.514295370730764</v>
      </c>
      <c r="F3896" s="1">
        <f>122.238041155076*(38.9/42.5)</f>
        <v>111.88376002194003</v>
      </c>
      <c r="G3896" s="1">
        <v>4.3762772245317354</v>
      </c>
      <c r="H3896" s="1">
        <v>7.8297759574340109</v>
      </c>
      <c r="I3896" s="1">
        <v>82.616287890916226</v>
      </c>
      <c r="J3896" s="1">
        <v>6.0570692848464988E-2</v>
      </c>
      <c r="K3896" s="1">
        <v>3.560508973027857</v>
      </c>
      <c r="L3896" s="1">
        <v>5.1039909068385825</v>
      </c>
      <c r="M3896" s="1">
        <v>0.32278942506230701</v>
      </c>
      <c r="N3896" s="1">
        <v>2.787737474290044</v>
      </c>
      <c r="O3896" s="1">
        <v>0.25679798742138377</v>
      </c>
      <c r="P3896" s="1">
        <v>0.16947092350768431</v>
      </c>
      <c r="Q3896" s="1">
        <v>6.9940503588406795</v>
      </c>
      <c r="R3896" s="2">
        <f t="shared" si="243"/>
        <v>347.6177571362133</v>
      </c>
      <c r="S3896" s="2">
        <f t="shared" si="242"/>
        <v>3.7905505893840061</v>
      </c>
      <c r="T3896" s="2">
        <f t="shared" si="244"/>
        <v>8.4713157936123178</v>
      </c>
      <c r="U3896" s="2">
        <f t="shared" si="245"/>
        <v>359.87962351920959</v>
      </c>
    </row>
    <row r="3897" spans="1:21" x14ac:dyDescent="0.25">
      <c r="A3897">
        <v>4930421</v>
      </c>
      <c r="B3897">
        <v>65</v>
      </c>
      <c r="C3897" s="1">
        <f>10.7181550713168*(10.3/7.3)</f>
        <v>15.122876333501793</v>
      </c>
      <c r="D3897" s="1">
        <f>17.4051749582426*(10.3/7.3)</f>
        <v>24.557986584917707</v>
      </c>
      <c r="E3897" s="1">
        <f>61.0020024930996*(10.3/7.3)</f>
        <v>86.071318586154305</v>
      </c>
      <c r="F3897" s="1">
        <f>117.088222147044*(38.9/42.5)</f>
        <v>107.17016097694183</v>
      </c>
      <c r="G3897" s="1">
        <v>4.307347154701187</v>
      </c>
      <c r="H3897" s="1">
        <v>6.8026142606085829</v>
      </c>
      <c r="I3897" s="1">
        <v>79.191474242899261</v>
      </c>
      <c r="J3897" s="1">
        <v>6.0297100431113491E-2</v>
      </c>
      <c r="K3897" s="1">
        <v>3.5776875554916865</v>
      </c>
      <c r="L3897" s="1">
        <v>5.1422631484087757</v>
      </c>
      <c r="M3897" s="1">
        <v>0.31678810694925214</v>
      </c>
      <c r="N3897" s="1">
        <v>2.7672685769373637</v>
      </c>
      <c r="O3897" s="1">
        <v>0.25402010256410257</v>
      </c>
      <c r="P3897" s="1">
        <v>0.16933208876142622</v>
      </c>
      <c r="Q3897" s="1">
        <v>6.8838881467827244</v>
      </c>
      <c r="R3897" s="2">
        <f t="shared" si="243"/>
        <v>330.10766628650737</v>
      </c>
      <c r="S3897" s="2">
        <f t="shared" si="242"/>
        <v>3.807316744684226</v>
      </c>
      <c r="T3897" s="2">
        <f t="shared" si="244"/>
        <v>8.4803399348594937</v>
      </c>
      <c r="U3897" s="2">
        <f t="shared" si="245"/>
        <v>342.39532296605108</v>
      </c>
    </row>
    <row r="3898" spans="1:21" x14ac:dyDescent="0.25">
      <c r="A3898">
        <v>4930429</v>
      </c>
      <c r="B3898">
        <v>61</v>
      </c>
      <c r="C3898" s="1">
        <f>9.48567849362372*(10.3/7.3)</f>
        <v>13.383902532099217</v>
      </c>
      <c r="D3898" s="1">
        <f>15.6212250173837*(10.3/7.3)</f>
        <v>22.040906531377068</v>
      </c>
      <c r="E3898" s="1">
        <f>54.6812296032252*(10.3/7.3)</f>
        <v>77.152967796331453</v>
      </c>
      <c r="F3898" s="1">
        <f>107.05266890254*(38.9/42.5)</f>
        <v>97.984678124913472</v>
      </c>
      <c r="G3898" s="1">
        <v>4.0471651761297034</v>
      </c>
      <c r="H3898" s="1">
        <v>6.5846345709424376</v>
      </c>
      <c r="I3898" s="1">
        <v>72.55401817235807</v>
      </c>
      <c r="J3898" s="1">
        <v>5.6296879750688041E-2</v>
      </c>
      <c r="K3898" s="1">
        <v>3.4010918541929183</v>
      </c>
      <c r="L3898" s="1">
        <v>4.8176793013107977</v>
      </c>
      <c r="M3898" s="1">
        <v>0.29345644370163837</v>
      </c>
      <c r="N3898" s="1">
        <v>3.036961351633801</v>
      </c>
      <c r="O3898" s="1">
        <v>0.23816655737704914</v>
      </c>
      <c r="P3898" s="1">
        <v>0.16122834400257638</v>
      </c>
      <c r="Q3898" s="1">
        <v>6.4680721992940535</v>
      </c>
      <c r="R3898" s="2">
        <f t="shared" si="243"/>
        <v>300.21634510344552</v>
      </c>
      <c r="S3898" s="2">
        <f t="shared" si="242"/>
        <v>3.6186170779461828</v>
      </c>
      <c r="T3898" s="2">
        <f t="shared" si="244"/>
        <v>8.3862636540232849</v>
      </c>
      <c r="U3898" s="2">
        <f t="shared" si="245"/>
        <v>312.221225835415</v>
      </c>
    </row>
    <row r="3899" spans="1:21" x14ac:dyDescent="0.25">
      <c r="A3899">
        <v>4930437</v>
      </c>
      <c r="B3899">
        <v>51</v>
      </c>
      <c r="C3899" s="1">
        <f>8.2658045332549*(10.3/7.3)</f>
        <v>11.662710505825407</v>
      </c>
      <c r="D3899" s="1">
        <f>13.749827512554*(10.3/7.3)</f>
        <v>19.40044155880911</v>
      </c>
      <c r="E3899" s="1">
        <f>48.015485264952*(10.3/7.3)</f>
        <v>67.747876469726762</v>
      </c>
      <c r="F3899" s="1">
        <f>98.9629486705306*(38.9/42.5)</f>
        <v>90.580204783144438</v>
      </c>
      <c r="G3899" s="1">
        <v>3.9770447764247541</v>
      </c>
      <c r="H3899" s="1">
        <v>8.245699900141588</v>
      </c>
      <c r="I3899" s="1">
        <v>67.952144605427748</v>
      </c>
      <c r="J3899" s="1">
        <v>5.0095429957867407E-2</v>
      </c>
      <c r="K3899" s="1">
        <v>3.1461841779323705</v>
      </c>
      <c r="L3899" s="1">
        <v>4.3000864001830506</v>
      </c>
      <c r="M3899" s="1">
        <v>0.26276570950318412</v>
      </c>
      <c r="N3899" s="1">
        <v>2.4379836163825854</v>
      </c>
      <c r="O3899" s="1">
        <v>0.21649568627450982</v>
      </c>
      <c r="P3899" s="1">
        <v>0.14933192270952708</v>
      </c>
      <c r="Q3899" s="1">
        <v>6.3560076335555475</v>
      </c>
      <c r="R3899" s="2">
        <f t="shared" si="243"/>
        <v>275.92213023305533</v>
      </c>
      <c r="S3899" s="2">
        <f t="shared" si="242"/>
        <v>3.3456115305997649</v>
      </c>
      <c r="T3899" s="2">
        <f t="shared" si="244"/>
        <v>7.2173314123433299</v>
      </c>
      <c r="U3899" s="2">
        <f t="shared" si="245"/>
        <v>286.48507317599842</v>
      </c>
    </row>
    <row r="3900" spans="1:21" x14ac:dyDescent="0.25">
      <c r="A3900">
        <v>4930445</v>
      </c>
      <c r="B3900">
        <v>49</v>
      </c>
      <c r="C3900" s="1">
        <f>8.10401900699359*(10.3/7.3)</f>
        <v>11.434437776990952</v>
      </c>
      <c r="D3900" s="1">
        <f>15.4571153676298*(10.3/7.3)</f>
        <v>21.809354559806486</v>
      </c>
      <c r="E3900" s="1">
        <f>53.9672246956987*(10.3/7.3)</f>
        <v>76.14553621447898</v>
      </c>
      <c r="F3900" s="1">
        <f>99.7911374825146*(38.9/42.5)</f>
        <v>91.338241131054517</v>
      </c>
      <c r="G3900" s="1">
        <v>3.5953658866330676</v>
      </c>
      <c r="H3900" s="1">
        <v>7.7304222904488382</v>
      </c>
      <c r="I3900" s="1">
        <v>63.431840636633474</v>
      </c>
      <c r="J3900" s="1">
        <v>5.048979491114635E-2</v>
      </c>
      <c r="K3900" s="1">
        <v>3.1800126039715391</v>
      </c>
      <c r="L3900" s="1">
        <v>4.3989594477603884</v>
      </c>
      <c r="M3900" s="1">
        <v>0.26229028962007284</v>
      </c>
      <c r="N3900" s="1">
        <v>2.4781642127119126</v>
      </c>
      <c r="O3900" s="1">
        <v>0.21737578231292523</v>
      </c>
      <c r="P3900" s="1">
        <v>0.15001278116699954</v>
      </c>
      <c r="Q3900" s="1">
        <v>5.7460185402811641</v>
      </c>
      <c r="R3900" s="2">
        <f t="shared" si="243"/>
        <v>281.23121703632751</v>
      </c>
      <c r="S3900" s="2">
        <f t="shared" si="242"/>
        <v>3.3805151800496849</v>
      </c>
      <c r="T3900" s="2">
        <f t="shared" si="244"/>
        <v>7.3567897324052991</v>
      </c>
      <c r="U3900" s="2">
        <f t="shared" si="245"/>
        <v>291.9685219487825</v>
      </c>
    </row>
    <row r="3901" spans="1:21" x14ac:dyDescent="0.25">
      <c r="A3901">
        <v>4930453</v>
      </c>
      <c r="B3901">
        <v>51</v>
      </c>
      <c r="C3901" s="1">
        <f>9.58180752065939*(10.3/7.3)</f>
        <v>13.519536638738588</v>
      </c>
      <c r="D3901" s="1">
        <f>15.2912387971448*(10.3/7.3)</f>
        <v>21.575309535697528</v>
      </c>
      <c r="E3901" s="1">
        <f>53.5530174293303*(10.3/7.3)</f>
        <v>75.561106783849667</v>
      </c>
      <c r="F3901" s="1">
        <f>106.47183408674*(38.9/42.5)</f>
        <v>97.453043434686521</v>
      </c>
      <c r="G3901" s="1">
        <v>4.0787856264016913</v>
      </c>
      <c r="H3901" s="1">
        <v>8.116342156804329</v>
      </c>
      <c r="I3901" s="1">
        <v>73.190652295096768</v>
      </c>
      <c r="J3901" s="1">
        <v>5.9700878463178404E-2</v>
      </c>
      <c r="K3901" s="1">
        <v>3.5996552762348868</v>
      </c>
      <c r="L3901" s="1">
        <v>5.3085059673053276</v>
      </c>
      <c r="M3901" s="1">
        <v>0.29790897165963665</v>
      </c>
      <c r="N3901" s="1">
        <v>3.4614743706379962</v>
      </c>
      <c r="O3901" s="1">
        <v>0.2445699346405229</v>
      </c>
      <c r="P3901" s="1">
        <v>0.16457015204077</v>
      </c>
      <c r="Q3901" s="1">
        <v>6.5186071654821633</v>
      </c>
      <c r="R3901" s="2">
        <f t="shared" si="243"/>
        <v>300.01338363675723</v>
      </c>
      <c r="S3901" s="2">
        <f t="shared" si="242"/>
        <v>3.8239263067388354</v>
      </c>
      <c r="T3901" s="2">
        <f t="shared" si="244"/>
        <v>9.3124592442434846</v>
      </c>
      <c r="U3901" s="2">
        <f t="shared" si="245"/>
        <v>313.14976918773954</v>
      </c>
    </row>
    <row r="3902" spans="1:21" x14ac:dyDescent="0.25">
      <c r="A3902">
        <v>4930461</v>
      </c>
      <c r="B3902">
        <v>55</v>
      </c>
      <c r="C3902" s="1">
        <f>9.68703607401265*(10.3/7.3)</f>
        <v>13.668009803058947</v>
      </c>
      <c r="D3902" s="1">
        <f>15.3200224923492*(10.3/7.3)</f>
        <v>21.615922146739283</v>
      </c>
      <c r="E3902" s="1">
        <f>53.6774371491088*(10.3/7.3)</f>
        <v>75.736657895317833</v>
      </c>
      <c r="F3902" s="1">
        <f>106.405091206402*(38.9/42.5)</f>
        <v>97.391954068918267</v>
      </c>
      <c r="G3902" s="1">
        <v>4.0554561488466367</v>
      </c>
      <c r="H3902" s="1">
        <v>6.6538607779261225</v>
      </c>
      <c r="I3902" s="1">
        <v>73.279147297425382</v>
      </c>
      <c r="J3902" s="1">
        <v>6.2321399416291411E-2</v>
      </c>
      <c r="K3902" s="1">
        <v>3.7399128865655196</v>
      </c>
      <c r="L3902" s="1">
        <v>5.6452583341075862</v>
      </c>
      <c r="M3902" s="1">
        <v>0.30565907310193702</v>
      </c>
      <c r="N3902" s="1">
        <v>3.1134226926392925</v>
      </c>
      <c r="O3902" s="1">
        <v>0.2518545454545455</v>
      </c>
      <c r="P3902" s="1">
        <v>0.16867047363597357</v>
      </c>
      <c r="Q3902" s="1">
        <v>6.4813226123119811</v>
      </c>
      <c r="R3902" s="2">
        <f t="shared" si="243"/>
        <v>298.8823307505445</v>
      </c>
      <c r="S3902" s="2">
        <f t="shared" si="242"/>
        <v>3.9709047596177847</v>
      </c>
      <c r="T3902" s="2">
        <f t="shared" si="244"/>
        <v>9.3161946453033622</v>
      </c>
      <c r="U3902" s="2">
        <f t="shared" si="245"/>
        <v>312.16943015546565</v>
      </c>
    </row>
    <row r="3903" spans="1:21" x14ac:dyDescent="0.25">
      <c r="A3903">
        <v>4930469</v>
      </c>
      <c r="B3903">
        <v>60</v>
      </c>
      <c r="C3903" s="1">
        <f>8.79534520481118*(10.3/7.3)</f>
        <v>12.409870631445914</v>
      </c>
      <c r="D3903" s="1">
        <f>13.705501476901*(10.3/7.3)</f>
        <v>19.33789934412059</v>
      </c>
      <c r="E3903" s="1">
        <f>48.0400224260466*(10.3/7.3)</f>
        <v>67.782497395654744</v>
      </c>
      <c r="F3903" s="1">
        <f>95.548556672587*(38.9/42.5)</f>
        <v>87.455031872085499</v>
      </c>
      <c r="G3903" s="1">
        <v>3.6468477510994806</v>
      </c>
      <c r="H3903" s="1">
        <v>6.3656919150492364</v>
      </c>
      <c r="I3903" s="1">
        <v>66.163115906176458</v>
      </c>
      <c r="J3903" s="1">
        <v>6.1561531630726037E-2</v>
      </c>
      <c r="K3903" s="1">
        <v>3.698951493238094</v>
      </c>
      <c r="L3903" s="1">
        <v>5.5302885776157407</v>
      </c>
      <c r="M3903" s="1">
        <v>0.29623524225563658</v>
      </c>
      <c r="N3903" s="1">
        <v>2.9655236684452366</v>
      </c>
      <c r="O3903" s="1">
        <v>0.24639911111111107</v>
      </c>
      <c r="P3903" s="1">
        <v>0.16570903781162777</v>
      </c>
      <c r="Q3903" s="1">
        <v>5.8282954926247497</v>
      </c>
      <c r="R3903" s="2">
        <f t="shared" si="243"/>
        <v>268.98925030825666</v>
      </c>
      <c r="S3903" s="2">
        <f t="shared" si="242"/>
        <v>3.9262220626804476</v>
      </c>
      <c r="T3903" s="2">
        <f t="shared" si="244"/>
        <v>9.0384465994277257</v>
      </c>
      <c r="U3903" s="2">
        <f t="shared" si="245"/>
        <v>281.95391897036484</v>
      </c>
    </row>
    <row r="3904" spans="1:21" x14ac:dyDescent="0.25">
      <c r="A3904">
        <v>4930477</v>
      </c>
      <c r="B3904">
        <v>59</v>
      </c>
      <c r="C3904" s="1">
        <f>6.97269213974172*(10.3/7.3)</f>
        <v>9.8381820601835237</v>
      </c>
      <c r="D3904" s="1">
        <f>10.5940002936067*(10.3/7.3)</f>
        <v>14.947699044404043</v>
      </c>
      <c r="E3904" s="1">
        <f>37.1676870865601*(10.3/7.3)</f>
        <v>52.442079039941</v>
      </c>
      <c r="F3904" s="1">
        <f>73.9614280348354*(38.9/42.5)</f>
        <v>67.696460013061085</v>
      </c>
      <c r="G3904" s="1">
        <v>2.8118730642304177</v>
      </c>
      <c r="H3904" s="1">
        <v>5.4640373202538282</v>
      </c>
      <c r="I3904" s="1">
        <v>51.620149941802701</v>
      </c>
      <c r="J3904" s="1">
        <v>5.2115316220987022E-2</v>
      </c>
      <c r="K3904" s="1">
        <v>3.2331696917121002</v>
      </c>
      <c r="L3904" s="1">
        <v>4.5970924672983395</v>
      </c>
      <c r="M3904" s="1">
        <v>0.2493255339696393</v>
      </c>
      <c r="N3904" s="1">
        <v>2.4711092078980661</v>
      </c>
      <c r="O3904" s="1">
        <v>0.21080949152542369</v>
      </c>
      <c r="P3904" s="1">
        <v>0.1471174770789889</v>
      </c>
      <c r="Q3904" s="1">
        <v>4.4938610615554646</v>
      </c>
      <c r="R3904" s="2">
        <f t="shared" si="243"/>
        <v>209.31434154543206</v>
      </c>
      <c r="S3904" s="2">
        <f t="shared" si="242"/>
        <v>3.432402485012076</v>
      </c>
      <c r="T3904" s="2">
        <f t="shared" si="244"/>
        <v>7.5283367006914679</v>
      </c>
      <c r="U3904" s="2">
        <f t="shared" si="245"/>
        <v>220.27508073113557</v>
      </c>
    </row>
    <row r="3905" spans="1:21" x14ac:dyDescent="0.25">
      <c r="A3905">
        <v>4930485</v>
      </c>
      <c r="B3905">
        <v>50</v>
      </c>
      <c r="C3905" s="1">
        <f>7.37696966479657*(10.3/7.3)</f>
        <v>10.408601033891049</v>
      </c>
      <c r="D3905" s="1">
        <f>11.0035267757833*(10.3/7.3)</f>
        <v>15.52552408089978</v>
      </c>
      <c r="E3905" s="1">
        <f>38.6248649102017*(10.3/7.3)</f>
        <v>54.498097065079044</v>
      </c>
      <c r="F3905" s="1">
        <f>77.1872445610999*(38.9/42.5)</f>
        <v>70.649030904159645</v>
      </c>
      <c r="G3905" s="1">
        <v>2.9396667946872101</v>
      </c>
      <c r="H3905" s="1">
        <v>5.6897542355873147</v>
      </c>
      <c r="I3905" s="1">
        <v>54.243082847792564</v>
      </c>
      <c r="J3905" s="1">
        <v>5.5745004496381194E-2</v>
      </c>
      <c r="K3905" s="1">
        <v>3.3440161199608189</v>
      </c>
      <c r="L3905" s="1">
        <v>4.7617170895064529</v>
      </c>
      <c r="M3905" s="1">
        <v>0.25368533549151789</v>
      </c>
      <c r="N3905" s="1">
        <v>2.5227451279346109</v>
      </c>
      <c r="O3905" s="1">
        <v>0.21663893333333337</v>
      </c>
      <c r="P3905" s="1">
        <v>0.14960379507534827</v>
      </c>
      <c r="Q3905" s="1">
        <v>4.6980976170800224</v>
      </c>
      <c r="R3905" s="2">
        <f t="shared" si="243"/>
        <v>218.65185457917664</v>
      </c>
      <c r="S3905" s="2">
        <f t="shared" si="242"/>
        <v>3.5493649195325481</v>
      </c>
      <c r="T3905" s="2">
        <f t="shared" si="244"/>
        <v>7.7547864862659148</v>
      </c>
      <c r="U3905" s="2">
        <f t="shared" si="245"/>
        <v>229.95600598497509</v>
      </c>
    </row>
    <row r="3906" spans="1:21" x14ac:dyDescent="0.25">
      <c r="A3906">
        <v>4930493</v>
      </c>
      <c r="B3906">
        <v>60</v>
      </c>
      <c r="C3906" s="1">
        <f>8.14174834991314*(10.3/7.3)</f>
        <v>11.487672329329497</v>
      </c>
      <c r="D3906" s="1">
        <f>12.0969926372203*(10.3/7.3)</f>
        <v>17.068359474434072</v>
      </c>
      <c r="E3906" s="1">
        <f>42.4452064495771*(10.3/7.3)</f>
        <v>59.888441976800642</v>
      </c>
      <c r="F3906" s="1">
        <f>86.0477289936136*(38.9/42.5)</f>
        <v>78.758980184742796</v>
      </c>
      <c r="G3906" s="1">
        <v>3.3311681520617582</v>
      </c>
      <c r="H3906" s="1">
        <v>6.1895638389503755</v>
      </c>
      <c r="I3906" s="1">
        <v>60.777323416000407</v>
      </c>
      <c r="J3906" s="1">
        <v>6.5581967190690441E-2</v>
      </c>
      <c r="K3906" s="1">
        <v>3.6562446054741131</v>
      </c>
      <c r="L3906" s="1">
        <v>5.3657896447827076</v>
      </c>
      <c r="M3906" s="1">
        <v>0.27446436027097426</v>
      </c>
      <c r="N3906" s="1">
        <v>2.8245218800127234</v>
      </c>
      <c r="O3906" s="1">
        <v>0.2332471111111111</v>
      </c>
      <c r="P3906" s="1">
        <v>0.15835228330632406</v>
      </c>
      <c r="Q3906" s="1">
        <v>5.3237847179069275</v>
      </c>
      <c r="R3906" s="2">
        <f t="shared" si="243"/>
        <v>242.82529409022646</v>
      </c>
      <c r="S3906" s="2">
        <f t="shared" si="242"/>
        <v>3.8801788559711277</v>
      </c>
      <c r="T3906" s="2">
        <f t="shared" si="244"/>
        <v>8.6980229961775173</v>
      </c>
      <c r="U3906" s="2">
        <f t="shared" si="245"/>
        <v>255.40349594237512</v>
      </c>
    </row>
    <row r="3907" spans="1:21" x14ac:dyDescent="0.25">
      <c r="A3907">
        <v>4930501</v>
      </c>
      <c r="B3907">
        <v>59</v>
      </c>
      <c r="C3907" s="1">
        <f>8.09045421581618*(10.3/7.3)</f>
        <v>11.415298414096798</v>
      </c>
      <c r="D3907" s="1">
        <f>11.8533227058304*(10.3/7.3)</f>
        <v>16.724551215075714</v>
      </c>
      <c r="E3907" s="1">
        <f>41.5925539101385*(10.3/7.3)</f>
        <v>58.685384284168045</v>
      </c>
      <c r="F3907" s="1">
        <f>85.3360917315214*(38.9/42.5)</f>
        <v>78.107622784851316</v>
      </c>
      <c r="G3907" s="1">
        <v>3.3414918045669975</v>
      </c>
      <c r="H3907" s="1">
        <v>6.1871517495096908</v>
      </c>
      <c r="I3907" s="1">
        <v>60.723177855528874</v>
      </c>
      <c r="J3907" s="1">
        <v>7.0077876505908618E-2</v>
      </c>
      <c r="K3907" s="1">
        <v>3.6993477292580441</v>
      </c>
      <c r="L3907" s="1">
        <v>5.3966225273106536</v>
      </c>
      <c r="M3907" s="1">
        <v>0.27076375358724258</v>
      </c>
      <c r="N3907" s="1">
        <v>2.9749312482770995</v>
      </c>
      <c r="O3907" s="1">
        <v>0.23195661016949146</v>
      </c>
      <c r="P3907" s="1">
        <v>0.15728100781424342</v>
      </c>
      <c r="Q3907" s="1">
        <v>5.3402837059289965</v>
      </c>
      <c r="R3907" s="2">
        <f t="shared" si="243"/>
        <v>240.52496181372641</v>
      </c>
      <c r="S3907" s="2">
        <f t="shared" si="242"/>
        <v>3.9267066135781961</v>
      </c>
      <c r="T3907" s="2">
        <f t="shared" si="244"/>
        <v>8.8742741393444877</v>
      </c>
      <c r="U3907" s="2">
        <f t="shared" si="245"/>
        <v>253.3259425666491</v>
      </c>
    </row>
    <row r="3908" spans="1:21" x14ac:dyDescent="0.25">
      <c r="A3908">
        <v>4930509</v>
      </c>
      <c r="B3908">
        <v>9</v>
      </c>
      <c r="C3908" s="1">
        <f>7.81271506288173*(10.3/7.3)</f>
        <v>11.023419883244079</v>
      </c>
      <c r="D3908" s="1">
        <f>11.3024363823475*(10.3/7.3)</f>
        <v>15.947273251805422</v>
      </c>
      <c r="E3908" s="1">
        <f>39.664424355863*(10.3/7.3)</f>
        <v>55.964872721286191</v>
      </c>
      <c r="F3908" s="1">
        <f>82.1216602067034*(38.9/42.5)</f>
        <v>75.165472518606208</v>
      </c>
      <c r="G3908" s="1">
        <v>3.2417378187026893</v>
      </c>
      <c r="H3908" s="1">
        <v>5.8332394603710531</v>
      </c>
      <c r="I3908" s="1">
        <v>58.795644609238089</v>
      </c>
      <c r="J3908" s="1">
        <v>8.7200666013342296E-2</v>
      </c>
      <c r="K3908" s="1">
        <v>3.3721624906123804</v>
      </c>
      <c r="L3908" s="1">
        <v>4.805479621712113</v>
      </c>
      <c r="M3908" s="1">
        <v>0.24288304115918832</v>
      </c>
      <c r="N3908" s="1">
        <v>2.7208829797756402</v>
      </c>
      <c r="O3908" s="1">
        <v>0.21100444444444444</v>
      </c>
      <c r="P3908" s="1">
        <v>0.14374246013375958</v>
      </c>
      <c r="Q3908" s="1">
        <v>5.1808595276070424</v>
      </c>
      <c r="R3908" s="2">
        <f t="shared" si="243"/>
        <v>231.15251979086079</v>
      </c>
      <c r="S3908" s="2">
        <f t="shared" si="242"/>
        <v>3.6031056167594824</v>
      </c>
      <c r="T3908" s="2">
        <f t="shared" si="244"/>
        <v>7.9802500870913864</v>
      </c>
      <c r="U3908" s="2">
        <f t="shared" si="245"/>
        <v>242.73587549471165</v>
      </c>
    </row>
    <row r="3909" spans="1:21" x14ac:dyDescent="0.25">
      <c r="A3909">
        <v>4930605</v>
      </c>
      <c r="B3909">
        <v>36</v>
      </c>
      <c r="C3909" s="1">
        <f>3.35745610341499*(10.3/7.3)</f>
        <v>4.7372325842704655</v>
      </c>
      <c r="D3909" s="1">
        <f>4.62137001791032*(10.3/7.3)</f>
        <v>6.5205631759556564</v>
      </c>
      <c r="E3909" s="1">
        <f>16.1296555530312*(10.3/7.3)</f>
        <v>22.758281122770018</v>
      </c>
      <c r="F3909" s="1">
        <f>39.5049796108141*(38.9/42.5)</f>
        <v>36.158675455545158</v>
      </c>
      <c r="G3909" s="1">
        <v>1.8199308291357967</v>
      </c>
      <c r="H3909" s="1">
        <v>8.2359190320735731</v>
      </c>
      <c r="I3909" s="1">
        <v>29.74858087573871</v>
      </c>
      <c r="J3909" s="1">
        <v>3.3280154268489882E-2</v>
      </c>
      <c r="K3909" s="1">
        <v>2.1705408093958511</v>
      </c>
      <c r="L3909" s="1">
        <v>2.9947301965067434</v>
      </c>
      <c r="M3909" s="1">
        <v>0.12407524447163645</v>
      </c>
      <c r="N3909" s="1">
        <v>1.6101725233582023</v>
      </c>
      <c r="O3909" s="1">
        <v>0.10854074074074076</v>
      </c>
      <c r="P3909" s="1">
        <v>8.7291346395692401E-2</v>
      </c>
      <c r="Q3909" s="1">
        <v>2.9085652520435139</v>
      </c>
      <c r="R3909" s="2">
        <f t="shared" si="243"/>
        <v>112.88774832753289</v>
      </c>
      <c r="S3909" s="2">
        <f t="shared" si="242"/>
        <v>2.2911123100600337</v>
      </c>
      <c r="T3909" s="2">
        <f t="shared" si="244"/>
        <v>4.837518705077323</v>
      </c>
      <c r="U3909" s="2">
        <f t="shared" si="245"/>
        <v>120.01637934267025</v>
      </c>
    </row>
    <row r="3910" spans="1:21" x14ac:dyDescent="0.25">
      <c r="A3910">
        <v>4942185</v>
      </c>
      <c r="B3910">
        <v>56</v>
      </c>
      <c r="C3910" s="1">
        <f>0.751647762898655*(10.3/7.3)</f>
        <v>1.0605441038159102</v>
      </c>
      <c r="D3910" s="1">
        <f>1.0770236830138*(10.3/7.3)</f>
        <v>1.5196361554852269</v>
      </c>
      <c r="E3910" s="1">
        <f>3.73105801722851*(10.3/7.3)</f>
        <v>5.2643695311580361</v>
      </c>
      <c r="F3910" s="1">
        <f>10.2540948156963*(38.9/42.5)</f>
        <v>9.3855126666020219</v>
      </c>
      <c r="G3910" s="1">
        <v>0.51701216930067007</v>
      </c>
      <c r="H3910" s="1">
        <v>2.4399141069680672</v>
      </c>
      <c r="I3910" s="1">
        <v>7.810494043860011</v>
      </c>
      <c r="J3910" s="1">
        <v>4.9685036680191842E-2</v>
      </c>
      <c r="K3910" s="1">
        <v>3.0599021088636378</v>
      </c>
      <c r="L3910" s="1">
        <v>2.3771417894557785</v>
      </c>
      <c r="M3910" s="1">
        <v>0.63064986643704324</v>
      </c>
      <c r="N3910" s="1">
        <v>1.5287963432780969</v>
      </c>
      <c r="O3910" s="1">
        <v>0.46555047619047618</v>
      </c>
      <c r="P3910" s="1">
        <v>0.2290322425376026</v>
      </c>
      <c r="Q3910" s="1">
        <v>0.82627515641659666</v>
      </c>
      <c r="R3910" s="2">
        <f t="shared" si="243"/>
        <v>28.82375793360654</v>
      </c>
      <c r="S3910" s="2">
        <f t="shared" si="242"/>
        <v>3.3386193880814323</v>
      </c>
      <c r="T3910" s="2">
        <f t="shared" si="244"/>
        <v>5.0021384753613951</v>
      </c>
      <c r="U3910" s="2">
        <f t="shared" si="245"/>
        <v>37.164515797049361</v>
      </c>
    </row>
    <row r="3911" spans="1:21" x14ac:dyDescent="0.25">
      <c r="A3911">
        <v>4942417</v>
      </c>
      <c r="B3911">
        <v>54</v>
      </c>
      <c r="C3911" s="1">
        <f>1.37196038304026*(10.3/7.3)</f>
        <v>1.93577971853626</v>
      </c>
      <c r="D3911" s="1">
        <f>2.2461327464599*(10.3/7.3)</f>
        <v>3.1692009984297194</v>
      </c>
      <c r="E3911" s="1">
        <f>7.69373303337956*(10.3/7.3)</f>
        <v>10.855541129288962</v>
      </c>
      <c r="F3911" s="1">
        <f>23.6524306921826*(38.9/42.5)</f>
        <v>21.64893068060945</v>
      </c>
      <c r="G3911" s="1">
        <v>1.2911853335641992</v>
      </c>
      <c r="H3911" s="1">
        <v>6.6124852078071035</v>
      </c>
      <c r="I3911" s="1">
        <v>17.904995900435441</v>
      </c>
      <c r="J3911" s="1">
        <v>4.0654292353603919E-2</v>
      </c>
      <c r="K3911" s="1">
        <v>2.618685705488577</v>
      </c>
      <c r="L3911" s="1">
        <v>4.1770134702263677</v>
      </c>
      <c r="M3911" s="1">
        <v>0.67510555848300746</v>
      </c>
      <c r="N3911" s="1">
        <v>1.8800334386941497</v>
      </c>
      <c r="O3911" s="1">
        <v>0.24504395061728398</v>
      </c>
      <c r="P3911" s="1">
        <v>0.15816203921450109</v>
      </c>
      <c r="Q3911" s="1">
        <v>2.0635382043263473</v>
      </c>
      <c r="R3911" s="2">
        <f t="shared" si="243"/>
        <v>65.481657172997487</v>
      </c>
      <c r="S3911" s="2">
        <f t="shared" si="242"/>
        <v>2.8175020370566819</v>
      </c>
      <c r="T3911" s="2">
        <f t="shared" si="244"/>
        <v>6.9771964180208093</v>
      </c>
      <c r="U3911" s="2">
        <f t="shared" si="245"/>
        <v>75.276355628074981</v>
      </c>
    </row>
    <row r="3912" spans="1:21" x14ac:dyDescent="0.25">
      <c r="A3912">
        <v>4942425</v>
      </c>
      <c r="B3912">
        <v>47</v>
      </c>
      <c r="C3912" s="1">
        <f>1.66741051469127*(10.3/7.3)</f>
        <v>2.352647712509599</v>
      </c>
      <c r="D3912" s="1">
        <f>2.69866935181925*(10.3/7.3)</f>
        <v>3.8077115511970185</v>
      </c>
      <c r="E3912" s="1">
        <f>9.26321797390683*(10.3/7.3)</f>
        <v>13.070019880991829</v>
      </c>
      <c r="F3912" s="1">
        <f>27.6689616337118*(38.9/42.5)</f>
        <v>25.325237824738601</v>
      </c>
      <c r="G3912" s="1">
        <v>1.4852016854946541</v>
      </c>
      <c r="H3912" s="1">
        <v>6.6786491433405244</v>
      </c>
      <c r="I3912" s="1">
        <v>20.878407596222122</v>
      </c>
      <c r="J3912" s="1">
        <v>4.859894740724905E-2</v>
      </c>
      <c r="K3912" s="1">
        <v>2.9941381920265235</v>
      </c>
      <c r="L3912" s="1">
        <v>4.5064413073546277</v>
      </c>
      <c r="M3912" s="1">
        <v>0.73164565034838225</v>
      </c>
      <c r="N3912" s="1">
        <v>2.1683577611002764</v>
      </c>
      <c r="O3912" s="1">
        <v>0.27686127659574467</v>
      </c>
      <c r="P3912" s="1">
        <v>0.17604682151199538</v>
      </c>
      <c r="Q3912" s="1">
        <v>2.3736099996489934</v>
      </c>
      <c r="R3912" s="2">
        <f t="shared" si="243"/>
        <v>75.971485394143329</v>
      </c>
      <c r="S3912" s="2">
        <f t="shared" si="242"/>
        <v>3.218783960945768</v>
      </c>
      <c r="T3912" s="2">
        <f t="shared" si="244"/>
        <v>7.6833059953990315</v>
      </c>
      <c r="U3912" s="2">
        <f t="shared" si="245"/>
        <v>86.873575350488125</v>
      </c>
    </row>
    <row r="3913" spans="1:21" x14ac:dyDescent="0.25">
      <c r="A3913">
        <v>4942433</v>
      </c>
      <c r="B3913">
        <v>52</v>
      </c>
      <c r="C3913" s="1">
        <f>1.77372362629851*(10.3/7.3)</f>
        <v>2.5026511439554264</v>
      </c>
      <c r="D3913" s="1">
        <f>3.05144017284948*(10.3/7.3)</f>
        <v>4.3054566822396803</v>
      </c>
      <c r="E3913" s="1">
        <f>10.3946499676002*(10.3/7.3)</f>
        <v>14.6664239268879</v>
      </c>
      <c r="F3913" s="1">
        <f>34.0138161850293*(38.9/42.5)</f>
        <v>31.132645872885647</v>
      </c>
      <c r="G3913" s="1">
        <v>1.9241408113607998</v>
      </c>
      <c r="H3913" s="1">
        <v>9.8552353442236349</v>
      </c>
      <c r="I3913" s="1">
        <v>25.824159747361517</v>
      </c>
      <c r="J3913" s="1">
        <v>5.6341096288200984E-2</v>
      </c>
      <c r="K3913" s="1">
        <v>3.3986917113915291</v>
      </c>
      <c r="L3913" s="1">
        <v>4.956914483171075</v>
      </c>
      <c r="M3913" s="1">
        <v>0.77968965193148521</v>
      </c>
      <c r="N3913" s="1">
        <v>2.8425960489061284</v>
      </c>
      <c r="O3913" s="1">
        <v>0.30474769230769233</v>
      </c>
      <c r="P3913" s="1">
        <v>0.19623337859985029</v>
      </c>
      <c r="Q3913" s="1">
        <v>3.0751108857364424</v>
      </c>
      <c r="R3913" s="2">
        <f t="shared" si="243"/>
        <v>93.285824414651046</v>
      </c>
      <c r="S3913" s="2">
        <f t="shared" ref="S3913:S3976" si="246">J3913+K3913+P3913</f>
        <v>3.6512661862795808</v>
      </c>
      <c r="T3913" s="2">
        <f t="shared" si="244"/>
        <v>8.8839478763163804</v>
      </c>
      <c r="U3913" s="2">
        <f t="shared" si="245"/>
        <v>105.82103847724701</v>
      </c>
    </row>
    <row r="3914" spans="1:21" x14ac:dyDescent="0.25">
      <c r="A3914">
        <v>4942441</v>
      </c>
      <c r="B3914">
        <v>59</v>
      </c>
      <c r="C3914" s="1">
        <f>1.98330417783912*(10.3/7.3)</f>
        <v>2.7983606892798485</v>
      </c>
      <c r="D3914" s="1">
        <f>3.19505287124772*(10.3/7.3)</f>
        <v>4.508088297787876</v>
      </c>
      <c r="E3914" s="1">
        <f>10.9806709008684*(10.3/7.3)</f>
        <v>15.493275380677275</v>
      </c>
      <c r="F3914" s="1">
        <f>32.1911277514237*(38.9/42.5)</f>
        <v>29.464349871303117</v>
      </c>
      <c r="G3914" s="1">
        <v>1.7087828681622887</v>
      </c>
      <c r="H3914" s="1">
        <v>9.2923705579534488</v>
      </c>
      <c r="I3914" s="1">
        <v>24.227032696795082</v>
      </c>
      <c r="J3914" s="1">
        <v>6.3824832541923726E-2</v>
      </c>
      <c r="K3914" s="1">
        <v>3.6039591459183113</v>
      </c>
      <c r="L3914" s="1">
        <v>5.3286285567247269</v>
      </c>
      <c r="M3914" s="1">
        <v>0.80394452648754633</v>
      </c>
      <c r="N3914" s="1">
        <v>3.2047273654905362</v>
      </c>
      <c r="O3914" s="1">
        <v>0.32674440677966093</v>
      </c>
      <c r="P3914" s="1">
        <v>0.2032966578041521</v>
      </c>
      <c r="Q3914" s="1">
        <v>2.7309315244602823</v>
      </c>
      <c r="R3914" s="2">
        <f t="shared" ref="R3914:R3977" si="247">C3914+D3914+E3914+F3914+G3914+H3914+I3914+Q3914</f>
        <v>90.223191886419215</v>
      </c>
      <c r="S3914" s="2">
        <f t="shared" si="246"/>
        <v>3.871080636264387</v>
      </c>
      <c r="T3914" s="2">
        <f t="shared" ref="T3914:T3977" si="248">L3914+M3914+N3914+O3914</f>
        <v>9.6640448554824694</v>
      </c>
      <c r="U3914" s="2">
        <f t="shared" ref="U3914:U3977" si="249">R3914+S3914+T3914</f>
        <v>103.75831737816607</v>
      </c>
    </row>
    <row r="3915" spans="1:21" x14ac:dyDescent="0.25">
      <c r="A3915">
        <v>4942625</v>
      </c>
      <c r="B3915">
        <v>3</v>
      </c>
      <c r="C3915" s="1">
        <f>14.9731166555761*(10.3/7.3)</f>
        <v>21.126452267456671</v>
      </c>
      <c r="D3915" s="1">
        <f>18.9502044858875*(10.3/7.3)</f>
        <v>26.737959754060459</v>
      </c>
      <c r="E3915" s="1">
        <f>67.3515238884146*(10.3/7.3)</f>
        <v>95.03023233570822</v>
      </c>
      <c r="F3915" s="1">
        <f>115.430123767041*(38.9/42.5)</f>
        <v>105.65251328324476</v>
      </c>
      <c r="G3915" s="1">
        <v>3.3490327597453642</v>
      </c>
      <c r="H3915" s="1">
        <v>7.7706856206363382</v>
      </c>
      <c r="I3915" s="1">
        <v>82.612549168790039</v>
      </c>
      <c r="J3915" s="1">
        <v>4.9908562592402457E-2</v>
      </c>
      <c r="K3915" s="1">
        <v>2.9146970212397583</v>
      </c>
      <c r="L3915" s="1">
        <v>3.6351821864234988</v>
      </c>
      <c r="M3915" s="1">
        <v>0.26326913343113051</v>
      </c>
      <c r="N3915" s="1">
        <v>2.3976587076436671</v>
      </c>
      <c r="O3915" s="1">
        <v>0.21272888888888888</v>
      </c>
      <c r="P3915" s="1">
        <v>0.14675386085995365</v>
      </c>
      <c r="Q3915" s="1">
        <v>5.3523354607802682</v>
      </c>
      <c r="R3915" s="2">
        <f t="shared" si="247"/>
        <v>347.63176065042217</v>
      </c>
      <c r="S3915" s="2">
        <f t="shared" si="246"/>
        <v>3.111359444692114</v>
      </c>
      <c r="T3915" s="2">
        <f t="shared" si="248"/>
        <v>6.5088389163871847</v>
      </c>
      <c r="U3915" s="2">
        <f t="shared" si="249"/>
        <v>357.25195901150147</v>
      </c>
    </row>
    <row r="3916" spans="1:21" x14ac:dyDescent="0.25">
      <c r="A3916">
        <v>4942633</v>
      </c>
      <c r="B3916">
        <v>65</v>
      </c>
      <c r="C3916" s="1">
        <f>13.5609781610032*(10.3/7.3)</f>
        <v>19.133982884703112</v>
      </c>
      <c r="D3916" s="1">
        <f>22.2135299860932*(10.3/7.3)</f>
        <v>31.342377925583524</v>
      </c>
      <c r="E3916" s="1">
        <f>77.9068978780195*(10.3/7.3)</f>
        <v>109.92343125254808</v>
      </c>
      <c r="F3916" s="1">
        <f>145.702111242049*(38.9/42.5)</f>
        <v>133.36028534860517</v>
      </c>
      <c r="G3916" s="1">
        <v>5.1873142334771796</v>
      </c>
      <c r="H3916" s="1">
        <v>8.4924929114275223</v>
      </c>
      <c r="I3916" s="1">
        <v>97.439635948548997</v>
      </c>
      <c r="J3916" s="1">
        <v>7.370209918080213E-2</v>
      </c>
      <c r="K3916" s="1">
        <v>4.0110801662805429</v>
      </c>
      <c r="L3916" s="1">
        <v>5.9988029090452049</v>
      </c>
      <c r="M3916" s="1">
        <v>0.38656837861782345</v>
      </c>
      <c r="N3916" s="1">
        <v>3.2262813151159255</v>
      </c>
      <c r="O3916" s="1">
        <v>0.2975721025641026</v>
      </c>
      <c r="P3916" s="1">
        <v>0.18981341514778061</v>
      </c>
      <c r="Q3916" s="1">
        <v>8.2902282270183356</v>
      </c>
      <c r="R3916" s="2">
        <f t="shared" si="247"/>
        <v>413.16974873191191</v>
      </c>
      <c r="S3916" s="2">
        <f t="shared" si="246"/>
        <v>4.2745956806091261</v>
      </c>
      <c r="T3916" s="2">
        <f t="shared" si="248"/>
        <v>9.9092247053430551</v>
      </c>
      <c r="U3916" s="2">
        <f t="shared" si="249"/>
        <v>427.35356911786408</v>
      </c>
    </row>
    <row r="3917" spans="1:21" x14ac:dyDescent="0.25">
      <c r="A3917">
        <v>4942641</v>
      </c>
      <c r="B3917">
        <v>65</v>
      </c>
      <c r="C3917" s="1">
        <f>12.0206305550943*(10.3/7.3)</f>
        <v>16.96061571472211</v>
      </c>
      <c r="D3917" s="1">
        <f>19.5122026591246*(10.3/7.3)</f>
        <v>27.530916080682672</v>
      </c>
      <c r="E3917" s="1">
        <f>68.4313842615701*(10.3/7.3)</f>
        <v>96.553870944407151</v>
      </c>
      <c r="F3917" s="1">
        <f>129.149287437212*(38.9/42.5)</f>
        <v>118.20958308958889</v>
      </c>
      <c r="G3917" s="1">
        <v>4.6466632790201441</v>
      </c>
      <c r="H3917" s="1">
        <v>8.3388018072215448</v>
      </c>
      <c r="I3917" s="1">
        <v>86.881655552762552</v>
      </c>
      <c r="J3917" s="1">
        <v>6.6621954671565425E-2</v>
      </c>
      <c r="K3917" s="1">
        <v>3.7973152830297856</v>
      </c>
      <c r="L3917" s="1">
        <v>5.5828950287228922</v>
      </c>
      <c r="M3917" s="1">
        <v>0.35396854183627863</v>
      </c>
      <c r="N3917" s="1">
        <v>2.9499025069143503</v>
      </c>
      <c r="O3917" s="1">
        <v>0.27703466666666676</v>
      </c>
      <c r="P3917" s="1">
        <v>0.18107851202636316</v>
      </c>
      <c r="Q3917" s="1">
        <v>7.4261741902148515</v>
      </c>
      <c r="R3917" s="2">
        <f t="shared" si="247"/>
        <v>366.54828065861989</v>
      </c>
      <c r="S3917" s="2">
        <f t="shared" si="246"/>
        <v>4.0450157497277139</v>
      </c>
      <c r="T3917" s="2">
        <f t="shared" si="248"/>
        <v>9.1638007441401879</v>
      </c>
      <c r="U3917" s="2">
        <f t="shared" si="249"/>
        <v>379.7570971524878</v>
      </c>
    </row>
    <row r="3918" spans="1:21" x14ac:dyDescent="0.25">
      <c r="A3918">
        <v>4942649</v>
      </c>
      <c r="B3918">
        <v>67</v>
      </c>
      <c r="C3918" s="1">
        <f>11.7079957226818*(10.3/7.3)</f>
        <v>16.519500814194817</v>
      </c>
      <c r="D3918" s="1">
        <f>19.0369235726392*(10.3/7.3)</f>
        <v>26.860316821669031</v>
      </c>
      <c r="E3918" s="1">
        <f>66.727342942783*(10.3/7.3)</f>
        <v>94.149538672693879</v>
      </c>
      <c r="F3918" s="1">
        <f>127.60637224896*(38.9/42.5)</f>
        <v>116.79736189375427</v>
      </c>
      <c r="G3918" s="1">
        <v>4.6730950366661208</v>
      </c>
      <c r="H3918" s="1">
        <v>8.4945770102519838</v>
      </c>
      <c r="I3918" s="1">
        <v>86.168493102702925</v>
      </c>
      <c r="J3918" s="1">
        <v>6.6583086730283458E-2</v>
      </c>
      <c r="K3918" s="1">
        <v>3.8388811057525558</v>
      </c>
      <c r="L3918" s="1">
        <v>5.6773949566050135</v>
      </c>
      <c r="M3918" s="1">
        <v>0.35069278408673149</v>
      </c>
      <c r="N3918" s="1">
        <v>2.9802649754465391</v>
      </c>
      <c r="O3918" s="1">
        <v>0.27770189054726363</v>
      </c>
      <c r="P3918" s="1">
        <v>0.18143780527121864</v>
      </c>
      <c r="Q3918" s="1">
        <v>7.468416725265496</v>
      </c>
      <c r="R3918" s="2">
        <f t="shared" si="247"/>
        <v>361.13130007719855</v>
      </c>
      <c r="S3918" s="2">
        <f t="shared" si="246"/>
        <v>4.0869019977540582</v>
      </c>
      <c r="T3918" s="2">
        <f t="shared" si="248"/>
        <v>9.2860546066855463</v>
      </c>
      <c r="U3918" s="2">
        <f t="shared" si="249"/>
        <v>374.50425668163814</v>
      </c>
    </row>
    <row r="3919" spans="1:21" x14ac:dyDescent="0.25">
      <c r="A3919">
        <v>4942657</v>
      </c>
      <c r="B3919">
        <v>67</v>
      </c>
      <c r="C3919" s="1">
        <f>10.9672918551793*(10.3/7.3)</f>
        <v>15.474398097033777</v>
      </c>
      <c r="D3919" s="1">
        <f>18.0448187710038*(10.3/7.3)</f>
        <v>25.460497717991647</v>
      </c>
      <c r="E3919" s="1">
        <f>63.1667445615728*(10.3/7.3)</f>
        <v>89.125680682767168</v>
      </c>
      <c r="F3919" s="1">
        <f>123.671443391848*(38.9/42.5)</f>
        <v>113.19574465747978</v>
      </c>
      <c r="G3919" s="1">
        <v>4.6750007229324018</v>
      </c>
      <c r="H3919" s="1">
        <v>6.993717329796679</v>
      </c>
      <c r="I3919" s="1">
        <v>83.841316210821034</v>
      </c>
      <c r="J3919" s="1">
        <v>6.4992961955115683E-2</v>
      </c>
      <c r="K3919" s="1">
        <v>3.7638794028933069</v>
      </c>
      <c r="L3919" s="1">
        <v>5.548330425442269</v>
      </c>
      <c r="M3919" s="1">
        <v>0.33555751028459491</v>
      </c>
      <c r="N3919" s="1">
        <v>2.9860243385524825</v>
      </c>
      <c r="O3919" s="1">
        <v>0.26936756218905472</v>
      </c>
      <c r="P3919" s="1">
        <v>0.17705614430647951</v>
      </c>
      <c r="Q3919" s="1">
        <v>7.4714623425860358</v>
      </c>
      <c r="R3919" s="2">
        <f t="shared" si="247"/>
        <v>346.23781776140851</v>
      </c>
      <c r="S3919" s="2">
        <f t="shared" si="246"/>
        <v>4.0059285091549022</v>
      </c>
      <c r="T3919" s="2">
        <f t="shared" si="248"/>
        <v>9.1392798364684023</v>
      </c>
      <c r="U3919" s="2">
        <f t="shared" si="249"/>
        <v>359.38302610703181</v>
      </c>
    </row>
    <row r="3920" spans="1:21" x14ac:dyDescent="0.25">
      <c r="A3920">
        <v>4942665</v>
      </c>
      <c r="B3920">
        <v>56</v>
      </c>
      <c r="C3920" s="1">
        <f>8.48034380135295*(10.3/7.3)</f>
        <v>11.965416596429503</v>
      </c>
      <c r="D3920" s="1">
        <f>14.071244463198*(10.3/7.3)</f>
        <v>19.853947667252033</v>
      </c>
      <c r="E3920" s="1">
        <f>49.1738636745061*(10.3/7.3)</f>
        <v>69.382300801015475</v>
      </c>
      <c r="F3920" s="1">
        <f>99.7475300018456*(38.9/42.5)</f>
        <v>91.298327460512766</v>
      </c>
      <c r="G3920" s="1">
        <v>3.9366322270448473</v>
      </c>
      <c r="H3920" s="1">
        <v>7.2873571328130522</v>
      </c>
      <c r="I3920" s="1">
        <v>68.207657666766949</v>
      </c>
      <c r="J3920" s="1">
        <v>5.1875742162847162E-2</v>
      </c>
      <c r="K3920" s="1">
        <v>3.1560983882499554</v>
      </c>
      <c r="L3920" s="1">
        <v>4.31093772154719</v>
      </c>
      <c r="M3920" s="1">
        <v>0.26794146498594318</v>
      </c>
      <c r="N3920" s="1">
        <v>2.4101475362705957</v>
      </c>
      <c r="O3920" s="1">
        <v>0.22151428571428572</v>
      </c>
      <c r="P3920" s="1">
        <v>0.15094883002347848</v>
      </c>
      <c r="Q3920" s="1">
        <v>6.2914213674232773</v>
      </c>
      <c r="R3920" s="2">
        <f t="shared" si="247"/>
        <v>278.22306091925788</v>
      </c>
      <c r="S3920" s="2">
        <f t="shared" si="246"/>
        <v>3.3589229604362809</v>
      </c>
      <c r="T3920" s="2">
        <f t="shared" si="248"/>
        <v>7.2105410085180148</v>
      </c>
      <c r="U3920" s="2">
        <f t="shared" si="249"/>
        <v>288.7925248882122</v>
      </c>
    </row>
    <row r="3921" spans="1:21" x14ac:dyDescent="0.25">
      <c r="A3921">
        <v>4942673</v>
      </c>
      <c r="B3921">
        <v>39</v>
      </c>
      <c r="C3921" s="1">
        <f>8.33440924567169*(10.3/7.3)</f>
        <v>11.759508935673757</v>
      </c>
      <c r="D3921" s="1">
        <f>13.9220860514411*(10.3/7.3)</f>
        <v>19.643491278060743</v>
      </c>
      <c r="E3921" s="1">
        <f>48.5051388374348*(10.3/7.3)</f>
        <v>68.438757537750547</v>
      </c>
      <c r="F3921" s="1">
        <f>105.274460874012*(38.9/42.5)</f>
        <v>96.357094776448264</v>
      </c>
      <c r="G3921" s="1">
        <v>4.4660556305696444</v>
      </c>
      <c r="H3921" s="1">
        <v>9.7110315047163152</v>
      </c>
      <c r="I3921" s="1">
        <v>73.304157278866327</v>
      </c>
      <c r="J3921" s="1">
        <v>5.2632699404536666E-2</v>
      </c>
      <c r="K3921" s="1">
        <v>3.2601264421146725</v>
      </c>
      <c r="L3921" s="1">
        <v>4.5485976850418757</v>
      </c>
      <c r="M3921" s="1">
        <v>0.27465540453273096</v>
      </c>
      <c r="N3921" s="1">
        <v>2.546828951293385</v>
      </c>
      <c r="O3921" s="1">
        <v>0.22410529914529911</v>
      </c>
      <c r="P3921" s="1">
        <v>0.15374042638367674</v>
      </c>
      <c r="Q3921" s="1">
        <v>7.1375318296775232</v>
      </c>
      <c r="R3921" s="2">
        <f t="shared" si="247"/>
        <v>290.81762877176311</v>
      </c>
      <c r="S3921" s="2">
        <f t="shared" si="246"/>
        <v>3.4664995679028858</v>
      </c>
      <c r="T3921" s="2">
        <f t="shared" si="248"/>
        <v>7.5941873400132911</v>
      </c>
      <c r="U3921" s="2">
        <f t="shared" si="249"/>
        <v>301.87831567967925</v>
      </c>
    </row>
    <row r="3922" spans="1:21" x14ac:dyDescent="0.25">
      <c r="A3922">
        <v>4942681</v>
      </c>
      <c r="B3922">
        <v>12</v>
      </c>
      <c r="C3922" s="1">
        <f>7.85696970807761*(10.3/7.3)</f>
        <v>11.085861368931425</v>
      </c>
      <c r="D3922" s="1">
        <f>14.6518080085377*(10.3/7.3)</f>
        <v>20.673098970950463</v>
      </c>
      <c r="E3922" s="1">
        <f>50.8968093352232*(10.3/7.3)</f>
        <v>71.813306322301301</v>
      </c>
      <c r="F3922" s="1">
        <f>108.897090734104*(38.9/42.5)</f>
        <v>99.672866577803092</v>
      </c>
      <c r="G3922" s="1">
        <v>4.6215507605114903</v>
      </c>
      <c r="H3922" s="1">
        <v>8.385678283047648</v>
      </c>
      <c r="I3922" s="1">
        <v>73.423917257677985</v>
      </c>
      <c r="J3922" s="1">
        <v>4.5610904386966446E-2</v>
      </c>
      <c r="K3922" s="1">
        <v>2.9506369351438089</v>
      </c>
      <c r="L3922" s="1">
        <v>3.931333834863318</v>
      </c>
      <c r="M3922" s="1">
        <v>0.24031106534257896</v>
      </c>
      <c r="N3922" s="1">
        <v>2.2487465645180826</v>
      </c>
      <c r="O3922" s="1">
        <v>0.20136444444444443</v>
      </c>
      <c r="P3922" s="1">
        <v>0.14040421334118491</v>
      </c>
      <c r="Q3922" s="1">
        <v>7.3860400282147163</v>
      </c>
      <c r="R3922" s="2">
        <f t="shared" si="247"/>
        <v>297.0623195694381</v>
      </c>
      <c r="S3922" s="2">
        <f t="shared" si="246"/>
        <v>3.1366520528719604</v>
      </c>
      <c r="T3922" s="2">
        <f t="shared" si="248"/>
        <v>6.6217559091684244</v>
      </c>
      <c r="U3922" s="2">
        <f t="shared" si="249"/>
        <v>306.8207275314785</v>
      </c>
    </row>
    <row r="3923" spans="1:21" x14ac:dyDescent="0.25">
      <c r="A3923">
        <v>4942689</v>
      </c>
      <c r="B3923">
        <v>38</v>
      </c>
      <c r="C3923" s="1">
        <f>9.31772237831971*(10.3/7.3)</f>
        <v>13.14692335571138</v>
      </c>
      <c r="D3923" s="1">
        <f>14.7362867622663*(10.3/7.3)</f>
        <v>20.792295020731856</v>
      </c>
      <c r="E3923" s="1">
        <f>51.6057426069119*(10.3/7.3)</f>
        <v>72.813582034410004</v>
      </c>
      <c r="F3923" s="1">
        <f>103.629954316893*(38.9/42.5)</f>
        <v>94.851887598285174</v>
      </c>
      <c r="G3923" s="1">
        <v>4.0109107802616002</v>
      </c>
      <c r="H3923" s="1">
        <v>6.6476312002475417</v>
      </c>
      <c r="I3923" s="1">
        <v>71.641117659132718</v>
      </c>
      <c r="J3923" s="1">
        <v>5.9338524626536431E-2</v>
      </c>
      <c r="K3923" s="1">
        <v>3.5879072376389542</v>
      </c>
      <c r="L3923" s="1">
        <v>5.2768549369641065</v>
      </c>
      <c r="M3923" s="1">
        <v>0.29492797249368735</v>
      </c>
      <c r="N3923" s="1">
        <v>3.2393381732155917</v>
      </c>
      <c r="O3923" s="1">
        <v>0.24307228070175435</v>
      </c>
      <c r="P3923" s="1">
        <v>0.16381323577124041</v>
      </c>
      <c r="Q3923" s="1">
        <v>6.4101313839797314</v>
      </c>
      <c r="R3923" s="2">
        <f t="shared" si="247"/>
        <v>290.31447903276</v>
      </c>
      <c r="S3923" s="2">
        <f t="shared" si="246"/>
        <v>3.8110589980367311</v>
      </c>
      <c r="T3923" s="2">
        <f t="shared" si="248"/>
        <v>9.0541933633751412</v>
      </c>
      <c r="U3923" s="2">
        <f t="shared" si="249"/>
        <v>303.17973139417188</v>
      </c>
    </row>
    <row r="3924" spans="1:21" x14ac:dyDescent="0.25">
      <c r="A3924">
        <v>4942697</v>
      </c>
      <c r="B3924">
        <v>71</v>
      </c>
      <c r="C3924" s="1">
        <f>9.0527800856594*(10.3/7.3)</f>
        <v>12.773100668807103</v>
      </c>
      <c r="D3924" s="1">
        <f>14.2561023145879*(10.3/7.3)</f>
        <v>20.114774498665078</v>
      </c>
      <c r="E3924" s="1">
        <f>49.941479997712*(10.3/7.3)</f>
        <v>70.465375887182716</v>
      </c>
      <c r="F3924" s="1">
        <f>99.8028609661155*(38.9/42.5)</f>
        <v>91.348971566632784</v>
      </c>
      <c r="G3924" s="1">
        <v>3.8379400410964868</v>
      </c>
      <c r="H3924" s="1">
        <v>6.5064076549035486</v>
      </c>
      <c r="I3924" s="1">
        <v>68.9853599573417</v>
      </c>
      <c r="J3924" s="1">
        <v>6.2229750561567015E-2</v>
      </c>
      <c r="K3924" s="1">
        <v>3.7294524119531993</v>
      </c>
      <c r="L3924" s="1">
        <v>5.5876895937847264</v>
      </c>
      <c r="M3924" s="1">
        <v>0.30329979548926972</v>
      </c>
      <c r="N3924" s="1">
        <v>3.3256671157905466</v>
      </c>
      <c r="O3924" s="1">
        <v>0.25017765258215957</v>
      </c>
      <c r="P3924" s="1">
        <v>0.16782556602292123</v>
      </c>
      <c r="Q3924" s="1">
        <v>6.1336941296062637</v>
      </c>
      <c r="R3924" s="2">
        <f t="shared" si="247"/>
        <v>280.1656244042357</v>
      </c>
      <c r="S3924" s="2">
        <f t="shared" si="246"/>
        <v>3.9595077285376874</v>
      </c>
      <c r="T3924" s="2">
        <f t="shared" si="248"/>
        <v>9.4668341576467032</v>
      </c>
      <c r="U3924" s="2">
        <f t="shared" si="249"/>
        <v>293.59196629042009</v>
      </c>
    </row>
    <row r="3925" spans="1:21" x14ac:dyDescent="0.25">
      <c r="A3925">
        <v>4942705</v>
      </c>
      <c r="B3925">
        <v>71</v>
      </c>
      <c r="C3925" s="1">
        <f>8.34993529031668*(10.3/7.3)</f>
        <v>11.781415546611214</v>
      </c>
      <c r="D3925" s="1">
        <f>12.9485378974945*(10.3/7.3)</f>
        <v>18.269854841670259</v>
      </c>
      <c r="E3925" s="1">
        <f>45.3845565745881*(10.3/7.3)</f>
        <v>64.035744207980471</v>
      </c>
      <c r="F3925" s="1">
        <f>90.7834282471627*(38.9/42.5)</f>
        <v>83.093537854461857</v>
      </c>
      <c r="G3925" s="1">
        <v>3.4857255071694966</v>
      </c>
      <c r="H3925" s="1">
        <v>6.1862536410533693</v>
      </c>
      <c r="I3925" s="1">
        <v>63.059890839550796</v>
      </c>
      <c r="J3925" s="1">
        <v>5.9433539048993317E-2</v>
      </c>
      <c r="K3925" s="1">
        <v>3.5962921115651301</v>
      </c>
      <c r="L3925" s="1">
        <v>5.3031903843840551</v>
      </c>
      <c r="M3925" s="1">
        <v>0.2851746635114607</v>
      </c>
      <c r="N3925" s="1">
        <v>3.092383487529589</v>
      </c>
      <c r="O3925" s="1">
        <v>0.23891605633802812</v>
      </c>
      <c r="P3925" s="1">
        <v>0.16133653235299847</v>
      </c>
      <c r="Q3925" s="1">
        <v>5.5707941895402984</v>
      </c>
      <c r="R3925" s="2">
        <f t="shared" si="247"/>
        <v>255.48321662803775</v>
      </c>
      <c r="S3925" s="2">
        <f t="shared" si="246"/>
        <v>3.8170621829671219</v>
      </c>
      <c r="T3925" s="2">
        <f t="shared" si="248"/>
        <v>8.9196645917631319</v>
      </c>
      <c r="U3925" s="2">
        <f t="shared" si="249"/>
        <v>268.21994340276802</v>
      </c>
    </row>
    <row r="3926" spans="1:21" x14ac:dyDescent="0.25">
      <c r="A3926">
        <v>4942713</v>
      </c>
      <c r="B3926">
        <v>69</v>
      </c>
      <c r="C3926" s="1">
        <f>8.09311634307288*(10.3/7.3)</f>
        <v>11.419054566253509</v>
      </c>
      <c r="D3926" s="1">
        <f>12.2306416711965*(10.3/7.3)</f>
        <v>17.25693276894842</v>
      </c>
      <c r="E3926" s="1">
        <f>42.9039528700959*(10.3/7.3)</f>
        <v>60.535714323560022</v>
      </c>
      <c r="F3926" s="1">
        <f>86.0978997907156*(38.9/42.5)</f>
        <v>78.804901220207938</v>
      </c>
      <c r="G3926" s="1">
        <v>3.3033468848492222</v>
      </c>
      <c r="H3926" s="1">
        <v>6.0627607764514959</v>
      </c>
      <c r="I3926" s="1">
        <v>60.331092106136801</v>
      </c>
      <c r="J3926" s="1">
        <v>5.9499187015021986E-2</v>
      </c>
      <c r="K3926" s="1">
        <v>3.5653595644910805</v>
      </c>
      <c r="L3926" s="1">
        <v>5.21109195341697</v>
      </c>
      <c r="M3926" s="1">
        <v>0.27600841214410704</v>
      </c>
      <c r="N3926" s="1">
        <v>2.7390514787354023</v>
      </c>
      <c r="O3926" s="1">
        <v>0.23333024154589377</v>
      </c>
      <c r="P3926" s="1">
        <v>0.15875066354254078</v>
      </c>
      <c r="Q3926" s="1">
        <v>5.2793215054667977</v>
      </c>
      <c r="R3926" s="2">
        <f t="shared" si="247"/>
        <v>242.99312415187418</v>
      </c>
      <c r="S3926" s="2">
        <f t="shared" si="246"/>
        <v>3.7836094150486432</v>
      </c>
      <c r="T3926" s="2">
        <f t="shared" si="248"/>
        <v>8.4594820858423727</v>
      </c>
      <c r="U3926" s="2">
        <f t="shared" si="249"/>
        <v>255.2362156527652</v>
      </c>
    </row>
    <row r="3927" spans="1:21" x14ac:dyDescent="0.25">
      <c r="A3927">
        <v>4942721</v>
      </c>
      <c r="B3927">
        <v>32</v>
      </c>
      <c r="C3927" s="1">
        <f>7.22688036752456*(10.3/7.3)</f>
        <v>10.196831203493556</v>
      </c>
      <c r="D3927" s="1">
        <f>10.8651191259907*(10.3/7.3)</f>
        <v>15.330236575028001</v>
      </c>
      <c r="E3927" s="1">
        <f>38.1098051392486*(10.3/7.3)</f>
        <v>53.77136889510416</v>
      </c>
      <c r="F3927" s="1">
        <f>77.0559872208735*(38.9/42.5)</f>
        <v>70.528891832752421</v>
      </c>
      <c r="G3927" s="1">
        <v>2.9801505171293763</v>
      </c>
      <c r="H3927" s="1">
        <v>6.4073515795842235</v>
      </c>
      <c r="I3927" s="1">
        <v>54.192550015544832</v>
      </c>
      <c r="J3927" s="1">
        <v>5.9105971936408097E-2</v>
      </c>
      <c r="K3927" s="1">
        <v>3.3450717430500956</v>
      </c>
      <c r="L3927" s="1">
        <v>4.7483045752952675</v>
      </c>
      <c r="M3927" s="1">
        <v>0.25458044499626814</v>
      </c>
      <c r="N3927" s="1">
        <v>2.5287694393757749</v>
      </c>
      <c r="O3927" s="1">
        <v>0.21615499999999996</v>
      </c>
      <c r="P3927" s="1">
        <v>0.14799089995466619</v>
      </c>
      <c r="Q3927" s="1">
        <v>4.7627976301154451</v>
      </c>
      <c r="R3927" s="2">
        <f t="shared" si="247"/>
        <v>218.17017824875202</v>
      </c>
      <c r="S3927" s="2">
        <f t="shared" si="246"/>
        <v>3.55216861494117</v>
      </c>
      <c r="T3927" s="2">
        <f t="shared" si="248"/>
        <v>7.7478094596673097</v>
      </c>
      <c r="U3927" s="2">
        <f t="shared" si="249"/>
        <v>229.4701563233605</v>
      </c>
    </row>
    <row r="3928" spans="1:21" x14ac:dyDescent="0.25">
      <c r="A3928">
        <v>4942729</v>
      </c>
      <c r="B3928">
        <v>69</v>
      </c>
      <c r="C3928" s="1">
        <f>8.11707157492891*(10.3/7.3)</f>
        <v>11.45285441394079</v>
      </c>
      <c r="D3928" s="1">
        <f>12.005316726725*(10.3/7.3)</f>
        <v>16.939008532228357</v>
      </c>
      <c r="E3928" s="1">
        <f>42.1152048849372*(10.3/7.3)</f>
        <v>59.422823330801776</v>
      </c>
      <c r="F3928" s="1">
        <f>86.1722077530309*(38.9/42.5)</f>
        <v>78.87291486100942</v>
      </c>
      <c r="G3928" s="1">
        <v>3.3692632986289186</v>
      </c>
      <c r="H3928" s="1">
        <v>6.2372385189922799</v>
      </c>
      <c r="I3928" s="1">
        <v>61.099125218437571</v>
      </c>
      <c r="J3928" s="1">
        <v>6.6955787426293809E-2</v>
      </c>
      <c r="K3928" s="1">
        <v>3.6917521860436078</v>
      </c>
      <c r="L3928" s="1">
        <v>5.3973135293090078</v>
      </c>
      <c r="M3928" s="1">
        <v>0.27545799638242624</v>
      </c>
      <c r="N3928" s="1">
        <v>2.8954379892836779</v>
      </c>
      <c r="O3928" s="1">
        <v>0.2336394202898551</v>
      </c>
      <c r="P3928" s="1">
        <v>0.15871692515797531</v>
      </c>
      <c r="Q3928" s="1">
        <v>5.3846673722380016</v>
      </c>
      <c r="R3928" s="2">
        <f t="shared" si="247"/>
        <v>242.77789554627708</v>
      </c>
      <c r="S3928" s="2">
        <f t="shared" si="246"/>
        <v>3.9174248986278766</v>
      </c>
      <c r="T3928" s="2">
        <f t="shared" si="248"/>
        <v>8.8018489352649674</v>
      </c>
      <c r="U3928" s="2">
        <f t="shared" si="249"/>
        <v>255.49716938016991</v>
      </c>
    </row>
    <row r="3929" spans="1:21" x14ac:dyDescent="0.25">
      <c r="A3929">
        <v>4942737</v>
      </c>
      <c r="B3929">
        <v>70</v>
      </c>
      <c r="C3929" s="1">
        <f>7.62199650836397*(10.3/7.3)</f>
        <v>10.75432384056834</v>
      </c>
      <c r="D3929" s="1">
        <f>11.1027907031397*(10.3/7.3)</f>
        <v>15.665581403060171</v>
      </c>
      <c r="E3929" s="1">
        <f>38.9563988047387*(10.3/7.3)</f>
        <v>54.9658777655902</v>
      </c>
      <c r="F3929" s="1">
        <f>80.4990418347577*(38.9/42.5)</f>
        <v>73.680299467578209</v>
      </c>
      <c r="G3929" s="1">
        <v>3.1745507484783477</v>
      </c>
      <c r="H3929" s="1">
        <v>5.9079604623523885</v>
      </c>
      <c r="I3929" s="1">
        <v>57.485820040132154</v>
      </c>
      <c r="J3929" s="1">
        <v>7.4314379494384922E-2</v>
      </c>
      <c r="K3929" s="1">
        <v>3.5501104857081982</v>
      </c>
      <c r="L3929" s="1">
        <v>5.1007271664545515</v>
      </c>
      <c r="M3929" s="1">
        <v>0.2581934029999684</v>
      </c>
      <c r="N3929" s="1">
        <v>2.9689692388349358</v>
      </c>
      <c r="O3929" s="1">
        <v>0.22228723809523815</v>
      </c>
      <c r="P3929" s="1">
        <v>0.15093213906377745</v>
      </c>
      <c r="Q3929" s="1">
        <v>5.0734829313580914</v>
      </c>
      <c r="R3929" s="2">
        <f t="shared" si="247"/>
        <v>226.70789665911786</v>
      </c>
      <c r="S3929" s="2">
        <f t="shared" si="246"/>
        <v>3.7753570042663607</v>
      </c>
      <c r="T3929" s="2">
        <f t="shared" si="248"/>
        <v>8.5501770463846931</v>
      </c>
      <c r="U3929" s="2">
        <f t="shared" si="249"/>
        <v>239.03343070976894</v>
      </c>
    </row>
    <row r="3930" spans="1:21" x14ac:dyDescent="0.25">
      <c r="A3930">
        <v>4942833</v>
      </c>
      <c r="B3930">
        <v>49</v>
      </c>
      <c r="C3930" s="1">
        <f>3.30861816718425*(10.3/7.3)</f>
        <v>4.6683242632873663</v>
      </c>
      <c r="D3930" s="1">
        <f>4.58588407058092*(10.3/7.3)</f>
        <v>6.470493962600476</v>
      </c>
      <c r="E3930" s="1">
        <f>15.9921932748621*(10.3/7.3)</f>
        <v>22.564327497408158</v>
      </c>
      <c r="F3930" s="1">
        <f>39.6292189019563*(38.9/42.5)</f>
        <v>36.272390947908214</v>
      </c>
      <c r="G3930" s="1">
        <v>1.844837975058452</v>
      </c>
      <c r="H3930" s="1">
        <v>8.3977835606678681</v>
      </c>
      <c r="I3930" s="1">
        <v>29.855345342458577</v>
      </c>
      <c r="J3930" s="1">
        <v>3.4253219032147772E-2</v>
      </c>
      <c r="K3930" s="1">
        <v>2.2595776393246259</v>
      </c>
      <c r="L3930" s="1">
        <v>2.9791379065538823</v>
      </c>
      <c r="M3930" s="1">
        <v>0.12775365710520334</v>
      </c>
      <c r="N3930" s="1">
        <v>1.7094535320759312</v>
      </c>
      <c r="O3930" s="1">
        <v>0.11177142857142856</v>
      </c>
      <c r="P3930" s="1">
        <v>8.9750986437416122E-2</v>
      </c>
      <c r="Q3930" s="1">
        <v>2.9483711930157939</v>
      </c>
      <c r="R3930" s="2">
        <f t="shared" si="247"/>
        <v>113.02187474240492</v>
      </c>
      <c r="S3930" s="2">
        <f t="shared" si="246"/>
        <v>2.3835818447941897</v>
      </c>
      <c r="T3930" s="2">
        <f t="shared" si="248"/>
        <v>4.9281165243064446</v>
      </c>
      <c r="U3930" s="2">
        <f t="shared" si="249"/>
        <v>120.33357311150556</v>
      </c>
    </row>
    <row r="3931" spans="1:21" x14ac:dyDescent="0.25">
      <c r="A3931">
        <v>4954413</v>
      </c>
      <c r="B3931">
        <v>8</v>
      </c>
      <c r="C3931" s="1">
        <f>0.55765831594401*(10.3/7.3)</f>
        <v>0.78683296633195898</v>
      </c>
      <c r="D3931" s="1">
        <f>0.785788106537196*(10.3/7.3)</f>
        <v>1.1087147256620709</v>
      </c>
      <c r="E3931" s="1">
        <f>2.72925049474514*(10.3/7.3)</f>
        <v>3.8508602871061535</v>
      </c>
      <c r="F3931" s="1">
        <f>7.23038080493154*(38.9/42.5)</f>
        <v>6.6179250191020449</v>
      </c>
      <c r="G3931" s="1">
        <v>0.35478413442523538</v>
      </c>
      <c r="H3931" s="1">
        <v>1.6034597036069551</v>
      </c>
      <c r="I3931" s="1">
        <v>5.4923743468577211</v>
      </c>
      <c r="J3931" s="1">
        <v>3.9951884976089563E-2</v>
      </c>
      <c r="K3931" s="1">
        <v>2.6640056754962327</v>
      </c>
      <c r="L3931" s="1">
        <v>2.0970540618739015</v>
      </c>
      <c r="M3931" s="1">
        <v>0.55053550148767927</v>
      </c>
      <c r="N3931" s="1">
        <v>1.3144018750813615</v>
      </c>
      <c r="O3931" s="1">
        <v>0.3649</v>
      </c>
      <c r="P3931" s="1">
        <v>0.20270788668178269</v>
      </c>
      <c r="Q3931" s="1">
        <v>0.56700660752891574</v>
      </c>
      <c r="R3931" s="2">
        <f t="shared" si="247"/>
        <v>20.381957790621058</v>
      </c>
      <c r="S3931" s="2">
        <f t="shared" si="246"/>
        <v>2.9066654471541051</v>
      </c>
      <c r="T3931" s="2">
        <f t="shared" si="248"/>
        <v>4.3268914384429422</v>
      </c>
      <c r="U3931" s="2">
        <f t="shared" si="249"/>
        <v>27.615514676218105</v>
      </c>
    </row>
    <row r="3932" spans="1:21" x14ac:dyDescent="0.25">
      <c r="A3932">
        <v>4954421</v>
      </c>
      <c r="B3932">
        <v>11</v>
      </c>
      <c r="C3932" s="1">
        <f>0.842894088148662*(10.3/7.3)</f>
        <v>1.189288918894688</v>
      </c>
      <c r="D3932" s="1">
        <f>1.2155871218465*(10.3/7.3)</f>
        <v>1.7151434732902666</v>
      </c>
      <c r="E3932" s="1">
        <f>4.2063581433085*(10.3/7.3)</f>
        <v>5.9349984761750081</v>
      </c>
      <c r="F3932" s="1">
        <f>11.7469909190053*(38.9/42.5)</f>
        <v>10.751951688218952</v>
      </c>
      <c r="G3932" s="1">
        <v>0.59895937724240955</v>
      </c>
      <c r="H3932" s="1">
        <v>2.530277337596174</v>
      </c>
      <c r="I3932" s="1">
        <v>8.9600865254637583</v>
      </c>
      <c r="J3932" s="1">
        <v>5.3320869904798257E-2</v>
      </c>
      <c r="K3932" s="1">
        <v>3.3095495854766921</v>
      </c>
      <c r="L3932" s="1">
        <v>2.5854843387698376</v>
      </c>
      <c r="M3932" s="1">
        <v>0.71428369545123571</v>
      </c>
      <c r="N3932" s="1">
        <v>1.6493061152793544</v>
      </c>
      <c r="O3932" s="1">
        <v>0.50707393939393941</v>
      </c>
      <c r="P3932" s="1">
        <v>0.23980187485930357</v>
      </c>
      <c r="Q3932" s="1">
        <v>0.95724101385773319</v>
      </c>
      <c r="R3932" s="2">
        <f t="shared" si="247"/>
        <v>32.637946810738988</v>
      </c>
      <c r="S3932" s="2">
        <f t="shared" si="246"/>
        <v>3.6026723302407939</v>
      </c>
      <c r="T3932" s="2">
        <f t="shared" si="248"/>
        <v>5.4561480888943672</v>
      </c>
      <c r="U3932" s="2">
        <f t="shared" si="249"/>
        <v>41.696767229874148</v>
      </c>
    </row>
    <row r="3933" spans="1:21" x14ac:dyDescent="0.25">
      <c r="A3933">
        <v>4954645</v>
      </c>
      <c r="B3933">
        <v>25</v>
      </c>
      <c r="C3933" s="1">
        <f>1.72355203291383*(10.3/7.3)</f>
        <v>2.4318610875359457</v>
      </c>
      <c r="D3933" s="1">
        <f>3.06054044448182*(10.3/7.3)</f>
        <v>4.3182967915291455</v>
      </c>
      <c r="E3933" s="1">
        <f>10.399919893089*(10.3/7.3)</f>
        <v>14.673859575180437</v>
      </c>
      <c r="F3933" s="1">
        <f>34.8043223375385*(38.9/42.5)</f>
        <v>31.856191504241075</v>
      </c>
      <c r="G3933" s="1">
        <v>1.9942266921955756</v>
      </c>
      <c r="H3933" s="1">
        <v>12.494725024222726</v>
      </c>
      <c r="I3933" s="1">
        <v>26.401074758317744</v>
      </c>
      <c r="J3933" s="1">
        <v>5.2151689826618386E-2</v>
      </c>
      <c r="K3933" s="1">
        <v>3.1634889767887469</v>
      </c>
      <c r="L3933" s="1">
        <v>5.4280045930094305</v>
      </c>
      <c r="M3933" s="1">
        <v>0.86637625263611229</v>
      </c>
      <c r="N3933" s="1">
        <v>2.4664817519015001</v>
      </c>
      <c r="O3933" s="1">
        <v>0.29269119999999998</v>
      </c>
      <c r="P3933" s="1">
        <v>0.1842841694371716</v>
      </c>
      <c r="Q3933" s="1">
        <v>3.1871202843308324</v>
      </c>
      <c r="R3933" s="2">
        <f t="shared" si="247"/>
        <v>97.357355717553489</v>
      </c>
      <c r="S3933" s="2">
        <f t="shared" si="246"/>
        <v>3.3999248360525369</v>
      </c>
      <c r="T3933" s="2">
        <f t="shared" si="248"/>
        <v>9.0535537975470426</v>
      </c>
      <c r="U3933" s="2">
        <f t="shared" si="249"/>
        <v>109.81083435115306</v>
      </c>
    </row>
    <row r="3934" spans="1:21" x14ac:dyDescent="0.25">
      <c r="A3934">
        <v>4954653</v>
      </c>
      <c r="B3934">
        <v>2</v>
      </c>
      <c r="C3934" s="1">
        <f>1.15305478057881*(10.3/7.3)</f>
        <v>1.6269129095838024</v>
      </c>
      <c r="D3934" s="1">
        <f>1.82430740537176*(10.3/7.3)</f>
        <v>2.5740227774423494</v>
      </c>
      <c r="E3934" s="1">
        <f>6.27087648529658*(10.3/7.3)</f>
        <v>8.8479490135006618</v>
      </c>
      <c r="F3934" s="1">
        <f>18.5324899613972*(38.9/42.5)</f>
        <v>16.962679047019989</v>
      </c>
      <c r="G3934" s="1">
        <v>0.98684522024000376</v>
      </c>
      <c r="H3934" s="1">
        <v>4.7900566405017662</v>
      </c>
      <c r="I3934" s="1">
        <v>14.015743579924386</v>
      </c>
      <c r="J3934" s="1">
        <v>3.6758874148782733E-2</v>
      </c>
      <c r="K3934" s="1">
        <v>2.4244690372097235</v>
      </c>
      <c r="L3934" s="1">
        <v>3.6568004571459856</v>
      </c>
      <c r="M3934" s="1">
        <v>0.59740846096436107</v>
      </c>
      <c r="N3934" s="1">
        <v>1.6967158731186545</v>
      </c>
      <c r="O3934" s="1">
        <v>0.22423999999999999</v>
      </c>
      <c r="P3934" s="1">
        <v>0.14816906576866376</v>
      </c>
      <c r="Q3934" s="1">
        <v>1.5771498953607384</v>
      </c>
      <c r="R3934" s="2">
        <f t="shared" si="247"/>
        <v>51.381359083573692</v>
      </c>
      <c r="S3934" s="2">
        <f t="shared" si="246"/>
        <v>2.6093969771271697</v>
      </c>
      <c r="T3934" s="2">
        <f t="shared" si="248"/>
        <v>6.1751647912290011</v>
      </c>
      <c r="U3934" s="2">
        <f t="shared" si="249"/>
        <v>60.165920851929862</v>
      </c>
    </row>
    <row r="3935" spans="1:21" x14ac:dyDescent="0.25">
      <c r="A3935">
        <v>4954661</v>
      </c>
      <c r="B3935">
        <v>59</v>
      </c>
      <c r="C3935" s="1">
        <f>2.20495019294842*(10.3/7.3)</f>
        <v>3.1110941078587242</v>
      </c>
      <c r="D3935" s="1">
        <f>4.00311808255487*(10.3/7.3)</f>
        <v>5.6482351027828956</v>
      </c>
      <c r="E3935" s="1">
        <f>13.5725911722275*(10.3/7.3)</f>
        <v>19.150368366293602</v>
      </c>
      <c r="F3935" s="1">
        <f>46.493240434145*(38.9/42.5)</f>
        <v>42.554989479723297</v>
      </c>
      <c r="G3935" s="1">
        <v>2.6963400539856526</v>
      </c>
      <c r="H3935" s="1">
        <v>8.9807726309148386</v>
      </c>
      <c r="I3935" s="1">
        <v>35.29874826160912</v>
      </c>
      <c r="J3935" s="1">
        <v>6.3144050054367309E-2</v>
      </c>
      <c r="K3935" s="1">
        <v>3.6407702873999677</v>
      </c>
      <c r="L3935" s="1">
        <v>5.6763256992220326</v>
      </c>
      <c r="M3935" s="1">
        <v>0.90913155728408368</v>
      </c>
      <c r="N3935" s="1">
        <v>2.9903375447136646</v>
      </c>
      <c r="O3935" s="1">
        <v>0.33871999999999997</v>
      </c>
      <c r="P3935" s="1">
        <v>0.20538152768943752</v>
      </c>
      <c r="Q3935" s="1">
        <v>4.3092192643606344</v>
      </c>
      <c r="R3935" s="2">
        <f t="shared" si="247"/>
        <v>121.74976726752877</v>
      </c>
      <c r="S3935" s="2">
        <f t="shared" si="246"/>
        <v>3.9092958651437724</v>
      </c>
      <c r="T3935" s="2">
        <f t="shared" si="248"/>
        <v>9.9145148012197808</v>
      </c>
      <c r="U3935" s="2">
        <f t="shared" si="249"/>
        <v>135.57357793389232</v>
      </c>
    </row>
    <row r="3936" spans="1:21" x14ac:dyDescent="0.25">
      <c r="A3936">
        <v>4954669</v>
      </c>
      <c r="B3936">
        <v>64</v>
      </c>
      <c r="C3936" s="1">
        <f>2.05591385010619*(10.3/7.3)</f>
        <v>2.9008099528895519</v>
      </c>
      <c r="D3936" s="1">
        <f>3.33460916122899*(10.3/7.3)</f>
        <v>4.7049964877614494</v>
      </c>
      <c r="E3936" s="1">
        <f>11.4594550132681*(10.3/7.3)</f>
        <v>16.168820087213849</v>
      </c>
      <c r="F3936" s="1">
        <f>33.4968013025716*(38.9/42.5)</f>
        <v>30.659425192236167</v>
      </c>
      <c r="G3936" s="1">
        <v>1.7760833357815675</v>
      </c>
      <c r="H3936" s="1">
        <v>9.9969548597077864</v>
      </c>
      <c r="I3936" s="1">
        <v>25.163777467380676</v>
      </c>
      <c r="J3936" s="1">
        <v>6.1001755815062814E-2</v>
      </c>
      <c r="K3936" s="1">
        <v>3.5201045805381983</v>
      </c>
      <c r="L3936" s="1">
        <v>5.225515405776914</v>
      </c>
      <c r="M3936" s="1">
        <v>0.82305557131312301</v>
      </c>
      <c r="N3936" s="1">
        <v>2.8366000238635407</v>
      </c>
      <c r="O3936" s="1">
        <v>0.32228666666666667</v>
      </c>
      <c r="P3936" s="1">
        <v>0.19893972255997941</v>
      </c>
      <c r="Q3936" s="1">
        <v>2.8384893494226029</v>
      </c>
      <c r="R3936" s="2">
        <f t="shared" si="247"/>
        <v>94.209356732393658</v>
      </c>
      <c r="S3936" s="2">
        <f t="shared" si="246"/>
        <v>3.7800460589132405</v>
      </c>
      <c r="T3936" s="2">
        <f t="shared" si="248"/>
        <v>9.2074576676202451</v>
      </c>
      <c r="U3936" s="2">
        <f t="shared" si="249"/>
        <v>107.19686045892715</v>
      </c>
    </row>
    <row r="3937" spans="1:21" x14ac:dyDescent="0.25">
      <c r="A3937">
        <v>4954861</v>
      </c>
      <c r="B3937">
        <v>61</v>
      </c>
      <c r="C3937" s="1">
        <f>14.07582833222*(10.3/7.3)</f>
        <v>19.860415318063779</v>
      </c>
      <c r="D3937" s="1">
        <f>21.2026276454567*(10.3/7.3)</f>
        <v>29.916036266877331</v>
      </c>
      <c r="E3937" s="1">
        <f>74.6534300519032*(10.3/7.3)</f>
        <v>105.33292185405523</v>
      </c>
      <c r="F3937" s="1">
        <f>136.311360004597*(38.9/42.5)</f>
        <v>124.76498598067853</v>
      </c>
      <c r="G3937" s="1">
        <v>4.6095841498738901</v>
      </c>
      <c r="H3937" s="1">
        <v>9.2592379672265608</v>
      </c>
      <c r="I3937" s="1">
        <v>93.004958003627266</v>
      </c>
      <c r="J3937" s="1">
        <v>6.6928818030495982E-2</v>
      </c>
      <c r="K3937" s="1">
        <v>3.6370347088122856</v>
      </c>
      <c r="L3937" s="1">
        <v>5.1743848564160109</v>
      </c>
      <c r="M3937" s="1">
        <v>0.34686914551691356</v>
      </c>
      <c r="N3937" s="1">
        <v>2.9229312400515819</v>
      </c>
      <c r="O3937" s="1">
        <v>0.27160043715846988</v>
      </c>
      <c r="P3937" s="1">
        <v>0.17526278174949145</v>
      </c>
      <c r="Q3937" s="1">
        <v>7.3669153080176377</v>
      </c>
      <c r="R3937" s="2">
        <f t="shared" si="247"/>
        <v>394.11505484842024</v>
      </c>
      <c r="S3937" s="2">
        <f t="shared" si="246"/>
        <v>3.8792263085922731</v>
      </c>
      <c r="T3937" s="2">
        <f t="shared" si="248"/>
        <v>8.7157856791429769</v>
      </c>
      <c r="U3937" s="2">
        <f t="shared" si="249"/>
        <v>406.71006683615548</v>
      </c>
    </row>
    <row r="3938" spans="1:21" x14ac:dyDescent="0.25">
      <c r="A3938">
        <v>4954869</v>
      </c>
      <c r="B3938">
        <v>71</v>
      </c>
      <c r="C3938" s="1">
        <f>12.3390801735169*(10.3/7.3)</f>
        <v>17.409935039345832</v>
      </c>
      <c r="D3938" s="1">
        <f>20.2199580323591*(10.3/7.3)</f>
        <v>28.529529826479269</v>
      </c>
      <c r="E3938" s="1">
        <f>70.8929696940387*(10.3/7.3)</f>
        <v>100.0270668285751</v>
      </c>
      <c r="F3938" s="1">
        <f>133.648705228472*(38.9/42.5)</f>
        <v>122.3278737267662</v>
      </c>
      <c r="G3938" s="1">
        <v>4.8101379906878128</v>
      </c>
      <c r="H3938" s="1">
        <v>7.7319536242806839</v>
      </c>
      <c r="I3938" s="1">
        <v>89.607262171371147</v>
      </c>
      <c r="J3938" s="1">
        <v>7.0373833130632668E-2</v>
      </c>
      <c r="K3938" s="1">
        <v>3.933467008200918</v>
      </c>
      <c r="L3938" s="1">
        <v>5.8305706842765641</v>
      </c>
      <c r="M3938" s="1">
        <v>0.37490341042782022</v>
      </c>
      <c r="N3938" s="1">
        <v>3.10185294874799</v>
      </c>
      <c r="O3938" s="1">
        <v>0.29079286384976527</v>
      </c>
      <c r="P3938" s="1">
        <v>0.18662309994926188</v>
      </c>
      <c r="Q3938" s="1">
        <v>7.6874351449348666</v>
      </c>
      <c r="R3938" s="2">
        <f t="shared" si="247"/>
        <v>378.13119435244084</v>
      </c>
      <c r="S3938" s="2">
        <f t="shared" si="246"/>
        <v>4.1904639412808127</v>
      </c>
      <c r="T3938" s="2">
        <f t="shared" si="248"/>
        <v>9.5981199073021397</v>
      </c>
      <c r="U3938" s="2">
        <f t="shared" si="249"/>
        <v>391.9197782010238</v>
      </c>
    </row>
    <row r="3939" spans="1:21" x14ac:dyDescent="0.25">
      <c r="A3939">
        <v>4954877</v>
      </c>
      <c r="B3939">
        <v>45</v>
      </c>
      <c r="C3939" s="1">
        <f>10.8332716160817*(10.3/7.3)</f>
        <v>15.2853010473482</v>
      </c>
      <c r="D3939" s="1">
        <f>17.5703723303074*(10.3/7.3)</f>
        <v>24.791073287967912</v>
      </c>
      <c r="E3939" s="1">
        <f>61.6063436539388*(10.3/7.3)</f>
        <v>86.924019128160154</v>
      </c>
      <c r="F3939" s="1">
        <f>117.105289465166*(38.9/42.5)</f>
        <v>107.18578259282282</v>
      </c>
      <c r="G3939" s="1">
        <v>4.2529330297293217</v>
      </c>
      <c r="H3939" s="1">
        <v>9.4534384155067031</v>
      </c>
      <c r="I3939" s="1">
        <v>78.9849141043467</v>
      </c>
      <c r="J3939" s="1">
        <v>6.221102468583091E-2</v>
      </c>
      <c r="K3939" s="1">
        <v>3.6020273262494049</v>
      </c>
      <c r="L3939" s="1">
        <v>5.1621478591221175</v>
      </c>
      <c r="M3939" s="1">
        <v>0.3300986454188985</v>
      </c>
      <c r="N3939" s="1">
        <v>2.7484972013935525</v>
      </c>
      <c r="O3939" s="1">
        <v>0.26144592592592591</v>
      </c>
      <c r="P3939" s="1">
        <v>0.17231753224500027</v>
      </c>
      <c r="Q3939" s="1">
        <v>6.7969249333573725</v>
      </c>
      <c r="R3939" s="2">
        <f t="shared" si="247"/>
        <v>333.67438653923915</v>
      </c>
      <c r="S3939" s="2">
        <f t="shared" si="246"/>
        <v>3.8365558831802358</v>
      </c>
      <c r="T3939" s="2">
        <f t="shared" si="248"/>
        <v>8.5021896318604941</v>
      </c>
      <c r="U3939" s="2">
        <f t="shared" si="249"/>
        <v>346.01313205427988</v>
      </c>
    </row>
    <row r="3940" spans="1:21" x14ac:dyDescent="0.25">
      <c r="A3940">
        <v>4954885</v>
      </c>
      <c r="B3940">
        <v>69</v>
      </c>
      <c r="C3940" s="1">
        <f>10.1676394218054*(10.3/7.3)</f>
        <v>14.346121375972039</v>
      </c>
      <c r="D3940" s="1">
        <f>16.6903406584343*(10.3/7.3)</f>
        <v>23.549384764640212</v>
      </c>
      <c r="E3940" s="1">
        <f>58.4357380963616*(10.3/7.3)</f>
        <v>82.450424985277266</v>
      </c>
      <c r="F3940" s="1">
        <f>114.121132295102*(38.9/42.5)</f>
        <v>104.45440108892903</v>
      </c>
      <c r="G3940" s="1">
        <v>4.2989350877850576</v>
      </c>
      <c r="H3940" s="1">
        <v>7.5613512755120666</v>
      </c>
      <c r="I3940" s="1">
        <v>77.358640712332672</v>
      </c>
      <c r="J3940" s="1">
        <v>6.219282195666951E-2</v>
      </c>
      <c r="K3940" s="1">
        <v>3.6354417486566</v>
      </c>
      <c r="L3940" s="1">
        <v>5.2495676660021697</v>
      </c>
      <c r="M3940" s="1">
        <v>0.32748237598600011</v>
      </c>
      <c r="N3940" s="1">
        <v>2.7963382979149856</v>
      </c>
      <c r="O3940" s="1">
        <v>0.26170125603864736</v>
      </c>
      <c r="P3940" s="1">
        <v>0.17343354941925818</v>
      </c>
      <c r="Q3940" s="1">
        <v>6.8704442042227036</v>
      </c>
      <c r="R3940" s="2">
        <f t="shared" si="247"/>
        <v>320.88970349467104</v>
      </c>
      <c r="S3940" s="2">
        <f t="shared" si="246"/>
        <v>3.8710681200325276</v>
      </c>
      <c r="T3940" s="2">
        <f t="shared" si="248"/>
        <v>8.6350895959418015</v>
      </c>
      <c r="U3940" s="2">
        <f t="shared" si="249"/>
        <v>333.39586121064536</v>
      </c>
    </row>
    <row r="3941" spans="1:21" x14ac:dyDescent="0.25">
      <c r="A3941">
        <v>4954893</v>
      </c>
      <c r="B3941">
        <v>49</v>
      </c>
      <c r="C3941" s="1">
        <f>8.81427896770682*(10.3/7.3)</f>
        <v>12.436585392791814</v>
      </c>
      <c r="D3941" s="1">
        <f>14.6120377096006*(10.3/7.3)</f>
        <v>20.616984713545989</v>
      </c>
      <c r="E3941" s="1">
        <f>51.0721227810239*(10.3/7.3)</f>
        <v>72.060666389663794</v>
      </c>
      <c r="F3941" s="1">
        <f>103.255331708185*(38.9/42.5)</f>
        <v>94.508997728197201</v>
      </c>
      <c r="G3941" s="1">
        <v>4.0591865889118317</v>
      </c>
      <c r="H3941" s="1">
        <v>6.5487095450933497</v>
      </c>
      <c r="I3941" s="1">
        <v>70.552672140452202</v>
      </c>
      <c r="J3941" s="1">
        <v>5.6378495766214967E-2</v>
      </c>
      <c r="K3941" s="1">
        <v>3.269191807694618</v>
      </c>
      <c r="L3941" s="1">
        <v>4.5263319224191179</v>
      </c>
      <c r="M3941" s="1">
        <v>0.28352122032849009</v>
      </c>
      <c r="N3941" s="1">
        <v>2.7991036573274117</v>
      </c>
      <c r="O3941" s="1">
        <v>0.23276517006802716</v>
      </c>
      <c r="P3941" s="1">
        <v>0.15700192486069456</v>
      </c>
      <c r="Q3941" s="1">
        <v>6.4872845028271326</v>
      </c>
      <c r="R3941" s="2">
        <f t="shared" si="247"/>
        <v>287.27108700148335</v>
      </c>
      <c r="S3941" s="2">
        <f t="shared" si="246"/>
        <v>3.4825722283215272</v>
      </c>
      <c r="T3941" s="2">
        <f t="shared" si="248"/>
        <v>7.8417219701430465</v>
      </c>
      <c r="U3941" s="2">
        <f t="shared" si="249"/>
        <v>298.59538119994795</v>
      </c>
    </row>
    <row r="3942" spans="1:21" x14ac:dyDescent="0.25">
      <c r="A3942">
        <v>4954901</v>
      </c>
      <c r="B3942">
        <v>13</v>
      </c>
      <c r="C3942" s="1">
        <f>7.14780603983092*(10.3/7.3)</f>
        <v>10.085260576747737</v>
      </c>
      <c r="D3942" s="1">
        <f>12.1713329636596*(10.3/7.3)</f>
        <v>17.173250619958061</v>
      </c>
      <c r="E3942" s="1">
        <f>42.3084121959466*(10.3/7.3)</f>
        <v>59.695430906609545</v>
      </c>
      <c r="F3942" s="1">
        <f>95.3450402973866*(38.9/42.5)</f>
        <v>87.268754531019709</v>
      </c>
      <c r="G3942" s="1">
        <v>4.2016698912311545</v>
      </c>
      <c r="H3942" s="1">
        <v>8.4473261242466133</v>
      </c>
      <c r="I3942" s="1">
        <v>66.767927997303616</v>
      </c>
      <c r="J3942" s="1">
        <v>4.6340354632870846E-2</v>
      </c>
      <c r="K3942" s="1">
        <v>2.9441868855065065</v>
      </c>
      <c r="L3942" s="1">
        <v>3.8479062659461332</v>
      </c>
      <c r="M3942" s="1">
        <v>0.24548368809042775</v>
      </c>
      <c r="N3942" s="1">
        <v>2.1938784144203187</v>
      </c>
      <c r="O3942" s="1">
        <v>0.20253128205128204</v>
      </c>
      <c r="P3942" s="1">
        <v>0.14160624828946805</v>
      </c>
      <c r="Q3942" s="1">
        <v>6.7149975430634976</v>
      </c>
      <c r="R3942" s="2">
        <f t="shared" si="247"/>
        <v>260.35461819017991</v>
      </c>
      <c r="S3942" s="2">
        <f t="shared" si="246"/>
        <v>3.1321334884288454</v>
      </c>
      <c r="T3942" s="2">
        <f t="shared" si="248"/>
        <v>6.4897996505081625</v>
      </c>
      <c r="U3942" s="2">
        <f t="shared" si="249"/>
        <v>269.97655132911694</v>
      </c>
    </row>
    <row r="3943" spans="1:21" x14ac:dyDescent="0.25">
      <c r="A3943">
        <v>4954909</v>
      </c>
      <c r="B3943">
        <v>48</v>
      </c>
      <c r="C3943" s="1">
        <f>8.98247597202198*(10.3/7.3)</f>
        <v>12.673904453674853</v>
      </c>
      <c r="D3943" s="1">
        <f>14.2503292440926*(10.3/7.3)</f>
        <v>20.106628933445709</v>
      </c>
      <c r="E3943" s="1">
        <f>49.8924989962628*(10.3/7.3)</f>
        <v>70.39626570705569</v>
      </c>
      <c r="F3943" s="1">
        <f>100.485767128749*(38.9/42.5)</f>
        <v>91.974031560196323</v>
      </c>
      <c r="G3943" s="1">
        <v>3.9047087887828327</v>
      </c>
      <c r="H3943" s="1">
        <v>6.8823473347181325</v>
      </c>
      <c r="I3943" s="1">
        <v>69.463647939175388</v>
      </c>
      <c r="J3943" s="1">
        <v>5.2774139529777275E-2</v>
      </c>
      <c r="K3943" s="1">
        <v>3.2721627669212126</v>
      </c>
      <c r="L3943" s="1">
        <v>4.6201389082587037</v>
      </c>
      <c r="M3943" s="1">
        <v>0.27502532513091915</v>
      </c>
      <c r="N3943" s="1">
        <v>2.5234852300029726</v>
      </c>
      <c r="O3943" s="1">
        <v>0.22551444444444449</v>
      </c>
      <c r="P3943" s="1">
        <v>0.15389775747565657</v>
      </c>
      <c r="Q3943" s="1">
        <v>6.2404021738538527</v>
      </c>
      <c r="R3943" s="2">
        <f t="shared" si="247"/>
        <v>281.6419368909028</v>
      </c>
      <c r="S3943" s="2">
        <f t="shared" si="246"/>
        <v>3.4788346639266465</v>
      </c>
      <c r="T3943" s="2">
        <f t="shared" si="248"/>
        <v>7.64416390783704</v>
      </c>
      <c r="U3943" s="2">
        <f t="shared" si="249"/>
        <v>292.76493546266647</v>
      </c>
    </row>
    <row r="3944" spans="1:21" x14ac:dyDescent="0.25">
      <c r="A3944">
        <v>4954917</v>
      </c>
      <c r="B3944">
        <v>43</v>
      </c>
      <c r="C3944" s="1">
        <f>8.42257494901489*(10.3/7.3)</f>
        <v>11.883907119842934</v>
      </c>
      <c r="D3944" s="1">
        <f>12.352098938661*(10.3/7.3)</f>
        <v>17.42830398194635</v>
      </c>
      <c r="E3944" s="1">
        <f>43.3345746804382*(10.3/7.3)</f>
        <v>61.143304001166236</v>
      </c>
      <c r="F3944" s="1">
        <f>89.2384543897478*(38.9/42.5)</f>
        <v>81.679432370851487</v>
      </c>
      <c r="G3944" s="1">
        <v>3.5096424738177703</v>
      </c>
      <c r="H3944" s="1">
        <v>6.5862302328409985</v>
      </c>
      <c r="I3944" s="1">
        <v>63.541203872732474</v>
      </c>
      <c r="J3944" s="1">
        <v>4.9113011227502584E-2</v>
      </c>
      <c r="K3944" s="1">
        <v>3.0909208673739959</v>
      </c>
      <c r="L3944" s="1">
        <v>4.2134474629322725</v>
      </c>
      <c r="M3944" s="1">
        <v>0.25158926427058242</v>
      </c>
      <c r="N3944" s="1">
        <v>3.1118068615328069</v>
      </c>
      <c r="O3944" s="1">
        <v>0.20973271317829459</v>
      </c>
      <c r="P3944" s="1">
        <v>0.14536471681194546</v>
      </c>
      <c r="Q3944" s="1">
        <v>5.6090176522201896</v>
      </c>
      <c r="R3944" s="2">
        <f t="shared" si="247"/>
        <v>251.38104170541843</v>
      </c>
      <c r="S3944" s="2">
        <f t="shared" si="246"/>
        <v>3.2853985954134441</v>
      </c>
      <c r="T3944" s="2">
        <f t="shared" si="248"/>
        <v>7.7865763019139562</v>
      </c>
      <c r="U3944" s="2">
        <f t="shared" si="249"/>
        <v>262.45301660274583</v>
      </c>
    </row>
    <row r="3945" spans="1:21" x14ac:dyDescent="0.25">
      <c r="A3945">
        <v>4954925</v>
      </c>
      <c r="B3945">
        <v>63</v>
      </c>
      <c r="C3945" s="1">
        <f>7.46835070233602*(10.3/7.3)</f>
        <v>10.537535922474117</v>
      </c>
      <c r="D3945" s="1">
        <f>11.825526078218*(10.3/7.3)</f>
        <v>16.685331315841839</v>
      </c>
      <c r="E3945" s="1">
        <f>41.4056391274778*(10.3/7.3)</f>
        <v>58.421655207263157</v>
      </c>
      <c r="F3945" s="1">
        <f>83.3989055806588*(38.9/42.5)</f>
        <v>76.33452769617945</v>
      </c>
      <c r="G3945" s="1">
        <v>3.2399666006283327</v>
      </c>
      <c r="H3945" s="1">
        <v>6.0225746095331196</v>
      </c>
      <c r="I3945" s="1">
        <v>57.685804492728117</v>
      </c>
      <c r="J3945" s="1">
        <v>5.3108207635107478E-2</v>
      </c>
      <c r="K3945" s="1">
        <v>3.3157302819504255</v>
      </c>
      <c r="L3945" s="1">
        <v>4.6862769091074066</v>
      </c>
      <c r="M3945" s="1">
        <v>0.26805729247759535</v>
      </c>
      <c r="N3945" s="1">
        <v>2.7989279093953896</v>
      </c>
      <c r="O3945" s="1">
        <v>0.2228105820105821</v>
      </c>
      <c r="P3945" s="1">
        <v>0.1536994138716696</v>
      </c>
      <c r="Q3945" s="1">
        <v>5.1780288137895782</v>
      </c>
      <c r="R3945" s="2">
        <f t="shared" si="247"/>
        <v>234.1054246584377</v>
      </c>
      <c r="S3945" s="2">
        <f t="shared" si="246"/>
        <v>3.5225379034572022</v>
      </c>
      <c r="T3945" s="2">
        <f t="shared" si="248"/>
        <v>7.9760726929909742</v>
      </c>
      <c r="U3945" s="2">
        <f t="shared" si="249"/>
        <v>245.60403525488587</v>
      </c>
    </row>
    <row r="3946" spans="1:21" x14ac:dyDescent="0.25">
      <c r="A3946">
        <v>4954933</v>
      </c>
      <c r="B3946">
        <v>63</v>
      </c>
      <c r="C3946" s="1">
        <f>8.78056415331575*(10.3/7.3)</f>
        <v>12.389015175226337</v>
      </c>
      <c r="D3946" s="1">
        <f>13.7685804301198*(10.3/7.3)</f>
        <v>19.426901154826538</v>
      </c>
      <c r="E3946" s="1">
        <f>48.2275245432329*(10.3/7.3)</f>
        <v>68.047055177438196</v>
      </c>
      <c r="F3946" s="1">
        <f>97.0608726402277*(38.9/42.5)</f>
        <v>88.839245781290728</v>
      </c>
      <c r="G3946" s="1">
        <v>3.7609261167480779</v>
      </c>
      <c r="H3946" s="1">
        <v>6.4630414265502516</v>
      </c>
      <c r="I3946" s="1">
        <v>67.314099667831272</v>
      </c>
      <c r="J3946" s="1">
        <v>6.2110265434707115E-2</v>
      </c>
      <c r="K3946" s="1">
        <v>3.7238419962486087</v>
      </c>
      <c r="L3946" s="1">
        <v>5.5500260513297439</v>
      </c>
      <c r="M3946" s="1">
        <v>0.30104845712759543</v>
      </c>
      <c r="N3946" s="1">
        <v>3.1613478916868072</v>
      </c>
      <c r="O3946" s="1">
        <v>0.24927746031746026</v>
      </c>
      <c r="P3946" s="1">
        <v>0.16723669363708898</v>
      </c>
      <c r="Q3946" s="1">
        <v>6.0106125153508172</v>
      </c>
      <c r="R3946" s="2">
        <f t="shared" si="247"/>
        <v>272.25089701526224</v>
      </c>
      <c r="S3946" s="2">
        <f t="shared" si="246"/>
        <v>3.9531889553204049</v>
      </c>
      <c r="T3946" s="2">
        <f t="shared" si="248"/>
        <v>9.2616998604616061</v>
      </c>
      <c r="U3946" s="2">
        <f t="shared" si="249"/>
        <v>285.46578583104423</v>
      </c>
    </row>
    <row r="3947" spans="1:21" x14ac:dyDescent="0.25">
      <c r="A3947">
        <v>4954941</v>
      </c>
      <c r="B3947">
        <v>62</v>
      </c>
      <c r="C3947" s="1">
        <f>8.422908103827*(10.3/7.3)</f>
        <v>11.884377187591523</v>
      </c>
      <c r="D3947" s="1">
        <f>12.9822357040943*(10.3/7.3)</f>
        <v>18.317401061941254</v>
      </c>
      <c r="E3947" s="1">
        <f>45.500735390658*(10.3/7.3)</f>
        <v>64.199667742983195</v>
      </c>
      <c r="F3947" s="1">
        <f>91.6289907878649*(38.9/42.5)</f>
        <v>83.867476274069247</v>
      </c>
      <c r="G3947" s="1">
        <v>3.5424463123378289</v>
      </c>
      <c r="H3947" s="1">
        <v>6.2847415542935892</v>
      </c>
      <c r="I3947" s="1">
        <v>63.886699898034088</v>
      </c>
      <c r="J3947" s="1">
        <v>6.080702612650702E-2</v>
      </c>
      <c r="K3947" s="1">
        <v>3.6505264422871058</v>
      </c>
      <c r="L3947" s="1">
        <v>5.3915720078922318</v>
      </c>
      <c r="M3947" s="1">
        <v>0.28814024468134408</v>
      </c>
      <c r="N3947" s="1">
        <v>3.1834490479905382</v>
      </c>
      <c r="O3947" s="1">
        <v>0.24112516129032252</v>
      </c>
      <c r="P3947" s="1">
        <v>0.16276356436935679</v>
      </c>
      <c r="Q3947" s="1">
        <v>5.6614438781654846</v>
      </c>
      <c r="R3947" s="2">
        <f t="shared" si="247"/>
        <v>257.64425390941619</v>
      </c>
      <c r="S3947" s="2">
        <f t="shared" si="246"/>
        <v>3.87409703278297</v>
      </c>
      <c r="T3947" s="2">
        <f t="shared" si="248"/>
        <v>9.1042864618544357</v>
      </c>
      <c r="U3947" s="2">
        <f t="shared" si="249"/>
        <v>270.62263740405359</v>
      </c>
    </row>
    <row r="3948" spans="1:21" x14ac:dyDescent="0.25">
      <c r="A3948">
        <v>4954949</v>
      </c>
      <c r="B3948">
        <v>63</v>
      </c>
      <c r="C3948" s="1">
        <f>8.1606197950431*(10.3/7.3)</f>
        <v>11.514299162869033</v>
      </c>
      <c r="D3948" s="1">
        <f>12.3229641745328*(10.3/7.3)</f>
        <v>17.38719602708046</v>
      </c>
      <c r="E3948" s="1">
        <f>43.2140720668549*(10.3/7.3)</f>
        <v>60.973279765562431</v>
      </c>
      <c r="F3948" s="1">
        <f>87.478327220983*(38.9/42.5)</f>
        <v>80.068398326970353</v>
      </c>
      <c r="G3948" s="1">
        <v>3.3904860750624852</v>
      </c>
      <c r="H3948" s="1">
        <v>6.2319576370632355</v>
      </c>
      <c r="I3948" s="1">
        <v>61.459962568501027</v>
      </c>
      <c r="J3948" s="1">
        <v>6.2506163080499666E-2</v>
      </c>
      <c r="K3948" s="1">
        <v>3.639223263640043</v>
      </c>
      <c r="L3948" s="1">
        <v>5.3410925573517272</v>
      </c>
      <c r="M3948" s="1">
        <v>0.2811473306828175</v>
      </c>
      <c r="N3948" s="1">
        <v>2.8126156289679316</v>
      </c>
      <c r="O3948" s="1">
        <v>0.23702433862433861</v>
      </c>
      <c r="P3948" s="1">
        <v>0.16035211528128521</v>
      </c>
      <c r="Q3948" s="1">
        <v>5.4185850514697318</v>
      </c>
      <c r="R3948" s="2">
        <f t="shared" si="247"/>
        <v>246.44416461457877</v>
      </c>
      <c r="S3948" s="2">
        <f t="shared" si="246"/>
        <v>3.8620815420018277</v>
      </c>
      <c r="T3948" s="2">
        <f t="shared" si="248"/>
        <v>8.6718798556268162</v>
      </c>
      <c r="U3948" s="2">
        <f t="shared" si="249"/>
        <v>258.97812601220738</v>
      </c>
    </row>
    <row r="3949" spans="1:21" x14ac:dyDescent="0.25">
      <c r="A3949">
        <v>4954957</v>
      </c>
      <c r="B3949">
        <v>60</v>
      </c>
      <c r="C3949" s="1">
        <f>7.69433388698273*(10.3/7.3)</f>
        <v>10.856388909030429</v>
      </c>
      <c r="D3949" s="1">
        <f>11.5064122614586*(10.3/7.3)</f>
        <v>16.235074834660779</v>
      </c>
      <c r="E3949" s="1">
        <f>40.3520946109215*(10.3/7.3)</f>
        <v>56.935147190752325</v>
      </c>
      <c r="F3949" s="1">
        <f>82.3583506736405*(38.9/42.5)</f>
        <v>75.382113910696816</v>
      </c>
      <c r="G3949" s="1">
        <v>3.2171136297333947</v>
      </c>
      <c r="H3949" s="1">
        <v>6.3686031229186408</v>
      </c>
      <c r="I3949" s="1">
        <v>58.161957293538457</v>
      </c>
      <c r="J3949" s="1">
        <v>6.3082154417187841E-2</v>
      </c>
      <c r="K3949" s="1">
        <v>3.5560302507193566</v>
      </c>
      <c r="L3949" s="1">
        <v>5.147289100212058</v>
      </c>
      <c r="M3949" s="1">
        <v>0.2690930442215082</v>
      </c>
      <c r="N3949" s="1">
        <v>2.750312800339016</v>
      </c>
      <c r="O3949" s="1">
        <v>0.22769688888888878</v>
      </c>
      <c r="P3949" s="1">
        <v>0.15518501678928828</v>
      </c>
      <c r="Q3949" s="1">
        <v>5.1415058009437891</v>
      </c>
      <c r="R3949" s="2">
        <f t="shared" si="247"/>
        <v>232.29790469227461</v>
      </c>
      <c r="S3949" s="2">
        <f t="shared" si="246"/>
        <v>3.7742974219258327</v>
      </c>
      <c r="T3949" s="2">
        <f t="shared" si="248"/>
        <v>8.3943918336614711</v>
      </c>
      <c r="U3949" s="2">
        <f t="shared" si="249"/>
        <v>244.46659394786192</v>
      </c>
    </row>
    <row r="3950" spans="1:21" x14ac:dyDescent="0.25">
      <c r="A3950">
        <v>4954965</v>
      </c>
      <c r="B3950">
        <v>62</v>
      </c>
      <c r="C3950" s="1">
        <f>7.74973070978358*(10.3/7.3)</f>
        <v>10.93455154942067</v>
      </c>
      <c r="D3950" s="1">
        <f>11.4184296117875*(10.3/7.3)</f>
        <v>16.110934931700111</v>
      </c>
      <c r="E3950" s="1">
        <f>40.0500727645856*(10.3/7.3)</f>
        <v>56.50900677742893</v>
      </c>
      <c r="F3950" s="1">
        <f>82.5617801806509*(38.9/42.5)</f>
        <v>75.568311741819329</v>
      </c>
      <c r="G3950" s="1">
        <v>3.2535979476695571</v>
      </c>
      <c r="H3950" s="1">
        <v>6.0610914410511407</v>
      </c>
      <c r="I3950" s="1">
        <v>58.72058738833136</v>
      </c>
      <c r="J3950" s="1">
        <v>6.6303617522591451E-2</v>
      </c>
      <c r="K3950" s="1">
        <v>3.5742293948033668</v>
      </c>
      <c r="L3950" s="1">
        <v>5.1402648223445082</v>
      </c>
      <c r="M3950" s="1">
        <v>0.26300951241673631</v>
      </c>
      <c r="N3950" s="1">
        <v>3.1160687653071255</v>
      </c>
      <c r="O3950" s="1">
        <v>0.22537978494623648</v>
      </c>
      <c r="P3950" s="1">
        <v>0.15313765595019987</v>
      </c>
      <c r="Q3950" s="1">
        <v>5.199814071618019</v>
      </c>
      <c r="R3950" s="2">
        <f t="shared" si="247"/>
        <v>232.35789584903912</v>
      </c>
      <c r="S3950" s="2">
        <f t="shared" si="246"/>
        <v>3.7936706682761581</v>
      </c>
      <c r="T3950" s="2">
        <f t="shared" si="248"/>
        <v>8.744722885014605</v>
      </c>
      <c r="U3950" s="2">
        <f t="shared" si="249"/>
        <v>244.89628940232987</v>
      </c>
    </row>
    <row r="3951" spans="1:21" x14ac:dyDescent="0.25">
      <c r="A3951">
        <v>4954973</v>
      </c>
      <c r="B3951">
        <v>40</v>
      </c>
      <c r="C3951" s="1">
        <f>7.98375926656382*(10.3/7.3)</f>
        <v>11.264756225425666</v>
      </c>
      <c r="D3951" s="1">
        <f>11.5609572144299*(10.3/7.3)</f>
        <v>16.312035521729818</v>
      </c>
      <c r="E3951" s="1">
        <f>40.5606869860029*(10.3/7.3)</f>
        <v>57.229462459702695</v>
      </c>
      <c r="F3951" s="1">
        <f>84.4553294186409*(38.9/42.5)</f>
        <v>77.301466220826569</v>
      </c>
      <c r="G3951" s="1">
        <v>3.3557297523154439</v>
      </c>
      <c r="H3951" s="1">
        <v>6.0440874226303203</v>
      </c>
      <c r="I3951" s="1">
        <v>60.534574987436585</v>
      </c>
      <c r="J3951" s="1">
        <v>8.3385318634976779E-2</v>
      </c>
      <c r="K3951" s="1">
        <v>3.4947986297235238</v>
      </c>
      <c r="L3951" s="1">
        <v>5.0067096852542399</v>
      </c>
      <c r="M3951" s="1">
        <v>0.25238409883526514</v>
      </c>
      <c r="N3951" s="1">
        <v>3.1482715338427232</v>
      </c>
      <c r="O3951" s="1">
        <v>0.21950799999999998</v>
      </c>
      <c r="P3951" s="1">
        <v>0.14862193235031165</v>
      </c>
      <c r="Q3951" s="1">
        <v>5.3630384169424961</v>
      </c>
      <c r="R3951" s="2">
        <f t="shared" si="247"/>
        <v>237.40515100700961</v>
      </c>
      <c r="S3951" s="2">
        <f t="shared" si="246"/>
        <v>3.7268058807088122</v>
      </c>
      <c r="T3951" s="2">
        <f t="shared" si="248"/>
        <v>8.6268733179322279</v>
      </c>
      <c r="U3951" s="2">
        <f t="shared" si="249"/>
        <v>249.75883020565064</v>
      </c>
    </row>
    <row r="3952" spans="1:21" x14ac:dyDescent="0.25">
      <c r="A3952">
        <v>4955061</v>
      </c>
      <c r="B3952">
        <v>22</v>
      </c>
      <c r="C3952" s="1">
        <f>3.42324566243563*(10.3/7.3)</f>
        <v>4.8300589483680776</v>
      </c>
      <c r="D3952" s="1">
        <f>5.08825057923675*(10.3/7.3)</f>
        <v>7.1793124611148675</v>
      </c>
      <c r="E3952" s="1">
        <f>17.5729402776719*(10.3/7.3)</f>
        <v>24.794696556167242</v>
      </c>
      <c r="F3952" s="1">
        <f>49.772044226405*(38.9/42.5)</f>
        <v>45.556059303697715</v>
      </c>
      <c r="G3952" s="1">
        <v>2.5684945772784014</v>
      </c>
      <c r="H3952" s="1">
        <v>8.4748213002374868</v>
      </c>
      <c r="I3952" s="1">
        <v>37.816978110150131</v>
      </c>
      <c r="J3952" s="1">
        <v>3.4226452997315589E-2</v>
      </c>
      <c r="K3952" s="1">
        <v>2.2673411743666994</v>
      </c>
      <c r="L3952" s="1">
        <v>2.8049305910139566</v>
      </c>
      <c r="M3952" s="1">
        <v>0.12942169577613882</v>
      </c>
      <c r="N3952" s="1">
        <v>1.7822562656634382</v>
      </c>
      <c r="O3952" s="1">
        <v>0.11148121212121209</v>
      </c>
      <c r="P3952" s="1">
        <v>8.9443050720138348E-2</v>
      </c>
      <c r="Q3952" s="1">
        <v>4.1049000093490458</v>
      </c>
      <c r="R3952" s="2">
        <f t="shared" si="247"/>
        <v>135.32532126636298</v>
      </c>
      <c r="S3952" s="2">
        <f t="shared" si="246"/>
        <v>2.3910106780841534</v>
      </c>
      <c r="T3952" s="2">
        <f t="shared" si="248"/>
        <v>4.8280897645747451</v>
      </c>
      <c r="U3952" s="2">
        <f t="shared" si="249"/>
        <v>142.54442170902186</v>
      </c>
    </row>
    <row r="3953" spans="1:21" x14ac:dyDescent="0.25">
      <c r="A3953">
        <v>4955069</v>
      </c>
      <c r="B3953">
        <v>15</v>
      </c>
      <c r="C3953" s="1">
        <f>3.71207963903092*(10.3/7.3)</f>
        <v>5.2375918194545905</v>
      </c>
      <c r="D3953" s="1">
        <f>5.09271238631602*(10.3/7.3)</f>
        <v>7.1856078875417841</v>
      </c>
      <c r="E3953" s="1">
        <f>17.7769918226954*(10.3/7.3)</f>
        <v>25.082604900515435</v>
      </c>
      <c r="F3953" s="1">
        <f>43.5481729091053*(38.9/42.5)</f>
        <v>39.859386497981049</v>
      </c>
      <c r="G3953" s="1">
        <v>2.0056285679303776</v>
      </c>
      <c r="H3953" s="1">
        <v>8.8460410197803068</v>
      </c>
      <c r="I3953" s="1">
        <v>32.822159345724408</v>
      </c>
      <c r="J3953" s="1">
        <v>3.7240619215352266E-2</v>
      </c>
      <c r="K3953" s="1">
        <v>2.4105805366535522</v>
      </c>
      <c r="L3953" s="1">
        <v>3.5254514354094129</v>
      </c>
      <c r="M3953" s="1">
        <v>0.13471754123642241</v>
      </c>
      <c r="N3953" s="1">
        <v>1.8782974247034296</v>
      </c>
      <c r="O3953" s="1">
        <v>0.11801955555555557</v>
      </c>
      <c r="P3953" s="1">
        <v>9.320058128041854E-2</v>
      </c>
      <c r="Q3953" s="1">
        <v>3.2053424601627056</v>
      </c>
      <c r="R3953" s="2">
        <f t="shared" si="247"/>
        <v>124.24436249909064</v>
      </c>
      <c r="S3953" s="2">
        <f t="shared" si="246"/>
        <v>2.5410217371493231</v>
      </c>
      <c r="T3953" s="2">
        <f t="shared" si="248"/>
        <v>5.6564859569048203</v>
      </c>
      <c r="U3953" s="2">
        <f t="shared" si="249"/>
        <v>132.44187019314478</v>
      </c>
    </row>
    <row r="3954" spans="1:21" x14ac:dyDescent="0.25">
      <c r="A3954">
        <v>4966649</v>
      </c>
      <c r="B3954">
        <v>45</v>
      </c>
      <c r="C3954" s="1">
        <f>0.640727604075078*(10.3/7.3)</f>
        <v>0.90404031807853413</v>
      </c>
      <c r="D3954" s="1">
        <f>0.908926173875128*(10.3/7.3)</f>
        <v>1.2824574782073719</v>
      </c>
      <c r="E3954" s="1">
        <f>3.15373985286705*(10.3/7.3)</f>
        <v>4.4497973266480271</v>
      </c>
      <c r="F3954" s="1">
        <f>8.47516018743457*(38.9/42.5)</f>
        <v>7.7572642656754027</v>
      </c>
      <c r="G3954" s="1">
        <v>0.42038396333722394</v>
      </c>
      <c r="H3954" s="1">
        <v>1.8435111863458926</v>
      </c>
      <c r="I3954" s="1">
        <v>6.444407465673498</v>
      </c>
      <c r="J3954" s="1">
        <v>4.2510112521316513E-2</v>
      </c>
      <c r="K3954" s="1">
        <v>2.8508497266880592</v>
      </c>
      <c r="L3954" s="1">
        <v>2.1735852499309729</v>
      </c>
      <c r="M3954" s="1">
        <v>0.5972087300385821</v>
      </c>
      <c r="N3954" s="1">
        <v>1.3958536047772629</v>
      </c>
      <c r="O3954" s="1">
        <v>0.41256533333333328</v>
      </c>
      <c r="P3954" s="1">
        <v>0.21490935908388964</v>
      </c>
      <c r="Q3954" s="1">
        <v>0.67184651674898888</v>
      </c>
      <c r="R3954" s="2">
        <f t="shared" si="247"/>
        <v>23.773708520714937</v>
      </c>
      <c r="S3954" s="2">
        <f t="shared" si="246"/>
        <v>3.1082691982932653</v>
      </c>
      <c r="T3954" s="2">
        <f t="shared" si="248"/>
        <v>4.5792129180801515</v>
      </c>
      <c r="U3954" s="2">
        <f t="shared" si="249"/>
        <v>31.461190637088354</v>
      </c>
    </row>
    <row r="3955" spans="1:21" x14ac:dyDescent="0.25">
      <c r="A3955">
        <v>4966881</v>
      </c>
      <c r="B3955">
        <v>40</v>
      </c>
      <c r="C3955" s="1">
        <f>1.69439308974071*(10.3/7.3)</f>
        <v>2.3907190170314108</v>
      </c>
      <c r="D3955" s="1">
        <f>3.0828375642493*(10.3/7.3)</f>
        <v>4.3497571112010736</v>
      </c>
      <c r="E3955" s="1">
        <f>10.4871917781667*(10.3/7.3)</f>
        <v>14.796996618509223</v>
      </c>
      <c r="F3955" s="1">
        <f>34.0804286647717*(38.9/42.5)</f>
        <v>31.193615883755733</v>
      </c>
      <c r="G3955" s="1">
        <v>1.9285809648921408</v>
      </c>
      <c r="H3955" s="1">
        <v>11.158379839586809</v>
      </c>
      <c r="I3955" s="1">
        <v>25.619394023199327</v>
      </c>
      <c r="J3955" s="1">
        <v>4.7294112597392371E-2</v>
      </c>
      <c r="K3955" s="1">
        <v>2.9611452886098979</v>
      </c>
      <c r="L3955" s="1">
        <v>4.7797088264876972</v>
      </c>
      <c r="M3955" s="1">
        <v>0.8009839499548338</v>
      </c>
      <c r="N3955" s="1">
        <v>2.5753393877252808</v>
      </c>
      <c r="O3955" s="1">
        <v>0.27307866666666658</v>
      </c>
      <c r="P3955" s="1">
        <v>0.17170681128497839</v>
      </c>
      <c r="Q3955" s="1">
        <v>3.0822070215171236</v>
      </c>
      <c r="R3955" s="2">
        <f t="shared" si="247"/>
        <v>94.519650479692842</v>
      </c>
      <c r="S3955" s="2">
        <f t="shared" si="246"/>
        <v>3.1801462124922684</v>
      </c>
      <c r="T3955" s="2">
        <f t="shared" si="248"/>
        <v>8.4291108308344782</v>
      </c>
      <c r="U3955" s="2">
        <f t="shared" si="249"/>
        <v>106.12890752301959</v>
      </c>
    </row>
    <row r="3956" spans="1:21" x14ac:dyDescent="0.25">
      <c r="A3956">
        <v>4966889</v>
      </c>
      <c r="B3956">
        <v>37</v>
      </c>
      <c r="C3956" s="1">
        <f>1.56457633411237*(10.3/7.3)</f>
        <v>2.2075529097749915</v>
      </c>
      <c r="D3956" s="1">
        <f>2.60539375876202*(10.3/7.3)</f>
        <v>3.6761035226368177</v>
      </c>
      <c r="E3956" s="1">
        <f>8.9383124032091*(10.3/7.3)</f>
        <v>12.611591473021056</v>
      </c>
      <c r="F3956" s="1">
        <f>26.4873000265138*(38.9/42.5)</f>
        <v>24.243669906620848</v>
      </c>
      <c r="G3956" s="1">
        <v>1.4186682097826067</v>
      </c>
      <c r="H3956" s="1">
        <v>6.6831285685511723</v>
      </c>
      <c r="I3956" s="1">
        <v>19.853939015858547</v>
      </c>
      <c r="J3956" s="1">
        <v>4.6079816629199959E-2</v>
      </c>
      <c r="K3956" s="1">
        <v>2.9072870119572376</v>
      </c>
      <c r="L3956" s="1">
        <v>4.335830628859072</v>
      </c>
      <c r="M3956" s="1">
        <v>0.73136215333435473</v>
      </c>
      <c r="N3956" s="1">
        <v>2.4743323840173885</v>
      </c>
      <c r="O3956" s="1">
        <v>0.26927135135135133</v>
      </c>
      <c r="P3956" s="1">
        <v>0.17054491476152442</v>
      </c>
      <c r="Q3956" s="1">
        <v>2.2672779608397846</v>
      </c>
      <c r="R3956" s="2">
        <f t="shared" si="247"/>
        <v>72.961931567085827</v>
      </c>
      <c r="S3956" s="2">
        <f t="shared" si="246"/>
        <v>3.123911743347962</v>
      </c>
      <c r="T3956" s="2">
        <f t="shared" si="248"/>
        <v>7.8107965175621672</v>
      </c>
      <c r="U3956" s="2">
        <f t="shared" si="249"/>
        <v>83.896639827995955</v>
      </c>
    </row>
    <row r="3957" spans="1:21" x14ac:dyDescent="0.25">
      <c r="A3957">
        <v>4966897</v>
      </c>
      <c r="B3957">
        <v>52</v>
      </c>
      <c r="C3957" s="1">
        <f>1.74994866921788*(10.3/7.3)</f>
        <v>2.4691056565677005</v>
      </c>
      <c r="D3957" s="1">
        <f>2.9387999876406*(10.3/7.3)</f>
        <v>4.1465260099586514</v>
      </c>
      <c r="E3957" s="1">
        <f>10.0567166444789*(10.3/7.3)</f>
        <v>14.189613895634643</v>
      </c>
      <c r="F3957" s="1">
        <f>30.9591782628038*(38.9/42.5)</f>
        <v>28.336753751131049</v>
      </c>
      <c r="G3957" s="1">
        <v>1.6946204255565116</v>
      </c>
      <c r="H3957" s="1">
        <v>8.7209624378883959</v>
      </c>
      <c r="I3957" s="1">
        <v>23.338856194264078</v>
      </c>
      <c r="J3957" s="1">
        <v>5.6126814498461491E-2</v>
      </c>
      <c r="K3957" s="1">
        <v>3.3099508212216953</v>
      </c>
      <c r="L3957" s="1">
        <v>4.770550612779493</v>
      </c>
      <c r="M3957" s="1">
        <v>0.77416270646002538</v>
      </c>
      <c r="N3957" s="1">
        <v>2.5798913761074349</v>
      </c>
      <c r="O3957" s="1">
        <v>0.29840000000000005</v>
      </c>
      <c r="P3957" s="1">
        <v>0.19042592962885191</v>
      </c>
      <c r="Q3957" s="1">
        <v>2.7082974837661173</v>
      </c>
      <c r="R3957" s="2">
        <f t="shared" si="247"/>
        <v>85.604735854767156</v>
      </c>
      <c r="S3957" s="2">
        <f t="shared" si="246"/>
        <v>3.5565035653490087</v>
      </c>
      <c r="T3957" s="2">
        <f t="shared" si="248"/>
        <v>8.423004695346954</v>
      </c>
      <c r="U3957" s="2">
        <f t="shared" si="249"/>
        <v>97.584244115463122</v>
      </c>
    </row>
    <row r="3958" spans="1:21" x14ac:dyDescent="0.25">
      <c r="A3958">
        <v>4966905</v>
      </c>
      <c r="B3958">
        <v>33</v>
      </c>
      <c r="C3958" s="1">
        <f>1.75587546483892*(10.3/7.3)</f>
        <v>2.4774681216220351</v>
      </c>
      <c r="D3958" s="1">
        <f>2.84430672195166*(10.3/7.3)</f>
        <v>4.0131998953564576</v>
      </c>
      <c r="E3958" s="1">
        <f>9.77369135996938*(10.3/7.3)</f>
        <v>13.790276850367752</v>
      </c>
      <c r="F3958" s="1">
        <f>28.634457919773*(38.9/42.5)</f>
        <v>26.208950895980454</v>
      </c>
      <c r="G3958" s="1">
        <v>1.5201319651596716</v>
      </c>
      <c r="H3958" s="1">
        <v>9.1598203686691395</v>
      </c>
      <c r="I3958" s="1">
        <v>21.52550854358935</v>
      </c>
      <c r="J3958" s="1">
        <v>6.0387218561819236E-2</v>
      </c>
      <c r="K3958" s="1">
        <v>3.4431970351020476</v>
      </c>
      <c r="L3958" s="1">
        <v>4.9152102447036352</v>
      </c>
      <c r="M3958" s="1">
        <v>0.77151330218706049</v>
      </c>
      <c r="N3958" s="1">
        <v>2.5840630693463669</v>
      </c>
      <c r="O3958" s="1">
        <v>0.30821171717171708</v>
      </c>
      <c r="P3958" s="1">
        <v>0.19541555491640739</v>
      </c>
      <c r="Q3958" s="1">
        <v>2.4294346475154591</v>
      </c>
      <c r="R3958" s="2">
        <f t="shared" si="247"/>
        <v>81.124791288260326</v>
      </c>
      <c r="S3958" s="2">
        <f t="shared" si="246"/>
        <v>3.6989998085802744</v>
      </c>
      <c r="T3958" s="2">
        <f t="shared" si="248"/>
        <v>8.57899833340878</v>
      </c>
      <c r="U3958" s="2">
        <f t="shared" si="249"/>
        <v>93.402789430249371</v>
      </c>
    </row>
    <row r="3959" spans="1:21" x14ac:dyDescent="0.25">
      <c r="A3959">
        <v>4967089</v>
      </c>
      <c r="B3959">
        <v>4</v>
      </c>
      <c r="C3959" s="1">
        <f>13.9551491794577*(10.3/7.3)</f>
        <v>19.690141992933498</v>
      </c>
      <c r="D3959" s="1">
        <f>18.8445543295276*(10.3/7.3)</f>
        <v>26.58889172522392</v>
      </c>
      <c r="E3959" s="1">
        <f>66.7336138896597*(10.3/7.3)</f>
        <v>94.158386721026758</v>
      </c>
      <c r="F3959" s="1">
        <f>117.133036208987*(38.9/42.5)</f>
        <v>107.21117902422597</v>
      </c>
      <c r="G3959" s="1">
        <v>3.6182536493116095</v>
      </c>
      <c r="H3959" s="1">
        <v>7.5554241926006984</v>
      </c>
      <c r="I3959" s="1">
        <v>82.213572450044722</v>
      </c>
      <c r="J3959" s="1">
        <v>5.2083204517976878E-2</v>
      </c>
      <c r="K3959" s="1">
        <v>2.8840877848005544</v>
      </c>
      <c r="L3959" s="1">
        <v>3.5891715246899816</v>
      </c>
      <c r="M3959" s="1">
        <v>0.26039657237403885</v>
      </c>
      <c r="N3959" s="1">
        <v>2.3603757824110687</v>
      </c>
      <c r="O3959" s="1">
        <v>0.21099999999999999</v>
      </c>
      <c r="P3959" s="1">
        <v>0.14511770780691452</v>
      </c>
      <c r="Q3959" s="1">
        <v>5.7825971564340852</v>
      </c>
      <c r="R3959" s="2">
        <f t="shared" si="247"/>
        <v>346.81844691180123</v>
      </c>
      <c r="S3959" s="2">
        <f t="shared" si="246"/>
        <v>3.0812886971254456</v>
      </c>
      <c r="T3959" s="2">
        <f t="shared" si="248"/>
        <v>6.4209438794750895</v>
      </c>
      <c r="U3959" s="2">
        <f t="shared" si="249"/>
        <v>356.32067948840177</v>
      </c>
    </row>
    <row r="3960" spans="1:21" x14ac:dyDescent="0.25">
      <c r="A3960">
        <v>4967097</v>
      </c>
      <c r="B3960">
        <v>55</v>
      </c>
      <c r="C3960" s="1">
        <f>12.6485891157179*(10.3/7.3)</f>
        <v>17.846639437245742</v>
      </c>
      <c r="D3960" s="1">
        <f>20.5404253468769*(10.3/7.3)</f>
        <v>28.981696037374189</v>
      </c>
      <c r="E3960" s="1">
        <f>72.0492282407008*(10.3/7.3)</f>
        <v>101.65850012044091</v>
      </c>
      <c r="F3960" s="1">
        <f>135.329906077128*(38.9/42.5)</f>
        <v>123.86666697412402</v>
      </c>
      <c r="G3960" s="1">
        <v>4.8382995468650938</v>
      </c>
      <c r="H3960" s="1">
        <v>7.8318617020877719</v>
      </c>
      <c r="I3960" s="1">
        <v>90.883748909215697</v>
      </c>
      <c r="J3960" s="1">
        <v>7.1693479278598454E-2</v>
      </c>
      <c r="K3960" s="1">
        <v>3.9219593409964033</v>
      </c>
      <c r="L3960" s="1">
        <v>5.759398808707954</v>
      </c>
      <c r="M3960" s="1">
        <v>0.37898194966374621</v>
      </c>
      <c r="N3960" s="1">
        <v>3.1084882914475522</v>
      </c>
      <c r="O3960" s="1">
        <v>0.2935069090909091</v>
      </c>
      <c r="P3960" s="1">
        <v>0.18632288581817621</v>
      </c>
      <c r="Q3960" s="1">
        <v>7.7324421981862264</v>
      </c>
      <c r="R3960" s="2">
        <f t="shared" si="247"/>
        <v>383.63985492553962</v>
      </c>
      <c r="S3960" s="2">
        <f t="shared" si="246"/>
        <v>4.1799757060931775</v>
      </c>
      <c r="T3960" s="2">
        <f t="shared" si="248"/>
        <v>9.5403759589101629</v>
      </c>
      <c r="U3960" s="2">
        <f t="shared" si="249"/>
        <v>397.36020659054293</v>
      </c>
    </row>
    <row r="3961" spans="1:21" x14ac:dyDescent="0.25">
      <c r="A3961">
        <v>4967105</v>
      </c>
      <c r="B3961">
        <v>42</v>
      </c>
      <c r="C3961" s="1">
        <f>10.6212096783952*(10.3/7.3)</f>
        <v>14.986090368146684</v>
      </c>
      <c r="D3961" s="1">
        <f>17.1168580940775*(10.3/7.3)</f>
        <v>24.151183338218974</v>
      </c>
      <c r="E3961" s="1">
        <f>60.0336732562253*(10.3/7.3)</f>
        <v>84.705045827276763</v>
      </c>
      <c r="F3961" s="1">
        <f>113.915712236272*(38.9/42.5)</f>
        <v>104.26638131743461</v>
      </c>
      <c r="G3961" s="1">
        <v>4.1225781918339823</v>
      </c>
      <c r="H3961" s="1">
        <v>7.436536541560395</v>
      </c>
      <c r="I3961" s="1">
        <v>76.944193788996046</v>
      </c>
      <c r="J3961" s="1">
        <v>6.4888284199313931E-2</v>
      </c>
      <c r="K3961" s="1">
        <v>3.6556442700158516</v>
      </c>
      <c r="L3961" s="1">
        <v>5.239030688241221</v>
      </c>
      <c r="M3961" s="1">
        <v>0.34139071763374862</v>
      </c>
      <c r="N3961" s="1">
        <v>2.8378274205935745</v>
      </c>
      <c r="O3961" s="1">
        <v>0.26790603174603178</v>
      </c>
      <c r="P3961" s="1">
        <v>0.17556215019482435</v>
      </c>
      <c r="Q3961" s="1">
        <v>6.5885952837529471</v>
      </c>
      <c r="R3961" s="2">
        <f t="shared" si="247"/>
        <v>323.20060465722042</v>
      </c>
      <c r="S3961" s="2">
        <f t="shared" si="246"/>
        <v>3.8960947044099901</v>
      </c>
      <c r="T3961" s="2">
        <f t="shared" si="248"/>
        <v>8.6861548582145751</v>
      </c>
      <c r="U3961" s="2">
        <f t="shared" si="249"/>
        <v>335.78285421984504</v>
      </c>
    </row>
    <row r="3962" spans="1:21" x14ac:dyDescent="0.25">
      <c r="A3962">
        <v>4967113</v>
      </c>
      <c r="B3962">
        <v>56</v>
      </c>
      <c r="C3962" s="1">
        <f>9.87415175441259*(10.3/7.3)</f>
        <v>13.932022338417758</v>
      </c>
      <c r="D3962" s="1">
        <f>16.1118738695458*(10.3/7.3)</f>
        <v>22.733191898126329</v>
      </c>
      <c r="E3962" s="1">
        <f>56.4381050898708*(10.3/7.3)</f>
        <v>79.631846907625984</v>
      </c>
      <c r="F3962" s="1">
        <f>109.417036112585*(38.9/42.5)</f>
        <v>100.148769524225</v>
      </c>
      <c r="G3962" s="1">
        <v>4.0801392106894259</v>
      </c>
      <c r="H3962" s="1">
        <v>8.7114296471157022</v>
      </c>
      <c r="I3962" s="1">
        <v>74.13126277611218</v>
      </c>
      <c r="J3962" s="1">
        <v>6.2398281308783388E-2</v>
      </c>
      <c r="K3962" s="1">
        <v>3.5850811832378753</v>
      </c>
      <c r="L3962" s="1">
        <v>5.1225210648425499</v>
      </c>
      <c r="M3962" s="1">
        <v>0.32777381360259156</v>
      </c>
      <c r="N3962" s="1">
        <v>2.7659774350932063</v>
      </c>
      <c r="O3962" s="1">
        <v>0.25989428571428569</v>
      </c>
      <c r="P3962" s="1">
        <v>0.17161969188969239</v>
      </c>
      <c r="Q3962" s="1">
        <v>6.5207704280424688</v>
      </c>
      <c r="R3962" s="2">
        <f t="shared" si="247"/>
        <v>309.88943273035483</v>
      </c>
      <c r="S3962" s="2">
        <f t="shared" si="246"/>
        <v>3.819099156436351</v>
      </c>
      <c r="T3962" s="2">
        <f t="shared" si="248"/>
        <v>8.4761665992526325</v>
      </c>
      <c r="U3962" s="2">
        <f t="shared" si="249"/>
        <v>322.18469848604377</v>
      </c>
    </row>
    <row r="3963" spans="1:21" x14ac:dyDescent="0.25">
      <c r="A3963">
        <v>4967121</v>
      </c>
      <c r="B3963">
        <v>46</v>
      </c>
      <c r="C3963" s="1">
        <f>9.1762968871174*(10.3/7.3)</f>
        <v>12.947377799631402</v>
      </c>
      <c r="D3963" s="1">
        <f>15.3275910802709*(10.3/7.3)</f>
        <v>21.626601113258925</v>
      </c>
      <c r="E3963" s="1">
        <f>53.5465908315568*(10.3/7.3)</f>
        <v>75.55203911849803</v>
      </c>
      <c r="F3963" s="1">
        <f>108.897645653373*(38.9/42.5)</f>
        <v>99.673374492146309</v>
      </c>
      <c r="G3963" s="1">
        <v>4.3147494290952606</v>
      </c>
      <c r="H3963" s="1">
        <v>6.8336223317701652</v>
      </c>
      <c r="I3963" s="1">
        <v>74.3832659394578</v>
      </c>
      <c r="J3963" s="1">
        <v>5.9839688742612154E-2</v>
      </c>
      <c r="K3963" s="1">
        <v>3.4331834503950689</v>
      </c>
      <c r="L3963" s="1">
        <v>4.8587356085430722</v>
      </c>
      <c r="M3963" s="1">
        <v>0.30494657526706431</v>
      </c>
      <c r="N3963" s="1">
        <v>2.6388895725053434</v>
      </c>
      <c r="O3963" s="1">
        <v>0.24673275362318844</v>
      </c>
      <c r="P3963" s="1">
        <v>0.16459259985424177</v>
      </c>
      <c r="Q3963" s="1">
        <v>6.8957182656773668</v>
      </c>
      <c r="R3963" s="2">
        <f t="shared" si="247"/>
        <v>302.22674848953523</v>
      </c>
      <c r="S3963" s="2">
        <f t="shared" si="246"/>
        <v>3.6576157389919226</v>
      </c>
      <c r="T3963" s="2">
        <f t="shared" si="248"/>
        <v>8.0493045099386684</v>
      </c>
      <c r="U3963" s="2">
        <f t="shared" si="249"/>
        <v>313.93366873846583</v>
      </c>
    </row>
    <row r="3964" spans="1:21" x14ac:dyDescent="0.25">
      <c r="A3964">
        <v>4967129</v>
      </c>
      <c r="B3964">
        <v>1</v>
      </c>
      <c r="C3964" s="1">
        <f>7.38433009738555*(10.3/7.3)</f>
        <v>10.418986301790568</v>
      </c>
      <c r="D3964" s="1">
        <f>12.3597633704963*(10.3/7.3)</f>
        <v>17.439118180289334</v>
      </c>
      <c r="E3964" s="1">
        <f>43.1092313304778*(10.3/7.3)</f>
        <v>60.825353795057666</v>
      </c>
      <c r="F3964" s="1">
        <f>91.0194281031177*(38.9/42.5)</f>
        <v>83.309547134382981</v>
      </c>
      <c r="G3964" s="1">
        <v>3.756395885904054</v>
      </c>
      <c r="H3964" s="1">
        <v>6.1437682997740044</v>
      </c>
      <c r="I3964" s="1">
        <v>62.84206248340071</v>
      </c>
      <c r="J3964" s="1">
        <v>4.6064219988362617E-2</v>
      </c>
      <c r="K3964" s="1">
        <v>2.7759262908421771</v>
      </c>
      <c r="L3964" s="1">
        <v>3.5154368537990344</v>
      </c>
      <c r="M3964" s="1">
        <v>0.22861100455290792</v>
      </c>
      <c r="N3964" s="1">
        <v>2.0330575646383271</v>
      </c>
      <c r="O3964" s="1">
        <v>0.1968</v>
      </c>
      <c r="P3964" s="1">
        <v>0.13584234219647054</v>
      </c>
      <c r="Q3964" s="1">
        <v>6.0033724203946131</v>
      </c>
      <c r="R3964" s="2">
        <f t="shared" si="247"/>
        <v>250.73860450099392</v>
      </c>
      <c r="S3964" s="2">
        <f t="shared" si="246"/>
        <v>2.9578328530270102</v>
      </c>
      <c r="T3964" s="2">
        <f t="shared" si="248"/>
        <v>5.9739054229902688</v>
      </c>
      <c r="U3964" s="2">
        <f t="shared" si="249"/>
        <v>259.67034277701117</v>
      </c>
    </row>
    <row r="3965" spans="1:21" x14ac:dyDescent="0.25">
      <c r="A3965">
        <v>4967137</v>
      </c>
      <c r="B3965">
        <v>62</v>
      </c>
      <c r="C3965" s="1">
        <f>8.53844484809526*(10.3/7.3)</f>
        <v>12.047394785668653</v>
      </c>
      <c r="D3965" s="1">
        <f>14.1316428396385*(10.3/7.3)</f>
        <v>19.93916729428441</v>
      </c>
      <c r="E3965" s="1">
        <f>49.2196735470596*(10.3/7.3)</f>
        <v>69.446936648590892</v>
      </c>
      <c r="F3965" s="1">
        <f>108.40459614924*(38.9/42.5)</f>
        <v>99.222089181304824</v>
      </c>
      <c r="G3965" s="1">
        <v>4.6588847851581665</v>
      </c>
      <c r="H3965" s="1">
        <v>8.6769525766063431</v>
      </c>
      <c r="I3965" s="1">
        <v>75.975423589550346</v>
      </c>
      <c r="J3965" s="1">
        <v>5.5623610543213381E-2</v>
      </c>
      <c r="K3965" s="1">
        <v>3.3944761838567854</v>
      </c>
      <c r="L3965" s="1">
        <v>4.8105931997896691</v>
      </c>
      <c r="M3965" s="1">
        <v>0.28947492045891132</v>
      </c>
      <c r="N3965" s="1">
        <v>2.6040083008636721</v>
      </c>
      <c r="O3965" s="1">
        <v>0.23708559139784946</v>
      </c>
      <c r="P3965" s="1">
        <v>0.16037336806040633</v>
      </c>
      <c r="Q3965" s="1">
        <v>7.4457062776500482</v>
      </c>
      <c r="R3965" s="2">
        <f t="shared" si="247"/>
        <v>297.41255513881367</v>
      </c>
      <c r="S3965" s="2">
        <f t="shared" si="246"/>
        <v>3.6104731624604054</v>
      </c>
      <c r="T3965" s="2">
        <f t="shared" si="248"/>
        <v>7.9411620125101017</v>
      </c>
      <c r="U3965" s="2">
        <f t="shared" si="249"/>
        <v>308.96419031378417</v>
      </c>
    </row>
    <row r="3966" spans="1:21" x14ac:dyDescent="0.25">
      <c r="A3966">
        <v>4967145</v>
      </c>
      <c r="B3966">
        <v>6</v>
      </c>
      <c r="C3966" s="1">
        <f>11.6945112662389*(10.3/7.3)</f>
        <v>16.500474800309643</v>
      </c>
      <c r="D3966" s="1">
        <f>13.7103832278242*(10.3/7.3)</f>
        <v>19.344787294053344</v>
      </c>
      <c r="E3966" s="1">
        <f>48.5201745155458*(10.3/7.3)</f>
        <v>68.459972261660539</v>
      </c>
      <c r="F3966" s="1">
        <f>102.281339073239*(38.9/42.5)</f>
        <v>93.617507998799496</v>
      </c>
      <c r="G3966" s="1">
        <v>3.9568586007521183</v>
      </c>
      <c r="H3966" s="1">
        <v>7.642480504849182</v>
      </c>
      <c r="I3966" s="1">
        <v>78.605280175693665</v>
      </c>
      <c r="J3966" s="1">
        <v>4.6648367705606347E-2</v>
      </c>
      <c r="K3966" s="1">
        <v>2.9601910407342138</v>
      </c>
      <c r="L3966" s="1">
        <v>3.915714982176143</v>
      </c>
      <c r="M3966" s="1">
        <v>0.24056652090444294</v>
      </c>
      <c r="N3966" s="1">
        <v>2.4557576886235677</v>
      </c>
      <c r="O3966" s="1">
        <v>0.2012177777777778</v>
      </c>
      <c r="P3966" s="1">
        <v>0.14105356952357784</v>
      </c>
      <c r="Q3966" s="1">
        <v>6.3237466222065875</v>
      </c>
      <c r="R3966" s="2">
        <f t="shared" si="247"/>
        <v>294.45110825832461</v>
      </c>
      <c r="S3966" s="2">
        <f t="shared" si="246"/>
        <v>3.147892977963398</v>
      </c>
      <c r="T3966" s="2">
        <f t="shared" si="248"/>
        <v>6.813256969481932</v>
      </c>
      <c r="U3966" s="2">
        <f t="shared" si="249"/>
        <v>304.41225820576994</v>
      </c>
    </row>
    <row r="3967" spans="1:21" x14ac:dyDescent="0.25">
      <c r="A3967">
        <v>4967153</v>
      </c>
      <c r="B3967">
        <v>63</v>
      </c>
      <c r="C3967" s="1">
        <f>8.42968803783409*(10.3/7.3)</f>
        <v>11.893943395848096</v>
      </c>
      <c r="D3967" s="1">
        <f>13.2456443089069*(10.3/7.3)</f>
        <v>18.689059778320757</v>
      </c>
      <c r="E3967" s="1">
        <f>46.3415916601503*(10.3/7.3)</f>
        <v>65.386081383499686</v>
      </c>
      <c r="F3967" s="1">
        <f>95.8282630751127*(38.9/42.5)</f>
        <v>87.711045496985491</v>
      </c>
      <c r="G3967" s="1">
        <v>3.8306167355967475</v>
      </c>
      <c r="H3967" s="1">
        <v>7.4674081414941691</v>
      </c>
      <c r="I3967" s="1">
        <v>66.933974001551519</v>
      </c>
      <c r="J3967" s="1">
        <v>5.7317600467149274E-2</v>
      </c>
      <c r="K3967" s="1">
        <v>3.4962252753397371</v>
      </c>
      <c r="L3967" s="1">
        <v>5.0446003695008441</v>
      </c>
      <c r="M3967" s="1">
        <v>0.28932421973409578</v>
      </c>
      <c r="N3967" s="1">
        <v>2.8021398447180772</v>
      </c>
      <c r="O3967" s="1">
        <v>0.23751788359788356</v>
      </c>
      <c r="P3967" s="1">
        <v>0.16113366395711518</v>
      </c>
      <c r="Q3967" s="1">
        <v>6.1219902167071378</v>
      </c>
      <c r="R3967" s="2">
        <f t="shared" si="247"/>
        <v>268.03411915000362</v>
      </c>
      <c r="S3967" s="2">
        <f t="shared" si="246"/>
        <v>3.7146765397640014</v>
      </c>
      <c r="T3967" s="2">
        <f t="shared" si="248"/>
        <v>8.3735823175509001</v>
      </c>
      <c r="U3967" s="2">
        <f t="shared" si="249"/>
        <v>280.12237800731856</v>
      </c>
    </row>
    <row r="3968" spans="1:21" x14ac:dyDescent="0.25">
      <c r="A3968">
        <v>4967161</v>
      </c>
      <c r="B3968">
        <v>66</v>
      </c>
      <c r="C3968" s="1">
        <f>7.84508130111817*(10.3/7.3)</f>
        <v>11.069087315276326</v>
      </c>
      <c r="D3968" s="1">
        <f>12.4023729402797*(10.3/7.3)</f>
        <v>17.499238532175518</v>
      </c>
      <c r="E3968" s="1">
        <f>43.4147252500311*(10.3/7.3)</f>
        <v>61.256393161002812</v>
      </c>
      <c r="F3968" s="1">
        <f>88.1094715579717*(38.9/42.5)</f>
        <v>80.646081026002321</v>
      </c>
      <c r="G3968" s="1">
        <v>3.4520846735740793</v>
      </c>
      <c r="H3968" s="1">
        <v>6.1013216675522903</v>
      </c>
      <c r="I3968" s="1">
        <v>61.106850651729033</v>
      </c>
      <c r="J3968" s="1">
        <v>5.5981487242506213E-2</v>
      </c>
      <c r="K3968" s="1">
        <v>3.4579525237415027</v>
      </c>
      <c r="L3968" s="1">
        <v>4.9688948851213146</v>
      </c>
      <c r="M3968" s="1">
        <v>0.27932744697262646</v>
      </c>
      <c r="N3968" s="1">
        <v>2.6808081721914512</v>
      </c>
      <c r="O3968" s="1">
        <v>0.23184888888888888</v>
      </c>
      <c r="P3968" s="1">
        <v>0.15879141728478985</v>
      </c>
      <c r="Q3968" s="1">
        <v>5.5170303002325483</v>
      </c>
      <c r="R3968" s="2">
        <f t="shared" si="247"/>
        <v>246.64808732754494</v>
      </c>
      <c r="S3968" s="2">
        <f t="shared" si="246"/>
        <v>3.6727254282687989</v>
      </c>
      <c r="T3968" s="2">
        <f t="shared" si="248"/>
        <v>8.1608793931742802</v>
      </c>
      <c r="U3968" s="2">
        <f t="shared" si="249"/>
        <v>258.48169214898803</v>
      </c>
    </row>
    <row r="3969" spans="1:21" x14ac:dyDescent="0.25">
      <c r="A3969">
        <v>4967169</v>
      </c>
      <c r="B3969">
        <v>66</v>
      </c>
      <c r="C3969" s="1">
        <f>8.12823056738057*(10.3/7.3)</f>
        <v>11.468599293701359</v>
      </c>
      <c r="D3969" s="1">
        <f>12.6881992293415*(10.3/7.3)</f>
        <v>17.902527679755789</v>
      </c>
      <c r="E3969" s="1">
        <f>44.4415084073595*(10.3/7.3)</f>
        <v>62.705141999425081</v>
      </c>
      <c r="F3969" s="1">
        <f>89.8979614575583*(38.9/42.5)</f>
        <v>82.283075310565096</v>
      </c>
      <c r="G3969" s="1">
        <v>3.5013915760259624</v>
      </c>
      <c r="H3969" s="1">
        <v>6.2446935655961271</v>
      </c>
      <c r="I3969" s="1">
        <v>62.52183341201151</v>
      </c>
      <c r="J3969" s="1">
        <v>5.9746366212547239E-2</v>
      </c>
      <c r="K3969" s="1">
        <v>3.6149923370347143</v>
      </c>
      <c r="L3969" s="1">
        <v>5.2914272946813625</v>
      </c>
      <c r="M3969" s="1">
        <v>0.28897553770127216</v>
      </c>
      <c r="N3969" s="1">
        <v>2.8564927057905916</v>
      </c>
      <c r="O3969" s="1">
        <v>0.24041616161616153</v>
      </c>
      <c r="P3969" s="1">
        <v>0.16279897616599054</v>
      </c>
      <c r="Q3969" s="1">
        <v>5.5958312858862458</v>
      </c>
      <c r="R3969" s="2">
        <f t="shared" si="247"/>
        <v>252.22309412296718</v>
      </c>
      <c r="S3969" s="2">
        <f t="shared" si="246"/>
        <v>3.8375376794132521</v>
      </c>
      <c r="T3969" s="2">
        <f t="shared" si="248"/>
        <v>8.6773116997893887</v>
      </c>
      <c r="U3969" s="2">
        <f t="shared" si="249"/>
        <v>264.73794350216986</v>
      </c>
    </row>
    <row r="3970" spans="1:21" x14ac:dyDescent="0.25">
      <c r="A3970">
        <v>4967177</v>
      </c>
      <c r="B3970">
        <v>67</v>
      </c>
      <c r="C3970" s="1">
        <f>7.99823449864544*(10.3/7.3)</f>
        <v>11.285180183020273</v>
      </c>
      <c r="D3970" s="1">
        <f>12.2632477112949*(10.3/7.3)</f>
        <v>17.302938551553058</v>
      </c>
      <c r="E3970" s="1">
        <f>42.9779357809579*(10.3/7.3)</f>
        <v>60.640101170392619</v>
      </c>
      <c r="F3970" s="1">
        <f>87.113581333838*(38.9/42.5)</f>
        <v>79.73454856203054</v>
      </c>
      <c r="G3970" s="1">
        <v>3.3904720944376172</v>
      </c>
      <c r="H3970" s="1">
        <v>6.1637724089569819</v>
      </c>
      <c r="I3970" s="1">
        <v>60.945239558574492</v>
      </c>
      <c r="J3970" s="1">
        <v>5.9972175276537219E-2</v>
      </c>
      <c r="K3970" s="1">
        <v>3.5837861348423559</v>
      </c>
      <c r="L3970" s="1">
        <v>5.2334674372500585</v>
      </c>
      <c r="M3970" s="1">
        <v>0.28059823452709498</v>
      </c>
      <c r="N3970" s="1">
        <v>3.1566747668082287</v>
      </c>
      <c r="O3970" s="1">
        <v>0.23599203980099501</v>
      </c>
      <c r="P3970" s="1">
        <v>0.15969167008415619</v>
      </c>
      <c r="Q3970" s="1">
        <v>5.4185627080053296</v>
      </c>
      <c r="R3970" s="2">
        <f t="shared" si="247"/>
        <v>244.88081523697093</v>
      </c>
      <c r="S3970" s="2">
        <f t="shared" si="246"/>
        <v>3.8034499802030495</v>
      </c>
      <c r="T3970" s="2">
        <f t="shared" si="248"/>
        <v>8.9067324783863775</v>
      </c>
      <c r="U3970" s="2">
        <f t="shared" si="249"/>
        <v>257.59099769556036</v>
      </c>
    </row>
    <row r="3971" spans="1:21" x14ac:dyDescent="0.25">
      <c r="A3971">
        <v>4967185</v>
      </c>
      <c r="B3971">
        <v>67</v>
      </c>
      <c r="C3971" s="1">
        <f>8.1582645798105*(10.3/7.3)</f>
        <v>11.510976050965501</v>
      </c>
      <c r="D3971" s="1">
        <f>12.284420589981*(10.3/7.3)</f>
        <v>17.332812613260845</v>
      </c>
      <c r="E3971" s="1">
        <f>43.0682259849944*(10.3/7.3)</f>
        <v>60.767496937731806</v>
      </c>
      <c r="F3971" s="1">
        <f>87.9556407072803*(38.9/42.5)</f>
        <v>80.505280553251836</v>
      </c>
      <c r="G3971" s="1">
        <v>3.4422939495441987</v>
      </c>
      <c r="H3971" s="1">
        <v>6.3782525570391524</v>
      </c>
      <c r="I3971" s="1">
        <v>61.996481904043399</v>
      </c>
      <c r="J3971" s="1">
        <v>6.3981812832910503E-2</v>
      </c>
      <c r="K3971" s="1">
        <v>3.6756693104681428</v>
      </c>
      <c r="L3971" s="1">
        <v>5.3884061586852479</v>
      </c>
      <c r="M3971" s="1">
        <v>0.28249317704301247</v>
      </c>
      <c r="N3971" s="1">
        <v>2.9524776150997831</v>
      </c>
      <c r="O3971" s="1">
        <v>0.23795343283582079</v>
      </c>
      <c r="P3971" s="1">
        <v>0.16079952145464144</v>
      </c>
      <c r="Q3971" s="1">
        <v>5.5013830243857127</v>
      </c>
      <c r="R3971" s="2">
        <f t="shared" si="247"/>
        <v>247.43497759022245</v>
      </c>
      <c r="S3971" s="2">
        <f t="shared" si="246"/>
        <v>3.9004506447556948</v>
      </c>
      <c r="T3971" s="2">
        <f t="shared" si="248"/>
        <v>8.8613303836638657</v>
      </c>
      <c r="U3971" s="2">
        <f t="shared" si="249"/>
        <v>260.19675861864198</v>
      </c>
    </row>
    <row r="3972" spans="1:21" x14ac:dyDescent="0.25">
      <c r="A3972">
        <v>4967193</v>
      </c>
      <c r="B3972">
        <v>67</v>
      </c>
      <c r="C3972" s="1">
        <f>7.87202949778606*(10.3/7.3)</f>
        <v>11.107110113314581</v>
      </c>
      <c r="D3972" s="1">
        <f>11.7055857203184*(10.3/7.3)</f>
        <v>16.516100399901372</v>
      </c>
      <c r="E3972" s="1">
        <f>41.0448804034249*(10.3/7.3)</f>
        <v>57.912639473325562</v>
      </c>
      <c r="F3972" s="1">
        <f>84.5081473002745*(38.9/42.5)</f>
        <v>77.349810117192419</v>
      </c>
      <c r="G3972" s="1">
        <v>3.3309474234143894</v>
      </c>
      <c r="H3972" s="1">
        <v>6.1606138654017766</v>
      </c>
      <c r="I3972" s="1">
        <v>59.920304578089826</v>
      </c>
      <c r="J3972" s="1">
        <v>6.4494923830537093E-2</v>
      </c>
      <c r="K3972" s="1">
        <v>3.6116186164507749</v>
      </c>
      <c r="L3972" s="1">
        <v>5.2259101417657901</v>
      </c>
      <c r="M3972" s="1">
        <v>0.27102403400513242</v>
      </c>
      <c r="N3972" s="1">
        <v>3.2223727554587933</v>
      </c>
      <c r="O3972" s="1">
        <v>0.23056159203980106</v>
      </c>
      <c r="P3972" s="1">
        <v>0.15633707828317445</v>
      </c>
      <c r="Q3972" s="1">
        <v>5.3234319552284806</v>
      </c>
      <c r="R3972" s="2">
        <f t="shared" si="247"/>
        <v>237.6209579258684</v>
      </c>
      <c r="S3972" s="2">
        <f t="shared" si="246"/>
        <v>3.8324506185644864</v>
      </c>
      <c r="T3972" s="2">
        <f t="shared" si="248"/>
        <v>8.9498685232695188</v>
      </c>
      <c r="U3972" s="2">
        <f t="shared" si="249"/>
        <v>250.40327706770239</v>
      </c>
    </row>
    <row r="3973" spans="1:21" x14ac:dyDescent="0.25">
      <c r="A3973">
        <v>4967201</v>
      </c>
      <c r="B3973">
        <v>66</v>
      </c>
      <c r="C3973" s="1">
        <f>7.14504724238617*(10.3/7.3)</f>
        <v>10.081368026928434</v>
      </c>
      <c r="D3973" s="1">
        <f>10.454890036812*(10.3/7.3)</f>
        <v>14.751420188926572</v>
      </c>
      <c r="E3973" s="1">
        <f>36.6733873214979*(10.3/7.3)</f>
        <v>51.744642385127143</v>
      </c>
      <c r="F3973" s="1">
        <f>75.9489737905498*(38.9/42.5)</f>
        <v>69.515648951820879</v>
      </c>
      <c r="G3973" s="1">
        <v>3.0049411351833553</v>
      </c>
      <c r="H3973" s="1">
        <v>5.7406779793951728</v>
      </c>
      <c r="I3973" s="1">
        <v>54.19353381689897</v>
      </c>
      <c r="J3973" s="1">
        <v>6.536706820767714E-2</v>
      </c>
      <c r="K3973" s="1">
        <v>3.4194172466007515</v>
      </c>
      <c r="L3973" s="1">
        <v>4.8166828943123861</v>
      </c>
      <c r="M3973" s="1">
        <v>0.24886968976314316</v>
      </c>
      <c r="N3973" s="1">
        <v>3.0387546462872006</v>
      </c>
      <c r="O3973" s="1">
        <v>0.21579393939393943</v>
      </c>
      <c r="P3973" s="1">
        <v>0.14751817723530336</v>
      </c>
      <c r="Q3973" s="1">
        <v>4.8024173393341343</v>
      </c>
      <c r="R3973" s="2">
        <f t="shared" si="247"/>
        <v>213.83464982361465</v>
      </c>
      <c r="S3973" s="2">
        <f t="shared" si="246"/>
        <v>3.6323024920437321</v>
      </c>
      <c r="T3973" s="2">
        <f t="shared" si="248"/>
        <v>8.3201011697566702</v>
      </c>
      <c r="U3973" s="2">
        <f t="shared" si="249"/>
        <v>225.78705348541504</v>
      </c>
    </row>
    <row r="3974" spans="1:21" x14ac:dyDescent="0.25">
      <c r="A3974">
        <v>4967209</v>
      </c>
      <c r="B3974">
        <v>42</v>
      </c>
      <c r="C3974" s="1">
        <f>7.83876208262559*(10.3/7.3)</f>
        <v>11.060171157677205</v>
      </c>
      <c r="D3974" s="1">
        <f>11.2415165106006*(10.3/7.3)</f>
        <v>15.861317816326878</v>
      </c>
      <c r="E3974" s="1">
        <f>39.4399832784245*(10.3/7.3)</f>
        <v>55.648195584626293</v>
      </c>
      <c r="F3974" s="1">
        <f>82.8811728942771*(38.9/42.5)</f>
        <v>75.86065001382066</v>
      </c>
      <c r="G3974" s="1">
        <v>3.3213148999760063</v>
      </c>
      <c r="H3974" s="1">
        <v>6.0893031195799585</v>
      </c>
      <c r="I3974" s="1">
        <v>59.713743312454142</v>
      </c>
      <c r="J3974" s="1">
        <v>8.8792675651586273E-2</v>
      </c>
      <c r="K3974" s="1">
        <v>3.5460198028023715</v>
      </c>
      <c r="L3974" s="1">
        <v>5.0285164523706651</v>
      </c>
      <c r="M3974" s="1">
        <v>0.24277087442870643</v>
      </c>
      <c r="N3974" s="1">
        <v>3.2300677450692592</v>
      </c>
      <c r="O3974" s="1">
        <v>0.21982476190476191</v>
      </c>
      <c r="P3974" s="1">
        <v>0.14936105724246643</v>
      </c>
      <c r="Q3974" s="1">
        <v>5.3080375113771838</v>
      </c>
      <c r="R3974" s="2">
        <f t="shared" si="247"/>
        <v>232.86273341583836</v>
      </c>
      <c r="S3974" s="2">
        <f t="shared" si="246"/>
        <v>3.7841735356964246</v>
      </c>
      <c r="T3974" s="2">
        <f t="shared" si="248"/>
        <v>8.7211798337733928</v>
      </c>
      <c r="U3974" s="2">
        <f t="shared" si="249"/>
        <v>245.36808678530818</v>
      </c>
    </row>
    <row r="3975" spans="1:21" x14ac:dyDescent="0.25">
      <c r="A3975">
        <v>4967289</v>
      </c>
      <c r="B3975">
        <v>7</v>
      </c>
      <c r="C3975" s="1">
        <f>3.80061421779138*(10.3/7.3)</f>
        <v>5.3625104716782461</v>
      </c>
      <c r="D3975" s="1">
        <f>5.23185026130567*(10.3/7.3)</f>
        <v>7.3819257111573107</v>
      </c>
      <c r="E3975" s="1">
        <f>18.2427530048473*(10.3/7.3)</f>
        <v>25.739774787661293</v>
      </c>
      <c r="F3975" s="1">
        <f>45.5740474686135*(38.9/42.5)</f>
        <v>41.713657565389759</v>
      </c>
      <c r="G3975" s="1">
        <v>2.1334832633899916</v>
      </c>
      <c r="H3975" s="1">
        <v>9.7711013137544533</v>
      </c>
      <c r="I3975" s="1">
        <v>34.445187302236448</v>
      </c>
      <c r="J3975" s="1">
        <v>3.7114697092423765E-2</v>
      </c>
      <c r="K3975" s="1">
        <v>2.472450734256042</v>
      </c>
      <c r="L3975" s="1">
        <v>2.9093826799663001</v>
      </c>
      <c r="M3975" s="1">
        <v>0.1377996174243811</v>
      </c>
      <c r="N3975" s="1">
        <v>2.6026177978322993</v>
      </c>
      <c r="O3975" s="1">
        <v>0.11865142857142856</v>
      </c>
      <c r="P3975" s="1">
        <v>9.3863156948251869E-2</v>
      </c>
      <c r="Q3975" s="1">
        <v>3.4096764483401723</v>
      </c>
      <c r="R3975" s="2">
        <f t="shared" si="247"/>
        <v>129.95731686360767</v>
      </c>
      <c r="S3975" s="2">
        <f t="shared" si="246"/>
        <v>2.6034285882967176</v>
      </c>
      <c r="T3975" s="2">
        <f t="shared" si="248"/>
        <v>5.7684515237944094</v>
      </c>
      <c r="U3975" s="2">
        <f t="shared" si="249"/>
        <v>138.32919697569878</v>
      </c>
    </row>
    <row r="3976" spans="1:21" x14ac:dyDescent="0.25">
      <c r="A3976">
        <v>4967297</v>
      </c>
      <c r="B3976">
        <v>28</v>
      </c>
      <c r="C3976" s="1">
        <f>3.48520978095726*(10.3/7.3)</f>
        <v>4.9174877731314712</v>
      </c>
      <c r="D3976" s="1">
        <f>4.84388040333478*(10.3/7.3)</f>
        <v>6.8345161855271508</v>
      </c>
      <c r="E3976" s="1">
        <f>16.8800713857536*(10.3/7.3)</f>
        <v>23.817087023734572</v>
      </c>
      <c r="F3976" s="1">
        <f>42.335745667096*(38.9/42.5)</f>
        <v>38.749658975294928</v>
      </c>
      <c r="G3976" s="1">
        <v>1.9905127544506271</v>
      </c>
      <c r="H3976" s="1">
        <v>8.3263344303252129</v>
      </c>
      <c r="I3976" s="1">
        <v>31.944524565335161</v>
      </c>
      <c r="J3976" s="1">
        <v>3.5492883999218371E-2</v>
      </c>
      <c r="K3976" s="1">
        <v>2.359685718753866</v>
      </c>
      <c r="L3976" s="1">
        <v>3.2410603964197557</v>
      </c>
      <c r="M3976" s="1">
        <v>0.13118872409340909</v>
      </c>
      <c r="N3976" s="1">
        <v>1.8624545526326786</v>
      </c>
      <c r="O3976" s="1">
        <v>0.11321904761904758</v>
      </c>
      <c r="P3976" s="1">
        <v>9.0439431962567179E-2</v>
      </c>
      <c r="Q3976" s="1">
        <v>3.1811847673868505</v>
      </c>
      <c r="R3976" s="2">
        <f t="shared" si="247"/>
        <v>119.76130647518598</v>
      </c>
      <c r="S3976" s="2">
        <f t="shared" si="246"/>
        <v>2.4856180347156513</v>
      </c>
      <c r="T3976" s="2">
        <f t="shared" si="248"/>
        <v>5.3479227207648909</v>
      </c>
      <c r="U3976" s="2">
        <f t="shared" si="249"/>
        <v>127.59484723066652</v>
      </c>
    </row>
    <row r="3977" spans="1:21" x14ac:dyDescent="0.25">
      <c r="A3977">
        <v>4978885</v>
      </c>
      <c r="B3977">
        <v>48</v>
      </c>
      <c r="C3977" s="1">
        <f>0.729645696751847*(10.3/7.3)</f>
        <v>1.0295000926772631</v>
      </c>
      <c r="D3977" s="1">
        <f>1.04781000361242*(10.3/7.3)</f>
        <v>1.4784168544120435</v>
      </c>
      <c r="E3977" s="1">
        <f>3.62915416666094*(10.3/7.3)</f>
        <v>5.1205873858366706</v>
      </c>
      <c r="F3977" s="1">
        <f>9.99369183721234*(38.9/42.5)</f>
        <v>9.1471673521778811</v>
      </c>
      <c r="G3977" s="1">
        <v>0.50466175519422218</v>
      </c>
      <c r="H3977" s="1">
        <v>2.4756393862308088</v>
      </c>
      <c r="I3977" s="1">
        <v>7.6110932361323576</v>
      </c>
      <c r="J3977" s="1">
        <v>5.2220931839929922E-2</v>
      </c>
      <c r="K3977" s="1">
        <v>3.1094573286925962</v>
      </c>
      <c r="L3977" s="1">
        <v>2.3850709825840486</v>
      </c>
      <c r="M3977" s="1">
        <v>0.68652639528553416</v>
      </c>
      <c r="N3977" s="1">
        <v>1.548599233308406</v>
      </c>
      <c r="O3977" s="1">
        <v>0.46684888888888892</v>
      </c>
      <c r="P3977" s="1">
        <v>0.22597091774772607</v>
      </c>
      <c r="Q3977" s="1">
        <v>0.80653705168026457</v>
      </c>
      <c r="R3977" s="2">
        <f t="shared" si="247"/>
        <v>28.173603114341514</v>
      </c>
      <c r="S3977" s="2">
        <f t="shared" ref="S3977:S4040" si="250">J3977+K3977+P3977</f>
        <v>3.387649178280252</v>
      </c>
      <c r="T3977" s="2">
        <f t="shared" si="248"/>
        <v>5.0870455000668784</v>
      </c>
      <c r="U3977" s="2">
        <f t="shared" si="249"/>
        <v>36.648297792688645</v>
      </c>
    </row>
    <row r="3978" spans="1:21" x14ac:dyDescent="0.25">
      <c r="A3978">
        <v>4979117</v>
      </c>
      <c r="B3978">
        <v>31</v>
      </c>
      <c r="C3978" s="1">
        <f>1.5845332885311*(10.3/7.3)</f>
        <v>2.2357113523110055</v>
      </c>
      <c r="D3978" s="1">
        <f>2.83440826094399*(10.3/7.3)</f>
        <v>3.9992335736606983</v>
      </c>
      <c r="E3978" s="1">
        <f>9.67993962417256*(10.3/7.3)</f>
        <v>13.657997003969509</v>
      </c>
      <c r="F3978" s="1">
        <f>29.7676994805063*(38.9/42.5)</f>
        <v>27.246200230392795</v>
      </c>
      <c r="G3978" s="1">
        <v>1.636060950035753</v>
      </c>
      <c r="H3978" s="1">
        <v>8.8504331150274442</v>
      </c>
      <c r="I3978" s="1">
        <v>22.199803576093469</v>
      </c>
      <c r="J3978" s="1">
        <v>4.6857562213421911E-2</v>
      </c>
      <c r="K3978" s="1">
        <v>2.9943493956631588</v>
      </c>
      <c r="L3978" s="1">
        <v>4.6088286853803497</v>
      </c>
      <c r="M3978" s="1">
        <v>0.7944418680312294</v>
      </c>
      <c r="N3978" s="1">
        <v>2.9462225385297387</v>
      </c>
      <c r="O3978" s="1">
        <v>0.27558881720430101</v>
      </c>
      <c r="P3978" s="1">
        <v>0.17390828010639622</v>
      </c>
      <c r="Q3978" s="1">
        <v>2.6147092808790586</v>
      </c>
      <c r="R3978" s="2">
        <f t="shared" ref="R3978:R4041" si="251">C3978+D3978+E3978+F3978+G3978+H3978+I3978+Q3978</f>
        <v>82.440149082369729</v>
      </c>
      <c r="S3978" s="2">
        <f t="shared" si="250"/>
        <v>3.2151152379829768</v>
      </c>
      <c r="T3978" s="2">
        <f t="shared" ref="T3978:T4041" si="252">L3978+M3978+N3978+O3978</f>
        <v>8.625081909145619</v>
      </c>
      <c r="U3978" s="2">
        <f t="shared" ref="U3978:U4041" si="253">R3978+S3978+T3978</f>
        <v>94.280346229498321</v>
      </c>
    </row>
    <row r="3979" spans="1:21" x14ac:dyDescent="0.25">
      <c r="A3979">
        <v>4979125</v>
      </c>
      <c r="B3979">
        <v>50</v>
      </c>
      <c r="C3979" s="1">
        <f>1.83267602213074*(10.3/7.3)</f>
        <v>2.5858305517735167</v>
      </c>
      <c r="D3979" s="1">
        <f>3.07745383509121*(10.3/7.3)</f>
        <v>4.3421608906081408</v>
      </c>
      <c r="E3979" s="1">
        <f>10.5541874041726*(10.3/7.3)</f>
        <v>14.891524693558663</v>
      </c>
      <c r="F3979" s="1">
        <f>31.3070934950925*(38.9/42.5)</f>
        <v>28.655198516684674</v>
      </c>
      <c r="G3979" s="1">
        <v>1.6789061735605408</v>
      </c>
      <c r="H3979" s="1">
        <v>7.5736640295978406</v>
      </c>
      <c r="I3979" s="1">
        <v>23.436007918830693</v>
      </c>
      <c r="J3979" s="1">
        <v>5.4599848666383115E-2</v>
      </c>
      <c r="K3979" s="1">
        <v>3.293697729439812</v>
      </c>
      <c r="L3979" s="1">
        <v>5.0072920810337997</v>
      </c>
      <c r="M3979" s="1">
        <v>0.83263294432173041</v>
      </c>
      <c r="N3979" s="1">
        <v>2.5484344758212667</v>
      </c>
      <c r="O3979" s="1">
        <v>0.3057024000000001</v>
      </c>
      <c r="P3979" s="1">
        <v>0.18825702611819004</v>
      </c>
      <c r="Q3979" s="1">
        <v>2.6831833824026945</v>
      </c>
      <c r="R3979" s="2">
        <f t="shared" si="251"/>
        <v>85.846476157016767</v>
      </c>
      <c r="S3979" s="2">
        <f t="shared" si="250"/>
        <v>3.5365546042243849</v>
      </c>
      <c r="T3979" s="2">
        <f t="shared" si="252"/>
        <v>8.6940619011767968</v>
      </c>
      <c r="U3979" s="2">
        <f t="shared" si="253"/>
        <v>98.07709266241794</v>
      </c>
    </row>
    <row r="3980" spans="1:21" x14ac:dyDescent="0.25">
      <c r="A3980">
        <v>4979133</v>
      </c>
      <c r="B3980">
        <v>48</v>
      </c>
      <c r="C3980" s="1">
        <f>1.757985355338*(10.3/7.3)</f>
        <v>2.4804450904084141</v>
      </c>
      <c r="D3980" s="1">
        <f>2.88123466631003*(10.3/7.3)</f>
        <v>4.0653037072593623</v>
      </c>
      <c r="E3980" s="1">
        <f>9.89488750202678*(10.3/7.3)</f>
        <v>13.961279626147375</v>
      </c>
      <c r="F3980" s="1">
        <f>29.0741810250972*(38.9/42.5)</f>
        <v>26.611426867677164</v>
      </c>
      <c r="G3980" s="1">
        <v>1.5476177589770019</v>
      </c>
      <c r="H3980" s="1">
        <v>8.7222167119889349</v>
      </c>
      <c r="I3980" s="1">
        <v>21.820795325537926</v>
      </c>
      <c r="J3980" s="1">
        <v>5.6899771182889393E-2</v>
      </c>
      <c r="K3980" s="1">
        <v>3.2649218603272465</v>
      </c>
      <c r="L3980" s="1">
        <v>4.592499582597795</v>
      </c>
      <c r="M3980" s="1">
        <v>0.74718803627585817</v>
      </c>
      <c r="N3980" s="1">
        <v>2.4320260884484046</v>
      </c>
      <c r="O3980" s="1">
        <v>0.29216999999999999</v>
      </c>
      <c r="P3980" s="1">
        <v>0.18701776461986555</v>
      </c>
      <c r="Q3980" s="1">
        <v>2.4733617152600513</v>
      </c>
      <c r="R3980" s="2">
        <f t="shared" si="251"/>
        <v>81.682446803256227</v>
      </c>
      <c r="S3980" s="2">
        <f t="shared" si="250"/>
        <v>3.5088393961300017</v>
      </c>
      <c r="T3980" s="2">
        <f t="shared" si="252"/>
        <v>8.0638837073220575</v>
      </c>
      <c r="U3980" s="2">
        <f t="shared" si="253"/>
        <v>93.255169906708289</v>
      </c>
    </row>
    <row r="3981" spans="1:21" x14ac:dyDescent="0.25">
      <c r="A3981">
        <v>4979325</v>
      </c>
      <c r="B3981">
        <v>44</v>
      </c>
      <c r="C3981" s="1">
        <f>13.2798635252641*(10.3/7.3)</f>
        <v>18.73734168633159</v>
      </c>
      <c r="D3981" s="1">
        <f>21.3783779960808*(10.3/7.3)</f>
        <v>30.164012788990714</v>
      </c>
      <c r="E3981" s="1">
        <f>75.0079308497029*(10.3/7.3)</f>
        <v>105.83310791122459</v>
      </c>
      <c r="F3981" s="1">
        <f>141.068754002502*(38.9/42.5)</f>
        <v>129.11940072228975</v>
      </c>
      <c r="G3981" s="1">
        <v>5.043788867132915</v>
      </c>
      <c r="H3981" s="1">
        <v>8.2139577349468702</v>
      </c>
      <c r="I3981" s="1">
        <v>95.041806775962883</v>
      </c>
      <c r="J3981" s="1">
        <v>7.7576758437140944E-2</v>
      </c>
      <c r="K3981" s="1">
        <v>3.8193953062448771</v>
      </c>
      <c r="L3981" s="1">
        <v>5.5161281081016771</v>
      </c>
      <c r="M3981" s="1">
        <v>0.37112080357624377</v>
      </c>
      <c r="N3981" s="1">
        <v>3.0141081774522887</v>
      </c>
      <c r="O3981" s="1">
        <v>0.28588121212121204</v>
      </c>
      <c r="P3981" s="1">
        <v>0.18194598962181754</v>
      </c>
      <c r="Q3981" s="1">
        <v>8.0608497876553447</v>
      </c>
      <c r="R3981" s="2">
        <f t="shared" si="251"/>
        <v>400.21426627453462</v>
      </c>
      <c r="S3981" s="2">
        <f t="shared" si="250"/>
        <v>4.078918054303835</v>
      </c>
      <c r="T3981" s="2">
        <f t="shared" si="252"/>
        <v>9.1872383012514227</v>
      </c>
      <c r="U3981" s="2">
        <f t="shared" si="253"/>
        <v>413.48042263008983</v>
      </c>
    </row>
    <row r="3982" spans="1:21" x14ac:dyDescent="0.25">
      <c r="A3982">
        <v>4979333</v>
      </c>
      <c r="B3982">
        <v>65</v>
      </c>
      <c r="C3982" s="1">
        <f>9.50036255322337*(10.3/7.3)</f>
        <v>13.404621136739822</v>
      </c>
      <c r="D3982" s="1">
        <f>15.4756789276439*(10.3/7.3)</f>
        <v>21.835546980100258</v>
      </c>
      <c r="E3982" s="1">
        <f>54.2544877857233*(10.3/7.3)</f>
        <v>76.550852629171203</v>
      </c>
      <c r="F3982" s="1">
        <f>103.082082288608*(38.9/42.5)</f>
        <v>94.350423553572995</v>
      </c>
      <c r="G3982" s="1">
        <v>3.7443788525072734</v>
      </c>
      <c r="H3982" s="1">
        <v>6.7750180771364921</v>
      </c>
      <c r="I3982" s="1">
        <v>69.421293498273215</v>
      </c>
      <c r="J3982" s="1">
        <v>5.9851890436894588E-2</v>
      </c>
      <c r="K3982" s="1">
        <v>3.4727430473580858</v>
      </c>
      <c r="L3982" s="1">
        <v>4.8119754049500134</v>
      </c>
      <c r="M3982" s="1">
        <v>0.32434541077058665</v>
      </c>
      <c r="N3982" s="1">
        <v>2.6830608830964802</v>
      </c>
      <c r="O3982" s="1">
        <v>0.25557005128205129</v>
      </c>
      <c r="P3982" s="1">
        <v>0.16890739461057599</v>
      </c>
      <c r="Q3982" s="1">
        <v>5.9841671158792122</v>
      </c>
      <c r="R3982" s="2">
        <f t="shared" si="251"/>
        <v>292.06630184338047</v>
      </c>
      <c r="S3982" s="2">
        <f t="shared" si="250"/>
        <v>3.7015023324055565</v>
      </c>
      <c r="T3982" s="2">
        <f t="shared" si="252"/>
        <v>8.0749517500991317</v>
      </c>
      <c r="U3982" s="2">
        <f t="shared" si="253"/>
        <v>303.84275592588517</v>
      </c>
    </row>
    <row r="3983" spans="1:21" x14ac:dyDescent="0.25">
      <c r="A3983">
        <v>4979341</v>
      </c>
      <c r="B3983">
        <v>25</v>
      </c>
      <c r="C3983" s="1">
        <f>12.4759332383207*(10.3/7.3)</f>
        <v>17.603029089685386</v>
      </c>
      <c r="D3983" s="1">
        <f>15.7297995413518*(10.3/7.3)</f>
        <v>22.194100722729299</v>
      </c>
      <c r="E3983" s="1">
        <f>55.7773147108185*(10.3/7.3)</f>
        <v>78.699498838552088</v>
      </c>
      <c r="F3983" s="1">
        <f>102.517429602171*(38.9/42.5)</f>
        <v>93.83360027116386</v>
      </c>
      <c r="G3983" s="1">
        <v>3.3517652042439181</v>
      </c>
      <c r="H3983" s="1">
        <v>9.596774347579192</v>
      </c>
      <c r="I3983" s="1">
        <v>74.728016068625664</v>
      </c>
      <c r="J3983" s="1">
        <v>5.7346729050655972E-2</v>
      </c>
      <c r="K3983" s="1">
        <v>3.1865911874085491</v>
      </c>
      <c r="L3983" s="1">
        <v>4.2746944496278818</v>
      </c>
      <c r="M3983" s="1">
        <v>0.28675114611026647</v>
      </c>
      <c r="N3983" s="1">
        <v>2.678530009085474</v>
      </c>
      <c r="O3983" s="1">
        <v>0.23146026666666664</v>
      </c>
      <c r="P3983" s="1">
        <v>0.15602327879739236</v>
      </c>
      <c r="Q3983" s="1">
        <v>5.3567023812117451</v>
      </c>
      <c r="R3983" s="2">
        <f t="shared" si="251"/>
        <v>305.36348692379113</v>
      </c>
      <c r="S3983" s="2">
        <f t="shared" si="250"/>
        <v>3.3999611952565978</v>
      </c>
      <c r="T3983" s="2">
        <f t="shared" si="252"/>
        <v>7.4714358714902893</v>
      </c>
      <c r="U3983" s="2">
        <f t="shared" si="253"/>
        <v>316.23488399053804</v>
      </c>
    </row>
    <row r="3984" spans="1:21" x14ac:dyDescent="0.25">
      <c r="A3984">
        <v>4979349</v>
      </c>
      <c r="B3984">
        <v>51</v>
      </c>
      <c r="C3984" s="1">
        <f>10.1894758634874*(10.3/7.3)</f>
        <v>14.376931697797247</v>
      </c>
      <c r="D3984" s="1">
        <f>17.4115016460828*(10.3/7.3)</f>
        <v>24.5669132814593</v>
      </c>
      <c r="E3984" s="1">
        <f>60.6503074195084*(10.3/7.3)</f>
        <v>85.575091290539305</v>
      </c>
      <c r="F3984" s="1">
        <f>129.893632073745*(38.9/42.5)</f>
        <v>118.89087735691035</v>
      </c>
      <c r="G3984" s="1">
        <v>5.4551272612944048</v>
      </c>
      <c r="H3984" s="1">
        <v>7.6683322941872065</v>
      </c>
      <c r="I3984" s="1">
        <v>89.567855153107118</v>
      </c>
      <c r="J3984" s="1">
        <v>6.5627386110907418E-2</v>
      </c>
      <c r="K3984" s="1">
        <v>3.752889484947723</v>
      </c>
      <c r="L3984" s="1">
        <v>5.4881273781546733</v>
      </c>
      <c r="M3984" s="1">
        <v>0.34357242485778333</v>
      </c>
      <c r="N3984" s="1">
        <v>3.0600248490467381</v>
      </c>
      <c r="O3984" s="1">
        <v>0.27294535947712412</v>
      </c>
      <c r="P3984" s="1">
        <v>0.17819802667198612</v>
      </c>
      <c r="Q3984" s="1">
        <v>8.7182399153107006</v>
      </c>
      <c r="R3984" s="2">
        <f t="shared" si="251"/>
        <v>354.81936825060563</v>
      </c>
      <c r="S3984" s="2">
        <f t="shared" si="250"/>
        <v>3.9967148977306164</v>
      </c>
      <c r="T3984" s="2">
        <f t="shared" si="252"/>
        <v>9.1646700115363195</v>
      </c>
      <c r="U3984" s="2">
        <f t="shared" si="253"/>
        <v>367.98075315987256</v>
      </c>
    </row>
    <row r="3985" spans="1:21" x14ac:dyDescent="0.25">
      <c r="A3985">
        <v>4979357</v>
      </c>
      <c r="B3985">
        <v>1</v>
      </c>
      <c r="C3985" s="1">
        <f>8.43183754917217*(10.3/7.3)</f>
        <v>11.89697626801005</v>
      </c>
      <c r="D3985" s="1">
        <f>14.3224451603026*(10.3/7.3)</f>
        <v>20.208381527550198</v>
      </c>
      <c r="E3985" s="1">
        <f>49.7667868756958*(10.3/7.3)</f>
        <v>70.218891071187201</v>
      </c>
      <c r="F3985" s="1">
        <f>113.327882155017*(38.9/42.5)</f>
        <v>103.72834390188657</v>
      </c>
      <c r="G3985" s="1">
        <v>5.0396433807744474</v>
      </c>
      <c r="H3985" s="1">
        <v>7.7561295812893247</v>
      </c>
      <c r="I3985" s="1">
        <v>79.635565275661932</v>
      </c>
      <c r="J3985" s="1">
        <v>5.1911354765809534E-2</v>
      </c>
      <c r="K3985" s="1">
        <v>2.7038153914290817</v>
      </c>
      <c r="L3985" s="1">
        <v>3.5813573963881264</v>
      </c>
      <c r="M3985" s="1">
        <v>0.23038198550546257</v>
      </c>
      <c r="N3985" s="1">
        <v>2.0244543491541127</v>
      </c>
      <c r="O3985" s="1">
        <v>0.19136</v>
      </c>
      <c r="P3985" s="1">
        <v>0.13070138219989175</v>
      </c>
      <c r="Q3985" s="1">
        <v>8.0542245811463857</v>
      </c>
      <c r="R3985" s="2">
        <f t="shared" si="251"/>
        <v>306.53815558750614</v>
      </c>
      <c r="S3985" s="2">
        <f t="shared" si="250"/>
        <v>2.8864281283947832</v>
      </c>
      <c r="T3985" s="2">
        <f t="shared" si="252"/>
        <v>6.0275537310477025</v>
      </c>
      <c r="U3985" s="2">
        <f t="shared" si="253"/>
        <v>315.4521374469486</v>
      </c>
    </row>
    <row r="3986" spans="1:21" x14ac:dyDescent="0.25">
      <c r="A3986">
        <v>4979365</v>
      </c>
      <c r="B3986">
        <v>37</v>
      </c>
      <c r="C3986" s="1">
        <f>9.87311565748284*(10.3/7.3)</f>
        <v>13.930560448229212</v>
      </c>
      <c r="D3986" s="1">
        <f>14.992940412551*(10.3/7.3)</f>
        <v>21.154422773873325</v>
      </c>
      <c r="E3986" s="1">
        <f>52.4224341939398*(10.3/7.3)</f>
        <v>73.965900301038346</v>
      </c>
      <c r="F3986" s="1">
        <f>113.370191737415*(38.9/42.5)</f>
        <v>103.76706961377478</v>
      </c>
      <c r="G3986" s="1">
        <v>4.7266321392569779</v>
      </c>
      <c r="H3986" s="1">
        <v>10.00308575907672</v>
      </c>
      <c r="I3986" s="1">
        <v>80.91615528031825</v>
      </c>
      <c r="J3986" s="1">
        <v>5.8603001772125511E-2</v>
      </c>
      <c r="K3986" s="1">
        <v>3.4825362540343083</v>
      </c>
      <c r="L3986" s="1">
        <v>4.9488256641094743</v>
      </c>
      <c r="M3986" s="1">
        <v>0.30230241455423101</v>
      </c>
      <c r="N3986" s="1">
        <v>2.7743378156367653</v>
      </c>
      <c r="O3986" s="1">
        <v>0.24535927927927928</v>
      </c>
      <c r="P3986" s="1">
        <v>0.16451846956196811</v>
      </c>
      <c r="Q3986" s="1">
        <v>7.5539783047486022</v>
      </c>
      <c r="R3986" s="2">
        <f t="shared" si="251"/>
        <v>316.01780462031627</v>
      </c>
      <c r="S3986" s="2">
        <f t="shared" si="250"/>
        <v>3.7056577253684018</v>
      </c>
      <c r="T3986" s="2">
        <f t="shared" si="252"/>
        <v>8.27082517357975</v>
      </c>
      <c r="U3986" s="2">
        <f t="shared" si="253"/>
        <v>327.99428751926439</v>
      </c>
    </row>
    <row r="3987" spans="1:21" x14ac:dyDescent="0.25">
      <c r="A3987">
        <v>4979373</v>
      </c>
      <c r="B3987">
        <v>15</v>
      </c>
      <c r="C3987" s="1">
        <f>5.99137088519984*(10.3/7.3)</f>
        <v>8.4535780982956652</v>
      </c>
      <c r="D3987" s="1">
        <f>9.59503519315741*(10.3/7.3)</f>
        <v>13.53820034103032</v>
      </c>
      <c r="E3987" s="1">
        <f>33.5142450511336*(10.3/7.3)</f>
        <v>47.287222469407752</v>
      </c>
      <c r="F3987" s="1">
        <f>70.9363471423721*(38.9/42.5)</f>
        <v>64.927621266782978</v>
      </c>
      <c r="G3987" s="1">
        <v>2.9160619076578227</v>
      </c>
      <c r="H3987" s="1">
        <v>5.9101998530211599</v>
      </c>
      <c r="I3987" s="1">
        <v>49.604463471446103</v>
      </c>
      <c r="J3987" s="1">
        <v>4.2065424767560027E-2</v>
      </c>
      <c r="K3987" s="1">
        <v>2.7942760883546724</v>
      </c>
      <c r="L3987" s="1">
        <v>3.5392524338340703</v>
      </c>
      <c r="M3987" s="1">
        <v>0.22826234658553207</v>
      </c>
      <c r="N3987" s="1">
        <v>2.0797938896513761</v>
      </c>
      <c r="O3987" s="1">
        <v>0.19154844444444441</v>
      </c>
      <c r="P3987" s="1">
        <v>0.13707732778794474</v>
      </c>
      <c r="Q3987" s="1">
        <v>4.6603729117819137</v>
      </c>
      <c r="R3987" s="2">
        <f t="shared" si="251"/>
        <v>197.29772031942372</v>
      </c>
      <c r="S3987" s="2">
        <f t="shared" si="250"/>
        <v>2.9734188409101772</v>
      </c>
      <c r="T3987" s="2">
        <f t="shared" si="252"/>
        <v>6.0388571145154231</v>
      </c>
      <c r="U3987" s="2">
        <f t="shared" si="253"/>
        <v>206.30999627484931</v>
      </c>
    </row>
    <row r="3988" spans="1:21" x14ac:dyDescent="0.25">
      <c r="A3988">
        <v>4979381</v>
      </c>
      <c r="B3988">
        <v>15</v>
      </c>
      <c r="C3988" s="1">
        <f>7.55931296449008*(10.3/7.3)</f>
        <v>10.665879936198335</v>
      </c>
      <c r="D3988" s="1">
        <f>11.4479159522348*(10.3/7.3)</f>
        <v>16.15253894630391</v>
      </c>
      <c r="E3988" s="1">
        <f>39.9511430409219*(10.3/7.3)</f>
        <v>56.369421002944591</v>
      </c>
      <c r="F3988" s="1">
        <f>90.4658756251825*(38.9/42.5)</f>
        <v>82.802883807519947</v>
      </c>
      <c r="G3988" s="1">
        <v>3.9425168436327476</v>
      </c>
      <c r="H3988" s="1">
        <v>7.4336573249862612</v>
      </c>
      <c r="I3988" s="1">
        <v>65.350828686407368</v>
      </c>
      <c r="J3988" s="1">
        <v>4.458419051784486E-2</v>
      </c>
      <c r="K3988" s="1">
        <v>2.8722328268036348</v>
      </c>
      <c r="L3988" s="1">
        <v>3.7830295796857891</v>
      </c>
      <c r="M3988" s="1">
        <v>0.23413287584174108</v>
      </c>
      <c r="N3988" s="1">
        <v>2.5424515222959152</v>
      </c>
      <c r="O3988" s="1">
        <v>0.19496177777777776</v>
      </c>
      <c r="P3988" s="1">
        <v>0.13621010138749057</v>
      </c>
      <c r="Q3988" s="1">
        <v>6.3008260058057681</v>
      </c>
      <c r="R3988" s="2">
        <f t="shared" si="251"/>
        <v>249.01855255379891</v>
      </c>
      <c r="S3988" s="2">
        <f t="shared" si="250"/>
        <v>3.0530271187089704</v>
      </c>
      <c r="T3988" s="2">
        <f t="shared" si="252"/>
        <v>6.7545757556012234</v>
      </c>
      <c r="U3988" s="2">
        <f t="shared" si="253"/>
        <v>258.82615542810913</v>
      </c>
    </row>
    <row r="3989" spans="1:21" x14ac:dyDescent="0.25">
      <c r="A3989">
        <v>4979389</v>
      </c>
      <c r="B3989">
        <v>55</v>
      </c>
      <c r="C3989" s="1">
        <f>3.97756647408069*(10.3/7.3)</f>
        <v>5.6121828332919383</v>
      </c>
      <c r="D3989" s="1">
        <f>6.29094229402472*(10.3/7.3)</f>
        <v>8.876261044993786</v>
      </c>
      <c r="E3989" s="1">
        <f>22.0123837322276*(10.3/7.3)</f>
        <v>31.058568827663649</v>
      </c>
      <c r="F3989" s="1">
        <f>45.1193091048716*(38.9/42.5)</f>
        <v>41.297438215988358</v>
      </c>
      <c r="G3989" s="1">
        <v>1.7878848648507422</v>
      </c>
      <c r="H3989" s="1">
        <v>4.0249789975645527</v>
      </c>
      <c r="I3989" s="1">
        <v>31.377140982350788</v>
      </c>
      <c r="J3989" s="1">
        <v>3.5194829243872058E-2</v>
      </c>
      <c r="K3989" s="1">
        <v>2.4346490382875117</v>
      </c>
      <c r="L3989" s="1">
        <v>3.0811596384294191</v>
      </c>
      <c r="M3989" s="1">
        <v>0.18950614323176218</v>
      </c>
      <c r="N3989" s="1">
        <v>1.7742404966550942</v>
      </c>
      <c r="O3989" s="1">
        <v>0.15818084848484854</v>
      </c>
      <c r="P3989" s="1">
        <v>0.12011786591942993</v>
      </c>
      <c r="Q3989" s="1">
        <v>2.8573502406290445</v>
      </c>
      <c r="R3989" s="2">
        <f t="shared" si="251"/>
        <v>126.89180600733286</v>
      </c>
      <c r="S3989" s="2">
        <f t="shared" si="250"/>
        <v>2.5899617334508136</v>
      </c>
      <c r="T3989" s="2">
        <f t="shared" si="252"/>
        <v>5.2030871268011243</v>
      </c>
      <c r="U3989" s="2">
        <f t="shared" si="253"/>
        <v>134.68485486758482</v>
      </c>
    </row>
    <row r="3990" spans="1:21" x14ac:dyDescent="0.25">
      <c r="A3990">
        <v>4979397</v>
      </c>
      <c r="B3990">
        <v>55</v>
      </c>
      <c r="C3990" s="1">
        <f>8.54719733974916*(10.3/7.3)</f>
        <v>12.059744191700867</v>
      </c>
      <c r="D3990" s="1">
        <f>13.4653787371401*(10.3/7.3)</f>
        <v>18.999096026375799</v>
      </c>
      <c r="E3990" s="1">
        <f>47.131319051171*(10.3/7.3)</f>
        <v>66.500354277679662</v>
      </c>
      <c r="F3990" s="1">
        <f>96.1773499640073*(38.9/42.5)</f>
        <v>88.030562672938444</v>
      </c>
      <c r="G3990" s="1">
        <v>3.7895792849428873</v>
      </c>
      <c r="H3990" s="1">
        <v>6.4928078726474929</v>
      </c>
      <c r="I3990" s="1">
        <v>66.875451254921231</v>
      </c>
      <c r="J3990" s="1">
        <v>6.1738768965845722E-2</v>
      </c>
      <c r="K3990" s="1">
        <v>3.7166079154907257</v>
      </c>
      <c r="L3990" s="1">
        <v>5.4921309632560185</v>
      </c>
      <c r="M3990" s="1">
        <v>0.30157138306560499</v>
      </c>
      <c r="N3990" s="1">
        <v>2.8667070425421763</v>
      </c>
      <c r="O3990" s="1">
        <v>0.24918109090909088</v>
      </c>
      <c r="P3990" s="1">
        <v>0.16784760922706585</v>
      </c>
      <c r="Q3990" s="1">
        <v>6.05640524990873</v>
      </c>
      <c r="R3990" s="2">
        <f t="shared" si="251"/>
        <v>268.8040008311151</v>
      </c>
      <c r="S3990" s="2">
        <f t="shared" si="250"/>
        <v>3.9461942936836372</v>
      </c>
      <c r="T3990" s="2">
        <f t="shared" si="252"/>
        <v>8.9095904797728895</v>
      </c>
      <c r="U3990" s="2">
        <f t="shared" si="253"/>
        <v>281.6597856045716</v>
      </c>
    </row>
    <row r="3991" spans="1:21" x14ac:dyDescent="0.25">
      <c r="A3991">
        <v>4979405</v>
      </c>
      <c r="B3991">
        <v>53</v>
      </c>
      <c r="C3991" s="1">
        <f>6.85247526644147*(10.3/7.3)</f>
        <v>9.6685609923763156</v>
      </c>
      <c r="D3991" s="1">
        <f>10.6458113203208*(10.3/7.3)</f>
        <v>15.020802273877356</v>
      </c>
      <c r="E3991" s="1">
        <f>37.2892719101504*(10.3/7.3)</f>
        <v>52.61363022939031</v>
      </c>
      <c r="F3991" s="1">
        <f>75.6876374122722*(38.9/42.5)</f>
        <v>69.276449302056221</v>
      </c>
      <c r="G3991" s="1">
        <v>2.9571497967786176</v>
      </c>
      <c r="H3991" s="1">
        <v>5.6388279566202089</v>
      </c>
      <c r="I3991" s="1">
        <v>52.764605234613917</v>
      </c>
      <c r="J3991" s="1">
        <v>5.3266457912878942E-2</v>
      </c>
      <c r="K3991" s="1">
        <v>3.2968873261201201</v>
      </c>
      <c r="L3991" s="1">
        <v>4.6435114524166092</v>
      </c>
      <c r="M3991" s="1">
        <v>0.25872673082064329</v>
      </c>
      <c r="N3991" s="1">
        <v>2.535815184248245</v>
      </c>
      <c r="O3991" s="1">
        <v>0.21671949685534594</v>
      </c>
      <c r="P3991" s="1">
        <v>0.15036451472234222</v>
      </c>
      <c r="Q3991" s="1">
        <v>4.7260384880023603</v>
      </c>
      <c r="R3991" s="2">
        <f t="shared" si="251"/>
        <v>212.66606427371534</v>
      </c>
      <c r="S3991" s="2">
        <f t="shared" si="250"/>
        <v>3.5005182987553414</v>
      </c>
      <c r="T3991" s="2">
        <f t="shared" si="252"/>
        <v>7.6547728643408437</v>
      </c>
      <c r="U3991" s="2">
        <f t="shared" si="253"/>
        <v>223.82135543681153</v>
      </c>
    </row>
    <row r="3992" spans="1:21" x14ac:dyDescent="0.25">
      <c r="A3992">
        <v>4979413</v>
      </c>
      <c r="B3992">
        <v>55</v>
      </c>
      <c r="C3992" s="1">
        <f>7.81122649754332*(10.3/7.3)</f>
        <v>11.021319578725503</v>
      </c>
      <c r="D3992" s="1">
        <f>11.907090325671*(10.3/7.3)</f>
        <v>16.800415117042615</v>
      </c>
      <c r="E3992" s="1">
        <f>41.7256490487705*(10.3/7.3)</f>
        <v>58.873176055114513</v>
      </c>
      <c r="F3992" s="1">
        <f>85.2376486186867*(38.9/42.5)</f>
        <v>78.017518382750879</v>
      </c>
      <c r="G3992" s="1">
        <v>3.3440516733915038</v>
      </c>
      <c r="H3992" s="1">
        <v>6.1432186311553085</v>
      </c>
      <c r="I3992" s="1">
        <v>59.865223028834698</v>
      </c>
      <c r="J3992" s="1">
        <v>6.0492192851134184E-2</v>
      </c>
      <c r="K3992" s="1">
        <v>3.5773189047585676</v>
      </c>
      <c r="L3992" s="1">
        <v>5.1898172575117849</v>
      </c>
      <c r="M3992" s="1">
        <v>0.27932734332739223</v>
      </c>
      <c r="N3992" s="1">
        <v>3.2164747623687742</v>
      </c>
      <c r="O3992" s="1">
        <v>0.23354569696969693</v>
      </c>
      <c r="P3992" s="1">
        <v>0.15841378346432317</v>
      </c>
      <c r="Q3992" s="1">
        <v>5.3443748204887118</v>
      </c>
      <c r="R3992" s="2">
        <f t="shared" si="251"/>
        <v>239.40929728750376</v>
      </c>
      <c r="S3992" s="2">
        <f t="shared" si="250"/>
        <v>3.7962248810740249</v>
      </c>
      <c r="T3992" s="2">
        <f t="shared" si="252"/>
        <v>8.9191650601776491</v>
      </c>
      <c r="U3992" s="2">
        <f t="shared" si="253"/>
        <v>252.12468722875542</v>
      </c>
    </row>
    <row r="3993" spans="1:21" x14ac:dyDescent="0.25">
      <c r="A3993">
        <v>4979421</v>
      </c>
      <c r="B3993">
        <v>55</v>
      </c>
      <c r="C3993" s="1">
        <f>7.66414819580957*(10.3/7.3)</f>
        <v>10.81379813929296</v>
      </c>
      <c r="D3993" s="1">
        <f>11.5131533564382*(10.3/7.3)</f>
        <v>16.244586242645632</v>
      </c>
      <c r="E3993" s="1">
        <f>40.3563721488888*(10.3/7.3)</f>
        <v>56.941182621034919</v>
      </c>
      <c r="F3993" s="1">
        <f>82.9960391752319*(38.9/42.5)</f>
        <v>75.965786445094594</v>
      </c>
      <c r="G3993" s="1">
        <v>3.2728663570524641</v>
      </c>
      <c r="H3993" s="1">
        <v>6.0626005670795413</v>
      </c>
      <c r="I3993" s="1">
        <v>58.651706711649183</v>
      </c>
      <c r="J3993" s="1">
        <v>6.142569767772222E-2</v>
      </c>
      <c r="K3993" s="1">
        <v>3.5482687493424021</v>
      </c>
      <c r="L3993" s="1">
        <v>5.1114728690356683</v>
      </c>
      <c r="M3993" s="1">
        <v>0.27144985345941419</v>
      </c>
      <c r="N3993" s="1">
        <v>3.222469181903679</v>
      </c>
      <c r="O3993" s="1">
        <v>0.22899975757575766</v>
      </c>
      <c r="P3993" s="1">
        <v>0.15557843875649474</v>
      </c>
      <c r="Q3993" s="1">
        <v>5.2306083331888722</v>
      </c>
      <c r="R3993" s="2">
        <f t="shared" si="251"/>
        <v>233.18313541703816</v>
      </c>
      <c r="S3993" s="2">
        <f t="shared" si="250"/>
        <v>3.7652728857766191</v>
      </c>
      <c r="T3993" s="2">
        <f t="shared" si="252"/>
        <v>8.8343916619745197</v>
      </c>
      <c r="U3993" s="2">
        <f t="shared" si="253"/>
        <v>245.78279996478929</v>
      </c>
    </row>
    <row r="3994" spans="1:21" x14ac:dyDescent="0.25">
      <c r="A3994">
        <v>4979429</v>
      </c>
      <c r="B3994">
        <v>55</v>
      </c>
      <c r="C3994" s="1">
        <f>7.75568289467292*(10.3/7.3)</f>
        <v>10.942949837689186</v>
      </c>
      <c r="D3994" s="1">
        <f>11.4506400640779*(10.3/7.3)</f>
        <v>16.156382556164669</v>
      </c>
      <c r="E3994" s="1">
        <f>40.1519523289622*(10.3/7.3)</f>
        <v>56.652754655932924</v>
      </c>
      <c r="F3994" s="1">
        <f>83.1725472376104*(38.9/42.5)</f>
        <v>76.127343236306899</v>
      </c>
      <c r="G3994" s="1">
        <v>3.296724850306135</v>
      </c>
      <c r="H3994" s="1">
        <v>6.1541509292383099</v>
      </c>
      <c r="I3994" s="1">
        <v>59.192281504535401</v>
      </c>
      <c r="J3994" s="1">
        <v>6.5688497321383016E-2</v>
      </c>
      <c r="K3994" s="1">
        <v>3.6252236371114823</v>
      </c>
      <c r="L3994" s="1">
        <v>5.2213078478546588</v>
      </c>
      <c r="M3994" s="1">
        <v>0.2695778903496775</v>
      </c>
      <c r="N3994" s="1">
        <v>2.980931446793734</v>
      </c>
      <c r="O3994" s="1">
        <v>0.23104290909090908</v>
      </c>
      <c r="P3994" s="1">
        <v>0.15627275393335591</v>
      </c>
      <c r="Q3994" s="1">
        <v>5.2687383452381207</v>
      </c>
      <c r="R3994" s="2">
        <f t="shared" si="251"/>
        <v>233.79132591541165</v>
      </c>
      <c r="S3994" s="2">
        <f t="shared" si="250"/>
        <v>3.847184888366221</v>
      </c>
      <c r="T3994" s="2">
        <f t="shared" si="252"/>
        <v>8.7028600940889795</v>
      </c>
      <c r="U3994" s="2">
        <f t="shared" si="253"/>
        <v>246.34137089786685</v>
      </c>
    </row>
    <row r="3995" spans="1:21" x14ac:dyDescent="0.25">
      <c r="A3995">
        <v>4979437</v>
      </c>
      <c r="B3995">
        <v>53</v>
      </c>
      <c r="C3995" s="1">
        <f>7.53590643214799*(10.3/7.3)</f>
        <v>10.632854280975927</v>
      </c>
      <c r="D3995" s="1">
        <f>10.9073952553808*(10.3/7.3)</f>
        <v>15.389886456222186</v>
      </c>
      <c r="E3995" s="1">
        <f>38.2602238279583*(10.3/7.3)</f>
        <v>53.983603483283702</v>
      </c>
      <c r="F3995" s="1">
        <f>80.0792074247554*(38.9/42.5)</f>
        <v>73.296027501717276</v>
      </c>
      <c r="G3995" s="1">
        <v>3.199940028462541</v>
      </c>
      <c r="H3995" s="1">
        <v>6.0532631146323412</v>
      </c>
      <c r="I3995" s="1">
        <v>57.479600111255465</v>
      </c>
      <c r="J3995" s="1">
        <v>7.2877745074259731E-2</v>
      </c>
      <c r="K3995" s="1">
        <v>3.5504978522806185</v>
      </c>
      <c r="L3995" s="1">
        <v>5.0367189014779514</v>
      </c>
      <c r="M3995" s="1">
        <v>0.25317224295633001</v>
      </c>
      <c r="N3995" s="1">
        <v>2.904084020074543</v>
      </c>
      <c r="O3995" s="1">
        <v>0.2221122012578616</v>
      </c>
      <c r="P3995" s="1">
        <v>0.15133352203496819</v>
      </c>
      <c r="Q3995" s="1">
        <v>5.1140594062186802</v>
      </c>
      <c r="R3995" s="2">
        <f t="shared" si="251"/>
        <v>225.14923438276813</v>
      </c>
      <c r="S3995" s="2">
        <f t="shared" si="250"/>
        <v>3.7747091193898465</v>
      </c>
      <c r="T3995" s="2">
        <f t="shared" si="252"/>
        <v>8.4160873657666855</v>
      </c>
      <c r="U3995" s="2">
        <f t="shared" si="253"/>
        <v>237.34003086792467</v>
      </c>
    </row>
    <row r="3996" spans="1:21" x14ac:dyDescent="0.25">
      <c r="A3996">
        <v>4979445</v>
      </c>
      <c r="B3996">
        <v>1</v>
      </c>
      <c r="C3996" s="1">
        <f>4.74365541854703*(10.3/7.3)</f>
        <v>6.6931028508266275</v>
      </c>
      <c r="D3996" s="1">
        <f>6.7925864148836*(10.3/7.3)</f>
        <v>9.5840602840138409</v>
      </c>
      <c r="E3996" s="1">
        <f>23.8386189610445*(10.3/7.3)</f>
        <v>33.635311684761376</v>
      </c>
      <c r="F3996" s="1">
        <f>49.7954548699361*(38.9/42.5)</f>
        <v>45.577486928012085</v>
      </c>
      <c r="G3996" s="1">
        <v>1.9817375610582082</v>
      </c>
      <c r="H3996" s="1">
        <v>4.5246888462523689</v>
      </c>
      <c r="I3996" s="1">
        <v>35.840222636287621</v>
      </c>
      <c r="J3996" s="1">
        <v>6.3749893248448777E-2</v>
      </c>
      <c r="K3996" s="1">
        <v>2.7155192942858153</v>
      </c>
      <c r="L3996" s="1">
        <v>3.3702095039689262</v>
      </c>
      <c r="M3996" s="1">
        <v>0.18957654648315919</v>
      </c>
      <c r="N3996" s="1">
        <v>2.2156553312569143</v>
      </c>
      <c r="O3996" s="1">
        <v>0.16826666666666668</v>
      </c>
      <c r="P3996" s="1">
        <v>0.11920646408591921</v>
      </c>
      <c r="Q3996" s="1">
        <v>3.1671604857094682</v>
      </c>
      <c r="R3996" s="2">
        <f t="shared" si="251"/>
        <v>141.00377127692161</v>
      </c>
      <c r="S3996" s="2">
        <f t="shared" si="250"/>
        <v>2.8984756516201831</v>
      </c>
      <c r="T3996" s="2">
        <f t="shared" si="252"/>
        <v>5.9437080483756661</v>
      </c>
      <c r="U3996" s="2">
        <f t="shared" si="253"/>
        <v>149.84595497691745</v>
      </c>
    </row>
    <row r="3997" spans="1:21" x14ac:dyDescent="0.25">
      <c r="A3997">
        <v>4979525</v>
      </c>
      <c r="B3997">
        <v>24</v>
      </c>
      <c r="C3997" s="1">
        <f>3.56995584598433*(10.3/7.3)</f>
        <v>5.0370609881696771</v>
      </c>
      <c r="D3997" s="1">
        <f>4.9340095275361*(10.3/7.3)</f>
        <v>6.9616846758386046</v>
      </c>
      <c r="E3997" s="1">
        <f>17.2039696993953*(10.3/7.3)</f>
        <v>24.274094233393381</v>
      </c>
      <c r="F3997" s="1">
        <f>42.8479961938381*(38.9/42.5)</f>
        <v>39.218518869183555</v>
      </c>
      <c r="G3997" s="1">
        <v>2.0020341874054477</v>
      </c>
      <c r="H3997" s="1">
        <v>7.2491875186462273</v>
      </c>
      <c r="I3997" s="1">
        <v>32.334047997247033</v>
      </c>
      <c r="J3997" s="1">
        <v>3.5180048750784405E-2</v>
      </c>
      <c r="K3997" s="1">
        <v>2.5693263085031259</v>
      </c>
      <c r="L3997" s="1">
        <v>3.0939700303437978</v>
      </c>
      <c r="M3997" s="1">
        <v>0.13192711727998996</v>
      </c>
      <c r="N3997" s="1">
        <v>2.5586373182641355</v>
      </c>
      <c r="O3997" s="1">
        <v>0.11301333333333331</v>
      </c>
      <c r="P3997" s="1">
        <v>9.0135074542845264E-2</v>
      </c>
      <c r="Q3997" s="1">
        <v>3.1995980164014033</v>
      </c>
      <c r="R3997" s="2">
        <f t="shared" si="251"/>
        <v>120.27622648628534</v>
      </c>
      <c r="S3997" s="2">
        <f t="shared" si="250"/>
        <v>2.6946414317967555</v>
      </c>
      <c r="T3997" s="2">
        <f t="shared" si="252"/>
        <v>5.8975477992212557</v>
      </c>
      <c r="U3997" s="2">
        <f t="shared" si="253"/>
        <v>128.86841571730335</v>
      </c>
    </row>
    <row r="3998" spans="1:21" x14ac:dyDescent="0.25">
      <c r="A3998">
        <v>4991113</v>
      </c>
      <c r="B3998">
        <v>9</v>
      </c>
      <c r="C3998" s="1">
        <f>0.589516128654398*(10.3/7.3)</f>
        <v>0.83178303084113736</v>
      </c>
      <c r="D3998" s="1">
        <f>0.833242360493527*(10.3/7.3)</f>
        <v>1.1756707278196346</v>
      </c>
      <c r="E3998" s="1">
        <f>2.89249484148173*(10.3/7.3)</f>
        <v>4.0811913516796983</v>
      </c>
      <c r="F3998" s="1">
        <f>7.72515188973054*(38.9/42.5)</f>
        <v>7.0707860826004278</v>
      </c>
      <c r="G3998" s="1">
        <v>0.38137390710613056</v>
      </c>
      <c r="H3998" s="1">
        <v>1.6970102487948753</v>
      </c>
      <c r="I3998" s="1">
        <v>5.8725198972143833</v>
      </c>
      <c r="J3998" s="1">
        <v>4.1412725736283018E-2</v>
      </c>
      <c r="K3998" s="1">
        <v>2.703362606471456</v>
      </c>
      <c r="L3998" s="1">
        <v>2.1084703726856677</v>
      </c>
      <c r="M3998" s="1">
        <v>0.58429856588866658</v>
      </c>
      <c r="N3998" s="1">
        <v>1.3209866751930106</v>
      </c>
      <c r="O3998" s="1">
        <v>0.37158518518518524</v>
      </c>
      <c r="P3998" s="1">
        <v>0.20132172323793138</v>
      </c>
      <c r="Q3998" s="1">
        <v>0.60950167802349697</v>
      </c>
      <c r="R3998" s="2">
        <f t="shared" si="251"/>
        <v>21.719836924079786</v>
      </c>
      <c r="S3998" s="2">
        <f t="shared" si="250"/>
        <v>2.9460970554456702</v>
      </c>
      <c r="T3998" s="2">
        <f t="shared" si="252"/>
        <v>4.3853407989525302</v>
      </c>
      <c r="U3998" s="2">
        <f t="shared" si="253"/>
        <v>29.051274778477985</v>
      </c>
    </row>
    <row r="3999" spans="1:21" x14ac:dyDescent="0.25">
      <c r="A3999">
        <v>4991121</v>
      </c>
      <c r="B3999">
        <v>10</v>
      </c>
      <c r="C3999" s="1">
        <f>0.973066713102623*(10.3/7.3)</f>
        <v>1.3729571431447969</v>
      </c>
      <c r="D3999" s="1">
        <f>1.42005515405403*(10.3/7.3)</f>
        <v>2.0036394639392547</v>
      </c>
      <c r="E3999" s="1">
        <f>4.90369069548658*(10.3/7.3)</f>
        <v>6.9189060497961279</v>
      </c>
      <c r="F3999" s="1">
        <f>14.1004462049584*(38.9/42.5)</f>
        <v>12.906055467597245</v>
      </c>
      <c r="G3999" s="1">
        <v>0.73323216809743275</v>
      </c>
      <c r="H3999" s="1">
        <v>6.7030561192996316</v>
      </c>
      <c r="I3999" s="1">
        <v>10.782449608078505</v>
      </c>
      <c r="J3999" s="1">
        <v>6.918204269843975E-2</v>
      </c>
      <c r="K3999" s="1">
        <v>3.3997489945036876</v>
      </c>
      <c r="L3999" s="1">
        <v>2.963894875246825</v>
      </c>
      <c r="M3999" s="1">
        <v>0.79441546117356765</v>
      </c>
      <c r="N3999" s="1">
        <v>1.7796975786687383</v>
      </c>
      <c r="O3999" s="1">
        <v>0.52265600000000001</v>
      </c>
      <c r="P3999" s="1">
        <v>0.22990783722072311</v>
      </c>
      <c r="Q3999" s="1">
        <v>1.1718322321191859</v>
      </c>
      <c r="R3999" s="2">
        <f t="shared" si="251"/>
        <v>42.592128252072179</v>
      </c>
      <c r="S3999" s="2">
        <f t="shared" si="250"/>
        <v>3.6988388744228504</v>
      </c>
      <c r="T3999" s="2">
        <f t="shared" si="252"/>
        <v>6.0606639150891315</v>
      </c>
      <c r="U3999" s="2">
        <f t="shared" si="253"/>
        <v>52.351631041584156</v>
      </c>
    </row>
    <row r="4000" spans="1:21" x14ac:dyDescent="0.25">
      <c r="A4000">
        <v>4991345</v>
      </c>
      <c r="B4000">
        <v>2</v>
      </c>
      <c r="C4000" s="1">
        <f>1.57365092852051*(10.3/7.3)</f>
        <v>2.2203567895563396</v>
      </c>
      <c r="D4000" s="1">
        <f>3.04295855114156*(10.3/7.3)</f>
        <v>4.2934894625696032</v>
      </c>
      <c r="E4000" s="1">
        <f>10.3118822925845*(10.3/7.3)</f>
        <v>14.549642138852153</v>
      </c>
      <c r="F4000" s="1">
        <f>34.5669679422815*(38.9/42.5)</f>
        <v>31.63894242246467</v>
      </c>
      <c r="G4000" s="1">
        <v>1.9924670551624759</v>
      </c>
      <c r="H4000" s="1">
        <v>10.940543112282084</v>
      </c>
      <c r="I4000" s="1">
        <v>25.907583008399286</v>
      </c>
      <c r="J4000" s="1">
        <v>4.9076894655987663E-2</v>
      </c>
      <c r="K4000" s="1">
        <v>3.1134753984027657</v>
      </c>
      <c r="L4000" s="1">
        <v>4.8705796141014694</v>
      </c>
      <c r="M4000" s="1">
        <v>0.83464858884291826</v>
      </c>
      <c r="N4000" s="1">
        <v>2.8663963002904529</v>
      </c>
      <c r="O4000" s="1">
        <v>0.28258666666666665</v>
      </c>
      <c r="P4000" s="1">
        <v>0.1798176657165011</v>
      </c>
      <c r="Q4000" s="1">
        <v>3.184308079026791</v>
      </c>
      <c r="R4000" s="2">
        <f t="shared" si="251"/>
        <v>94.727332068313402</v>
      </c>
      <c r="S4000" s="2">
        <f t="shared" si="250"/>
        <v>3.3423699587752544</v>
      </c>
      <c r="T4000" s="2">
        <f t="shared" si="252"/>
        <v>8.8542111699015074</v>
      </c>
      <c r="U4000" s="2">
        <f t="shared" si="253"/>
        <v>106.92391319699016</v>
      </c>
    </row>
    <row r="4001" spans="1:21" x14ac:dyDescent="0.25">
      <c r="A4001">
        <v>4991353</v>
      </c>
      <c r="B4001">
        <v>45</v>
      </c>
      <c r="C4001" s="1">
        <f>1.76131717693819*(10.3/7.3)</f>
        <v>2.4851461537620998</v>
      </c>
      <c r="D4001" s="1">
        <f>3.06155208405111*(10.3/7.3)</f>
        <v>4.3197241733871801</v>
      </c>
      <c r="E4001" s="1">
        <f>10.4804897345961*(10.3/7.3)</f>
        <v>14.787540310457574</v>
      </c>
      <c r="F4001" s="1">
        <f>31.4513615364534*(38.9/42.5)</f>
        <v>28.787246206306758</v>
      </c>
      <c r="G4001" s="1">
        <v>1.7022461613021553</v>
      </c>
      <c r="H4001" s="1">
        <v>9.5551813982245424</v>
      </c>
      <c r="I4001" s="1">
        <v>23.454951624978953</v>
      </c>
      <c r="J4001" s="1">
        <v>5.5932214646149642E-2</v>
      </c>
      <c r="K4001" s="1">
        <v>3.4817476666322267</v>
      </c>
      <c r="L4001" s="1">
        <v>5.4025841794106482</v>
      </c>
      <c r="M4001" s="1">
        <v>0.90535023057542963</v>
      </c>
      <c r="N4001" s="1">
        <v>2.9401999314965512</v>
      </c>
      <c r="O4001" s="1">
        <v>0.32004740740740734</v>
      </c>
      <c r="P4001" s="1">
        <v>0.1977620821424371</v>
      </c>
      <c r="Q4001" s="1">
        <v>2.7204847326746813</v>
      </c>
      <c r="R4001" s="2">
        <f t="shared" si="251"/>
        <v>87.812520761093936</v>
      </c>
      <c r="S4001" s="2">
        <f t="shared" si="250"/>
        <v>3.7354419634208136</v>
      </c>
      <c r="T4001" s="2">
        <f t="shared" si="252"/>
        <v>9.5681817488900371</v>
      </c>
      <c r="U4001" s="2">
        <f t="shared" si="253"/>
        <v>101.11614447340479</v>
      </c>
    </row>
    <row r="4002" spans="1:21" x14ac:dyDescent="0.25">
      <c r="A4002">
        <v>4991361</v>
      </c>
      <c r="B4002">
        <v>66</v>
      </c>
      <c r="C4002" s="1">
        <f>1.60664880123839*(10.3/7.3)</f>
        <v>2.2669154318843043</v>
      </c>
      <c r="D4002" s="1">
        <f>2.66012044776025*(10.3/7.3)</f>
        <v>3.753320631771313</v>
      </c>
      <c r="E4002" s="1">
        <f>9.1378996387453*(10.3/7.3)</f>
        <v>12.893200860147481</v>
      </c>
      <c r="F4002" s="1">
        <f>26.5625867834025*(38.9/42.5)</f>
        <v>24.312579432337863</v>
      </c>
      <c r="G4002" s="1">
        <v>1.4062643961376702</v>
      </c>
      <c r="H4002" s="1">
        <v>7.0957129149716849</v>
      </c>
      <c r="I4002" s="1">
        <v>19.857020716001408</v>
      </c>
      <c r="J4002" s="1">
        <v>5.064173676887699E-2</v>
      </c>
      <c r="K4002" s="1">
        <v>3.0978849598593428</v>
      </c>
      <c r="L4002" s="1">
        <v>4.452962524958811</v>
      </c>
      <c r="M4002" s="1">
        <v>0.75050903673325731</v>
      </c>
      <c r="N4002" s="1">
        <v>2.2338004041393691</v>
      </c>
      <c r="O4002" s="1">
        <v>0.28289212121212115</v>
      </c>
      <c r="P4002" s="1">
        <v>0.17827328393192987</v>
      </c>
      <c r="Q4002" s="1">
        <v>2.2474545143752742</v>
      </c>
      <c r="R4002" s="2">
        <f t="shared" si="251"/>
        <v>73.832468897626995</v>
      </c>
      <c r="S4002" s="2">
        <f t="shared" si="250"/>
        <v>3.3267999805601498</v>
      </c>
      <c r="T4002" s="2">
        <f t="shared" si="252"/>
        <v>7.7201640870435586</v>
      </c>
      <c r="U4002" s="2">
        <f t="shared" si="253"/>
        <v>84.879432965230706</v>
      </c>
    </row>
    <row r="4003" spans="1:21" x14ac:dyDescent="0.25">
      <c r="A4003">
        <v>4991369</v>
      </c>
      <c r="B4003">
        <v>13</v>
      </c>
      <c r="C4003" s="1">
        <f>1.9625981967402*(10.3/7.3)</f>
        <v>2.7691454008800105</v>
      </c>
      <c r="D4003" s="1">
        <f>3.24875101432508*(10.3/7.3)</f>
        <v>4.583854170897034</v>
      </c>
      <c r="E4003" s="1">
        <f>11.1530336449009*(10.3/7.3)</f>
        <v>15.73647212910681</v>
      </c>
      <c r="F4003" s="1">
        <f>32.7790126291842*(38.9/42.5)</f>
        <v>30.002437441770919</v>
      </c>
      <c r="G4003" s="1">
        <v>1.7465140364646514</v>
      </c>
      <c r="H4003" s="1">
        <v>9.5046630415480067</v>
      </c>
      <c r="I4003" s="1">
        <v>24.557595615970051</v>
      </c>
      <c r="J4003" s="1">
        <v>6.4001221470991729E-2</v>
      </c>
      <c r="K4003" s="1">
        <v>3.239123197935335</v>
      </c>
      <c r="L4003" s="1">
        <v>4.5959677390532923</v>
      </c>
      <c r="M4003" s="1">
        <v>0.73112803028429818</v>
      </c>
      <c r="N4003" s="1">
        <v>2.4194942771210175</v>
      </c>
      <c r="O4003" s="1">
        <v>0.29522051282051281</v>
      </c>
      <c r="P4003" s="1">
        <v>0.1832972517979298</v>
      </c>
      <c r="Q4003" s="1">
        <v>2.7912324783681672</v>
      </c>
      <c r="R4003" s="2">
        <f t="shared" si="251"/>
        <v>91.691914315005661</v>
      </c>
      <c r="S4003" s="2">
        <f t="shared" si="250"/>
        <v>3.4864216712042562</v>
      </c>
      <c r="T4003" s="2">
        <f t="shared" si="252"/>
        <v>8.0418105592791225</v>
      </c>
      <c r="U4003" s="2">
        <f t="shared" si="253"/>
        <v>103.22014654548904</v>
      </c>
    </row>
    <row r="4004" spans="1:21" x14ac:dyDescent="0.25">
      <c r="A4004">
        <v>4991561</v>
      </c>
      <c r="B4004">
        <v>55</v>
      </c>
      <c r="C4004" s="1">
        <f>11.5435103936809*(10.3/7.3)</f>
        <v>16.287418774645712</v>
      </c>
      <c r="D4004" s="1">
        <f>18.9961724976354*(10.3/7.3)</f>
        <v>26.802818729540366</v>
      </c>
      <c r="E4004" s="1">
        <f>66.5718471348298*(10.3/7.3)</f>
        <v>93.930140477910484</v>
      </c>
      <c r="F4004" s="1">
        <f>126.54368839049*(38.9/42.5)</f>
        <v>115.82469360917787</v>
      </c>
      <c r="G4004" s="1">
        <v>4.6080836197297108</v>
      </c>
      <c r="H4004" s="1">
        <v>7.5726624112259904</v>
      </c>
      <c r="I4004" s="1">
        <v>84.964642302927217</v>
      </c>
      <c r="J4004" s="1">
        <v>7.1495668834352877E-2</v>
      </c>
      <c r="K4004" s="1">
        <v>3.8354925762344632</v>
      </c>
      <c r="L4004" s="1">
        <v>5.5103277943935014</v>
      </c>
      <c r="M4004" s="1">
        <v>0.36946896159608605</v>
      </c>
      <c r="N4004" s="1">
        <v>2.9995876623902866</v>
      </c>
      <c r="O4004" s="1">
        <v>0.28627200000000003</v>
      </c>
      <c r="P4004" s="1">
        <v>0.18259514639772531</v>
      </c>
      <c r="Q4004" s="1">
        <v>7.3645172004812789</v>
      </c>
      <c r="R4004" s="2">
        <f t="shared" si="251"/>
        <v>357.35497712563858</v>
      </c>
      <c r="S4004" s="2">
        <f t="shared" si="250"/>
        <v>4.0895833914665412</v>
      </c>
      <c r="T4004" s="2">
        <f t="shared" si="252"/>
        <v>9.165656418379875</v>
      </c>
      <c r="U4004" s="2">
        <f t="shared" si="253"/>
        <v>370.61021693548497</v>
      </c>
    </row>
    <row r="4005" spans="1:21" x14ac:dyDescent="0.25">
      <c r="A4005">
        <v>4991569</v>
      </c>
      <c r="B4005">
        <v>53</v>
      </c>
      <c r="C4005" s="1">
        <f>11.803941313902*(10.3/7.3)</f>
        <v>16.654876100437093</v>
      </c>
      <c r="D4005" s="1">
        <f>18.2993305606927*(10.3/7.3)</f>
        <v>25.819603393854134</v>
      </c>
      <c r="E4005" s="1">
        <f>64.268447503532*(10.3/7.3)</f>
        <v>90.680138258408107</v>
      </c>
      <c r="F4005" s="1">
        <f>122.061875674003*(38.9/42.5)</f>
        <v>111.7225167933816</v>
      </c>
      <c r="G4005" s="1">
        <v>4.3897397029833156</v>
      </c>
      <c r="H4005" s="1">
        <v>8.3003648927819356</v>
      </c>
      <c r="I4005" s="1">
        <v>83.497300211562589</v>
      </c>
      <c r="J4005" s="1">
        <v>6.7379994092973239E-2</v>
      </c>
      <c r="K4005" s="1">
        <v>3.762153920331067</v>
      </c>
      <c r="L4005" s="1">
        <v>5.4293019500783899</v>
      </c>
      <c r="M4005" s="1">
        <v>0.35577036750642427</v>
      </c>
      <c r="N4005" s="1">
        <v>3.2163229132539422</v>
      </c>
      <c r="O4005" s="1">
        <v>0.2791788679245284</v>
      </c>
      <c r="P4005" s="1">
        <v>0.18008959327991902</v>
      </c>
      <c r="Q4005" s="1">
        <v>7.0155657353614718</v>
      </c>
      <c r="R4005" s="2">
        <f t="shared" si="251"/>
        <v>348.08010508877027</v>
      </c>
      <c r="S4005" s="2">
        <f t="shared" si="250"/>
        <v>4.0096235077039593</v>
      </c>
      <c r="T4005" s="2">
        <f t="shared" si="252"/>
        <v>9.2805740987632852</v>
      </c>
      <c r="U4005" s="2">
        <f t="shared" si="253"/>
        <v>361.37030269523751</v>
      </c>
    </row>
    <row r="4006" spans="1:21" x14ac:dyDescent="0.25">
      <c r="A4006">
        <v>4991577</v>
      </c>
      <c r="B4006">
        <v>60</v>
      </c>
      <c r="C4006" s="1">
        <f>10.7348271578435*(10.3/7.3)</f>
        <v>15.146399962436702</v>
      </c>
      <c r="D4006" s="1">
        <f>17.5677033221388*(10.3/7.3)</f>
        <v>24.787307427127285</v>
      </c>
      <c r="E4006" s="1">
        <f>61.5078720045009*(10.3/7.3)</f>
        <v>86.785079677583454</v>
      </c>
      <c r="F4006" s="1">
        <f>120.432919338993*(38.9/42.5)</f>
        <v>110.23154264204319</v>
      </c>
      <c r="G4006" s="1">
        <v>4.5487869079943843</v>
      </c>
      <c r="H4006" s="1">
        <v>7.7029440529060063</v>
      </c>
      <c r="I4006" s="1">
        <v>81.779423154738907</v>
      </c>
      <c r="J4006" s="1">
        <v>6.8463102541841722E-2</v>
      </c>
      <c r="K4006" s="1">
        <v>3.8481865254569834</v>
      </c>
      <c r="L4006" s="1">
        <v>5.6497979912385974</v>
      </c>
      <c r="M4006" s="1">
        <v>0.35942503517440322</v>
      </c>
      <c r="N4006" s="1">
        <v>3.2750544181315662</v>
      </c>
      <c r="O4006" s="1">
        <v>0.28299288888888885</v>
      </c>
      <c r="P4006" s="1">
        <v>0.1831495618652976</v>
      </c>
      <c r="Q4006" s="1">
        <v>7.2697507662010787</v>
      </c>
      <c r="R4006" s="2">
        <f t="shared" si="251"/>
        <v>338.25123459103105</v>
      </c>
      <c r="S4006" s="2">
        <f t="shared" si="250"/>
        <v>4.0997991898641226</v>
      </c>
      <c r="T4006" s="2">
        <f t="shared" si="252"/>
        <v>9.5672703334334557</v>
      </c>
      <c r="U4006" s="2">
        <f t="shared" si="253"/>
        <v>351.91830411432863</v>
      </c>
    </row>
    <row r="4007" spans="1:21" x14ac:dyDescent="0.25">
      <c r="A4007">
        <v>4991585</v>
      </c>
      <c r="B4007">
        <v>23</v>
      </c>
      <c r="C4007" s="1">
        <f>9.18010663483427*(10.3/7.3)</f>
        <v>12.952753197094923</v>
      </c>
      <c r="D4007" s="1">
        <f>15.7903813737588*(10.3/7.3)</f>
        <v>22.279579198591218</v>
      </c>
      <c r="E4007" s="1">
        <f>55.0105236769824*(10.3/7.3)</f>
        <v>77.617588201769664</v>
      </c>
      <c r="F4007" s="1">
        <f>116.843084888666*(38.9/42.5)</f>
        <v>106.94578828633193</v>
      </c>
      <c r="G4007" s="1">
        <v>4.870583873670685</v>
      </c>
      <c r="H4007" s="1">
        <v>6.6423735004165136</v>
      </c>
      <c r="I4007" s="1">
        <v>80.231600163313047</v>
      </c>
      <c r="J4007" s="1">
        <v>6.1498412437444742E-2</v>
      </c>
      <c r="K4007" s="1">
        <v>3.4920307491703966</v>
      </c>
      <c r="L4007" s="1">
        <v>4.9629044137328648</v>
      </c>
      <c r="M4007" s="1">
        <v>0.31571754853431894</v>
      </c>
      <c r="N4007" s="1">
        <v>2.8881971630482859</v>
      </c>
      <c r="O4007" s="1">
        <v>0.25483826086956524</v>
      </c>
      <c r="P4007" s="1">
        <v>0.1673475429595026</v>
      </c>
      <c r="Q4007" s="1">
        <v>7.7840381542682282</v>
      </c>
      <c r="R4007" s="2">
        <f t="shared" si="251"/>
        <v>319.32430457545621</v>
      </c>
      <c r="S4007" s="2">
        <f t="shared" si="250"/>
        <v>3.7208767045673441</v>
      </c>
      <c r="T4007" s="2">
        <f t="shared" si="252"/>
        <v>8.4216573861850357</v>
      </c>
      <c r="U4007" s="2">
        <f t="shared" si="253"/>
        <v>331.46683866620856</v>
      </c>
    </row>
    <row r="4008" spans="1:21" x14ac:dyDescent="0.25">
      <c r="A4008">
        <v>4991593</v>
      </c>
      <c r="B4008">
        <v>20</v>
      </c>
      <c r="C4008" s="1">
        <f>14.5649339356118*(10.3/7.3)</f>
        <v>20.550523224219436</v>
      </c>
      <c r="D4008" s="1">
        <f>16.1742459600255*(10.3/7.3)</f>
        <v>22.82119635455652</v>
      </c>
      <c r="E4008" s="1">
        <f>57.52331632063*(10.3/7.3)</f>
        <v>81.163035356505333</v>
      </c>
      <c r="F4008" s="1">
        <f>114.647961690148*(38.9/42.5)</f>
        <v>104.93660493521789</v>
      </c>
      <c r="G4008" s="1">
        <v>4.0800510755592825</v>
      </c>
      <c r="H4008" s="1">
        <v>8.4748060316647464</v>
      </c>
      <c r="I4008" s="1">
        <v>88.994767734072269</v>
      </c>
      <c r="J4008" s="1">
        <v>5.3082054682426071E-2</v>
      </c>
      <c r="K4008" s="1">
        <v>3.088310116303242</v>
      </c>
      <c r="L4008" s="1">
        <v>4.0992916860994537</v>
      </c>
      <c r="M4008" s="1">
        <v>0.26382233762042762</v>
      </c>
      <c r="N4008" s="1">
        <v>2.5838084194296993</v>
      </c>
      <c r="O4008" s="1">
        <v>0.218112</v>
      </c>
      <c r="P4008" s="1">
        <v>0.1489315429377627</v>
      </c>
      <c r="Q4008" s="1">
        <v>6.5206295728116457</v>
      </c>
      <c r="R4008" s="2">
        <f t="shared" si="251"/>
        <v>337.54161428460708</v>
      </c>
      <c r="S4008" s="2">
        <f t="shared" si="250"/>
        <v>3.2903237139234309</v>
      </c>
      <c r="T4008" s="2">
        <f t="shared" si="252"/>
        <v>7.1650344431495805</v>
      </c>
      <c r="U4008" s="2">
        <f t="shared" si="253"/>
        <v>347.9969724416801</v>
      </c>
    </row>
    <row r="4009" spans="1:21" x14ac:dyDescent="0.25">
      <c r="A4009">
        <v>4991601</v>
      </c>
      <c r="B4009">
        <v>65</v>
      </c>
      <c r="C4009" s="1">
        <f>6.44105867521192*(10.3/7.3)</f>
        <v>9.0880690896825786</v>
      </c>
      <c r="D4009" s="1">
        <f>10.3697245984627*(10.3/7.3)</f>
        <v>14.631255255365179</v>
      </c>
      <c r="E4009" s="1">
        <f>36.2060894578895*(10.3/7.3)</f>
        <v>51.085304303597574</v>
      </c>
      <c r="F4009" s="1">
        <f>77.0019514340745*(38.9/42.5)</f>
        <v>70.47943319495289</v>
      </c>
      <c r="G4009" s="1">
        <v>3.1837215182742811</v>
      </c>
      <c r="H4009" s="1">
        <v>5.7126166917072636</v>
      </c>
      <c r="I4009" s="1">
        <v>53.839886875391414</v>
      </c>
      <c r="J4009" s="1">
        <v>4.6397409403390967E-2</v>
      </c>
      <c r="K4009" s="1">
        <v>2.9596547829960769</v>
      </c>
      <c r="L4009" s="1">
        <v>3.9299125295094446</v>
      </c>
      <c r="M4009" s="1">
        <v>0.24772587833302551</v>
      </c>
      <c r="N4009" s="1">
        <v>2.2765309902045212</v>
      </c>
      <c r="O4009" s="1">
        <v>0.20410584615384608</v>
      </c>
      <c r="P4009" s="1">
        <v>0.14436947448637966</v>
      </c>
      <c r="Q4009" s="1">
        <v>5.0881394127671218</v>
      </c>
      <c r="R4009" s="2">
        <f t="shared" si="251"/>
        <v>213.10842634173832</v>
      </c>
      <c r="S4009" s="2">
        <f t="shared" si="250"/>
        <v>3.1504216668858476</v>
      </c>
      <c r="T4009" s="2">
        <f t="shared" si="252"/>
        <v>6.6582752442008371</v>
      </c>
      <c r="U4009" s="2">
        <f t="shared" si="253"/>
        <v>222.91712325282501</v>
      </c>
    </row>
    <row r="4010" spans="1:21" x14ac:dyDescent="0.25">
      <c r="A4010">
        <v>4991617</v>
      </c>
      <c r="B4010">
        <v>59</v>
      </c>
      <c r="C4010" s="1">
        <f>7.22055790701149*(10.3/7.3)</f>
        <v>10.187910471536759</v>
      </c>
      <c r="D4010" s="1">
        <f>11.5286462181885*(10.3/7.3)</f>
        <v>16.266446033882406</v>
      </c>
      <c r="E4010" s="1">
        <f>40.2538948594189*(10.3/7.3)</f>
        <v>56.796591376988253</v>
      </c>
      <c r="F4010" s="1">
        <f>86.1396449477444*(38.9/42.5)</f>
        <v>78.843110316876633</v>
      </c>
      <c r="G4010" s="1">
        <v>3.5797593160146466</v>
      </c>
      <c r="H4010" s="1">
        <v>7.6415790552155682</v>
      </c>
      <c r="I4010" s="1">
        <v>60.468407413837134</v>
      </c>
      <c r="J4010" s="1">
        <v>5.1431800822536101E-2</v>
      </c>
      <c r="K4010" s="1">
        <v>3.2359407994758391</v>
      </c>
      <c r="L4010" s="1">
        <v>4.4607909407182351</v>
      </c>
      <c r="M4010" s="1">
        <v>0.2657134801569262</v>
      </c>
      <c r="N4010" s="1">
        <v>2.464103920196187</v>
      </c>
      <c r="O4010" s="1">
        <v>0.22264858757062145</v>
      </c>
      <c r="P4010" s="1">
        <v>0.15141253253442075</v>
      </c>
      <c r="Q4010" s="1">
        <v>5.7210765324435036</v>
      </c>
      <c r="R4010" s="2">
        <f t="shared" si="251"/>
        <v>239.50488051679491</v>
      </c>
      <c r="S4010" s="2">
        <f t="shared" si="250"/>
        <v>3.4387851328327961</v>
      </c>
      <c r="T4010" s="2">
        <f t="shared" si="252"/>
        <v>7.4132569286419692</v>
      </c>
      <c r="U4010" s="2">
        <f t="shared" si="253"/>
        <v>250.35692257826969</v>
      </c>
    </row>
    <row r="4011" spans="1:21" x14ac:dyDescent="0.25">
      <c r="A4011">
        <v>4991625</v>
      </c>
      <c r="B4011">
        <v>68</v>
      </c>
      <c r="C4011" s="1">
        <f>6.08744511670568*(10.3/7.3)</f>
        <v>8.5891348906943197</v>
      </c>
      <c r="D4011" s="1">
        <f>9.6762327601212*(10.3/7.3)</f>
        <v>13.652766771129912</v>
      </c>
      <c r="E4011" s="1">
        <f>33.844056226626*(10.3/7.3)</f>
        <v>47.752572484143471</v>
      </c>
      <c r="F4011" s="1">
        <f>69.7538995139413*(38.9/42.5)</f>
        <v>63.845333908054471</v>
      </c>
      <c r="G4011" s="1">
        <v>2.783309663985992</v>
      </c>
      <c r="H4011" s="1">
        <v>5.1929493675862934</v>
      </c>
      <c r="I4011" s="1">
        <v>48.515010668431216</v>
      </c>
      <c r="J4011" s="1">
        <v>4.7962304869054805E-2</v>
      </c>
      <c r="K4011" s="1">
        <v>3.0547717307082229</v>
      </c>
      <c r="L4011" s="1">
        <v>4.2172183053942227</v>
      </c>
      <c r="M4011" s="1">
        <v>0.24572516170797776</v>
      </c>
      <c r="N4011" s="1">
        <v>2.2844984404585986</v>
      </c>
      <c r="O4011" s="1">
        <v>0.20388235294117646</v>
      </c>
      <c r="P4011" s="1">
        <v>0.14336246475112988</v>
      </c>
      <c r="Q4011" s="1">
        <v>4.4482117917584398</v>
      </c>
      <c r="R4011" s="2">
        <f t="shared" si="251"/>
        <v>194.77928954578411</v>
      </c>
      <c r="S4011" s="2">
        <f t="shared" si="250"/>
        <v>3.2460965003284077</v>
      </c>
      <c r="T4011" s="2">
        <f t="shared" si="252"/>
        <v>6.951324260501976</v>
      </c>
      <c r="U4011" s="2">
        <f t="shared" si="253"/>
        <v>204.97671030661448</v>
      </c>
    </row>
    <row r="4012" spans="1:21" x14ac:dyDescent="0.25">
      <c r="A4012">
        <v>4991633</v>
      </c>
      <c r="B4012">
        <v>69</v>
      </c>
      <c r="C4012" s="1">
        <f>8.33561255759625*(10.3/7.3)</f>
        <v>11.761206759348131</v>
      </c>
      <c r="D4012" s="1">
        <f>13.0572721528717*(10.3/7.3)</f>
        <v>18.423274407476441</v>
      </c>
      <c r="E4012" s="1">
        <f>45.7046380432424*(10.3/7.3)</f>
        <v>64.487366006218693</v>
      </c>
      <c r="F4012" s="1">
        <f>93.6543649916128*(38.9/42.5)</f>
        <v>85.721289368793791</v>
      </c>
      <c r="G4012" s="1">
        <v>3.7040390646735184</v>
      </c>
      <c r="H4012" s="1">
        <v>6.4592302896356983</v>
      </c>
      <c r="I4012" s="1">
        <v>65.306796463560048</v>
      </c>
      <c r="J4012" s="1">
        <v>6.2016575261478392E-2</v>
      </c>
      <c r="K4012" s="1">
        <v>3.7119812380525312</v>
      </c>
      <c r="L4012" s="1">
        <v>5.4678517549628394</v>
      </c>
      <c r="M4012" s="1">
        <v>0.3017748522283476</v>
      </c>
      <c r="N4012" s="1">
        <v>2.8687650004214826</v>
      </c>
      <c r="O4012" s="1">
        <v>0.24729816425120779</v>
      </c>
      <c r="P4012" s="1">
        <v>0.16670770600789156</v>
      </c>
      <c r="Q4012" s="1">
        <v>5.9196971353229824</v>
      </c>
      <c r="R4012" s="2">
        <f t="shared" si="251"/>
        <v>261.78289949502926</v>
      </c>
      <c r="S4012" s="2">
        <f t="shared" si="250"/>
        <v>3.9407055193219009</v>
      </c>
      <c r="T4012" s="2">
        <f t="shared" si="252"/>
        <v>8.885689771863877</v>
      </c>
      <c r="U4012" s="2">
        <f t="shared" si="253"/>
        <v>274.60929478621506</v>
      </c>
    </row>
    <row r="4013" spans="1:21" x14ac:dyDescent="0.25">
      <c r="A4013">
        <v>4991641</v>
      </c>
      <c r="B4013">
        <v>70</v>
      </c>
      <c r="C4013" s="1">
        <f>4.48806018638132*(10.3/7.3)</f>
        <v>6.3324684821544635</v>
      </c>
      <c r="D4013" s="1">
        <f>6.93518679127516*(10.3/7.3)</f>
        <v>9.7852635548129019</v>
      </c>
      <c r="E4013" s="1">
        <f>24.2984842762136*(10.3/7.3)</f>
        <v>34.28416274589037</v>
      </c>
      <c r="F4013" s="1">
        <f>49.2341358534859*(38.9/42.5)</f>
        <v>45.063714934131823</v>
      </c>
      <c r="G4013" s="1">
        <v>1.9179890382301388</v>
      </c>
      <c r="H4013" s="1">
        <v>4.2447330213606902</v>
      </c>
      <c r="I4013" s="1">
        <v>34.36091772887481</v>
      </c>
      <c r="J4013" s="1">
        <v>4.0192838332303027E-2</v>
      </c>
      <c r="K4013" s="1">
        <v>2.6561403916345401</v>
      </c>
      <c r="L4013" s="1">
        <v>3.4561913344800024</v>
      </c>
      <c r="M4013" s="1">
        <v>0.20189286745407325</v>
      </c>
      <c r="N4013" s="1">
        <v>1.9710201289133271</v>
      </c>
      <c r="O4013" s="1">
        <v>0.17015009523809521</v>
      </c>
      <c r="P4013" s="1">
        <v>0.12558990467618666</v>
      </c>
      <c r="Q4013" s="1">
        <v>3.0652792848426902</v>
      </c>
      <c r="R4013" s="2">
        <f t="shared" si="251"/>
        <v>139.05452879029787</v>
      </c>
      <c r="S4013" s="2">
        <f t="shared" si="250"/>
        <v>2.8219231346430296</v>
      </c>
      <c r="T4013" s="2">
        <f t="shared" si="252"/>
        <v>5.7992544260854979</v>
      </c>
      <c r="U4013" s="2">
        <f t="shared" si="253"/>
        <v>147.67570635102641</v>
      </c>
    </row>
    <row r="4014" spans="1:21" x14ac:dyDescent="0.25">
      <c r="A4014">
        <v>4991649</v>
      </c>
      <c r="B4014">
        <v>70</v>
      </c>
      <c r="C4014" s="1">
        <f>8.03735796398821*(10.3/7.3)</f>
        <v>11.340381784805288</v>
      </c>
      <c r="D4014" s="1">
        <f>12.1714498033015*(10.3/7.3)</f>
        <v>17.17341547589119</v>
      </c>
      <c r="E4014" s="1">
        <f>42.6484693950316*(10.3/7.3)</f>
        <v>60.175237639565196</v>
      </c>
      <c r="F4014" s="1">
        <f>87.8333629974142*(38.9/42.5)</f>
        <v>80.393360484692053</v>
      </c>
      <c r="G4014" s="1">
        <v>3.4738883061386892</v>
      </c>
      <c r="H4014" s="1">
        <v>6.3166172681078807</v>
      </c>
      <c r="I4014" s="1">
        <v>61.945086552094345</v>
      </c>
      <c r="J4014" s="1">
        <v>6.3130264265501848E-2</v>
      </c>
      <c r="K4014" s="1">
        <v>3.6676341031759292</v>
      </c>
      <c r="L4014" s="1">
        <v>5.3456023498931797</v>
      </c>
      <c r="M4014" s="1">
        <v>0.28620464645170518</v>
      </c>
      <c r="N4014" s="1">
        <v>3.0660102195844483</v>
      </c>
      <c r="O4014" s="1">
        <v>0.2377950476190476</v>
      </c>
      <c r="P4014" s="1">
        <v>0.16108712161312413</v>
      </c>
      <c r="Q4014" s="1">
        <v>5.5518762883495114</v>
      </c>
      <c r="R4014" s="2">
        <f t="shared" si="251"/>
        <v>246.36986379964415</v>
      </c>
      <c r="S4014" s="2">
        <f t="shared" si="250"/>
        <v>3.8918514890545555</v>
      </c>
      <c r="T4014" s="2">
        <f t="shared" si="252"/>
        <v>8.9356122635483821</v>
      </c>
      <c r="U4014" s="2">
        <f t="shared" si="253"/>
        <v>259.19732755224709</v>
      </c>
    </row>
    <row r="4015" spans="1:21" x14ac:dyDescent="0.25">
      <c r="A4015">
        <v>4991657</v>
      </c>
      <c r="B4015">
        <v>70</v>
      </c>
      <c r="C4015" s="1">
        <f>7.88060168861222*(10.3/7.3)</f>
        <v>11.11920512228847</v>
      </c>
      <c r="D4015" s="1">
        <f>11.7513526409124*(10.3/7.3)</f>
        <v>16.580675644027131</v>
      </c>
      <c r="E4015" s="1">
        <f>41.1909810387975*(10.3/7.3)</f>
        <v>58.118781465700529</v>
      </c>
      <c r="F4015" s="1">
        <f>85.3120345622322*(38.9/42.5)</f>
        <v>78.08560339931374</v>
      </c>
      <c r="G4015" s="1">
        <v>3.3867188304658766</v>
      </c>
      <c r="H4015" s="1">
        <v>6.248715743901208</v>
      </c>
      <c r="I4015" s="1">
        <v>60.533068421744026</v>
      </c>
      <c r="J4015" s="1">
        <v>6.4396072563476611E-2</v>
      </c>
      <c r="K4015" s="1">
        <v>3.6549966966371779</v>
      </c>
      <c r="L4015" s="1">
        <v>5.2931260774787097</v>
      </c>
      <c r="M4015" s="1">
        <v>0.27817099911253307</v>
      </c>
      <c r="N4015" s="1">
        <v>2.9300181422672757</v>
      </c>
      <c r="O4015" s="1">
        <v>0.23508876190476186</v>
      </c>
      <c r="P4015" s="1">
        <v>0.15901654991709532</v>
      </c>
      <c r="Q4015" s="1">
        <v>5.4125643409272071</v>
      </c>
      <c r="R4015" s="2">
        <f t="shared" si="251"/>
        <v>239.48533296836817</v>
      </c>
      <c r="S4015" s="2">
        <f t="shared" si="250"/>
        <v>3.8784093191177496</v>
      </c>
      <c r="T4015" s="2">
        <f t="shared" si="252"/>
        <v>8.7364039807632814</v>
      </c>
      <c r="U4015" s="2">
        <f t="shared" si="253"/>
        <v>252.10014626824918</v>
      </c>
    </row>
    <row r="4016" spans="1:21" x14ac:dyDescent="0.25">
      <c r="A4016">
        <v>4991665</v>
      </c>
      <c r="B4016">
        <v>69</v>
      </c>
      <c r="C4016" s="1">
        <f>7.01293741844164*(10.3/7.3)</f>
        <v>9.8949664945135449</v>
      </c>
      <c r="D4016" s="1">
        <f>10.2797317871191*(10.3/7.3)</f>
        <v>14.504279096894127</v>
      </c>
      <c r="E4016" s="1">
        <f>36.0475068371284*(10.3/7.3)</f>
        <v>50.86155074279754</v>
      </c>
      <c r="F4016" s="1">
        <f>75.1074590104936*(38.9/42.5)</f>
        <v>68.745415423722335</v>
      </c>
      <c r="G4016" s="1">
        <v>2.9927824555007718</v>
      </c>
      <c r="H4016" s="1">
        <v>5.8254827303734231</v>
      </c>
      <c r="I4016" s="1">
        <v>53.647230189881277</v>
      </c>
      <c r="J4016" s="1">
        <v>6.2813928593595691E-2</v>
      </c>
      <c r="K4016" s="1">
        <v>3.4186256526371182</v>
      </c>
      <c r="L4016" s="1">
        <v>4.7874160995841253</v>
      </c>
      <c r="M4016" s="1">
        <v>0.24997738683477727</v>
      </c>
      <c r="N4016" s="1">
        <v>2.6823211997255183</v>
      </c>
      <c r="O4016" s="1">
        <v>0.21708908212560388</v>
      </c>
      <c r="P4016" s="1">
        <v>0.14809573195154507</v>
      </c>
      <c r="Q4016" s="1">
        <v>4.7829856594761226</v>
      </c>
      <c r="R4016" s="2">
        <f t="shared" si="251"/>
        <v>211.25469279315908</v>
      </c>
      <c r="S4016" s="2">
        <f t="shared" si="250"/>
        <v>3.629535313182259</v>
      </c>
      <c r="T4016" s="2">
        <f t="shared" si="252"/>
        <v>7.9368037682700248</v>
      </c>
      <c r="U4016" s="2">
        <f t="shared" si="253"/>
        <v>222.82103187461138</v>
      </c>
    </row>
    <row r="4017" spans="1:21" x14ac:dyDescent="0.25">
      <c r="A4017">
        <v>4991673</v>
      </c>
      <c r="B4017">
        <v>63</v>
      </c>
      <c r="C4017" s="1">
        <f>6.47824784746064*(10.3/7.3)</f>
        <v>9.140541483403366</v>
      </c>
      <c r="D4017" s="1">
        <f>9.28168970841313*(10.3/7.3)</f>
        <v>13.096082739267842</v>
      </c>
      <c r="E4017" s="1">
        <f>32.5621572633048*(10.3/7.3)</f>
        <v>45.943865727676695</v>
      </c>
      <c r="F4017" s="1">
        <f>68.5864054515227*(38.9/42.5)</f>
        <v>62.776733460334931</v>
      </c>
      <c r="G4017" s="1">
        <v>2.7550104980584647</v>
      </c>
      <c r="H4017" s="1">
        <v>5.5836007196285014</v>
      </c>
      <c r="I4017" s="1">
        <v>49.45626843044856</v>
      </c>
      <c r="J4017" s="1">
        <v>6.6685112609394442E-2</v>
      </c>
      <c r="K4017" s="1">
        <v>3.2172926814517897</v>
      </c>
      <c r="L4017" s="1">
        <v>4.3406477936392749</v>
      </c>
      <c r="M4017" s="1">
        <v>0.21691165436140483</v>
      </c>
      <c r="N4017" s="1">
        <v>2.5697325547570018</v>
      </c>
      <c r="O4017" s="1">
        <v>0.200173544973545</v>
      </c>
      <c r="P4017" s="1">
        <v>0.13845756146592347</v>
      </c>
      <c r="Q4017" s="1">
        <v>4.4029848142486916</v>
      </c>
      <c r="R4017" s="2">
        <f t="shared" si="251"/>
        <v>193.15508787306706</v>
      </c>
      <c r="S4017" s="2">
        <f t="shared" si="250"/>
        <v>3.4224353555271074</v>
      </c>
      <c r="T4017" s="2">
        <f t="shared" si="252"/>
        <v>7.3274655477312258</v>
      </c>
      <c r="U4017" s="2">
        <f t="shared" si="253"/>
        <v>203.90498877632541</v>
      </c>
    </row>
    <row r="4018" spans="1:21" x14ac:dyDescent="0.25">
      <c r="A4018">
        <v>4991681</v>
      </c>
      <c r="B4018">
        <v>2</v>
      </c>
      <c r="C4018" s="1">
        <f>6.13170236511599*(10.3/7.3)</f>
        <v>8.6515800494102368</v>
      </c>
      <c r="D4018" s="1">
        <f>8.49913241390073*(10.3/7.3)</f>
        <v>11.991926556599662</v>
      </c>
      <c r="E4018" s="1">
        <f>29.8436902736322*(10.3/7.3)</f>
        <v>42.108220523070131</v>
      </c>
      <c r="F4018" s="1">
        <f>63.5083791885195*(38.9/42.5)</f>
        <v>58.128845892550814</v>
      </c>
      <c r="G4018" s="1">
        <v>2.564885565625147</v>
      </c>
      <c r="H4018" s="1">
        <v>7.2707416538331504</v>
      </c>
      <c r="I4018" s="1">
        <v>46.361802644310998</v>
      </c>
      <c r="J4018" s="1">
        <v>6.5769658236884729E-2</v>
      </c>
      <c r="K4018" s="1">
        <v>2.7447378592173228</v>
      </c>
      <c r="L4018" s="1">
        <v>3.4574003372794744</v>
      </c>
      <c r="M4018" s="1">
        <v>0.18971038796388448</v>
      </c>
      <c r="N4018" s="1">
        <v>2.1957442423515046</v>
      </c>
      <c r="O4018" s="1">
        <v>0.16957333333333333</v>
      </c>
      <c r="P4018" s="1">
        <v>0.11831113325633714</v>
      </c>
      <c r="Q4018" s="1">
        <v>4.0991321825059472</v>
      </c>
      <c r="R4018" s="2">
        <f t="shared" si="251"/>
        <v>181.17713506790611</v>
      </c>
      <c r="S4018" s="2">
        <f t="shared" si="250"/>
        <v>2.9288186507105447</v>
      </c>
      <c r="T4018" s="2">
        <f t="shared" si="252"/>
        <v>6.0124283009281969</v>
      </c>
      <c r="U4018" s="2">
        <f t="shared" si="253"/>
        <v>190.11838201954487</v>
      </c>
    </row>
    <row r="4019" spans="1:21" x14ac:dyDescent="0.25">
      <c r="A4019">
        <v>4991753</v>
      </c>
      <c r="B4019">
        <v>15</v>
      </c>
      <c r="C4019" s="1">
        <f>3.47121930708779*(10.3/7.3)</f>
        <v>4.8977477894526409</v>
      </c>
      <c r="D4019" s="1">
        <f>4.68778770782455*(10.3/7.3)</f>
        <v>6.6142758069305367</v>
      </c>
      <c r="E4019" s="1">
        <f>16.3940064143141*(10.3/7.3)</f>
        <v>23.131269324306171</v>
      </c>
      <c r="F4019" s="1">
        <f>39.1548091731418*(38.9/42.5)</f>
        <v>35.838166513769742</v>
      </c>
      <c r="G4019" s="1">
        <v>1.7611391622744681</v>
      </c>
      <c r="H4019" s="1">
        <v>6.8903811487423487</v>
      </c>
      <c r="I4019" s="1">
        <v>29.491767999368459</v>
      </c>
      <c r="J4019" s="1">
        <v>3.4823690355240682E-2</v>
      </c>
      <c r="K4019" s="1">
        <v>2.5023217559580009</v>
      </c>
      <c r="L4019" s="1">
        <v>2.9178233968411509</v>
      </c>
      <c r="M4019" s="1">
        <v>0.12967928647583282</v>
      </c>
      <c r="N4019" s="1">
        <v>1.9360943968169795</v>
      </c>
      <c r="O4019" s="1">
        <v>0.11185777777777776</v>
      </c>
      <c r="P4019" s="1">
        <v>8.8986160751194407E-2</v>
      </c>
      <c r="Q4019" s="1">
        <v>2.8146059671053174</v>
      </c>
      <c r="R4019" s="2">
        <f t="shared" si="251"/>
        <v>111.43935371194969</v>
      </c>
      <c r="S4019" s="2">
        <f t="shared" si="250"/>
        <v>2.626131607064436</v>
      </c>
      <c r="T4019" s="2">
        <f t="shared" si="252"/>
        <v>5.0954548579117409</v>
      </c>
      <c r="U4019" s="2">
        <f t="shared" si="253"/>
        <v>119.16094017692588</v>
      </c>
    </row>
    <row r="4020" spans="1:21" x14ac:dyDescent="0.25">
      <c r="A4020">
        <v>4991761</v>
      </c>
      <c r="B4020">
        <v>2</v>
      </c>
      <c r="C4020" s="1">
        <f>3.69037273556234*(10.3/7.3)</f>
        <v>5.2069642707249466</v>
      </c>
      <c r="D4020" s="1">
        <f>5.57992772855556*(10.3/7.3)</f>
        <v>7.8730487128934623</v>
      </c>
      <c r="E4020" s="1">
        <f>19.2229428613512*(10.3/7.3)</f>
        <v>27.122782393413267</v>
      </c>
      <c r="F4020" s="1">
        <f>56.2708864916311*(38.9/42.5)</f>
        <v>51.504411400575329</v>
      </c>
      <c r="G4020" s="1">
        <v>2.9677780692403921</v>
      </c>
      <c r="H4020" s="1">
        <v>9.0611344935157874</v>
      </c>
      <c r="I4020" s="1">
        <v>42.85594297897056</v>
      </c>
      <c r="J4020" s="1">
        <v>3.9207202716697739E-2</v>
      </c>
      <c r="K4020" s="1">
        <v>3.1370805791984688</v>
      </c>
      <c r="L4020" s="1">
        <v>3.1550631223818892</v>
      </c>
      <c r="M4020" s="1">
        <v>0.14139985016717166</v>
      </c>
      <c r="N4020" s="1">
        <v>2.9134009375518994</v>
      </c>
      <c r="O4020" s="1">
        <v>0.12221333333333334</v>
      </c>
      <c r="P4020" s="1">
        <v>9.6135735900661601E-2</v>
      </c>
      <c r="Q4020" s="1">
        <v>4.743024311571407</v>
      </c>
      <c r="R4020" s="2">
        <f t="shared" si="251"/>
        <v>151.33508663090518</v>
      </c>
      <c r="S4020" s="2">
        <f t="shared" si="250"/>
        <v>3.2724235178158283</v>
      </c>
      <c r="T4020" s="2">
        <f t="shared" si="252"/>
        <v>6.332077243434294</v>
      </c>
      <c r="U4020" s="2">
        <f t="shared" si="253"/>
        <v>160.93958739215532</v>
      </c>
    </row>
    <row r="4021" spans="1:21" x14ac:dyDescent="0.25">
      <c r="A4021">
        <v>4992057</v>
      </c>
      <c r="B4021">
        <v>10</v>
      </c>
      <c r="C4021" s="1">
        <f>3.6423785728474*(10.3/7.3)</f>
        <v>5.1392464794970198</v>
      </c>
      <c r="D4021" s="1">
        <f>4.63738335963689*(10.3/7.3)</f>
        <v>6.5431573430493071</v>
      </c>
      <c r="E4021" s="1">
        <f>16.1353857729239*(10.3/7.3)</f>
        <v>22.766366227550186</v>
      </c>
      <c r="F4021" s="1">
        <f>44.8233953851551*(38.9/42.5)</f>
        <v>41.026590129000773</v>
      </c>
      <c r="G4021" s="1">
        <v>2.2464341806104877</v>
      </c>
      <c r="H4021" s="1">
        <v>6.2781317399002798</v>
      </c>
      <c r="I4021" s="1">
        <v>35.129745382735763</v>
      </c>
      <c r="J4021" s="1">
        <v>3.4774752071907424E-2</v>
      </c>
      <c r="K4021" s="1">
        <v>1.8693415503496671</v>
      </c>
      <c r="L4021" s="1">
        <v>1.8040575098912424</v>
      </c>
      <c r="M4021" s="1">
        <v>8.323427414947511E-2</v>
      </c>
      <c r="N4021" s="1">
        <v>1.2433458630633467</v>
      </c>
      <c r="O4021" s="1">
        <v>8.2741333333333333E-2</v>
      </c>
      <c r="P4021" s="1">
        <v>6.5426655833637493E-2</v>
      </c>
      <c r="Q4021" s="1">
        <v>3.5901916128478151</v>
      </c>
      <c r="R4021" s="2">
        <f t="shared" si="251"/>
        <v>122.71986309519164</v>
      </c>
      <c r="S4021" s="2">
        <f t="shared" si="250"/>
        <v>1.9695429582552122</v>
      </c>
      <c r="T4021" s="2">
        <f t="shared" si="252"/>
        <v>3.2133789804373976</v>
      </c>
      <c r="U4021" s="2">
        <f t="shared" si="253"/>
        <v>127.90278503388426</v>
      </c>
    </row>
    <row r="4022" spans="1:21" x14ac:dyDescent="0.25">
      <c r="A4022">
        <v>4992065</v>
      </c>
      <c r="B4022">
        <v>2</v>
      </c>
      <c r="C4022" s="1">
        <f>3.61210839553342*(10.3/7.3)</f>
        <v>5.0965365032868748</v>
      </c>
      <c r="D4022" s="1">
        <f>4.47769096705963*(10.3/7.3)</f>
        <v>6.3178379398238693</v>
      </c>
      <c r="E4022" s="1">
        <f>15.6511152194879*(10.3/7.3)</f>
        <v>22.083080378181513</v>
      </c>
      <c r="F4022" s="1">
        <f>40.7782051673732*(38.9/42.5)</f>
        <v>37.324051317901564</v>
      </c>
      <c r="G4022" s="1">
        <v>1.9452572811036988</v>
      </c>
      <c r="H4022" s="1">
        <v>4.7581453234717745</v>
      </c>
      <c r="I4022" s="1">
        <v>31.8714659944524</v>
      </c>
      <c r="J4022" s="1">
        <v>3.0385582105440748E-2</v>
      </c>
      <c r="K4022" s="1">
        <v>1.7589753021065515</v>
      </c>
      <c r="L4022" s="1">
        <v>1.7157103422303899</v>
      </c>
      <c r="M4022" s="1">
        <v>7.994492025581848E-2</v>
      </c>
      <c r="N4022" s="1">
        <v>1.069118043877844</v>
      </c>
      <c r="O4022" s="1">
        <v>7.9759999999999998E-2</v>
      </c>
      <c r="P4022" s="1">
        <v>6.3119294197783421E-2</v>
      </c>
      <c r="Q4022" s="1">
        <v>3.1088586684305719</v>
      </c>
      <c r="R4022" s="2">
        <f t="shared" si="251"/>
        <v>112.50523340665225</v>
      </c>
      <c r="S4022" s="2">
        <f t="shared" si="250"/>
        <v>1.8524801784097757</v>
      </c>
      <c r="T4022" s="2">
        <f t="shared" si="252"/>
        <v>2.9445333063640522</v>
      </c>
      <c r="U4022" s="2">
        <f t="shared" si="253"/>
        <v>117.30224689142608</v>
      </c>
    </row>
    <row r="4023" spans="1:21" x14ac:dyDescent="0.25">
      <c r="A4023">
        <v>5003349</v>
      </c>
      <c r="B4023">
        <v>3</v>
      </c>
      <c r="C4023" s="1">
        <f>1.06914797328741*(10.3/7.3)</f>
        <v>1.5085238527205942</v>
      </c>
      <c r="D4023" s="1">
        <f>1.56737601327728*(10.3/7.3)</f>
        <v>2.2115031420213627</v>
      </c>
      <c r="E4023" s="1">
        <f>5.40693906439654*(10.3/7.3)</f>
        <v>7.6289688168882641</v>
      </c>
      <c r="F4023" s="1">
        <f>15.7796941824752*(38.9/42.5)</f>
        <v>14.443061263489023</v>
      </c>
      <c r="G4023" s="1">
        <v>0.82835270982979903</v>
      </c>
      <c r="H4023" s="1">
        <v>2.9871232130740091</v>
      </c>
      <c r="I4023" s="1">
        <v>12.085683324704796</v>
      </c>
      <c r="J4023" s="1">
        <v>6.2615543444019081E-2</v>
      </c>
      <c r="K4023" s="1">
        <v>3.2221134988410074</v>
      </c>
      <c r="L4023" s="1">
        <v>3.007793648915603</v>
      </c>
      <c r="M4023" s="1">
        <v>0.73568452784310379</v>
      </c>
      <c r="N4023" s="1">
        <v>1.5106007261627614</v>
      </c>
      <c r="O4023" s="1">
        <v>0.50895999999999997</v>
      </c>
      <c r="P4023" s="1">
        <v>0.22131879323370482</v>
      </c>
      <c r="Q4023" s="1">
        <v>1.3238513627416892</v>
      </c>
      <c r="R4023" s="2">
        <f t="shared" si="251"/>
        <v>43.017067685469542</v>
      </c>
      <c r="S4023" s="2">
        <f t="shared" si="250"/>
        <v>3.5060478355187312</v>
      </c>
      <c r="T4023" s="2">
        <f t="shared" si="252"/>
        <v>5.7630389029214681</v>
      </c>
      <c r="U4023" s="2">
        <f t="shared" si="253"/>
        <v>52.286154423909736</v>
      </c>
    </row>
    <row r="4024" spans="1:21" x14ac:dyDescent="0.25">
      <c r="A4024">
        <v>5003533</v>
      </c>
      <c r="B4024">
        <v>3</v>
      </c>
      <c r="C4024" s="1">
        <f>2.41457769653274*(10.3/7.3)</f>
        <v>3.40686990058729</v>
      </c>
      <c r="D4024" s="1">
        <f>2.94604142834854*(10.3/7.3)</f>
        <v>4.1567433852041029</v>
      </c>
      <c r="E4024" s="1">
        <f>10.2443862116871*(10.3/7.3)</f>
        <v>14.454407942517468</v>
      </c>
      <c r="F4024" s="1">
        <f>29.7847746680077*(38.9/42.5)</f>
        <v>27.261829049070599</v>
      </c>
      <c r="G4024" s="1">
        <v>1.5303835090720217</v>
      </c>
      <c r="H4024" s="1">
        <v>14.912102463347948</v>
      </c>
      <c r="I4024" s="1">
        <v>23.720484677470719</v>
      </c>
      <c r="J4024" s="1">
        <v>4.3385344016305429E-2</v>
      </c>
      <c r="K4024" s="1">
        <v>2.901563554478233</v>
      </c>
      <c r="L4024" s="1">
        <v>3.1836258345729611</v>
      </c>
      <c r="M4024" s="1">
        <v>1.3623312106905769</v>
      </c>
      <c r="N4024" s="1">
        <v>1.9436724211881726</v>
      </c>
      <c r="O4024" s="1">
        <v>0.28702222222222223</v>
      </c>
      <c r="P4024" s="1">
        <v>0.17146122057229096</v>
      </c>
      <c r="Q4024" s="1">
        <v>2.4458183934941009</v>
      </c>
      <c r="R4024" s="2">
        <f t="shared" si="251"/>
        <v>91.888639320764256</v>
      </c>
      <c r="S4024" s="2">
        <f t="shared" si="250"/>
        <v>3.1164101190668294</v>
      </c>
      <c r="T4024" s="2">
        <f t="shared" si="252"/>
        <v>6.7766516886739332</v>
      </c>
      <c r="U4024" s="2">
        <f t="shared" si="253"/>
        <v>101.78170112850502</v>
      </c>
    </row>
    <row r="4025" spans="1:21" x14ac:dyDescent="0.25">
      <c r="A4025">
        <v>5003581</v>
      </c>
      <c r="B4025">
        <v>1</v>
      </c>
      <c r="C4025" s="1">
        <f>1.32870146736128*(10.3/7.3)</f>
        <v>1.874743166276879</v>
      </c>
      <c r="D4025" s="1">
        <f>2.38834255585131*(10.3/7.3)</f>
        <v>3.3698531952422615</v>
      </c>
      <c r="E4025" s="1">
        <f>8.16124314280539*(10.3/7.3)</f>
        <v>11.515178680944594</v>
      </c>
      <c r="F4025" s="1">
        <f>24.7907753172943*(38.9/42.5)</f>
        <v>22.690850819829389</v>
      </c>
      <c r="G4025" s="1">
        <v>1.3540621559585593</v>
      </c>
      <c r="H4025" s="1">
        <v>10.681893490039</v>
      </c>
      <c r="I4025" s="1">
        <v>18.428121103216306</v>
      </c>
      <c r="J4025" s="1">
        <v>4.6132111248478117E-2</v>
      </c>
      <c r="K4025" s="1">
        <v>2.9983441926784806</v>
      </c>
      <c r="L4025" s="1">
        <v>4.5237967877886058</v>
      </c>
      <c r="M4025" s="1">
        <v>0.78022504177594232</v>
      </c>
      <c r="N4025" s="1">
        <v>2.6155253360639552</v>
      </c>
      <c r="O4025" s="1">
        <v>0.27173333333333333</v>
      </c>
      <c r="P4025" s="1">
        <v>0.1745554168828993</v>
      </c>
      <c r="Q4025" s="1">
        <v>2.1640262766461014</v>
      </c>
      <c r="R4025" s="2">
        <f t="shared" si="251"/>
        <v>72.07872888815308</v>
      </c>
      <c r="S4025" s="2">
        <f t="shared" si="250"/>
        <v>3.2190317208098578</v>
      </c>
      <c r="T4025" s="2">
        <f t="shared" si="252"/>
        <v>8.1912804989618362</v>
      </c>
      <c r="U4025" s="2">
        <f t="shared" si="253"/>
        <v>83.489041107924763</v>
      </c>
    </row>
    <row r="4026" spans="1:21" x14ac:dyDescent="0.25">
      <c r="A4026">
        <v>5003589</v>
      </c>
      <c r="B4026">
        <v>56</v>
      </c>
      <c r="C4026" s="1">
        <f>1.47967539918553*(10.3/7.3)</f>
        <v>2.0877611796727304</v>
      </c>
      <c r="D4026" s="1">
        <f>2.53752146112843*(10.3/7.3)</f>
        <v>3.5803384999483363</v>
      </c>
      <c r="E4026" s="1">
        <f>8.69801157747553*(10.3/7.3)</f>
        <v>12.272536883287394</v>
      </c>
      <c r="F4026" s="1">
        <f>25.7142691960635*(38.9/42.5)</f>
        <v>23.53611933474993</v>
      </c>
      <c r="G4026" s="1">
        <v>1.378646109324962</v>
      </c>
      <c r="H4026" s="1">
        <v>7.3773926344333782</v>
      </c>
      <c r="I4026" s="1">
        <v>19.1646678141908</v>
      </c>
      <c r="J4026" s="1">
        <v>5.1001945274842843E-2</v>
      </c>
      <c r="K4026" s="1">
        <v>3.2350158678356444</v>
      </c>
      <c r="L4026" s="1">
        <v>4.6681956430477713</v>
      </c>
      <c r="M4026" s="1">
        <v>0.80635101246647189</v>
      </c>
      <c r="N4026" s="1">
        <v>2.3830708341720439</v>
      </c>
      <c r="O4026" s="1">
        <v>0.29201999999999995</v>
      </c>
      <c r="P4026" s="1">
        <v>0.18592244183589179</v>
      </c>
      <c r="Q4026" s="1">
        <v>2.2033156998344161</v>
      </c>
      <c r="R4026" s="2">
        <f t="shared" si="251"/>
        <v>71.600778155441944</v>
      </c>
      <c r="S4026" s="2">
        <f t="shared" si="250"/>
        <v>3.4719402549463787</v>
      </c>
      <c r="T4026" s="2">
        <f t="shared" si="252"/>
        <v>8.1496374896862882</v>
      </c>
      <c r="U4026" s="2">
        <f t="shared" si="253"/>
        <v>83.222355900074604</v>
      </c>
    </row>
    <row r="4027" spans="1:21" x14ac:dyDescent="0.25">
      <c r="A4027">
        <v>5003597</v>
      </c>
      <c r="B4027">
        <v>57</v>
      </c>
      <c r="C4027" s="1">
        <f>1.86312522113051*(10.3/7.3)</f>
        <v>2.6287931202252377</v>
      </c>
      <c r="D4027" s="1">
        <f>3.10180627270815*(10.3/7.3)</f>
        <v>4.3765211793005419</v>
      </c>
      <c r="E4027" s="1">
        <f>10.6513492475347*(10.3/7.3)</f>
        <v>15.028616061590059</v>
      </c>
      <c r="F4027" s="1">
        <f>31.0539206717109*(38.9/42.5)</f>
        <v>28.423470920695355</v>
      </c>
      <c r="G4027" s="1">
        <v>1.6476625267338256</v>
      </c>
      <c r="H4027" s="1">
        <v>8.6938449581706045</v>
      </c>
      <c r="I4027" s="1">
        <v>23.204438865208633</v>
      </c>
      <c r="J4027" s="1">
        <v>6.1298512551515416E-2</v>
      </c>
      <c r="K4027" s="1">
        <v>3.4206245973588967</v>
      </c>
      <c r="L4027" s="1">
        <v>5.022892948010349</v>
      </c>
      <c r="M4027" s="1">
        <v>0.83215389423242003</v>
      </c>
      <c r="N4027" s="1">
        <v>2.4775592091329242</v>
      </c>
      <c r="O4027" s="1">
        <v>0.31476584795321633</v>
      </c>
      <c r="P4027" s="1">
        <v>0.1913191852318743</v>
      </c>
      <c r="Q4027" s="1">
        <v>2.6332506135015503</v>
      </c>
      <c r="R4027" s="2">
        <f t="shared" si="251"/>
        <v>86.636598245425802</v>
      </c>
      <c r="S4027" s="2">
        <f t="shared" si="250"/>
        <v>3.6732422951422863</v>
      </c>
      <c r="T4027" s="2">
        <f t="shared" si="252"/>
        <v>8.6473718993289097</v>
      </c>
      <c r="U4027" s="2">
        <f t="shared" si="253"/>
        <v>98.957212439897006</v>
      </c>
    </row>
    <row r="4028" spans="1:21" x14ac:dyDescent="0.25">
      <c r="A4028">
        <v>5003789</v>
      </c>
      <c r="B4028">
        <v>38</v>
      </c>
      <c r="C4028" s="1">
        <f>10.2019301893335*(10.3/7.3)</f>
        <v>14.394504239744549</v>
      </c>
      <c r="D4028" s="1">
        <f>16.7354599716066*(10.3/7.3)</f>
        <v>23.613046261307993</v>
      </c>
      <c r="E4028" s="1">
        <f>58.6280899285603*(10.3/7.3)</f>
        <v>82.721825515639821</v>
      </c>
      <c r="F4028" s="1">
        <f>112.831569363199*(38.9/42.5)</f>
        <v>103.27407172302256</v>
      </c>
      <c r="G4028" s="1">
        <v>4.1725590795956302</v>
      </c>
      <c r="H4028" s="1">
        <v>7.4737895630239803</v>
      </c>
      <c r="I4028" s="1">
        <v>76.140355255900886</v>
      </c>
      <c r="J4028" s="1">
        <v>6.742249776357806E-2</v>
      </c>
      <c r="K4028" s="1">
        <v>3.4351128997859193</v>
      </c>
      <c r="L4028" s="1">
        <v>4.6079760445308979</v>
      </c>
      <c r="M4028" s="1">
        <v>0.32425672746880396</v>
      </c>
      <c r="N4028" s="1">
        <v>2.6462365450136964</v>
      </c>
      <c r="O4028" s="1">
        <v>0.25236912280701745</v>
      </c>
      <c r="P4028" s="1">
        <v>0.16491347854302002</v>
      </c>
      <c r="Q4028" s="1">
        <v>6.668473414878866</v>
      </c>
      <c r="R4028" s="2">
        <f t="shared" si="251"/>
        <v>318.4586250531143</v>
      </c>
      <c r="S4028" s="2">
        <f t="shared" si="250"/>
        <v>3.6674488760925175</v>
      </c>
      <c r="T4028" s="2">
        <f t="shared" si="252"/>
        <v>7.8308384398204165</v>
      </c>
      <c r="U4028" s="2">
        <f t="shared" si="253"/>
        <v>329.95691236902724</v>
      </c>
    </row>
    <row r="4029" spans="1:21" x14ac:dyDescent="0.25">
      <c r="A4029">
        <v>5003797</v>
      </c>
      <c r="B4029">
        <v>71</v>
      </c>
      <c r="C4029" s="1">
        <f>10.4390599629448*(10.3/7.3)</f>
        <v>14.72908460525095</v>
      </c>
      <c r="D4029" s="1">
        <f>17.303345024126*(10.3/7.3)</f>
        <v>24.414308732670936</v>
      </c>
      <c r="E4029" s="1">
        <f>60.6005533322487*(10.3/7.3)</f>
        <v>85.504890318104302</v>
      </c>
      <c r="F4029" s="1">
        <f>116.385247099513*(38.9/42.5)</f>
        <v>106.52673205108368</v>
      </c>
      <c r="G4029" s="1">
        <v>4.3005625805527412</v>
      </c>
      <c r="H4029" s="1">
        <v>7.8976369930561177</v>
      </c>
      <c r="I4029" s="1">
        <v>78.235822987153128</v>
      </c>
      <c r="J4029" s="1">
        <v>6.6695393817156737E-2</v>
      </c>
      <c r="K4029" s="1">
        <v>3.7736647125420761</v>
      </c>
      <c r="L4029" s="1">
        <v>5.3812654347308397</v>
      </c>
      <c r="M4029" s="1">
        <v>0.36049633896814481</v>
      </c>
      <c r="N4029" s="1">
        <v>3.1791687143786329</v>
      </c>
      <c r="O4029" s="1">
        <v>0.28145727699530515</v>
      </c>
      <c r="P4029" s="1">
        <v>0.18085269293179421</v>
      </c>
      <c r="Q4029" s="1">
        <v>6.8730452200614662</v>
      </c>
      <c r="R4029" s="2">
        <f t="shared" si="251"/>
        <v>328.48208348793332</v>
      </c>
      <c r="S4029" s="2">
        <f t="shared" si="250"/>
        <v>4.0212127992910274</v>
      </c>
      <c r="T4029" s="2">
        <f t="shared" si="252"/>
        <v>9.2023877650729222</v>
      </c>
      <c r="U4029" s="2">
        <f t="shared" si="253"/>
        <v>341.70568405229727</v>
      </c>
    </row>
    <row r="4030" spans="1:21" x14ac:dyDescent="0.25">
      <c r="A4030">
        <v>5003805</v>
      </c>
      <c r="B4030">
        <v>71</v>
      </c>
      <c r="C4030" s="1">
        <f>11.7204937294077*(10.3/7.3)</f>
        <v>16.53713498806847</v>
      </c>
      <c r="D4030" s="1">
        <f>18.3580242220337*(10.3/7.3)</f>
        <v>25.902417737937999</v>
      </c>
      <c r="E4030" s="1">
        <f>64.4178568014254*(10.3/7.3)</f>
        <v>90.890948637627687</v>
      </c>
      <c r="F4030" s="1">
        <f>123.982303327623*(38.9/42.5)</f>
        <v>113.4802729281069</v>
      </c>
      <c r="G4030" s="1">
        <v>4.5464342271392661</v>
      </c>
      <c r="H4030" s="1">
        <v>8.0803523471996694</v>
      </c>
      <c r="I4030" s="1">
        <v>84.878159031879406</v>
      </c>
      <c r="J4030" s="1">
        <v>7.0844768984250697E-2</v>
      </c>
      <c r="K4030" s="1">
        <v>3.951787321843852</v>
      </c>
      <c r="L4030" s="1">
        <v>5.8058437796255378</v>
      </c>
      <c r="M4030" s="1">
        <v>0.37445559559469482</v>
      </c>
      <c r="N4030" s="1">
        <v>3.1679061932246566</v>
      </c>
      <c r="O4030" s="1">
        <v>0.29300657276995301</v>
      </c>
      <c r="P4030" s="1">
        <v>0.18789381516225198</v>
      </c>
      <c r="Q4030" s="1">
        <v>7.2659907739668732</v>
      </c>
      <c r="R4030" s="2">
        <f t="shared" si="251"/>
        <v>351.58171067192626</v>
      </c>
      <c r="S4030" s="2">
        <f t="shared" si="250"/>
        <v>4.2105259059903553</v>
      </c>
      <c r="T4030" s="2">
        <f t="shared" si="252"/>
        <v>9.6412121412148419</v>
      </c>
      <c r="U4030" s="2">
        <f t="shared" si="253"/>
        <v>365.43344871913149</v>
      </c>
    </row>
    <row r="4031" spans="1:21" x14ac:dyDescent="0.25">
      <c r="A4031">
        <v>5003813</v>
      </c>
      <c r="B4031">
        <v>50</v>
      </c>
      <c r="C4031" s="1">
        <f>9.90591552600194*(10.3/7.3)</f>
        <v>13.976839714769863</v>
      </c>
      <c r="D4031" s="1">
        <f>16.7389702208883*(10.3/7.3)</f>
        <v>23.617999078787626</v>
      </c>
      <c r="E4031" s="1">
        <f>58.4658886318911*(10.3/7.3)</f>
        <v>82.492966151846332</v>
      </c>
      <c r="F4031" s="1">
        <f>118.313176723114*(38.9/42.5)</f>
        <v>108.29135469480302</v>
      </c>
      <c r="G4031" s="1">
        <v>4.6700981448352659</v>
      </c>
      <c r="H4031" s="1">
        <v>7.0506543389063099</v>
      </c>
      <c r="I4031" s="1">
        <v>80.426486518736951</v>
      </c>
      <c r="J4031" s="1">
        <v>6.5776617091046555E-2</v>
      </c>
      <c r="K4031" s="1">
        <v>3.7952286270243456</v>
      </c>
      <c r="L4031" s="1">
        <v>5.5247351452345876</v>
      </c>
      <c r="M4031" s="1">
        <v>0.35053366142613568</v>
      </c>
      <c r="N4031" s="1">
        <v>2.9521006902272742</v>
      </c>
      <c r="O4031" s="1">
        <v>0.27963519999999997</v>
      </c>
      <c r="P4031" s="1">
        <v>0.18063802592163561</v>
      </c>
      <c r="Q4031" s="1">
        <v>7.4636271721111607</v>
      </c>
      <c r="R4031" s="2">
        <f t="shared" si="251"/>
        <v>327.99002581479652</v>
      </c>
      <c r="S4031" s="2">
        <f t="shared" si="250"/>
        <v>4.0416432700370279</v>
      </c>
      <c r="T4031" s="2">
        <f t="shared" si="252"/>
        <v>9.1070046968879961</v>
      </c>
      <c r="U4031" s="2">
        <f t="shared" si="253"/>
        <v>341.13867378172154</v>
      </c>
    </row>
    <row r="4032" spans="1:21" x14ac:dyDescent="0.25">
      <c r="A4032">
        <v>5003821</v>
      </c>
      <c r="B4032">
        <v>36</v>
      </c>
      <c r="C4032" s="1">
        <f>8.12393585522179*(10.3/7.3)</f>
        <v>11.46253963134034</v>
      </c>
      <c r="D4032" s="1">
        <f>14.343736655664*(10.3/7.3)</f>
        <v>20.238422952512281</v>
      </c>
      <c r="E4032" s="1">
        <f>49.847941692754*(10.3/7.3)</f>
        <v>70.333397182926916</v>
      </c>
      <c r="F4032" s="1">
        <f>109.924077004402*(38.9/42.5)</f>
        <v>100.61286106991157</v>
      </c>
      <c r="G4032" s="1">
        <v>4.7696177791503827</v>
      </c>
      <c r="H4032" s="1">
        <v>6.8453507347111398</v>
      </c>
      <c r="I4032" s="1">
        <v>75.824599204753312</v>
      </c>
      <c r="J4032" s="1">
        <v>5.706213265998851E-2</v>
      </c>
      <c r="K4032" s="1">
        <v>3.231846921720865</v>
      </c>
      <c r="L4032" s="1">
        <v>4.4332429373093465</v>
      </c>
      <c r="M4032" s="1">
        <v>0.28526897132706985</v>
      </c>
      <c r="N4032" s="1">
        <v>2.7049766454172297</v>
      </c>
      <c r="O4032" s="1">
        <v>0.23358518518518512</v>
      </c>
      <c r="P4032" s="1">
        <v>0.15565665468414527</v>
      </c>
      <c r="Q4032" s="1">
        <v>7.6226768159937688</v>
      </c>
      <c r="R4032" s="2">
        <f t="shared" si="251"/>
        <v>297.70946537129976</v>
      </c>
      <c r="S4032" s="2">
        <f t="shared" si="250"/>
        <v>3.4445657090649986</v>
      </c>
      <c r="T4032" s="2">
        <f t="shared" si="252"/>
        <v>7.6570737392388315</v>
      </c>
      <c r="U4032" s="2">
        <f t="shared" si="253"/>
        <v>308.8111048196036</v>
      </c>
    </row>
    <row r="4033" spans="1:21" x14ac:dyDescent="0.25">
      <c r="A4033">
        <v>5003829</v>
      </c>
      <c r="B4033">
        <v>67</v>
      </c>
      <c r="C4033" s="1">
        <f>10.7686215241044*(10.3/7.3)</f>
        <v>15.194082424421243</v>
      </c>
      <c r="D4033" s="1">
        <f>15.1927477816838*(10.3/7.3)</f>
        <v>21.436342760457951</v>
      </c>
      <c r="E4033" s="1">
        <f>53.3722048026702*(10.3/7.3)</f>
        <v>75.305987598288155</v>
      </c>
      <c r="F4033" s="1">
        <f>110.394860670978*(38.9/42.5)</f>
        <v>101.04376659061246</v>
      </c>
      <c r="G4033" s="1">
        <v>4.3335305695215114</v>
      </c>
      <c r="H4033" s="1">
        <v>7.2745770281501869</v>
      </c>
      <c r="I4033" s="1">
        <v>79.62632120438559</v>
      </c>
      <c r="J4033" s="1">
        <v>5.915380693398832E-2</v>
      </c>
      <c r="K4033" s="1">
        <v>3.5109283964450673</v>
      </c>
      <c r="L4033" s="1">
        <v>4.9857618433927176</v>
      </c>
      <c r="M4033" s="1">
        <v>0.306952635035387</v>
      </c>
      <c r="N4033" s="1">
        <v>3.0231804425479054</v>
      </c>
      <c r="O4033" s="1">
        <v>0.25021054726368164</v>
      </c>
      <c r="P4033" s="1">
        <v>0.16637085082477016</v>
      </c>
      <c r="Q4033" s="1">
        <v>6.925733786906533</v>
      </c>
      <c r="R4033" s="2">
        <f t="shared" si="251"/>
        <v>311.14034196274366</v>
      </c>
      <c r="S4033" s="2">
        <f t="shared" si="250"/>
        <v>3.7364530542038259</v>
      </c>
      <c r="T4033" s="2">
        <f t="shared" si="252"/>
        <v>8.5661054682396927</v>
      </c>
      <c r="U4033" s="2">
        <f t="shared" si="253"/>
        <v>323.44290048518718</v>
      </c>
    </row>
    <row r="4034" spans="1:21" x14ac:dyDescent="0.25">
      <c r="A4034">
        <v>5003837</v>
      </c>
      <c r="B4034">
        <v>36</v>
      </c>
      <c r="C4034" s="1">
        <f>6.94067727929679*(10.3/7.3)</f>
        <v>9.793010407774922</v>
      </c>
      <c r="D4034" s="1">
        <f>11.5147097644541*(10.3/7.3)</f>
        <v>16.246782270394075</v>
      </c>
      <c r="E4034" s="1">
        <f>40.1173053666898*(10.3/7.3)</f>
        <v>56.603869216014324</v>
      </c>
      <c r="F4034" s="1">
        <f>87.5689423190987*(38.9/42.5)</f>
        <v>80.151337793245631</v>
      </c>
      <c r="G4034" s="1">
        <v>3.7322545241694516</v>
      </c>
      <c r="H4034" s="1">
        <v>9.8016263413228231</v>
      </c>
      <c r="I4034" s="1">
        <v>61.182704671726306</v>
      </c>
      <c r="J4034" s="1">
        <v>5.0012049617370186E-2</v>
      </c>
      <c r="K4034" s="1">
        <v>3.1415149825363611</v>
      </c>
      <c r="L4034" s="1">
        <v>4.2313944305766551</v>
      </c>
      <c r="M4034" s="1">
        <v>0.26479268744423917</v>
      </c>
      <c r="N4034" s="1">
        <v>2.8837914088277166</v>
      </c>
      <c r="O4034" s="1">
        <v>0.21941925925925926</v>
      </c>
      <c r="P4034" s="1">
        <v>0.14969915611332013</v>
      </c>
      <c r="Q4034" s="1">
        <v>5.9647903354306377</v>
      </c>
      <c r="R4034" s="2">
        <f t="shared" si="251"/>
        <v>243.4763755600782</v>
      </c>
      <c r="S4034" s="2">
        <f t="shared" si="250"/>
        <v>3.3412261882670515</v>
      </c>
      <c r="T4034" s="2">
        <f t="shared" si="252"/>
        <v>7.5993977861078701</v>
      </c>
      <c r="U4034" s="2">
        <f t="shared" si="253"/>
        <v>254.41699953445311</v>
      </c>
    </row>
    <row r="4035" spans="1:21" x14ac:dyDescent="0.25">
      <c r="A4035">
        <v>5003845</v>
      </c>
      <c r="B4035">
        <v>10</v>
      </c>
      <c r="C4035" s="1">
        <f>4.35986143355022*(10.3/7.3)</f>
        <v>6.1515853103516855</v>
      </c>
      <c r="D4035" s="1">
        <f>7.33702336994897*(10.3/7.3)</f>
        <v>10.352238453489646</v>
      </c>
      <c r="E4035" s="1">
        <f>25.4546985330753*(10.3/7.3)</f>
        <v>35.915533546667959</v>
      </c>
      <c r="F4035" s="1">
        <f>60.3794219824953*(38.9/42.5)</f>
        <v>55.264929767507418</v>
      </c>
      <c r="G4035" s="1">
        <v>2.7777587286538146</v>
      </c>
      <c r="H4035" s="1">
        <v>7.2475639604113669</v>
      </c>
      <c r="I4035" s="1">
        <v>42.982255623409074</v>
      </c>
      <c r="J4035" s="1">
        <v>3.8933091753981429E-2</v>
      </c>
      <c r="K4035" s="1">
        <v>2.5846160307472479</v>
      </c>
      <c r="L4035" s="1">
        <v>3.2114620521046264</v>
      </c>
      <c r="M4035" s="1">
        <v>0.20722626777321254</v>
      </c>
      <c r="N4035" s="1">
        <v>1.9707581111017447</v>
      </c>
      <c r="O4035" s="1">
        <v>0.17238400000000001</v>
      </c>
      <c r="P4035" s="1">
        <v>0.12746490619392872</v>
      </c>
      <c r="Q4035" s="1">
        <v>4.4393404339216262</v>
      </c>
      <c r="R4035" s="2">
        <f t="shared" si="251"/>
        <v>165.13120582441258</v>
      </c>
      <c r="S4035" s="2">
        <f t="shared" si="250"/>
        <v>2.7510140286951579</v>
      </c>
      <c r="T4035" s="2">
        <f t="shared" si="252"/>
        <v>5.5618304309795841</v>
      </c>
      <c r="U4035" s="2">
        <f t="shared" si="253"/>
        <v>173.44405028408733</v>
      </c>
    </row>
    <row r="4036" spans="1:21" x14ac:dyDescent="0.25">
      <c r="A4036">
        <v>5003853</v>
      </c>
      <c r="B4036">
        <v>64</v>
      </c>
      <c r="C4036" s="1">
        <f>3.9328328729293*(10.3/7.3)</f>
        <v>5.5490655604344941</v>
      </c>
      <c r="D4036" s="1">
        <f>6.30840567598354*(10.3/7.3)</f>
        <v>8.9009011592644409</v>
      </c>
      <c r="E4036" s="1">
        <f>22.0384236445433*(10.3/7.3)</f>
        <v>31.095310073807614</v>
      </c>
      <c r="F4036" s="1">
        <f>46.3829848315225*(38.9/42.5)</f>
        <v>42.454073175205345</v>
      </c>
      <c r="G4036" s="1">
        <v>1.8958513137204545</v>
      </c>
      <c r="H4036" s="1">
        <v>4.1263222405654787</v>
      </c>
      <c r="I4036" s="1">
        <v>32.369034191834167</v>
      </c>
      <c r="J4036" s="1">
        <v>3.614440520469054E-2</v>
      </c>
      <c r="K4036" s="1">
        <v>2.4783709449624864</v>
      </c>
      <c r="L4036" s="1">
        <v>3.1325045438911339</v>
      </c>
      <c r="M4036" s="1">
        <v>0.19531559667786466</v>
      </c>
      <c r="N4036" s="1">
        <v>1.7910373848744219</v>
      </c>
      <c r="O4036" s="1">
        <v>0.16370749999999995</v>
      </c>
      <c r="P4036" s="1">
        <v>0.1224390522135194</v>
      </c>
      <c r="Q4036" s="1">
        <v>3.0298993598272128</v>
      </c>
      <c r="R4036" s="2">
        <f t="shared" si="251"/>
        <v>129.42045707465923</v>
      </c>
      <c r="S4036" s="2">
        <f t="shared" si="250"/>
        <v>2.6369544023806961</v>
      </c>
      <c r="T4036" s="2">
        <f t="shared" si="252"/>
        <v>5.2825650254434207</v>
      </c>
      <c r="U4036" s="2">
        <f t="shared" si="253"/>
        <v>137.33997650248335</v>
      </c>
    </row>
    <row r="4037" spans="1:21" x14ac:dyDescent="0.25">
      <c r="A4037">
        <v>5003861</v>
      </c>
      <c r="B4037">
        <v>63</v>
      </c>
      <c r="C4037" s="1">
        <f>8.42292339921128*(10.3/7.3)</f>
        <v>11.884398768750168</v>
      </c>
      <c r="D4037" s="1">
        <f>13.3692491825409*(10.3/7.3)</f>
        <v>18.86346117536592</v>
      </c>
      <c r="E4037" s="1">
        <f>46.753669537775*(10.3/7.3)</f>
        <v>65.967506334120927</v>
      </c>
      <c r="F4037" s="1">
        <f>96.8501892514592*(38.9/42.5)</f>
        <v>88.646408514864987</v>
      </c>
      <c r="G4037" s="1">
        <v>3.8852179389273536</v>
      </c>
      <c r="H4037" s="1">
        <v>6.5345419714745896</v>
      </c>
      <c r="I4037" s="1">
        <v>67.485850446150152</v>
      </c>
      <c r="J4037" s="1">
        <v>6.1665739326808071E-2</v>
      </c>
      <c r="K4037" s="1">
        <v>3.7188688703818356</v>
      </c>
      <c r="L4037" s="1">
        <v>5.4573758217289052</v>
      </c>
      <c r="M4037" s="1">
        <v>0.30632140997291929</v>
      </c>
      <c r="N4037" s="1">
        <v>2.8280881578597237</v>
      </c>
      <c r="O4037" s="1">
        <v>0.25240719576719572</v>
      </c>
      <c r="P4037" s="1">
        <v>0.16835840604429392</v>
      </c>
      <c r="Q4037" s="1">
        <v>6.2092524138108462</v>
      </c>
      <c r="R4037" s="2">
        <f t="shared" si="251"/>
        <v>269.47663756346498</v>
      </c>
      <c r="S4037" s="2">
        <f t="shared" si="250"/>
        <v>3.9488930157529372</v>
      </c>
      <c r="T4037" s="2">
        <f t="shared" si="252"/>
        <v>8.8441925853287433</v>
      </c>
      <c r="U4037" s="2">
        <f t="shared" si="253"/>
        <v>282.26972316454669</v>
      </c>
    </row>
    <row r="4038" spans="1:21" x14ac:dyDescent="0.25">
      <c r="A4038">
        <v>5003869</v>
      </c>
      <c r="B4038">
        <v>62</v>
      </c>
      <c r="C4038" s="1">
        <f>5.24511765138441*(10.3/7.3)</f>
        <v>7.40064545332321</v>
      </c>
      <c r="D4038" s="1">
        <f>8.19804826087026*(10.3/7.3)</f>
        <v>11.567109189995032</v>
      </c>
      <c r="E4038" s="1">
        <f>28.6986233123392*(10.3/7.3)</f>
        <v>40.492578098231988</v>
      </c>
      <c r="F4038" s="1">
        <f>58.7806818835443*(38.9/42.5)</f>
        <v>53.801612359291113</v>
      </c>
      <c r="G4038" s="1">
        <v>2.322762417217394</v>
      </c>
      <c r="H4038" s="1">
        <v>4.8341581889948255</v>
      </c>
      <c r="I4038" s="1">
        <v>41.010047061156492</v>
      </c>
      <c r="J4038" s="1">
        <v>4.4481094354298506E-2</v>
      </c>
      <c r="K4038" s="1">
        <v>2.8895008824059727</v>
      </c>
      <c r="L4038" s="1">
        <v>3.8252762191244609</v>
      </c>
      <c r="M4038" s="1">
        <v>0.22474949810605532</v>
      </c>
      <c r="N4038" s="1">
        <v>2.1204162836454921</v>
      </c>
      <c r="O4038" s="1">
        <v>0.18955354838709676</v>
      </c>
      <c r="P4038" s="1">
        <v>0.13514331053608333</v>
      </c>
      <c r="Q4038" s="1">
        <v>3.7121773791145616</v>
      </c>
      <c r="R4038" s="2">
        <f t="shared" si="251"/>
        <v>165.1410901473246</v>
      </c>
      <c r="S4038" s="2">
        <f t="shared" si="250"/>
        <v>3.0691252872963544</v>
      </c>
      <c r="T4038" s="2">
        <f t="shared" si="252"/>
        <v>6.3599955492631048</v>
      </c>
      <c r="U4038" s="2">
        <f t="shared" si="253"/>
        <v>174.57021098388407</v>
      </c>
    </row>
    <row r="4039" spans="1:21" x14ac:dyDescent="0.25">
      <c r="A4039">
        <v>5003877</v>
      </c>
      <c r="B4039">
        <v>62</v>
      </c>
      <c r="C4039" s="1">
        <f>6.66477740409984*(10.3/7.3)</f>
        <v>9.4037270222230607</v>
      </c>
      <c r="D4039" s="1">
        <f>10.2151884846452*(10.3/7.3)</f>
        <v>14.413211149567843</v>
      </c>
      <c r="E4039" s="1">
        <f>35.7810041408252*(10.3/7.3)</f>
        <v>50.485526390479421</v>
      </c>
      <c r="F4039" s="1">
        <f>73.5225784222877*(38.9/42.5)</f>
        <v>67.294783544164503</v>
      </c>
      <c r="G4039" s="1">
        <v>2.9063430626756346</v>
      </c>
      <c r="H4039" s="1">
        <v>5.6276068102243908</v>
      </c>
      <c r="I4039" s="1">
        <v>51.636346344331578</v>
      </c>
      <c r="J4039" s="1">
        <v>5.4091129599154776E-2</v>
      </c>
      <c r="K4039" s="1">
        <v>3.2949381553195982</v>
      </c>
      <c r="L4039" s="1">
        <v>4.6075608850762269</v>
      </c>
      <c r="M4039" s="1">
        <v>0.25664016879098966</v>
      </c>
      <c r="N4039" s="1">
        <v>2.5066055864963568</v>
      </c>
      <c r="O4039" s="1">
        <v>0.21419956989247316</v>
      </c>
      <c r="P4039" s="1">
        <v>0.14857080163515307</v>
      </c>
      <c r="Q4039" s="1">
        <v>4.6448405111254498</v>
      </c>
      <c r="R4039" s="2">
        <f t="shared" si="251"/>
        <v>206.41238483479188</v>
      </c>
      <c r="S4039" s="2">
        <f t="shared" si="250"/>
        <v>3.4976000865539061</v>
      </c>
      <c r="T4039" s="2">
        <f t="shared" si="252"/>
        <v>7.5850062102560472</v>
      </c>
      <c r="U4039" s="2">
        <f t="shared" si="253"/>
        <v>217.49499113160184</v>
      </c>
    </row>
    <row r="4040" spans="1:21" x14ac:dyDescent="0.25">
      <c r="A4040">
        <v>5003885</v>
      </c>
      <c r="B4040">
        <v>63</v>
      </c>
      <c r="C4040" s="1">
        <f>7.92619661734832*(10.3/7.3)</f>
        <v>11.183537692970917</v>
      </c>
      <c r="D4040" s="1">
        <f>11.9256199247535*(10.3/7.3)</f>
        <v>16.826559619857747</v>
      </c>
      <c r="E4040" s="1">
        <f>41.7873134630366*(10.3/7.3)</f>
        <v>58.960182009490019</v>
      </c>
      <c r="F4040" s="1">
        <f>86.5633573087509*(38.9/42.5)</f>
        <v>79.230931748480188</v>
      </c>
      <c r="G4040" s="1">
        <v>3.4423282656234235</v>
      </c>
      <c r="H4040" s="1">
        <v>6.2690142207488542</v>
      </c>
      <c r="I4040" s="1">
        <v>61.261451420774705</v>
      </c>
      <c r="J4040" s="1">
        <v>6.3078389415758829E-2</v>
      </c>
      <c r="K4040" s="1">
        <v>3.663658621038079</v>
      </c>
      <c r="L4040" s="1">
        <v>5.310332536850658</v>
      </c>
      <c r="M4040" s="1">
        <v>0.28316940160003001</v>
      </c>
      <c r="N4040" s="1">
        <v>2.8307107121525434</v>
      </c>
      <c r="O4040" s="1">
        <v>0.23736550264550263</v>
      </c>
      <c r="P4040" s="1">
        <v>0.16083173496391803</v>
      </c>
      <c r="Q4040" s="1">
        <v>5.5014378674346975</v>
      </c>
      <c r="R4040" s="2">
        <f t="shared" si="251"/>
        <v>242.67544284538056</v>
      </c>
      <c r="S4040" s="2">
        <f t="shared" si="250"/>
        <v>3.8875687454177559</v>
      </c>
      <c r="T4040" s="2">
        <f t="shared" si="252"/>
        <v>8.6615781532487333</v>
      </c>
      <c r="U4040" s="2">
        <f t="shared" si="253"/>
        <v>255.22458974404705</v>
      </c>
    </row>
    <row r="4041" spans="1:21" x14ac:dyDescent="0.25">
      <c r="A4041">
        <v>5003893</v>
      </c>
      <c r="B4041">
        <v>62</v>
      </c>
      <c r="C4041" s="1">
        <f>7.76861745029782*(10.3/7.3)</f>
        <v>10.961199964118848</v>
      </c>
      <c r="D4041" s="1">
        <f>11.4986158831449*(10.3/7.3)</f>
        <v>16.224074465259239</v>
      </c>
      <c r="E4041" s="1">
        <f>40.3054186845815*(10.3/7.3)</f>
        <v>56.869289376875329</v>
      </c>
      <c r="F4041" s="1">
        <f>84.0397341374993*(38.9/42.5)</f>
        <v>76.921074304675869</v>
      </c>
      <c r="G4041" s="1">
        <v>3.3569298981479134</v>
      </c>
      <c r="H4041" s="1">
        <v>6.2693547732468708</v>
      </c>
      <c r="I4041" s="1">
        <v>59.865422298273167</v>
      </c>
      <c r="J4041" s="1">
        <v>6.488460805965332E-2</v>
      </c>
      <c r="K4041" s="1">
        <v>3.6363932491866997</v>
      </c>
      <c r="L4041" s="1">
        <v>5.2277641681835609</v>
      </c>
      <c r="M4041" s="1">
        <v>0.27286963433104355</v>
      </c>
      <c r="N4041" s="1">
        <v>2.8111622011929938</v>
      </c>
      <c r="O4041" s="1">
        <v>0.23329634408602154</v>
      </c>
      <c r="P4041" s="1">
        <v>0.15768373237398073</v>
      </c>
      <c r="Q4041" s="1">
        <v>5.3649564582272644</v>
      </c>
      <c r="R4041" s="2">
        <f t="shared" si="251"/>
        <v>235.83230153882448</v>
      </c>
      <c r="S4041" s="2">
        <f t="shared" ref="S4041:S4104" si="254">J4041+K4041+P4041</f>
        <v>3.8589615896203338</v>
      </c>
      <c r="T4041" s="2">
        <f t="shared" si="252"/>
        <v>8.54509234779362</v>
      </c>
      <c r="U4041" s="2">
        <f t="shared" si="253"/>
        <v>248.23635547623843</v>
      </c>
    </row>
    <row r="4042" spans="1:21" x14ac:dyDescent="0.25">
      <c r="A4042">
        <v>5003901</v>
      </c>
      <c r="B4042">
        <v>63</v>
      </c>
      <c r="C4042" s="1">
        <f>7.72085506363941*(10.3/7.3)</f>
        <v>10.893809199381632</v>
      </c>
      <c r="D4042" s="1">
        <f>11.1872729062407*(10.3/7.3)</f>
        <v>15.784782319764314</v>
      </c>
      <c r="E4042" s="1">
        <f>39.2297461811345*(10.3/7.3)</f>
        <v>55.351559680230842</v>
      </c>
      <c r="F4042" s="1">
        <f>82.6412959738096*(38.9/42.5)</f>
        <v>75.641092079557481</v>
      </c>
      <c r="G4042" s="1">
        <v>3.3264326983543118</v>
      </c>
      <c r="H4042" s="1">
        <v>6.2500860377151932</v>
      </c>
      <c r="I4042" s="1">
        <v>59.393849400612673</v>
      </c>
      <c r="J4042" s="1">
        <v>6.8767515367579801E-2</v>
      </c>
      <c r="K4042" s="1">
        <v>3.5920971685033956</v>
      </c>
      <c r="L4042" s="1">
        <v>5.0970748486880186</v>
      </c>
      <c r="M4042" s="1">
        <v>0.26026681592424727</v>
      </c>
      <c r="N4042" s="1">
        <v>2.8165163154755124</v>
      </c>
      <c r="O4042" s="1">
        <v>0.22640846560846559</v>
      </c>
      <c r="P4042" s="1">
        <v>0.15362184505570542</v>
      </c>
      <c r="Q4042" s="1">
        <v>5.316216641205525</v>
      </c>
      <c r="R4042" s="2">
        <f t="shared" ref="R4042:R4105" si="255">C4042+D4042+E4042+F4042+G4042+H4042+I4042+Q4042</f>
        <v>231.957828056822</v>
      </c>
      <c r="S4042" s="2">
        <f t="shared" si="254"/>
        <v>3.8144865289266807</v>
      </c>
      <c r="T4042" s="2">
        <f t="shared" ref="T4042:T4105" si="256">L4042+M4042+N4042+O4042</f>
        <v>8.4002664456962428</v>
      </c>
      <c r="U4042" s="2">
        <f t="shared" ref="U4042:U4105" si="257">R4042+S4042+T4042</f>
        <v>244.17258103144493</v>
      </c>
    </row>
    <row r="4043" spans="1:21" x14ac:dyDescent="0.25">
      <c r="A4043">
        <v>5003909</v>
      </c>
      <c r="B4043">
        <v>50</v>
      </c>
      <c r="C4043" s="1">
        <f>6.87993335330092*(10.3/7.3)</f>
        <v>9.7073032245204747</v>
      </c>
      <c r="D4043" s="1">
        <f>9.61586161118911*(10.3/7.3)</f>
        <v>13.567585560992859</v>
      </c>
      <c r="E4043" s="1">
        <f>33.7514811671112*(10.3/7.3)</f>
        <v>47.621952879622718</v>
      </c>
      <c r="F4043" s="1">
        <f>71.9279364544585*(38.9/42.5)</f>
        <v>65.835217131257295</v>
      </c>
      <c r="G4043" s="1">
        <v>2.9136370419902575</v>
      </c>
      <c r="H4043" s="1">
        <v>6.5515613405572557</v>
      </c>
      <c r="I4043" s="1">
        <v>52.394732132827137</v>
      </c>
      <c r="J4043" s="1">
        <v>7.0686852478899678E-2</v>
      </c>
      <c r="K4043" s="1">
        <v>3.2116794574511287</v>
      </c>
      <c r="L4043" s="1">
        <v>4.3174993414789196</v>
      </c>
      <c r="M4043" s="1">
        <v>0.22781951982323392</v>
      </c>
      <c r="N4043" s="1">
        <v>2.5610626190709507</v>
      </c>
      <c r="O4043" s="1">
        <v>0.19793066666666662</v>
      </c>
      <c r="P4043" s="1">
        <v>0.13629439896321155</v>
      </c>
      <c r="Q4043" s="1">
        <v>4.6564975556921988</v>
      </c>
      <c r="R4043" s="2">
        <f t="shared" si="255"/>
        <v>203.24848686746017</v>
      </c>
      <c r="S4043" s="2">
        <f t="shared" si="254"/>
        <v>3.4186607088932401</v>
      </c>
      <c r="T4043" s="2">
        <f t="shared" si="256"/>
        <v>7.3043121470397701</v>
      </c>
      <c r="U4043" s="2">
        <f t="shared" si="257"/>
        <v>213.9714597233932</v>
      </c>
    </row>
    <row r="4044" spans="1:21" x14ac:dyDescent="0.25">
      <c r="A4044">
        <v>5003989</v>
      </c>
      <c r="B4044">
        <v>15</v>
      </c>
      <c r="C4044" s="1">
        <f>4.15758230128887*(10.3/7.3)</f>
        <v>5.8661777675719646</v>
      </c>
      <c r="D4044" s="1">
        <f>5.6045577213254*(10.3/7.3)</f>
        <v>7.9078006205002191</v>
      </c>
      <c r="E4044" s="1">
        <f>19.5990487981199*(10.3/7.3)</f>
        <v>27.653452413785597</v>
      </c>
      <c r="F4044" s="1">
        <f>46.9391807656119*(38.9/42.5)</f>
        <v>42.963156041936536</v>
      </c>
      <c r="G4044" s="1">
        <v>2.1157847074008567</v>
      </c>
      <c r="H4044" s="1">
        <v>7.8407785485688803</v>
      </c>
      <c r="I4044" s="1">
        <v>35.390534220170437</v>
      </c>
      <c r="J4044" s="1">
        <v>3.4606438322871101E-2</v>
      </c>
      <c r="K4044" s="1">
        <v>3.4422334954388627</v>
      </c>
      <c r="L4044" s="1">
        <v>2.9500113539456509</v>
      </c>
      <c r="M4044" s="1">
        <v>0.12908525939833956</v>
      </c>
      <c r="N4044" s="1">
        <v>1.7360816460018111</v>
      </c>
      <c r="O4044" s="1">
        <v>0.11298488888888888</v>
      </c>
      <c r="P4044" s="1">
        <v>8.791483831242819E-2</v>
      </c>
      <c r="Q4044" s="1">
        <v>3.3813910848872184</v>
      </c>
      <c r="R4044" s="2">
        <f t="shared" si="255"/>
        <v>133.1190754048217</v>
      </c>
      <c r="S4044" s="2">
        <f t="shared" si="254"/>
        <v>3.5647547720741617</v>
      </c>
      <c r="T4044" s="2">
        <f t="shared" si="256"/>
        <v>4.9281631482346899</v>
      </c>
      <c r="U4044" s="2">
        <f t="shared" si="257"/>
        <v>141.61199332513056</v>
      </c>
    </row>
    <row r="4045" spans="1:21" x14ac:dyDescent="0.25">
      <c r="A4045">
        <v>5015585</v>
      </c>
      <c r="B4045">
        <v>1</v>
      </c>
      <c r="C4045" s="1">
        <f>1.13911456734211*(10.3/7.3)</f>
        <v>1.6072438415922885</v>
      </c>
      <c r="D4045" s="1">
        <f>1.67502437947044*(10.3/7.3)</f>
        <v>2.3633905628144625</v>
      </c>
      <c r="E4045" s="1">
        <f>5.77174072264754*(10.3/7.3)</f>
        <v>8.1436889648314583</v>
      </c>
      <c r="F4045" s="1">
        <f>17.1461107422474*(38.9/42.5)</f>
        <v>15.693734302904131</v>
      </c>
      <c r="G4045" s="1">
        <v>0.90986110004188436</v>
      </c>
      <c r="H4045" s="1">
        <v>3.9570033117188497</v>
      </c>
      <c r="I4045" s="1">
        <v>13.163235738618173</v>
      </c>
      <c r="J4045" s="1">
        <v>7.2406028913174256E-2</v>
      </c>
      <c r="K4045" s="1">
        <v>3.3196587653159901</v>
      </c>
      <c r="L4045" s="1">
        <v>3.1822221947624114</v>
      </c>
      <c r="M4045" s="1">
        <v>0.81158516906162381</v>
      </c>
      <c r="N4045" s="1">
        <v>1.9911708755247752</v>
      </c>
      <c r="O4045" s="1">
        <v>0.53439999999999999</v>
      </c>
      <c r="P4045" s="1">
        <v>0.21874446811405124</v>
      </c>
      <c r="Q4045" s="1">
        <v>1.4541159133089492</v>
      </c>
      <c r="R4045" s="2">
        <f t="shared" si="255"/>
        <v>47.292273735830186</v>
      </c>
      <c r="S4045" s="2">
        <f t="shared" si="254"/>
        <v>3.6108092623432153</v>
      </c>
      <c r="T4045" s="2">
        <f t="shared" si="256"/>
        <v>6.5193782393488107</v>
      </c>
      <c r="U4045" s="2">
        <f t="shared" si="257"/>
        <v>57.422461237522214</v>
      </c>
    </row>
    <row r="4046" spans="1:21" x14ac:dyDescent="0.25">
      <c r="A4046">
        <v>5015761</v>
      </c>
      <c r="B4046">
        <v>1</v>
      </c>
      <c r="C4046" s="1">
        <f>1.24346702071401*(10.3/7.3)</f>
        <v>1.7544808648430503</v>
      </c>
      <c r="D4046" s="1">
        <f>1.92842006566665*(10.3/7.3)</f>
        <v>2.7209214625159572</v>
      </c>
      <c r="E4046" s="1">
        <f>6.57647003398131*(10.3/7.3)</f>
        <v>9.2791289520558156</v>
      </c>
      <c r="F4046" s="1">
        <f>22.3720605885227*(38.9/42.5)</f>
        <v>20.477015456318458</v>
      </c>
      <c r="G4046" s="1">
        <v>1.2800286466391133</v>
      </c>
      <c r="H4046" s="1">
        <v>9.9865626873855184</v>
      </c>
      <c r="I4046" s="1">
        <v>17.380673256666256</v>
      </c>
      <c r="J4046" s="1">
        <v>4.4859150121312599E-2</v>
      </c>
      <c r="K4046" s="1">
        <v>3.0808637401362464</v>
      </c>
      <c r="L4046" s="1">
        <v>3.2517409986387551</v>
      </c>
      <c r="M4046" s="1">
        <v>1.3917232331079901</v>
      </c>
      <c r="N4046" s="1">
        <v>2.1030774345615799</v>
      </c>
      <c r="O4046" s="1">
        <v>0.29722666666666669</v>
      </c>
      <c r="P4046" s="1">
        <v>0.18094405618507628</v>
      </c>
      <c r="Q4046" s="1">
        <v>2.045707882756576</v>
      </c>
      <c r="R4046" s="2">
        <f t="shared" si="255"/>
        <v>64.924519209180744</v>
      </c>
      <c r="S4046" s="2">
        <f t="shared" si="254"/>
        <v>3.3066669464426353</v>
      </c>
      <c r="T4046" s="2">
        <f t="shared" si="256"/>
        <v>7.0437683329749916</v>
      </c>
      <c r="U4046" s="2">
        <f t="shared" si="257"/>
        <v>75.274954488598368</v>
      </c>
    </row>
    <row r="4047" spans="1:21" x14ac:dyDescent="0.25">
      <c r="A4047">
        <v>5015769</v>
      </c>
      <c r="B4047">
        <v>11</v>
      </c>
      <c r="C4047" s="1">
        <f>2.16167446868694*(10.3/7.3)</f>
        <v>3.0500338393802031</v>
      </c>
      <c r="D4047" s="1">
        <f>2.81384765152402*(10.3/7.3)</f>
        <v>3.9702233987256723</v>
      </c>
      <c r="E4047" s="1">
        <f>9.74241016119785*(10.3/7.3)</f>
        <v>13.746140364429843</v>
      </c>
      <c r="F4047" s="1">
        <f>29.0436306390166*(38.9/42.5)</f>
        <v>26.583464279005753</v>
      </c>
      <c r="G4047" s="1">
        <v>1.526221765904306</v>
      </c>
      <c r="H4047" s="1">
        <v>10.975355458132983</v>
      </c>
      <c r="I4047" s="1">
        <v>22.875371540356237</v>
      </c>
      <c r="J4047" s="1">
        <v>4.4978731318106945E-2</v>
      </c>
      <c r="K4047" s="1">
        <v>2.9915623454540308</v>
      </c>
      <c r="L4047" s="1">
        <v>3.340617503127763</v>
      </c>
      <c r="M4047" s="1">
        <v>1.4054114250093386</v>
      </c>
      <c r="N4047" s="1">
        <v>2.013751553149107</v>
      </c>
      <c r="O4047" s="1">
        <v>0.29497696969696974</v>
      </c>
      <c r="P4047" s="1">
        <v>0.17518976318497986</v>
      </c>
      <c r="Q4047" s="1">
        <v>2.4391672057831397</v>
      </c>
      <c r="R4047" s="2">
        <f t="shared" si="255"/>
        <v>85.165977851718125</v>
      </c>
      <c r="S4047" s="2">
        <f t="shared" si="254"/>
        <v>3.2117308399571174</v>
      </c>
      <c r="T4047" s="2">
        <f t="shared" si="256"/>
        <v>7.0547574509831783</v>
      </c>
      <c r="U4047" s="2">
        <f t="shared" si="257"/>
        <v>95.432466142658413</v>
      </c>
    </row>
    <row r="4048" spans="1:21" x14ac:dyDescent="0.25">
      <c r="A4048">
        <v>5015817</v>
      </c>
      <c r="B4048">
        <v>10</v>
      </c>
      <c r="C4048" s="1">
        <f>1.31197321147724*(10.3/7.3)</f>
        <v>1.8511402846870622</v>
      </c>
      <c r="D4048" s="1">
        <f>2.34931243912452*(10.3/7.3)</f>
        <v>3.3147833045181589</v>
      </c>
      <c r="E4048" s="1">
        <f>8.02884278899035*(10.3/7.3)</f>
        <v>11.328367222822008</v>
      </c>
      <c r="F4048" s="1">
        <f>24.3887925039473*(38.9/42.5)</f>
        <v>22.322918315377649</v>
      </c>
      <c r="G4048" s="1">
        <v>1.331744808221683</v>
      </c>
      <c r="H4048" s="1">
        <v>9.9603618165608943</v>
      </c>
      <c r="I4048" s="1">
        <v>18.140779456907953</v>
      </c>
      <c r="J4048" s="1">
        <v>4.8638147387491296E-2</v>
      </c>
      <c r="K4048" s="1">
        <v>3.1315270515350413</v>
      </c>
      <c r="L4048" s="1">
        <v>4.5396957508672511</v>
      </c>
      <c r="M4048" s="1">
        <v>0.79358198520054812</v>
      </c>
      <c r="N4048" s="1">
        <v>2.315457308414592</v>
      </c>
      <c r="O4048" s="1">
        <v>0.28251199999999999</v>
      </c>
      <c r="P4048" s="1">
        <v>0.18066101578096899</v>
      </c>
      <c r="Q4048" s="1">
        <v>2.1283592825460707</v>
      </c>
      <c r="R4048" s="2">
        <f t="shared" si="255"/>
        <v>70.378454491641477</v>
      </c>
      <c r="S4048" s="2">
        <f t="shared" si="254"/>
        <v>3.360826214703502</v>
      </c>
      <c r="T4048" s="2">
        <f t="shared" si="256"/>
        <v>7.931247044482391</v>
      </c>
      <c r="U4048" s="2">
        <f t="shared" si="257"/>
        <v>81.670527750827375</v>
      </c>
    </row>
    <row r="4049" spans="1:21" x14ac:dyDescent="0.25">
      <c r="A4049">
        <v>5015825</v>
      </c>
      <c r="B4049">
        <v>28</v>
      </c>
      <c r="C4049" s="1">
        <f>1.37872976323219*(10.3/7.3)</f>
        <v>1.9453310357933637</v>
      </c>
      <c r="D4049" s="1">
        <f>2.2893663429357*(10.3/7.3)</f>
        <v>3.2302018263339325</v>
      </c>
      <c r="E4049" s="1">
        <f>7.86439974347754*(10.3/7.3)</f>
        <v>11.096344843536796</v>
      </c>
      <c r="F4049" s="1">
        <f>22.8156830241716*(38.9/42.5)</f>
        <v>20.883060462124163</v>
      </c>
      <c r="G4049" s="1">
        <v>1.2067883534909474</v>
      </c>
      <c r="H4049" s="1">
        <v>6.9475495933865519</v>
      </c>
      <c r="I4049" s="1">
        <v>17.040278825406077</v>
      </c>
      <c r="J4049" s="1">
        <v>4.817218299775218E-2</v>
      </c>
      <c r="K4049" s="1">
        <v>3.0279987072857821</v>
      </c>
      <c r="L4049" s="1">
        <v>4.1898440290780918</v>
      </c>
      <c r="M4049" s="1">
        <v>0.72457278700833305</v>
      </c>
      <c r="N4049" s="1">
        <v>2.1800701114499756</v>
      </c>
      <c r="O4049" s="1">
        <v>0.27221904761904753</v>
      </c>
      <c r="P4049" s="1">
        <v>0.17504620086812395</v>
      </c>
      <c r="Q4049" s="1">
        <v>1.9286571859444381</v>
      </c>
      <c r="R4049" s="2">
        <f t="shared" si="255"/>
        <v>64.278212126016285</v>
      </c>
      <c r="S4049" s="2">
        <f t="shared" si="254"/>
        <v>3.2512170911516582</v>
      </c>
      <c r="T4049" s="2">
        <f t="shared" si="256"/>
        <v>7.3667059751554484</v>
      </c>
      <c r="U4049" s="2">
        <f t="shared" si="257"/>
        <v>74.896135192323399</v>
      </c>
    </row>
    <row r="4050" spans="1:21" x14ac:dyDescent="0.25">
      <c r="A4050">
        <v>5015833</v>
      </c>
      <c r="B4050">
        <v>6</v>
      </c>
      <c r="C4050" s="1">
        <f>1.68072504257196*(10.3/7.3)</f>
        <v>2.3714339641768736</v>
      </c>
      <c r="D4050" s="1">
        <f>2.86410076936927*(10.3/7.3)</f>
        <v>4.0411284828086957</v>
      </c>
      <c r="E4050" s="1">
        <f>9.80103310962631*(10.3/7.3)</f>
        <v>13.828854935500143</v>
      </c>
      <c r="F4050" s="1">
        <f>29.9261243655656*(38.9/42.5)</f>
        <v>27.391205595776501</v>
      </c>
      <c r="G4050" s="1">
        <v>1.6326713528660386</v>
      </c>
      <c r="H4050" s="1">
        <v>10.824094797505978</v>
      </c>
      <c r="I4050" s="1">
        <v>22.4690309737699</v>
      </c>
      <c r="J4050" s="1">
        <v>6.0612751270611998E-2</v>
      </c>
      <c r="K4050" s="1">
        <v>3.4368251183580938</v>
      </c>
      <c r="L4050" s="1">
        <v>4.8397852612846508</v>
      </c>
      <c r="M4050" s="1">
        <v>0.8057768747022952</v>
      </c>
      <c r="N4050" s="1">
        <v>2.4855251624964056</v>
      </c>
      <c r="O4050" s="1">
        <v>0.30824888888888885</v>
      </c>
      <c r="P4050" s="1">
        <v>0.1919903524175389</v>
      </c>
      <c r="Q4050" s="1">
        <v>2.609292116452576</v>
      </c>
      <c r="R4050" s="2">
        <f t="shared" si="255"/>
        <v>85.167712218856721</v>
      </c>
      <c r="S4050" s="2">
        <f t="shared" si="254"/>
        <v>3.6894282220462444</v>
      </c>
      <c r="T4050" s="2">
        <f t="shared" si="256"/>
        <v>8.4393361873722395</v>
      </c>
      <c r="U4050" s="2">
        <f t="shared" si="257"/>
        <v>97.296476628275201</v>
      </c>
    </row>
    <row r="4051" spans="1:21" x14ac:dyDescent="0.25">
      <c r="A4051">
        <v>5016017</v>
      </c>
      <c r="B4051">
        <v>10</v>
      </c>
      <c r="C4051" s="1">
        <f>10.4344487535764*(10.3/7.3)</f>
        <v>14.722578378333838</v>
      </c>
      <c r="D4051" s="1">
        <f>17.0574704095827*(10.3/7.3)</f>
        <v>24.06738975598655</v>
      </c>
      <c r="E4051" s="1">
        <f>59.7205217420593*(10.3/7.3)</f>
        <v>84.263201910028911</v>
      </c>
      <c r="F4051" s="1">
        <f>117.094798148738*(38.9/42.5)</f>
        <v>107.17617995260919</v>
      </c>
      <c r="G4051" s="1">
        <v>4.4293497561237114</v>
      </c>
      <c r="H4051" s="1">
        <v>7.2415176056056838</v>
      </c>
      <c r="I4051" s="1">
        <v>79.573476055347015</v>
      </c>
      <c r="J4051" s="1">
        <v>6.4831061565788037E-2</v>
      </c>
      <c r="K4051" s="1">
        <v>3.4550443137360767</v>
      </c>
      <c r="L4051" s="1">
        <v>4.2264906963085611</v>
      </c>
      <c r="M4051" s="1">
        <v>0.30520748956987609</v>
      </c>
      <c r="N4051" s="1">
        <v>2.5792554078077616</v>
      </c>
      <c r="O4051" s="1">
        <v>0.24022933333333332</v>
      </c>
      <c r="P4051" s="1">
        <v>0.15798539085610622</v>
      </c>
      <c r="Q4051" s="1">
        <v>7.0788694732570816</v>
      </c>
      <c r="R4051" s="2">
        <f t="shared" si="255"/>
        <v>328.55256288729197</v>
      </c>
      <c r="S4051" s="2">
        <f t="shared" si="254"/>
        <v>3.6778607661579708</v>
      </c>
      <c r="T4051" s="2">
        <f t="shared" si="256"/>
        <v>7.3511829270195328</v>
      </c>
      <c r="U4051" s="2">
        <f t="shared" si="257"/>
        <v>339.58160658046944</v>
      </c>
    </row>
    <row r="4052" spans="1:21" x14ac:dyDescent="0.25">
      <c r="A4052">
        <v>5016025</v>
      </c>
      <c r="B4052">
        <v>64</v>
      </c>
      <c r="C4052" s="1">
        <f>11.119435981495*(10.3/7.3)</f>
        <v>15.689067206766865</v>
      </c>
      <c r="D4052" s="1">
        <f>18.5340401951312*(10.3/7.3)</f>
        <v>26.150769042445379</v>
      </c>
      <c r="E4052" s="1">
        <f>64.8876315084765*(10.3/7.3)</f>
        <v>91.553781443466917</v>
      </c>
      <c r="F4052" s="1">
        <f>125.158770097421*(38.9/42.5)</f>
        <v>114.55708604211043</v>
      </c>
      <c r="G4052" s="1">
        <v>4.6547730742874638</v>
      </c>
      <c r="H4052" s="1">
        <v>7.7739222399622978</v>
      </c>
      <c r="I4052" s="1">
        <v>84.111049282781991</v>
      </c>
      <c r="J4052" s="1">
        <v>7.3803368950473236E-2</v>
      </c>
      <c r="K4052" s="1">
        <v>3.9224559184116639</v>
      </c>
      <c r="L4052" s="1">
        <v>5.6091622779189283</v>
      </c>
      <c r="M4052" s="1">
        <v>0.38055512687423998</v>
      </c>
      <c r="N4052" s="1">
        <v>3.2712720616157411</v>
      </c>
      <c r="O4052" s="1">
        <v>0.29299833333333342</v>
      </c>
      <c r="P4052" s="1">
        <v>0.18577217999202614</v>
      </c>
      <c r="Q4052" s="1">
        <v>7.4391350502311147</v>
      </c>
      <c r="R4052" s="2">
        <f t="shared" si="255"/>
        <v>351.9295833820525</v>
      </c>
      <c r="S4052" s="2">
        <f t="shared" si="254"/>
        <v>4.1820314673541628</v>
      </c>
      <c r="T4052" s="2">
        <f t="shared" si="256"/>
        <v>9.5539877997422433</v>
      </c>
      <c r="U4052" s="2">
        <f t="shared" si="257"/>
        <v>365.66560264914887</v>
      </c>
    </row>
    <row r="4053" spans="1:21" x14ac:dyDescent="0.25">
      <c r="A4053">
        <v>5016033</v>
      </c>
      <c r="B4053">
        <v>65</v>
      </c>
      <c r="C4053" s="1">
        <f>10.7685849416193*(10.3/7.3)</f>
        <v>15.194030808038129</v>
      </c>
      <c r="D4053" s="1">
        <f>17.9147753138602*(10.3/7.3)</f>
        <v>25.277011744213734</v>
      </c>
      <c r="E4053" s="1">
        <f>62.7143703415082*(10.3/7.3)</f>
        <v>88.487399248977354</v>
      </c>
      <c r="F4053" s="1">
        <f>121.437827107153*(38.9/42.5)</f>
        <v>111.15132881101756</v>
      </c>
      <c r="G4053" s="1">
        <v>4.5369583285325126</v>
      </c>
      <c r="H4053" s="1">
        <v>7.4646125944615083</v>
      </c>
      <c r="I4053" s="1">
        <v>81.762196749240104</v>
      </c>
      <c r="J4053" s="1">
        <v>7.005411899063485E-2</v>
      </c>
      <c r="K4053" s="1">
        <v>3.9671289914970185</v>
      </c>
      <c r="L4053" s="1">
        <v>5.7784435629574373</v>
      </c>
      <c r="M4053" s="1">
        <v>0.37990135056336688</v>
      </c>
      <c r="N4053" s="1">
        <v>3.1068830524006046</v>
      </c>
      <c r="O4053" s="1">
        <v>0.29628307692307693</v>
      </c>
      <c r="P4053" s="1">
        <v>0.18901334644833112</v>
      </c>
      <c r="Q4053" s="1">
        <v>7.2508466437734267</v>
      </c>
      <c r="R4053" s="2">
        <f t="shared" si="255"/>
        <v>341.1243849282543</v>
      </c>
      <c r="S4053" s="2">
        <f t="shared" si="254"/>
        <v>4.2261964569359849</v>
      </c>
      <c r="T4053" s="2">
        <f t="shared" si="256"/>
        <v>9.5615110428444847</v>
      </c>
      <c r="U4053" s="2">
        <f t="shared" si="257"/>
        <v>354.91209242803478</v>
      </c>
    </row>
    <row r="4054" spans="1:21" x14ac:dyDescent="0.25">
      <c r="A4054">
        <v>5016041</v>
      </c>
      <c r="B4054">
        <v>67</v>
      </c>
      <c r="C4054" s="1">
        <f>10.3613532900546*(10.3/7.3)</f>
        <v>14.619443683227795</v>
      </c>
      <c r="D4054" s="1">
        <f>17.2827739790032*(10.3/7.3)</f>
        <v>24.385283833388144</v>
      </c>
      <c r="E4054" s="1">
        <f>60.4563219449512*(10.3/7.3)</f>
        <v>85.301385757944885</v>
      </c>
      <c r="F4054" s="1">
        <f>119.088836184061*(38.9/42.5)</f>
        <v>109.00131123670513</v>
      </c>
      <c r="G4054" s="1">
        <v>4.5457663685720453</v>
      </c>
      <c r="H4054" s="1">
        <v>7.2913223225539854</v>
      </c>
      <c r="I4054" s="1">
        <v>80.564221221166491</v>
      </c>
      <c r="J4054" s="1">
        <v>6.8846170955066135E-2</v>
      </c>
      <c r="K4054" s="1">
        <v>3.94188753440802</v>
      </c>
      <c r="L4054" s="1">
        <v>5.7824075791820704</v>
      </c>
      <c r="M4054" s="1">
        <v>0.37256427320877711</v>
      </c>
      <c r="N4054" s="1">
        <v>3.0482492744688621</v>
      </c>
      <c r="O4054" s="1">
        <v>0.29258109452736331</v>
      </c>
      <c r="P4054" s="1">
        <v>0.18724492993616945</v>
      </c>
      <c r="Q4054" s="1">
        <v>7.2649234200923161</v>
      </c>
      <c r="R4054" s="2">
        <f t="shared" si="255"/>
        <v>332.97365784365076</v>
      </c>
      <c r="S4054" s="2">
        <f t="shared" si="254"/>
        <v>4.1979786352992559</v>
      </c>
      <c r="T4054" s="2">
        <f t="shared" si="256"/>
        <v>9.4958022213870734</v>
      </c>
      <c r="U4054" s="2">
        <f t="shared" si="257"/>
        <v>346.66743870033707</v>
      </c>
    </row>
    <row r="4055" spans="1:21" x14ac:dyDescent="0.25">
      <c r="A4055">
        <v>5016049</v>
      </c>
      <c r="B4055">
        <v>65</v>
      </c>
      <c r="C4055" s="1">
        <f>9.1206372722218*(10.3/7.3)</f>
        <v>12.868844370395145</v>
      </c>
      <c r="D4055" s="1">
        <f>15.9050910247551*(10.3/7.3)</f>
        <v>22.441429802051701</v>
      </c>
      <c r="E4055" s="1">
        <f>55.435588673968*(10.3/7.3)</f>
        <v>78.217337444091896</v>
      </c>
      <c r="F4055" s="1">
        <f>115.189224131449*(38.9/42.5)</f>
        <v>105.43201926384386</v>
      </c>
      <c r="G4055" s="1">
        <v>4.7024731552763432</v>
      </c>
      <c r="H4055" s="1">
        <v>6.9007512501469668</v>
      </c>
      <c r="I4055" s="1">
        <v>78.277987556630777</v>
      </c>
      <c r="J4055" s="1">
        <v>6.415280176521114E-2</v>
      </c>
      <c r="K4055" s="1">
        <v>3.7314634184985391</v>
      </c>
      <c r="L4055" s="1">
        <v>5.3876635446731962</v>
      </c>
      <c r="M4055" s="1">
        <v>0.34337260975117501</v>
      </c>
      <c r="N4055" s="1">
        <v>2.8945797037956118</v>
      </c>
      <c r="O4055" s="1">
        <v>0.27350892307692304</v>
      </c>
      <c r="P4055" s="1">
        <v>0.17780474548213923</v>
      </c>
      <c r="Q4055" s="1">
        <v>7.5153680563777217</v>
      </c>
      <c r="R4055" s="2">
        <f t="shared" si="255"/>
        <v>316.35621089881437</v>
      </c>
      <c r="S4055" s="2">
        <f t="shared" si="254"/>
        <v>3.9734209657458894</v>
      </c>
      <c r="T4055" s="2">
        <f t="shared" si="256"/>
        <v>8.8991247812969068</v>
      </c>
      <c r="U4055" s="2">
        <f t="shared" si="257"/>
        <v>329.22875664585717</v>
      </c>
    </row>
    <row r="4056" spans="1:21" x14ac:dyDescent="0.25">
      <c r="A4056">
        <v>5016057</v>
      </c>
      <c r="B4056">
        <v>66</v>
      </c>
      <c r="C4056" s="1">
        <f>6.39873288265319*(10.3/7.3)</f>
        <v>9.0283491357983383</v>
      </c>
      <c r="D4056" s="1">
        <f>11.2085315310905*(10.3/7.3)</f>
        <v>15.814777365785174</v>
      </c>
      <c r="E4056" s="1">
        <f>38.9342211295126*(10.3/7.3)</f>
        <v>54.934585977257527</v>
      </c>
      <c r="F4056" s="1">
        <f>87.2840952926265*(38.9/42.5)</f>
        <v>79.890618985486356</v>
      </c>
      <c r="G4056" s="1">
        <v>3.8416465936052329</v>
      </c>
      <c r="H4056" s="1">
        <v>6.6966433187481504</v>
      </c>
      <c r="I4056" s="1">
        <v>60.613975670209904</v>
      </c>
      <c r="J4056" s="1">
        <v>4.9908948338198561E-2</v>
      </c>
      <c r="K4056" s="1">
        <v>3.0454772464739972</v>
      </c>
      <c r="L4056" s="1">
        <v>4.0767635953840262</v>
      </c>
      <c r="M4056" s="1">
        <v>0.26469427046455618</v>
      </c>
      <c r="N4056" s="1">
        <v>2.3434161696028419</v>
      </c>
      <c r="O4056" s="1">
        <v>0.21601131313131317</v>
      </c>
      <c r="P4056" s="1">
        <v>0.14870609113355274</v>
      </c>
      <c r="Q4056" s="1">
        <v>6.1396178436613376</v>
      </c>
      <c r="R4056" s="2">
        <f t="shared" si="255"/>
        <v>236.96021489055201</v>
      </c>
      <c r="S4056" s="2">
        <f t="shared" si="254"/>
        <v>3.2440922859457486</v>
      </c>
      <c r="T4056" s="2">
        <f t="shared" si="256"/>
        <v>6.9008853485827366</v>
      </c>
      <c r="U4056" s="2">
        <f t="shared" si="257"/>
        <v>247.1051925250805</v>
      </c>
    </row>
    <row r="4057" spans="1:21" x14ac:dyDescent="0.25">
      <c r="A4057">
        <v>5016065</v>
      </c>
      <c r="B4057">
        <v>71</v>
      </c>
      <c r="C4057" s="1">
        <f>8.32222315615599*(10.3/7.3)</f>
        <v>11.742314864165307</v>
      </c>
      <c r="D4057" s="1">
        <f>13.8989455868154*(10.3/7.3)</f>
        <v>19.610841033451827</v>
      </c>
      <c r="E4057" s="1">
        <f>48.4185725950179*(10.3/7.3)</f>
        <v>68.316616127217017</v>
      </c>
      <c r="F4057" s="1">
        <f>105.404367104207*(38.9/42.5)</f>
        <v>96.475997184791467</v>
      </c>
      <c r="G4057" s="1">
        <v>4.4846867441673837</v>
      </c>
      <c r="H4057" s="1">
        <v>6.6105866320718816</v>
      </c>
      <c r="I4057" s="1">
        <v>73.461167964295697</v>
      </c>
      <c r="J4057" s="1">
        <v>6.0141257624950782E-2</v>
      </c>
      <c r="K4057" s="1">
        <v>3.5835802959446323</v>
      </c>
      <c r="L4057" s="1">
        <v>5.1670670823906306</v>
      </c>
      <c r="M4057" s="1">
        <v>0.3149244366310448</v>
      </c>
      <c r="N4057" s="1">
        <v>3.2568546724993448</v>
      </c>
      <c r="O4057" s="1">
        <v>0.25566948356807517</v>
      </c>
      <c r="P4057" s="1">
        <v>0.16888206835235686</v>
      </c>
      <c r="Q4057" s="1">
        <v>7.1673075820026746</v>
      </c>
      <c r="R4057" s="2">
        <f t="shared" si="255"/>
        <v>287.86951813216319</v>
      </c>
      <c r="S4057" s="2">
        <f t="shared" si="254"/>
        <v>3.8126036219219399</v>
      </c>
      <c r="T4057" s="2">
        <f t="shared" si="256"/>
        <v>8.9945156750890956</v>
      </c>
      <c r="U4057" s="2">
        <f t="shared" si="257"/>
        <v>300.67663742917421</v>
      </c>
    </row>
    <row r="4058" spans="1:21" x14ac:dyDescent="0.25">
      <c r="A4058">
        <v>5016073</v>
      </c>
      <c r="B4058">
        <v>32</v>
      </c>
      <c r="C4058" s="1">
        <f>6.14414898407734*(10.3/7.3)</f>
        <v>8.6691417172598033</v>
      </c>
      <c r="D4058" s="1">
        <f>10.5774973531767*(10.3/7.3)</f>
        <v>14.924414073660291</v>
      </c>
      <c r="E4058" s="1">
        <f>36.6718444809199*(10.3/7.3)</f>
        <v>51.742465500476087</v>
      </c>
      <c r="F4058" s="1">
        <f>86.8458489761534*(38.9/42.5)</f>
        <v>79.489494709938086</v>
      </c>
      <c r="G4058" s="1">
        <v>4.0003577580998355</v>
      </c>
      <c r="H4058" s="1">
        <v>10.686302290418144</v>
      </c>
      <c r="I4058" s="1">
        <v>61.473702253889826</v>
      </c>
      <c r="J4058" s="1">
        <v>4.6930629155539652E-2</v>
      </c>
      <c r="K4058" s="1">
        <v>2.9755850876172198</v>
      </c>
      <c r="L4058" s="1">
        <v>3.9360084191367659</v>
      </c>
      <c r="M4058" s="1">
        <v>0.24754668817293851</v>
      </c>
      <c r="N4058" s="1">
        <v>2.5975376009935411</v>
      </c>
      <c r="O4058" s="1">
        <v>0.20648166666666665</v>
      </c>
      <c r="P4058" s="1">
        <v>0.14314292167124812</v>
      </c>
      <c r="Q4058" s="1">
        <v>6.3932658234472335</v>
      </c>
      <c r="R4058" s="2">
        <f t="shared" si="255"/>
        <v>237.37914412718931</v>
      </c>
      <c r="S4058" s="2">
        <f t="shared" si="254"/>
        <v>3.165658638444008</v>
      </c>
      <c r="T4058" s="2">
        <f t="shared" si="256"/>
        <v>6.9875743749699124</v>
      </c>
      <c r="U4058" s="2">
        <f t="shared" si="257"/>
        <v>247.53237714060322</v>
      </c>
    </row>
    <row r="4059" spans="1:21" x14ac:dyDescent="0.25">
      <c r="A4059">
        <v>5016081</v>
      </c>
      <c r="B4059">
        <v>52</v>
      </c>
      <c r="C4059" s="1">
        <f>4.1106471862755*(10.3/7.3)</f>
        <v>5.7999542491284481</v>
      </c>
      <c r="D4059" s="1">
        <f>6.77298899785511*(10.3/7.3)</f>
        <v>9.5564091339599457</v>
      </c>
      <c r="E4059" s="1">
        <f>23.5856802417429*(10.3/7.3)</f>
        <v>33.278425546568783</v>
      </c>
      <c r="F4059" s="1">
        <f>52.3461414129265*(38.9/42.5)</f>
        <v>47.91211531677277</v>
      </c>
      <c r="G4059" s="1">
        <v>2.2647486017007719</v>
      </c>
      <c r="H4059" s="1">
        <v>5.3557396429949415</v>
      </c>
      <c r="I4059" s="1">
        <v>36.805924318226751</v>
      </c>
      <c r="J4059" s="1">
        <v>3.7618449309908479E-2</v>
      </c>
      <c r="K4059" s="1">
        <v>2.5337787119411734</v>
      </c>
      <c r="L4059" s="1">
        <v>3.1889055331414315</v>
      </c>
      <c r="M4059" s="1">
        <v>0.20281141048644266</v>
      </c>
      <c r="N4059" s="1">
        <v>1.8557193500027285</v>
      </c>
      <c r="O4059" s="1">
        <v>0.16870769230769228</v>
      </c>
      <c r="P4059" s="1">
        <v>0.1248242944833604</v>
      </c>
      <c r="Q4059" s="1">
        <v>3.6194612355948448</v>
      </c>
      <c r="R4059" s="2">
        <f t="shared" si="255"/>
        <v>144.59277804494727</v>
      </c>
      <c r="S4059" s="2">
        <f t="shared" si="254"/>
        <v>2.6962214557344422</v>
      </c>
      <c r="T4059" s="2">
        <f t="shared" si="256"/>
        <v>5.4161439859382954</v>
      </c>
      <c r="U4059" s="2">
        <f t="shared" si="257"/>
        <v>152.70514348662002</v>
      </c>
    </row>
    <row r="4060" spans="1:21" x14ac:dyDescent="0.25">
      <c r="A4060">
        <v>5016089</v>
      </c>
      <c r="B4060">
        <v>71</v>
      </c>
      <c r="C4060" s="1">
        <f>6.83096814394161*(10.3/7.3)</f>
        <v>9.6382153263833619</v>
      </c>
      <c r="D4060" s="1">
        <f>10.9967589659838*(10.3/7.3)</f>
        <v>15.515974979401765</v>
      </c>
      <c r="E4060" s="1">
        <f>38.4103482671458*(10.3/7.3)</f>
        <v>54.195422897479695</v>
      </c>
      <c r="F4060" s="1">
        <f>80.9374725696328*(38.9/42.5)</f>
        <v>74.081592540205037</v>
      </c>
      <c r="G4060" s="1">
        <v>3.3142500570270697</v>
      </c>
      <c r="H4060" s="1">
        <v>5.8721081331524978</v>
      </c>
      <c r="I4060" s="1">
        <v>56.446004914564078</v>
      </c>
      <c r="J4060" s="1">
        <v>5.2992116691802996E-2</v>
      </c>
      <c r="K4060" s="1">
        <v>3.3107066095056887</v>
      </c>
      <c r="L4060" s="1">
        <v>4.6089250794785475</v>
      </c>
      <c r="M4060" s="1">
        <v>0.2695215531664415</v>
      </c>
      <c r="N4060" s="1">
        <v>2.4756402923244267</v>
      </c>
      <c r="O4060" s="1">
        <v>0.22593953051643187</v>
      </c>
      <c r="P4060" s="1">
        <v>0.15436196046897027</v>
      </c>
      <c r="Q4060" s="1">
        <v>5.2967466664816234</v>
      </c>
      <c r="R4060" s="2">
        <f t="shared" si="255"/>
        <v>224.36031551469512</v>
      </c>
      <c r="S4060" s="2">
        <f t="shared" si="254"/>
        <v>3.5180606866664621</v>
      </c>
      <c r="T4060" s="2">
        <f t="shared" si="256"/>
        <v>7.5800264554858474</v>
      </c>
      <c r="U4060" s="2">
        <f t="shared" si="257"/>
        <v>235.45840265684743</v>
      </c>
    </row>
    <row r="4061" spans="1:21" x14ac:dyDescent="0.25">
      <c r="A4061">
        <v>5016097</v>
      </c>
      <c r="B4061">
        <v>71</v>
      </c>
      <c r="C4061" s="1">
        <f>7.82138523351095*(10.3/7.3)</f>
        <v>11.035653137693533</v>
      </c>
      <c r="D4061" s="1">
        <f>12.3613224787427*(10.3/7.3)</f>
        <v>17.441318017952053</v>
      </c>
      <c r="E4061" s="1">
        <f>43.2305837843928*(10.3/7.3)</f>
        <v>60.99657712044462</v>
      </c>
      <c r="F4061" s="1">
        <f>89.8010765002039*(38.9/42.5)</f>
        <v>82.194397079010116</v>
      </c>
      <c r="G4061" s="1">
        <v>3.6109281249918301</v>
      </c>
      <c r="H4061" s="1">
        <v>6.3297481177797748</v>
      </c>
      <c r="I4061" s="1">
        <v>62.699617379132015</v>
      </c>
      <c r="J4061" s="1">
        <v>5.9496529707586378E-2</v>
      </c>
      <c r="K4061" s="1">
        <v>3.6062708492959974</v>
      </c>
      <c r="L4061" s="1">
        <v>5.2074371115991749</v>
      </c>
      <c r="M4061" s="1">
        <v>0.29245660774701465</v>
      </c>
      <c r="N4061" s="1">
        <v>2.7359882879857174</v>
      </c>
      <c r="O4061" s="1">
        <v>0.24389032863849761</v>
      </c>
      <c r="P4061" s="1">
        <v>0.16332400333301209</v>
      </c>
      <c r="Q4061" s="1">
        <v>5.770889697475531</v>
      </c>
      <c r="R4061" s="2">
        <f t="shared" si="255"/>
        <v>250.07912867447948</v>
      </c>
      <c r="S4061" s="2">
        <f t="shared" si="254"/>
        <v>3.8290913823365957</v>
      </c>
      <c r="T4061" s="2">
        <f t="shared" si="256"/>
        <v>8.4797723359704058</v>
      </c>
      <c r="U4061" s="2">
        <f t="shared" si="257"/>
        <v>262.38799239278649</v>
      </c>
    </row>
    <row r="4062" spans="1:21" x14ac:dyDescent="0.25">
      <c r="A4062">
        <v>5016105</v>
      </c>
      <c r="B4062">
        <v>70</v>
      </c>
      <c r="C4062" s="1">
        <f>4.27588445103573*(10.3/7.3)</f>
        <v>6.0330972391326032</v>
      </c>
      <c r="D4062" s="1">
        <f>6.64714730337923*(10.3/7.3)</f>
        <v>9.3788516746309742</v>
      </c>
      <c r="E4062" s="1">
        <f>23.2751807915587*(10.3/7.3)</f>
        <v>32.84032358261026</v>
      </c>
      <c r="F4062" s="1">
        <f>47.6140333931817*(38.9/42.5)</f>
        <v>43.580844682229873</v>
      </c>
      <c r="G4062" s="1">
        <v>1.8772169606339222</v>
      </c>
      <c r="H4062" s="1">
        <v>4.2277456435732983</v>
      </c>
      <c r="I4062" s="1">
        <v>33.26045578785493</v>
      </c>
      <c r="J4062" s="1">
        <v>3.9206354075946297E-2</v>
      </c>
      <c r="K4062" s="1">
        <v>2.6148598816214013</v>
      </c>
      <c r="L4062" s="1">
        <v>3.3371048173898377</v>
      </c>
      <c r="M4062" s="1">
        <v>0.19965684744444362</v>
      </c>
      <c r="N4062" s="1">
        <v>1.8933888471321949</v>
      </c>
      <c r="O4062" s="1">
        <v>0.16909333333333329</v>
      </c>
      <c r="P4062" s="1">
        <v>0.12418847965480639</v>
      </c>
      <c r="Q4062" s="1">
        <v>3.0001184302368658</v>
      </c>
      <c r="R4062" s="2">
        <f t="shared" si="255"/>
        <v>134.19865400090271</v>
      </c>
      <c r="S4062" s="2">
        <f t="shared" si="254"/>
        <v>2.778254715352154</v>
      </c>
      <c r="T4062" s="2">
        <f t="shared" si="256"/>
        <v>5.5992438452998092</v>
      </c>
      <c r="U4062" s="2">
        <f t="shared" si="257"/>
        <v>142.57615256155466</v>
      </c>
    </row>
    <row r="4063" spans="1:21" x14ac:dyDescent="0.25">
      <c r="A4063">
        <v>5016113</v>
      </c>
      <c r="B4063">
        <v>69</v>
      </c>
      <c r="C4063" s="1">
        <f>8.17704623974438*(10.3/7.3)</f>
        <v>11.537476201283166</v>
      </c>
      <c r="D4063" s="1">
        <f>12.225668812585*(10.3/7.3)</f>
        <v>17.249916269811674</v>
      </c>
      <c r="E4063" s="1">
        <f>42.8547353531515*(10.3/7.3)</f>
        <v>60.466270429789155</v>
      </c>
      <c r="F4063" s="1">
        <f>88.480727602075*(38.9/42.5)</f>
        <v>80.985889499311028</v>
      </c>
      <c r="G4063" s="1">
        <v>3.5017958758038019</v>
      </c>
      <c r="H4063" s="1">
        <v>6.3313902918923626</v>
      </c>
      <c r="I4063" s="1">
        <v>62.680768574077312</v>
      </c>
      <c r="J4063" s="1">
        <v>6.2069707552003549E-2</v>
      </c>
      <c r="K4063" s="1">
        <v>3.6641325120065495</v>
      </c>
      <c r="L4063" s="1">
        <v>5.3075930622836323</v>
      </c>
      <c r="M4063" s="1">
        <v>0.28639805992077727</v>
      </c>
      <c r="N4063" s="1">
        <v>2.7822915907043964</v>
      </c>
      <c r="O4063" s="1">
        <v>0.23901681159420288</v>
      </c>
      <c r="P4063" s="1">
        <v>0.16194297269016356</v>
      </c>
      <c r="Q4063" s="1">
        <v>5.5964774270837108</v>
      </c>
      <c r="R4063" s="2">
        <f t="shared" si="255"/>
        <v>248.3499845690522</v>
      </c>
      <c r="S4063" s="2">
        <f t="shared" si="254"/>
        <v>3.8881451922487162</v>
      </c>
      <c r="T4063" s="2">
        <f t="shared" si="256"/>
        <v>8.6152995245030084</v>
      </c>
      <c r="U4063" s="2">
        <f t="shared" si="257"/>
        <v>260.85342928580394</v>
      </c>
    </row>
    <row r="4064" spans="1:21" x14ac:dyDescent="0.25">
      <c r="A4064">
        <v>5016121</v>
      </c>
      <c r="B4064">
        <v>69</v>
      </c>
      <c r="C4064" s="1">
        <f>7.92219720686633*(10.3/7.3)</f>
        <v>11.177894689140166</v>
      </c>
      <c r="D4064" s="1">
        <f>11.8492056534849*(10.3/7.3)</f>
        <v>16.718742223410192</v>
      </c>
      <c r="E4064" s="1">
        <f>41.5187242265658*(10.3/7.3)</f>
        <v>58.581213634743492</v>
      </c>
      <c r="F4064" s="1">
        <f>86.5199622003893*(38.9/42.5)</f>
        <v>79.19121246106225</v>
      </c>
      <c r="G4064" s="1">
        <v>3.4599041988227941</v>
      </c>
      <c r="H4064" s="1">
        <v>6.3814358050988176</v>
      </c>
      <c r="I4064" s="1">
        <v>61.433325148871468</v>
      </c>
      <c r="J4064" s="1">
        <v>6.4341727929020806E-2</v>
      </c>
      <c r="K4064" s="1">
        <v>3.6873883271002463</v>
      </c>
      <c r="L4064" s="1">
        <v>5.3343051892734881</v>
      </c>
      <c r="M4064" s="1">
        <v>0.27981126413510415</v>
      </c>
      <c r="N4064" s="1">
        <v>2.8194330224552222</v>
      </c>
      <c r="O4064" s="1">
        <v>0.2380885024154589</v>
      </c>
      <c r="P4064" s="1">
        <v>0.16095195337296381</v>
      </c>
      <c r="Q4064" s="1">
        <v>5.5295272583926005</v>
      </c>
      <c r="R4064" s="2">
        <f t="shared" si="255"/>
        <v>242.47325541954174</v>
      </c>
      <c r="S4064" s="2">
        <f t="shared" si="254"/>
        <v>3.9126820084022311</v>
      </c>
      <c r="T4064" s="2">
        <f t="shared" si="256"/>
        <v>8.671637978279275</v>
      </c>
      <c r="U4064" s="2">
        <f t="shared" si="257"/>
        <v>255.05757540622326</v>
      </c>
    </row>
    <row r="4065" spans="1:21" x14ac:dyDescent="0.25">
      <c r="A4065">
        <v>5016129</v>
      </c>
      <c r="B4065">
        <v>70</v>
      </c>
      <c r="C4065" s="1">
        <f>7.99695979501654*(10.3/7.3)</f>
        <v>11.283381628584984</v>
      </c>
      <c r="D4065" s="1">
        <f>11.7277646679309*(10.3/7.3)</f>
        <v>16.547393983518909</v>
      </c>
      <c r="E4065" s="1">
        <f>41.1082948735852*(10.3/7.3)</f>
        <v>58.002114684647587</v>
      </c>
      <c r="F4065" s="1">
        <f>86.4711679669071*(38.9/42.5)</f>
        <v>79.146551386180874</v>
      </c>
      <c r="G4065" s="1">
        <v>3.4820887052040947</v>
      </c>
      <c r="H4065" s="1">
        <v>6.4804446911761291</v>
      </c>
      <c r="I4065" s="1">
        <v>61.9031746147283</v>
      </c>
      <c r="J4065" s="1">
        <v>6.8153975045262258E-2</v>
      </c>
      <c r="K4065" s="1">
        <v>3.7029037132721192</v>
      </c>
      <c r="L4065" s="1">
        <v>5.3321884629908949</v>
      </c>
      <c r="M4065" s="1">
        <v>0.27689540321998934</v>
      </c>
      <c r="N4065" s="1">
        <v>2.871881411317363</v>
      </c>
      <c r="O4065" s="1">
        <v>0.23628190476190478</v>
      </c>
      <c r="P4065" s="1">
        <v>0.15911342667574116</v>
      </c>
      <c r="Q4065" s="1">
        <v>5.5649819489563246</v>
      </c>
      <c r="R4065" s="2">
        <f t="shared" si="255"/>
        <v>242.41013164299721</v>
      </c>
      <c r="S4065" s="2">
        <f t="shared" si="254"/>
        <v>3.9301711149931227</v>
      </c>
      <c r="T4065" s="2">
        <f t="shared" si="256"/>
        <v>8.7172471822901514</v>
      </c>
      <c r="U4065" s="2">
        <f t="shared" si="257"/>
        <v>255.0575499402805</v>
      </c>
    </row>
    <row r="4066" spans="1:21" x14ac:dyDescent="0.25">
      <c r="A4066">
        <v>5016137</v>
      </c>
      <c r="B4066">
        <v>68</v>
      </c>
      <c r="C4066" s="1">
        <f>7.39856317224487*(10.3/7.3)</f>
        <v>10.439068585496187</v>
      </c>
      <c r="D4066" s="1">
        <f>10.5577488420892*(10.3/7.3)</f>
        <v>14.896549736098525</v>
      </c>
      <c r="E4066" s="1">
        <f>37.032199233836*(10.3/7.3)</f>
        <v>52.250911247741151</v>
      </c>
      <c r="F4066" s="1">
        <f>78.6365994136309*(38.9/42.5)</f>
        <v>71.975616875064489</v>
      </c>
      <c r="G4066" s="1">
        <v>3.184403399471992</v>
      </c>
      <c r="H4066" s="1">
        <v>6.2582242154992187</v>
      </c>
      <c r="I4066" s="1">
        <v>56.88124399246874</v>
      </c>
      <c r="J4066" s="1">
        <v>6.8182044372973885E-2</v>
      </c>
      <c r="K4066" s="1">
        <v>3.4548987277421555</v>
      </c>
      <c r="L4066" s="1">
        <v>4.797615667032332</v>
      </c>
      <c r="M4066" s="1">
        <v>0.25049349969252538</v>
      </c>
      <c r="N4066" s="1">
        <v>2.7079174568343336</v>
      </c>
      <c r="O4066" s="1">
        <v>0.21570980392156866</v>
      </c>
      <c r="P4066" s="1">
        <v>0.14763424420354798</v>
      </c>
      <c r="Q4066" s="1">
        <v>5.0892291772383507</v>
      </c>
      <c r="R4066" s="2">
        <f t="shared" si="255"/>
        <v>220.97524722907863</v>
      </c>
      <c r="S4066" s="2">
        <f t="shared" si="254"/>
        <v>3.6707150163186775</v>
      </c>
      <c r="T4066" s="2">
        <f t="shared" si="256"/>
        <v>7.9717364274807592</v>
      </c>
      <c r="U4066" s="2">
        <f t="shared" si="257"/>
        <v>232.61769867287805</v>
      </c>
    </row>
    <row r="4067" spans="1:21" x14ac:dyDescent="0.25">
      <c r="A4067">
        <v>5016145</v>
      </c>
      <c r="B4067">
        <v>1</v>
      </c>
      <c r="C4067" s="1">
        <f>9.00936066897848*(10.3/7.3)</f>
        <v>12.711837656229918</v>
      </c>
      <c r="D4067" s="1">
        <f>12.4756983191509*(10.3/7.3)</f>
        <v>17.602697628391049</v>
      </c>
      <c r="E4067" s="1">
        <f>43.786140500183*(10.3/7.3)</f>
        <v>61.780444815326689</v>
      </c>
      <c r="F4067" s="1">
        <f>94.3183924239679*(38.9/42.5)</f>
        <v>86.329069771584741</v>
      </c>
      <c r="G4067" s="1">
        <v>3.8583260798945953</v>
      </c>
      <c r="H4067" s="1">
        <v>7.9408793114629557</v>
      </c>
      <c r="I4067" s="1">
        <v>69.061823327213233</v>
      </c>
      <c r="J4067" s="1">
        <v>6.3758379655963218E-2</v>
      </c>
      <c r="K4067" s="1">
        <v>2.8816085350298777</v>
      </c>
      <c r="L4067" s="1">
        <v>3.9184541184916064</v>
      </c>
      <c r="M4067" s="1">
        <v>0.20482259437209596</v>
      </c>
      <c r="N4067" s="1">
        <v>2.1527223180334554</v>
      </c>
      <c r="O4067" s="1">
        <v>0.18176</v>
      </c>
      <c r="P4067" s="1">
        <v>0.12319214321657213</v>
      </c>
      <c r="Q4067" s="1">
        <v>6.166274556909177</v>
      </c>
      <c r="R4067" s="2">
        <f t="shared" si="255"/>
        <v>265.45135314701241</v>
      </c>
      <c r="S4067" s="2">
        <f t="shared" si="254"/>
        <v>3.0685590579024131</v>
      </c>
      <c r="T4067" s="2">
        <f t="shared" si="256"/>
        <v>6.4577590308971571</v>
      </c>
      <c r="U4067" s="2">
        <f t="shared" si="257"/>
        <v>274.97767123581195</v>
      </c>
    </row>
    <row r="4068" spans="1:21" x14ac:dyDescent="0.25">
      <c r="A4068">
        <v>5016217</v>
      </c>
      <c r="B4068">
        <v>17</v>
      </c>
      <c r="C4068" s="1">
        <f>3.47141767202685*(10.3/7.3)</f>
        <v>4.8980276742296631</v>
      </c>
      <c r="D4068" s="1">
        <f>4.63937548832342*(10.3/7.3)</f>
        <v>6.5459681547577002</v>
      </c>
      <c r="E4068" s="1">
        <f>16.2527839519433*(10.3/7.3)</f>
        <v>22.932010233563872</v>
      </c>
      <c r="F4068" s="1">
        <f>37.7519228647887*(38.9/42.5)</f>
        <v>34.554112928006624</v>
      </c>
      <c r="G4068" s="1">
        <v>1.6537937294948319</v>
      </c>
      <c r="H4068" s="1">
        <v>7.088659433132614</v>
      </c>
      <c r="I4068" s="1">
        <v>28.365269545833442</v>
      </c>
      <c r="J4068" s="1">
        <v>4.1016305118598835E-2</v>
      </c>
      <c r="K4068" s="1">
        <v>2.3984383260716267</v>
      </c>
      <c r="L4068" s="1">
        <v>2.9403708471726508</v>
      </c>
      <c r="M4068" s="1">
        <v>0.13079206453794923</v>
      </c>
      <c r="N4068" s="1">
        <v>1.9453446647267916</v>
      </c>
      <c r="O4068" s="1">
        <v>0.11270588235294117</v>
      </c>
      <c r="P4068" s="1">
        <v>8.9425659901332208E-2</v>
      </c>
      <c r="Q4068" s="1">
        <v>2.6430493393753052</v>
      </c>
      <c r="R4068" s="2">
        <f t="shared" si="255"/>
        <v>108.68089103839407</v>
      </c>
      <c r="S4068" s="2">
        <f t="shared" si="254"/>
        <v>2.5288802910915575</v>
      </c>
      <c r="T4068" s="2">
        <f t="shared" si="256"/>
        <v>5.1292134587903329</v>
      </c>
      <c r="U4068" s="2">
        <f t="shared" si="257"/>
        <v>116.33898478827595</v>
      </c>
    </row>
    <row r="4069" spans="1:21" x14ac:dyDescent="0.25">
      <c r="A4069">
        <v>5016529</v>
      </c>
      <c r="B4069">
        <v>17</v>
      </c>
      <c r="C4069" s="1">
        <f>3.55550410111345*(10.3/7.3)</f>
        <v>5.0166701700641898</v>
      </c>
      <c r="D4069" s="1">
        <f>4.54321631007736*(10.3/7.3)</f>
        <v>6.4102915059995622</v>
      </c>
      <c r="E4069" s="1">
        <f>15.8039684326971*(10.3/7.3)</f>
        <v>22.298749980380904</v>
      </c>
      <c r="F4069" s="1">
        <f>43.9660604226323*(38.9/42.5)</f>
        <v>40.241876480950459</v>
      </c>
      <c r="G4069" s="1">
        <v>2.2065520198782131</v>
      </c>
      <c r="H4069" s="1">
        <v>6.924854592155139</v>
      </c>
      <c r="I4069" s="1">
        <v>34.435689687030326</v>
      </c>
      <c r="J4069" s="1">
        <v>3.281743705876889E-2</v>
      </c>
      <c r="K4069" s="1">
        <v>1.8662102749680467</v>
      </c>
      <c r="L4069" s="1">
        <v>1.8091126120575036</v>
      </c>
      <c r="M4069" s="1">
        <v>8.3094349642063831E-2</v>
      </c>
      <c r="N4069" s="1">
        <v>1.2248276089657277</v>
      </c>
      <c r="O4069" s="1">
        <v>8.3014901960784315E-2</v>
      </c>
      <c r="P4069" s="1">
        <v>6.5457967369662126E-2</v>
      </c>
      <c r="Q4069" s="1">
        <v>3.5264529998053677</v>
      </c>
      <c r="R4069" s="2">
        <f t="shared" si="255"/>
        <v>121.06113743626418</v>
      </c>
      <c r="S4069" s="2">
        <f t="shared" si="254"/>
        <v>1.9644856793964776</v>
      </c>
      <c r="T4069" s="2">
        <f t="shared" si="256"/>
        <v>3.2000494726260791</v>
      </c>
      <c r="U4069" s="2">
        <f t="shared" si="257"/>
        <v>126.22567258828673</v>
      </c>
    </row>
    <row r="4070" spans="1:21" x14ac:dyDescent="0.25">
      <c r="A4070">
        <v>5016545</v>
      </c>
      <c r="B4070">
        <v>8</v>
      </c>
      <c r="C4070" s="1">
        <f>2.77021908898818*(10.3/7.3)</f>
        <v>3.908665289942225</v>
      </c>
      <c r="D4070" s="1">
        <f>3.46967221430211*(10.3/7.3)</f>
        <v>4.8955649051111898</v>
      </c>
      <c r="E4070" s="1">
        <f>12.137656792708*(10.3/7.3)</f>
        <v>17.125734926697657</v>
      </c>
      <c r="F4070" s="1">
        <f>30.8280460954237*(38.9/42.5)</f>
        <v>28.21672924969365</v>
      </c>
      <c r="G4070" s="1">
        <v>1.4437875504054962</v>
      </c>
      <c r="H4070" s="1">
        <v>5.6172315687791574</v>
      </c>
      <c r="I4070" s="1">
        <v>23.938204769582093</v>
      </c>
      <c r="J4070" s="1">
        <v>2.9734250328707724E-2</v>
      </c>
      <c r="K4070" s="1">
        <v>1.7058982702820948</v>
      </c>
      <c r="L4070" s="1">
        <v>1.6609365171842918</v>
      </c>
      <c r="M4070" s="1">
        <v>7.7759681812554854E-2</v>
      </c>
      <c r="N4070" s="1">
        <v>1.0231233318012634</v>
      </c>
      <c r="O4070" s="1">
        <v>7.7473333333333338E-2</v>
      </c>
      <c r="P4070" s="1">
        <v>6.1971389726422556E-2</v>
      </c>
      <c r="Q4070" s="1">
        <v>2.307423025762211</v>
      </c>
      <c r="R4070" s="2">
        <f t="shared" si="255"/>
        <v>87.453341285973664</v>
      </c>
      <c r="S4070" s="2">
        <f t="shared" si="254"/>
        <v>1.797603910337225</v>
      </c>
      <c r="T4070" s="2">
        <f t="shared" si="256"/>
        <v>2.8392928641314432</v>
      </c>
      <c r="U4070" s="2">
        <f t="shared" si="257"/>
        <v>92.090238060442331</v>
      </c>
    </row>
    <row r="4071" spans="1:21" x14ac:dyDescent="0.25">
      <c r="A4071">
        <v>502429</v>
      </c>
      <c r="B4071">
        <v>4</v>
      </c>
      <c r="C4071" s="1">
        <f>1.05358140183976*(10.3/7.3)</f>
        <v>1.4865600601300701</v>
      </c>
      <c r="D4071" s="1">
        <f>1.2908857878483*(10.3/7.3)</f>
        <v>1.8213867965530843</v>
      </c>
      <c r="E4071" s="1">
        <f>4.57213781222183*(10.3/7.3)</f>
        <v>6.4510985569705239</v>
      </c>
      <c r="F4071" s="1">
        <f>8.96917387561941*(38.9/42.5)</f>
        <v>8.2094320885081213</v>
      </c>
      <c r="G4071" s="1">
        <v>0.320114456600821</v>
      </c>
      <c r="H4071" s="1">
        <v>1.8104633785515003</v>
      </c>
      <c r="I4071" s="1">
        <v>6.6998533856648734</v>
      </c>
      <c r="J4071" s="1">
        <v>2.6632468382181095E-2</v>
      </c>
      <c r="K4071" s="1">
        <v>4.1848143125048871</v>
      </c>
      <c r="L4071" s="1">
        <v>1.4796499590551484</v>
      </c>
      <c r="M4071" s="1">
        <v>7.7252910153931653E-2</v>
      </c>
      <c r="N4071" s="1">
        <v>0.83778798803323939</v>
      </c>
      <c r="O4071" s="1">
        <v>7.377333333333333E-2</v>
      </c>
      <c r="P4071" s="1">
        <v>6.3395403563646036E-2</v>
      </c>
      <c r="Q4071" s="1">
        <v>0.51159844662231724</v>
      </c>
      <c r="R4071" s="2">
        <f t="shared" si="255"/>
        <v>27.310507169601312</v>
      </c>
      <c r="S4071" s="2">
        <f t="shared" si="254"/>
        <v>4.2748421844507147</v>
      </c>
      <c r="T4071" s="2">
        <f t="shared" si="256"/>
        <v>2.468464190575653</v>
      </c>
      <c r="U4071" s="2">
        <f t="shared" si="257"/>
        <v>34.05381354462768</v>
      </c>
    </row>
    <row r="4072" spans="1:21" x14ac:dyDescent="0.25">
      <c r="A4072">
        <v>502437</v>
      </c>
      <c r="B4072">
        <v>38</v>
      </c>
      <c r="C4072" s="1">
        <f>0.914142584701042*(10.3/7.3)</f>
        <v>1.2898176195096891</v>
      </c>
      <c r="D4072" s="1">
        <f>1.12583346520924*(10.3/7.3)</f>
        <v>1.588504752281529</v>
      </c>
      <c r="E4072" s="1">
        <f>3.98432936531805*(10.3/7.3)</f>
        <v>5.6217249949008137</v>
      </c>
      <c r="F4072" s="1">
        <f>7.9306881089198*(38.9/42.5)</f>
        <v>7.2589121749877688</v>
      </c>
      <c r="G4072" s="1">
        <v>0.28893115847252354</v>
      </c>
      <c r="H4072" s="1">
        <v>1.0390713771765345</v>
      </c>
      <c r="I4072" s="1">
        <v>5.9305667141654563</v>
      </c>
      <c r="J4072" s="1">
        <v>2.416459874433154E-2</v>
      </c>
      <c r="K4072" s="1">
        <v>3.3838817545478226</v>
      </c>
      <c r="L4072" s="1">
        <v>1.3529752823849761</v>
      </c>
      <c r="M4072" s="1">
        <v>7.2782396935079929E-2</v>
      </c>
      <c r="N4072" s="1">
        <v>0.7662497375273174</v>
      </c>
      <c r="O4072" s="1">
        <v>6.6200701754385943E-2</v>
      </c>
      <c r="P4072" s="1">
        <v>5.8144552708294078E-2</v>
      </c>
      <c r="Q4072" s="1">
        <v>0.46176212541270933</v>
      </c>
      <c r="R4072" s="2">
        <f t="shared" si="255"/>
        <v>23.479290916907022</v>
      </c>
      <c r="S4072" s="2">
        <f t="shared" si="254"/>
        <v>3.4661909060004485</v>
      </c>
      <c r="T4072" s="2">
        <f t="shared" si="256"/>
        <v>2.2582081186017597</v>
      </c>
      <c r="U4072" s="2">
        <f t="shared" si="257"/>
        <v>29.203689941509232</v>
      </c>
    </row>
    <row r="4073" spans="1:21" x14ac:dyDescent="0.25">
      <c r="A4073">
        <v>502461</v>
      </c>
      <c r="B4073">
        <v>24</v>
      </c>
      <c r="C4073" s="1">
        <f>1.2671985742003*(10.3/7.3)</f>
        <v>1.7879651115428898</v>
      </c>
      <c r="D4073" s="1">
        <f>1.81021204122334*(10.3/7.3)</f>
        <v>2.5541347978904629</v>
      </c>
      <c r="E4073" s="1">
        <f>6.3129675523352*(10.3/7.3)</f>
        <v>8.907337779322269</v>
      </c>
      <c r="F4073" s="1">
        <f>15.2388093178636*(38.9/42.5)</f>
        <v>13.947992528585745</v>
      </c>
      <c r="G4073" s="1">
        <v>0.69705499635136869</v>
      </c>
      <c r="H4073" s="1">
        <v>4.0409244770310542</v>
      </c>
      <c r="I4073" s="1">
        <v>11.334651890898657</v>
      </c>
      <c r="J4073" s="1">
        <v>3.3660981805700228E-2</v>
      </c>
      <c r="K4073" s="1">
        <v>4.7194564089140636</v>
      </c>
      <c r="L4073" s="1">
        <v>1.5211654223637368</v>
      </c>
      <c r="M4073" s="1">
        <v>8.4157497953992952E-2</v>
      </c>
      <c r="N4073" s="1">
        <v>1.0372939719280636</v>
      </c>
      <c r="O4073" s="1">
        <v>7.6388888888888867E-2</v>
      </c>
      <c r="P4073" s="1">
        <v>6.5114107107505551E-2</v>
      </c>
      <c r="Q4073" s="1">
        <v>1.1140148343515035</v>
      </c>
      <c r="R4073" s="2">
        <f t="shared" si="255"/>
        <v>44.384076415973951</v>
      </c>
      <c r="S4073" s="2">
        <f t="shared" si="254"/>
        <v>4.8182314978272691</v>
      </c>
      <c r="T4073" s="2">
        <f t="shared" si="256"/>
        <v>2.7190057811346819</v>
      </c>
      <c r="U4073" s="2">
        <f t="shared" si="257"/>
        <v>51.921313694935904</v>
      </c>
    </row>
    <row r="4074" spans="1:21" x14ac:dyDescent="0.25">
      <c r="A4074">
        <v>502469</v>
      </c>
      <c r="B4074">
        <v>14</v>
      </c>
      <c r="C4074" s="1">
        <f>0.977977082091715*(10.3/7.3)</f>
        <v>1.3798854719924201</v>
      </c>
      <c r="D4074" s="1">
        <f>1.96601254335267*(10.3/7.3)</f>
        <v>2.7739629036345881</v>
      </c>
      <c r="E4074" s="1">
        <f>6.7330481081746*(10.3/7.3)</f>
        <v>9.5000541800271794</v>
      </c>
      <c r="F4074" s="1">
        <f>18.5170796274271*(38.9/42.5)</f>
        <v>16.948574058986249</v>
      </c>
      <c r="G4074" s="1">
        <v>0.96284180914388529</v>
      </c>
      <c r="H4074" s="1">
        <v>3.3910693006012629</v>
      </c>
      <c r="I4074" s="1">
        <v>13.208911109218093</v>
      </c>
      <c r="J4074" s="1">
        <v>2.7117102868451964E-2</v>
      </c>
      <c r="K4074" s="1">
        <v>3.6228179406113954</v>
      </c>
      <c r="L4074" s="1">
        <v>1.2600240915039389</v>
      </c>
      <c r="M4074" s="1">
        <v>7.1570606219858376E-2</v>
      </c>
      <c r="N4074" s="1">
        <v>0.89371187477336012</v>
      </c>
      <c r="O4074" s="1">
        <v>6.5820952380952397E-2</v>
      </c>
      <c r="P4074" s="1">
        <v>5.7093821767327468E-2</v>
      </c>
      <c r="Q4074" s="1">
        <v>1.5387882794536998</v>
      </c>
      <c r="R4074" s="2">
        <f t="shared" si="255"/>
        <v>49.704087113057376</v>
      </c>
      <c r="S4074" s="2">
        <f t="shared" si="254"/>
        <v>3.707028865247175</v>
      </c>
      <c r="T4074" s="2">
        <f t="shared" si="256"/>
        <v>2.2911275248781098</v>
      </c>
      <c r="U4074" s="2">
        <f t="shared" si="257"/>
        <v>55.702243503182657</v>
      </c>
    </row>
    <row r="4075" spans="1:21" x14ac:dyDescent="0.25">
      <c r="A4075">
        <v>502477</v>
      </c>
      <c r="B4075">
        <v>1</v>
      </c>
      <c r="C4075" s="1">
        <f>0.99214489064657*(10.3/7.3)</f>
        <v>1.399875667624612</v>
      </c>
      <c r="D4075" s="1">
        <f>1.70042800194191*(10.3/7.3)</f>
        <v>2.3992340301372175</v>
      </c>
      <c r="E4075" s="1">
        <f>5.8566907847732*(10.3/7.3)</f>
        <v>8.2635500113923275</v>
      </c>
      <c r="F4075" s="1">
        <f>15.8786077866391*(38.9/42.5)</f>
        <v>14.533596303535546</v>
      </c>
      <c r="G4075" s="1">
        <v>0.80750172628717254</v>
      </c>
      <c r="H4075" s="1">
        <v>3.382599605179017</v>
      </c>
      <c r="I4075" s="1">
        <v>11.622736036068584</v>
      </c>
      <c r="J4075" s="1">
        <v>2.4491772086664431E-2</v>
      </c>
      <c r="K4075" s="1">
        <v>3.137297068284008</v>
      </c>
      <c r="L4075" s="1">
        <v>1.1868219880665352</v>
      </c>
      <c r="M4075" s="1">
        <v>7.0467908125675438E-2</v>
      </c>
      <c r="N4075" s="1">
        <v>0.89202595141943242</v>
      </c>
      <c r="O4075" s="1">
        <v>6.314666666666667E-2</v>
      </c>
      <c r="P4075" s="1">
        <v>5.518143874656134E-2</v>
      </c>
      <c r="Q4075" s="1">
        <v>1.2905278730616925</v>
      </c>
      <c r="R4075" s="2">
        <f t="shared" si="255"/>
        <v>43.699621253286168</v>
      </c>
      <c r="S4075" s="2">
        <f t="shared" si="254"/>
        <v>3.2169702791172341</v>
      </c>
      <c r="T4075" s="2">
        <f t="shared" si="256"/>
        <v>2.2124625142783092</v>
      </c>
      <c r="U4075" s="2">
        <f t="shared" si="257"/>
        <v>49.129054046681709</v>
      </c>
    </row>
    <row r="4076" spans="1:21" x14ac:dyDescent="0.25">
      <c r="A4076">
        <v>502533</v>
      </c>
      <c r="B4076">
        <v>1</v>
      </c>
      <c r="C4076" s="1">
        <f>1.13035214759332*(10.3/7.3)</f>
        <v>1.5948804274261938</v>
      </c>
      <c r="D4076" s="1">
        <f>1.70933454027615*(10.3/7.3)</f>
        <v>2.4118007897047091</v>
      </c>
      <c r="E4076" s="1">
        <f>5.93833911977573*(10.3/7.3)</f>
        <v>8.378752456669865</v>
      </c>
      <c r="F4076" s="1">
        <f>14.8295614649768*(38.9/42.5)</f>
        <v>13.573410376178764</v>
      </c>
      <c r="G4076" s="1">
        <v>0.70213809418326556</v>
      </c>
      <c r="H4076" s="1">
        <v>5.3879739490636975</v>
      </c>
      <c r="I4076" s="1">
        <v>10.954377298732073</v>
      </c>
      <c r="J4076" s="1">
        <v>2.3829832300538364E-2</v>
      </c>
      <c r="K4076" s="1">
        <v>2.3379613069665175</v>
      </c>
      <c r="L4076" s="1">
        <v>1.0862471007262318</v>
      </c>
      <c r="M4076" s="1">
        <v>5.923102217915973E-2</v>
      </c>
      <c r="N4076" s="1">
        <v>0.82970395938570851</v>
      </c>
      <c r="O4076" s="1">
        <v>6.0213333333333334E-2</v>
      </c>
      <c r="P4076" s="1">
        <v>5.2639842791641397E-2</v>
      </c>
      <c r="Q4076" s="1">
        <v>1.1221385066855853</v>
      </c>
      <c r="R4076" s="2">
        <f t="shared" si="255"/>
        <v>44.12547189864415</v>
      </c>
      <c r="S4076" s="2">
        <f t="shared" si="254"/>
        <v>2.4144309820586973</v>
      </c>
      <c r="T4076" s="2">
        <f t="shared" si="256"/>
        <v>2.0353954156244334</v>
      </c>
      <c r="U4076" s="2">
        <f t="shared" si="257"/>
        <v>48.575298296327283</v>
      </c>
    </row>
    <row r="4077" spans="1:21" x14ac:dyDescent="0.25">
      <c r="A4077">
        <v>502541</v>
      </c>
      <c r="B4077">
        <v>11</v>
      </c>
      <c r="C4077" s="1">
        <f>1.27391823975834*(10.3/7.3)</f>
        <v>1.7974462834946436</v>
      </c>
      <c r="D4077" s="1">
        <f>2.41955259116651*(10.3/7.3)</f>
        <v>3.4138892724678125</v>
      </c>
      <c r="E4077" s="1">
        <f>8.37129265385164*(10.3/7.3)</f>
        <v>11.811549908859158</v>
      </c>
      <c r="F4077" s="1">
        <f>19.3766243197752*(38.9/42.5)</f>
        <v>17.735310259747187</v>
      </c>
      <c r="G4077" s="1">
        <v>0.88516375543097037</v>
      </c>
      <c r="H4077" s="1">
        <v>6.7670314390870283</v>
      </c>
      <c r="I4077" s="1">
        <v>13.331087538276945</v>
      </c>
      <c r="J4077" s="1">
        <v>2.5517855904319053E-2</v>
      </c>
      <c r="K4077" s="1">
        <v>2.6128539218649531</v>
      </c>
      <c r="L4077" s="1">
        <v>1.2236861779210673</v>
      </c>
      <c r="M4077" s="1">
        <v>6.4595041657562552E-2</v>
      </c>
      <c r="N4077" s="1">
        <v>0.88639001683338858</v>
      </c>
      <c r="O4077" s="1">
        <v>6.6676363636363631E-2</v>
      </c>
      <c r="P4077" s="1">
        <v>5.7349144233654753E-2</v>
      </c>
      <c r="Q4077" s="1">
        <v>1.4146452712367121</v>
      </c>
      <c r="R4077" s="2">
        <f t="shared" si="255"/>
        <v>57.156123728600463</v>
      </c>
      <c r="S4077" s="2">
        <f t="shared" si="254"/>
        <v>2.695720922002927</v>
      </c>
      <c r="T4077" s="2">
        <f t="shared" si="256"/>
        <v>2.2413476000483818</v>
      </c>
      <c r="U4077" s="2">
        <f t="shared" si="257"/>
        <v>62.093192250651768</v>
      </c>
    </row>
    <row r="4078" spans="1:21" x14ac:dyDescent="0.25">
      <c r="A4078">
        <v>5027997</v>
      </c>
      <c r="B4078">
        <v>51</v>
      </c>
      <c r="C4078" s="1">
        <f>1.69284951374842*(10.3/7.3)</f>
        <v>2.3885410947409218</v>
      </c>
      <c r="D4078" s="1">
        <f>2.53169460219758*(10.3/7.3)</f>
        <v>3.5721170414568548</v>
      </c>
      <c r="E4078" s="1">
        <f>8.66821233171637*(10.3/7.3)</f>
        <v>12.230491372147757</v>
      </c>
      <c r="F4078" s="1">
        <f>28.3109248463667*(38.9/42.5)</f>
        <v>25.912822977027417</v>
      </c>
      <c r="G4078" s="1">
        <v>1.5837890400204202</v>
      </c>
      <c r="H4078" s="1">
        <v>11.100659545099226</v>
      </c>
      <c r="I4078" s="1">
        <v>21.994187436368939</v>
      </c>
      <c r="J4078" s="1">
        <v>4.4271924001343055E-2</v>
      </c>
      <c r="K4078" s="1">
        <v>2.9517330992831123</v>
      </c>
      <c r="L4078" s="1">
        <v>3.2418285296088127</v>
      </c>
      <c r="M4078" s="1">
        <v>1.4243260099044961</v>
      </c>
      <c r="N4078" s="1">
        <v>1.9671841804514465</v>
      </c>
      <c r="O4078" s="1">
        <v>0.28983529411764702</v>
      </c>
      <c r="P4078" s="1">
        <v>0.17251013726494963</v>
      </c>
      <c r="Q4078" s="1">
        <v>2.5311696986627745</v>
      </c>
      <c r="R4078" s="2">
        <f t="shared" si="255"/>
        <v>81.313778205524315</v>
      </c>
      <c r="S4078" s="2">
        <f t="shared" si="254"/>
        <v>3.1685151605494051</v>
      </c>
      <c r="T4078" s="2">
        <f t="shared" si="256"/>
        <v>6.9231740140824023</v>
      </c>
      <c r="U4078" s="2">
        <f t="shared" si="257"/>
        <v>91.405467380156125</v>
      </c>
    </row>
    <row r="4079" spans="1:21" x14ac:dyDescent="0.25">
      <c r="A4079">
        <v>5028053</v>
      </c>
      <c r="B4079">
        <v>4</v>
      </c>
      <c r="C4079" s="1">
        <f>1.18043734229377*(10.3/7.3)</f>
        <v>1.6655485788528477</v>
      </c>
      <c r="D4079" s="1">
        <f>2.01735938964426*(10.3/7.3)</f>
        <v>2.846411193607655</v>
      </c>
      <c r="E4079" s="1">
        <f>6.91868005439715*(10.3/7.3)</f>
        <v>9.7619732274370783</v>
      </c>
      <c r="F4079" s="1">
        <f>20.3068432664394*(38.9/42.5)</f>
        <v>18.58673418975275</v>
      </c>
      <c r="G4079" s="1">
        <v>1.0839471418836246</v>
      </c>
      <c r="H4079" s="1">
        <v>7.7678863823003743</v>
      </c>
      <c r="I4079" s="1">
        <v>15.122085252090539</v>
      </c>
      <c r="J4079" s="1">
        <v>4.6724038172610075E-2</v>
      </c>
      <c r="K4079" s="1">
        <v>2.9991471341380902</v>
      </c>
      <c r="L4079" s="1">
        <v>4.2840332861478245</v>
      </c>
      <c r="M4079" s="1">
        <v>0.73762053073708966</v>
      </c>
      <c r="N4079" s="1">
        <v>2.2005792221856302</v>
      </c>
      <c r="O4079" s="1">
        <v>0.26997333333333334</v>
      </c>
      <c r="P4079" s="1">
        <v>0.17352433613266582</v>
      </c>
      <c r="Q4079" s="1">
        <v>1.7323356148825071</v>
      </c>
      <c r="R4079" s="2">
        <f t="shared" si="255"/>
        <v>58.566921580807382</v>
      </c>
      <c r="S4079" s="2">
        <f t="shared" si="254"/>
        <v>3.2193955084433661</v>
      </c>
      <c r="T4079" s="2">
        <f t="shared" si="256"/>
        <v>7.4922063724038779</v>
      </c>
      <c r="U4079" s="2">
        <f t="shared" si="257"/>
        <v>69.278523461654629</v>
      </c>
    </row>
    <row r="4080" spans="1:21" x14ac:dyDescent="0.25">
      <c r="A4080">
        <v>5028061</v>
      </c>
      <c r="B4080">
        <v>49</v>
      </c>
      <c r="C4080" s="1">
        <f>1.987541142981*(10.3/7.3)</f>
        <v>2.8043388729731915</v>
      </c>
      <c r="D4080" s="1">
        <f>3.37463873677254*(10.3/7.3)</f>
        <v>4.7614765738023452</v>
      </c>
      <c r="E4080" s="1">
        <f>11.5705083840589*(10.3/7.3)</f>
        <v>16.32551182956259</v>
      </c>
      <c r="F4080" s="1">
        <f>34.2474562042891*(38.9/42.5)</f>
        <v>31.346495208161102</v>
      </c>
      <c r="G4080" s="1">
        <v>1.8359478228006307</v>
      </c>
      <c r="H4080" s="1">
        <v>12.014216683331954</v>
      </c>
      <c r="I4080" s="1">
        <v>25.575691068370528</v>
      </c>
      <c r="J4080" s="1">
        <v>6.7170435052737065E-2</v>
      </c>
      <c r="K4080" s="1">
        <v>3.7460991378970561</v>
      </c>
      <c r="L4080" s="1">
        <v>5.6246563717503184</v>
      </c>
      <c r="M4080" s="1">
        <v>0.93754370539314036</v>
      </c>
      <c r="N4080" s="1">
        <v>2.721308724889278</v>
      </c>
      <c r="O4080" s="1">
        <v>0.34768326530612248</v>
      </c>
      <c r="P4080" s="1">
        <v>0.20461340237210193</v>
      </c>
      <c r="Q4080" s="1">
        <v>2.9341631871242972</v>
      </c>
      <c r="R4080" s="2">
        <f t="shared" si="255"/>
        <v>97.597841246126649</v>
      </c>
      <c r="S4080" s="2">
        <f t="shared" si="254"/>
        <v>4.0178829753218945</v>
      </c>
      <c r="T4080" s="2">
        <f t="shared" si="256"/>
        <v>9.6311920673388585</v>
      </c>
      <c r="U4080" s="2">
        <f t="shared" si="257"/>
        <v>111.2469162887874</v>
      </c>
    </row>
    <row r="4081" spans="1:21" x14ac:dyDescent="0.25">
      <c r="A4081">
        <v>5028253</v>
      </c>
      <c r="B4081">
        <v>63</v>
      </c>
      <c r="C4081" s="1">
        <f>11.2022415593563*(10.3/7.3)</f>
        <v>15.805902474160323</v>
      </c>
      <c r="D4081" s="1">
        <f>18.7038753652228*(10.3/7.3)</f>
        <v>26.390399487917147</v>
      </c>
      <c r="E4081" s="1">
        <f>65.4502526528074*(10.3/7.3)</f>
        <v>92.347616756700802</v>
      </c>
      <c r="F4081" s="1">
        <f>127.663305667805*(38.9/42.5)</f>
        <v>116.84947271712036</v>
      </c>
      <c r="G4081" s="1">
        <v>4.8158908513429131</v>
      </c>
      <c r="H4081" s="1">
        <v>7.5580501447539614</v>
      </c>
      <c r="I4081" s="1">
        <v>86.065185196271457</v>
      </c>
      <c r="J4081" s="1">
        <v>8.0738199338658098E-2</v>
      </c>
      <c r="K4081" s="1">
        <v>3.8954888155722727</v>
      </c>
      <c r="L4081" s="1">
        <v>5.3552992117954297</v>
      </c>
      <c r="M4081" s="1">
        <v>0.37199832831975899</v>
      </c>
      <c r="N4081" s="1">
        <v>3.1942405418288748</v>
      </c>
      <c r="O4081" s="1">
        <v>0.28501248677248686</v>
      </c>
      <c r="P4081" s="1">
        <v>0.18098219868508519</v>
      </c>
      <c r="Q4081" s="1">
        <v>7.6966292144749824</v>
      </c>
      <c r="R4081" s="2">
        <f t="shared" si="255"/>
        <v>357.52914684274191</v>
      </c>
      <c r="S4081" s="2">
        <f t="shared" si="254"/>
        <v>4.1572092135960164</v>
      </c>
      <c r="T4081" s="2">
        <f t="shared" si="256"/>
        <v>9.2065505687165512</v>
      </c>
      <c r="U4081" s="2">
        <f t="shared" si="257"/>
        <v>370.89290662505448</v>
      </c>
    </row>
    <row r="4082" spans="1:21" x14ac:dyDescent="0.25">
      <c r="A4082">
        <v>5028261</v>
      </c>
      <c r="B4082">
        <v>68</v>
      </c>
      <c r="C4082" s="1">
        <f>10.6836505654961*(10.3/7.3)</f>
        <v>15.074191893782134</v>
      </c>
      <c r="D4082" s="1">
        <f>17.9901670775784*(10.3/7.3)</f>
        <v>25.383386424528442</v>
      </c>
      <c r="E4082" s="1">
        <f>62.9446980093429*(10.3/7.3)</f>
        <v>88.81238212277151</v>
      </c>
      <c r="F4082" s="1">
        <f>122.266634615586*(38.9/42.5)</f>
        <v>111.90993144814786</v>
      </c>
      <c r="G4082" s="1">
        <v>4.5953792101865698</v>
      </c>
      <c r="H4082" s="1">
        <v>7.4831050468856741</v>
      </c>
      <c r="I4082" s="1">
        <v>82.106470889287536</v>
      </c>
      <c r="J4082" s="1">
        <v>7.2406902513947838E-2</v>
      </c>
      <c r="K4082" s="1">
        <v>4.007271529879409</v>
      </c>
      <c r="L4082" s="1">
        <v>5.8085450344164462</v>
      </c>
      <c r="M4082" s="1">
        <v>0.39274095634773021</v>
      </c>
      <c r="N4082" s="1">
        <v>3.2020109208203746</v>
      </c>
      <c r="O4082" s="1">
        <v>0.30102039215686283</v>
      </c>
      <c r="P4082" s="1">
        <v>0.1905658355851173</v>
      </c>
      <c r="Q4082" s="1">
        <v>7.3442133496132511</v>
      </c>
      <c r="R4082" s="2">
        <f t="shared" si="255"/>
        <v>342.70906038520297</v>
      </c>
      <c r="S4082" s="2">
        <f t="shared" si="254"/>
        <v>4.270244267978474</v>
      </c>
      <c r="T4082" s="2">
        <f t="shared" si="256"/>
        <v>9.7043173037414139</v>
      </c>
      <c r="U4082" s="2">
        <f t="shared" si="257"/>
        <v>356.68362195692282</v>
      </c>
    </row>
    <row r="4083" spans="1:21" x14ac:dyDescent="0.25">
      <c r="A4083">
        <v>5028269</v>
      </c>
      <c r="B4083">
        <v>68</v>
      </c>
      <c r="C4083" s="1">
        <f>10.1451951861472*(10.3/7.3)</f>
        <v>14.314453481824202</v>
      </c>
      <c r="D4083" s="1">
        <f>17.0515875400989*(10.3/7.3)</f>
        <v>24.059089268906632</v>
      </c>
      <c r="E4083" s="1">
        <f>59.64345943463*(10.3/7.3)</f>
        <v>84.154470161190247</v>
      </c>
      <c r="F4083" s="1">
        <f>116.916823776731*(38.9/42.5)</f>
        <v>107.01328105681996</v>
      </c>
      <c r="G4083" s="1">
        <v>4.4423419111905567</v>
      </c>
      <c r="H4083" s="1">
        <v>7.2382375569202502</v>
      </c>
      <c r="I4083" s="1">
        <v>78.793289725357795</v>
      </c>
      <c r="J4083" s="1">
        <v>6.8654287991130186E-2</v>
      </c>
      <c r="K4083" s="1">
        <v>3.942570180761201</v>
      </c>
      <c r="L4083" s="1">
        <v>5.7289722961397596</v>
      </c>
      <c r="M4083" s="1">
        <v>0.37868139279021923</v>
      </c>
      <c r="N4083" s="1">
        <v>3.0119169957128009</v>
      </c>
      <c r="O4083" s="1">
        <v>0.29442666666666667</v>
      </c>
      <c r="P4083" s="1">
        <v>0.18804106228817311</v>
      </c>
      <c r="Q4083" s="1">
        <v>7.0996331914004376</v>
      </c>
      <c r="R4083" s="2">
        <f t="shared" si="255"/>
        <v>327.11479635361007</v>
      </c>
      <c r="S4083" s="2">
        <f t="shared" si="254"/>
        <v>4.1992655310405045</v>
      </c>
      <c r="T4083" s="2">
        <f t="shared" si="256"/>
        <v>9.4139973513094457</v>
      </c>
      <c r="U4083" s="2">
        <f t="shared" si="257"/>
        <v>340.72805923596002</v>
      </c>
    </row>
    <row r="4084" spans="1:21" x14ac:dyDescent="0.25">
      <c r="A4084">
        <v>5028277</v>
      </c>
      <c r="B4084">
        <v>66</v>
      </c>
      <c r="C4084" s="1">
        <f>9.6575504108635*(10.3/7.3)</f>
        <v>13.626406744095075</v>
      </c>
      <c r="D4084" s="1">
        <f>16.5257700749216*(10.3/7.3)</f>
        <v>23.317182434478461</v>
      </c>
      <c r="E4084" s="1">
        <f>57.7078816562508*(10.3/7.3)</f>
        <v>81.423449460189502</v>
      </c>
      <c r="F4084" s="1">
        <f>116.223253124055*(38.9/42.5)</f>
        <v>106.37845991825274</v>
      </c>
      <c r="G4084" s="1">
        <v>4.5717724105913913</v>
      </c>
      <c r="H4084" s="1">
        <v>7.0621729501825907</v>
      </c>
      <c r="I4084" s="1">
        <v>78.60703211756433</v>
      </c>
      <c r="J4084" s="1">
        <v>6.6646201267580418E-2</v>
      </c>
      <c r="K4084" s="1">
        <v>3.8826083893290924</v>
      </c>
      <c r="L4084" s="1">
        <v>5.6574488435611272</v>
      </c>
      <c r="M4084" s="1">
        <v>0.36745894150581759</v>
      </c>
      <c r="N4084" s="1">
        <v>2.9670287403700959</v>
      </c>
      <c r="O4084" s="1">
        <v>0.28673616161616161</v>
      </c>
      <c r="P4084" s="1">
        <v>0.18471417238928753</v>
      </c>
      <c r="Q4084" s="1">
        <v>7.3064855877031381</v>
      </c>
      <c r="R4084" s="2">
        <f t="shared" si="255"/>
        <v>322.29296162305724</v>
      </c>
      <c r="S4084" s="2">
        <f t="shared" si="254"/>
        <v>4.1339687629859601</v>
      </c>
      <c r="T4084" s="2">
        <f t="shared" si="256"/>
        <v>9.2786726870532021</v>
      </c>
      <c r="U4084" s="2">
        <f t="shared" si="257"/>
        <v>335.70560307309637</v>
      </c>
    </row>
    <row r="4085" spans="1:21" x14ac:dyDescent="0.25">
      <c r="A4085">
        <v>5028285</v>
      </c>
      <c r="B4085">
        <v>50</v>
      </c>
      <c r="C4085" s="1">
        <f>7.85311955394557*(10.3/7.3)</f>
        <v>11.080428959676627</v>
      </c>
      <c r="D4085" s="1">
        <f>16.0021473743617*(10.3/7.3)</f>
        <v>22.578372322729454</v>
      </c>
      <c r="E4085" s="1">
        <f>55.4530538828172*(10.3/7.3)</f>
        <v>78.241980136029738</v>
      </c>
      <c r="F4085" s="1">
        <f>118.127381243714*(38.9/42.5)</f>
        <v>108.12129718542255</v>
      </c>
      <c r="G4085" s="1">
        <v>5.0453514716379182</v>
      </c>
      <c r="H4085" s="1">
        <v>8.2696666494519544</v>
      </c>
      <c r="I4085" s="1">
        <v>77.861624126433554</v>
      </c>
      <c r="J4085" s="1">
        <v>5.9263978236317516E-2</v>
      </c>
      <c r="K4085" s="1">
        <v>3.5176247544087738</v>
      </c>
      <c r="L4085" s="1">
        <v>4.9470405716278982</v>
      </c>
      <c r="M4085" s="1">
        <v>0.31676376670230977</v>
      </c>
      <c r="N4085" s="1">
        <v>2.8653452419013816</v>
      </c>
      <c r="O4085" s="1">
        <v>0.25645119999999999</v>
      </c>
      <c r="P4085" s="1">
        <v>0.16851220252774424</v>
      </c>
      <c r="Q4085" s="1">
        <v>8.0633471007911979</v>
      </c>
      <c r="R4085" s="2">
        <f t="shared" si="255"/>
        <v>319.26206795217303</v>
      </c>
      <c r="S4085" s="2">
        <f t="shared" si="254"/>
        <v>3.7454009351728352</v>
      </c>
      <c r="T4085" s="2">
        <f t="shared" si="256"/>
        <v>8.3856007802315897</v>
      </c>
      <c r="U4085" s="2">
        <f t="shared" si="257"/>
        <v>331.39306966757744</v>
      </c>
    </row>
    <row r="4086" spans="1:21" x14ac:dyDescent="0.25">
      <c r="A4086">
        <v>5028293</v>
      </c>
      <c r="B4086">
        <v>64</v>
      </c>
      <c r="C4086" s="1">
        <f>3.92122017743837*(10.3/7.3)</f>
        <v>5.5326805243308499</v>
      </c>
      <c r="D4086" s="1">
        <f>6.61561882010617*(10.3/7.3)</f>
        <v>9.3343662804237777</v>
      </c>
      <c r="E4086" s="1">
        <f>23.0482385883336*(10.3/7.3)</f>
        <v>32.520117460251484</v>
      </c>
      <c r="F4086" s="1">
        <f>49.6723895668738*(38.9/42.5)</f>
        <v>45.464845980032727</v>
      </c>
      <c r="G4086" s="1">
        <v>2.0955037282325195</v>
      </c>
      <c r="H4086" s="1">
        <v>3.8984817352576</v>
      </c>
      <c r="I4086" s="1">
        <v>34.428585542052076</v>
      </c>
      <c r="J4086" s="1">
        <v>3.7071147425290531E-2</v>
      </c>
      <c r="K4086" s="1">
        <v>2.4817524705563598</v>
      </c>
      <c r="L4086" s="1">
        <v>3.1281081986560837</v>
      </c>
      <c r="M4086" s="1">
        <v>0.20714826211828627</v>
      </c>
      <c r="N4086" s="1">
        <v>1.8543705559246113</v>
      </c>
      <c r="O4086" s="1">
        <v>0.16979166666666667</v>
      </c>
      <c r="P4086" s="1">
        <v>0.12575675101704456</v>
      </c>
      <c r="Q4086" s="1">
        <v>3.3489785611022036</v>
      </c>
      <c r="R4086" s="2">
        <f t="shared" si="255"/>
        <v>136.62355981168324</v>
      </c>
      <c r="S4086" s="2">
        <f t="shared" si="254"/>
        <v>2.6445803689986951</v>
      </c>
      <c r="T4086" s="2">
        <f t="shared" si="256"/>
        <v>5.3594186833656483</v>
      </c>
      <c r="U4086" s="2">
        <f t="shared" si="257"/>
        <v>144.62755886404759</v>
      </c>
    </row>
    <row r="4087" spans="1:21" x14ac:dyDescent="0.25">
      <c r="A4087">
        <v>5028301</v>
      </c>
      <c r="B4087">
        <v>46</v>
      </c>
      <c r="C4087" s="1">
        <f>5.72432777345531*(10.3/7.3)</f>
        <v>8.0767912419985954</v>
      </c>
      <c r="D4087" s="1">
        <f>10.1949681957635*(10.3/7.3)</f>
        <v>14.384681152926637</v>
      </c>
      <c r="E4087" s="1">
        <f>35.2537723506157*(10.3/7.3)</f>
        <v>49.741624001553667</v>
      </c>
      <c r="F4087" s="1">
        <f>86.1688674624574*(38.9/42.5)</f>
        <v>78.869857512696342</v>
      </c>
      <c r="G4087" s="1">
        <v>4.0856980549563335</v>
      </c>
      <c r="H4087" s="1">
        <v>7.6629514565061019</v>
      </c>
      <c r="I4087" s="1">
        <v>61.039420876697029</v>
      </c>
      <c r="J4087" s="1">
        <v>4.4130794972030082E-2</v>
      </c>
      <c r="K4087" s="1">
        <v>2.8397624311392224</v>
      </c>
      <c r="L4087" s="1">
        <v>3.6368096955903644</v>
      </c>
      <c r="M4087" s="1">
        <v>0.23510181487121923</v>
      </c>
      <c r="N4087" s="1">
        <v>2.8433689889634506</v>
      </c>
      <c r="O4087" s="1">
        <v>0.19778550724637689</v>
      </c>
      <c r="P4087" s="1">
        <v>0.13762735873259385</v>
      </c>
      <c r="Q4087" s="1">
        <v>6.5296544257293059</v>
      </c>
      <c r="R4087" s="2">
        <f t="shared" si="255"/>
        <v>230.39067872306401</v>
      </c>
      <c r="S4087" s="2">
        <f t="shared" si="254"/>
        <v>3.0215205848438464</v>
      </c>
      <c r="T4087" s="2">
        <f t="shared" si="256"/>
        <v>6.9130660066714116</v>
      </c>
      <c r="U4087" s="2">
        <f t="shared" si="257"/>
        <v>240.32526531457927</v>
      </c>
    </row>
    <row r="4088" spans="1:21" x14ac:dyDescent="0.25">
      <c r="A4088">
        <v>5028309</v>
      </c>
      <c r="B4088">
        <v>49</v>
      </c>
      <c r="C4088" s="1">
        <f>4.8622244508991*(10.3/7.3)</f>
        <v>6.8603988827754403</v>
      </c>
      <c r="D4088" s="1">
        <f>8.53911900287732*(10.3/7.3)</f>
        <v>12.048345990361153</v>
      </c>
      <c r="E4088" s="1">
        <f>29.5155937564816*(10.3/7.3)</f>
        <v>41.645289820789145</v>
      </c>
      <c r="F4088" s="1">
        <f>73.4513168560738*(38.9/42.5)</f>
        <v>67.229558251794586</v>
      </c>
      <c r="G4088" s="1">
        <v>3.5257117626623029</v>
      </c>
      <c r="H4088" s="1">
        <v>8.6724059796198443</v>
      </c>
      <c r="I4088" s="1">
        <v>52.427680375386636</v>
      </c>
      <c r="J4088" s="1">
        <v>4.2938797335188628E-2</v>
      </c>
      <c r="K4088" s="1">
        <v>2.7746659556432638</v>
      </c>
      <c r="L4088" s="1">
        <v>3.5097521561772207</v>
      </c>
      <c r="M4088" s="1">
        <v>0.22527985335802508</v>
      </c>
      <c r="N4088" s="1">
        <v>2.1268612407121266</v>
      </c>
      <c r="O4088" s="1">
        <v>0.18863891156462584</v>
      </c>
      <c r="P4088" s="1">
        <v>0.13421353141039782</v>
      </c>
      <c r="Q4088" s="1">
        <v>5.6346991640721775</v>
      </c>
      <c r="R4088" s="2">
        <f t="shared" si="255"/>
        <v>198.04409022746128</v>
      </c>
      <c r="S4088" s="2">
        <f t="shared" si="254"/>
        <v>2.9518182843888501</v>
      </c>
      <c r="T4088" s="2">
        <f t="shared" si="256"/>
        <v>6.050532161811998</v>
      </c>
      <c r="U4088" s="2">
        <f t="shared" si="257"/>
        <v>207.04644067366212</v>
      </c>
    </row>
    <row r="4089" spans="1:21" x14ac:dyDescent="0.25">
      <c r="A4089">
        <v>5028317</v>
      </c>
      <c r="B4089">
        <v>60</v>
      </c>
      <c r="C4089" s="1">
        <f>4.5382430574058*(10.3/7.3)</f>
        <v>6.4032744508602413</v>
      </c>
      <c r="D4089" s="1">
        <f>7.4633670404388*(10.3/7.3)</f>
        <v>10.530504180345151</v>
      </c>
      <c r="E4089" s="1">
        <f>26.0092730978109*(10.3/7.3)</f>
        <v>36.698015466774301</v>
      </c>
      <c r="F4089" s="1">
        <f>56.8241176739557*(38.9/42.5)</f>
        <v>52.010780647455903</v>
      </c>
      <c r="G4089" s="1">
        <v>2.4210745796476147</v>
      </c>
      <c r="H4089" s="1">
        <v>4.6506545713707546</v>
      </c>
      <c r="I4089" s="1">
        <v>39.802338388824936</v>
      </c>
      <c r="J4089" s="1">
        <v>4.1465860076665084E-2</v>
      </c>
      <c r="K4089" s="1">
        <v>2.7143915442410216</v>
      </c>
      <c r="L4089" s="1">
        <v>3.547127817423593</v>
      </c>
      <c r="M4089" s="1">
        <v>0.22012384745403538</v>
      </c>
      <c r="N4089" s="1">
        <v>1.989374681809903</v>
      </c>
      <c r="O4089" s="1">
        <v>0.18190844444444443</v>
      </c>
      <c r="P4089" s="1">
        <v>0.13134516911774288</v>
      </c>
      <c r="Q4089" s="1">
        <v>3.8692972734094337</v>
      </c>
      <c r="R4089" s="2">
        <f t="shared" si="255"/>
        <v>156.38593955868834</v>
      </c>
      <c r="S4089" s="2">
        <f t="shared" si="254"/>
        <v>2.8872025734354296</v>
      </c>
      <c r="T4089" s="2">
        <f t="shared" si="256"/>
        <v>5.9385347911319757</v>
      </c>
      <c r="U4089" s="2">
        <f t="shared" si="257"/>
        <v>165.21167692325574</v>
      </c>
    </row>
    <row r="4090" spans="1:21" x14ac:dyDescent="0.25">
      <c r="A4090">
        <v>5028325</v>
      </c>
      <c r="B4090">
        <v>59</v>
      </c>
      <c r="C4090" s="1">
        <f>5.42920337719777*(10.3/7.3)</f>
        <v>7.6603828472790401</v>
      </c>
      <c r="D4090" s="1">
        <f>8.69742200778889*(10.3/7.3)</f>
        <v>12.271705024688439</v>
      </c>
      <c r="E4090" s="1">
        <f>30.3895414635673*(10.3/7.3)</f>
        <v>42.878394119827774</v>
      </c>
      <c r="F4090" s="1">
        <f>63.7722224430307*(38.9/42.5)</f>
        <v>58.370340071385719</v>
      </c>
      <c r="G4090" s="1">
        <v>2.598028791057398</v>
      </c>
      <c r="H4090" s="1">
        <v>5.0008250537845944</v>
      </c>
      <c r="I4090" s="1">
        <v>44.483685814985954</v>
      </c>
      <c r="J4090" s="1">
        <v>4.5622495285365418E-2</v>
      </c>
      <c r="K4090" s="1">
        <v>2.9435438601257009</v>
      </c>
      <c r="L4090" s="1">
        <v>3.949546522888193</v>
      </c>
      <c r="M4090" s="1">
        <v>0.23492276185278285</v>
      </c>
      <c r="N4090" s="1">
        <v>2.183908231879518</v>
      </c>
      <c r="O4090" s="1">
        <v>0.19720045197740113</v>
      </c>
      <c r="P4090" s="1">
        <v>0.13952402845943998</v>
      </c>
      <c r="Q4090" s="1">
        <v>4.1521008076259811</v>
      </c>
      <c r="R4090" s="2">
        <f t="shared" si="255"/>
        <v>177.4154625306349</v>
      </c>
      <c r="S4090" s="2">
        <f t="shared" si="254"/>
        <v>3.1286903838705062</v>
      </c>
      <c r="T4090" s="2">
        <f t="shared" si="256"/>
        <v>6.5655779685978946</v>
      </c>
      <c r="U4090" s="2">
        <f t="shared" si="257"/>
        <v>187.10973088310331</v>
      </c>
    </row>
    <row r="4091" spans="1:21" x14ac:dyDescent="0.25">
      <c r="A4091">
        <v>5028333</v>
      </c>
      <c r="B4091">
        <v>59</v>
      </c>
      <c r="C4091" s="1">
        <f>4.72780475477958*(10.3/7.3)</f>
        <v>6.6707382156478952</v>
      </c>
      <c r="D4091" s="1">
        <f>7.43945842017032*(10.3/7.3)</f>
        <v>10.496770099692368</v>
      </c>
      <c r="E4091" s="1">
        <f>26.0261120784978*(10.3/7.3)</f>
        <v>36.721774576510576</v>
      </c>
      <c r="F4091" s="1">
        <f>53.8410648639805*(38.9/42.5)</f>
        <v>49.280409957855113</v>
      </c>
      <c r="G4091" s="1">
        <v>2.1537186216413571</v>
      </c>
      <c r="H4091" s="1">
        <v>4.6110002764351794</v>
      </c>
      <c r="I4091" s="1">
        <v>37.59579524358621</v>
      </c>
      <c r="J4091" s="1">
        <v>4.1656178552982481E-2</v>
      </c>
      <c r="K4091" s="1">
        <v>2.7572004215177661</v>
      </c>
      <c r="L4091" s="1">
        <v>3.5514598127564145</v>
      </c>
      <c r="M4091" s="1">
        <v>0.21471428088823</v>
      </c>
      <c r="N4091" s="1">
        <v>1.9901984541311375</v>
      </c>
      <c r="O4091" s="1">
        <v>0.18243615819209044</v>
      </c>
      <c r="P4091" s="1">
        <v>0.13106403092982924</v>
      </c>
      <c r="Q4091" s="1">
        <v>3.4420160619839066</v>
      </c>
      <c r="R4091" s="2">
        <f t="shared" si="255"/>
        <v>150.97222305335259</v>
      </c>
      <c r="S4091" s="2">
        <f t="shared" si="254"/>
        <v>2.9299206310005776</v>
      </c>
      <c r="T4091" s="2">
        <f t="shared" si="256"/>
        <v>5.9388087059678725</v>
      </c>
      <c r="U4091" s="2">
        <f t="shared" si="257"/>
        <v>159.84095239032104</v>
      </c>
    </row>
    <row r="4092" spans="1:21" x14ac:dyDescent="0.25">
      <c r="A4092">
        <v>5028341</v>
      </c>
      <c r="B4092">
        <v>60</v>
      </c>
      <c r="C4092" s="1">
        <f>8.48155764304975*(10.3/7.3)</f>
        <v>11.967129277179783</v>
      </c>
      <c r="D4092" s="1">
        <f>12.6058228954575*(10.3/7.3)</f>
        <v>17.7862980579743</v>
      </c>
      <c r="E4092" s="1">
        <f>44.2018767235957*(10.3/7.3)</f>
        <v>62.367031541511793</v>
      </c>
      <c r="F4092" s="1">
        <f>91.0307426689962*(38.9/42.5)</f>
        <v>83.319903289975386</v>
      </c>
      <c r="G4092" s="1">
        <v>3.5887475405248734</v>
      </c>
      <c r="H4092" s="1">
        <v>6.4737425148174532</v>
      </c>
      <c r="I4092" s="1">
        <v>64.558714952280653</v>
      </c>
      <c r="J4092" s="1">
        <v>6.2857406058180521E-2</v>
      </c>
      <c r="K4092" s="1">
        <v>3.7083913270714963</v>
      </c>
      <c r="L4092" s="1">
        <v>5.4035480083377099</v>
      </c>
      <c r="M4092" s="1">
        <v>0.29657298106254049</v>
      </c>
      <c r="N4092" s="1">
        <v>2.8135833035621425</v>
      </c>
      <c r="O4092" s="1">
        <v>0.24692533333333339</v>
      </c>
      <c r="P4092" s="1">
        <v>0.16452344258265025</v>
      </c>
      <c r="Q4092" s="1">
        <v>5.7354412748114472</v>
      </c>
      <c r="R4092" s="2">
        <f t="shared" si="255"/>
        <v>255.79700844907566</v>
      </c>
      <c r="S4092" s="2">
        <f t="shared" si="254"/>
        <v>3.935772175712327</v>
      </c>
      <c r="T4092" s="2">
        <f t="shared" si="256"/>
        <v>8.7606296262957262</v>
      </c>
      <c r="U4092" s="2">
        <f t="shared" si="257"/>
        <v>268.49341025108373</v>
      </c>
    </row>
    <row r="4093" spans="1:21" x14ac:dyDescent="0.25">
      <c r="A4093">
        <v>5028349</v>
      </c>
      <c r="B4093">
        <v>60</v>
      </c>
      <c r="C4093" s="1">
        <f>7.57411614330811*(10.3/7.3)</f>
        <v>10.686766613160751</v>
      </c>
      <c r="D4093" s="1">
        <f>11.4273439500051*(10.3/7.3)</f>
        <v>16.123512696582583</v>
      </c>
      <c r="E4093" s="1">
        <f>40.0303770760512*(10.3/7.3)</f>
        <v>56.481216970318812</v>
      </c>
      <c r="F4093" s="1">
        <f>83.2683811772069*(38.9/42.5)</f>
        <v>76.215059477490556</v>
      </c>
      <c r="G4093" s="1">
        <v>3.3280923637518693</v>
      </c>
      <c r="H4093" s="1">
        <v>6.1826217278771853</v>
      </c>
      <c r="I4093" s="1">
        <v>58.946280843693351</v>
      </c>
      <c r="J4093" s="1">
        <v>6.0351228479042111E-2</v>
      </c>
      <c r="K4093" s="1">
        <v>3.5701102729071965</v>
      </c>
      <c r="L4093" s="1">
        <v>5.1073990512426599</v>
      </c>
      <c r="M4093" s="1">
        <v>0.27773957517532222</v>
      </c>
      <c r="N4093" s="1">
        <v>2.6776400901035347</v>
      </c>
      <c r="O4093" s="1">
        <v>0.23344622222222225</v>
      </c>
      <c r="P4093" s="1">
        <v>0.15815559889829098</v>
      </c>
      <c r="Q4093" s="1">
        <v>5.318869074489295</v>
      </c>
      <c r="R4093" s="2">
        <f t="shared" si="255"/>
        <v>233.28241976736439</v>
      </c>
      <c r="S4093" s="2">
        <f t="shared" si="254"/>
        <v>3.7886171002845295</v>
      </c>
      <c r="T4093" s="2">
        <f t="shared" si="256"/>
        <v>8.2962249387437392</v>
      </c>
      <c r="U4093" s="2">
        <f t="shared" si="257"/>
        <v>245.36726180639266</v>
      </c>
    </row>
    <row r="4094" spans="1:21" x14ac:dyDescent="0.25">
      <c r="A4094">
        <v>5028357</v>
      </c>
      <c r="B4094">
        <v>60</v>
      </c>
      <c r="C4094" s="1">
        <f>7.78786607960423*(10.3/7.3)</f>
        <v>10.988358989030633</v>
      </c>
      <c r="D4094" s="1">
        <f>11.570167374247*(10.3/7.3)</f>
        <v>16.325030678732052</v>
      </c>
      <c r="E4094" s="1">
        <f>40.5382905789673*(10.3/7.3)</f>
        <v>57.197862049775843</v>
      </c>
      <c r="F4094" s="1">
        <f>85.1391853489233*(38.9/42.5)</f>
        <v>77.927395531132191</v>
      </c>
      <c r="G4094" s="1">
        <v>3.4300583227227572</v>
      </c>
      <c r="H4094" s="1">
        <v>6.4243639505710473</v>
      </c>
      <c r="I4094" s="1">
        <v>60.694266961019018</v>
      </c>
      <c r="J4094" s="1">
        <v>6.4582975586115976E-2</v>
      </c>
      <c r="K4094" s="1">
        <v>3.6528843636934405</v>
      </c>
      <c r="L4094" s="1">
        <v>5.2433108743354868</v>
      </c>
      <c r="M4094" s="1">
        <v>0.27805436992661281</v>
      </c>
      <c r="N4094" s="1">
        <v>2.7803452116237795</v>
      </c>
      <c r="O4094" s="1">
        <v>0.23487377777777788</v>
      </c>
      <c r="P4094" s="1">
        <v>0.15884413979406747</v>
      </c>
      <c r="Q4094" s="1">
        <v>5.4818283696482464</v>
      </c>
      <c r="R4094" s="2">
        <f t="shared" si="255"/>
        <v>238.46916485263176</v>
      </c>
      <c r="S4094" s="2">
        <f t="shared" si="254"/>
        <v>3.8763114790736242</v>
      </c>
      <c r="T4094" s="2">
        <f t="shared" si="256"/>
        <v>8.5365842336636568</v>
      </c>
      <c r="U4094" s="2">
        <f t="shared" si="257"/>
        <v>250.88206056536904</v>
      </c>
    </row>
    <row r="4095" spans="1:21" x14ac:dyDescent="0.25">
      <c r="A4095">
        <v>5028365</v>
      </c>
      <c r="B4095">
        <v>56</v>
      </c>
      <c r="C4095" s="1">
        <f>7.22458663345882*(10.3/7.3)</f>
        <v>10.193594838989849</v>
      </c>
      <c r="D4095" s="1">
        <f>10.4948409541953*(10.3/7.3)</f>
        <v>14.807789291535846</v>
      </c>
      <c r="E4095" s="1">
        <f>36.7889702425736*(10.3/7.3)</f>
        <v>51.907725136781899</v>
      </c>
      <c r="F4095" s="1">
        <f>77.9551357686881*(38.9/42.5)</f>
        <v>71.351877209458038</v>
      </c>
      <c r="G4095" s="1">
        <v>3.1591079408925631</v>
      </c>
      <c r="H4095" s="1">
        <v>6.2876091611234761</v>
      </c>
      <c r="I4095" s="1">
        <v>56.064334443731589</v>
      </c>
      <c r="J4095" s="1">
        <v>6.3326785216657577E-2</v>
      </c>
      <c r="K4095" s="1">
        <v>3.4215092632997139</v>
      </c>
      <c r="L4095" s="1">
        <v>4.7760634481198112</v>
      </c>
      <c r="M4095" s="1">
        <v>0.25344820708214783</v>
      </c>
      <c r="N4095" s="1">
        <v>2.6271858064853175</v>
      </c>
      <c r="O4095" s="1">
        <v>0.21701809523809526</v>
      </c>
      <c r="P4095" s="1">
        <v>0.1481124369425062</v>
      </c>
      <c r="Q4095" s="1">
        <v>5.0488026452620902</v>
      </c>
      <c r="R4095" s="2">
        <f t="shared" si="255"/>
        <v>218.82084066777537</v>
      </c>
      <c r="S4095" s="2">
        <f t="shared" si="254"/>
        <v>3.6329484854588774</v>
      </c>
      <c r="T4095" s="2">
        <f t="shared" si="256"/>
        <v>7.8737155569253714</v>
      </c>
      <c r="U4095" s="2">
        <f t="shared" si="257"/>
        <v>230.32750471015962</v>
      </c>
    </row>
    <row r="4096" spans="1:21" x14ac:dyDescent="0.25">
      <c r="A4096">
        <v>5028373</v>
      </c>
      <c r="B4096">
        <v>7</v>
      </c>
      <c r="C4096" s="1">
        <f>6.94051922699252*(10.3/7.3)</f>
        <v>9.7927874024688979</v>
      </c>
      <c r="D4096" s="1">
        <f>9.7389859302534*(10.3/7.3)</f>
        <v>13.741308915289041</v>
      </c>
      <c r="E4096" s="1">
        <f>34.1784761520722*(10.3/7.3)</f>
        <v>48.224425255663576</v>
      </c>
      <c r="F4096" s="1">
        <f>72.8226644928036*(38.9/42.5)</f>
        <v>66.654156441648468</v>
      </c>
      <c r="G4096" s="1">
        <v>2.95122399262238</v>
      </c>
      <c r="H4096" s="1">
        <v>6.5079891964020176</v>
      </c>
      <c r="I4096" s="1">
        <v>52.9813832449126</v>
      </c>
      <c r="J4096" s="1">
        <v>6.5797542147289306E-2</v>
      </c>
      <c r="K4096" s="1">
        <v>3.2298615866540792</v>
      </c>
      <c r="L4096" s="1">
        <v>4.3720972475436159</v>
      </c>
      <c r="M4096" s="1">
        <v>0.2315097467167142</v>
      </c>
      <c r="N4096" s="1">
        <v>2.5780638962022229</v>
      </c>
      <c r="O4096" s="1">
        <v>0.20011428571428569</v>
      </c>
      <c r="P4096" s="1">
        <v>0.13804477897252734</v>
      </c>
      <c r="Q4096" s="1">
        <v>4.7165680247389679</v>
      </c>
      <c r="R4096" s="2">
        <f t="shared" si="255"/>
        <v>205.56984247374592</v>
      </c>
      <c r="S4096" s="2">
        <f t="shared" si="254"/>
        <v>3.4337039077738956</v>
      </c>
      <c r="T4096" s="2">
        <f t="shared" si="256"/>
        <v>7.3817851761768392</v>
      </c>
      <c r="U4096" s="2">
        <f t="shared" si="257"/>
        <v>216.38533155769665</v>
      </c>
    </row>
    <row r="4097" spans="1:21" x14ac:dyDescent="0.25">
      <c r="A4097">
        <v>5028453</v>
      </c>
      <c r="B4097">
        <v>1</v>
      </c>
      <c r="C4097" s="1">
        <f>3.42929245622921*(10.3/7.3)</f>
        <v>4.8385907259124483</v>
      </c>
      <c r="D4097" s="1">
        <f>4.57682183363188*(10.3/7.3)</f>
        <v>6.4577075186860711</v>
      </c>
      <c r="E4097" s="1">
        <f>16.0400670318488*(10.3/7.3)</f>
        <v>22.631875401101791</v>
      </c>
      <c r="F4097" s="1">
        <f>36.9786848714882*(38.9/42.5)</f>
        <v>33.84637274119747</v>
      </c>
      <c r="G4097" s="1">
        <v>1.6083511662296992</v>
      </c>
      <c r="H4097" s="1">
        <v>7.3463210889041806</v>
      </c>
      <c r="I4097" s="1">
        <v>27.754633734997824</v>
      </c>
      <c r="J4097" s="1">
        <v>4.1209994890104802E-2</v>
      </c>
      <c r="K4097" s="1">
        <v>2.3195823239723299</v>
      </c>
      <c r="L4097" s="1">
        <v>2.967418985950415</v>
      </c>
      <c r="M4097" s="1">
        <v>0.12684824560458871</v>
      </c>
      <c r="N4097" s="1">
        <v>1.8952133181154485</v>
      </c>
      <c r="O4097" s="1">
        <v>0.10896</v>
      </c>
      <c r="P4097" s="1">
        <v>8.6702956181769805E-2</v>
      </c>
      <c r="Q4097" s="1">
        <v>2.5704242382666451</v>
      </c>
      <c r="R4097" s="2">
        <f t="shared" si="255"/>
        <v>107.05427661529612</v>
      </c>
      <c r="S4097" s="2">
        <f t="shared" si="254"/>
        <v>2.4474952750442043</v>
      </c>
      <c r="T4097" s="2">
        <f t="shared" si="256"/>
        <v>5.0984405496704515</v>
      </c>
      <c r="U4097" s="2">
        <f t="shared" si="257"/>
        <v>114.60021244001078</v>
      </c>
    </row>
    <row r="4098" spans="1:21" x14ac:dyDescent="0.25">
      <c r="A4098">
        <v>5028757</v>
      </c>
      <c r="B4098">
        <v>4</v>
      </c>
      <c r="C4098" s="1">
        <f>4.44991521105933*(10.3/7.3)</f>
        <v>6.2786474895768682</v>
      </c>
      <c r="D4098" s="1">
        <f>6.18735117291273*(10.3/7.3)</f>
        <v>8.7300982302741232</v>
      </c>
      <c r="E4098" s="1">
        <f>21.207842042208*(10.3/7.3)</f>
        <v>29.923393566403071</v>
      </c>
      <c r="F4098" s="1">
        <f>71.2169191975485*(38.9/42.5)</f>
        <v>65.184427218462005</v>
      </c>
      <c r="G4098" s="1">
        <v>4.0160496432273272</v>
      </c>
      <c r="H4098" s="1">
        <v>9.856398104763187</v>
      </c>
      <c r="I4098" s="1">
        <v>56.269678008230656</v>
      </c>
      <c r="J4098" s="1">
        <v>3.5855071748495226E-2</v>
      </c>
      <c r="K4098" s="1">
        <v>2.0400764138216565</v>
      </c>
      <c r="L4098" s="1">
        <v>1.9528303608261333</v>
      </c>
      <c r="M4098" s="1">
        <v>8.8983931432733046E-2</v>
      </c>
      <c r="N4098" s="1">
        <v>1.3254951196376898</v>
      </c>
      <c r="O4098" s="1">
        <v>8.909333333333333E-2</v>
      </c>
      <c r="P4098" s="1">
        <v>6.9395583559248533E-2</v>
      </c>
      <c r="Q4098" s="1">
        <v>6.4183441786738173</v>
      </c>
      <c r="R4098" s="2">
        <f t="shared" si="255"/>
        <v>186.67703643961107</v>
      </c>
      <c r="S4098" s="2">
        <f t="shared" si="254"/>
        <v>2.1453270691294004</v>
      </c>
      <c r="T4098" s="2">
        <f t="shared" si="256"/>
        <v>3.45640274522989</v>
      </c>
      <c r="U4098" s="2">
        <f t="shared" si="257"/>
        <v>192.27876625397036</v>
      </c>
    </row>
    <row r="4099" spans="1:21" x14ac:dyDescent="0.25">
      <c r="A4099">
        <v>5028773</v>
      </c>
      <c r="B4099">
        <v>5</v>
      </c>
      <c r="C4099" s="1">
        <f>2.70272854233219*(10.3/7.3)</f>
        <v>3.8134389021947381</v>
      </c>
      <c r="D4099" s="1">
        <f>3.56986168088418*(10.3/7.3)</f>
        <v>5.036928125083163</v>
      </c>
      <c r="E4099" s="1">
        <f>12.3947829979507*(10.3/7.3)</f>
        <v>17.488529435464656</v>
      </c>
      <c r="F4099" s="1">
        <f>34.7593515604874*(38.9/42.5)</f>
        <v>31.815030016540266</v>
      </c>
      <c r="G4099" s="1">
        <v>1.7604953926282121</v>
      </c>
      <c r="H4099" s="1">
        <v>4.9150146398192032</v>
      </c>
      <c r="I4099" s="1">
        <v>27.049769042925213</v>
      </c>
      <c r="J4099" s="1">
        <v>3.270661456063919E-2</v>
      </c>
      <c r="K4099" s="1">
        <v>1.6447802430242529</v>
      </c>
      <c r="L4099" s="1">
        <v>1.5667525632768406</v>
      </c>
      <c r="M4099" s="1">
        <v>7.5047177624187639E-2</v>
      </c>
      <c r="N4099" s="1">
        <v>1.030494954385222</v>
      </c>
      <c r="O4099" s="1">
        <v>7.3695999999999998E-2</v>
      </c>
      <c r="P4099" s="1">
        <v>5.9708824813458392E-2</v>
      </c>
      <c r="Q4099" s="1">
        <v>2.8135771115062784</v>
      </c>
      <c r="R4099" s="2">
        <f t="shared" si="255"/>
        <v>94.692782666161719</v>
      </c>
      <c r="S4099" s="2">
        <f t="shared" si="254"/>
        <v>1.7371956823983503</v>
      </c>
      <c r="T4099" s="2">
        <f t="shared" si="256"/>
        <v>2.7459906952862503</v>
      </c>
      <c r="U4099" s="2">
        <f t="shared" si="257"/>
        <v>99.175969043846322</v>
      </c>
    </row>
    <row r="4100" spans="1:21" x14ac:dyDescent="0.25">
      <c r="A4100">
        <v>5028781</v>
      </c>
      <c r="B4100">
        <v>4</v>
      </c>
      <c r="C4100" s="1">
        <f>2.8818403678335*(10.3/7.3)</f>
        <v>4.066158327217134</v>
      </c>
      <c r="D4100" s="1">
        <f>3.5540323349804*(10.3/7.3)</f>
        <v>5.0145935685339929</v>
      </c>
      <c r="E4100" s="1">
        <f>12.4603136695924*(10.3/7.3)</f>
        <v>17.580990520109882</v>
      </c>
      <c r="F4100" s="1">
        <f>30.6877881362606*(38.9/42.5)</f>
        <v>28.088351964718516</v>
      </c>
      <c r="G4100" s="1">
        <v>1.3983213191386628</v>
      </c>
      <c r="H4100" s="1">
        <v>3.7865296970586364</v>
      </c>
      <c r="I4100" s="1">
        <v>23.814521507796769</v>
      </c>
      <c r="J4100" s="1">
        <v>2.722015210255584E-2</v>
      </c>
      <c r="K4100" s="1">
        <v>1.683724237706965</v>
      </c>
      <c r="L4100" s="1">
        <v>1.6441191590199868</v>
      </c>
      <c r="M4100" s="1">
        <v>7.5690113320561844E-2</v>
      </c>
      <c r="N4100" s="1">
        <v>0.986866124433325</v>
      </c>
      <c r="O4100" s="1">
        <v>7.7399999999999997E-2</v>
      </c>
      <c r="P4100" s="1">
        <v>6.1627697105735804E-2</v>
      </c>
      <c r="Q4100" s="1">
        <v>2.2347600990800567</v>
      </c>
      <c r="R4100" s="2">
        <f t="shared" si="255"/>
        <v>85.984227003653658</v>
      </c>
      <c r="S4100" s="2">
        <f t="shared" si="254"/>
        <v>1.7725720869152568</v>
      </c>
      <c r="T4100" s="2">
        <f t="shared" si="256"/>
        <v>2.7840753967738738</v>
      </c>
      <c r="U4100" s="2">
        <f t="shared" si="257"/>
        <v>90.540874487342791</v>
      </c>
    </row>
    <row r="4101" spans="1:21" x14ac:dyDescent="0.25">
      <c r="A4101">
        <v>5040049</v>
      </c>
      <c r="B4101">
        <v>4</v>
      </c>
      <c r="C4101" s="1">
        <f>0.696512797076752*(10.3/7.3)</f>
        <v>0.98275093286171822</v>
      </c>
      <c r="D4101" s="1">
        <f>0.997344152953275*(10.3/7.3)</f>
        <v>1.407211613071059</v>
      </c>
      <c r="E4101" s="1">
        <f>3.45534590773447*(10.3/7.3)</f>
        <v>4.8753510752965763</v>
      </c>
      <c r="F4101" s="1">
        <f>9.48491932435306*(38.9/42.5)</f>
        <v>8.6814908639372756</v>
      </c>
      <c r="G4101" s="1">
        <v>0.47781119619829271</v>
      </c>
      <c r="H4101" s="1">
        <v>2.1475476589682971</v>
      </c>
      <c r="I4101" s="1">
        <v>7.2241688578362533</v>
      </c>
      <c r="J4101" s="1">
        <v>5.6133342504241804E-2</v>
      </c>
      <c r="K4101" s="1">
        <v>2.8312502401939525</v>
      </c>
      <c r="L4101" s="1">
        <v>2.2067905569967063</v>
      </c>
      <c r="M4101" s="1">
        <v>0.66418519544542454</v>
      </c>
      <c r="N4101" s="1">
        <v>1.4184338402106622</v>
      </c>
      <c r="O4101" s="1">
        <v>0.40694666666666668</v>
      </c>
      <c r="P4101" s="1">
        <v>0.19629902944458083</v>
      </c>
      <c r="Q4101" s="1">
        <v>0.76362519940366491</v>
      </c>
      <c r="R4101" s="2">
        <f t="shared" si="255"/>
        <v>26.55995739757314</v>
      </c>
      <c r="S4101" s="2">
        <f t="shared" si="254"/>
        <v>3.0836826121427752</v>
      </c>
      <c r="T4101" s="2">
        <f t="shared" si="256"/>
        <v>4.6963562593194599</v>
      </c>
      <c r="U4101" s="2">
        <f t="shared" si="257"/>
        <v>34.339996269035375</v>
      </c>
    </row>
    <row r="4102" spans="1:21" x14ac:dyDescent="0.25">
      <c r="A4102">
        <v>5040225</v>
      </c>
      <c r="B4102">
        <v>37</v>
      </c>
      <c r="C4102" s="1">
        <f>1.40798306619397*(10.3/7.3)</f>
        <v>1.986606244081899</v>
      </c>
      <c r="D4102" s="1">
        <f>2.44227975392983*(10.3/7.3)</f>
        <v>3.4459563651338692</v>
      </c>
      <c r="E4102" s="1">
        <f>8.23350669245861*(10.3/7.3)</f>
        <v>11.617139579770368</v>
      </c>
      <c r="F4102" s="1">
        <f>31.2776246136907*(38.9/42.5)</f>
        <v>28.628225822883969</v>
      </c>
      <c r="G4102" s="1">
        <v>1.8895799062923644</v>
      </c>
      <c r="H4102" s="1">
        <v>10.445849608736083</v>
      </c>
      <c r="I4102" s="1">
        <v>24.3022897411801</v>
      </c>
      <c r="J4102" s="1">
        <v>4.7081900802999267E-2</v>
      </c>
      <c r="K4102" s="1">
        <v>3.1758488996432206</v>
      </c>
      <c r="L4102" s="1">
        <v>3.3410182524327405</v>
      </c>
      <c r="M4102" s="1">
        <v>1.5459941132504571</v>
      </c>
      <c r="N4102" s="1">
        <v>2.160023161126825</v>
      </c>
      <c r="O4102" s="1">
        <v>0.30909261261261262</v>
      </c>
      <c r="P4102" s="1">
        <v>0.18340150135529207</v>
      </c>
      <c r="Q4102" s="1">
        <v>3.0198765625677093</v>
      </c>
      <c r="R4102" s="2">
        <f t="shared" si="255"/>
        <v>85.335523830646352</v>
      </c>
      <c r="S4102" s="2">
        <f t="shared" si="254"/>
        <v>3.4063323018015117</v>
      </c>
      <c r="T4102" s="2">
        <f t="shared" si="256"/>
        <v>7.3561281394226352</v>
      </c>
      <c r="U4102" s="2">
        <f t="shared" si="257"/>
        <v>96.097984271870502</v>
      </c>
    </row>
    <row r="4103" spans="1:21" x14ac:dyDescent="0.25">
      <c r="A4103">
        <v>5040233</v>
      </c>
      <c r="B4103">
        <v>9</v>
      </c>
      <c r="C4103" s="1">
        <f>1.80957244205978*(10.3/7.3)</f>
        <v>2.5532323497555813</v>
      </c>
      <c r="D4103" s="1">
        <f>2.77351239693654*(10.3/7.3)</f>
        <v>3.9133120121159468</v>
      </c>
      <c r="E4103" s="1">
        <f>9.48493323915036*(10.3/7.3)</f>
        <v>13.382851008664202</v>
      </c>
      <c r="F4103" s="1">
        <f>31.1070362825446*(38.9/42.5)</f>
        <v>28.472087326846673</v>
      </c>
      <c r="G4103" s="1">
        <v>1.7471192899782255</v>
      </c>
      <c r="H4103" s="1">
        <v>9.4334331921990113</v>
      </c>
      <c r="I4103" s="1">
        <v>24.079033638579222</v>
      </c>
      <c r="J4103" s="1">
        <v>4.9463497664978671E-2</v>
      </c>
      <c r="K4103" s="1">
        <v>3.2572910558907995</v>
      </c>
      <c r="L4103" s="1">
        <v>3.6121448600173358</v>
      </c>
      <c r="M4103" s="1">
        <v>1.6161055476229658</v>
      </c>
      <c r="N4103" s="1">
        <v>2.2182000313805141</v>
      </c>
      <c r="O4103" s="1">
        <v>0.32073481481481481</v>
      </c>
      <c r="P4103" s="1">
        <v>0.18636355225489176</v>
      </c>
      <c r="Q4103" s="1">
        <v>2.7921997785040165</v>
      </c>
      <c r="R4103" s="2">
        <f t="shared" si="255"/>
        <v>86.373268596642873</v>
      </c>
      <c r="S4103" s="2">
        <f t="shared" si="254"/>
        <v>3.4931181058106699</v>
      </c>
      <c r="T4103" s="2">
        <f t="shared" si="256"/>
        <v>7.7671852538356294</v>
      </c>
      <c r="U4103" s="2">
        <f t="shared" si="257"/>
        <v>97.633571956289174</v>
      </c>
    </row>
    <row r="4104" spans="1:21" x14ac:dyDescent="0.25">
      <c r="A4104">
        <v>5040273</v>
      </c>
      <c r="B4104">
        <v>1</v>
      </c>
      <c r="C4104" s="1">
        <f>2.27583938384364*(10.3/7.3)</f>
        <v>3.2111158429574598</v>
      </c>
      <c r="D4104" s="1">
        <f>6.06565290651761*(10.3/7.3)</f>
        <v>8.558386977689235</v>
      </c>
      <c r="E4104" s="1">
        <f>20.6131634079199*(10.3/7.3)</f>
        <v>29.084326452270549</v>
      </c>
      <c r="F4104" s="1">
        <f>57.4247401815239*(38.9/42.5)</f>
        <v>52.560526895559512</v>
      </c>
      <c r="G4104" s="1">
        <v>3.0643435161787997</v>
      </c>
      <c r="H4104" s="1">
        <v>15.391332066465001</v>
      </c>
      <c r="I4104" s="1">
        <v>39.38742251122401</v>
      </c>
      <c r="J4104" s="1">
        <v>7.2321164838029889E-2</v>
      </c>
      <c r="K4104" s="1">
        <v>3.3911833656758987</v>
      </c>
      <c r="L4104" s="1">
        <v>6.0065339228119567</v>
      </c>
      <c r="M4104" s="1">
        <v>0.98349028636591118</v>
      </c>
      <c r="N4104" s="1">
        <v>2.2852843820720539</v>
      </c>
      <c r="O4104" s="1">
        <v>0.32602666666666663</v>
      </c>
      <c r="P4104" s="1">
        <v>0.18498172243482469</v>
      </c>
      <c r="Q4104" s="1">
        <v>4.8973526514273109</v>
      </c>
      <c r="R4104" s="2">
        <f t="shared" si="255"/>
        <v>156.15480691377186</v>
      </c>
      <c r="S4104" s="2">
        <f t="shared" si="254"/>
        <v>3.6484862529487536</v>
      </c>
      <c r="T4104" s="2">
        <f t="shared" si="256"/>
        <v>9.6013352579165883</v>
      </c>
      <c r="U4104" s="2">
        <f t="shared" si="257"/>
        <v>169.4046284246372</v>
      </c>
    </row>
    <row r="4105" spans="1:21" x14ac:dyDescent="0.25">
      <c r="A4105">
        <v>5040289</v>
      </c>
      <c r="B4105">
        <v>4</v>
      </c>
      <c r="C4105" s="1">
        <f>1.9255417397956*(10.3/7.3)</f>
        <v>2.7168602629992717</v>
      </c>
      <c r="D4105" s="1">
        <f>3.31715745902316*(10.3/7.3)</f>
        <v>4.6803728531422708</v>
      </c>
      <c r="E4105" s="1">
        <f>11.3671680820966*(10.3/7.3)</f>
        <v>16.038607019944536</v>
      </c>
      <c r="F4105" s="1">
        <f>33.6841323305802*(38.9/42.5)</f>
        <v>30.830888180225209</v>
      </c>
      <c r="G4105" s="1">
        <v>1.8089927059795015</v>
      </c>
      <c r="H4105" s="1">
        <v>12.452131813702696</v>
      </c>
      <c r="I4105" s="1">
        <v>25.096194934724771</v>
      </c>
      <c r="J4105" s="1">
        <v>5.9150260375624077E-2</v>
      </c>
      <c r="K4105" s="1">
        <v>3.430041725535256</v>
      </c>
      <c r="L4105" s="1">
        <v>4.9712524004236096</v>
      </c>
      <c r="M4105" s="1">
        <v>0.83558972029262224</v>
      </c>
      <c r="N4105" s="1">
        <v>2.4885275540063589</v>
      </c>
      <c r="O4105" s="1">
        <v>0.31397333333333333</v>
      </c>
      <c r="P4105" s="1">
        <v>0.18942662111748762</v>
      </c>
      <c r="Q4105" s="1">
        <v>2.891084233300576</v>
      </c>
      <c r="R4105" s="2">
        <f t="shared" si="255"/>
        <v>96.515132004018824</v>
      </c>
      <c r="S4105" s="2">
        <f t="shared" ref="S4105:S4168" si="258">J4105+K4105+P4105</f>
        <v>3.6786186070283677</v>
      </c>
      <c r="T4105" s="2">
        <f t="shared" si="256"/>
        <v>8.6093430080559248</v>
      </c>
      <c r="U4105" s="2">
        <f t="shared" si="257"/>
        <v>108.80309361910312</v>
      </c>
    </row>
    <row r="4106" spans="1:21" x14ac:dyDescent="0.25">
      <c r="A4106">
        <v>5040297</v>
      </c>
      <c r="B4106">
        <v>10</v>
      </c>
      <c r="C4106" s="1">
        <f>1.43942658964139*(10.3/7.3)</f>
        <v>2.0309717634666193</v>
      </c>
      <c r="D4106" s="1">
        <f>2.4175315807383*(10.3/7.3)</f>
        <v>3.4110377098088414</v>
      </c>
      <c r="E4106" s="1">
        <f>8.28946009517664*(10.3/7.3)</f>
        <v>11.696087531550598</v>
      </c>
      <c r="F4106" s="1">
        <f>24.6643601436758*(38.9/42.5)</f>
        <v>22.575143755035029</v>
      </c>
      <c r="G4106" s="1">
        <v>1.3249852269359941</v>
      </c>
      <c r="H4106" s="1">
        <v>9.8108824894204112</v>
      </c>
      <c r="I4106" s="1">
        <v>18.473685720616988</v>
      </c>
      <c r="J4106" s="1">
        <v>5.5422181554532012E-2</v>
      </c>
      <c r="K4106" s="1">
        <v>3.2692281234664948</v>
      </c>
      <c r="L4106" s="1">
        <v>4.4702948468400008</v>
      </c>
      <c r="M4106" s="1">
        <v>0.76008305347147487</v>
      </c>
      <c r="N4106" s="1">
        <v>2.489142552519966</v>
      </c>
      <c r="O4106" s="1">
        <v>0.29071466666666662</v>
      </c>
      <c r="P4106" s="1">
        <v>0.18320780755962512</v>
      </c>
      <c r="Q4106" s="1">
        <v>2.1175562987561571</v>
      </c>
      <c r="R4106" s="2">
        <f t="shared" ref="R4106:R4169" si="259">C4106+D4106+E4106+F4106+G4106+H4106+I4106+Q4106</f>
        <v>71.440350495590636</v>
      </c>
      <c r="S4106" s="2">
        <f t="shared" si="258"/>
        <v>3.5078581125806521</v>
      </c>
      <c r="T4106" s="2">
        <f t="shared" ref="T4106:T4169" si="260">L4106+M4106+N4106+O4106</f>
        <v>8.010235119498109</v>
      </c>
      <c r="U4106" s="2">
        <f t="shared" ref="U4106:U4169" si="261">R4106+S4106+T4106</f>
        <v>82.95844372766939</v>
      </c>
    </row>
    <row r="4107" spans="1:21" x14ac:dyDescent="0.25">
      <c r="A4107">
        <v>5040481</v>
      </c>
      <c r="B4107">
        <v>3</v>
      </c>
      <c r="C4107" s="1">
        <f>14.2110516653029*(10.3/7.3)</f>
        <v>20.051209883920578</v>
      </c>
      <c r="D4107" s="1">
        <f>23.951715840411*(10.3/7.3)</f>
        <v>33.794886733730564</v>
      </c>
      <c r="E4107" s="1">
        <f>83.7762198660565*(10.3/7.3)</f>
        <v>118.20480337265512</v>
      </c>
      <c r="F4107" s="1">
        <f>163.960690921082*(38.9/42.5)</f>
        <v>150.07225592541431</v>
      </c>
      <c r="G4107" s="1">
        <v>6.2206030318508239</v>
      </c>
      <c r="H4107" s="1">
        <v>8.4033134845642241</v>
      </c>
      <c r="I4107" s="1">
        <v>110.34916002821159</v>
      </c>
      <c r="J4107" s="1">
        <v>7.5625206163650593E-2</v>
      </c>
      <c r="K4107" s="1">
        <v>3.4285640188734821</v>
      </c>
      <c r="L4107" s="1">
        <v>4.5482534271995432</v>
      </c>
      <c r="M4107" s="1">
        <v>0.31767413269074324</v>
      </c>
      <c r="N4107" s="1">
        <v>2.5202274711696551</v>
      </c>
      <c r="O4107" s="1">
        <v>0.25020444444444445</v>
      </c>
      <c r="P4107" s="1">
        <v>0.15761531785319671</v>
      </c>
      <c r="Q4107" s="1">
        <v>9.9416030189396825</v>
      </c>
      <c r="R4107" s="2">
        <f t="shared" si="259"/>
        <v>457.03783547928697</v>
      </c>
      <c r="S4107" s="2">
        <f t="shared" si="258"/>
        <v>3.6618045428903292</v>
      </c>
      <c r="T4107" s="2">
        <f t="shared" si="260"/>
        <v>7.6363594755043849</v>
      </c>
      <c r="U4107" s="2">
        <f t="shared" si="261"/>
        <v>468.33599949768166</v>
      </c>
    </row>
    <row r="4108" spans="1:21" x14ac:dyDescent="0.25">
      <c r="A4108">
        <v>5040489</v>
      </c>
      <c r="B4108">
        <v>55</v>
      </c>
      <c r="C4108" s="1">
        <f>10.5810201384652*(10.3/7.3)</f>
        <v>14.929384578930328</v>
      </c>
      <c r="D4108" s="1">
        <f>17.8797702293367*(10.3/7.3)</f>
        <v>25.22762100851612</v>
      </c>
      <c r="E4108" s="1">
        <f>62.5396519696763*(10.3/7.3)</f>
        <v>88.240878806529551</v>
      </c>
      <c r="F4108" s="1">
        <f>122.05386280436*(38.9/42.5)</f>
        <v>111.71518266093196</v>
      </c>
      <c r="G4108" s="1">
        <v>4.6168037722108126</v>
      </c>
      <c r="H4108" s="1">
        <v>7.4672481850178292</v>
      </c>
      <c r="I4108" s="1">
        <v>82.006207371551682</v>
      </c>
      <c r="J4108" s="1">
        <v>7.6336315680587574E-2</v>
      </c>
      <c r="K4108" s="1">
        <v>4.0117073454699437</v>
      </c>
      <c r="L4108" s="1">
        <v>5.7333827370852228</v>
      </c>
      <c r="M4108" s="1">
        <v>0.39459909869048881</v>
      </c>
      <c r="N4108" s="1">
        <v>3.2565523299785664</v>
      </c>
      <c r="O4108" s="1">
        <v>0.30018715151515152</v>
      </c>
      <c r="P4108" s="1">
        <v>0.18990421900880602</v>
      </c>
      <c r="Q4108" s="1">
        <v>7.3784535172319021</v>
      </c>
      <c r="R4108" s="2">
        <f t="shared" si="259"/>
        <v>341.58177990092014</v>
      </c>
      <c r="S4108" s="2">
        <f t="shared" si="258"/>
        <v>4.2779478801593376</v>
      </c>
      <c r="T4108" s="2">
        <f t="shared" si="260"/>
        <v>9.68472131726943</v>
      </c>
      <c r="U4108" s="2">
        <f t="shared" si="261"/>
        <v>355.54444909834888</v>
      </c>
    </row>
    <row r="4109" spans="1:21" x14ac:dyDescent="0.25">
      <c r="A4109">
        <v>5040497</v>
      </c>
      <c r="B4109">
        <v>55</v>
      </c>
      <c r="C4109" s="1">
        <f>10.0444124497172*(10.3/7.3)</f>
        <v>14.172253182477759</v>
      </c>
      <c r="D4109" s="1">
        <f>17.0500353348069*(10.3/7.3)</f>
        <v>24.056899171028856</v>
      </c>
      <c r="E4109" s="1">
        <f>59.6207416100465*(10.3/7.3)</f>
        <v>84.122416244312177</v>
      </c>
      <c r="F4109" s="1">
        <f>116.73928867923*(38.9/42.5)</f>
        <v>106.8507842264012</v>
      </c>
      <c r="G4109" s="1">
        <v>4.4368018774834033</v>
      </c>
      <c r="H4109" s="1">
        <v>7.2649090590458503</v>
      </c>
      <c r="I4109" s="1">
        <v>78.415753024631471</v>
      </c>
      <c r="J4109" s="1">
        <v>6.9759658453536003E-2</v>
      </c>
      <c r="K4109" s="1">
        <v>3.9665448602367022</v>
      </c>
      <c r="L4109" s="1">
        <v>5.730823464390193</v>
      </c>
      <c r="M4109" s="1">
        <v>0.38580007571603536</v>
      </c>
      <c r="N4109" s="1">
        <v>3.0249155279047342</v>
      </c>
      <c r="O4109" s="1">
        <v>0.29764945454545444</v>
      </c>
      <c r="P4109" s="1">
        <v>0.18927344322407469</v>
      </c>
      <c r="Q4109" s="1">
        <v>7.0907792562520244</v>
      </c>
      <c r="R4109" s="2">
        <f t="shared" si="259"/>
        <v>326.41059604163269</v>
      </c>
      <c r="S4109" s="2">
        <f t="shared" si="258"/>
        <v>4.2255779619143121</v>
      </c>
      <c r="T4109" s="2">
        <f t="shared" si="260"/>
        <v>9.4391885225564174</v>
      </c>
      <c r="U4109" s="2">
        <f t="shared" si="261"/>
        <v>340.07536252610345</v>
      </c>
    </row>
    <row r="4110" spans="1:21" x14ac:dyDescent="0.25">
      <c r="A4110">
        <v>5040505</v>
      </c>
      <c r="B4110">
        <v>58</v>
      </c>
      <c r="C4110" s="1">
        <f>9.62698765346575*(10.3/7.3)</f>
        <v>13.583283949410585</v>
      </c>
      <c r="D4110" s="1">
        <f>16.446393843876*(10.3/7.3)</f>
        <v>23.205185834509997</v>
      </c>
      <c r="E4110" s="1">
        <f>57.4597566115719*(10.3/7.3)</f>
        <v>81.073355219067253</v>
      </c>
      <c r="F4110" s="1">
        <f>114.415833564643*(38.9/42.5)</f>
        <v>104.72413942740293</v>
      </c>
      <c r="G4110" s="1">
        <v>4.4409746080118548</v>
      </c>
      <c r="H4110" s="1">
        <v>7.1402006219173613</v>
      </c>
      <c r="I4110" s="1">
        <v>77.136806101795528</v>
      </c>
      <c r="J4110" s="1">
        <v>6.7786789512643789E-2</v>
      </c>
      <c r="K4110" s="1">
        <v>3.9240874453498584</v>
      </c>
      <c r="L4110" s="1">
        <v>5.7040092224708463</v>
      </c>
      <c r="M4110" s="1">
        <v>0.37687971058564085</v>
      </c>
      <c r="N4110" s="1">
        <v>2.9836968659681085</v>
      </c>
      <c r="O4110" s="1">
        <v>0.29221885057471259</v>
      </c>
      <c r="P4110" s="1">
        <v>0.18705881728504797</v>
      </c>
      <c r="Q4110" s="1">
        <v>7.0974480036719187</v>
      </c>
      <c r="R4110" s="2">
        <f t="shared" si="259"/>
        <v>318.40139376578742</v>
      </c>
      <c r="S4110" s="2">
        <f t="shared" si="258"/>
        <v>4.1789330521475501</v>
      </c>
      <c r="T4110" s="2">
        <f t="shared" si="260"/>
        <v>9.356804649599308</v>
      </c>
      <c r="U4110" s="2">
        <f t="shared" si="261"/>
        <v>331.9371314675343</v>
      </c>
    </row>
    <row r="4111" spans="1:21" x14ac:dyDescent="0.25">
      <c r="A4111">
        <v>5040513</v>
      </c>
      <c r="B4111">
        <v>59</v>
      </c>
      <c r="C4111" s="1">
        <f>8.93402276112298*(10.3/7.3)</f>
        <v>12.605538964324211</v>
      </c>
      <c r="D4111" s="1">
        <f>15.7811131848919*(10.3/7.3)</f>
        <v>22.266502164984509</v>
      </c>
      <c r="E4111" s="1">
        <f>54.9760313837555*(10.3/7.3)</f>
        <v>77.568920993518105</v>
      </c>
      <c r="F4111" s="1">
        <f>114.459157768332*(38.9/42.5)</f>
        <v>104.76379381619067</v>
      </c>
      <c r="G4111" s="1">
        <v>4.6908984512192982</v>
      </c>
      <c r="H4111" s="1">
        <v>6.9619619430175295</v>
      </c>
      <c r="I4111" s="1">
        <v>77.565097969869981</v>
      </c>
      <c r="J4111" s="1">
        <v>6.5304919547407692E-2</v>
      </c>
      <c r="K4111" s="1">
        <v>3.8259871951961726</v>
      </c>
      <c r="L4111" s="1">
        <v>5.5538590437217739</v>
      </c>
      <c r="M4111" s="1">
        <v>0.3506390028181689</v>
      </c>
      <c r="N4111" s="1">
        <v>2.9311083007556533</v>
      </c>
      <c r="O4111" s="1">
        <v>0.28157197740112994</v>
      </c>
      <c r="P4111" s="1">
        <v>0.18202002311324816</v>
      </c>
      <c r="Q4111" s="1">
        <v>7.496869670898425</v>
      </c>
      <c r="R4111" s="2">
        <f t="shared" si="259"/>
        <v>313.91958397402277</v>
      </c>
      <c r="S4111" s="2">
        <f t="shared" si="258"/>
        <v>4.0733121378568287</v>
      </c>
      <c r="T4111" s="2">
        <f t="shared" si="260"/>
        <v>9.1171783246967255</v>
      </c>
      <c r="U4111" s="2">
        <f t="shared" si="261"/>
        <v>327.11007443657633</v>
      </c>
    </row>
    <row r="4112" spans="1:21" x14ac:dyDescent="0.25">
      <c r="A4112">
        <v>5040521</v>
      </c>
      <c r="B4112">
        <v>61</v>
      </c>
      <c r="C4112" s="1">
        <f>3.53860070437706*(10.3/7.3)</f>
        <v>4.9928201719292797</v>
      </c>
      <c r="D4112" s="1">
        <f>6.30003911862875*(10.3/7.3)</f>
        <v>8.88909629066797</v>
      </c>
      <c r="E4112" s="1">
        <f>21.9166591178565*(10.3/7.3)</f>
        <v>30.923505330674239</v>
      </c>
      <c r="F4112" s="1">
        <f>46.8921438420818*(38.9/42.5)</f>
        <v>42.92010342251718</v>
      </c>
      <c r="G4112" s="1">
        <v>1.9782724621425682</v>
      </c>
      <c r="H4112" s="1">
        <v>3.8104150012204281</v>
      </c>
      <c r="I4112" s="1">
        <v>31.98518983895497</v>
      </c>
      <c r="J4112" s="1">
        <v>3.6104933845149796E-2</v>
      </c>
      <c r="K4112" s="1">
        <v>2.4280477945925991</v>
      </c>
      <c r="L4112" s="1">
        <v>3.0279111861725414</v>
      </c>
      <c r="M4112" s="1">
        <v>0.20502090180834648</v>
      </c>
      <c r="N4112" s="1">
        <v>1.7898235727638945</v>
      </c>
      <c r="O4112" s="1">
        <v>0.16654601092896179</v>
      </c>
      <c r="P4112" s="1">
        <v>0.12397810503170018</v>
      </c>
      <c r="Q4112" s="1">
        <v>3.1616226563922343</v>
      </c>
      <c r="R4112" s="2">
        <f t="shared" si="259"/>
        <v>128.66102517449889</v>
      </c>
      <c r="S4112" s="2">
        <f t="shared" si="258"/>
        <v>2.5881308334694495</v>
      </c>
      <c r="T4112" s="2">
        <f t="shared" si="260"/>
        <v>5.1893016716737446</v>
      </c>
      <c r="U4112" s="2">
        <f t="shared" si="261"/>
        <v>136.43845767964208</v>
      </c>
    </row>
    <row r="4113" spans="1:21" x14ac:dyDescent="0.25">
      <c r="A4113">
        <v>5040529</v>
      </c>
      <c r="B4113">
        <v>55</v>
      </c>
      <c r="C4113" s="1">
        <f>4.00646797591326*(10.3/7.3)</f>
        <v>5.6529616646447352</v>
      </c>
      <c r="D4113" s="1">
        <f>7.23266182824027*(10.3/7.3)</f>
        <v>10.204988606969145</v>
      </c>
      <c r="E4113" s="1">
        <f>25.0093934055435*(10.3/7.3)</f>
        <v>35.287226311931256</v>
      </c>
      <c r="F4113" s="1">
        <f>60.6231357823881*(38.9/42.5)</f>
        <v>55.48799957493874</v>
      </c>
      <c r="G4113" s="1">
        <v>2.8598978830647557</v>
      </c>
      <c r="H4113" s="1">
        <v>4.2871709286836932</v>
      </c>
      <c r="I4113" s="1">
        <v>42.724862476554215</v>
      </c>
      <c r="J4113" s="1">
        <v>3.7695542090898877E-2</v>
      </c>
      <c r="K4113" s="1">
        <v>2.5178783164715219</v>
      </c>
      <c r="L4113" s="1">
        <v>3.1511730608820883</v>
      </c>
      <c r="M4113" s="1">
        <v>0.20959732506982109</v>
      </c>
      <c r="N4113" s="1">
        <v>2.26852186910964</v>
      </c>
      <c r="O4113" s="1">
        <v>0.1724179393939394</v>
      </c>
      <c r="P4113" s="1">
        <v>0.12630254830572674</v>
      </c>
      <c r="Q4113" s="1">
        <v>4.5706130551263282</v>
      </c>
      <c r="R4113" s="2">
        <f t="shared" si="259"/>
        <v>161.07572050191288</v>
      </c>
      <c r="S4113" s="2">
        <f t="shared" si="258"/>
        <v>2.681876406868148</v>
      </c>
      <c r="T4113" s="2">
        <f t="shared" si="260"/>
        <v>5.801710194455489</v>
      </c>
      <c r="U4113" s="2">
        <f t="shared" si="261"/>
        <v>169.55930710323653</v>
      </c>
    </row>
    <row r="4114" spans="1:21" x14ac:dyDescent="0.25">
      <c r="A4114">
        <v>5040537</v>
      </c>
      <c r="B4114">
        <v>37</v>
      </c>
      <c r="C4114" s="1">
        <f>5.7211603941342*(10.3/7.3)</f>
        <v>8.0723221999427768</v>
      </c>
      <c r="D4114" s="1">
        <f>10.4955559748125*(10.3/7.3)</f>
        <v>14.808798156242291</v>
      </c>
      <c r="E4114" s="1">
        <f>36.1426452945309*(10.3/7.3)</f>
        <v>50.995787196392939</v>
      </c>
      <c r="F4114" s="1">
        <f>94.2765139706567*(38.9/42.5)</f>
        <v>86.29073866961285</v>
      </c>
      <c r="G4114" s="1">
        <v>4.700562368446878</v>
      </c>
      <c r="H4114" s="1">
        <v>7.9738346687371697</v>
      </c>
      <c r="I4114" s="1">
        <v>67.485459187823622</v>
      </c>
      <c r="J4114" s="1">
        <v>4.6212617438682643E-2</v>
      </c>
      <c r="K4114" s="1">
        <v>2.917299006448467</v>
      </c>
      <c r="L4114" s="1">
        <v>3.7989639244788029</v>
      </c>
      <c r="M4114" s="1">
        <v>0.2433141483424357</v>
      </c>
      <c r="N4114" s="1">
        <v>2.5061742352388805</v>
      </c>
      <c r="O4114" s="1">
        <v>0.20249945945945952</v>
      </c>
      <c r="P4114" s="1">
        <v>0.14075770088932626</v>
      </c>
      <c r="Q4114" s="1">
        <v>7.51231428747219</v>
      </c>
      <c r="R4114" s="2">
        <f t="shared" si="259"/>
        <v>247.83981673467071</v>
      </c>
      <c r="S4114" s="2">
        <f t="shared" si="258"/>
        <v>3.1042693247764759</v>
      </c>
      <c r="T4114" s="2">
        <f t="shared" si="260"/>
        <v>6.7509517675195783</v>
      </c>
      <c r="U4114" s="2">
        <f t="shared" si="261"/>
        <v>257.69503782696677</v>
      </c>
    </row>
    <row r="4115" spans="1:21" x14ac:dyDescent="0.25">
      <c r="A4115">
        <v>5040545</v>
      </c>
      <c r="B4115">
        <v>56</v>
      </c>
      <c r="C4115" s="1">
        <f>6.58137381495139*(10.3/7.3)</f>
        <v>9.2860479854793621</v>
      </c>
      <c r="D4115" s="1">
        <f>11.2643403256144*(10.3/7.3)</f>
        <v>15.893521281346311</v>
      </c>
      <c r="E4115" s="1">
        <f>39.0776011591961*(10.3/7.3)</f>
        <v>55.136889306811007</v>
      </c>
      <c r="F4115" s="1">
        <f>91.6828476928383*(38.9/42.5)</f>
        <v>83.916771182386114</v>
      </c>
      <c r="G4115" s="1">
        <v>4.1876257498411054</v>
      </c>
      <c r="H4115" s="1">
        <v>9.0854278833600493</v>
      </c>
      <c r="I4115" s="1">
        <v>64.82552029132448</v>
      </c>
      <c r="J4115" s="1">
        <v>5.6504319747015773E-2</v>
      </c>
      <c r="K4115" s="1">
        <v>3.3412792876037201</v>
      </c>
      <c r="L4115" s="1">
        <v>4.5624605808294669</v>
      </c>
      <c r="M4115" s="1">
        <v>0.27728564081159618</v>
      </c>
      <c r="N4115" s="1">
        <v>2.5239745785616252</v>
      </c>
      <c r="O4115" s="1">
        <v>0.22998285714285721</v>
      </c>
      <c r="P4115" s="1">
        <v>0.15476328173806303</v>
      </c>
      <c r="Q4115" s="1">
        <v>6.692552568239214</v>
      </c>
      <c r="R4115" s="2">
        <f t="shared" si="259"/>
        <v>249.02435624878765</v>
      </c>
      <c r="S4115" s="2">
        <f t="shared" si="258"/>
        <v>3.552546889088799</v>
      </c>
      <c r="T4115" s="2">
        <f t="shared" si="260"/>
        <v>7.5937036573455448</v>
      </c>
      <c r="U4115" s="2">
        <f t="shared" si="261"/>
        <v>260.170606795222</v>
      </c>
    </row>
    <row r="4116" spans="1:21" x14ac:dyDescent="0.25">
      <c r="A4116">
        <v>5040553</v>
      </c>
      <c r="B4116">
        <v>66</v>
      </c>
      <c r="C4116" s="1">
        <f>5.2902566108101*(10.3/7.3)</f>
        <v>7.4643346700471325</v>
      </c>
      <c r="D4116" s="1">
        <f>8.66035790238159*(10.3/7.3)</f>
        <v>12.219409095141142</v>
      </c>
      <c r="E4116" s="1">
        <f>30.200573181653*(10.3/7.3)</f>
        <v>42.611767639866585</v>
      </c>
      <c r="F4116" s="1">
        <f>65.2173445264362*(38.9/42.5)</f>
        <v>59.693051813608641</v>
      </c>
      <c r="G4116" s="1">
        <v>2.7452223506230857</v>
      </c>
      <c r="H4116" s="1">
        <v>5.1361442893118721</v>
      </c>
      <c r="I4116" s="1">
        <v>45.58891538904372</v>
      </c>
      <c r="J4116" s="1">
        <v>4.5695318425348699E-2</v>
      </c>
      <c r="K4116" s="1">
        <v>2.9332731175865963</v>
      </c>
      <c r="L4116" s="1">
        <v>3.9123969403760031</v>
      </c>
      <c r="M4116" s="1">
        <v>0.23786730754040036</v>
      </c>
      <c r="N4116" s="1">
        <v>2.1773948406101407</v>
      </c>
      <c r="O4116" s="1">
        <v>0.19827797979797981</v>
      </c>
      <c r="P4116" s="1">
        <v>0.13949010347763563</v>
      </c>
      <c r="Q4116" s="1">
        <v>4.3873416562469458</v>
      </c>
      <c r="R4116" s="2">
        <f t="shared" si="259"/>
        <v>179.84618690388911</v>
      </c>
      <c r="S4116" s="2">
        <f t="shared" si="258"/>
        <v>3.1184585394895805</v>
      </c>
      <c r="T4116" s="2">
        <f t="shared" si="260"/>
        <v>6.5259370683245246</v>
      </c>
      <c r="U4116" s="2">
        <f t="shared" si="261"/>
        <v>189.49058251170322</v>
      </c>
    </row>
    <row r="4117" spans="1:21" x14ac:dyDescent="0.25">
      <c r="A4117">
        <v>5040561</v>
      </c>
      <c r="B4117">
        <v>67</v>
      </c>
      <c r="C4117" s="1">
        <f>7.46489204612065*(10.3/7.3)</f>
        <v>10.532655900690781</v>
      </c>
      <c r="D4117" s="1">
        <f>11.9009883930467*(10.3/7.3)</f>
        <v>16.791805540874115</v>
      </c>
      <c r="E4117" s="1">
        <f>41.5854334468486*(10.3/7.3)</f>
        <v>58.675337603087748</v>
      </c>
      <c r="F4117" s="1">
        <f>87.5091063787989*(38.9/42.5)</f>
        <v>80.096570309065385</v>
      </c>
      <c r="G4117" s="1">
        <v>3.5729215367210787</v>
      </c>
      <c r="H4117" s="1">
        <v>6.2850003187425578</v>
      </c>
      <c r="I4117" s="1">
        <v>61.170871325580848</v>
      </c>
      <c r="J4117" s="1">
        <v>5.8464761308935541E-2</v>
      </c>
      <c r="K4117" s="1">
        <v>3.5499440879387643</v>
      </c>
      <c r="L4117" s="1">
        <v>5.0723924057479435</v>
      </c>
      <c r="M4117" s="1">
        <v>0.29049667131197893</v>
      </c>
      <c r="N4117" s="1">
        <v>2.6602476659739391</v>
      </c>
      <c r="O4117" s="1">
        <v>0.24135004975124374</v>
      </c>
      <c r="P4117" s="1">
        <v>0.16235120263803002</v>
      </c>
      <c r="Q4117" s="1">
        <v>5.7101485746683975</v>
      </c>
      <c r="R4117" s="2">
        <f t="shared" si="259"/>
        <v>242.83531110943093</v>
      </c>
      <c r="S4117" s="2">
        <f t="shared" si="258"/>
        <v>3.77076005188573</v>
      </c>
      <c r="T4117" s="2">
        <f t="shared" si="260"/>
        <v>8.2644867927851049</v>
      </c>
      <c r="U4117" s="2">
        <f t="shared" si="261"/>
        <v>254.87055795410177</v>
      </c>
    </row>
    <row r="4118" spans="1:21" x14ac:dyDescent="0.25">
      <c r="A4118">
        <v>5040569</v>
      </c>
      <c r="B4118">
        <v>67</v>
      </c>
      <c r="C4118" s="1">
        <f>6.91392963963698*(10.3/7.3)</f>
        <v>9.7552705874329977</v>
      </c>
      <c r="D4118" s="1">
        <f>10.7921525417838*(10.3/7.3)</f>
        <v>15.227283723338752</v>
      </c>
      <c r="E4118" s="1">
        <f>37.756168376807*(10.3/7.3)</f>
        <v>53.272401956316777</v>
      </c>
      <c r="F4118" s="1">
        <f>78.613538964647*(38.9/42.5)</f>
        <v>71.954509781759299</v>
      </c>
      <c r="G4118" s="1">
        <v>3.1628947202350117</v>
      </c>
      <c r="H4118" s="1">
        <v>5.9904535983164839</v>
      </c>
      <c r="I4118" s="1">
        <v>55.119667214387434</v>
      </c>
      <c r="J4118" s="1">
        <v>5.5723398356175007E-2</v>
      </c>
      <c r="K4118" s="1">
        <v>3.4081399916095432</v>
      </c>
      <c r="L4118" s="1">
        <v>4.7727774848539601</v>
      </c>
      <c r="M4118" s="1">
        <v>0.27270647794871078</v>
      </c>
      <c r="N4118" s="1">
        <v>2.5313707717051148</v>
      </c>
      <c r="O4118" s="1">
        <v>0.22866945273631839</v>
      </c>
      <c r="P4118" s="1">
        <v>0.15532130360123639</v>
      </c>
      <c r="Q4118" s="1">
        <v>5.0548545757180605</v>
      </c>
      <c r="R4118" s="2">
        <f t="shared" si="259"/>
        <v>219.53733615750482</v>
      </c>
      <c r="S4118" s="2">
        <f t="shared" si="258"/>
        <v>3.6191846935669547</v>
      </c>
      <c r="T4118" s="2">
        <f t="shared" si="260"/>
        <v>7.8055241872441048</v>
      </c>
      <c r="U4118" s="2">
        <f t="shared" si="261"/>
        <v>230.96204503831589</v>
      </c>
    </row>
    <row r="4119" spans="1:21" x14ac:dyDescent="0.25">
      <c r="A4119">
        <v>5040577</v>
      </c>
      <c r="B4119">
        <v>67</v>
      </c>
      <c r="C4119" s="1">
        <f>8.51500325628581*(10.3/7.3)</f>
        <v>12.014319662978613</v>
      </c>
      <c r="D4119" s="1">
        <f>12.4792472924899*(10.3/7.3)</f>
        <v>17.607705083924095</v>
      </c>
      <c r="E4119" s="1">
        <f>43.7780710492863*(10.3/7.3)</f>
        <v>61.769059151732662</v>
      </c>
      <c r="F4119" s="1">
        <f>90.3395230671432*(38.9/42.5)</f>
        <v>82.68723405439691</v>
      </c>
      <c r="G4119" s="1">
        <v>3.5609269231627256</v>
      </c>
      <c r="H4119" s="1">
        <v>6.4405209871275222</v>
      </c>
      <c r="I4119" s="1">
        <v>64.372582924202064</v>
      </c>
      <c r="J4119" s="1">
        <v>6.231189049454728E-2</v>
      </c>
      <c r="K4119" s="1">
        <v>3.6988016603424843</v>
      </c>
      <c r="L4119" s="1">
        <v>5.3655206353177274</v>
      </c>
      <c r="M4119" s="1">
        <v>0.29211840609755757</v>
      </c>
      <c r="N4119" s="1">
        <v>2.7652611536648539</v>
      </c>
      <c r="O4119" s="1">
        <v>0.24622407960199003</v>
      </c>
      <c r="P4119" s="1">
        <v>0.16465363791240448</v>
      </c>
      <c r="Q4119" s="1">
        <v>5.690979100945003</v>
      </c>
      <c r="R4119" s="2">
        <f t="shared" si="259"/>
        <v>254.14332788846963</v>
      </c>
      <c r="S4119" s="2">
        <f t="shared" si="258"/>
        <v>3.9257671887494361</v>
      </c>
      <c r="T4119" s="2">
        <f t="shared" si="260"/>
        <v>8.6691242746821295</v>
      </c>
      <c r="U4119" s="2">
        <f t="shared" si="261"/>
        <v>266.73821935190119</v>
      </c>
    </row>
    <row r="4120" spans="1:21" x14ac:dyDescent="0.25">
      <c r="A4120">
        <v>5040585</v>
      </c>
      <c r="B4120">
        <v>67</v>
      </c>
      <c r="C4120" s="1">
        <f>7.47789894870568*(10.3/7.3)</f>
        <v>10.55100810570802</v>
      </c>
      <c r="D4120" s="1">
        <f>11.2418832985749*(10.3/7.3)</f>
        <v>15.861835339085166</v>
      </c>
      <c r="E4120" s="1">
        <f>39.3745706161157*(10.3/7.3)</f>
        <v>55.555901006300211</v>
      </c>
      <c r="F4120" s="1">
        <f>82.4829386991037*(38.9/42.5)</f>
        <v>75.496148597532567</v>
      </c>
      <c r="G4120" s="1">
        <v>3.3202659718210379</v>
      </c>
      <c r="H4120" s="1">
        <v>6.2339622657393656</v>
      </c>
      <c r="I4120" s="1">
        <v>58.559204942892187</v>
      </c>
      <c r="J4120" s="1">
        <v>6.1140766257554997E-2</v>
      </c>
      <c r="K4120" s="1">
        <v>3.5695773745764727</v>
      </c>
      <c r="L4120" s="1">
        <v>5.0920564854242638</v>
      </c>
      <c r="M4120" s="1">
        <v>0.27571056408770711</v>
      </c>
      <c r="N4120" s="1">
        <v>2.6752966052564151</v>
      </c>
      <c r="O4120" s="1">
        <v>0.2331526368159203</v>
      </c>
      <c r="P4120" s="1">
        <v>0.15741009940464942</v>
      </c>
      <c r="Q4120" s="1">
        <v>5.3063611421797443</v>
      </c>
      <c r="R4120" s="2">
        <f t="shared" si="259"/>
        <v>230.88468737125834</v>
      </c>
      <c r="S4120" s="2">
        <f t="shared" si="258"/>
        <v>3.7881282402386773</v>
      </c>
      <c r="T4120" s="2">
        <f t="shared" si="260"/>
        <v>8.2762162915843049</v>
      </c>
      <c r="U4120" s="2">
        <f t="shared" si="261"/>
        <v>242.94903190308133</v>
      </c>
    </row>
    <row r="4121" spans="1:21" x14ac:dyDescent="0.25">
      <c r="A4121">
        <v>5040593</v>
      </c>
      <c r="B4121">
        <v>57</v>
      </c>
      <c r="C4121" s="1">
        <f>7.57627879794307*(10.3/7.3)</f>
        <v>10.689818029974473</v>
      </c>
      <c r="D4121" s="1">
        <f>11.1708533939994*(10.3/7.3)</f>
        <v>15.761615062766326</v>
      </c>
      <c r="E4121" s="1">
        <f>39.138438596167*(10.3/7.3)</f>
        <v>55.222728430208257</v>
      </c>
      <c r="F4121" s="1">
        <f>82.8141190240161*(38.9/42.5)</f>
        <v>75.799276000805364</v>
      </c>
      <c r="G4121" s="1">
        <v>3.3591222489381489</v>
      </c>
      <c r="H4121" s="1">
        <v>6.8046242723950874</v>
      </c>
      <c r="I4121" s="1">
        <v>59.278947787157016</v>
      </c>
      <c r="J4121" s="1">
        <v>6.4775259714272032E-2</v>
      </c>
      <c r="K4121" s="1">
        <v>3.590896437146593</v>
      </c>
      <c r="L4121" s="1">
        <v>5.1208053708731436</v>
      </c>
      <c r="M4121" s="1">
        <v>0.27084712916614617</v>
      </c>
      <c r="N4121" s="1">
        <v>2.7442103323114875</v>
      </c>
      <c r="O4121" s="1">
        <v>0.23030269005847953</v>
      </c>
      <c r="P4121" s="1">
        <v>0.15585241579553832</v>
      </c>
      <c r="Q4121" s="1">
        <v>5.3684602151979588</v>
      </c>
      <c r="R4121" s="2">
        <f t="shared" si="259"/>
        <v>232.2845920474426</v>
      </c>
      <c r="S4121" s="2">
        <f t="shared" si="258"/>
        <v>3.8115241126564032</v>
      </c>
      <c r="T4121" s="2">
        <f t="shared" si="260"/>
        <v>8.3661655224092577</v>
      </c>
      <c r="U4121" s="2">
        <f t="shared" si="261"/>
        <v>244.46228168250826</v>
      </c>
    </row>
    <row r="4122" spans="1:21" x14ac:dyDescent="0.25">
      <c r="A4122">
        <v>5040601</v>
      </c>
      <c r="B4122">
        <v>9</v>
      </c>
      <c r="C4122" s="1">
        <f>5.56280890112288*(10.3/7.3)</f>
        <v>7.8488947508994027</v>
      </c>
      <c r="D4122" s="1">
        <f>8.00013580032599*(10.3/7.3)</f>
        <v>11.287862841555842</v>
      </c>
      <c r="E4122" s="1">
        <f>28.0556222662615*(10.3/7.3)</f>
        <v>39.585330046916901</v>
      </c>
      <c r="F4122" s="1">
        <f>59.4177804150593*(38.9/42.5)</f>
        <v>54.38474489754838</v>
      </c>
      <c r="G4122" s="1">
        <v>2.4024529465466529</v>
      </c>
      <c r="H4122" s="1">
        <v>6.5987378373127017</v>
      </c>
      <c r="I4122" s="1">
        <v>42.853516601289328</v>
      </c>
      <c r="J4122" s="1">
        <v>5.0787377237230806E-2</v>
      </c>
      <c r="K4122" s="1">
        <v>2.8381815081683097</v>
      </c>
      <c r="L4122" s="1">
        <v>3.6289105226652185</v>
      </c>
      <c r="M4122" s="1">
        <v>0.20436431236608374</v>
      </c>
      <c r="N4122" s="1">
        <v>2.1222157732943514</v>
      </c>
      <c r="O4122" s="1">
        <v>0.17976888888888887</v>
      </c>
      <c r="P4122" s="1">
        <v>0.12607839233443113</v>
      </c>
      <c r="Q4122" s="1">
        <v>3.8395366725631481</v>
      </c>
      <c r="R4122" s="2">
        <f t="shared" si="259"/>
        <v>168.80107659463238</v>
      </c>
      <c r="S4122" s="2">
        <f t="shared" si="258"/>
        <v>3.0150472777399719</v>
      </c>
      <c r="T4122" s="2">
        <f t="shared" si="260"/>
        <v>6.1352594972145429</v>
      </c>
      <c r="U4122" s="2">
        <f t="shared" si="261"/>
        <v>177.95138336958689</v>
      </c>
    </row>
    <row r="4123" spans="1:21" x14ac:dyDescent="0.25">
      <c r="A4123">
        <v>5040681</v>
      </c>
      <c r="B4123">
        <v>6</v>
      </c>
      <c r="C4123" s="1">
        <f>3.51724856355603*(10.3/7.3)</f>
        <v>4.9626931787160489</v>
      </c>
      <c r="D4123" s="1">
        <f>4.68581679380629*(10.3/7.3)</f>
        <v>6.6114949282472342</v>
      </c>
      <c r="E4123" s="1">
        <f>16.4220268445462*(10.3/7.3)</f>
        <v>23.170804999839124</v>
      </c>
      <c r="F4123" s="1">
        <f>37.9239216932564*(38.9/42.5)</f>
        <v>34.711542443945241</v>
      </c>
      <c r="G4123" s="1">
        <v>1.6516267924502446</v>
      </c>
      <c r="H4123" s="1">
        <v>6.664986477930519</v>
      </c>
      <c r="I4123" s="1">
        <v>28.487748369715437</v>
      </c>
      <c r="J4123" s="1">
        <v>5.0530899143461157E-2</v>
      </c>
      <c r="K4123" s="1">
        <v>2.3916345355588846</v>
      </c>
      <c r="L4123" s="1">
        <v>3.0183333866305908</v>
      </c>
      <c r="M4123" s="1">
        <v>0.13236045332580634</v>
      </c>
      <c r="N4123" s="1">
        <v>3.4113657236222887</v>
      </c>
      <c r="O4123" s="1">
        <v>0.11436444444444444</v>
      </c>
      <c r="P4123" s="1">
        <v>9.0548085247774815E-2</v>
      </c>
      <c r="Q4123" s="1">
        <v>2.6395861979798458</v>
      </c>
      <c r="R4123" s="2">
        <f t="shared" si="259"/>
        <v>108.9004833888237</v>
      </c>
      <c r="S4123" s="2">
        <f t="shared" si="258"/>
        <v>2.5327135199501205</v>
      </c>
      <c r="T4123" s="2">
        <f t="shared" si="260"/>
        <v>6.6764240080231296</v>
      </c>
      <c r="U4123" s="2">
        <f t="shared" si="261"/>
        <v>118.10962091679696</v>
      </c>
    </row>
    <row r="4124" spans="1:21" x14ac:dyDescent="0.25">
      <c r="A4124">
        <v>5040993</v>
      </c>
      <c r="B4124">
        <v>4</v>
      </c>
      <c r="C4124" s="1">
        <f>4.00303180387128*(10.3/7.3)</f>
        <v>5.6481133671060464</v>
      </c>
      <c r="D4124" s="1">
        <f>5.17033035992701*(10.3/7.3)</f>
        <v>7.2951236585271513</v>
      </c>
      <c r="E4124" s="1">
        <f>17.8909326135285*(10.3/7.3)</f>
        <v>25.243370673882648</v>
      </c>
      <c r="F4124" s="1">
        <f>54.1805158930646*(38.9/42.5)</f>
        <v>49.591107488005044</v>
      </c>
      <c r="G4124" s="1">
        <v>2.8714808596545911</v>
      </c>
      <c r="H4124" s="1">
        <v>8.684916861162213</v>
      </c>
      <c r="I4124" s="1">
        <v>42.835594983816172</v>
      </c>
      <c r="J4124" s="1">
        <v>3.3039706055580841E-2</v>
      </c>
      <c r="K4124" s="1">
        <v>2.0307864971467806</v>
      </c>
      <c r="L4124" s="1">
        <v>1.8065183323843623</v>
      </c>
      <c r="M4124" s="1">
        <v>8.3294009532603991E-2</v>
      </c>
      <c r="N4124" s="1">
        <v>1.2735136832827714</v>
      </c>
      <c r="O4124" s="1">
        <v>8.3733333333333326E-2</v>
      </c>
      <c r="P4124" s="1">
        <v>6.5734390696949863E-2</v>
      </c>
      <c r="Q4124" s="1">
        <v>4.5891246615484373</v>
      </c>
      <c r="R4124" s="2">
        <f t="shared" si="259"/>
        <v>146.75883255370229</v>
      </c>
      <c r="S4124" s="2">
        <f t="shared" si="258"/>
        <v>2.1295605938993112</v>
      </c>
      <c r="T4124" s="2">
        <f t="shared" si="260"/>
        <v>3.2470593585330714</v>
      </c>
      <c r="U4124" s="2">
        <f t="shared" si="261"/>
        <v>152.13545250613467</v>
      </c>
    </row>
    <row r="4125" spans="1:21" x14ac:dyDescent="0.25">
      <c r="A4125">
        <v>5041009</v>
      </c>
      <c r="B4125">
        <v>6</v>
      </c>
      <c r="C4125" s="1">
        <f>2.62427833279345*(10.3/7.3)</f>
        <v>3.7027488805167792</v>
      </c>
      <c r="D4125" s="1">
        <f>3.33688765921499*(10.3/7.3)</f>
        <v>4.7082113547827911</v>
      </c>
      <c r="E4125" s="1">
        <f>11.6501968457309*(10.3/7.3)</f>
        <v>16.437948974113453</v>
      </c>
      <c r="F4125" s="1">
        <f>30.3589806109978*(38.9/42.5)</f>
        <v>27.787396371007375</v>
      </c>
      <c r="G4125" s="1">
        <v>1.4533099764230337</v>
      </c>
      <c r="H4125" s="1">
        <v>5.2664870052828547</v>
      </c>
      <c r="I4125" s="1">
        <v>23.575724469298276</v>
      </c>
      <c r="J4125" s="1">
        <v>3.1026305872780716E-2</v>
      </c>
      <c r="K4125" s="1">
        <v>1.6439353461570372</v>
      </c>
      <c r="L4125" s="1">
        <v>1.5747138776099472</v>
      </c>
      <c r="M4125" s="1">
        <v>7.5328645743117442E-2</v>
      </c>
      <c r="N4125" s="1">
        <v>1.0021612422498498</v>
      </c>
      <c r="O4125" s="1">
        <v>7.3742222222222223E-2</v>
      </c>
      <c r="P4125" s="1">
        <v>5.9893110293587119E-2</v>
      </c>
      <c r="Q4125" s="1">
        <v>2.3226415148313344</v>
      </c>
      <c r="R4125" s="2">
        <f t="shared" si="259"/>
        <v>85.254468546255893</v>
      </c>
      <c r="S4125" s="2">
        <f t="shared" si="258"/>
        <v>1.734854762323405</v>
      </c>
      <c r="T4125" s="2">
        <f t="shared" si="260"/>
        <v>2.7259459878251366</v>
      </c>
      <c r="U4125" s="2">
        <f t="shared" si="261"/>
        <v>89.715269296404443</v>
      </c>
    </row>
    <row r="4126" spans="1:21" x14ac:dyDescent="0.25">
      <c r="A4126">
        <v>5052285</v>
      </c>
      <c r="B4126">
        <v>44</v>
      </c>
      <c r="C4126" s="1">
        <f>0.806549960781541*(10.3/7.3)</f>
        <v>1.1380088487739548</v>
      </c>
      <c r="D4126" s="1">
        <f>1.16345158709902*(10.3/7.3)</f>
        <v>1.6415823763177937</v>
      </c>
      <c r="E4126" s="1">
        <f>4.02696523617379*(10.3/7.3)</f>
        <v>5.6818824565191877</v>
      </c>
      <c r="F4126" s="1">
        <f>11.1920614901759*(38.9/42.5)</f>
        <v>10.244028046302175</v>
      </c>
      <c r="G4126" s="1">
        <v>0.56889484705797444</v>
      </c>
      <c r="H4126" s="1">
        <v>3.169022809669205</v>
      </c>
      <c r="I4126" s="1">
        <v>8.5292395198309379</v>
      </c>
      <c r="J4126" s="1">
        <v>6.263778811826147E-2</v>
      </c>
      <c r="K4126" s="1">
        <v>3.2881918193396533</v>
      </c>
      <c r="L4126" s="1">
        <v>2.6351788691708875</v>
      </c>
      <c r="M4126" s="1">
        <v>0.81632568970867436</v>
      </c>
      <c r="N4126" s="1">
        <v>1.7408445687058114</v>
      </c>
      <c r="O4126" s="1">
        <v>0.47855030303030299</v>
      </c>
      <c r="P4126" s="1">
        <v>0.22261173332162326</v>
      </c>
      <c r="Q4126" s="1">
        <v>0.90919267794653547</v>
      </c>
      <c r="R4126" s="2">
        <f t="shared" si="259"/>
        <v>31.881851582417763</v>
      </c>
      <c r="S4126" s="2">
        <f t="shared" si="258"/>
        <v>3.5734413407795378</v>
      </c>
      <c r="T4126" s="2">
        <f t="shared" si="260"/>
        <v>5.6708994306156768</v>
      </c>
      <c r="U4126" s="2">
        <f t="shared" si="261"/>
        <v>41.126192353812975</v>
      </c>
    </row>
    <row r="4127" spans="1:21" x14ac:dyDescent="0.25">
      <c r="A4127">
        <v>5052461</v>
      </c>
      <c r="B4127">
        <v>60</v>
      </c>
      <c r="C4127" s="1">
        <f>1.4945767284845*(10.3/7.3)</f>
        <v>2.1087863429301894</v>
      </c>
      <c r="D4127" s="1">
        <f>2.56898798185068*(10.3/7.3)</f>
        <v>3.6247364675427414</v>
      </c>
      <c r="E4127" s="1">
        <f>8.6812665311557*(10.3/7.3)</f>
        <v>12.248910311082705</v>
      </c>
      <c r="F4127" s="1">
        <f>32.0383134404724*(38.9/42.5)</f>
        <v>29.324479831397053</v>
      </c>
      <c r="G4127" s="1">
        <v>1.912264086733076</v>
      </c>
      <c r="H4127" s="1">
        <v>8.9639449384911156</v>
      </c>
      <c r="I4127" s="1">
        <v>24.814876798109822</v>
      </c>
      <c r="J4127" s="1">
        <v>4.9706868973809347E-2</v>
      </c>
      <c r="K4127" s="1">
        <v>3.3111061653560503</v>
      </c>
      <c r="L4127" s="1">
        <v>3.5639798358627286</v>
      </c>
      <c r="M4127" s="1">
        <v>1.6041192080434743</v>
      </c>
      <c r="N4127" s="1">
        <v>2.2690769558596884</v>
      </c>
      <c r="O4127" s="1">
        <v>0.32099466666666654</v>
      </c>
      <c r="P4127" s="1">
        <v>0.18817565641850745</v>
      </c>
      <c r="Q4127" s="1">
        <v>3.0561298189798061</v>
      </c>
      <c r="R4127" s="2">
        <f t="shared" si="259"/>
        <v>86.054128595266505</v>
      </c>
      <c r="S4127" s="2">
        <f t="shared" si="258"/>
        <v>3.548988690748367</v>
      </c>
      <c r="T4127" s="2">
        <f t="shared" si="260"/>
        <v>7.7581706664325578</v>
      </c>
      <c r="U4127" s="2">
        <f t="shared" si="261"/>
        <v>97.361287952447441</v>
      </c>
    </row>
    <row r="4128" spans="1:21" x14ac:dyDescent="0.25">
      <c r="A4128">
        <v>5052509</v>
      </c>
      <c r="B4128">
        <v>19</v>
      </c>
      <c r="C4128" s="1">
        <f>1.64595137281133*(10.3/7.3)</f>
        <v>2.3223697451995453</v>
      </c>
      <c r="D4128" s="1">
        <f>3.69931342658974*(10.3/7.3)</f>
        <v>5.2195792183389544</v>
      </c>
      <c r="E4128" s="1">
        <f>12.6088938430357*(10.3/7.3)</f>
        <v>17.790631038803745</v>
      </c>
      <c r="F4128" s="1">
        <f>35.807097515842*(38.9/42.5)</f>
        <v>32.774025726264817</v>
      </c>
      <c r="G4128" s="1">
        <v>1.9125605595964839</v>
      </c>
      <c r="H4128" s="1">
        <v>15.644324280702767</v>
      </c>
      <c r="I4128" s="1">
        <v>25.297674765483187</v>
      </c>
      <c r="J4128" s="1">
        <v>5.4127647086158748E-2</v>
      </c>
      <c r="K4128" s="1">
        <v>3.1342556822931971</v>
      </c>
      <c r="L4128" s="1">
        <v>5.0458088853425611</v>
      </c>
      <c r="M4128" s="1">
        <v>0.90585535066801715</v>
      </c>
      <c r="N4128" s="1">
        <v>2.2492554288477149</v>
      </c>
      <c r="O4128" s="1">
        <v>0.28913122807017544</v>
      </c>
      <c r="P4128" s="1">
        <v>0.17539450996235881</v>
      </c>
      <c r="Q4128" s="1">
        <v>3.0566036340583103</v>
      </c>
      <c r="R4128" s="2">
        <f t="shared" si="259"/>
        <v>104.01776896844781</v>
      </c>
      <c r="S4128" s="2">
        <f t="shared" si="258"/>
        <v>3.3637778393417146</v>
      </c>
      <c r="T4128" s="2">
        <f t="shared" si="260"/>
        <v>8.490050892928469</v>
      </c>
      <c r="U4128" s="2">
        <f t="shared" si="261"/>
        <v>115.87159770071798</v>
      </c>
    </row>
    <row r="4129" spans="1:21" x14ac:dyDescent="0.25">
      <c r="A4129">
        <v>5052525</v>
      </c>
      <c r="B4129">
        <v>54</v>
      </c>
      <c r="C4129" s="1">
        <f>1.92478203505307*(10.3/7.3)</f>
        <v>2.7157883508283058</v>
      </c>
      <c r="D4129" s="1">
        <f>3.28734774370427*(10.3/7.3)</f>
        <v>4.6383125698841114</v>
      </c>
      <c r="E4129" s="1">
        <f>11.2756713723626*(10.3/7.3)</f>
        <v>15.909508922648591</v>
      </c>
      <c r="F4129" s="1">
        <f>33.0314637973103*(38.9/42.5)</f>
        <v>30.233504510949892</v>
      </c>
      <c r="G4129" s="1">
        <v>1.7611272406143523</v>
      </c>
      <c r="H4129" s="1">
        <v>10.366263816334957</v>
      </c>
      <c r="I4129" s="1">
        <v>24.591200150686856</v>
      </c>
      <c r="J4129" s="1">
        <v>6.7453738661416296E-2</v>
      </c>
      <c r="K4129" s="1">
        <v>3.7894972828746849</v>
      </c>
      <c r="L4129" s="1">
        <v>5.6618497683962223</v>
      </c>
      <c r="M4129" s="1">
        <v>0.94315352855006918</v>
      </c>
      <c r="N4129" s="1">
        <v>2.802553246642927</v>
      </c>
      <c r="O4129" s="1">
        <v>0.35005530864197526</v>
      </c>
      <c r="P4129" s="1">
        <v>0.20512576857383152</v>
      </c>
      <c r="Q4129" s="1">
        <v>2.8145869142238529</v>
      </c>
      <c r="R4129" s="2">
        <f t="shared" si="259"/>
        <v>93.030292476170914</v>
      </c>
      <c r="S4129" s="2">
        <f t="shared" si="258"/>
        <v>4.0620767901099333</v>
      </c>
      <c r="T4129" s="2">
        <f t="shared" si="260"/>
        <v>9.7576118522311948</v>
      </c>
      <c r="U4129" s="2">
        <f t="shared" si="261"/>
        <v>106.84998111851203</v>
      </c>
    </row>
    <row r="4130" spans="1:21" x14ac:dyDescent="0.25">
      <c r="A4130">
        <v>5052717</v>
      </c>
      <c r="B4130">
        <v>38</v>
      </c>
      <c r="C4130" s="1">
        <f>11.6651285110207*(10.3/7.3)</f>
        <v>16.459016940207224</v>
      </c>
      <c r="D4130" s="1">
        <f>19.934117262683*(10.3/7.3)</f>
        <v>28.126220247347266</v>
      </c>
      <c r="E4130" s="1">
        <f>69.6863982861854*(10.3/7.3)</f>
        <v>98.324644157220519</v>
      </c>
      <c r="F4130" s="1">
        <f>136.639760739971*(38.9/42.5)</f>
        <v>125.06556924199667</v>
      </c>
      <c r="G4130" s="1">
        <v>5.2077293765710388</v>
      </c>
      <c r="H4130" s="1">
        <v>7.8744931644005671</v>
      </c>
      <c r="I4130" s="1">
        <v>91.646313494401255</v>
      </c>
      <c r="J4130" s="1">
        <v>8.7356175708935807E-2</v>
      </c>
      <c r="K4130" s="1">
        <v>3.9200624466310772</v>
      </c>
      <c r="L4130" s="1">
        <v>5.5527116407601982</v>
      </c>
      <c r="M4130" s="1">
        <v>0.38535541155546338</v>
      </c>
      <c r="N4130" s="1">
        <v>3.1226875011760389</v>
      </c>
      <c r="O4130" s="1">
        <v>0.2936238596491228</v>
      </c>
      <c r="P4130" s="1">
        <v>0.18428400118131663</v>
      </c>
      <c r="Q4130" s="1">
        <v>8.3228551680359111</v>
      </c>
      <c r="R4130" s="2">
        <f t="shared" si="259"/>
        <v>381.02684179018041</v>
      </c>
      <c r="S4130" s="2">
        <f t="shared" si="258"/>
        <v>4.1917026235213291</v>
      </c>
      <c r="T4130" s="2">
        <f t="shared" si="260"/>
        <v>9.3543784131408234</v>
      </c>
      <c r="U4130" s="2">
        <f t="shared" si="261"/>
        <v>394.57292282684256</v>
      </c>
    </row>
    <row r="4131" spans="1:21" x14ac:dyDescent="0.25">
      <c r="A4131">
        <v>5052725</v>
      </c>
      <c r="B4131">
        <v>66</v>
      </c>
      <c r="C4131" s="1">
        <f>10.0618769419714*(10.3/7.3)</f>
        <v>14.196894863329465</v>
      </c>
      <c r="D4131" s="1">
        <f>17.1455979964163*(10.3/7.3)</f>
        <v>24.191734159327119</v>
      </c>
      <c r="E4131" s="1">
        <f>59.9417821178998*(10.3/7.3)</f>
        <v>84.57539120744768</v>
      </c>
      <c r="F4131" s="1">
        <f>117.638960777321*(38.9/42.5)</f>
        <v>107.6742488055948</v>
      </c>
      <c r="G4131" s="1">
        <v>4.48634287798847</v>
      </c>
      <c r="H4131" s="1">
        <v>7.3900909974301641</v>
      </c>
      <c r="I4131" s="1">
        <v>78.991276054731216</v>
      </c>
      <c r="J4131" s="1">
        <v>7.2989019393029625E-2</v>
      </c>
      <c r="K4131" s="1">
        <v>4.0194463411998385</v>
      </c>
      <c r="L4131" s="1">
        <v>5.7841931048652766</v>
      </c>
      <c r="M4131" s="1">
        <v>0.39670311801836872</v>
      </c>
      <c r="N4131" s="1">
        <v>3.0819501397298308</v>
      </c>
      <c r="O4131" s="1">
        <v>0.30165252525252534</v>
      </c>
      <c r="P4131" s="1">
        <v>0.191153135660351</v>
      </c>
      <c r="Q4131" s="1">
        <v>7.1699543712144589</v>
      </c>
      <c r="R4131" s="2">
        <f t="shared" si="259"/>
        <v>328.67593333706338</v>
      </c>
      <c r="S4131" s="2">
        <f t="shared" si="258"/>
        <v>4.2835884962532198</v>
      </c>
      <c r="T4131" s="2">
        <f t="shared" si="260"/>
        <v>9.5644988878660016</v>
      </c>
      <c r="U4131" s="2">
        <f t="shared" si="261"/>
        <v>342.52402072118264</v>
      </c>
    </row>
    <row r="4132" spans="1:21" x14ac:dyDescent="0.25">
      <c r="A4132">
        <v>5052733</v>
      </c>
      <c r="B4132">
        <v>64</v>
      </c>
      <c r="C4132" s="1">
        <f>9.48482151330179*(10.3/7.3)</f>
        <v>13.382693368083341</v>
      </c>
      <c r="D4132" s="1">
        <f>16.2601021103154*(10.3/7.3)</f>
        <v>22.942335854280643</v>
      </c>
      <c r="E4132" s="1">
        <f>56.8142693076449*(10.3/7.3)</f>
        <v>80.162599160101749</v>
      </c>
      <c r="F4132" s="1">
        <f>112.526174963354*(38.9/42.5)</f>
        <v>102.99454602528168</v>
      </c>
      <c r="G4132" s="1">
        <v>4.3426956793641205</v>
      </c>
      <c r="H4132" s="1">
        <v>7.0943371529486141</v>
      </c>
      <c r="I4132" s="1">
        <v>75.654372805957237</v>
      </c>
      <c r="J4132" s="1">
        <v>6.7318692808504249E-2</v>
      </c>
      <c r="K4132" s="1">
        <v>3.9057623471559206</v>
      </c>
      <c r="L4132" s="1">
        <v>5.610854140753422</v>
      </c>
      <c r="M4132" s="1">
        <v>0.37686405944039358</v>
      </c>
      <c r="N4132" s="1">
        <v>2.9370184915178226</v>
      </c>
      <c r="O4132" s="1">
        <v>0.29300500000000007</v>
      </c>
      <c r="P4132" s="1">
        <v>0.18725787437992636</v>
      </c>
      <c r="Q4132" s="1">
        <v>6.9403812227280577</v>
      </c>
      <c r="R4132" s="2">
        <f t="shared" si="259"/>
        <v>313.51396126874539</v>
      </c>
      <c r="S4132" s="2">
        <f t="shared" si="258"/>
        <v>4.1603389143443508</v>
      </c>
      <c r="T4132" s="2">
        <f t="shared" si="260"/>
        <v>9.2177416917116393</v>
      </c>
      <c r="U4132" s="2">
        <f t="shared" si="261"/>
        <v>326.89204187480135</v>
      </c>
    </row>
    <row r="4133" spans="1:21" x14ac:dyDescent="0.25">
      <c r="A4133">
        <v>5052741</v>
      </c>
      <c r="B4133">
        <v>60</v>
      </c>
      <c r="C4133" s="1">
        <f>9.18467544592199*(10.3/7.3)</f>
        <v>12.959199601780337</v>
      </c>
      <c r="D4133" s="1">
        <f>16.0381410247485*(10.3/7.3)</f>
        <v>22.629157884234129</v>
      </c>
      <c r="E4133" s="1">
        <f>55.9437765578429*(10.3/7.3)</f>
        <v>78.934369663805668</v>
      </c>
      <c r="F4133" s="1">
        <f>113.874594576406*(38.9/42.5)</f>
        <v>104.22874656522852</v>
      </c>
      <c r="G4133" s="1">
        <v>4.5471059539180469</v>
      </c>
      <c r="H4133" s="1">
        <v>7.0696443717774882</v>
      </c>
      <c r="I4133" s="1">
        <v>76.849559927010688</v>
      </c>
      <c r="J4133" s="1">
        <v>6.6891702750418475E-2</v>
      </c>
      <c r="K4133" s="1">
        <v>3.89850813060582</v>
      </c>
      <c r="L4133" s="1">
        <v>5.6577470517070312</v>
      </c>
      <c r="M4133" s="1">
        <v>0.37222945268941265</v>
      </c>
      <c r="N4133" s="1">
        <v>2.9576741490547906</v>
      </c>
      <c r="O4133" s="1">
        <v>0.28914844444444449</v>
      </c>
      <c r="P4133" s="1">
        <v>0.1856902869397003</v>
      </c>
      <c r="Q4133" s="1">
        <v>7.2670643099146961</v>
      </c>
      <c r="R4133" s="2">
        <f t="shared" si="259"/>
        <v>314.48484827766953</v>
      </c>
      <c r="S4133" s="2">
        <f t="shared" si="258"/>
        <v>4.1510901202959385</v>
      </c>
      <c r="T4133" s="2">
        <f t="shared" si="260"/>
        <v>9.2767990978956796</v>
      </c>
      <c r="U4133" s="2">
        <f t="shared" si="261"/>
        <v>327.91273749586111</v>
      </c>
    </row>
    <row r="4134" spans="1:21" x14ac:dyDescent="0.25">
      <c r="A4134">
        <v>5052749</v>
      </c>
      <c r="B4134">
        <v>52</v>
      </c>
      <c r="C4134" s="1">
        <f>6.86703329443649*(10.3/7.3)</f>
        <v>9.689101771602175</v>
      </c>
      <c r="D4134" s="1">
        <f>13.2510311225663*(10.3/7.3)</f>
        <v>18.696660351018139</v>
      </c>
      <c r="E4134" s="1">
        <f>45.7253822137807*(10.3/7.3)</f>
        <v>64.516635178348068</v>
      </c>
      <c r="F4134" s="1">
        <f>110.889999071307*(38.9/42.5)</f>
        <v>101.49696385585521</v>
      </c>
      <c r="G4134" s="1">
        <v>5.2679752687702637</v>
      </c>
      <c r="H4134" s="1">
        <v>6.2745788604738646</v>
      </c>
      <c r="I4134" s="1">
        <v>77.074405038010426</v>
      </c>
      <c r="J4134" s="1">
        <v>5.4082569488349282E-2</v>
      </c>
      <c r="K4134" s="1">
        <v>3.2946099996173919</v>
      </c>
      <c r="L4134" s="1">
        <v>4.5066849121978683</v>
      </c>
      <c r="M4134" s="1">
        <v>0.29624035677214083</v>
      </c>
      <c r="N4134" s="1">
        <v>2.5967079807140503</v>
      </c>
      <c r="O4134" s="1">
        <v>0.23917230769230763</v>
      </c>
      <c r="P4134" s="1">
        <v>0.15967999147197423</v>
      </c>
      <c r="Q4134" s="1">
        <v>8.419138557395403</v>
      </c>
      <c r="R4134" s="2">
        <f t="shared" si="259"/>
        <v>291.43545888147355</v>
      </c>
      <c r="S4134" s="2">
        <f t="shared" si="258"/>
        <v>3.5083725605777154</v>
      </c>
      <c r="T4134" s="2">
        <f t="shared" si="260"/>
        <v>7.6388055573763678</v>
      </c>
      <c r="U4134" s="2">
        <f t="shared" si="261"/>
        <v>302.58263699942762</v>
      </c>
    </row>
    <row r="4135" spans="1:21" x14ac:dyDescent="0.25">
      <c r="A4135">
        <v>5052757</v>
      </c>
      <c r="B4135">
        <v>57</v>
      </c>
      <c r="C4135" s="1">
        <f>3.3435898420196*(10.3/7.3)</f>
        <v>4.7176678592879258</v>
      </c>
      <c r="D4135" s="1">
        <f>5.95139650612346*(10.3/7.3)</f>
        <v>8.3971758922015987</v>
      </c>
      <c r="E4135" s="1">
        <f>20.690588831025*(10.3/7.3)</f>
        <v>29.193570542405155</v>
      </c>
      <c r="F4135" s="1">
        <f>44.945549949717*(38.9/42.5)</f>
        <v>41.13839748338799</v>
      </c>
      <c r="G4135" s="1">
        <v>1.9244571214805131</v>
      </c>
      <c r="H4135" s="1">
        <v>3.622626926071264</v>
      </c>
      <c r="I4135" s="1">
        <v>30.802166709138199</v>
      </c>
      <c r="J4135" s="1">
        <v>3.5041121048821088E-2</v>
      </c>
      <c r="K4135" s="1">
        <v>2.3835719328198044</v>
      </c>
      <c r="L4135" s="1">
        <v>2.9667302321703333</v>
      </c>
      <c r="M4135" s="1">
        <v>0.20025740073463735</v>
      </c>
      <c r="N4135" s="1">
        <v>1.7618051564883794</v>
      </c>
      <c r="O4135" s="1">
        <v>0.16257309941520473</v>
      </c>
      <c r="P4135" s="1">
        <v>0.12170985202152146</v>
      </c>
      <c r="Q4135" s="1">
        <v>3.0756164041926053</v>
      </c>
      <c r="R4135" s="2">
        <f t="shared" si="259"/>
        <v>122.87167893816525</v>
      </c>
      <c r="S4135" s="2">
        <f t="shared" si="258"/>
        <v>2.5403229058901471</v>
      </c>
      <c r="T4135" s="2">
        <f t="shared" si="260"/>
        <v>5.0913658888085553</v>
      </c>
      <c r="U4135" s="2">
        <f t="shared" si="261"/>
        <v>130.50336773286395</v>
      </c>
    </row>
    <row r="4136" spans="1:21" x14ac:dyDescent="0.25">
      <c r="A4136">
        <v>5052765</v>
      </c>
      <c r="B4136">
        <v>36</v>
      </c>
      <c r="C4136" s="1">
        <f>5.24072359338722*(10.3/7.3)</f>
        <v>7.3944456180668974</v>
      </c>
      <c r="D4136" s="1">
        <f>10.606717234249*(10.3/7.3)</f>
        <v>14.965642125036249</v>
      </c>
      <c r="E4136" s="1">
        <f>36.1724980964008*(10.3/7.3)</f>
        <v>51.037908273003914</v>
      </c>
      <c r="F4136" s="1">
        <f>106.938481749277*(38.9/42.5)</f>
        <v>97.88016329522047</v>
      </c>
      <c r="G4136" s="1">
        <v>5.8028382572410537</v>
      </c>
      <c r="H4136" s="1">
        <v>7.8707117371747906</v>
      </c>
      <c r="I4136" s="1">
        <v>77.536919228321693</v>
      </c>
      <c r="J4136" s="1">
        <v>4.74293529304766E-2</v>
      </c>
      <c r="K4136" s="1">
        <v>2.9724064646428006</v>
      </c>
      <c r="L4136" s="1">
        <v>3.9163186282338622</v>
      </c>
      <c r="M4136" s="1">
        <v>0.25298210665007442</v>
      </c>
      <c r="N4136" s="1">
        <v>2.385537621752357</v>
      </c>
      <c r="O4136" s="1">
        <v>0.20824740740740735</v>
      </c>
      <c r="P4136" s="1">
        <v>0.14439630822787805</v>
      </c>
      <c r="Q4136" s="1">
        <v>9.2739424202482681</v>
      </c>
      <c r="R4136" s="2">
        <f t="shared" si="259"/>
        <v>271.76257095431333</v>
      </c>
      <c r="S4136" s="2">
        <f t="shared" si="258"/>
        <v>3.164232125801155</v>
      </c>
      <c r="T4136" s="2">
        <f t="shared" si="260"/>
        <v>6.7630857640437014</v>
      </c>
      <c r="U4136" s="2">
        <f t="shared" si="261"/>
        <v>281.68988884415819</v>
      </c>
    </row>
    <row r="4137" spans="1:21" x14ac:dyDescent="0.25">
      <c r="A4137">
        <v>5052781</v>
      </c>
      <c r="B4137">
        <v>51</v>
      </c>
      <c r="C4137" s="1">
        <f>7.39432644077097*(10.3/7.3)</f>
        <v>10.433090731498769</v>
      </c>
      <c r="D4137" s="1">
        <f>12.4873941844866*(10.3/7.3)</f>
        <v>17.619200013727646</v>
      </c>
      <c r="E4137" s="1">
        <f>43.3952205363427*(10.3/7.3)</f>
        <v>61.228872811552073</v>
      </c>
      <c r="F4137" s="1">
        <f>99.0079088555627*(38.9/42.5)</f>
        <v>90.621356576032724</v>
      </c>
      <c r="G4137" s="1">
        <v>4.4071922988872112</v>
      </c>
      <c r="H4137" s="1">
        <v>7.9245449324672128</v>
      </c>
      <c r="I4137" s="1">
        <v>69.707101828916691</v>
      </c>
      <c r="J4137" s="1">
        <v>6.1282179063368455E-2</v>
      </c>
      <c r="K4137" s="1">
        <v>3.6067870521815735</v>
      </c>
      <c r="L4137" s="1">
        <v>5.1085359259256418</v>
      </c>
      <c r="M4137" s="1">
        <v>0.30154923279544765</v>
      </c>
      <c r="N4137" s="1">
        <v>2.7354206035823423</v>
      </c>
      <c r="O4137" s="1">
        <v>0.24878954248366006</v>
      </c>
      <c r="P4137" s="1">
        <v>0.16460413100302954</v>
      </c>
      <c r="Q4137" s="1">
        <v>7.0434580119202099</v>
      </c>
      <c r="R4137" s="2">
        <f t="shared" si="259"/>
        <v>268.98481720500257</v>
      </c>
      <c r="S4137" s="2">
        <f t="shared" si="258"/>
        <v>3.8326733622479714</v>
      </c>
      <c r="T4137" s="2">
        <f t="shared" si="260"/>
        <v>8.3942953047870912</v>
      </c>
      <c r="U4137" s="2">
        <f t="shared" si="261"/>
        <v>281.21178587203764</v>
      </c>
    </row>
    <row r="4138" spans="1:21" x14ac:dyDescent="0.25">
      <c r="A4138">
        <v>5052789</v>
      </c>
      <c r="B4138">
        <v>55</v>
      </c>
      <c r="C4138" s="1">
        <f>6.9282135619498*(10.3/7.3)</f>
        <v>9.775424614805889</v>
      </c>
      <c r="D4138" s="1">
        <f>11.2477533831248*(10.3/7.3)</f>
        <v>15.870117787148628</v>
      </c>
      <c r="E4138" s="1">
        <f>39.2498101856818*(10.3/7.3)</f>
        <v>55.379869166098942</v>
      </c>
      <c r="F4138" s="1">
        <f>83.9991199710035*(38.9/42.5)</f>
        <v>76.883900396989063</v>
      </c>
      <c r="G4138" s="1">
        <v>3.4996878624166792</v>
      </c>
      <c r="H4138" s="1">
        <v>6.0511796746688056</v>
      </c>
      <c r="I4138" s="1">
        <v>58.701258952343267</v>
      </c>
      <c r="J4138" s="1">
        <v>5.5585043429649983E-2</v>
      </c>
      <c r="K4138" s="1">
        <v>3.4089326161340403</v>
      </c>
      <c r="L4138" s="1">
        <v>4.8082126265549059</v>
      </c>
      <c r="M4138" s="1">
        <v>0.28188733742695404</v>
      </c>
      <c r="N4138" s="1">
        <v>2.5385401702805814</v>
      </c>
      <c r="O4138" s="1">
        <v>0.23383757575757577</v>
      </c>
      <c r="P4138" s="1">
        <v>0.15778846727231727</v>
      </c>
      <c r="Q4138" s="1">
        <v>5.5931084559170721</v>
      </c>
      <c r="R4138" s="2">
        <f t="shared" si="259"/>
        <v>231.75454691038837</v>
      </c>
      <c r="S4138" s="2">
        <f t="shared" si="258"/>
        <v>3.6223061268360075</v>
      </c>
      <c r="T4138" s="2">
        <f t="shared" si="260"/>
        <v>7.8624777100200181</v>
      </c>
      <c r="U4138" s="2">
        <f t="shared" si="261"/>
        <v>243.2393307472444</v>
      </c>
    </row>
    <row r="4139" spans="1:21" x14ac:dyDescent="0.25">
      <c r="A4139">
        <v>5052797</v>
      </c>
      <c r="B4139">
        <v>55</v>
      </c>
      <c r="C4139" s="1">
        <f>7.88509152352482*(10.3/7.3)</f>
        <v>11.125540094836385</v>
      </c>
      <c r="D4139" s="1">
        <f>12.4677689927396*(10.3/7.3)</f>
        <v>17.591509674687426</v>
      </c>
      <c r="E4139" s="1">
        <f>43.5802102720783*(10.3/7.3)</f>
        <v>61.489885726357031</v>
      </c>
      <c r="F4139" s="1">
        <f>91.6352529597976*(38.9/42.5)</f>
        <v>83.873208003203018</v>
      </c>
      <c r="G4139" s="1">
        <v>3.7335518175475144</v>
      </c>
      <c r="H4139" s="1">
        <v>6.5489962203366616</v>
      </c>
      <c r="I4139" s="1">
        <v>64.189042442786956</v>
      </c>
      <c r="J4139" s="1">
        <v>6.2183148122965333E-2</v>
      </c>
      <c r="K4139" s="1">
        <v>3.7035261726903026</v>
      </c>
      <c r="L4139" s="1">
        <v>5.3915972068857956</v>
      </c>
      <c r="M4139" s="1">
        <v>0.30421109744639813</v>
      </c>
      <c r="N4139" s="1">
        <v>2.7864157528631401</v>
      </c>
      <c r="O4139" s="1">
        <v>0.25228315151515146</v>
      </c>
      <c r="P4139" s="1">
        <v>0.16793824399059487</v>
      </c>
      <c r="Q4139" s="1">
        <v>5.9668636353499123</v>
      </c>
      <c r="R4139" s="2">
        <f t="shared" si="259"/>
        <v>254.51859761510491</v>
      </c>
      <c r="S4139" s="2">
        <f t="shared" si="258"/>
        <v>3.9336475648038629</v>
      </c>
      <c r="T4139" s="2">
        <f t="shared" si="260"/>
        <v>8.7345072087104842</v>
      </c>
      <c r="U4139" s="2">
        <f t="shared" si="261"/>
        <v>267.18675238861931</v>
      </c>
    </row>
    <row r="4140" spans="1:21" x14ac:dyDescent="0.25">
      <c r="A4140">
        <v>5052805</v>
      </c>
      <c r="B4140">
        <v>55</v>
      </c>
      <c r="C4140" s="1">
        <f>7.6600928610498*(10.3/7.3)</f>
        <v>10.808076228604516</v>
      </c>
      <c r="D4140" s="1">
        <f>11.8484801017207*(10.3/7.3)</f>
        <v>16.7177184996881</v>
      </c>
      <c r="E4140" s="1">
        <f>41.4626531136443*(10.3/7.3)</f>
        <v>58.502099598703545</v>
      </c>
      <c r="F4140" s="1">
        <f>86.4765989396933*(38.9/42.5)</f>
        <v>79.151522323625201</v>
      </c>
      <c r="G4140" s="1">
        <v>3.4805503465688847</v>
      </c>
      <c r="H4140" s="1">
        <v>6.2858271005620603</v>
      </c>
      <c r="I4140" s="1">
        <v>60.819537814887674</v>
      </c>
      <c r="J4140" s="1">
        <v>5.9824235430588783E-2</v>
      </c>
      <c r="K4140" s="1">
        <v>3.6163712090292708</v>
      </c>
      <c r="L4140" s="1">
        <v>5.2031852515150181</v>
      </c>
      <c r="M4140" s="1">
        <v>0.29012585294061416</v>
      </c>
      <c r="N4140" s="1">
        <v>2.6723012484097106</v>
      </c>
      <c r="O4140" s="1">
        <v>0.24355781818181824</v>
      </c>
      <c r="P4140" s="1">
        <v>0.16341105789031349</v>
      </c>
      <c r="Q4140" s="1">
        <v>5.5625233849274487</v>
      </c>
      <c r="R4140" s="2">
        <f t="shared" si="259"/>
        <v>241.32785529756745</v>
      </c>
      <c r="S4140" s="2">
        <f t="shared" si="258"/>
        <v>3.8396065023501729</v>
      </c>
      <c r="T4140" s="2">
        <f t="shared" si="260"/>
        <v>8.40917017104716</v>
      </c>
      <c r="U4140" s="2">
        <f t="shared" si="261"/>
        <v>253.57663197096477</v>
      </c>
    </row>
    <row r="4141" spans="1:21" x14ac:dyDescent="0.25">
      <c r="A4141">
        <v>5052813</v>
      </c>
      <c r="B4141">
        <v>55</v>
      </c>
      <c r="C4141" s="1">
        <f>7.49208613528797*(10.3/7.3)</f>
        <v>10.571025642940556</v>
      </c>
      <c r="D4141" s="1">
        <f>11.3761117342345*(10.3/7.3)</f>
        <v>16.0512261455637</v>
      </c>
      <c r="E4141" s="1">
        <f>39.8309389037084*(10.3/7.3)</f>
        <v>56.199817905232401</v>
      </c>
      <c r="F4141" s="1">
        <f>83.3792847283351*(38.9/42.5)</f>
        <v>76.316568845464374</v>
      </c>
      <c r="G4141" s="1">
        <v>3.3592290305062678</v>
      </c>
      <c r="H4141" s="1">
        <v>6.28216264310407</v>
      </c>
      <c r="I4141" s="1">
        <v>59.013274262182271</v>
      </c>
      <c r="J4141" s="1">
        <v>6.0556998144880796E-2</v>
      </c>
      <c r="K4141" s="1">
        <v>3.581626178963853</v>
      </c>
      <c r="L4141" s="1">
        <v>5.1222883657572762</v>
      </c>
      <c r="M4141" s="1">
        <v>0.28087818661076125</v>
      </c>
      <c r="N4141" s="1">
        <v>2.6687401205576968</v>
      </c>
      <c r="O4141" s="1">
        <v>0.2374613333333333</v>
      </c>
      <c r="P4141" s="1">
        <v>0.15982604863272901</v>
      </c>
      <c r="Q4141" s="1">
        <v>5.3686308706721224</v>
      </c>
      <c r="R4141" s="2">
        <f t="shared" si="259"/>
        <v>233.1619353456658</v>
      </c>
      <c r="S4141" s="2">
        <f t="shared" si="258"/>
        <v>3.8020092257414628</v>
      </c>
      <c r="T4141" s="2">
        <f t="shared" si="260"/>
        <v>8.3093680062590689</v>
      </c>
      <c r="U4141" s="2">
        <f t="shared" si="261"/>
        <v>245.27331257766633</v>
      </c>
    </row>
    <row r="4142" spans="1:21" x14ac:dyDescent="0.25">
      <c r="A4142">
        <v>5052821</v>
      </c>
      <c r="B4142">
        <v>55</v>
      </c>
      <c r="C4142" s="1">
        <f>7.93875229239961*(10.3/7.3)</f>
        <v>11.201253234481637</v>
      </c>
      <c r="D4142" s="1">
        <f>11.8492956604453*(10.3/7.3)</f>
        <v>16.718869219532383</v>
      </c>
      <c r="E4142" s="1">
        <f>41.4968257785439*(10.3/7.3)</f>
        <v>58.550315824520801</v>
      </c>
      <c r="F4142" s="1">
        <f>87.7633644710075*(38.9/42.5)</f>
        <v>80.329291245228021</v>
      </c>
      <c r="G4142" s="1">
        <v>3.5652353173082032</v>
      </c>
      <c r="H4142" s="1">
        <v>6.6511735091235984</v>
      </c>
      <c r="I4142" s="1">
        <v>62.591762635502477</v>
      </c>
      <c r="J4142" s="1">
        <v>6.5317101268887595E-2</v>
      </c>
      <c r="K4142" s="1">
        <v>3.6974681691469891</v>
      </c>
      <c r="L4142" s="1">
        <v>5.3538267576392853</v>
      </c>
      <c r="M4142" s="1">
        <v>0.28357790793142984</v>
      </c>
      <c r="N4142" s="1">
        <v>2.8034318058995109</v>
      </c>
      <c r="O4142" s="1">
        <v>0.24088630303030298</v>
      </c>
      <c r="P4142" s="1">
        <v>0.16163730013174046</v>
      </c>
      <c r="Q4142" s="1">
        <v>5.697864662364716</v>
      </c>
      <c r="R4142" s="2">
        <f t="shared" si="259"/>
        <v>245.30576564806182</v>
      </c>
      <c r="S4142" s="2">
        <f t="shared" si="258"/>
        <v>3.9244225705476175</v>
      </c>
      <c r="T4142" s="2">
        <f t="shared" si="260"/>
        <v>8.6817227745005283</v>
      </c>
      <c r="U4142" s="2">
        <f t="shared" si="261"/>
        <v>257.91191099310998</v>
      </c>
    </row>
    <row r="4143" spans="1:21" x14ac:dyDescent="0.25">
      <c r="A4143">
        <v>5053221</v>
      </c>
      <c r="B4143">
        <v>1</v>
      </c>
      <c r="C4143" s="1">
        <f>4.44891948154243*(10.3/7.3)</f>
        <v>6.2772425561489023</v>
      </c>
      <c r="D4143" s="1">
        <f>5.61680893321018*(10.3/7.3)</f>
        <v>7.9250865769951808</v>
      </c>
      <c r="E4143" s="1">
        <f>19.4640909962684*(10.3/7.3)</f>
        <v>27.463032501584252</v>
      </c>
      <c r="F4143" s="1">
        <f>58.5004804881113*(38.9/42.5)</f>
        <v>53.545145670294836</v>
      </c>
      <c r="G4143" s="1">
        <v>3.0793648079247742</v>
      </c>
      <c r="H4143" s="1">
        <v>9.6708086030887674</v>
      </c>
      <c r="I4143" s="1">
        <v>46.431331910466284</v>
      </c>
      <c r="J4143" s="1">
        <v>3.4454814508613159E-2</v>
      </c>
      <c r="K4143" s="1">
        <v>2.0117075532188013</v>
      </c>
      <c r="L4143" s="1">
        <v>1.8832121842198393</v>
      </c>
      <c r="M4143" s="1">
        <v>8.6405732746763622E-2</v>
      </c>
      <c r="N4143" s="1">
        <v>1.2839598593095363</v>
      </c>
      <c r="O4143" s="1">
        <v>8.666666666666667E-2</v>
      </c>
      <c r="P4143" s="1">
        <v>6.7709756813913682E-2</v>
      </c>
      <c r="Q4143" s="1">
        <v>4.9213592820715615</v>
      </c>
      <c r="R4143" s="2">
        <f t="shared" si="259"/>
        <v>159.31337190857457</v>
      </c>
      <c r="S4143" s="2">
        <f t="shared" si="258"/>
        <v>2.1138721245413281</v>
      </c>
      <c r="T4143" s="2">
        <f t="shared" si="260"/>
        <v>3.3402444429428062</v>
      </c>
      <c r="U4143" s="2">
        <f t="shared" si="261"/>
        <v>164.7674884760587</v>
      </c>
    </row>
    <row r="4144" spans="1:21" x14ac:dyDescent="0.25">
      <c r="A4144">
        <v>5053229</v>
      </c>
      <c r="B4144">
        <v>4</v>
      </c>
      <c r="C4144" s="1">
        <f>3.981225327451*(10.3/7.3)</f>
        <v>5.6173453250336065</v>
      </c>
      <c r="D4144" s="1">
        <f>4.98724277505149*(10.3/7.3)</f>
        <v>7.036794600415111</v>
      </c>
      <c r="E4144" s="1">
        <f>17.3685394237489*(10.3/7.3)</f>
        <v>24.506295351316925</v>
      </c>
      <c r="F4144" s="1">
        <f>48.0814558076971*(38.9/42.5)</f>
        <v>44.008673668692204</v>
      </c>
      <c r="G4144" s="1">
        <v>2.3993831190668207</v>
      </c>
      <c r="H4144" s="1">
        <v>7.2942552558552496</v>
      </c>
      <c r="I4144" s="1">
        <v>37.809467044426839</v>
      </c>
      <c r="J4144" s="1">
        <v>3.2216524526680466E-2</v>
      </c>
      <c r="K4144" s="1">
        <v>2.2691962269497825</v>
      </c>
      <c r="L4144" s="1">
        <v>1.7431160989915961</v>
      </c>
      <c r="M4144" s="1">
        <v>8.0843044609770154E-2</v>
      </c>
      <c r="N4144" s="1">
        <v>1.2216924963520597</v>
      </c>
      <c r="O4144" s="1">
        <v>8.0719999999999986E-2</v>
      </c>
      <c r="P4144" s="1">
        <v>6.3944302340182405E-2</v>
      </c>
      <c r="Q4144" s="1">
        <v>3.8346305555862479</v>
      </c>
      <c r="R4144" s="2">
        <f t="shared" si="259"/>
        <v>132.50684492039301</v>
      </c>
      <c r="S4144" s="2">
        <f t="shared" si="258"/>
        <v>2.3653570538166453</v>
      </c>
      <c r="T4144" s="2">
        <f t="shared" si="260"/>
        <v>3.1263716399534256</v>
      </c>
      <c r="U4144" s="2">
        <f t="shared" si="261"/>
        <v>137.99857361416306</v>
      </c>
    </row>
    <row r="4145" spans="1:21" x14ac:dyDescent="0.25">
      <c r="A4145">
        <v>5053237</v>
      </c>
      <c r="B4145">
        <v>13</v>
      </c>
      <c r="C4145" s="1">
        <f>2.628235719335*(10.3/7.3)</f>
        <v>3.7083325902945901</v>
      </c>
      <c r="D4145" s="1">
        <f>3.72059526686583*(10.3/7.3)</f>
        <v>5.2496070203723333</v>
      </c>
      <c r="E4145" s="1">
        <f>12.7997652929539*(10.3/7.3)</f>
        <v>18.059942810606241</v>
      </c>
      <c r="F4145" s="1">
        <f>40.0668388224114*(38.9/42.5)</f>
        <v>36.672941886865942</v>
      </c>
      <c r="G4145" s="1">
        <v>2.1822965662379779</v>
      </c>
      <c r="H4145" s="1">
        <v>4.9748063706753962</v>
      </c>
      <c r="I4145" s="1">
        <v>31.242624064882705</v>
      </c>
      <c r="J4145" s="1">
        <v>3.0246861982608612E-2</v>
      </c>
      <c r="K4145" s="1">
        <v>1.6571046661550612</v>
      </c>
      <c r="L4145" s="1">
        <v>1.549591871966169</v>
      </c>
      <c r="M4145" s="1">
        <v>7.4371882278820953E-2</v>
      </c>
      <c r="N4145" s="1">
        <v>1.064411990821478</v>
      </c>
      <c r="O4145" s="1">
        <v>7.298871794871796E-2</v>
      </c>
      <c r="P4145" s="1">
        <v>5.9564575398735782E-2</v>
      </c>
      <c r="Q4145" s="1">
        <v>3.4876885761794201</v>
      </c>
      <c r="R4145" s="2">
        <f t="shared" si="259"/>
        <v>105.5782398861146</v>
      </c>
      <c r="S4145" s="2">
        <f t="shared" si="258"/>
        <v>1.7469161035364056</v>
      </c>
      <c r="T4145" s="2">
        <f t="shared" si="260"/>
        <v>2.7613644630151857</v>
      </c>
      <c r="U4145" s="2">
        <f t="shared" si="261"/>
        <v>110.08652045266619</v>
      </c>
    </row>
    <row r="4146" spans="1:21" x14ac:dyDescent="0.25">
      <c r="A4146">
        <v>5064513</v>
      </c>
      <c r="B4146">
        <v>16</v>
      </c>
      <c r="C4146" s="1">
        <f>0.579838190933123*(10.3/7.3)</f>
        <v>0.81812785843988567</v>
      </c>
      <c r="D4146" s="1">
        <f>0.820498162398353*(10.3/7.3)</f>
        <v>1.1576891880415123</v>
      </c>
      <c r="E4146" s="1">
        <f>2.84860270615948*(10.3/7.3)</f>
        <v>4.0192613525263834</v>
      </c>
      <c r="F4146" s="1">
        <f>7.58348644009464*(38.9/42.5)</f>
        <v>6.9411205298748619</v>
      </c>
      <c r="G4146" s="1">
        <v>0.37358086690914905</v>
      </c>
      <c r="H4146" s="1">
        <v>1.7495169618817215</v>
      </c>
      <c r="I4146" s="1">
        <v>5.7600249488144035</v>
      </c>
      <c r="J4146" s="1">
        <v>4.5507829895697363E-2</v>
      </c>
      <c r="K4146" s="1">
        <v>2.7163108708350387</v>
      </c>
      <c r="L4146" s="1">
        <v>2.0820494902085116</v>
      </c>
      <c r="M4146" s="1">
        <v>0.64599254933166828</v>
      </c>
      <c r="N4146" s="1">
        <v>1.328569391304161</v>
      </c>
      <c r="O4146" s="1">
        <v>0.36770333333333333</v>
      </c>
      <c r="P4146" s="1">
        <v>0.19285199427020097</v>
      </c>
      <c r="Q4146" s="1">
        <v>0.59704704757170002</v>
      </c>
      <c r="R4146" s="2">
        <f t="shared" si="259"/>
        <v>21.416368754059615</v>
      </c>
      <c r="S4146" s="2">
        <f t="shared" si="258"/>
        <v>2.9546706950009369</v>
      </c>
      <c r="T4146" s="2">
        <f t="shared" si="260"/>
        <v>4.4243147641776739</v>
      </c>
      <c r="U4146" s="2">
        <f t="shared" si="261"/>
        <v>28.795354213238227</v>
      </c>
    </row>
    <row r="4147" spans="1:21" x14ac:dyDescent="0.25">
      <c r="A4147">
        <v>5064521</v>
      </c>
      <c r="B4147">
        <v>14</v>
      </c>
      <c r="C4147" s="1">
        <f>0.853567791307823*(10.3/7.3)</f>
        <v>1.2043490754069286</v>
      </c>
      <c r="D4147" s="1">
        <f>1.23525852219322*(10.3/7.3)</f>
        <v>1.7428990107657825</v>
      </c>
      <c r="E4147" s="1">
        <f>4.27542442841656*(10.3/7.3)</f>
        <v>6.0324481661219975</v>
      </c>
      <c r="F4147" s="1">
        <f>11.8589406902915*(38.9/42.5)</f>
        <v>10.854418655349189</v>
      </c>
      <c r="G4147" s="1">
        <v>0.6022081844507341</v>
      </c>
      <c r="H4147" s="1">
        <v>5.6891879896610691</v>
      </c>
      <c r="I4147" s="1">
        <v>9.0280224683989463</v>
      </c>
      <c r="J4147" s="1">
        <v>5.8377997291810327E-2</v>
      </c>
      <c r="K4147" s="1">
        <v>3.4991398550129054</v>
      </c>
      <c r="L4147" s="1">
        <v>2.6983064297513191</v>
      </c>
      <c r="M4147" s="1">
        <v>0.86896570079555624</v>
      </c>
      <c r="N4147" s="1">
        <v>1.9706567447338885</v>
      </c>
      <c r="O4147" s="1">
        <v>0.50220190476190463</v>
      </c>
      <c r="P4147" s="1">
        <v>0.23438186387361898</v>
      </c>
      <c r="Q4147" s="1">
        <v>0.9624331714966079</v>
      </c>
      <c r="R4147" s="2">
        <f t="shared" si="259"/>
        <v>36.115966721651255</v>
      </c>
      <c r="S4147" s="2">
        <f t="shared" si="258"/>
        <v>3.7918997161783343</v>
      </c>
      <c r="T4147" s="2">
        <f t="shared" si="260"/>
        <v>6.0401307800426691</v>
      </c>
      <c r="U4147" s="2">
        <f t="shared" si="261"/>
        <v>45.947997217872256</v>
      </c>
    </row>
    <row r="4148" spans="1:21" x14ac:dyDescent="0.25">
      <c r="A4148">
        <v>5064689</v>
      </c>
      <c r="B4148">
        <v>1</v>
      </c>
      <c r="C4148" s="1">
        <f>1.44938388481046*(10.3/7.3)</f>
        <v>2.0450210977462717</v>
      </c>
      <c r="D4148" s="1">
        <f>3.01938224106819*(10.3/7.3)</f>
        <v>4.2602242579455227</v>
      </c>
      <c r="E4148" s="1">
        <f>9.99582456923499*(10.3/7.3)</f>
        <v>14.103697679879502</v>
      </c>
      <c r="F4148" s="1">
        <f>44.6186677876478*(38.9/42.5)</f>
        <v>40.839204163282325</v>
      </c>
      <c r="G4148" s="1">
        <v>2.8744314705332643</v>
      </c>
      <c r="H4148" s="1">
        <v>10.225057793609659</v>
      </c>
      <c r="I4148" s="1">
        <v>34.774424549264012</v>
      </c>
      <c r="J4148" s="1">
        <v>4.7863338381423204E-2</v>
      </c>
      <c r="K4148" s="1">
        <v>3.2144111347221109</v>
      </c>
      <c r="L4148" s="1">
        <v>3.3549452631492938</v>
      </c>
      <c r="M4148" s="1">
        <v>1.6130997210651434</v>
      </c>
      <c r="N4148" s="1">
        <v>2.197302992066795</v>
      </c>
      <c r="O4148" s="1">
        <v>0.3121066666666667</v>
      </c>
      <c r="P4148" s="1">
        <v>0.18298888286949822</v>
      </c>
      <c r="Q4148" s="1">
        <v>4.5938402497107012</v>
      </c>
      <c r="R4148" s="2">
        <f t="shared" si="259"/>
        <v>113.71590126197125</v>
      </c>
      <c r="S4148" s="2">
        <f t="shared" si="258"/>
        <v>3.4452633559730326</v>
      </c>
      <c r="T4148" s="2">
        <f t="shared" si="260"/>
        <v>7.4774546429478992</v>
      </c>
      <c r="U4148" s="2">
        <f t="shared" si="261"/>
        <v>124.63861926089218</v>
      </c>
    </row>
    <row r="4149" spans="1:21" x14ac:dyDescent="0.25">
      <c r="A4149">
        <v>5064697</v>
      </c>
      <c r="B4149">
        <v>18</v>
      </c>
      <c r="C4149" s="1">
        <f>1.24432998629533*(10.3/7.3)</f>
        <v>1.7556984738139541</v>
      </c>
      <c r="D4149" s="1">
        <f>2.0957544219515*(10.3/7.3)</f>
        <v>2.9570233624795126</v>
      </c>
      <c r="E4149" s="1">
        <f>7.10856931760444*(10.3/7.3)</f>
        <v>10.029899174154208</v>
      </c>
      <c r="F4149" s="1">
        <f>25.1052732810339*(38.9/42.5)</f>
        <v>22.978708956052234</v>
      </c>
      <c r="G4149" s="1">
        <v>1.4690465677759594</v>
      </c>
      <c r="H4149" s="1">
        <v>8.5826513539549936</v>
      </c>
      <c r="I4149" s="1">
        <v>19.368096045412365</v>
      </c>
      <c r="J4149" s="1">
        <v>4.8048624945488415E-2</v>
      </c>
      <c r="K4149" s="1">
        <v>3.2188596662953608</v>
      </c>
      <c r="L4149" s="1">
        <v>3.4323465023829192</v>
      </c>
      <c r="M4149" s="1">
        <v>1.4922629109172503</v>
      </c>
      <c r="N4149" s="1">
        <v>2.2701013665838179</v>
      </c>
      <c r="O4149" s="1">
        <v>0.30777481481481478</v>
      </c>
      <c r="P4149" s="1">
        <v>0.18312045617067416</v>
      </c>
      <c r="Q4149" s="1">
        <v>2.3477913183634076</v>
      </c>
      <c r="R4149" s="2">
        <f t="shared" si="259"/>
        <v>69.488915252006635</v>
      </c>
      <c r="S4149" s="2">
        <f t="shared" si="258"/>
        <v>3.4500287474115234</v>
      </c>
      <c r="T4149" s="2">
        <f t="shared" si="260"/>
        <v>7.5024855946988023</v>
      </c>
      <c r="U4149" s="2">
        <f t="shared" si="261"/>
        <v>80.441429594116954</v>
      </c>
    </row>
    <row r="4150" spans="1:21" x14ac:dyDescent="0.25">
      <c r="A4150">
        <v>5064737</v>
      </c>
      <c r="B4150">
        <v>19</v>
      </c>
      <c r="C4150" s="1">
        <f>2.12551567088062*(10.3/7.3)</f>
        <v>2.9990152616534798</v>
      </c>
      <c r="D4150" s="1">
        <f>5.24198220938453*(10.3/7.3)</f>
        <v>7.3962214735151637</v>
      </c>
      <c r="E4150" s="1">
        <f>17.8368907965592*(10.3/7.3)</f>
        <v>25.167119891035583</v>
      </c>
      <c r="F4150" s="1">
        <f>50.1168908435677*(38.9/42.5)</f>
        <v>45.871695383877295</v>
      </c>
      <c r="G4150" s="1">
        <v>2.6757099455179101</v>
      </c>
      <c r="H4150" s="1">
        <v>13.104678468315971</v>
      </c>
      <c r="I4150" s="1">
        <v>34.830415270969844</v>
      </c>
      <c r="J4150" s="1">
        <v>5.8013528421716629E-2</v>
      </c>
      <c r="K4150" s="1">
        <v>3.0509944706217054</v>
      </c>
      <c r="L4150" s="1">
        <v>5.1500892519155892</v>
      </c>
      <c r="M4150" s="1">
        <v>0.88919076461954771</v>
      </c>
      <c r="N4150" s="1">
        <v>2.0212814851687266</v>
      </c>
      <c r="O4150" s="1">
        <v>0.29136000000000001</v>
      </c>
      <c r="P4150" s="1">
        <v>0.16960083040425952</v>
      </c>
      <c r="Q4150" s="1">
        <v>4.2762487713756601</v>
      </c>
      <c r="R4150" s="2">
        <f t="shared" si="259"/>
        <v>136.32110446626092</v>
      </c>
      <c r="S4150" s="2">
        <f t="shared" si="258"/>
        <v>3.2786088294476814</v>
      </c>
      <c r="T4150" s="2">
        <f t="shared" si="260"/>
        <v>8.3519215017038615</v>
      </c>
      <c r="U4150" s="2">
        <f t="shared" si="261"/>
        <v>147.95163479741245</v>
      </c>
    </row>
    <row r="4151" spans="1:21" x14ac:dyDescent="0.25">
      <c r="A4151">
        <v>5064745</v>
      </c>
      <c r="B4151">
        <v>33</v>
      </c>
      <c r="C4151" s="1">
        <f>1.69650584673386*(10.3/7.3)</f>
        <v>2.3937000303231115</v>
      </c>
      <c r="D4151" s="1">
        <f>3.269518369248*(10.3/7.3)</f>
        <v>4.6131560552403226</v>
      </c>
      <c r="E4151" s="1">
        <f>11.1763302940423*(10.3/7.3)</f>
        <v>15.769342743648691</v>
      </c>
      <c r="F4151" s="1">
        <f>32.5111349971927*(38.9/42.5)</f>
        <v>29.757250620959898</v>
      </c>
      <c r="G4151" s="1">
        <v>1.7423397880590521</v>
      </c>
      <c r="H4151" s="1">
        <v>14.067139647826565</v>
      </c>
      <c r="I4151" s="1">
        <v>23.670556696835877</v>
      </c>
      <c r="J4151" s="1">
        <v>5.2235124070678499E-2</v>
      </c>
      <c r="K4151" s="1">
        <v>3.2351457985994725</v>
      </c>
      <c r="L4151" s="1">
        <v>4.9840253115261843</v>
      </c>
      <c r="M4151" s="1">
        <v>0.89889123519043534</v>
      </c>
      <c r="N4151" s="1">
        <v>2.2929674637132669</v>
      </c>
      <c r="O4151" s="1">
        <v>0.29832080808080802</v>
      </c>
      <c r="P4151" s="1">
        <v>0.17916196522388989</v>
      </c>
      <c r="Q4151" s="1">
        <v>2.7845613051172085</v>
      </c>
      <c r="R4151" s="2">
        <f t="shared" si="259"/>
        <v>94.798046888010731</v>
      </c>
      <c r="S4151" s="2">
        <f t="shared" si="258"/>
        <v>3.466542887894041</v>
      </c>
      <c r="T4151" s="2">
        <f t="shared" si="260"/>
        <v>8.4742048185106942</v>
      </c>
      <c r="U4151" s="2">
        <f t="shared" si="261"/>
        <v>106.73879459441547</v>
      </c>
    </row>
    <row r="4152" spans="1:21" x14ac:dyDescent="0.25">
      <c r="A4152">
        <v>5064753</v>
      </c>
      <c r="B4152">
        <v>52</v>
      </c>
      <c r="C4152" s="1">
        <f>1.56736251364835*(10.3/7.3)</f>
        <v>2.2114840945997289</v>
      </c>
      <c r="D4152" s="1">
        <f>2.69804565401435*(10.3/7.3)</f>
        <v>3.8068315392257279</v>
      </c>
      <c r="E4152" s="1">
        <f>9.25720206256516*(10.3/7.3)</f>
        <v>13.061531677317964</v>
      </c>
      <c r="F4152" s="1">
        <f>26.8474746264902*(38.9/42.5)</f>
        <v>24.573335599305171</v>
      </c>
      <c r="G4152" s="1">
        <v>1.4239854436903703</v>
      </c>
      <c r="H4152" s="1">
        <v>9.552917603939509</v>
      </c>
      <c r="I4152" s="1">
        <v>19.918598983796844</v>
      </c>
      <c r="J4152" s="1">
        <v>5.0620768023037103E-2</v>
      </c>
      <c r="K4152" s="1">
        <v>3.0682842767600502</v>
      </c>
      <c r="L4152" s="1">
        <v>4.3332559022695039</v>
      </c>
      <c r="M4152" s="1">
        <v>0.76970740336035337</v>
      </c>
      <c r="N4152" s="1">
        <v>2.1685535584843927</v>
      </c>
      <c r="O4152" s="1">
        <v>0.28046256410256409</v>
      </c>
      <c r="P4152" s="1">
        <v>0.17104728576299444</v>
      </c>
      <c r="Q4152" s="1">
        <v>2.275775823249452</v>
      </c>
      <c r="R4152" s="2">
        <f t="shared" si="259"/>
        <v>76.824460765124755</v>
      </c>
      <c r="S4152" s="2">
        <f t="shared" si="258"/>
        <v>3.2899523305460816</v>
      </c>
      <c r="T4152" s="2">
        <f t="shared" si="260"/>
        <v>7.5519794282168142</v>
      </c>
      <c r="U4152" s="2">
        <f t="shared" si="261"/>
        <v>87.666392523887652</v>
      </c>
    </row>
    <row r="4153" spans="1:21" x14ac:dyDescent="0.25">
      <c r="A4153">
        <v>5064761</v>
      </c>
      <c r="B4153">
        <v>17</v>
      </c>
      <c r="C4153" s="1">
        <f>1.48012264072064*(10.3/7.3)</f>
        <v>2.0883922190989881</v>
      </c>
      <c r="D4153" s="1">
        <f>2.47659083234247*(10.3/7.3)</f>
        <v>3.4943678867297927</v>
      </c>
      <c r="E4153" s="1">
        <f>8.50329059176143*(10.3/7.3)</f>
        <v>11.997793574677088</v>
      </c>
      <c r="F4153" s="1">
        <f>24.7737341125763*(38.9/42.5)</f>
        <v>22.675253105393338</v>
      </c>
      <c r="G4153" s="1">
        <v>1.3144513883124511</v>
      </c>
      <c r="H4153" s="1">
        <v>8.0764283113550537</v>
      </c>
      <c r="I4153" s="1">
        <v>18.49204048921348</v>
      </c>
      <c r="J4153" s="1">
        <v>5.4516182672299573E-2</v>
      </c>
      <c r="K4153" s="1">
        <v>3.2327875563556789</v>
      </c>
      <c r="L4153" s="1">
        <v>4.4596980827100836</v>
      </c>
      <c r="M4153" s="1">
        <v>0.75559386395361805</v>
      </c>
      <c r="N4153" s="1">
        <v>2.3417714197385671</v>
      </c>
      <c r="O4153" s="1">
        <v>0.29016784313725486</v>
      </c>
      <c r="P4153" s="1">
        <v>0.17946497065969094</v>
      </c>
      <c r="Q4153" s="1">
        <v>2.1007213968463856</v>
      </c>
      <c r="R4153" s="2">
        <f t="shared" si="259"/>
        <v>70.239448371626565</v>
      </c>
      <c r="S4153" s="2">
        <f t="shared" si="258"/>
        <v>3.4667687096876696</v>
      </c>
      <c r="T4153" s="2">
        <f t="shared" si="260"/>
        <v>7.8472312095395234</v>
      </c>
      <c r="U4153" s="2">
        <f t="shared" si="261"/>
        <v>81.553448290853765</v>
      </c>
    </row>
    <row r="4154" spans="1:21" x14ac:dyDescent="0.25">
      <c r="A4154">
        <v>5064945</v>
      </c>
      <c r="B4154">
        <v>2</v>
      </c>
      <c r="C4154" s="1">
        <f>13.0301164582507*(10.3/7.3)</f>
        <v>18.384958838353747</v>
      </c>
      <c r="D4154" s="1">
        <f>22.8661551371768*(10.3/7.3)</f>
        <v>32.263205193550839</v>
      </c>
      <c r="E4154" s="1">
        <f>79.8618763145996*(10.3/7.3)</f>
        <v>112.68182548498298</v>
      </c>
      <c r="F4154" s="1">
        <f>156.815997083274*(38.9/42.5)</f>
        <v>143.53275968327898</v>
      </c>
      <c r="G4154" s="1">
        <v>6.0128084960315107</v>
      </c>
      <c r="H4154" s="1">
        <v>8.2096061917155083</v>
      </c>
      <c r="I4154" s="1">
        <v>104.42509947625251</v>
      </c>
      <c r="J4154" s="1">
        <v>8.6688652759971285E-2</v>
      </c>
      <c r="K4154" s="1">
        <v>3.321073917057864</v>
      </c>
      <c r="L4154" s="1">
        <v>4.6366222063238052</v>
      </c>
      <c r="M4154" s="1">
        <v>0.32450465822427899</v>
      </c>
      <c r="N4154" s="1">
        <v>2.3240233216844346</v>
      </c>
      <c r="O4154" s="1">
        <v>0.25647999999999999</v>
      </c>
      <c r="P4154" s="1">
        <v>0.15898527471380519</v>
      </c>
      <c r="Q4154" s="1">
        <v>9.6095112950275379</v>
      </c>
      <c r="R4154" s="2">
        <f t="shared" si="259"/>
        <v>435.11977465919358</v>
      </c>
      <c r="S4154" s="2">
        <f t="shared" si="258"/>
        <v>3.5667478445316405</v>
      </c>
      <c r="T4154" s="2">
        <f t="shared" si="260"/>
        <v>7.5416301862325188</v>
      </c>
      <c r="U4154" s="2">
        <f t="shared" si="261"/>
        <v>446.22815268995771</v>
      </c>
    </row>
    <row r="4155" spans="1:21" x14ac:dyDescent="0.25">
      <c r="A4155">
        <v>5064953</v>
      </c>
      <c r="B4155">
        <v>59</v>
      </c>
      <c r="C4155" s="1">
        <f>9.93130494100594*(10.3/7.3)</f>
        <v>14.012663135939881</v>
      </c>
      <c r="D4155" s="1">
        <f>17.0622922561948*(10.3/7.3)</f>
        <v>24.074193183398211</v>
      </c>
      <c r="E4155" s="1">
        <f>59.6232193199035*(10.3/7.3)</f>
        <v>84.125912191096731</v>
      </c>
      <c r="F4155" s="1">
        <f>117.569748720679*(38.9/42.5)</f>
        <v>107.61089941727985</v>
      </c>
      <c r="G4155" s="1">
        <v>4.5152620884074075</v>
      </c>
      <c r="H4155" s="1">
        <v>7.4367317426840645</v>
      </c>
      <c r="I4155" s="1">
        <v>78.881163418965443</v>
      </c>
      <c r="J4155" s="1">
        <v>7.8635052028770844E-2</v>
      </c>
      <c r="K4155" s="1">
        <v>4.0380579471197056</v>
      </c>
      <c r="L4155" s="1">
        <v>5.7664936803578675</v>
      </c>
      <c r="M4155" s="1">
        <v>0.4022256625303563</v>
      </c>
      <c r="N4155" s="1">
        <v>3.124452443081382</v>
      </c>
      <c r="O4155" s="1">
        <v>0.30355796610169478</v>
      </c>
      <c r="P4155" s="1">
        <v>0.19166015722596311</v>
      </c>
      <c r="Q4155" s="1">
        <v>7.2161722874091065</v>
      </c>
      <c r="R4155" s="2">
        <f t="shared" si="259"/>
        <v>327.87299746518067</v>
      </c>
      <c r="S4155" s="2">
        <f t="shared" si="258"/>
        <v>4.3083531563744399</v>
      </c>
      <c r="T4155" s="2">
        <f t="shared" si="260"/>
        <v>9.5967297520712993</v>
      </c>
      <c r="U4155" s="2">
        <f t="shared" si="261"/>
        <v>341.77808037362644</v>
      </c>
    </row>
    <row r="4156" spans="1:21" x14ac:dyDescent="0.25">
      <c r="A4156">
        <v>5064961</v>
      </c>
      <c r="B4156">
        <v>59</v>
      </c>
      <c r="C4156" s="1">
        <f>9.50661786365917*(10.3/7.3)</f>
        <v>13.413447122697193</v>
      </c>
      <c r="D4156" s="1">
        <f>16.3515288070873*(10.3/7.3)</f>
        <v>23.071335166164232</v>
      </c>
      <c r="E4156" s="1">
        <f>57.1309049728572*(10.3/7.3)</f>
        <v>80.609359071291664</v>
      </c>
      <c r="F4156" s="1">
        <f>112.978114588511*(38.9/42.5)</f>
        <v>103.40820370571915</v>
      </c>
      <c r="G4156" s="1">
        <v>4.3544833470924429</v>
      </c>
      <c r="H4156" s="1">
        <v>7.2346172458839471</v>
      </c>
      <c r="I4156" s="1">
        <v>75.847212892250255</v>
      </c>
      <c r="J4156" s="1">
        <v>6.9977190315059376E-2</v>
      </c>
      <c r="K4156" s="1">
        <v>3.9698475448069983</v>
      </c>
      <c r="L4156" s="1">
        <v>5.7012530887507689</v>
      </c>
      <c r="M4156" s="1">
        <v>0.38889244324873273</v>
      </c>
      <c r="N4156" s="1">
        <v>3.0028199111574074</v>
      </c>
      <c r="O4156" s="1">
        <v>0.29826350282485881</v>
      </c>
      <c r="P4156" s="1">
        <v>0.18971852291695793</v>
      </c>
      <c r="Q4156" s="1">
        <v>6.9592199611066512</v>
      </c>
      <c r="R4156" s="2">
        <f t="shared" si="259"/>
        <v>314.89787851220558</v>
      </c>
      <c r="S4156" s="2">
        <f t="shared" si="258"/>
        <v>4.2295432580390155</v>
      </c>
      <c r="T4156" s="2">
        <f t="shared" si="260"/>
        <v>9.3912289459817693</v>
      </c>
      <c r="U4156" s="2">
        <f t="shared" si="261"/>
        <v>328.51865071622638</v>
      </c>
    </row>
    <row r="4157" spans="1:21" x14ac:dyDescent="0.25">
      <c r="A4157">
        <v>5064969</v>
      </c>
      <c r="B4157">
        <v>62</v>
      </c>
      <c r="C4157" s="1">
        <f>8.88338482493619*(10.3/7.3)</f>
        <v>12.534090917375726</v>
      </c>
      <c r="D4157" s="1">
        <f>15.4597791044452*(10.3/7.3)</f>
        <v>21.813112982984329</v>
      </c>
      <c r="E4157" s="1">
        <f>53.9583897947721*(10.3/7.3)</f>
        <v>76.133070532349748</v>
      </c>
      <c r="F4157" s="1">
        <f>108.5162444294*(38.9/42.5)</f>
        <v>99.324280195380595</v>
      </c>
      <c r="G4157" s="1">
        <v>4.2727614424897515</v>
      </c>
      <c r="H4157" s="1">
        <v>7.0385312891633047</v>
      </c>
      <c r="I4157" s="1">
        <v>73.014194865512565</v>
      </c>
      <c r="J4157" s="1">
        <v>6.5511096562775525E-2</v>
      </c>
      <c r="K4157" s="1">
        <v>3.8338541795764174</v>
      </c>
      <c r="L4157" s="1">
        <v>5.4920860335103168</v>
      </c>
      <c r="M4157" s="1">
        <v>0.36886832040790979</v>
      </c>
      <c r="N4157" s="1">
        <v>2.8750678669129148</v>
      </c>
      <c r="O4157" s="1">
        <v>0.28675096774193554</v>
      </c>
      <c r="P4157" s="1">
        <v>0.18407437037587029</v>
      </c>
      <c r="Q4157" s="1">
        <v>6.8286141774950453</v>
      </c>
      <c r="R4157" s="2">
        <f t="shared" si="259"/>
        <v>300.9586564027511</v>
      </c>
      <c r="S4157" s="2">
        <f t="shared" si="258"/>
        <v>4.0834396465150631</v>
      </c>
      <c r="T4157" s="2">
        <f t="shared" si="260"/>
        <v>9.022773188573078</v>
      </c>
      <c r="U4157" s="2">
        <f t="shared" si="261"/>
        <v>314.06486923783922</v>
      </c>
    </row>
    <row r="4158" spans="1:21" x14ac:dyDescent="0.25">
      <c r="A4158">
        <v>5064977</v>
      </c>
      <c r="B4158">
        <v>63</v>
      </c>
      <c r="C4158" s="1">
        <f>8.29932649727134*(10.3/7.3)</f>
        <v>11.710008619437652</v>
      </c>
      <c r="D4158" s="1">
        <f>15.2678160758371*(10.3/7.3)</f>
        <v>21.542261038509949</v>
      </c>
      <c r="E4158" s="1">
        <f>53.0430442034352*(10.3/7.3)</f>
        <v>74.841555519915417</v>
      </c>
      <c r="F4158" s="1">
        <f>114.293883808143*(38.9/42.5)</f>
        <v>104.61251953262958</v>
      </c>
      <c r="G4158" s="1">
        <v>4.8758738326686748</v>
      </c>
      <c r="H4158" s="1">
        <v>6.7815680897702419</v>
      </c>
      <c r="I4158" s="1">
        <v>77.496076095119989</v>
      </c>
      <c r="J4158" s="1">
        <v>6.4684341009205129E-2</v>
      </c>
      <c r="K4158" s="1">
        <v>3.7943939386670715</v>
      </c>
      <c r="L4158" s="1">
        <v>5.4671092396022205</v>
      </c>
      <c r="M4158" s="1">
        <v>0.35620660237105151</v>
      </c>
      <c r="N4158" s="1">
        <v>2.889321644029391</v>
      </c>
      <c r="O4158" s="1">
        <v>0.28008126984126985</v>
      </c>
      <c r="P4158" s="1">
        <v>0.18112220623159617</v>
      </c>
      <c r="Q4158" s="1">
        <v>7.792492426639444</v>
      </c>
      <c r="R4158" s="2">
        <f t="shared" si="259"/>
        <v>309.65235515469095</v>
      </c>
      <c r="S4158" s="2">
        <f t="shared" si="258"/>
        <v>4.0402004859078726</v>
      </c>
      <c r="T4158" s="2">
        <f t="shared" si="260"/>
        <v>8.9927187558439332</v>
      </c>
      <c r="U4158" s="2">
        <f t="shared" si="261"/>
        <v>322.68527439644276</v>
      </c>
    </row>
    <row r="4159" spans="1:21" x14ac:dyDescent="0.25">
      <c r="A4159">
        <v>5064985</v>
      </c>
      <c r="B4159">
        <v>65</v>
      </c>
      <c r="C4159" s="1">
        <f>3.82456337282705*(10.3/7.3)</f>
        <v>5.3963017452217219</v>
      </c>
      <c r="D4159" s="1">
        <f>7.28456376836875*(10.3/7.3)</f>
        <v>10.278220111533987</v>
      </c>
      <c r="E4159" s="1">
        <f>25.2536536611329*(10.3/7.3)</f>
        <v>35.631867494475145</v>
      </c>
      <c r="F4159" s="1">
        <f>55.7977115243438*(38.9/42.5)</f>
        <v>51.071317136399351</v>
      </c>
      <c r="G4159" s="1">
        <v>2.4476617158075218</v>
      </c>
      <c r="H4159" s="1">
        <v>4.2494505069783122</v>
      </c>
      <c r="I4159" s="1">
        <v>37.819952563643632</v>
      </c>
      <c r="J4159" s="1">
        <v>3.9000134373345464E-2</v>
      </c>
      <c r="K4159" s="1">
        <v>2.5680138858146146</v>
      </c>
      <c r="L4159" s="1">
        <v>3.2208135409950507</v>
      </c>
      <c r="M4159" s="1">
        <v>0.22084166646625644</v>
      </c>
      <c r="N4159" s="1">
        <v>1.8976493596226638</v>
      </c>
      <c r="O4159" s="1">
        <v>0.17843199999999998</v>
      </c>
      <c r="P4159" s="1">
        <v>0.13006768436744223</v>
      </c>
      <c r="Q4159" s="1">
        <v>3.9117881302859994</v>
      </c>
      <c r="R4159" s="2">
        <f t="shared" si="259"/>
        <v>150.80655940434568</v>
      </c>
      <c r="S4159" s="2">
        <f t="shared" si="258"/>
        <v>2.7370817045554023</v>
      </c>
      <c r="T4159" s="2">
        <f t="shared" si="260"/>
        <v>5.5177365670839711</v>
      </c>
      <c r="U4159" s="2">
        <f t="shared" si="261"/>
        <v>159.06137767598506</v>
      </c>
    </row>
    <row r="4160" spans="1:21" x14ac:dyDescent="0.25">
      <c r="A4160">
        <v>5064993</v>
      </c>
      <c r="B4160">
        <v>54</v>
      </c>
      <c r="C4160" s="1">
        <f>3.91980356780621*(10.3/7.3)</f>
        <v>5.5306817463567111</v>
      </c>
      <c r="D4160" s="1">
        <f>7.42184004252087*(10.3/7.3)</f>
        <v>10.471911292871908</v>
      </c>
      <c r="E4160" s="1">
        <f>25.6077233085852*(10.3/7.3)</f>
        <v>36.131445216222986</v>
      </c>
      <c r="F4160" s="1">
        <f>62.9877551254822*(38.9/42.5)</f>
        <v>57.65232175014723</v>
      </c>
      <c r="G4160" s="1">
        <v>3.0193193798079307</v>
      </c>
      <c r="H4160" s="1">
        <v>5.0054735817782907</v>
      </c>
      <c r="I4160" s="1">
        <v>44.124160846491989</v>
      </c>
      <c r="J4160" s="1">
        <v>3.7326834829471134E-2</v>
      </c>
      <c r="K4160" s="1">
        <v>2.49936021585629</v>
      </c>
      <c r="L4160" s="1">
        <v>3.0756248396543926</v>
      </c>
      <c r="M4160" s="1">
        <v>0.20840805850172148</v>
      </c>
      <c r="N4160" s="1">
        <v>2.3284135500397376</v>
      </c>
      <c r="O4160" s="1">
        <v>0.17190518518518519</v>
      </c>
      <c r="P4160" s="1">
        <v>0.12548685048164046</v>
      </c>
      <c r="Q4160" s="1">
        <v>4.825396269099433</v>
      </c>
      <c r="R4160" s="2">
        <f t="shared" si="259"/>
        <v>166.76071008277648</v>
      </c>
      <c r="S4160" s="2">
        <f t="shared" si="258"/>
        <v>2.6621739011674017</v>
      </c>
      <c r="T4160" s="2">
        <f t="shared" si="260"/>
        <v>5.7843516333810374</v>
      </c>
      <c r="U4160" s="2">
        <f t="shared" si="261"/>
        <v>175.20723561732493</v>
      </c>
    </row>
    <row r="4161" spans="1:21" x14ac:dyDescent="0.25">
      <c r="A4161">
        <v>5065009</v>
      </c>
      <c r="B4161">
        <v>14</v>
      </c>
      <c r="C4161" s="1">
        <f>5.75397948523085*(10.3/7.3)</f>
        <v>8.1186285887503775</v>
      </c>
      <c r="D4161" s="1">
        <f>10.7804952061704*(10.3/7.3)</f>
        <v>15.210835701856867</v>
      </c>
      <c r="E4161" s="1">
        <f>37.0075549339198*(10.3/7.3)</f>
        <v>52.216139153338865</v>
      </c>
      <c r="F4161" s="1">
        <f>101.24108083375*(38.9/42.5)</f>
        <v>92.665365751361861</v>
      </c>
      <c r="G4161" s="1">
        <v>5.2181361791232979</v>
      </c>
      <c r="H4161" s="1">
        <v>8.8252786691512686</v>
      </c>
      <c r="I4161" s="1">
        <v>73.023983293423072</v>
      </c>
      <c r="J4161" s="1">
        <v>5.5098606959445844E-2</v>
      </c>
      <c r="K4161" s="1">
        <v>3.1679168692620889</v>
      </c>
      <c r="L4161" s="1">
        <v>4.1251483140347993</v>
      </c>
      <c r="M4161" s="1">
        <v>0.25741375326111221</v>
      </c>
      <c r="N4161" s="1">
        <v>2.3350688536468662</v>
      </c>
      <c r="O4161" s="1">
        <v>0.21364952380952379</v>
      </c>
      <c r="P4161" s="1">
        <v>0.14609081879339472</v>
      </c>
      <c r="Q4161" s="1">
        <v>8.3394870442609879</v>
      </c>
      <c r="R4161" s="2">
        <f t="shared" si="259"/>
        <v>263.61785438126657</v>
      </c>
      <c r="S4161" s="2">
        <f t="shared" si="258"/>
        <v>3.3691062950149298</v>
      </c>
      <c r="T4161" s="2">
        <f t="shared" si="260"/>
        <v>6.9312804447523018</v>
      </c>
      <c r="U4161" s="2">
        <f t="shared" si="261"/>
        <v>273.91824112103382</v>
      </c>
    </row>
    <row r="4162" spans="1:21" x14ac:dyDescent="0.25">
      <c r="A4162">
        <v>5065017</v>
      </c>
      <c r="B4162">
        <v>68</v>
      </c>
      <c r="C4162" s="1">
        <f>7.72041809550407*(10.3/7.3)</f>
        <v>10.893192655300263</v>
      </c>
      <c r="D4162" s="1">
        <f>12.8211470766885*(10.3/7.3)</f>
        <v>18.090111628752226</v>
      </c>
      <c r="E4162" s="1">
        <f>44.637183729651*(10.3/7.3)</f>
        <v>62.981231837726767</v>
      </c>
      <c r="F4162" s="1">
        <f>98.965774051823*(38.9/42.5)</f>
        <v>90.582790838021495</v>
      </c>
      <c r="G4162" s="1">
        <v>4.2820464250063583</v>
      </c>
      <c r="H4162" s="1">
        <v>6.8339122784520239</v>
      </c>
      <c r="I4162" s="1">
        <v>69.426408839767149</v>
      </c>
      <c r="J4162" s="1">
        <v>6.1666979404096593E-2</v>
      </c>
      <c r="K4162" s="1">
        <v>3.6785673957812302</v>
      </c>
      <c r="L4162" s="1">
        <v>5.3089466314077898</v>
      </c>
      <c r="M4162" s="1">
        <v>0.31135218703355638</v>
      </c>
      <c r="N4162" s="1">
        <v>2.7631160699732815</v>
      </c>
      <c r="O4162" s="1">
        <v>0.2555552941176471</v>
      </c>
      <c r="P4162" s="1">
        <v>0.168685289461416</v>
      </c>
      <c r="Q4162" s="1">
        <v>6.8434531906494396</v>
      </c>
      <c r="R4162" s="2">
        <f t="shared" si="259"/>
        <v>269.93314769367572</v>
      </c>
      <c r="S4162" s="2">
        <f t="shared" si="258"/>
        <v>3.908919664646743</v>
      </c>
      <c r="T4162" s="2">
        <f t="shared" si="260"/>
        <v>8.6389701825322742</v>
      </c>
      <c r="U4162" s="2">
        <f t="shared" si="261"/>
        <v>282.48103754085474</v>
      </c>
    </row>
    <row r="4163" spans="1:21" x14ac:dyDescent="0.25">
      <c r="A4163">
        <v>5065025</v>
      </c>
      <c r="B4163">
        <v>68</v>
      </c>
      <c r="C4163" s="1">
        <f>7.90175801223027*(10.3/7.3)</f>
        <v>11.149055825475592</v>
      </c>
      <c r="D4163" s="1">
        <f>12.694794789356*(10.3/7.3)</f>
        <v>17.911833743885804</v>
      </c>
      <c r="E4163" s="1">
        <f>44.3261882589673*(10.3/7.3)</f>
        <v>62.542430009227878</v>
      </c>
      <c r="F4163" s="1">
        <f>94.3327399311997*(38.9/42.5)</f>
        <v>86.342201960556892</v>
      </c>
      <c r="G4163" s="1">
        <v>3.9016858590100774</v>
      </c>
      <c r="H4163" s="1">
        <v>6.6270814976399928</v>
      </c>
      <c r="I4163" s="1">
        <v>66.007263641695189</v>
      </c>
      <c r="J4163" s="1">
        <v>6.2216973491098407E-2</v>
      </c>
      <c r="K4163" s="1">
        <v>3.7072405201714864</v>
      </c>
      <c r="L4163" s="1">
        <v>5.4001192720482818</v>
      </c>
      <c r="M4163" s="1">
        <v>0.30629823150227559</v>
      </c>
      <c r="N4163" s="1">
        <v>2.7825051129361857</v>
      </c>
      <c r="O4163" s="1">
        <v>0.25582745098039211</v>
      </c>
      <c r="P4163" s="1">
        <v>0.16871417110930045</v>
      </c>
      <c r="Q4163" s="1">
        <v>6.2355710075503543</v>
      </c>
      <c r="R4163" s="2">
        <f t="shared" si="259"/>
        <v>260.71712354504177</v>
      </c>
      <c r="S4163" s="2">
        <f t="shared" si="258"/>
        <v>3.9381716647718852</v>
      </c>
      <c r="T4163" s="2">
        <f t="shared" si="260"/>
        <v>8.7447500674671357</v>
      </c>
      <c r="U4163" s="2">
        <f t="shared" si="261"/>
        <v>273.40004527728075</v>
      </c>
    </row>
    <row r="4164" spans="1:21" x14ac:dyDescent="0.25">
      <c r="A4164">
        <v>5065033</v>
      </c>
      <c r="B4164">
        <v>69</v>
      </c>
      <c r="C4164" s="1">
        <f>7.66278802141809*(10.3/7.3)</f>
        <v>10.811878989124162</v>
      </c>
      <c r="D4164" s="1">
        <f>12.0337789666242*(10.3/7.3)</f>
        <v>16.979167583045115</v>
      </c>
      <c r="E4164" s="1">
        <f>42.0759955816834*(10.3/7.3)</f>
        <v>59.367500615251977</v>
      </c>
      <c r="F4164" s="1">
        <f>88.3516633638083*(38.9/42.5)</f>
        <v>80.867757761226855</v>
      </c>
      <c r="G4164" s="1">
        <v>3.5907107269461256</v>
      </c>
      <c r="H4164" s="1">
        <v>6.3925840760368287</v>
      </c>
      <c r="I4164" s="1">
        <v>61.98476239378774</v>
      </c>
      <c r="J4164" s="1">
        <v>6.0801174115715152E-2</v>
      </c>
      <c r="K4164" s="1">
        <v>3.660607144969072</v>
      </c>
      <c r="L4164" s="1">
        <v>5.2960966522702364</v>
      </c>
      <c r="M4164" s="1">
        <v>0.29808126476964658</v>
      </c>
      <c r="N4164" s="1">
        <v>2.7137477234883938</v>
      </c>
      <c r="O4164" s="1">
        <v>0.24960154589371977</v>
      </c>
      <c r="P4164" s="1">
        <v>0.16603296259398129</v>
      </c>
      <c r="Q4164" s="1">
        <v>5.7385787873568308</v>
      </c>
      <c r="R4164" s="2">
        <f t="shared" si="259"/>
        <v>245.73294093277562</v>
      </c>
      <c r="S4164" s="2">
        <f t="shared" si="258"/>
        <v>3.8874412816787687</v>
      </c>
      <c r="T4164" s="2">
        <f t="shared" si="260"/>
        <v>8.5575271864219964</v>
      </c>
      <c r="U4164" s="2">
        <f t="shared" si="261"/>
        <v>258.17790940087639</v>
      </c>
    </row>
    <row r="4165" spans="1:21" x14ac:dyDescent="0.25">
      <c r="A4165">
        <v>5065041</v>
      </c>
      <c r="B4165">
        <v>70</v>
      </c>
      <c r="C4165" s="1">
        <f>7.54825562528328*(10.3/7.3)</f>
        <v>10.650278484988744</v>
      </c>
      <c r="D4165" s="1">
        <f>11.5917087813768*(10.3/7.3)</f>
        <v>16.35542471892893</v>
      </c>
      <c r="E4165" s="1">
        <f>40.5661093017623*(10.3/7.3)</f>
        <v>57.237113124404409</v>
      </c>
      <c r="F4165" s="1">
        <f>85.0505167816722*(38.9/42.5)</f>
        <v>77.846237713107044</v>
      </c>
      <c r="G4165" s="1">
        <v>3.4386342540818107</v>
      </c>
      <c r="H4165" s="1">
        <v>6.3405147656731931</v>
      </c>
      <c r="I4165" s="1">
        <v>60.02502234008346</v>
      </c>
      <c r="J4165" s="1">
        <v>6.0578401525910729E-2</v>
      </c>
      <c r="K4165" s="1">
        <v>3.6126421504816779</v>
      </c>
      <c r="L4165" s="1">
        <v>5.1910470828135917</v>
      </c>
      <c r="M4165" s="1">
        <v>0.28826158264016427</v>
      </c>
      <c r="N4165" s="1">
        <v>2.6775160804597311</v>
      </c>
      <c r="O4165" s="1">
        <v>0.24141104761904758</v>
      </c>
      <c r="P4165" s="1">
        <v>0.16255373658390779</v>
      </c>
      <c r="Q4165" s="1">
        <v>5.4955341960211657</v>
      </c>
      <c r="R4165" s="2">
        <f t="shared" si="259"/>
        <v>237.38875959728875</v>
      </c>
      <c r="S4165" s="2">
        <f t="shared" si="258"/>
        <v>3.8357742885914963</v>
      </c>
      <c r="T4165" s="2">
        <f t="shared" si="260"/>
        <v>8.3982357935325336</v>
      </c>
      <c r="U4165" s="2">
        <f t="shared" si="261"/>
        <v>249.62276967941278</v>
      </c>
    </row>
    <row r="4166" spans="1:21" x14ac:dyDescent="0.25">
      <c r="A4166">
        <v>5065049</v>
      </c>
      <c r="B4166">
        <v>69</v>
      </c>
      <c r="C4166" s="1">
        <f>7.61493528115628*(10.3/7.3)</f>
        <v>10.744360739165716</v>
      </c>
      <c r="D4166" s="1">
        <f>11.5120360107901*(10.3/7.3)</f>
        <v>16.243009713854587</v>
      </c>
      <c r="E4166" s="1">
        <f>40.3008853783994*(10.3/7.3)</f>
        <v>56.862893068152601</v>
      </c>
      <c r="F4166" s="1">
        <f>84.9999524948155*(38.9/42.5)</f>
        <v>77.799956518784114</v>
      </c>
      <c r="G4166" s="1">
        <v>3.4499677542827563</v>
      </c>
      <c r="H4166" s="1">
        <v>6.4349377691201122</v>
      </c>
      <c r="I4166" s="1">
        <v>60.355322563106725</v>
      </c>
      <c r="J4166" s="1">
        <v>6.2438189826108673E-2</v>
      </c>
      <c r="K4166" s="1">
        <v>3.6212923140316851</v>
      </c>
      <c r="L4166" s="1">
        <v>5.2135740564667037</v>
      </c>
      <c r="M4166" s="1">
        <v>0.28366229339671756</v>
      </c>
      <c r="N4166" s="1">
        <v>2.7150511311600662</v>
      </c>
      <c r="O4166" s="1">
        <v>0.23886608695652176</v>
      </c>
      <c r="P4166" s="1">
        <v>0.16105324880950597</v>
      </c>
      <c r="Q4166" s="1">
        <v>5.5136470958856876</v>
      </c>
      <c r="R4166" s="2">
        <f t="shared" si="259"/>
        <v>237.40409522235234</v>
      </c>
      <c r="S4166" s="2">
        <f t="shared" si="258"/>
        <v>3.8447837526672997</v>
      </c>
      <c r="T4166" s="2">
        <f t="shared" si="260"/>
        <v>8.4511535679800094</v>
      </c>
      <c r="U4166" s="2">
        <f t="shared" si="261"/>
        <v>249.70003254299965</v>
      </c>
    </row>
    <row r="4167" spans="1:21" x14ac:dyDescent="0.25">
      <c r="A4167">
        <v>5065057</v>
      </c>
      <c r="B4167">
        <v>63</v>
      </c>
      <c r="C4167" s="1">
        <f>7.0249950225793*(10.3/7.3)</f>
        <v>9.911979278433801</v>
      </c>
      <c r="D4167" s="1">
        <f>10.4494792612356*(10.3/7.3)</f>
        <v>14.743785806948827</v>
      </c>
      <c r="E4167" s="1">
        <f>36.5886697423124*(10.3/7.3)</f>
        <v>51.625109362440824</v>
      </c>
      <c r="F4167" s="1">
        <f>77.9252272144183*(38.9/42.5)</f>
        <v>71.324502085667604</v>
      </c>
      <c r="G4167" s="1">
        <v>3.1873750485743999</v>
      </c>
      <c r="H4167" s="1">
        <v>7.7145408974407141</v>
      </c>
      <c r="I4167" s="1">
        <v>55.728661272371276</v>
      </c>
      <c r="J4167" s="1">
        <v>6.0811575675235957E-2</v>
      </c>
      <c r="K4167" s="1">
        <v>3.4469271846689433</v>
      </c>
      <c r="L4167" s="1">
        <v>4.8621732512642808</v>
      </c>
      <c r="M4167" s="1">
        <v>0.26273099041324249</v>
      </c>
      <c r="N4167" s="1">
        <v>2.6108389958959792</v>
      </c>
      <c r="O4167" s="1">
        <v>0.22379597883597885</v>
      </c>
      <c r="P4167" s="1">
        <v>0.15238937468723987</v>
      </c>
      <c r="Q4167" s="1">
        <v>5.0939783881326104</v>
      </c>
      <c r="R4167" s="2">
        <f t="shared" si="259"/>
        <v>219.32993214001004</v>
      </c>
      <c r="S4167" s="2">
        <f t="shared" si="258"/>
        <v>3.6601281350314192</v>
      </c>
      <c r="T4167" s="2">
        <f t="shared" si="260"/>
        <v>7.9595392164094809</v>
      </c>
      <c r="U4167" s="2">
        <f t="shared" si="261"/>
        <v>230.94959949145093</v>
      </c>
    </row>
    <row r="4168" spans="1:21" x14ac:dyDescent="0.25">
      <c r="A4168">
        <v>5065065</v>
      </c>
      <c r="B4168">
        <v>4</v>
      </c>
      <c r="C4168" s="1">
        <f>6.12074934043001*(10.3/7.3)</f>
        <v>8.6361257817026189</v>
      </c>
      <c r="D4168" s="1">
        <f>8.92352859404161*(10.3/7.3)</f>
        <v>12.59073212583953</v>
      </c>
      <c r="E4168" s="1">
        <f>31.2544528035251*(10.3/7.3)</f>
        <v>44.098748476206595</v>
      </c>
      <c r="F4168" s="1">
        <f>67.339544218553*(38.9/42.5)</f>
        <v>61.635488708275595</v>
      </c>
      <c r="G4168" s="1">
        <v>2.778938973005284</v>
      </c>
      <c r="H4168" s="1">
        <v>10.165434017053624</v>
      </c>
      <c r="I4168" s="1">
        <v>48.574654823839175</v>
      </c>
      <c r="J4168" s="1">
        <v>5.5651738877797535E-2</v>
      </c>
      <c r="K4168" s="1">
        <v>3.1141911002804541</v>
      </c>
      <c r="L4168" s="1">
        <v>4.1861330410983904</v>
      </c>
      <c r="M4168" s="1">
        <v>0.22999932311575794</v>
      </c>
      <c r="N4168" s="1">
        <v>2.3659072916139117</v>
      </c>
      <c r="O4168" s="1">
        <v>0.19964000000000001</v>
      </c>
      <c r="P4168" s="1">
        <v>0.13846624906823701</v>
      </c>
      <c r="Q4168" s="1">
        <v>4.4412266691865314</v>
      </c>
      <c r="R4168" s="2">
        <f t="shared" si="259"/>
        <v>192.92134957510899</v>
      </c>
      <c r="S4168" s="2">
        <f t="shared" si="258"/>
        <v>3.3083090882264887</v>
      </c>
      <c r="T4168" s="2">
        <f t="shared" si="260"/>
        <v>6.9816796558280592</v>
      </c>
      <c r="U4168" s="2">
        <f t="shared" si="261"/>
        <v>203.21133831916353</v>
      </c>
    </row>
    <row r="4169" spans="1:21" x14ac:dyDescent="0.25">
      <c r="A4169">
        <v>5065465</v>
      </c>
      <c r="B4169">
        <v>16</v>
      </c>
      <c r="C4169" s="1">
        <f>2.69827763139162*(10.3/7.3)</f>
        <v>3.8071588497717328</v>
      </c>
      <c r="D4169" s="1">
        <f>3.7654823767736*(10.3/7.3)</f>
        <v>5.3129408877764464</v>
      </c>
      <c r="E4169" s="1">
        <f>12.9720066137934*(10.3/7.3)</f>
        <v>18.302968235900273</v>
      </c>
      <c r="F4169" s="1">
        <f>40.0722766965695*(38.9/42.5)</f>
        <v>36.677919141095387</v>
      </c>
      <c r="G4169" s="1">
        <v>2.1640048421544522</v>
      </c>
      <c r="H4169" s="1">
        <v>5.6953303183525543</v>
      </c>
      <c r="I4169" s="1">
        <v>31.272513950869307</v>
      </c>
      <c r="J4169" s="1">
        <v>2.8484626822206913E-2</v>
      </c>
      <c r="K4169" s="1">
        <v>1.7205424907438598</v>
      </c>
      <c r="L4169" s="1">
        <v>1.5512922707983237</v>
      </c>
      <c r="M4169" s="1">
        <v>7.4410486325003938E-2</v>
      </c>
      <c r="N4169" s="1">
        <v>1.1747379859708631</v>
      </c>
      <c r="O4169" s="1">
        <v>7.2993333333333327E-2</v>
      </c>
      <c r="P4169" s="1">
        <v>5.9597384214104696E-2</v>
      </c>
      <c r="Q4169" s="1">
        <v>3.4584552271874851</v>
      </c>
      <c r="R4169" s="2">
        <f t="shared" si="259"/>
        <v>106.69129145310765</v>
      </c>
      <c r="S4169" s="2">
        <f t="shared" ref="S4169:S4232" si="262">J4169+K4169+P4169</f>
        <v>1.8086245017801714</v>
      </c>
      <c r="T4169" s="2">
        <f t="shared" si="260"/>
        <v>2.8734340764275239</v>
      </c>
      <c r="U4169" s="2">
        <f t="shared" si="261"/>
        <v>111.37335003131535</v>
      </c>
    </row>
    <row r="4170" spans="1:21" x14ac:dyDescent="0.25">
      <c r="A4170">
        <v>5076749</v>
      </c>
      <c r="B4170">
        <v>54</v>
      </c>
      <c r="C4170" s="1">
        <f>0.719617409756104*(10.3/7.3)</f>
        <v>1.0153505918476537</v>
      </c>
      <c r="D4170" s="1">
        <f>1.03031250030523*(10.3/7.3)</f>
        <v>1.4537285963210738</v>
      </c>
      <c r="E4170" s="1">
        <f>3.57173844719752*(10.3/7.3)</f>
        <v>5.0395761652238926</v>
      </c>
      <c r="F4170" s="1">
        <f>9.69397649842035*(38.9/42.5)</f>
        <v>8.8728396656129824</v>
      </c>
      <c r="G4170" s="1">
        <v>0.48461747065276828</v>
      </c>
      <c r="H4170" s="1">
        <v>2.5321785576538525</v>
      </c>
      <c r="I4170" s="1">
        <v>7.3688500144364584</v>
      </c>
      <c r="J4170" s="1">
        <v>4.7116063053068646E-2</v>
      </c>
      <c r="K4170" s="1">
        <v>3.1082979017490997</v>
      </c>
      <c r="L4170" s="1">
        <v>2.3335978907681523</v>
      </c>
      <c r="M4170" s="1">
        <v>0.76859993987163122</v>
      </c>
      <c r="N4170" s="1">
        <v>1.5167309761604968</v>
      </c>
      <c r="O4170" s="1">
        <v>0.43895209876543212</v>
      </c>
      <c r="P4170" s="1">
        <v>0.21356383338805213</v>
      </c>
      <c r="Q4170" s="1">
        <v>0.77450280697931062</v>
      </c>
      <c r="R4170" s="2">
        <f t="shared" ref="R4170:R4233" si="263">C4170+D4170+E4170+F4170+G4170+H4170+I4170+Q4170</f>
        <v>27.541643868727991</v>
      </c>
      <c r="S4170" s="2">
        <f t="shared" si="262"/>
        <v>3.3689777981902203</v>
      </c>
      <c r="T4170" s="2">
        <f t="shared" ref="T4170:T4233" si="264">L4170+M4170+N4170+O4170</f>
        <v>5.0578809055657121</v>
      </c>
      <c r="U4170" s="2">
        <f t="shared" ref="U4170:U4233" si="265">R4170+S4170+T4170</f>
        <v>35.968502572483921</v>
      </c>
    </row>
    <row r="4171" spans="1:21" x14ac:dyDescent="0.25">
      <c r="A4171">
        <v>5076925</v>
      </c>
      <c r="B4171">
        <v>5</v>
      </c>
      <c r="C4171" s="1">
        <f>1.34495177307721*(10.3/7.3)</f>
        <v>1.8976716798212723</v>
      </c>
      <c r="D4171" s="1">
        <f>2.36717536982315*(10.3/7.3)</f>
        <v>3.3399871656408773</v>
      </c>
      <c r="E4171" s="1">
        <f>7.99234730177734*(10.3/7.3)</f>
        <v>11.276873590178981</v>
      </c>
      <c r="F4171" s="1">
        <f>29.5338208555738*(38.9/42.5)</f>
        <v>27.032132500748745</v>
      </c>
      <c r="G4171" s="1">
        <v>1.7660747295624311</v>
      </c>
      <c r="H4171" s="1">
        <v>9.220019261465108</v>
      </c>
      <c r="I4171" s="1">
        <v>22.805748064126085</v>
      </c>
      <c r="J4171" s="1">
        <v>4.8291053320150816E-2</v>
      </c>
      <c r="K4171" s="1">
        <v>3.235952228031715</v>
      </c>
      <c r="L4171" s="1">
        <v>3.3991158100059282</v>
      </c>
      <c r="M4171" s="1">
        <v>1.5438908127024853</v>
      </c>
      <c r="N4171" s="1">
        <v>2.2461820265392562</v>
      </c>
      <c r="O4171" s="1">
        <v>0.31057066666666666</v>
      </c>
      <c r="P4171" s="1">
        <v>0.18313213395380049</v>
      </c>
      <c r="Q4171" s="1">
        <v>2.8224938600312859</v>
      </c>
      <c r="R4171" s="2">
        <f t="shared" si="263"/>
        <v>80.161000851574798</v>
      </c>
      <c r="S4171" s="2">
        <f t="shared" si="262"/>
        <v>3.4673754153056664</v>
      </c>
      <c r="T4171" s="2">
        <f t="shared" si="264"/>
        <v>7.4997593159143365</v>
      </c>
      <c r="U4171" s="2">
        <f t="shared" si="265"/>
        <v>91.128135582794798</v>
      </c>
    </row>
    <row r="4172" spans="1:21" x14ac:dyDescent="0.25">
      <c r="A4172">
        <v>5076973</v>
      </c>
      <c r="B4172">
        <v>20</v>
      </c>
      <c r="C4172" s="1">
        <f>1.4550396284665*(10.3/7.3)</f>
        <v>2.0530011196171145</v>
      </c>
      <c r="D4172" s="1">
        <f>3.04184597275116*(10.3/7.3)</f>
        <v>4.2919196601831491</v>
      </c>
      <c r="E4172" s="1">
        <f>10.3920994939644*(10.3/7.3)</f>
        <v>14.66282531340177</v>
      </c>
      <c r="F4172" s="1">
        <f>29.2954507319699*(38.9/42.5)</f>
        <v>26.813953728791311</v>
      </c>
      <c r="G4172" s="1">
        <v>1.5505728404782189</v>
      </c>
      <c r="H4172" s="1">
        <v>7.4224043868756864</v>
      </c>
      <c r="I4172" s="1">
        <v>20.891831191543421</v>
      </c>
      <c r="J4172" s="1">
        <v>4.6512302305124882E-2</v>
      </c>
      <c r="K4172" s="1">
        <v>2.809448848912095</v>
      </c>
      <c r="L4172" s="1">
        <v>4.471342302785021</v>
      </c>
      <c r="M4172" s="1">
        <v>0.79621888446458666</v>
      </c>
      <c r="N4172" s="1">
        <v>1.9990617017166457</v>
      </c>
      <c r="O4172" s="1">
        <v>0.26063999999999998</v>
      </c>
      <c r="P4172" s="1">
        <v>0.15856215848310301</v>
      </c>
      <c r="Q4172" s="1">
        <v>2.4780844482528632</v>
      </c>
      <c r="R4172" s="2">
        <f t="shared" si="263"/>
        <v>80.164592689143532</v>
      </c>
      <c r="S4172" s="2">
        <f t="shared" si="262"/>
        <v>3.0145233097003228</v>
      </c>
      <c r="T4172" s="2">
        <f t="shared" si="264"/>
        <v>7.5272628889662538</v>
      </c>
      <c r="U4172" s="2">
        <f t="shared" si="265"/>
        <v>90.706378887810104</v>
      </c>
    </row>
    <row r="4173" spans="1:21" x14ac:dyDescent="0.25">
      <c r="A4173">
        <v>5076981</v>
      </c>
      <c r="B4173">
        <v>62</v>
      </c>
      <c r="C4173" s="1">
        <f>1.67454723685953*(10.3/7.3)</f>
        <v>2.362717334199067</v>
      </c>
      <c r="D4173" s="1">
        <f>3.02159388381596*(10.3/7.3)</f>
        <v>4.2633447949732037</v>
      </c>
      <c r="E4173" s="1">
        <f>10.3432482387854*(10.3/7.3)</f>
        <v>14.593898199930027</v>
      </c>
      <c r="F4173" s="1">
        <f>30.4210352219172*(38.9/42.5)</f>
        <v>27.844194591354828</v>
      </c>
      <c r="G4173" s="1">
        <v>1.6326309730495181</v>
      </c>
      <c r="H4173" s="1">
        <v>10.294731738771915</v>
      </c>
      <c r="I4173" s="1">
        <v>22.449030386454194</v>
      </c>
      <c r="J4173" s="1">
        <v>5.0687395798162858E-2</v>
      </c>
      <c r="K4173" s="1">
        <v>3.1564574305462227</v>
      </c>
      <c r="L4173" s="1">
        <v>4.6585079261077711</v>
      </c>
      <c r="M4173" s="1">
        <v>0.83885744985216726</v>
      </c>
      <c r="N4173" s="1">
        <v>2.211653469871512</v>
      </c>
      <c r="O4173" s="1">
        <v>0.29129032258064519</v>
      </c>
      <c r="P4173" s="1">
        <v>0.17433060529438635</v>
      </c>
      <c r="Q4173" s="1">
        <v>2.6092275824992308</v>
      </c>
      <c r="R4173" s="2">
        <f t="shared" si="263"/>
        <v>86.049775601231985</v>
      </c>
      <c r="S4173" s="2">
        <f t="shared" si="262"/>
        <v>3.3814754316387723</v>
      </c>
      <c r="T4173" s="2">
        <f t="shared" si="264"/>
        <v>8.0003091684120946</v>
      </c>
      <c r="U4173" s="2">
        <f t="shared" si="265"/>
        <v>97.431560201282849</v>
      </c>
    </row>
    <row r="4174" spans="1:21" x14ac:dyDescent="0.25">
      <c r="A4174">
        <v>5076989</v>
      </c>
      <c r="B4174">
        <v>38</v>
      </c>
      <c r="C4174" s="1">
        <f>2.00913061239915*(10.3/7.3)</f>
        <v>2.8348007270837265</v>
      </c>
      <c r="D4174" s="1">
        <f>3.46071554337546*(10.3/7.3)</f>
        <v>4.8829274105160643</v>
      </c>
      <c r="E4174" s="1">
        <f>11.8675855229205*(10.3/7.3)</f>
        <v>16.744675463846701</v>
      </c>
      <c r="F4174" s="1">
        <f>34.7336487310543*(38.9/42.5)</f>
        <v>31.791504367953205</v>
      </c>
      <c r="G4174" s="1">
        <v>1.8521648019937778</v>
      </c>
      <c r="H4174" s="1">
        <v>8.6198566691010665</v>
      </c>
      <c r="I4174" s="1">
        <v>25.814383348383711</v>
      </c>
      <c r="J4174" s="1">
        <v>6.7406418254603334E-2</v>
      </c>
      <c r="K4174" s="1">
        <v>3.6013462756083641</v>
      </c>
      <c r="L4174" s="1">
        <v>5.3533545366093058</v>
      </c>
      <c r="M4174" s="1">
        <v>0.89617392413565389</v>
      </c>
      <c r="N4174" s="1">
        <v>2.5390345154095031</v>
      </c>
      <c r="O4174" s="1">
        <v>0.33497964912280692</v>
      </c>
      <c r="P4174" s="1">
        <v>0.19438303048949637</v>
      </c>
      <c r="Q4174" s="1">
        <v>2.9600807337800128</v>
      </c>
      <c r="R4174" s="2">
        <f t="shared" si="263"/>
        <v>95.500393522658271</v>
      </c>
      <c r="S4174" s="2">
        <f t="shared" si="262"/>
        <v>3.863135724352464</v>
      </c>
      <c r="T4174" s="2">
        <f t="shared" si="264"/>
        <v>9.1235426252772704</v>
      </c>
      <c r="U4174" s="2">
        <f t="shared" si="265"/>
        <v>108.487071872288</v>
      </c>
    </row>
    <row r="4175" spans="1:21" x14ac:dyDescent="0.25">
      <c r="A4175">
        <v>5076997</v>
      </c>
      <c r="B4175">
        <v>6</v>
      </c>
      <c r="C4175" s="1">
        <f>1.69453249187308*(10.3/7.3)</f>
        <v>2.3909157077113252</v>
      </c>
      <c r="D4175" s="1">
        <f>2.89174204444102*(10.3/7.3)</f>
        <v>4.0801291859921216</v>
      </c>
      <c r="E4175" s="1">
        <f>9.9077974999777*(10.3/7.3)</f>
        <v>13.979495102708256</v>
      </c>
      <c r="F4175" s="1">
        <f>29.6004982023857*(38.9/42.5)</f>
        <v>27.093161884066006</v>
      </c>
      <c r="G4175" s="1">
        <v>1.595833423108054</v>
      </c>
      <c r="H4175" s="1">
        <v>11.467919614777719</v>
      </c>
      <c r="I4175" s="1">
        <v>22.125986580258669</v>
      </c>
      <c r="J4175" s="1">
        <v>5.8318592439209282E-2</v>
      </c>
      <c r="K4175" s="1">
        <v>3.3987883539990018</v>
      </c>
      <c r="L4175" s="1">
        <v>4.6534719193998217</v>
      </c>
      <c r="M4175" s="1">
        <v>0.78117600460831171</v>
      </c>
      <c r="N4175" s="1">
        <v>2.506877169065683</v>
      </c>
      <c r="O4175" s="1">
        <v>0.30325333333333332</v>
      </c>
      <c r="P4175" s="1">
        <v>0.18539954483644386</v>
      </c>
      <c r="Q4175" s="1">
        <v>2.5504187127297686</v>
      </c>
      <c r="R4175" s="2">
        <f t="shared" si="263"/>
        <v>85.283860211351922</v>
      </c>
      <c r="S4175" s="2">
        <f t="shared" si="262"/>
        <v>3.6425064912746548</v>
      </c>
      <c r="T4175" s="2">
        <f t="shared" si="264"/>
        <v>8.2447784264071498</v>
      </c>
      <c r="U4175" s="2">
        <f t="shared" si="265"/>
        <v>97.171145129033732</v>
      </c>
    </row>
    <row r="4176" spans="1:21" x14ac:dyDescent="0.25">
      <c r="A4176">
        <v>5077181</v>
      </c>
      <c r="B4176">
        <v>62</v>
      </c>
      <c r="C4176" s="1">
        <f>9.80247528934876*(10.3/7.3)</f>
        <v>13.830889791820852</v>
      </c>
      <c r="D4176" s="1">
        <f>17.1459452992884*(10.3/7.3)</f>
        <v>24.192224189406911</v>
      </c>
      <c r="E4176" s="1">
        <f>59.8635222169932*(10.3/7.3)</f>
        <v>84.464969703428778</v>
      </c>
      <c r="F4176" s="1">
        <f>118.881167433212*(38.9/42.5)</f>
        <v>108.81123325063375</v>
      </c>
      <c r="G4176" s="1">
        <v>4.6169532299732623</v>
      </c>
      <c r="H4176" s="1">
        <v>7.4908701446529333</v>
      </c>
      <c r="I4176" s="1">
        <v>79.540677320659967</v>
      </c>
      <c r="J4176" s="1">
        <v>8.9570198743744223E-2</v>
      </c>
      <c r="K4176" s="1">
        <v>3.8988750235200418</v>
      </c>
      <c r="L4176" s="1">
        <v>5.4646648003564797</v>
      </c>
      <c r="M4176" s="1">
        <v>0.38741770837006451</v>
      </c>
      <c r="N4176" s="1">
        <v>3.0367819847043109</v>
      </c>
      <c r="O4176" s="1">
        <v>0.29526967741935484</v>
      </c>
      <c r="P4176" s="1">
        <v>0.18568774058638371</v>
      </c>
      <c r="Q4176" s="1">
        <v>7.3786923766696075</v>
      </c>
      <c r="R4176" s="2">
        <f t="shared" si="263"/>
        <v>330.32651000724604</v>
      </c>
      <c r="S4176" s="2">
        <f t="shared" si="262"/>
        <v>4.1741329628501695</v>
      </c>
      <c r="T4176" s="2">
        <f t="shared" si="264"/>
        <v>9.1841341708502107</v>
      </c>
      <c r="U4176" s="2">
        <f t="shared" si="265"/>
        <v>343.68477714094644</v>
      </c>
    </row>
    <row r="4177" spans="1:21" x14ac:dyDescent="0.25">
      <c r="A4177">
        <v>5077189</v>
      </c>
      <c r="B4177">
        <v>71</v>
      </c>
      <c r="C4177" s="1">
        <f>9.45752309774319*(10.3/7.3)</f>
        <v>13.344176425582852</v>
      </c>
      <c r="D4177" s="1">
        <f>16.3690550319301*(10.3/7.3)</f>
        <v>23.096063949161653</v>
      </c>
      <c r="E4177" s="1">
        <f>57.1748989009793*(10.3/7.3)</f>
        <v>80.671432695902283</v>
      </c>
      <c r="F4177" s="1">
        <f>113.338341470428*(38.9/42.5)</f>
        <v>103.73791725175646</v>
      </c>
      <c r="G4177" s="1">
        <v>4.3851744643411825</v>
      </c>
      <c r="H4177" s="1">
        <v>7.3763636186507249</v>
      </c>
      <c r="I4177" s="1">
        <v>76.013895200667761</v>
      </c>
      <c r="J4177" s="1">
        <v>7.3332003547179087E-2</v>
      </c>
      <c r="K4177" s="1">
        <v>4.0148756918815725</v>
      </c>
      <c r="L4177" s="1">
        <v>5.7543155942386486</v>
      </c>
      <c r="M4177" s="1">
        <v>0.3990903675108699</v>
      </c>
      <c r="N4177" s="1">
        <v>3.0635295466026924</v>
      </c>
      <c r="O4177" s="1">
        <v>0.30300619718309874</v>
      </c>
      <c r="P4177" s="1">
        <v>0.19142470829027694</v>
      </c>
      <c r="Q4177" s="1">
        <v>7.0082696918694802</v>
      </c>
      <c r="R4177" s="2">
        <f t="shared" si="263"/>
        <v>315.63329329793237</v>
      </c>
      <c r="S4177" s="2">
        <f t="shared" si="262"/>
        <v>4.2796324037190283</v>
      </c>
      <c r="T4177" s="2">
        <f t="shared" si="264"/>
        <v>9.5199417055353095</v>
      </c>
      <c r="U4177" s="2">
        <f t="shared" si="265"/>
        <v>329.43286740718668</v>
      </c>
    </row>
    <row r="4178" spans="1:21" x14ac:dyDescent="0.25">
      <c r="A4178">
        <v>5077197</v>
      </c>
      <c r="B4178">
        <v>71</v>
      </c>
      <c r="C4178" s="1">
        <f>8.95309493909351*(10.3/7.3)</f>
        <v>12.632449023652493</v>
      </c>
      <c r="D4178" s="1">
        <f>15.571246675196*(10.3/7.3)</f>
        <v>21.970389144454568</v>
      </c>
      <c r="E4178" s="1">
        <f>54.3594739251812*(10.3/7.3)</f>
        <v>76.698983757447436</v>
      </c>
      <c r="F4178" s="1">
        <f>108.772244037337*(38.9/42.5)</f>
        <v>99.558595130645102</v>
      </c>
      <c r="G4178" s="1">
        <v>4.2577957237709434</v>
      </c>
      <c r="H4178" s="1">
        <v>7.1065485837774274</v>
      </c>
      <c r="I4178" s="1">
        <v>73.07795638685397</v>
      </c>
      <c r="J4178" s="1">
        <v>6.7509730357943457E-2</v>
      </c>
      <c r="K4178" s="1">
        <v>3.9000568504614734</v>
      </c>
      <c r="L4178" s="1">
        <v>5.5814109108603827</v>
      </c>
      <c r="M4178" s="1">
        <v>0.37941785850078757</v>
      </c>
      <c r="N4178" s="1">
        <v>2.9362064401571955</v>
      </c>
      <c r="O4178" s="1">
        <v>0.29309220657276996</v>
      </c>
      <c r="P4178" s="1">
        <v>0.18724019234112976</v>
      </c>
      <c r="Q4178" s="1">
        <v>6.8046963621910113</v>
      </c>
      <c r="R4178" s="2">
        <f t="shared" si="263"/>
        <v>302.10741411279292</v>
      </c>
      <c r="S4178" s="2">
        <f t="shared" si="262"/>
        <v>4.154806773160546</v>
      </c>
      <c r="T4178" s="2">
        <f t="shared" si="264"/>
        <v>9.1901274160911353</v>
      </c>
      <c r="U4178" s="2">
        <f t="shared" si="265"/>
        <v>315.45234830204458</v>
      </c>
    </row>
    <row r="4179" spans="1:21" x14ac:dyDescent="0.25">
      <c r="A4179">
        <v>5077205</v>
      </c>
      <c r="B4179">
        <v>69</v>
      </c>
      <c r="C4179" s="1">
        <f>8.60662415654583*(10.3/7.3)</f>
        <v>12.143592988003027</v>
      </c>
      <c r="D4179" s="1">
        <f>15.4942438112369*(10.3/7.3)</f>
        <v>21.861741267909625</v>
      </c>
      <c r="E4179" s="1">
        <f>53.9498581948194*(10.3/7.3)</f>
        <v>76.121032795430096</v>
      </c>
      <c r="F4179" s="1">
        <f>112.018052380802*(38.9/42.5)</f>
        <v>102.52946441442823</v>
      </c>
      <c r="G4179" s="1">
        <v>4.5898598779252628</v>
      </c>
      <c r="H4179" s="1">
        <v>7.1648817623278616</v>
      </c>
      <c r="I4179" s="1">
        <v>75.46671272305899</v>
      </c>
      <c r="J4179" s="1">
        <v>6.5815657025441232E-2</v>
      </c>
      <c r="K4179" s="1">
        <v>3.8585996822466075</v>
      </c>
      <c r="L4179" s="1">
        <v>5.5470795839509073</v>
      </c>
      <c r="M4179" s="1">
        <v>0.3673336093651513</v>
      </c>
      <c r="N4179" s="1">
        <v>2.9243100677689839</v>
      </c>
      <c r="O4179" s="1">
        <v>0.28702608695652182</v>
      </c>
      <c r="P4179" s="1">
        <v>0.1845520961108551</v>
      </c>
      <c r="Q4179" s="1">
        <v>7.3353924989673223</v>
      </c>
      <c r="R4179" s="2">
        <f t="shared" si="263"/>
        <v>307.2126783280504</v>
      </c>
      <c r="S4179" s="2">
        <f t="shared" si="262"/>
        <v>4.1089674353829038</v>
      </c>
      <c r="T4179" s="2">
        <f t="shared" si="264"/>
        <v>9.1257493480415643</v>
      </c>
      <c r="U4179" s="2">
        <f t="shared" si="265"/>
        <v>320.44739511147486</v>
      </c>
    </row>
    <row r="4180" spans="1:21" x14ac:dyDescent="0.25">
      <c r="A4180">
        <v>5077213</v>
      </c>
      <c r="B4180">
        <v>19</v>
      </c>
      <c r="C4180" s="1">
        <f>6.07353079860193*(10.3/7.3)</f>
        <v>8.5695023596712119</v>
      </c>
      <c r="D4180" s="1">
        <f>12.8670674848351*(10.3/7.3)</f>
        <v>18.154903437507013</v>
      </c>
      <c r="E4180" s="1">
        <f>44.1920772039402*(10.3/7.3)</f>
        <v>62.353204821997778</v>
      </c>
      <c r="F4180" s="1">
        <f>111.793722237936*(38.9/42.5)</f>
        <v>102.32413635425196</v>
      </c>
      <c r="G4180" s="1">
        <v>5.5240518040713251</v>
      </c>
      <c r="H4180" s="1">
        <v>7.1032293386757184</v>
      </c>
      <c r="I4180" s="1">
        <v>77.248710618143178</v>
      </c>
      <c r="J4180" s="1">
        <v>5.1662569029728406E-2</v>
      </c>
      <c r="K4180" s="1">
        <v>3.1680191838603657</v>
      </c>
      <c r="L4180" s="1">
        <v>4.2001355845503223</v>
      </c>
      <c r="M4180" s="1">
        <v>0.28382961373820631</v>
      </c>
      <c r="N4180" s="1">
        <v>2.3944382597324405</v>
      </c>
      <c r="O4180" s="1">
        <v>0.22908912280701751</v>
      </c>
      <c r="P4180" s="1">
        <v>0.15447926866885534</v>
      </c>
      <c r="Q4180" s="1">
        <v>8.8283932941779231</v>
      </c>
      <c r="R4180" s="2">
        <f t="shared" si="263"/>
        <v>290.10613202849612</v>
      </c>
      <c r="S4180" s="2">
        <f t="shared" si="262"/>
        <v>3.3741610215589497</v>
      </c>
      <c r="T4180" s="2">
        <f t="shared" si="264"/>
        <v>7.1074925808279863</v>
      </c>
      <c r="U4180" s="2">
        <f t="shared" si="265"/>
        <v>300.58778563088305</v>
      </c>
    </row>
    <row r="4181" spans="1:21" x14ac:dyDescent="0.25">
      <c r="A4181">
        <v>5077221</v>
      </c>
      <c r="B4181">
        <v>67</v>
      </c>
      <c r="C4181" s="1">
        <f>3.28449852283629*(10.3/7.3)</f>
        <v>4.6342924363306537</v>
      </c>
      <c r="D4181" s="1">
        <f>6.4018354184598*(10.3/7.3)</f>
        <v>9.0327266863199895</v>
      </c>
      <c r="E4181" s="1">
        <f>22.2088193366827*(10.3/7.3)</f>
        <v>31.335731392853667</v>
      </c>
      <c r="F4181" s="1">
        <f>47.5211936773566*(38.9/42.5)</f>
        <v>43.495869036451069</v>
      </c>
      <c r="G4181" s="1">
        <v>2.0278903998768629</v>
      </c>
      <c r="H4181" s="1">
        <v>3.785288840661948</v>
      </c>
      <c r="I4181" s="1">
        <v>31.700964035326447</v>
      </c>
      <c r="J4181" s="1">
        <v>3.5252663477768953E-2</v>
      </c>
      <c r="K4181" s="1">
        <v>2.3893495283442956</v>
      </c>
      <c r="L4181" s="1">
        <v>2.9533296177554669</v>
      </c>
      <c r="M4181" s="1">
        <v>0.20284146563694905</v>
      </c>
      <c r="N4181" s="1">
        <v>1.9548101468486609</v>
      </c>
      <c r="O4181" s="1">
        <v>0.16433034825870649</v>
      </c>
      <c r="P4181" s="1">
        <v>0.12236819488289334</v>
      </c>
      <c r="Q4181" s="1">
        <v>3.2409207303968177</v>
      </c>
      <c r="R4181" s="2">
        <f t="shared" si="263"/>
        <v>129.25368355821746</v>
      </c>
      <c r="S4181" s="2">
        <f t="shared" si="262"/>
        <v>2.5469703867049578</v>
      </c>
      <c r="T4181" s="2">
        <f t="shared" si="264"/>
        <v>5.2753115784997835</v>
      </c>
      <c r="U4181" s="2">
        <f t="shared" si="265"/>
        <v>137.07596552342221</v>
      </c>
    </row>
    <row r="4182" spans="1:21" x14ac:dyDescent="0.25">
      <c r="A4182">
        <v>5077229</v>
      </c>
      <c r="B4182">
        <v>27</v>
      </c>
      <c r="C4182" s="1">
        <f>4.97389758595282*(10.3/7.3)</f>
        <v>7.0179650870293271</v>
      </c>
      <c r="D4182" s="1">
        <f>10.0094270400133*(10.3/7.3)</f>
        <v>14.122890207142081</v>
      </c>
      <c r="E4182" s="1">
        <f>34.2720579258963*(10.3/7.3)</f>
        <v>48.356465292702978</v>
      </c>
      <c r="F4182" s="1">
        <f>94.5837124586321*(38.9/42.5)</f>
        <v>86.571915638606754</v>
      </c>
      <c r="G4182" s="1">
        <v>4.9290898526334388</v>
      </c>
      <c r="H4182" s="1">
        <v>8.7990635799731933</v>
      </c>
      <c r="I4182" s="1">
        <v>67.517026811646332</v>
      </c>
      <c r="J4182" s="1">
        <v>4.6289266943189918E-2</v>
      </c>
      <c r="K4182" s="1">
        <v>2.9340816794352631</v>
      </c>
      <c r="L4182" s="1">
        <v>3.7857111540511181</v>
      </c>
      <c r="M4182" s="1">
        <v>0.2509710133684469</v>
      </c>
      <c r="N4182" s="1">
        <v>2.2556401744409134</v>
      </c>
      <c r="O4182" s="1">
        <v>0.20640592592592591</v>
      </c>
      <c r="P4182" s="1">
        <v>0.14330516673755969</v>
      </c>
      <c r="Q4182" s="1">
        <v>7.8775408603730845</v>
      </c>
      <c r="R4182" s="2">
        <f t="shared" si="263"/>
        <v>245.19195733010719</v>
      </c>
      <c r="S4182" s="2">
        <f t="shared" si="262"/>
        <v>3.1236761131160127</v>
      </c>
      <c r="T4182" s="2">
        <f t="shared" si="264"/>
        <v>6.4987282677864044</v>
      </c>
      <c r="U4182" s="2">
        <f t="shared" si="265"/>
        <v>254.81436171100961</v>
      </c>
    </row>
    <row r="4183" spans="1:21" x14ac:dyDescent="0.25">
      <c r="A4183">
        <v>5077245</v>
      </c>
      <c r="B4183">
        <v>64</v>
      </c>
      <c r="C4183" s="1">
        <f>7.30392493889527*(10.3/7.3)</f>
        <v>10.305537927482373</v>
      </c>
      <c r="D4183" s="1">
        <f>12.7583223716509*(10.3/7.3)</f>
        <v>18.001468551781347</v>
      </c>
      <c r="E4183" s="1">
        <f>44.1641639954453*(10.3/7.3)</f>
        <v>62.313820431929663</v>
      </c>
      <c r="F4183" s="1">
        <f>106.99646075006*(38.9/42.5)</f>
        <v>97.93323113358403</v>
      </c>
      <c r="G4183" s="1">
        <v>5.0279918207705956</v>
      </c>
      <c r="H4183" s="1">
        <v>8.0985988964549342</v>
      </c>
      <c r="I4183" s="1">
        <v>75.939027137178229</v>
      </c>
      <c r="J4183" s="1">
        <v>6.1729067459073528E-2</v>
      </c>
      <c r="K4183" s="1">
        <v>3.6284646266359997</v>
      </c>
      <c r="L4183" s="1">
        <v>5.136934617459727</v>
      </c>
      <c r="M4183" s="1">
        <v>0.30766878270913456</v>
      </c>
      <c r="N4183" s="1">
        <v>2.7162869525245021</v>
      </c>
      <c r="O4183" s="1">
        <v>0.25115916666666666</v>
      </c>
      <c r="P4183" s="1">
        <v>0.16628540372380599</v>
      </c>
      <c r="Q4183" s="1">
        <v>8.0356033665283526</v>
      </c>
      <c r="R4183" s="2">
        <f t="shared" si="263"/>
        <v>285.65527926570951</v>
      </c>
      <c r="S4183" s="2">
        <f t="shared" si="262"/>
        <v>3.8564790978188794</v>
      </c>
      <c r="T4183" s="2">
        <f t="shared" si="264"/>
        <v>8.412049519360032</v>
      </c>
      <c r="U4183" s="2">
        <f t="shared" si="265"/>
        <v>297.92380788288841</v>
      </c>
    </row>
    <row r="4184" spans="1:21" x14ac:dyDescent="0.25">
      <c r="A4184">
        <v>5077253</v>
      </c>
      <c r="B4184">
        <v>64</v>
      </c>
      <c r="C4184" s="1">
        <f>7.82736749931455*(10.3/7.3)</f>
        <v>11.044093868895876</v>
      </c>
      <c r="D4184" s="1">
        <f>12.8282576287975*(10.3/7.3)</f>
        <v>18.100144325563583</v>
      </c>
      <c r="E4184" s="1">
        <f>44.7172496468028*(10.3/7.3)</f>
        <v>63.0942015564478</v>
      </c>
      <c r="F4184" s="1">
        <f>97.3728110095508*(38.9/42.5)</f>
        <v>89.124761135800625</v>
      </c>
      <c r="G4184" s="1">
        <v>4.1333028959855254</v>
      </c>
      <c r="H4184" s="1">
        <v>6.7331304361716464</v>
      </c>
      <c r="I4184" s="1">
        <v>68.203509435281191</v>
      </c>
      <c r="J4184" s="1">
        <v>6.2155509436673979E-2</v>
      </c>
      <c r="K4184" s="1">
        <v>3.7087959768672007</v>
      </c>
      <c r="L4184" s="1">
        <v>5.3866713772085335</v>
      </c>
      <c r="M4184" s="1">
        <v>0.31302297169112109</v>
      </c>
      <c r="N4184" s="1">
        <v>2.7732218514056743</v>
      </c>
      <c r="O4184" s="1">
        <v>0.25804500000000002</v>
      </c>
      <c r="P4184" s="1">
        <v>0.16989571067332879</v>
      </c>
      <c r="Q4184" s="1">
        <v>6.6057352218946823</v>
      </c>
      <c r="R4184" s="2">
        <f t="shared" si="263"/>
        <v>267.03887887604094</v>
      </c>
      <c r="S4184" s="2">
        <f t="shared" si="262"/>
        <v>3.9408471969772036</v>
      </c>
      <c r="T4184" s="2">
        <f t="shared" si="264"/>
        <v>8.7309612003053285</v>
      </c>
      <c r="U4184" s="2">
        <f t="shared" si="265"/>
        <v>279.71068727332346</v>
      </c>
    </row>
    <row r="4185" spans="1:21" x14ac:dyDescent="0.25">
      <c r="A4185">
        <v>5077261</v>
      </c>
      <c r="B4185">
        <v>63</v>
      </c>
      <c r="C4185" s="1">
        <f>7.85336611554023*(10.3/7.3)</f>
        <v>11.080776847954025</v>
      </c>
      <c r="D4185" s="1">
        <f>12.5176879700039*(10.3/7.3)</f>
        <v>17.661943300142443</v>
      </c>
      <c r="E4185" s="1">
        <f>43.7255277010426*(10.3/7.3)</f>
        <v>61.694922646676602</v>
      </c>
      <c r="F4185" s="1">
        <f>92.7791608164189*(38.9/42.5)</f>
        <v>84.920220135498695</v>
      </c>
      <c r="G4185" s="1">
        <v>3.8211305003331355</v>
      </c>
      <c r="H4185" s="1">
        <v>6.6030566621739046</v>
      </c>
      <c r="I4185" s="1">
        <v>65.008085246821665</v>
      </c>
      <c r="J4185" s="1">
        <v>6.2038871847680935E-2</v>
      </c>
      <c r="K4185" s="1">
        <v>3.7193456999476413</v>
      </c>
      <c r="L4185" s="1">
        <v>5.4229857357210891</v>
      </c>
      <c r="M4185" s="1">
        <v>0.30754467207984737</v>
      </c>
      <c r="N4185" s="1">
        <v>2.7604775986030128</v>
      </c>
      <c r="O4185" s="1">
        <v>0.25674582010582009</v>
      </c>
      <c r="P4185" s="1">
        <v>0.16918158017373627</v>
      </c>
      <c r="Q4185" s="1">
        <v>6.1068295667424595</v>
      </c>
      <c r="R4185" s="2">
        <f t="shared" si="263"/>
        <v>256.89696490634299</v>
      </c>
      <c r="S4185" s="2">
        <f t="shared" si="262"/>
        <v>3.9505661519690585</v>
      </c>
      <c r="T4185" s="2">
        <f t="shared" si="264"/>
        <v>8.7477538265097685</v>
      </c>
      <c r="U4185" s="2">
        <f t="shared" si="265"/>
        <v>269.59528488482181</v>
      </c>
    </row>
    <row r="4186" spans="1:21" x14ac:dyDescent="0.25">
      <c r="A4186">
        <v>5077269</v>
      </c>
      <c r="B4186">
        <v>62</v>
      </c>
      <c r="C4186" s="1">
        <f>7.22546305897832*(10.3/7.3)</f>
        <v>10.194831439380364</v>
      </c>
      <c r="D4186" s="1">
        <f>11.2725799218398*(10.3/7.3)</f>
        <v>15.905147013006816</v>
      </c>
      <c r="E4186" s="1">
        <f>39.4204690228541*(10.3/7.3)</f>
        <v>55.62066177197228</v>
      </c>
      <c r="F4186" s="1">
        <f>82.949044161926*(38.9/42.5)</f>
        <v>75.922772185856999</v>
      </c>
      <c r="G4186" s="1">
        <v>3.3752046493964718</v>
      </c>
      <c r="H4186" s="1">
        <v>6.2013061922796933</v>
      </c>
      <c r="I4186" s="1">
        <v>58.336127152486817</v>
      </c>
      <c r="J4186" s="1">
        <v>5.82433097919038E-2</v>
      </c>
      <c r="K4186" s="1">
        <v>3.533980478839128</v>
      </c>
      <c r="L4186" s="1">
        <v>5.0301641535360417</v>
      </c>
      <c r="M4186" s="1">
        <v>0.28415174921919018</v>
      </c>
      <c r="N4186" s="1">
        <v>2.5941653412098811</v>
      </c>
      <c r="O4186" s="1">
        <v>0.23968774193548392</v>
      </c>
      <c r="P4186" s="1">
        <v>0.16082084951719264</v>
      </c>
      <c r="Q4186" s="1">
        <v>5.3941626816838646</v>
      </c>
      <c r="R4186" s="2">
        <f t="shared" si="263"/>
        <v>230.95021308606331</v>
      </c>
      <c r="S4186" s="2">
        <f t="shared" si="262"/>
        <v>3.7530446381482245</v>
      </c>
      <c r="T4186" s="2">
        <f t="shared" si="264"/>
        <v>8.1481689859005968</v>
      </c>
      <c r="U4186" s="2">
        <f t="shared" si="265"/>
        <v>242.85142671011215</v>
      </c>
    </row>
    <row r="4187" spans="1:21" x14ac:dyDescent="0.25">
      <c r="A4187">
        <v>5077277</v>
      </c>
      <c r="B4187">
        <v>62</v>
      </c>
      <c r="C4187" s="1">
        <f>7.50490972985234*(10.3/7.3)</f>
        <v>10.589119207873846</v>
      </c>
      <c r="D4187" s="1">
        <f>11.48737980877*(10.3/7.3)</f>
        <v>16.208220826072694</v>
      </c>
      <c r="E4187" s="1">
        <f>40.1957436553369*(10.3/7.3)</f>
        <v>56.714542417804168</v>
      </c>
      <c r="F4187" s="1">
        <f>84.7873685121281*(38.9/42.5)</f>
        <v>77.605379649924316</v>
      </c>
      <c r="G4187" s="1">
        <v>3.448597850196792</v>
      </c>
      <c r="H4187" s="1">
        <v>6.4079983390868476</v>
      </c>
      <c r="I4187" s="1">
        <v>59.992283040304535</v>
      </c>
      <c r="J4187" s="1">
        <v>6.1031231537936798E-2</v>
      </c>
      <c r="K4187" s="1">
        <v>3.5990126190696801</v>
      </c>
      <c r="L4187" s="1">
        <v>5.1710703856078064</v>
      </c>
      <c r="M4187" s="1">
        <v>0.28432324655824559</v>
      </c>
      <c r="N4187" s="1">
        <v>2.6746581078179608</v>
      </c>
      <c r="O4187" s="1">
        <v>0.23978494623655908</v>
      </c>
      <c r="P4187" s="1">
        <v>0.16170183423107631</v>
      </c>
      <c r="Q4187" s="1">
        <v>5.5114577514560681</v>
      </c>
      <c r="R4187" s="2">
        <f t="shared" si="263"/>
        <v>236.47759908271925</v>
      </c>
      <c r="S4187" s="2">
        <f t="shared" si="262"/>
        <v>3.8217456848386933</v>
      </c>
      <c r="T4187" s="2">
        <f t="shared" si="264"/>
        <v>8.3698366862205713</v>
      </c>
      <c r="U4187" s="2">
        <f t="shared" si="265"/>
        <v>248.66918145377852</v>
      </c>
    </row>
    <row r="4188" spans="1:21" x14ac:dyDescent="0.25">
      <c r="A4188">
        <v>5077285</v>
      </c>
      <c r="B4188">
        <v>63</v>
      </c>
      <c r="C4188" s="1">
        <f>7.77383419603105*(10.3/7.3)</f>
        <v>10.968560577961625</v>
      </c>
      <c r="D4188" s="1">
        <f>11.690890984218*(10.3/7.3)</f>
        <v>16.495366731156885</v>
      </c>
      <c r="E4188" s="1">
        <f>40.9199860224889*(10.3/7.3)</f>
        <v>57.736418634470709</v>
      </c>
      <c r="F4188" s="1">
        <f>87.069668530264*(38.9/42.5)</f>
        <v>79.694355431229837</v>
      </c>
      <c r="G4188" s="1">
        <v>3.5642187248365067</v>
      </c>
      <c r="H4188" s="1">
        <v>6.6394201011287137</v>
      </c>
      <c r="I4188" s="1">
        <v>62.058486113557166</v>
      </c>
      <c r="J4188" s="1">
        <v>6.4162898414151362E-2</v>
      </c>
      <c r="K4188" s="1">
        <v>3.6615416409302943</v>
      </c>
      <c r="L4188" s="1">
        <v>5.2803335919570786</v>
      </c>
      <c r="M4188" s="1">
        <v>0.28451044215156485</v>
      </c>
      <c r="N4188" s="1">
        <v>2.7575269252446186</v>
      </c>
      <c r="O4188" s="1">
        <v>0.23954539682539683</v>
      </c>
      <c r="P4188" s="1">
        <v>0.16187624420706523</v>
      </c>
      <c r="Q4188" s="1">
        <v>5.696239971199903</v>
      </c>
      <c r="R4188" s="2">
        <f t="shared" si="263"/>
        <v>242.85306628554133</v>
      </c>
      <c r="S4188" s="2">
        <f t="shared" si="262"/>
        <v>3.887580783551511</v>
      </c>
      <c r="T4188" s="2">
        <f t="shared" si="264"/>
        <v>8.56191635617866</v>
      </c>
      <c r="U4188" s="2">
        <f t="shared" si="265"/>
        <v>255.3025634252715</v>
      </c>
    </row>
    <row r="4189" spans="1:21" x14ac:dyDescent="0.25">
      <c r="A4189">
        <v>5077293</v>
      </c>
      <c r="B4189">
        <v>59</v>
      </c>
      <c r="C4189" s="1">
        <f>7.16709229498499*(10.3/7.3)</f>
        <v>10.112472690184308</v>
      </c>
      <c r="D4189" s="1">
        <f>10.5624508727351*(10.3/7.3)</f>
        <v>14.903184108105709</v>
      </c>
      <c r="E4189" s="1">
        <f>36.980184067088*(10.3/7.3)</f>
        <v>52.177519985069438</v>
      </c>
      <c r="F4189" s="1">
        <f>79.6298566682701*(38.9/42.5)</f>
        <v>72.884739397546028</v>
      </c>
      <c r="G4189" s="1">
        <v>3.2898447482006929</v>
      </c>
      <c r="H4189" s="1">
        <v>9.8089296648456941</v>
      </c>
      <c r="I4189" s="1">
        <v>57.254879431224218</v>
      </c>
      <c r="J4189" s="1">
        <v>6.2201339633187316E-2</v>
      </c>
      <c r="K4189" s="1">
        <v>3.4552424950955842</v>
      </c>
      <c r="L4189" s="1">
        <v>4.8498774639830255</v>
      </c>
      <c r="M4189" s="1">
        <v>0.25430663457426356</v>
      </c>
      <c r="N4189" s="1">
        <v>2.6311202821417399</v>
      </c>
      <c r="O4189" s="1">
        <v>0.22336000000000003</v>
      </c>
      <c r="P4189" s="1">
        <v>0.15222043928881368</v>
      </c>
      <c r="Q4189" s="1">
        <v>5.2577427482659509</v>
      </c>
      <c r="R4189" s="2">
        <f t="shared" si="263"/>
        <v>225.68931277344205</v>
      </c>
      <c r="S4189" s="2">
        <f t="shared" si="262"/>
        <v>3.6696642740175851</v>
      </c>
      <c r="T4189" s="2">
        <f t="shared" si="264"/>
        <v>7.9586643806990294</v>
      </c>
      <c r="U4189" s="2">
        <f t="shared" si="265"/>
        <v>237.31764142815865</v>
      </c>
    </row>
    <row r="4190" spans="1:21" x14ac:dyDescent="0.25">
      <c r="A4190">
        <v>5077365</v>
      </c>
      <c r="B4190">
        <v>12</v>
      </c>
      <c r="C4190" s="1">
        <f>4.45041307581779*(10.3/7.3)</f>
        <v>6.2793499562908508</v>
      </c>
      <c r="D4190" s="1">
        <f>5.69460265192527*(10.3/7.3)</f>
        <v>8.0348503171000427</v>
      </c>
      <c r="E4190" s="1">
        <f>19.9918092506465*(10.3/7.3)</f>
        <v>28.207621271460145</v>
      </c>
      <c r="F4190" s="1">
        <f>46.1931805609184*(38.9/42.5)</f>
        <v>42.280346442817049</v>
      </c>
      <c r="G4190" s="1">
        <v>1.9999777010354631</v>
      </c>
      <c r="H4190" s="1">
        <v>7.6581562395305829</v>
      </c>
      <c r="I4190" s="1">
        <v>35.102500278759869</v>
      </c>
      <c r="J4190" s="1">
        <v>4.1392452651665197E-2</v>
      </c>
      <c r="K4190" s="1">
        <v>2.1568147801391762</v>
      </c>
      <c r="L4190" s="1">
        <v>2.8685880514225772</v>
      </c>
      <c r="M4190" s="1">
        <v>0.13682100224683683</v>
      </c>
      <c r="N4190" s="1">
        <v>2.0541913759557748</v>
      </c>
      <c r="O4190" s="1">
        <v>0.11856888888888889</v>
      </c>
      <c r="P4190" s="1">
        <v>9.279460029298757E-2</v>
      </c>
      <c r="Q4190" s="1">
        <v>3.1963113943489172</v>
      </c>
      <c r="R4190" s="2">
        <f t="shared" si="263"/>
        <v>132.75911360134293</v>
      </c>
      <c r="S4190" s="2">
        <f t="shared" si="262"/>
        <v>2.2910018330838287</v>
      </c>
      <c r="T4190" s="2">
        <f t="shared" si="264"/>
        <v>5.1781693185140769</v>
      </c>
      <c r="U4190" s="2">
        <f t="shared" si="265"/>
        <v>140.22828475294085</v>
      </c>
    </row>
    <row r="4191" spans="1:21" x14ac:dyDescent="0.25">
      <c r="A4191">
        <v>5077493</v>
      </c>
      <c r="B4191">
        <v>1</v>
      </c>
      <c r="C4191" s="1">
        <f>9.29613076984783*(10.3/7.3)</f>
        <v>13.116458483483919</v>
      </c>
      <c r="D4191" s="1">
        <f>10.256155773418*(10.3/7.3)</f>
        <v>14.471014310439148</v>
      </c>
      <c r="E4191" s="1">
        <f>36.300617518422*(10.3/7.3)</f>
        <v>51.21867951229401</v>
      </c>
      <c r="F4191" s="1">
        <f>81.7971087095866*(38.9/42.5)</f>
        <v>74.868412442421644</v>
      </c>
      <c r="G4191" s="1">
        <v>3.363696401687863</v>
      </c>
      <c r="H4191" s="1">
        <v>8.686596404163792</v>
      </c>
      <c r="I4191" s="1">
        <v>64.776945907262274</v>
      </c>
      <c r="J4191" s="1">
        <v>3.8010619257162155E-2</v>
      </c>
      <c r="K4191" s="1">
        <v>2.3773760172000911</v>
      </c>
      <c r="L4191" s="1">
        <v>2.8588818586228331</v>
      </c>
      <c r="M4191" s="1">
        <v>0.1285851117817273</v>
      </c>
      <c r="N4191" s="1">
        <v>2.0061822919204735</v>
      </c>
      <c r="O4191" s="1">
        <v>0.12005333333333333</v>
      </c>
      <c r="P4191" s="1">
        <v>9.1537764033995342E-2</v>
      </c>
      <c r="Q4191" s="1">
        <v>5.3757705049806086</v>
      </c>
      <c r="R4191" s="2">
        <f t="shared" si="263"/>
        <v>235.87757396673325</v>
      </c>
      <c r="S4191" s="2">
        <f t="shared" si="262"/>
        <v>2.5069244004912488</v>
      </c>
      <c r="T4191" s="2">
        <f t="shared" si="264"/>
        <v>5.113702595658367</v>
      </c>
      <c r="U4191" s="2">
        <f t="shared" si="265"/>
        <v>243.49820096288286</v>
      </c>
    </row>
    <row r="4192" spans="1:21" x14ac:dyDescent="0.25">
      <c r="A4192">
        <v>5077693</v>
      </c>
      <c r="B4192">
        <v>10</v>
      </c>
      <c r="C4192" s="1">
        <f>2.95970641605566*(10.3/7.3)</f>
        <v>4.1760241212840201</v>
      </c>
      <c r="D4192" s="1">
        <f>4.45392570982589*(10.3/7.3)</f>
        <v>6.2843061385214609</v>
      </c>
      <c r="E4192" s="1">
        <f>15.1867526376376*(10.3/7.3)</f>
        <v>21.427883858584568</v>
      </c>
      <c r="F4192" s="1">
        <f>52.6716435566444*(38.9/42.5)</f>
        <v>48.210045514199273</v>
      </c>
      <c r="G4192" s="1">
        <v>3.0343009326868504</v>
      </c>
      <c r="H4192" s="1">
        <v>6.4954646043045345</v>
      </c>
      <c r="I4192" s="1">
        <v>41.2390540283006</v>
      </c>
      <c r="J4192" s="1">
        <v>3.3416078228846111E-2</v>
      </c>
      <c r="K4192" s="1">
        <v>1.8398712325297351</v>
      </c>
      <c r="L4192" s="1">
        <v>1.6178169037918866</v>
      </c>
      <c r="M4192" s="1">
        <v>7.6819180648753385E-2</v>
      </c>
      <c r="N4192" s="1">
        <v>1.157015446222023</v>
      </c>
      <c r="O4192" s="1">
        <v>7.5925333333333331E-2</v>
      </c>
      <c r="P4192" s="1">
        <v>6.1289926395548713E-2</v>
      </c>
      <c r="Q4192" s="1">
        <v>4.8493393901388071</v>
      </c>
      <c r="R4192" s="2">
        <f t="shared" si="263"/>
        <v>135.7164185880201</v>
      </c>
      <c r="S4192" s="2">
        <f t="shared" si="262"/>
        <v>1.9345772371541299</v>
      </c>
      <c r="T4192" s="2">
        <f t="shared" si="264"/>
        <v>2.9275768639959963</v>
      </c>
      <c r="U4192" s="2">
        <f t="shared" si="265"/>
        <v>140.57857268917022</v>
      </c>
    </row>
    <row r="4193" spans="1:21" x14ac:dyDescent="0.25">
      <c r="A4193">
        <v>5088985</v>
      </c>
      <c r="B4193">
        <v>57</v>
      </c>
      <c r="C4193" s="1">
        <f>0.935461677726197*(10.3/7.3)</f>
        <v>1.3198979836410722</v>
      </c>
      <c r="D4193" s="1">
        <f>1.35971342686762*(10.3/7.3)</f>
        <v>1.9184997666762371</v>
      </c>
      <c r="E4193" s="1">
        <f>4.70424758397493*(10.3/7.3)</f>
        <v>6.6375000157454451</v>
      </c>
      <c r="F4193" s="1">
        <f>13.1062340066665*(38.9/42.5)</f>
        <v>11.99605889080766</v>
      </c>
      <c r="G4193" s="1">
        <v>0.66777171280403524</v>
      </c>
      <c r="H4193" s="1">
        <v>4.0777418275656556</v>
      </c>
      <c r="I4193" s="1">
        <v>9.9759497482896382</v>
      </c>
      <c r="J4193" s="1">
        <v>6.1359406247540063E-2</v>
      </c>
      <c r="K4193" s="1">
        <v>3.6838912653664271</v>
      </c>
      <c r="L4193" s="1">
        <v>2.9577511632354891</v>
      </c>
      <c r="M4193" s="1">
        <v>0.97408206878341008</v>
      </c>
      <c r="N4193" s="1">
        <v>1.8782408580791823</v>
      </c>
      <c r="O4193" s="1">
        <v>0.53358035087719291</v>
      </c>
      <c r="P4193" s="1">
        <v>0.2400036518298955</v>
      </c>
      <c r="Q4193" s="1">
        <v>1.0672150661251716</v>
      </c>
      <c r="R4193" s="2">
        <f t="shared" si="263"/>
        <v>37.660635011654918</v>
      </c>
      <c r="S4193" s="2">
        <f t="shared" si="262"/>
        <v>3.9852543234438627</v>
      </c>
      <c r="T4193" s="2">
        <f t="shared" si="264"/>
        <v>6.3436544409752749</v>
      </c>
      <c r="U4193" s="2">
        <f t="shared" si="265"/>
        <v>47.989543776074058</v>
      </c>
    </row>
    <row r="4194" spans="1:21" x14ac:dyDescent="0.25">
      <c r="A4194">
        <v>5089201</v>
      </c>
      <c r="B4194">
        <v>2</v>
      </c>
      <c r="C4194" s="1">
        <f>1.71723512485856*(10.3/7.3)</f>
        <v>2.4229481898689338</v>
      </c>
      <c r="D4194" s="1">
        <f>3.85767689402237*(10.3/7.3)</f>
        <v>5.443023562798686</v>
      </c>
      <c r="E4194" s="1">
        <f>13.1315233082983*(10.3/7.3)</f>
        <v>18.528039736366029</v>
      </c>
      <c r="F4194" s="1">
        <f>38.1792028692103*(38.9/42.5)</f>
        <v>34.945199802641937</v>
      </c>
      <c r="G4194" s="1">
        <v>2.0665005644819217</v>
      </c>
      <c r="H4194" s="1">
        <v>9.6808858610982398</v>
      </c>
      <c r="I4194" s="1">
        <v>27.139933022280843</v>
      </c>
      <c r="J4194" s="1">
        <v>5.2420539216675735E-2</v>
      </c>
      <c r="K4194" s="1">
        <v>2.9361159484704977</v>
      </c>
      <c r="L4194" s="1">
        <v>4.8276829119536604</v>
      </c>
      <c r="M4194" s="1">
        <v>0.85053507479178636</v>
      </c>
      <c r="N4194" s="1">
        <v>2.0762625191021256</v>
      </c>
      <c r="O4194" s="1">
        <v>0.27010666666666661</v>
      </c>
      <c r="P4194" s="1">
        <v>0.16319334318725542</v>
      </c>
      <c r="Q4194" s="1">
        <v>3.3026264729163164</v>
      </c>
      <c r="R4194" s="2">
        <f t="shared" si="263"/>
        <v>103.5291572124529</v>
      </c>
      <c r="S4194" s="2">
        <f t="shared" si="262"/>
        <v>3.1517298308744293</v>
      </c>
      <c r="T4194" s="2">
        <f t="shared" si="264"/>
        <v>8.0245871725142379</v>
      </c>
      <c r="U4194" s="2">
        <f t="shared" si="265"/>
        <v>114.70547421584158</v>
      </c>
    </row>
    <row r="4195" spans="1:21" x14ac:dyDescent="0.25">
      <c r="A4195">
        <v>5089209</v>
      </c>
      <c r="B4195">
        <v>42</v>
      </c>
      <c r="C4195" s="1">
        <f>1.85724417807401*(10.3/7.3)</f>
        <v>2.6204952101592145</v>
      </c>
      <c r="D4195" s="1">
        <f>3.44752355487503*(10.3/7.3)</f>
        <v>4.8643140568784711</v>
      </c>
      <c r="E4195" s="1">
        <f>11.7942639736606*(10.3/7.3)</f>
        <v>16.64122177105542</v>
      </c>
      <c r="F4195" s="1">
        <f>34.5111088061849*(38.9/42.5)</f>
        <v>31.587814883778609</v>
      </c>
      <c r="G4195" s="1">
        <v>1.8506589080844065</v>
      </c>
      <c r="H4195" s="1">
        <v>8.8496720317932418</v>
      </c>
      <c r="I4195" s="1">
        <v>25.317264669353243</v>
      </c>
      <c r="J4195" s="1">
        <v>5.4888265287480878E-2</v>
      </c>
      <c r="K4195" s="1">
        <v>3.3682703045460149</v>
      </c>
      <c r="L4195" s="1">
        <v>5.2938516167082161</v>
      </c>
      <c r="M4195" s="1">
        <v>0.94528767299309258</v>
      </c>
      <c r="N4195" s="1">
        <v>2.3586672435126523</v>
      </c>
      <c r="O4195" s="1">
        <v>0.31528380952380952</v>
      </c>
      <c r="P4195" s="1">
        <v>0.18250958473682419</v>
      </c>
      <c r="Q4195" s="1">
        <v>2.9576740540161786</v>
      </c>
      <c r="R4195" s="2">
        <f t="shared" si="263"/>
        <v>94.689115585118785</v>
      </c>
      <c r="S4195" s="2">
        <f t="shared" si="262"/>
        <v>3.6056681545703202</v>
      </c>
      <c r="T4195" s="2">
        <f t="shared" si="264"/>
        <v>8.913090342737771</v>
      </c>
      <c r="U4195" s="2">
        <f t="shared" si="265"/>
        <v>107.20787408242688</v>
      </c>
    </row>
    <row r="4196" spans="1:21" x14ac:dyDescent="0.25">
      <c r="A4196">
        <v>5089217</v>
      </c>
      <c r="B4196">
        <v>71</v>
      </c>
      <c r="C4196" s="1">
        <f>1.70479551807692*(10.3/7.3)</f>
        <v>2.4053964159167478</v>
      </c>
      <c r="D4196" s="1">
        <f>2.95955745069401*(10.3/7.3)</f>
        <v>4.1758139372805854</v>
      </c>
      <c r="E4196" s="1">
        <f>10.1505659654115*(10.3/7.3)</f>
        <v>14.322031430649034</v>
      </c>
      <c r="F4196" s="1">
        <f>29.4931255704091*(38.9/42.5)</f>
        <v>26.994884345621511</v>
      </c>
      <c r="G4196" s="1">
        <v>1.5670758602480295</v>
      </c>
      <c r="H4196" s="1">
        <v>7.6677998127274387</v>
      </c>
      <c r="I4196" s="1">
        <v>21.856554259843652</v>
      </c>
      <c r="J4196" s="1">
        <v>5.3228540833543225E-2</v>
      </c>
      <c r="K4196" s="1">
        <v>3.2392149407436994</v>
      </c>
      <c r="L4196" s="1">
        <v>4.7136131281198423</v>
      </c>
      <c r="M4196" s="1">
        <v>0.83811576071121441</v>
      </c>
      <c r="N4196" s="1">
        <v>2.2678574958393307</v>
      </c>
      <c r="O4196" s="1">
        <v>0.2984863849765258</v>
      </c>
      <c r="P4196" s="1">
        <v>0.17714240624917371</v>
      </c>
      <c r="Q4196" s="1">
        <v>2.504459137382697</v>
      </c>
      <c r="R4196" s="2">
        <f t="shared" si="263"/>
        <v>81.494015199669704</v>
      </c>
      <c r="S4196" s="2">
        <f t="shared" si="262"/>
        <v>3.4695858878264163</v>
      </c>
      <c r="T4196" s="2">
        <f t="shared" si="264"/>
        <v>8.118072769646913</v>
      </c>
      <c r="U4196" s="2">
        <f t="shared" si="265"/>
        <v>93.081673857143031</v>
      </c>
    </row>
    <row r="4197" spans="1:21" x14ac:dyDescent="0.25">
      <c r="A4197">
        <v>5089225</v>
      </c>
      <c r="B4197">
        <v>54</v>
      </c>
      <c r="C4197" s="1">
        <f>1.4102922815541*(10.3/7.3)</f>
        <v>1.9898644520557824</v>
      </c>
      <c r="D4197" s="1">
        <f>2.35350616495751*(10.3/7.3)</f>
        <v>3.3207004793236141</v>
      </c>
      <c r="E4197" s="1">
        <f>8.08252626512937*(10.3/7.3)</f>
        <v>11.404112401483905</v>
      </c>
      <c r="F4197" s="1">
        <f>23.4907204149507*(38.9/42.5)</f>
        <v>21.500918215096082</v>
      </c>
      <c r="G4197" s="1">
        <v>1.2443292354221922</v>
      </c>
      <c r="H4197" s="1">
        <v>7.3534124926886211</v>
      </c>
      <c r="I4197" s="1">
        <v>17.534475276419144</v>
      </c>
      <c r="J4197" s="1">
        <v>5.1905225693715772E-2</v>
      </c>
      <c r="K4197" s="1">
        <v>3.1142769088674753</v>
      </c>
      <c r="L4197" s="1">
        <v>4.1924967848727404</v>
      </c>
      <c r="M4197" s="1">
        <v>0.72426479713347736</v>
      </c>
      <c r="N4197" s="1">
        <v>2.280015830697776</v>
      </c>
      <c r="O4197" s="1">
        <v>0.27862024691358023</v>
      </c>
      <c r="P4197" s="1">
        <v>0.17200323560174588</v>
      </c>
      <c r="Q4197" s="1">
        <v>1.9886540292135511</v>
      </c>
      <c r="R4197" s="2">
        <f t="shared" si="263"/>
        <v>66.336466581702879</v>
      </c>
      <c r="S4197" s="2">
        <f t="shared" si="262"/>
        <v>3.3381853701629369</v>
      </c>
      <c r="T4197" s="2">
        <f t="shared" si="264"/>
        <v>7.475397659617574</v>
      </c>
      <c r="U4197" s="2">
        <f t="shared" si="265"/>
        <v>77.150049611483382</v>
      </c>
    </row>
    <row r="4198" spans="1:21" x14ac:dyDescent="0.25">
      <c r="A4198">
        <v>5089409</v>
      </c>
      <c r="B4198">
        <v>3</v>
      </c>
      <c r="C4198" s="1">
        <f>10.7578617006679*(10.3/7.3)</f>
        <v>15.178900755736962</v>
      </c>
      <c r="D4198" s="1">
        <f>19.1991508552031*(10.3/7.3)</f>
        <v>27.0892128504921</v>
      </c>
      <c r="E4198" s="1">
        <f>66.9726186587052*(10.3/7.3)</f>
        <v>94.495612628036113</v>
      </c>
      <c r="F4198" s="1">
        <f>133.802156778343*(38.9/42.5)</f>
        <v>122.46832702770648</v>
      </c>
      <c r="G4198" s="1">
        <v>5.248868515807664</v>
      </c>
      <c r="H4198" s="1">
        <v>7.9106475374345431</v>
      </c>
      <c r="I4198" s="1">
        <v>89.203273270070767</v>
      </c>
      <c r="J4198" s="1">
        <v>8.7316646916039617E-2</v>
      </c>
      <c r="K4198" s="1">
        <v>3.6242265409276393</v>
      </c>
      <c r="L4198" s="1">
        <v>5.0940665678701089</v>
      </c>
      <c r="M4198" s="1">
        <v>0.36042698211256446</v>
      </c>
      <c r="N4198" s="1">
        <v>2.8777157941699905</v>
      </c>
      <c r="O4198" s="1">
        <v>0.27880888888888883</v>
      </c>
      <c r="P4198" s="1">
        <v>0.17384108113389696</v>
      </c>
      <c r="Q4198" s="1">
        <v>8.3886026508341747</v>
      </c>
      <c r="R4198" s="2">
        <f t="shared" si="263"/>
        <v>369.98344523611883</v>
      </c>
      <c r="S4198" s="2">
        <f t="shared" si="262"/>
        <v>3.8853842689775759</v>
      </c>
      <c r="T4198" s="2">
        <f t="shared" si="264"/>
        <v>8.6110182330415519</v>
      </c>
      <c r="U4198" s="2">
        <f t="shared" si="265"/>
        <v>382.47984773813795</v>
      </c>
    </row>
    <row r="4199" spans="1:21" x14ac:dyDescent="0.25">
      <c r="A4199">
        <v>5089417</v>
      </c>
      <c r="B4199">
        <v>65</v>
      </c>
      <c r="C4199" s="1">
        <f>9.24104394918938*(10.3/7.3)</f>
        <v>13.038733243376791</v>
      </c>
      <c r="D4199" s="1">
        <f>16.1899767217412*(10.3/7.3)</f>
        <v>22.843391812867711</v>
      </c>
      <c r="E4199" s="1">
        <f>56.5161825587893*(10.3/7.3)</f>
        <v>79.742011007606848</v>
      </c>
      <c r="F4199" s="1">
        <f>112.571384612005*(38.9/42.5)</f>
        <v>103.03592615075263</v>
      </c>
      <c r="G4199" s="1">
        <v>4.3882805540753758</v>
      </c>
      <c r="H4199" s="1">
        <v>7.4374298369590344</v>
      </c>
      <c r="I4199" s="1">
        <v>75.36051710414813</v>
      </c>
      <c r="J4199" s="1">
        <v>7.7364963224148681E-2</v>
      </c>
      <c r="K4199" s="1">
        <v>4.0092182091828059</v>
      </c>
      <c r="L4199" s="1">
        <v>5.6951836450344553</v>
      </c>
      <c r="M4199" s="1">
        <v>0.40259225446173763</v>
      </c>
      <c r="N4199" s="1">
        <v>3.0902655672528829</v>
      </c>
      <c r="O4199" s="1">
        <v>0.30408615384615389</v>
      </c>
      <c r="P4199" s="1">
        <v>0.19145087494371324</v>
      </c>
      <c r="Q4199" s="1">
        <v>7.0132337622209313</v>
      </c>
      <c r="R4199" s="2">
        <f t="shared" si="263"/>
        <v>312.85952347200748</v>
      </c>
      <c r="S4199" s="2">
        <f t="shared" si="262"/>
        <v>4.2780340473506682</v>
      </c>
      <c r="T4199" s="2">
        <f t="shared" si="264"/>
        <v>9.4921276205952285</v>
      </c>
      <c r="U4199" s="2">
        <f t="shared" si="265"/>
        <v>326.62968513995338</v>
      </c>
    </row>
    <row r="4200" spans="1:21" x14ac:dyDescent="0.25">
      <c r="A4200">
        <v>5089425</v>
      </c>
      <c r="B4200">
        <v>65</v>
      </c>
      <c r="C4200" s="1">
        <f>8.93552349557089*(10.3/7.3)</f>
        <v>12.607656438956182</v>
      </c>
      <c r="D4200" s="1">
        <f>15.5636952764631*(10.3/7.3)</f>
        <v>21.959734431173917</v>
      </c>
      <c r="E4200" s="1">
        <f>54.3346992556687*(10.3/7.3)</f>
        <v>76.664027716902481</v>
      </c>
      <c r="F4200" s="1">
        <f>108.50941816282*(38.9/42.5)</f>
        <v>99.318032153734336</v>
      </c>
      <c r="G4200" s="1">
        <v>4.23889298231596</v>
      </c>
      <c r="H4200" s="1">
        <v>7.19604074894756</v>
      </c>
      <c r="I4200" s="1">
        <v>72.823796163220948</v>
      </c>
      <c r="J4200" s="1">
        <v>6.9674711294681696E-2</v>
      </c>
      <c r="K4200" s="1">
        <v>3.9459734774043507</v>
      </c>
      <c r="L4200" s="1">
        <v>5.6295834045930881</v>
      </c>
      <c r="M4200" s="1">
        <v>0.38806314456228852</v>
      </c>
      <c r="N4200" s="1">
        <v>2.972288084359064</v>
      </c>
      <c r="O4200" s="1">
        <v>0.29779446153846156</v>
      </c>
      <c r="P4200" s="1">
        <v>0.18928412291331015</v>
      </c>
      <c r="Q4200" s="1">
        <v>6.7744865014182096</v>
      </c>
      <c r="R4200" s="2">
        <f t="shared" si="263"/>
        <v>301.58266713666961</v>
      </c>
      <c r="S4200" s="2">
        <f t="shared" si="262"/>
        <v>4.2049323116123425</v>
      </c>
      <c r="T4200" s="2">
        <f t="shared" si="264"/>
        <v>9.287729095052903</v>
      </c>
      <c r="U4200" s="2">
        <f t="shared" si="265"/>
        <v>315.07532854333488</v>
      </c>
    </row>
    <row r="4201" spans="1:21" x14ac:dyDescent="0.25">
      <c r="A4201">
        <v>5089433</v>
      </c>
      <c r="B4201">
        <v>63</v>
      </c>
      <c r="C4201" s="1">
        <f>7.64593827141494*(10.3/7.3)</f>
        <v>10.788104684325194</v>
      </c>
      <c r="D4201" s="1">
        <f>13.5109318897672*(10.3/7.3)</f>
        <v>19.063369652685228</v>
      </c>
      <c r="E4201" s="1">
        <f>47.113534726485*(10.3/7.3)</f>
        <v>66.475261326410418</v>
      </c>
      <c r="F4201" s="1">
        <f>95.7328613895285*(38.9/42.5)</f>
        <v>87.623724895356702</v>
      </c>
      <c r="G4201" s="1">
        <v>3.822016109370312</v>
      </c>
      <c r="H4201" s="1">
        <v>7.2703417626422979</v>
      </c>
      <c r="I4201" s="1">
        <v>64.360074416358856</v>
      </c>
      <c r="J4201" s="1">
        <v>6.0500407399706593E-2</v>
      </c>
      <c r="K4201" s="1">
        <v>3.5957710402356247</v>
      </c>
      <c r="L4201" s="1">
        <v>4.9894220036469648</v>
      </c>
      <c r="M4201" s="1">
        <v>0.34234769473269561</v>
      </c>
      <c r="N4201" s="1">
        <v>2.6828457981831022</v>
      </c>
      <c r="O4201" s="1">
        <v>0.26767407407407406</v>
      </c>
      <c r="P4201" s="1">
        <v>0.17411384608678587</v>
      </c>
      <c r="Q4201" s="1">
        <v>6.1082449236511911</v>
      </c>
      <c r="R4201" s="2">
        <f t="shared" si="263"/>
        <v>265.51113777080019</v>
      </c>
      <c r="S4201" s="2">
        <f t="shared" si="262"/>
        <v>3.830385293722117</v>
      </c>
      <c r="T4201" s="2">
        <f t="shared" si="264"/>
        <v>8.282289570636836</v>
      </c>
      <c r="U4201" s="2">
        <f t="shared" si="265"/>
        <v>277.6238126351592</v>
      </c>
    </row>
    <row r="4202" spans="1:21" x14ac:dyDescent="0.25">
      <c r="A4202">
        <v>5089441</v>
      </c>
      <c r="B4202">
        <v>40</v>
      </c>
      <c r="C4202" s="1">
        <f>6.94222619187865*(10.3/7.3)</f>
        <v>9.7951958597739832</v>
      </c>
      <c r="D4202" s="1">
        <f>13.5517632801015*(10.3/7.3)</f>
        <v>19.120981066444592</v>
      </c>
      <c r="E4202" s="1">
        <f>46.8782693093*(10.3/7.3)</f>
        <v>66.143311491204145</v>
      </c>
      <c r="F4202" s="1">
        <f>107.01345263264*(38.9/42.5)</f>
        <v>97.94878370375784</v>
      </c>
      <c r="G4202" s="1">
        <v>4.8454127137519452</v>
      </c>
      <c r="H4202" s="1">
        <v>6.9536439351351378</v>
      </c>
      <c r="I4202" s="1">
        <v>72.875773948923126</v>
      </c>
      <c r="J4202" s="1">
        <v>5.9140288846794606E-2</v>
      </c>
      <c r="K4202" s="1">
        <v>3.5289687283176407</v>
      </c>
      <c r="L4202" s="1">
        <v>4.92553197583646</v>
      </c>
      <c r="M4202" s="1">
        <v>0.32883205528975773</v>
      </c>
      <c r="N4202" s="1">
        <v>2.6776169650024606</v>
      </c>
      <c r="O4202" s="1">
        <v>0.25963466666666674</v>
      </c>
      <c r="P4202" s="1">
        <v>0.17009780749402623</v>
      </c>
      <c r="Q4202" s="1">
        <v>7.7438102731195526</v>
      </c>
      <c r="R4202" s="2">
        <f t="shared" si="263"/>
        <v>285.42691299211032</v>
      </c>
      <c r="S4202" s="2">
        <f t="shared" si="262"/>
        <v>3.7582068246584615</v>
      </c>
      <c r="T4202" s="2">
        <f t="shared" si="264"/>
        <v>8.1916156627953445</v>
      </c>
      <c r="U4202" s="2">
        <f t="shared" si="265"/>
        <v>297.37673547956416</v>
      </c>
    </row>
    <row r="4203" spans="1:21" x14ac:dyDescent="0.25">
      <c r="A4203">
        <v>5089449</v>
      </c>
      <c r="B4203">
        <v>59</v>
      </c>
      <c r="C4203" s="1">
        <f>3.58198673380839*(10.3/7.3)</f>
        <v>5.0540360764693748</v>
      </c>
      <c r="D4203" s="1">
        <f>11.057297043145*(10.3/7.3)</f>
        <v>15.601391718410024</v>
      </c>
      <c r="E4203" s="1">
        <f>38.1012658850623*(10.3/7.3)</f>
        <v>53.759320358375582</v>
      </c>
      <c r="F4203" s="1">
        <f>73.5409283270686*(38.9/42.5)</f>
        <v>67.311579104069878</v>
      </c>
      <c r="G4203" s="1">
        <v>2.9615222286101082</v>
      </c>
      <c r="H4203" s="1">
        <v>4.8127731712688755</v>
      </c>
      <c r="I4203" s="1">
        <v>42.44679662486471</v>
      </c>
      <c r="J4203" s="1">
        <v>3.8918521023791369E-2</v>
      </c>
      <c r="K4203" s="1">
        <v>2.5535653949225501</v>
      </c>
      <c r="L4203" s="1">
        <v>3.1515354047422379</v>
      </c>
      <c r="M4203" s="1">
        <v>0.22058838778798728</v>
      </c>
      <c r="N4203" s="1">
        <v>1.9116462894008499</v>
      </c>
      <c r="O4203" s="1">
        <v>0.17733333333333332</v>
      </c>
      <c r="P4203" s="1">
        <v>0.12974927678580886</v>
      </c>
      <c r="Q4203" s="1">
        <v>4.7330263927558827</v>
      </c>
      <c r="R4203" s="2">
        <f t="shared" si="263"/>
        <v>196.6804456748244</v>
      </c>
      <c r="S4203" s="2">
        <f t="shared" si="262"/>
        <v>2.7222331927321504</v>
      </c>
      <c r="T4203" s="2">
        <f t="shared" si="264"/>
        <v>5.4611034152644082</v>
      </c>
      <c r="U4203" s="2">
        <f t="shared" si="265"/>
        <v>204.86378228282095</v>
      </c>
    </row>
    <row r="4204" spans="1:21" x14ac:dyDescent="0.25">
      <c r="A4204">
        <v>5089457</v>
      </c>
      <c r="B4204">
        <v>63</v>
      </c>
      <c r="C4204" s="1">
        <f>4.93852758762103*(10.3/7.3)</f>
        <v>6.968059472944736</v>
      </c>
      <c r="D4204" s="1">
        <f>9.83545288930419*(10.3/7.3)</f>
        <v>13.877419830114134</v>
      </c>
      <c r="E4204" s="1">
        <f>33.9678450886004*(10.3/7.3)</f>
        <v>47.927233481175925</v>
      </c>
      <c r="F4204" s="1">
        <f>79.3255544747046*(38.9/42.5)</f>
        <v>72.606213389788465</v>
      </c>
      <c r="G4204" s="1">
        <v>3.6684310651920833</v>
      </c>
      <c r="H4204" s="1">
        <v>6.5980446925818912</v>
      </c>
      <c r="I4204" s="1">
        <v>54.168026983008929</v>
      </c>
      <c r="J4204" s="1">
        <v>4.5435148193244859E-2</v>
      </c>
      <c r="K4204" s="1">
        <v>2.9017300788030793</v>
      </c>
      <c r="L4204" s="1">
        <v>3.7260438338748627</v>
      </c>
      <c r="M4204" s="1">
        <v>0.25037174967056935</v>
      </c>
      <c r="N4204" s="1">
        <v>2.3373201492710951</v>
      </c>
      <c r="O4204" s="1">
        <v>0.20533841269841269</v>
      </c>
      <c r="P4204" s="1">
        <v>0.14278606208918815</v>
      </c>
      <c r="Q4204" s="1">
        <v>5.8627893735946586</v>
      </c>
      <c r="R4204" s="2">
        <f t="shared" si="263"/>
        <v>211.67621828840083</v>
      </c>
      <c r="S4204" s="2">
        <f t="shared" si="262"/>
        <v>3.0899512890855121</v>
      </c>
      <c r="T4204" s="2">
        <f t="shared" si="264"/>
        <v>6.5190741455149395</v>
      </c>
      <c r="U4204" s="2">
        <f t="shared" si="265"/>
        <v>221.28524372300129</v>
      </c>
    </row>
    <row r="4205" spans="1:21" x14ac:dyDescent="0.25">
      <c r="A4205">
        <v>5089465</v>
      </c>
      <c r="B4205">
        <v>2</v>
      </c>
      <c r="C4205" s="1">
        <f>4.31350026724301*(10.3/7.3)</f>
        <v>6.086171609945624</v>
      </c>
      <c r="D4205" s="1">
        <f>9.30009532722732*(10.3/7.3)</f>
        <v>13.12205231101937</v>
      </c>
      <c r="E4205" s="1">
        <f>31.5648599075121*(10.3/7.3)</f>
        <v>44.536720143475947</v>
      </c>
      <c r="F4205" s="1">
        <f>98.279959699709*(38.9/42.5)</f>
        <v>89.955068995733654</v>
      </c>
      <c r="G4205" s="1">
        <v>5.502084576668377</v>
      </c>
      <c r="H4205" s="1">
        <v>10.623109484983754</v>
      </c>
      <c r="I4205" s="1">
        <v>71.440764998364784</v>
      </c>
      <c r="J4205" s="1">
        <v>4.4023238981140585E-2</v>
      </c>
      <c r="K4205" s="1">
        <v>2.8255042334951241</v>
      </c>
      <c r="L4205" s="1">
        <v>3.5639523258979411</v>
      </c>
      <c r="M4205" s="1">
        <v>0.23940031404883191</v>
      </c>
      <c r="N4205" s="1">
        <v>2.103157491270693</v>
      </c>
      <c r="O4205" s="1">
        <v>0.19754666666666665</v>
      </c>
      <c r="P4205" s="1">
        <v>0.13834350025961939</v>
      </c>
      <c r="Q4205" s="1">
        <v>8.7932858531229865</v>
      </c>
      <c r="R4205" s="2">
        <f t="shared" si="263"/>
        <v>250.05925797331452</v>
      </c>
      <c r="S4205" s="2">
        <f t="shared" si="262"/>
        <v>3.0078709727358843</v>
      </c>
      <c r="T4205" s="2">
        <f t="shared" si="264"/>
        <v>6.1040567978841329</v>
      </c>
      <c r="U4205" s="2">
        <f t="shared" si="265"/>
        <v>259.17118574393453</v>
      </c>
    </row>
    <row r="4206" spans="1:21" x14ac:dyDescent="0.25">
      <c r="A4206">
        <v>5089473</v>
      </c>
      <c r="B4206">
        <v>59</v>
      </c>
      <c r="C4206" s="1">
        <f>7.12955835522903*(10.3/7.3)</f>
        <v>10.059513843679316</v>
      </c>
      <c r="D4206" s="1">
        <f>15.1869639960471*(10.3/7.3)</f>
        <v>21.428182076614334</v>
      </c>
      <c r="E4206" s="1">
        <f>51.3830555980597*(10.3/7.3)</f>
        <v>72.499379816440424</v>
      </c>
      <c r="F4206" s="1">
        <f>169.207067049297*(38.9/42.5)</f>
        <v>154.87423313453311</v>
      </c>
      <c r="G4206" s="1">
        <v>9.7262500343520415</v>
      </c>
      <c r="H4206" s="1">
        <v>7.9199277241890274</v>
      </c>
      <c r="I4206" s="1">
        <v>124.71819514864802</v>
      </c>
      <c r="J4206" s="1">
        <v>6.2593440427837405E-2</v>
      </c>
      <c r="K4206" s="1">
        <v>3.6090442261404694</v>
      </c>
      <c r="L4206" s="1">
        <v>5.0837778862388951</v>
      </c>
      <c r="M4206" s="1">
        <v>0.30809305882223664</v>
      </c>
      <c r="N4206" s="1">
        <v>2.9787838329773968</v>
      </c>
      <c r="O4206" s="1">
        <v>0.25073084745762714</v>
      </c>
      <c r="P4206" s="1">
        <v>0.16510913314268172</v>
      </c>
      <c r="Q4206" s="1">
        <v>15.544235214717883</v>
      </c>
      <c r="R4206" s="2">
        <f t="shared" si="263"/>
        <v>416.76991699317421</v>
      </c>
      <c r="S4206" s="2">
        <f t="shared" si="262"/>
        <v>3.8367467997109888</v>
      </c>
      <c r="T4206" s="2">
        <f t="shared" si="264"/>
        <v>8.6213856254961545</v>
      </c>
      <c r="U4206" s="2">
        <f t="shared" si="265"/>
        <v>429.22804941838132</v>
      </c>
    </row>
    <row r="4207" spans="1:21" x14ac:dyDescent="0.25">
      <c r="A4207">
        <v>5089481</v>
      </c>
      <c r="B4207">
        <v>71</v>
      </c>
      <c r="C4207" s="1">
        <f>7.67839286513928*(10.3/7.3)</f>
        <v>10.833896782319814</v>
      </c>
      <c r="D4207" s="1">
        <f>12.964272654041*(10.3/7.3)</f>
        <v>18.292055936523671</v>
      </c>
      <c r="E4207" s="1">
        <f>45.0570826814643*(10.3/7.3)</f>
        <v>63.573692002614045</v>
      </c>
      <c r="F4207" s="1">
        <f>102.580414235083*(38.9/42.5)</f>
        <v>93.891249735170049</v>
      </c>
      <c r="G4207" s="1">
        <v>4.5574206246234965</v>
      </c>
      <c r="H4207" s="1">
        <v>6.957613333947319</v>
      </c>
      <c r="I4207" s="1">
        <v>72.184665878999027</v>
      </c>
      <c r="J4207" s="1">
        <v>6.31055239116836E-2</v>
      </c>
      <c r="K4207" s="1">
        <v>3.7348594103457242</v>
      </c>
      <c r="L4207" s="1">
        <v>5.4117459735944484</v>
      </c>
      <c r="M4207" s="1">
        <v>0.31938138133255239</v>
      </c>
      <c r="N4207" s="1">
        <v>2.8035477385802308</v>
      </c>
      <c r="O4207" s="1">
        <v>0.26064600938967136</v>
      </c>
      <c r="P4207" s="1">
        <v>0.17164373224215337</v>
      </c>
      <c r="Q4207" s="1">
        <v>7.2835489434622129</v>
      </c>
      <c r="R4207" s="2">
        <f t="shared" si="263"/>
        <v>277.5741432376596</v>
      </c>
      <c r="S4207" s="2">
        <f t="shared" si="262"/>
        <v>3.9696086664995613</v>
      </c>
      <c r="T4207" s="2">
        <f t="shared" si="264"/>
        <v>8.7953211028969029</v>
      </c>
      <c r="U4207" s="2">
        <f t="shared" si="265"/>
        <v>290.33907300705602</v>
      </c>
    </row>
    <row r="4208" spans="1:21" x14ac:dyDescent="0.25">
      <c r="A4208">
        <v>5089489</v>
      </c>
      <c r="B4208">
        <v>70</v>
      </c>
      <c r="C4208" s="1">
        <f>7.79536724196494*(10.3/7.3)</f>
        <v>10.998942820854646</v>
      </c>
      <c r="D4208" s="1">
        <f>12.6435955771304*(10.3/7.3)</f>
        <v>17.839593759512724</v>
      </c>
      <c r="E4208" s="1">
        <f>44.1092062080643*(10.3/7.3)</f>
        <v>62.236277252474331</v>
      </c>
      <c r="F4208" s="1">
        <f>95.0545113809953*(38.9/42.5)</f>
        <v>87.002835122840423</v>
      </c>
      <c r="G4208" s="1">
        <v>3.9875705003048583</v>
      </c>
      <c r="H4208" s="1">
        <v>6.7193716798863932</v>
      </c>
      <c r="I4208" s="1">
        <v>66.571914956357418</v>
      </c>
      <c r="J4208" s="1">
        <v>6.245038178920239E-2</v>
      </c>
      <c r="K4208" s="1">
        <v>3.7267094114980419</v>
      </c>
      <c r="L4208" s="1">
        <v>5.4258412937931464</v>
      </c>
      <c r="M4208" s="1">
        <v>0.31275472780871139</v>
      </c>
      <c r="N4208" s="1">
        <v>2.7715249424945783</v>
      </c>
      <c r="O4208" s="1">
        <v>0.25835885714285717</v>
      </c>
      <c r="P4208" s="1">
        <v>0.17021152108575366</v>
      </c>
      <c r="Q4208" s="1">
        <v>6.3728295666972672</v>
      </c>
      <c r="R4208" s="2">
        <f t="shared" si="263"/>
        <v>261.72933565892805</v>
      </c>
      <c r="S4208" s="2">
        <f t="shared" si="262"/>
        <v>3.9593713143729983</v>
      </c>
      <c r="T4208" s="2">
        <f t="shared" si="264"/>
        <v>8.7684798212392927</v>
      </c>
      <c r="U4208" s="2">
        <f t="shared" si="265"/>
        <v>274.45718679454035</v>
      </c>
    </row>
    <row r="4209" spans="1:21" x14ac:dyDescent="0.25">
      <c r="A4209">
        <v>5089497</v>
      </c>
      <c r="B4209">
        <v>70</v>
      </c>
      <c r="C4209" s="1">
        <f>7.51553879829918*(10.3/7.3)</f>
        <v>10.604116386641307</v>
      </c>
      <c r="D4209" s="1">
        <f>11.9005296860352*(10.3/7.3)</f>
        <v>16.791158324131896</v>
      </c>
      <c r="E4209" s="1">
        <f>41.5820833099872*(10.3/7.3)</f>
        <v>58.67061069765316</v>
      </c>
      <c r="F4209" s="1">
        <f>88.1029920610208*(38.9/42.5)</f>
        <v>80.640150380557827</v>
      </c>
      <c r="G4209" s="1">
        <v>3.6194262297387181</v>
      </c>
      <c r="H4209" s="1">
        <v>6.4334174871319334</v>
      </c>
      <c r="I4209" s="1">
        <v>61.81966305160374</v>
      </c>
      <c r="J4209" s="1">
        <v>6.0277134059148196E-2</v>
      </c>
      <c r="K4209" s="1">
        <v>3.6344451859474725</v>
      </c>
      <c r="L4209" s="1">
        <v>5.2440869525985221</v>
      </c>
      <c r="M4209" s="1">
        <v>0.29705985702966287</v>
      </c>
      <c r="N4209" s="1">
        <v>2.6759043486969367</v>
      </c>
      <c r="O4209" s="1">
        <v>0.24922895238095236</v>
      </c>
      <c r="P4209" s="1">
        <v>0.16559622116961975</v>
      </c>
      <c r="Q4209" s="1">
        <v>5.7844711434180498</v>
      </c>
      <c r="R4209" s="2">
        <f t="shared" si="263"/>
        <v>244.36301370087665</v>
      </c>
      <c r="S4209" s="2">
        <f t="shared" si="262"/>
        <v>3.8603185411762406</v>
      </c>
      <c r="T4209" s="2">
        <f t="shared" si="264"/>
        <v>8.4662801107060748</v>
      </c>
      <c r="U4209" s="2">
        <f t="shared" si="265"/>
        <v>256.68961235275896</v>
      </c>
    </row>
    <row r="4210" spans="1:21" x14ac:dyDescent="0.25">
      <c r="A4210">
        <v>5089505</v>
      </c>
      <c r="B4210">
        <v>69</v>
      </c>
      <c r="C4210" s="1">
        <f>7.09305756739628*(10.3/7.3)</f>
        <v>10.008012732079679</v>
      </c>
      <c r="D4210" s="1">
        <f>11.0172751204081*(10.3/7.3)</f>
        <v>15.544922430164878</v>
      </c>
      <c r="E4210" s="1">
        <f>38.5280155638206*(10.3/7.3)</f>
        <v>54.361446617445573</v>
      </c>
      <c r="F4210" s="1">
        <f>81.3676302933412*(38.9/42.5)</f>
        <v>74.475313374375801</v>
      </c>
      <c r="G4210" s="1">
        <v>3.321431524911922</v>
      </c>
      <c r="H4210" s="1">
        <v>6.206909380152184</v>
      </c>
      <c r="I4210" s="1">
        <v>57.351934925802411</v>
      </c>
      <c r="J4210" s="1">
        <v>5.8198060854221613E-2</v>
      </c>
      <c r="K4210" s="1">
        <v>3.5073546424913302</v>
      </c>
      <c r="L4210" s="1">
        <v>4.9715159633393666</v>
      </c>
      <c r="M4210" s="1">
        <v>0.28146658514396811</v>
      </c>
      <c r="N4210" s="1">
        <v>2.5740773160007828</v>
      </c>
      <c r="O4210" s="1">
        <v>0.23662299516908222</v>
      </c>
      <c r="P4210" s="1">
        <v>0.15926467442061615</v>
      </c>
      <c r="Q4210" s="1">
        <v>5.3082238982610699</v>
      </c>
      <c r="R4210" s="2">
        <f t="shared" si="263"/>
        <v>226.57819488319353</v>
      </c>
      <c r="S4210" s="2">
        <f t="shared" si="262"/>
        <v>3.7248173777661679</v>
      </c>
      <c r="T4210" s="2">
        <f t="shared" si="264"/>
        <v>8.0636828596532002</v>
      </c>
      <c r="U4210" s="2">
        <f t="shared" si="265"/>
        <v>238.36669512061289</v>
      </c>
    </row>
    <row r="4211" spans="1:21" x14ac:dyDescent="0.25">
      <c r="A4211">
        <v>5089513</v>
      </c>
      <c r="B4211">
        <v>70</v>
      </c>
      <c r="C4211" s="1">
        <f>7.67895223673107*(10.3/7.3)</f>
        <v>10.834686032647953</v>
      </c>
      <c r="D4211" s="1">
        <f>11.6862972272636*(10.3/7.3)</f>
        <v>16.488885128878753</v>
      </c>
      <c r="E4211" s="1">
        <f>40.8884129299992*(10.3/7.3)</f>
        <v>57.691870298492013</v>
      </c>
      <c r="F4211" s="1">
        <f>86.8624175543336*(38.9/42.5)</f>
        <v>79.504659832084187</v>
      </c>
      <c r="G4211" s="1">
        <v>3.5564134436492267</v>
      </c>
      <c r="H4211" s="1">
        <v>6.5955653671986072</v>
      </c>
      <c r="I4211" s="1">
        <v>61.675863048835303</v>
      </c>
      <c r="J4211" s="1">
        <v>6.297738769584893E-2</v>
      </c>
      <c r="K4211" s="1">
        <v>3.655938530753791</v>
      </c>
      <c r="L4211" s="1">
        <v>5.2736040039150236</v>
      </c>
      <c r="M4211" s="1">
        <v>0.28213198311716592</v>
      </c>
      <c r="N4211" s="1">
        <v>2.7302732079744145</v>
      </c>
      <c r="O4211" s="1">
        <v>0.24299199999999996</v>
      </c>
      <c r="P4211" s="1">
        <v>0.16321224050504662</v>
      </c>
      <c r="Q4211" s="1">
        <v>5.6837657775216028</v>
      </c>
      <c r="R4211" s="2">
        <f t="shared" si="263"/>
        <v>242.03170892930768</v>
      </c>
      <c r="S4211" s="2">
        <f t="shared" si="262"/>
        <v>3.8821281589546865</v>
      </c>
      <c r="T4211" s="2">
        <f t="shared" si="264"/>
        <v>8.5290011950066038</v>
      </c>
      <c r="U4211" s="2">
        <f t="shared" si="265"/>
        <v>254.44283828326897</v>
      </c>
    </row>
    <row r="4212" spans="1:21" x14ac:dyDescent="0.25">
      <c r="A4212">
        <v>5089521</v>
      </c>
      <c r="B4212">
        <v>70</v>
      </c>
      <c r="C4212" s="1">
        <f>7.68760085882078*(10.3/7.3)</f>
        <v>10.84688888299371</v>
      </c>
      <c r="D4212" s="1">
        <f>11.4900895868637*(10.3/7.3)</f>
        <v>16.212044211602151</v>
      </c>
      <c r="E4212" s="1">
        <f>40.2112208360884*(10.3/7.3)</f>
        <v>56.736380083796014</v>
      </c>
      <c r="F4212" s="1">
        <f>86.3374039844702*(38.9/42.5)</f>
        <v>79.024117999903311</v>
      </c>
      <c r="G4212" s="1">
        <v>3.5642459743453427</v>
      </c>
      <c r="H4212" s="1">
        <v>6.871682236658109</v>
      </c>
      <c r="I4212" s="1">
        <v>61.785510890705119</v>
      </c>
      <c r="J4212" s="1">
        <v>6.4656968977349003E-2</v>
      </c>
      <c r="K4212" s="1">
        <v>3.6256810839678915</v>
      </c>
      <c r="L4212" s="1">
        <v>5.2005623314942149</v>
      </c>
      <c r="M4212" s="1">
        <v>0.28034547442181063</v>
      </c>
      <c r="N4212" s="1">
        <v>2.7484438870960277</v>
      </c>
      <c r="O4212" s="1">
        <v>0.2366339047619048</v>
      </c>
      <c r="P4212" s="1">
        <v>0.16011768553832934</v>
      </c>
      <c r="Q4212" s="1">
        <v>5.6962835206432496</v>
      </c>
      <c r="R4212" s="2">
        <f t="shared" si="263"/>
        <v>240.73715380064701</v>
      </c>
      <c r="S4212" s="2">
        <f t="shared" si="262"/>
        <v>3.8504557384835696</v>
      </c>
      <c r="T4212" s="2">
        <f t="shared" si="264"/>
        <v>8.4659855977739564</v>
      </c>
      <c r="U4212" s="2">
        <f t="shared" si="265"/>
        <v>253.05359513690453</v>
      </c>
    </row>
    <row r="4213" spans="1:21" x14ac:dyDescent="0.25">
      <c r="A4213">
        <v>5089529</v>
      </c>
      <c r="B4213">
        <v>9</v>
      </c>
      <c r="C4213" s="1">
        <f>6.42931485405833*(10.3/7.3)</f>
        <v>9.0714990406576419</v>
      </c>
      <c r="D4213" s="1">
        <f>9.41999271069145*(10.3/7.3)</f>
        <v>13.291222591797533</v>
      </c>
      <c r="E4213" s="1">
        <f>32.98093667185*(10.3/7.3)</f>
        <v>46.534746263021283</v>
      </c>
      <c r="F4213" s="1">
        <f>71.3639510112554*(38.9/42.5)</f>
        <v>65.319004572654976</v>
      </c>
      <c r="G4213" s="1">
        <v>2.9603866399685632</v>
      </c>
      <c r="H4213" s="1">
        <v>9.2837672491694665</v>
      </c>
      <c r="I4213" s="1">
        <v>51.45765613220123</v>
      </c>
      <c r="J4213" s="1">
        <v>5.7088063349615949E-2</v>
      </c>
      <c r="K4213" s="1">
        <v>3.1935121356382594</v>
      </c>
      <c r="L4213" s="1">
        <v>4.3536624866239366</v>
      </c>
      <c r="M4213" s="1">
        <v>0.22970107702879627</v>
      </c>
      <c r="N4213" s="1">
        <v>2.4118804643852481</v>
      </c>
      <c r="O4213" s="1">
        <v>0.20624000000000001</v>
      </c>
      <c r="P4213" s="1">
        <v>0.14237795742794213</v>
      </c>
      <c r="Q4213" s="1">
        <v>4.7312115250639186</v>
      </c>
      <c r="R4213" s="2">
        <f t="shared" si="263"/>
        <v>202.64949401453461</v>
      </c>
      <c r="S4213" s="2">
        <f t="shared" si="262"/>
        <v>3.3929781564158175</v>
      </c>
      <c r="T4213" s="2">
        <f t="shared" si="264"/>
        <v>7.2014840280379806</v>
      </c>
      <c r="U4213" s="2">
        <f t="shared" si="265"/>
        <v>213.2439561989884</v>
      </c>
    </row>
    <row r="4214" spans="1:21" x14ac:dyDescent="0.25">
      <c r="A4214">
        <v>5089593</v>
      </c>
      <c r="B4214">
        <v>15</v>
      </c>
      <c r="C4214" s="1">
        <f>4.65629674893035*(10.3/7.3)</f>
        <v>6.5698433580798064</v>
      </c>
      <c r="D4214" s="1">
        <f>5.58951340141558*(10.3/7.3)</f>
        <v>7.8865737033671852</v>
      </c>
      <c r="E4214" s="1">
        <f>19.6963464371743*(10.3/7.3)</f>
        <v>27.790735383958264</v>
      </c>
      <c r="F4214" s="1">
        <f>44.6778086292186*(38.9/42.5)</f>
        <v>40.893335427684818</v>
      </c>
      <c r="G4214" s="1">
        <v>1.8795212472248863</v>
      </c>
      <c r="H4214" s="1">
        <v>7.0137715745916456</v>
      </c>
      <c r="I4214" s="1">
        <v>34.490123977888395</v>
      </c>
      <c r="J4214" s="1">
        <v>4.1464587115537903E-2</v>
      </c>
      <c r="K4214" s="1">
        <v>2.2219082406993289</v>
      </c>
      <c r="L4214" s="1">
        <v>2.8614483839449441</v>
      </c>
      <c r="M4214" s="1">
        <v>0.14119855715752852</v>
      </c>
      <c r="N4214" s="1">
        <v>2.2775187362707645</v>
      </c>
      <c r="O4214" s="1">
        <v>0.1221688888888889</v>
      </c>
      <c r="P4214" s="1">
        <v>9.5706745510591412E-2</v>
      </c>
      <c r="Q4214" s="1">
        <v>3.0038010800397763</v>
      </c>
      <c r="R4214" s="2">
        <f t="shared" si="263"/>
        <v>129.52770575283478</v>
      </c>
      <c r="S4214" s="2">
        <f t="shared" si="262"/>
        <v>2.3590795733254581</v>
      </c>
      <c r="T4214" s="2">
        <f t="shared" si="264"/>
        <v>5.4023345662621258</v>
      </c>
      <c r="U4214" s="2">
        <f t="shared" si="265"/>
        <v>137.28911989242235</v>
      </c>
    </row>
    <row r="4215" spans="1:21" x14ac:dyDescent="0.25">
      <c r="A4215">
        <v>5089601</v>
      </c>
      <c r="B4215">
        <v>1</v>
      </c>
      <c r="C4215" s="1">
        <f>8.74250515844729*(10.3/7.3)</f>
        <v>12.335315497535218</v>
      </c>
      <c r="D4215" s="1">
        <f>11.3069686368654*(10.3/7.3)</f>
        <v>15.953668076673129</v>
      </c>
      <c r="E4215" s="1">
        <f>39.6465897386543*(10.3/7.3)</f>
        <v>55.939708809334114</v>
      </c>
      <c r="F4215" s="1">
        <f>93.1151796308387*(38.9/42.5)</f>
        <v>85.227776179755878</v>
      </c>
      <c r="G4215" s="1">
        <v>4.0997396972406142</v>
      </c>
      <c r="H4215" s="1">
        <v>11.343633432660914</v>
      </c>
      <c r="I4215" s="1">
        <v>70.751038649878055</v>
      </c>
      <c r="J4215" s="1">
        <v>5.8352538069267025E-2</v>
      </c>
      <c r="K4215" s="1">
        <v>2.532569049494374</v>
      </c>
      <c r="L4215" s="1">
        <v>3.6172913755728948</v>
      </c>
      <c r="M4215" s="1">
        <v>0.16499410829314856</v>
      </c>
      <c r="N4215" s="1">
        <v>2.03369396086214</v>
      </c>
      <c r="O4215" s="1">
        <v>0.14677333333333334</v>
      </c>
      <c r="P4215" s="1">
        <v>0.10550496425463247</v>
      </c>
      <c r="Q4215" s="1">
        <v>6.5520954065489336</v>
      </c>
      <c r="R4215" s="2">
        <f t="shared" si="263"/>
        <v>262.20297574962683</v>
      </c>
      <c r="S4215" s="2">
        <f t="shared" si="262"/>
        <v>2.6964265518182735</v>
      </c>
      <c r="T4215" s="2">
        <f t="shared" si="264"/>
        <v>5.9627527780615166</v>
      </c>
      <c r="U4215" s="2">
        <f t="shared" si="265"/>
        <v>270.86215507950664</v>
      </c>
    </row>
    <row r="4216" spans="1:21" x14ac:dyDescent="0.25">
      <c r="A4216">
        <v>5089729</v>
      </c>
      <c r="B4216">
        <v>22</v>
      </c>
      <c r="C4216" s="1">
        <f>9.9779339263339*(10.3/7.3)</f>
        <v>14.078454717977969</v>
      </c>
      <c r="D4216" s="1">
        <f>10.8463217433679*(10.3/7.3)</f>
        <v>15.303714240642439</v>
      </c>
      <c r="E4216" s="1">
        <f>38.44005138996*(10.3/7.3)</f>
        <v>54.237332783094253</v>
      </c>
      <c r="F4216" s="1">
        <f>85.5292339274479*(38.9/42.5)</f>
        <v>78.284404700652274</v>
      </c>
      <c r="G4216" s="1">
        <v>3.459920455632044</v>
      </c>
      <c r="H4216" s="1">
        <v>8.4290155820126227</v>
      </c>
      <c r="I4216" s="1">
        <v>67.947836984909458</v>
      </c>
      <c r="J4216" s="1">
        <v>3.9756890476155576E-2</v>
      </c>
      <c r="K4216" s="1">
        <v>2.4374289354405252</v>
      </c>
      <c r="L4216" s="1">
        <v>2.9521752244876875</v>
      </c>
      <c r="M4216" s="1">
        <v>0.13221134621100314</v>
      </c>
      <c r="N4216" s="1">
        <v>2.0531587387891395</v>
      </c>
      <c r="O4216" s="1">
        <v>0.12219151515151515</v>
      </c>
      <c r="P4216" s="1">
        <v>9.3052742989259155E-2</v>
      </c>
      <c r="Q4216" s="1">
        <v>5.5295532395945965</v>
      </c>
      <c r="R4216" s="2">
        <f t="shared" si="263"/>
        <v>247.27023270451565</v>
      </c>
      <c r="S4216" s="2">
        <f t="shared" si="262"/>
        <v>2.5702385689059399</v>
      </c>
      <c r="T4216" s="2">
        <f t="shared" si="264"/>
        <v>5.2597368246393454</v>
      </c>
      <c r="U4216" s="2">
        <f t="shared" si="265"/>
        <v>255.10020809806093</v>
      </c>
    </row>
    <row r="4217" spans="1:21" x14ac:dyDescent="0.25">
      <c r="A4217">
        <v>5089737</v>
      </c>
      <c r="B4217">
        <v>5</v>
      </c>
      <c r="C4217" s="1">
        <f>7.90051627895036*(10.3/7.3)</f>
        <v>11.147303790847774</v>
      </c>
      <c r="D4217" s="1">
        <f>9.13688102770742*(10.3/7.3)</f>
        <v>12.891763641833757</v>
      </c>
      <c r="E4217" s="1">
        <f>32.3014046415536*(10.3/7.3)</f>
        <v>45.575954494246886</v>
      </c>
      <c r="F4217" s="1">
        <f>70.8604242500017*(38.9/42.5)</f>
        <v>64.858129490001531</v>
      </c>
      <c r="G4217" s="1">
        <v>2.8589809990231192</v>
      </c>
      <c r="H4217" s="1">
        <v>8.9748059832346563</v>
      </c>
      <c r="I4217" s="1">
        <v>55.054927733346425</v>
      </c>
      <c r="J4217" s="1">
        <v>3.5946724949651135E-2</v>
      </c>
      <c r="K4217" s="1">
        <v>2.2534966285843856</v>
      </c>
      <c r="L4217" s="1">
        <v>2.655519377470815</v>
      </c>
      <c r="M4217" s="1">
        <v>0.12135522022098622</v>
      </c>
      <c r="N4217" s="1">
        <v>1.7696709802337651</v>
      </c>
      <c r="O4217" s="1">
        <v>0.11268266666666667</v>
      </c>
      <c r="P4217" s="1">
        <v>8.6800003425158617E-2</v>
      </c>
      <c r="Q4217" s="1">
        <v>4.5691477153337576</v>
      </c>
      <c r="R4217" s="2">
        <f t="shared" si="263"/>
        <v>205.93101384786794</v>
      </c>
      <c r="S4217" s="2">
        <f t="shared" si="262"/>
        <v>2.3762433569591952</v>
      </c>
      <c r="T4217" s="2">
        <f t="shared" si="264"/>
        <v>4.6592282445922324</v>
      </c>
      <c r="U4217" s="2">
        <f t="shared" si="265"/>
        <v>212.96648544941939</v>
      </c>
    </row>
    <row r="4218" spans="1:21" x14ac:dyDescent="0.25">
      <c r="A4218">
        <v>5089929</v>
      </c>
      <c r="B4218">
        <v>1</v>
      </c>
      <c r="C4218" s="1">
        <f>3.04175452824884*(10.3/7.3)</f>
        <v>4.2917906357483586</v>
      </c>
      <c r="D4218" s="1">
        <f>5.27004246503027*(10.3/7.3)</f>
        <v>7.4358133410701059</v>
      </c>
      <c r="E4218" s="1">
        <f>17.6889930013645*(10.3/7.3)</f>
        <v>24.958442180007506</v>
      </c>
      <c r="F4218" s="1">
        <f>71.2880562320098*(38.9/42.5)</f>
        <v>65.249538527651296</v>
      </c>
      <c r="G4218" s="1">
        <v>4.4033843803913841</v>
      </c>
      <c r="H4218" s="1">
        <v>7.7494114092830104</v>
      </c>
      <c r="I4218" s="1">
        <v>55.874429181213841</v>
      </c>
      <c r="J4218" s="1">
        <v>2.964302144792753E-2</v>
      </c>
      <c r="K4218" s="1">
        <v>1.782690516188649</v>
      </c>
      <c r="L4218" s="1">
        <v>1.6019326192444523</v>
      </c>
      <c r="M4218" s="1">
        <v>7.6215248728699295E-2</v>
      </c>
      <c r="N4218" s="1">
        <v>1.1184547325509988</v>
      </c>
      <c r="O4218" s="1">
        <v>7.536000000000001E-2</v>
      </c>
      <c r="P4218" s="1">
        <v>6.0784494915740075E-2</v>
      </c>
      <c r="Q4218" s="1">
        <v>7.0373722974291599</v>
      </c>
      <c r="R4218" s="2">
        <f t="shared" si="263"/>
        <v>177.00018195279466</v>
      </c>
      <c r="S4218" s="2">
        <f t="shared" si="262"/>
        <v>1.8731180325523167</v>
      </c>
      <c r="T4218" s="2">
        <f t="shared" si="264"/>
        <v>2.8719626005241503</v>
      </c>
      <c r="U4218" s="2">
        <f t="shared" si="265"/>
        <v>181.74526258587113</v>
      </c>
    </row>
    <row r="4219" spans="1:21" x14ac:dyDescent="0.25">
      <c r="A4219">
        <v>5101213</v>
      </c>
      <c r="B4219">
        <v>14</v>
      </c>
      <c r="C4219" s="1">
        <f>0.600652494013334*(10.3/7.3)</f>
        <v>0.84749598470374587</v>
      </c>
      <c r="D4219" s="1">
        <f>0.854632908412492*(10.3/7.3)</f>
        <v>1.2058519118696798</v>
      </c>
      <c r="E4219" s="1">
        <f>2.96581798774483*(10.3/7.3)</f>
        <v>4.1846472977769498</v>
      </c>
      <c r="F4219" s="1">
        <f>7.92838940240638*(38.9/42.5)</f>
        <v>7.256808182437843</v>
      </c>
      <c r="G4219" s="1">
        <v>0.39195608355325218</v>
      </c>
      <c r="H4219" s="1">
        <v>1.8543834280427767</v>
      </c>
      <c r="I4219" s="1">
        <v>6.0189223287329829</v>
      </c>
      <c r="J4219" s="1">
        <v>3.8238539916121306E-2</v>
      </c>
      <c r="K4219" s="1">
        <v>2.7379458901597467</v>
      </c>
      <c r="L4219" s="1">
        <v>2.087931113662453</v>
      </c>
      <c r="M4219" s="1">
        <v>0.68540137520695799</v>
      </c>
      <c r="N4219" s="1">
        <v>1.2865342465925218</v>
      </c>
      <c r="O4219" s="1">
        <v>0.36809142857142857</v>
      </c>
      <c r="P4219" s="1">
        <v>0.19062851379943296</v>
      </c>
      <c r="Q4219" s="1">
        <v>0.6264138321627325</v>
      </c>
      <c r="R4219" s="2">
        <f t="shared" si="263"/>
        <v>22.386479049279963</v>
      </c>
      <c r="S4219" s="2">
        <f t="shared" si="262"/>
        <v>2.966812943875301</v>
      </c>
      <c r="T4219" s="2">
        <f t="shared" si="264"/>
        <v>4.4279581640333614</v>
      </c>
      <c r="U4219" s="2">
        <f t="shared" si="265"/>
        <v>29.781250157188623</v>
      </c>
    </row>
    <row r="4220" spans="1:21" x14ac:dyDescent="0.25">
      <c r="A4220">
        <v>5101221</v>
      </c>
      <c r="B4220">
        <v>23</v>
      </c>
      <c r="C4220" s="1">
        <f>1.2022351601965*(10.3/7.3)</f>
        <v>1.6963044041128705</v>
      </c>
      <c r="D4220" s="1">
        <f>1.76660149596579*(10.3/7.3)</f>
        <v>2.4926021107462453</v>
      </c>
      <c r="E4220" s="1">
        <f>6.09989154516414*(10.3/7.3)</f>
        <v>8.6066962897521471</v>
      </c>
      <c r="F4220" s="1">
        <f>17.4813732707476*(38.9/42.5)</f>
        <v>16.00059812310781</v>
      </c>
      <c r="G4220" s="1">
        <v>0.90776651619283377</v>
      </c>
      <c r="H4220" s="1">
        <v>4.4899296084805709</v>
      </c>
      <c r="I4220" s="1">
        <v>13.341262907928144</v>
      </c>
      <c r="J4220" s="1">
        <v>7.907154855440468E-2</v>
      </c>
      <c r="K4220" s="1">
        <v>4.1176230735650519</v>
      </c>
      <c r="L4220" s="1">
        <v>3.7275804324127479</v>
      </c>
      <c r="M4220" s="1">
        <v>1.1931974421092795</v>
      </c>
      <c r="N4220" s="1">
        <v>2.1632427000278107</v>
      </c>
      <c r="O4220" s="1">
        <v>0.61982840579710141</v>
      </c>
      <c r="P4220" s="1">
        <v>0.25481976334178474</v>
      </c>
      <c r="Q4220" s="1">
        <v>1.4507684048743936</v>
      </c>
      <c r="R4220" s="2">
        <f t="shared" si="263"/>
        <v>48.985928365195022</v>
      </c>
      <c r="S4220" s="2">
        <f t="shared" si="262"/>
        <v>4.4515143854612411</v>
      </c>
      <c r="T4220" s="2">
        <f t="shared" si="264"/>
        <v>7.7038489803469394</v>
      </c>
      <c r="U4220" s="2">
        <f t="shared" si="265"/>
        <v>61.1412917310032</v>
      </c>
    </row>
    <row r="4221" spans="1:21" x14ac:dyDescent="0.25">
      <c r="A4221">
        <v>5101437</v>
      </c>
      <c r="B4221">
        <v>19</v>
      </c>
      <c r="C4221" s="1">
        <f>1.52807796073616*(10.3/7.3)</f>
        <v>2.1560552048743071</v>
      </c>
      <c r="D4221" s="1">
        <f>2.70431521588898*(10.3/7.3)</f>
        <v>3.8156776333776015</v>
      </c>
      <c r="E4221" s="1">
        <f>9.26386422891968*(10.3/7.3)</f>
        <v>13.070931720256532</v>
      </c>
      <c r="F4221" s="1">
        <f>27.1976541206822*(38.9/42.5)</f>
        <v>24.893852830459664</v>
      </c>
      <c r="G4221" s="1">
        <v>1.4559923499491005</v>
      </c>
      <c r="H4221" s="1">
        <v>7.2218581127872099</v>
      </c>
      <c r="I4221" s="1">
        <v>20.130184264956231</v>
      </c>
      <c r="J4221" s="1">
        <v>4.3390554968287975E-2</v>
      </c>
      <c r="K4221" s="1">
        <v>2.7561239144362433</v>
      </c>
      <c r="L4221" s="1">
        <v>4.3934780400885938</v>
      </c>
      <c r="M4221" s="1">
        <v>0.77734379775921625</v>
      </c>
      <c r="N4221" s="1">
        <v>1.9718978406737222</v>
      </c>
      <c r="O4221" s="1">
        <v>0.25311719298245616</v>
      </c>
      <c r="P4221" s="1">
        <v>0.15362923427694472</v>
      </c>
      <c r="Q4221" s="1">
        <v>2.3269284131606658</v>
      </c>
      <c r="R4221" s="2">
        <f t="shared" si="263"/>
        <v>75.071480529821315</v>
      </c>
      <c r="S4221" s="2">
        <f t="shared" si="262"/>
        <v>2.9531437036814756</v>
      </c>
      <c r="T4221" s="2">
        <f t="shared" si="264"/>
        <v>7.3958368715039882</v>
      </c>
      <c r="U4221" s="2">
        <f t="shared" si="265"/>
        <v>85.42046110500678</v>
      </c>
    </row>
    <row r="4222" spans="1:21" x14ac:dyDescent="0.25">
      <c r="A4222">
        <v>5101445</v>
      </c>
      <c r="B4222">
        <v>60</v>
      </c>
      <c r="C4222" s="1">
        <f>1.44954320153317*(10.3/7.3)</f>
        <v>2.0452458870947465</v>
      </c>
      <c r="D4222" s="1">
        <f>2.53631486685982*(10.3/7.3)</f>
        <v>3.5786360450213968</v>
      </c>
      <c r="E4222" s="1">
        <f>8.69318693271907*(10.3/7.3)</f>
        <v>12.2657295078091</v>
      </c>
      <c r="F4222" s="1">
        <f>25.4392803279988*(38.9/42.5)</f>
        <v>23.284423641391861</v>
      </c>
      <c r="G4222" s="1">
        <v>1.3581179047299725</v>
      </c>
      <c r="H4222" s="1">
        <v>6.3846707509670777</v>
      </c>
      <c r="I4222" s="1">
        <v>18.853636960663454</v>
      </c>
      <c r="J4222" s="1">
        <v>4.6054319179595793E-2</v>
      </c>
      <c r="K4222" s="1">
        <v>2.9243135676111831</v>
      </c>
      <c r="L4222" s="1">
        <v>4.3285147149056522</v>
      </c>
      <c r="M4222" s="1">
        <v>0.77632036102650415</v>
      </c>
      <c r="N4222" s="1">
        <v>2.0310358111238838</v>
      </c>
      <c r="O4222" s="1">
        <v>0.26998844444444436</v>
      </c>
      <c r="P4222" s="1">
        <v>0.16104781572024154</v>
      </c>
      <c r="Q4222" s="1">
        <v>2.1705080669200489</v>
      </c>
      <c r="R4222" s="2">
        <f t="shared" si="263"/>
        <v>69.940968764597656</v>
      </c>
      <c r="S4222" s="2">
        <f t="shared" si="262"/>
        <v>3.1314157025110205</v>
      </c>
      <c r="T4222" s="2">
        <f t="shared" si="264"/>
        <v>7.4058593315004844</v>
      </c>
      <c r="U4222" s="2">
        <f t="shared" si="265"/>
        <v>80.478243798609157</v>
      </c>
    </row>
    <row r="4223" spans="1:21" x14ac:dyDescent="0.25">
      <c r="A4223">
        <v>5101453</v>
      </c>
      <c r="B4223">
        <v>57</v>
      </c>
      <c r="C4223" s="1">
        <f>1.72376501421681*(10.3/7.3)</f>
        <v>2.4321615954018019</v>
      </c>
      <c r="D4223" s="1">
        <f>2.96020264520937*(10.3/7.3)</f>
        <v>4.1767242802269138</v>
      </c>
      <c r="E4223" s="1">
        <f>10.1512786923754*(10.3/7.3)</f>
        <v>14.323037059104989</v>
      </c>
      <c r="F4223" s="1">
        <f>29.7594238530125*(38.9/42.5)</f>
        <v>27.238625597227923</v>
      </c>
      <c r="G4223" s="1">
        <v>1.5880404221270594</v>
      </c>
      <c r="H4223" s="1">
        <v>7.6375597385112242</v>
      </c>
      <c r="I4223" s="1">
        <v>22.136793830455382</v>
      </c>
      <c r="J4223" s="1">
        <v>5.7356055165861314E-2</v>
      </c>
      <c r="K4223" s="1">
        <v>3.4107955650115365</v>
      </c>
      <c r="L4223" s="1">
        <v>4.8545148288741649</v>
      </c>
      <c r="M4223" s="1">
        <v>0.85532807005645095</v>
      </c>
      <c r="N4223" s="1">
        <v>2.4467001468611467</v>
      </c>
      <c r="O4223" s="1">
        <v>0.31095766081871345</v>
      </c>
      <c r="P4223" s="1">
        <v>0.18445333853046203</v>
      </c>
      <c r="Q4223" s="1">
        <v>2.5379641449519252</v>
      </c>
      <c r="R4223" s="2">
        <f t="shared" si="263"/>
        <v>82.070906668007211</v>
      </c>
      <c r="S4223" s="2">
        <f t="shared" si="262"/>
        <v>3.6526049587078595</v>
      </c>
      <c r="T4223" s="2">
        <f t="shared" si="264"/>
        <v>8.4675007066104762</v>
      </c>
      <c r="U4223" s="2">
        <f t="shared" si="265"/>
        <v>94.191012333325546</v>
      </c>
    </row>
    <row r="4224" spans="1:21" x14ac:dyDescent="0.25">
      <c r="A4224">
        <v>5101461</v>
      </c>
      <c r="B4224">
        <v>3</v>
      </c>
      <c r="C4224" s="1">
        <f>1.78195754345755*(10.3/7.3)</f>
        <v>2.514268862686678</v>
      </c>
      <c r="D4224" s="1">
        <f>3.0723776708265*(10.3/7.3)</f>
        <v>4.3349986314401274</v>
      </c>
      <c r="E4224" s="1">
        <f>10.5146734395715*(10.3/7.3)</f>
        <v>14.835772113368042</v>
      </c>
      <c r="F4224" s="1">
        <f>31.8469699529027*(38.9/42.5)</f>
        <v>29.149344262774495</v>
      </c>
      <c r="G4224" s="1">
        <v>1.7313826986252998</v>
      </c>
      <c r="H4224" s="1">
        <v>8.7616159915676288</v>
      </c>
      <c r="I4224" s="1">
        <v>23.826291691478275</v>
      </c>
      <c r="J4224" s="1">
        <v>5.7766975950770884E-2</v>
      </c>
      <c r="K4224" s="1">
        <v>3.3786939829044624</v>
      </c>
      <c r="L4224" s="1">
        <v>4.602866181226358</v>
      </c>
      <c r="M4224" s="1">
        <v>0.7661786772331638</v>
      </c>
      <c r="N4224" s="1">
        <v>2.5261529648607821</v>
      </c>
      <c r="O4224" s="1">
        <v>0.30300444444444447</v>
      </c>
      <c r="P4224" s="1">
        <v>0.1829465229946797</v>
      </c>
      <c r="Q4224" s="1">
        <v>2.7670499749719433</v>
      </c>
      <c r="R4224" s="2">
        <f t="shared" si="263"/>
        <v>87.920724226912483</v>
      </c>
      <c r="S4224" s="2">
        <f t="shared" si="262"/>
        <v>3.6194074818499131</v>
      </c>
      <c r="T4224" s="2">
        <f t="shared" si="264"/>
        <v>8.1982022677647493</v>
      </c>
      <c r="U4224" s="2">
        <f t="shared" si="265"/>
        <v>99.738333976527144</v>
      </c>
    </row>
    <row r="4225" spans="1:21" x14ac:dyDescent="0.25">
      <c r="A4225">
        <v>5101469</v>
      </c>
      <c r="B4225">
        <v>1</v>
      </c>
      <c r="C4225" s="1">
        <f>1.93251184641395*(10.3/7.3)</f>
        <v>2.7266947969950293</v>
      </c>
      <c r="D4225" s="1">
        <f>3.38362703851857*(10.3/7.3)</f>
        <v>4.7741586981837383</v>
      </c>
      <c r="E4225" s="1">
        <f>11.5697125308475*(10.3/7.3)</f>
        <v>16.324388913387619</v>
      </c>
      <c r="F4225" s="1">
        <f>35.2640185538489*(38.9/42.5)</f>
        <v>32.276948746934636</v>
      </c>
      <c r="G4225" s="1">
        <v>1.9259441917160172</v>
      </c>
      <c r="H4225" s="1">
        <v>8.1827335036902529</v>
      </c>
      <c r="I4225" s="1">
        <v>26.346272824571166</v>
      </c>
      <c r="J4225" s="1">
        <v>7.7650628757096163E-2</v>
      </c>
      <c r="K4225" s="1">
        <v>3.2326086880058016</v>
      </c>
      <c r="L4225" s="1">
        <v>4.2977021420005457</v>
      </c>
      <c r="M4225" s="1">
        <v>0.68848019485945289</v>
      </c>
      <c r="N4225" s="1">
        <v>2.2217799708724746</v>
      </c>
      <c r="O4225" s="1">
        <v>0.29727999999999999</v>
      </c>
      <c r="P4225" s="1">
        <v>0.17262611712980067</v>
      </c>
      <c r="Q4225" s="1">
        <v>3.0779930004593914</v>
      </c>
      <c r="R4225" s="2">
        <f t="shared" si="263"/>
        <v>95.635134675937834</v>
      </c>
      <c r="S4225" s="2">
        <f t="shared" si="262"/>
        <v>3.4828854338926987</v>
      </c>
      <c r="T4225" s="2">
        <f t="shared" si="264"/>
        <v>7.5052423077324733</v>
      </c>
      <c r="U4225" s="2">
        <f t="shared" si="265"/>
        <v>106.62326241756301</v>
      </c>
    </row>
    <row r="4226" spans="1:21" x14ac:dyDescent="0.25">
      <c r="A4226">
        <v>5101637</v>
      </c>
      <c r="B4226">
        <v>2</v>
      </c>
      <c r="C4226" s="1">
        <f>5.45858921168657*(10.3/7.3)</f>
        <v>7.7018450521057042</v>
      </c>
      <c r="D4226" s="1">
        <f>10.4206904604722*(10.3/7.3)</f>
        <v>14.703165992173084</v>
      </c>
      <c r="E4226" s="1">
        <f>36.162687821921*(10.3/7.3)</f>
        <v>51.024066378874792</v>
      </c>
      <c r="F4226" s="1">
        <f>77.9043702629874*(38.9/42.5)</f>
        <v>71.305411840710804</v>
      </c>
      <c r="G4226" s="1">
        <v>3.3379456158376204</v>
      </c>
      <c r="H4226" s="1">
        <v>8.8931801933579422</v>
      </c>
      <c r="I4226" s="1">
        <v>52.345932060345646</v>
      </c>
      <c r="J4226" s="1">
        <v>5.330312559817716E-2</v>
      </c>
      <c r="K4226" s="1">
        <v>3.0217850134885627</v>
      </c>
      <c r="L4226" s="1">
        <v>3.5693758242239757</v>
      </c>
      <c r="M4226" s="1">
        <v>0.28590069473078217</v>
      </c>
      <c r="N4226" s="1">
        <v>2.3602860158127137</v>
      </c>
      <c r="O4226" s="1">
        <v>0.22383999999999998</v>
      </c>
      <c r="P4226" s="1">
        <v>0.15130273955715412</v>
      </c>
      <c r="Q4226" s="1">
        <v>5.3346162810190343</v>
      </c>
      <c r="R4226" s="2">
        <f t="shared" si="263"/>
        <v>214.64616341442465</v>
      </c>
      <c r="S4226" s="2">
        <f t="shared" si="262"/>
        <v>3.226390878643894</v>
      </c>
      <c r="T4226" s="2">
        <f t="shared" si="264"/>
        <v>6.4394025347674715</v>
      </c>
      <c r="U4226" s="2">
        <f t="shared" si="265"/>
        <v>224.31195682783601</v>
      </c>
    </row>
    <row r="4227" spans="1:21" x14ac:dyDescent="0.25">
      <c r="A4227">
        <v>5101645</v>
      </c>
      <c r="B4227">
        <v>51</v>
      </c>
      <c r="C4227" s="1">
        <f>8.71517140700278*(10.3/7.3)</f>
        <v>12.296748697551863</v>
      </c>
      <c r="D4227" s="1">
        <f>15.6038765685836*(10.3/7.3)</f>
        <v>22.016428583070006</v>
      </c>
      <c r="E4227" s="1">
        <f>54.4102307740042*(10.3/7.3)</f>
        <v>76.77059958523877</v>
      </c>
      <c r="F4227" s="1">
        <f>109.478352231022*(38.9/42.5)</f>
        <v>100.20489180674736</v>
      </c>
      <c r="G4227" s="1">
        <v>4.3314967698927909</v>
      </c>
      <c r="H4227" s="1">
        <v>7.4221310494852322</v>
      </c>
      <c r="I4227" s="1">
        <v>73.097871090714264</v>
      </c>
      <c r="J4227" s="1">
        <v>7.5861827173170776E-2</v>
      </c>
      <c r="K4227" s="1">
        <v>3.778334574450386</v>
      </c>
      <c r="L4227" s="1">
        <v>5.2536342092717918</v>
      </c>
      <c r="M4227" s="1">
        <v>0.37930778250939257</v>
      </c>
      <c r="N4227" s="1">
        <v>3.1041778009780376</v>
      </c>
      <c r="O4227" s="1">
        <v>0.2879895424836601</v>
      </c>
      <c r="P4227" s="1">
        <v>0.1822249327206987</v>
      </c>
      <c r="Q4227" s="1">
        <v>6.9224834222030989</v>
      </c>
      <c r="R4227" s="2">
        <f t="shared" si="263"/>
        <v>303.06265100490339</v>
      </c>
      <c r="S4227" s="2">
        <f t="shared" si="262"/>
        <v>4.0364213343442552</v>
      </c>
      <c r="T4227" s="2">
        <f t="shared" si="264"/>
        <v>9.0251093352428811</v>
      </c>
      <c r="U4227" s="2">
        <f t="shared" si="265"/>
        <v>316.1241816744905</v>
      </c>
    </row>
    <row r="4228" spans="1:21" x14ac:dyDescent="0.25">
      <c r="A4228">
        <v>5101653</v>
      </c>
      <c r="B4228">
        <v>68</v>
      </c>
      <c r="C4228" s="1">
        <f>8.87306286981121*(10.3/7.3)</f>
        <v>12.519527062884316</v>
      </c>
      <c r="D4228" s="1">
        <f>15.5969632185776*(10.3/7.3)</f>
        <v>22.006674130321887</v>
      </c>
      <c r="E4228" s="1">
        <f>54.4301640461047*(10.3/7.3)</f>
        <v>76.798724612997106</v>
      </c>
      <c r="F4228" s="1">
        <f>108.922885625806*(38.9/42.5)</f>
        <v>99.696476490443786</v>
      </c>
      <c r="G4228" s="1">
        <v>4.2710802508850847</v>
      </c>
      <c r="H4228" s="1">
        <v>7.3831228399681779</v>
      </c>
      <c r="I4228" s="1">
        <v>72.963833526567996</v>
      </c>
      <c r="J4228" s="1">
        <v>7.3375101771256626E-2</v>
      </c>
      <c r="K4228" s="1">
        <v>3.9945043557241187</v>
      </c>
      <c r="L4228" s="1">
        <v>5.7002279723586602</v>
      </c>
      <c r="M4228" s="1">
        <v>0.40039675449654322</v>
      </c>
      <c r="N4228" s="1">
        <v>3.0467805339220866</v>
      </c>
      <c r="O4228" s="1">
        <v>0.30220000000000008</v>
      </c>
      <c r="P4228" s="1">
        <v>0.19122340510938798</v>
      </c>
      <c r="Q4228" s="1">
        <v>6.8259273415971791</v>
      </c>
      <c r="R4228" s="2">
        <f t="shared" si="263"/>
        <v>302.46536625566557</v>
      </c>
      <c r="S4228" s="2">
        <f t="shared" si="262"/>
        <v>4.2591028626047631</v>
      </c>
      <c r="T4228" s="2">
        <f t="shared" si="264"/>
        <v>9.4496052607772913</v>
      </c>
      <c r="U4228" s="2">
        <f t="shared" si="265"/>
        <v>316.17407437904762</v>
      </c>
    </row>
    <row r="4229" spans="1:21" x14ac:dyDescent="0.25">
      <c r="A4229">
        <v>5101661</v>
      </c>
      <c r="B4229">
        <v>68</v>
      </c>
      <c r="C4229" s="1">
        <f>8.54084064511127*(10.3/7.3)</f>
        <v>12.050775156800839</v>
      </c>
      <c r="D4229" s="1">
        <f>15.0292933078344*(10.3/7.3)</f>
        <v>21.205715215163558</v>
      </c>
      <c r="E4229" s="1">
        <f>52.4294284870361*(10.3/7.3)</f>
        <v>73.97576896116054</v>
      </c>
      <c r="F4229" s="1">
        <f>105.819351427358*(38.9/42.5)</f>
        <v>96.855829894687886</v>
      </c>
      <c r="G4229" s="1">
        <v>4.1904828157606753</v>
      </c>
      <c r="H4229" s="1">
        <v>7.1586074593160003</v>
      </c>
      <c r="I4229" s="1">
        <v>71.064794855368177</v>
      </c>
      <c r="J4229" s="1">
        <v>6.8373487742490704E-2</v>
      </c>
      <c r="K4229" s="1">
        <v>3.9157293701827047</v>
      </c>
      <c r="L4229" s="1">
        <v>5.5977278684121687</v>
      </c>
      <c r="M4229" s="1">
        <v>0.38447658048782807</v>
      </c>
      <c r="N4229" s="1">
        <v>2.9634375632953684</v>
      </c>
      <c r="O4229" s="1">
        <v>0.29504392156862735</v>
      </c>
      <c r="P4229" s="1">
        <v>0.18800886765069399</v>
      </c>
      <c r="Q4229" s="1">
        <v>6.6971186553252888</v>
      </c>
      <c r="R4229" s="2">
        <f t="shared" si="263"/>
        <v>293.19909301358297</v>
      </c>
      <c r="S4229" s="2">
        <f t="shared" si="262"/>
        <v>4.1721117255758893</v>
      </c>
      <c r="T4229" s="2">
        <f t="shared" si="264"/>
        <v>9.2406859337639915</v>
      </c>
      <c r="U4229" s="2">
        <f t="shared" si="265"/>
        <v>306.61189067292287</v>
      </c>
    </row>
    <row r="4230" spans="1:21" x14ac:dyDescent="0.25">
      <c r="A4230">
        <v>5101669</v>
      </c>
      <c r="B4230">
        <v>66</v>
      </c>
      <c r="C4230" s="1">
        <f>8.28923701290234*(10.3/7.3)</f>
        <v>11.695772771629324</v>
      </c>
      <c r="D4230" s="1">
        <f>15.2225882013057*(10.3/7.3)</f>
        <v>21.478446366225789</v>
      </c>
      <c r="E4230" s="1">
        <f>52.9523739586828*(10.3/7.3)</f>
        <v>74.713623530744243</v>
      </c>
      <c r="F4230" s="1">
        <f>110.879755938139*(38.9/42.5)</f>
        <v>101.48758837632015</v>
      </c>
      <c r="G4230" s="1">
        <v>4.5957186906150032</v>
      </c>
      <c r="H4230" s="1">
        <v>7.3237236012465798</v>
      </c>
      <c r="I4230" s="1">
        <v>74.52247494365902</v>
      </c>
      <c r="J4230" s="1">
        <v>6.6783912516791971E-2</v>
      </c>
      <c r="K4230" s="1">
        <v>3.8840473940833506</v>
      </c>
      <c r="L4230" s="1">
        <v>5.586900042870016</v>
      </c>
      <c r="M4230" s="1">
        <v>0.37351278476650268</v>
      </c>
      <c r="N4230" s="1">
        <v>2.9490071573110508</v>
      </c>
      <c r="O4230" s="1">
        <v>0.29023111111111111</v>
      </c>
      <c r="P4230" s="1">
        <v>0.18592956918177431</v>
      </c>
      <c r="Q4230" s="1">
        <v>7.3447558982431662</v>
      </c>
      <c r="R4230" s="2">
        <f t="shared" si="263"/>
        <v>303.16210417868325</v>
      </c>
      <c r="S4230" s="2">
        <f t="shared" si="262"/>
        <v>4.136760875781917</v>
      </c>
      <c r="T4230" s="2">
        <f t="shared" si="264"/>
        <v>9.1996510960586804</v>
      </c>
      <c r="U4230" s="2">
        <f t="shared" si="265"/>
        <v>316.49851615052387</v>
      </c>
    </row>
    <row r="4231" spans="1:21" x14ac:dyDescent="0.25">
      <c r="A4231">
        <v>5101685</v>
      </c>
      <c r="B4231">
        <v>64</v>
      </c>
      <c r="C4231" s="1">
        <f>4.4110319734241*(10.3/7.3)</f>
        <v>6.2237848392148223</v>
      </c>
      <c r="D4231" s="1">
        <f>11.7175840973827*(10.3/7.3)</f>
        <v>16.533029616855075</v>
      </c>
      <c r="E4231" s="1">
        <f>40.5490376588171*(10.3/7.3)</f>
        <v>57.213025737783035</v>
      </c>
      <c r="F4231" s="1">
        <f>75.758758286415*(38.9/42.5)</f>
        <v>69.341545819801041</v>
      </c>
      <c r="G4231" s="1">
        <v>2.8947839796622969</v>
      </c>
      <c r="H4231" s="1">
        <v>5.2204920203750431</v>
      </c>
      <c r="I4231" s="1">
        <v>44.373173018028297</v>
      </c>
      <c r="J4231" s="1">
        <v>4.2963498842775297E-2</v>
      </c>
      <c r="K4231" s="1">
        <v>2.7808026998278996</v>
      </c>
      <c r="L4231" s="1">
        <v>3.5222726995500326</v>
      </c>
      <c r="M4231" s="1">
        <v>0.24381930790586881</v>
      </c>
      <c r="N4231" s="1">
        <v>2.5204351103205087</v>
      </c>
      <c r="O4231" s="1">
        <v>0.1956633333333333</v>
      </c>
      <c r="P4231" s="1">
        <v>0.13859188325221986</v>
      </c>
      <c r="Q4231" s="1">
        <v>4.6263670907844965</v>
      </c>
      <c r="R4231" s="2">
        <f t="shared" si="263"/>
        <v>206.42620212250412</v>
      </c>
      <c r="S4231" s="2">
        <f t="shared" si="262"/>
        <v>2.9623580819228947</v>
      </c>
      <c r="T4231" s="2">
        <f t="shared" si="264"/>
        <v>6.4821904511097435</v>
      </c>
      <c r="U4231" s="2">
        <f t="shared" si="265"/>
        <v>215.87075065553677</v>
      </c>
    </row>
    <row r="4232" spans="1:21" x14ac:dyDescent="0.25">
      <c r="A4232">
        <v>5101693</v>
      </c>
      <c r="B4232">
        <v>42</v>
      </c>
      <c r="C4232" s="1">
        <f>5.93141848514375*(10.3/7.3)</f>
        <v>8.3689877256137901</v>
      </c>
      <c r="D4232" s="1">
        <f>11.6937252066265*(10.3/7.3)</f>
        <v>16.499365702500391</v>
      </c>
      <c r="E4232" s="1">
        <f>40.2505558398863*(10.3/7.3)</f>
        <v>56.791880157647768</v>
      </c>
      <c r="F4232" s="1">
        <f>101.460837069641*(38.9/42.5)</f>
        <v>92.866507341389038</v>
      </c>
      <c r="G4232" s="1">
        <v>4.9704381438019221</v>
      </c>
      <c r="H4232" s="1">
        <v>9.8222873861835147</v>
      </c>
      <c r="I4232" s="1">
        <v>70.985433209553349</v>
      </c>
      <c r="J4232" s="1">
        <v>5.3546806728234551E-2</v>
      </c>
      <c r="K4232" s="1">
        <v>3.2785314535282559</v>
      </c>
      <c r="L4232" s="1">
        <v>4.4644472018017538</v>
      </c>
      <c r="M4232" s="1">
        <v>0.28889414244114375</v>
      </c>
      <c r="N4232" s="1">
        <v>2.4763234191162957</v>
      </c>
      <c r="O4232" s="1">
        <v>0.2349765079365079</v>
      </c>
      <c r="P4232" s="1">
        <v>0.15778970933186276</v>
      </c>
      <c r="Q4232" s="1">
        <v>7.9436226042496534</v>
      </c>
      <c r="R4232" s="2">
        <f t="shared" si="263"/>
        <v>268.24852227093936</v>
      </c>
      <c r="S4232" s="2">
        <f t="shared" si="262"/>
        <v>3.4898679695883534</v>
      </c>
      <c r="T4232" s="2">
        <f t="shared" si="264"/>
        <v>7.4646412712957018</v>
      </c>
      <c r="U4232" s="2">
        <f t="shared" si="265"/>
        <v>279.20303151182344</v>
      </c>
    </row>
    <row r="4233" spans="1:21" x14ac:dyDescent="0.25">
      <c r="A4233">
        <v>5101701</v>
      </c>
      <c r="B4233">
        <v>35</v>
      </c>
      <c r="C4233" s="1">
        <f>4.08626910160178*(10.3/7.3)</f>
        <v>5.7655577734929269</v>
      </c>
      <c r="D4233" s="1">
        <f>8.95432951683797*(10.3/7.3)</f>
        <v>12.634190962113843</v>
      </c>
      <c r="E4233" s="1">
        <f>30.2422040703265*(10.3/7.3)</f>
        <v>42.670507112926501</v>
      </c>
      <c r="F4233" s="1">
        <f>101.181097721542*(38.9/42.5)</f>
        <v>92.610463561600028</v>
      </c>
      <c r="G4233" s="1">
        <v>5.8671632774904392</v>
      </c>
      <c r="H4233" s="1">
        <v>6.6760394704456676</v>
      </c>
      <c r="I4233" s="1">
        <v>74.554027685172827</v>
      </c>
      <c r="J4233" s="1">
        <v>4.3537452768135608E-2</v>
      </c>
      <c r="K4233" s="1">
        <v>2.7255286859922783</v>
      </c>
      <c r="L4233" s="1">
        <v>3.5279349957305732</v>
      </c>
      <c r="M4233" s="1">
        <v>0.23056579027928115</v>
      </c>
      <c r="N4233" s="1">
        <v>2.0386860169510626</v>
      </c>
      <c r="O4233" s="1">
        <v>0.187168</v>
      </c>
      <c r="P4233" s="1">
        <v>0.13313406134442174</v>
      </c>
      <c r="Q4233" s="1">
        <v>9.3767449640258267</v>
      </c>
      <c r="R4233" s="2">
        <f t="shared" si="263"/>
        <v>250.15469480726804</v>
      </c>
      <c r="S4233" s="2">
        <f t="shared" ref="S4233:S4296" si="266">J4233+K4233+P4233</f>
        <v>2.9022002001048355</v>
      </c>
      <c r="T4233" s="2">
        <f t="shared" si="264"/>
        <v>5.984354802960917</v>
      </c>
      <c r="U4233" s="2">
        <f t="shared" si="265"/>
        <v>259.0412498103338</v>
      </c>
    </row>
    <row r="4234" spans="1:21" x14ac:dyDescent="0.25">
      <c r="A4234">
        <v>5101709</v>
      </c>
      <c r="B4234">
        <v>60</v>
      </c>
      <c r="C4234" s="1">
        <f>7.44500321594911*(10.3/7.3)</f>
        <v>10.504593578667919</v>
      </c>
      <c r="D4234" s="1">
        <f>13.1986123390591*(10.3/7.3)</f>
        <v>18.62269960168614</v>
      </c>
      <c r="E4234" s="1">
        <f>45.6338695811562*(10.3/7.3)</f>
        <v>64.387514614508021</v>
      </c>
      <c r="F4234" s="1">
        <f>112.209012604006*(38.9/42.5)</f>
        <v>102.70424918343123</v>
      </c>
      <c r="G4234" s="1">
        <v>5.3424118219067021</v>
      </c>
      <c r="H4234" s="1">
        <v>7.0250804974689389</v>
      </c>
      <c r="I4234" s="1">
        <v>79.687494408631053</v>
      </c>
      <c r="J4234" s="1">
        <v>6.4105756603554165E-2</v>
      </c>
      <c r="K4234" s="1">
        <v>3.7505184676946497</v>
      </c>
      <c r="L4234" s="1">
        <v>5.4171661391839256</v>
      </c>
      <c r="M4234" s="1">
        <v>0.32447120679171831</v>
      </c>
      <c r="N4234" s="1">
        <v>2.8566752246351346</v>
      </c>
      <c r="O4234" s="1">
        <v>0.26285244444444444</v>
      </c>
      <c r="P4234" s="1">
        <v>0.17236560447730129</v>
      </c>
      <c r="Q4234" s="1">
        <v>8.5381010852390311</v>
      </c>
      <c r="R4234" s="2">
        <f t="shared" ref="R4234:R4297" si="267">C4234+D4234+E4234+F4234+G4234+H4234+I4234+Q4234</f>
        <v>296.81214479153903</v>
      </c>
      <c r="S4234" s="2">
        <f t="shared" si="266"/>
        <v>3.986989828775505</v>
      </c>
      <c r="T4234" s="2">
        <f t="shared" ref="T4234:T4297" si="268">L4234+M4234+N4234+O4234</f>
        <v>8.8611650150552226</v>
      </c>
      <c r="U4234" s="2">
        <f t="shared" ref="U4234:U4297" si="269">R4234+S4234+T4234</f>
        <v>309.66029963536977</v>
      </c>
    </row>
    <row r="4235" spans="1:21" x14ac:dyDescent="0.25">
      <c r="A4235">
        <v>5101717</v>
      </c>
      <c r="B4235">
        <v>59</v>
      </c>
      <c r="C4235" s="1">
        <f>7.64639260481841*(10.3/7.3)</f>
        <v>10.788745730086246</v>
      </c>
      <c r="D4235" s="1">
        <f>12.6794862959812*(10.3/7.3)</f>
        <v>17.8902340888502</v>
      </c>
      <c r="E4235" s="1">
        <f>44.1495018518369*(10.3/7.3)</f>
        <v>62.293132749852063</v>
      </c>
      <c r="F4235" s="1">
        <f>97.7185070039001*(38.9/42.5)</f>
        <v>89.441174645922672</v>
      </c>
      <c r="G4235" s="1">
        <v>4.2204737842884645</v>
      </c>
      <c r="H4235" s="1">
        <v>6.778920222676013</v>
      </c>
      <c r="I4235" s="1">
        <v>68.545319721788957</v>
      </c>
      <c r="J4235" s="1">
        <v>6.2165380279312586E-2</v>
      </c>
      <c r="K4235" s="1">
        <v>3.7149969820698314</v>
      </c>
      <c r="L4235" s="1">
        <v>5.3846737736971129</v>
      </c>
      <c r="M4235" s="1">
        <v>0.31583373401851</v>
      </c>
      <c r="N4235" s="1">
        <v>2.759883893794346</v>
      </c>
      <c r="O4235" s="1">
        <v>0.25898485875706229</v>
      </c>
      <c r="P4235" s="1">
        <v>0.1709224867053071</v>
      </c>
      <c r="Q4235" s="1">
        <v>6.7450494269450409</v>
      </c>
      <c r="R4235" s="2">
        <f t="shared" si="267"/>
        <v>266.7030503704097</v>
      </c>
      <c r="S4235" s="2">
        <f t="shared" si="266"/>
        <v>3.9480848490544513</v>
      </c>
      <c r="T4235" s="2">
        <f t="shared" si="268"/>
        <v>8.7193762602670297</v>
      </c>
      <c r="U4235" s="2">
        <f t="shared" si="269"/>
        <v>279.37051147973119</v>
      </c>
    </row>
    <row r="4236" spans="1:21" x14ac:dyDescent="0.25">
      <c r="A4236">
        <v>5101725</v>
      </c>
      <c r="B4236">
        <v>60</v>
      </c>
      <c r="C4236" s="1">
        <f>7.72619723152377*(10.3/7.3)</f>
        <v>10.901346778725316</v>
      </c>
      <c r="D4236" s="1">
        <f>12.4157767509456*(10.3/7.3)</f>
        <v>17.51815075818347</v>
      </c>
      <c r="E4236" s="1">
        <f>43.3388543586506*(10.3/7.3)</f>
        <v>61.149342451246802</v>
      </c>
      <c r="F4236" s="1">
        <f>92.8749807665949*(38.9/42.5)</f>
        <v>85.007923572248032</v>
      </c>
      <c r="G4236" s="1">
        <v>3.8690198090185159</v>
      </c>
      <c r="H4236" s="1">
        <v>6.6731042691048161</v>
      </c>
      <c r="I4236" s="1">
        <v>65.107942642834416</v>
      </c>
      <c r="J4236" s="1">
        <v>6.2081324090985261E-2</v>
      </c>
      <c r="K4236" s="1">
        <v>3.7254499719573064</v>
      </c>
      <c r="L4236" s="1">
        <v>5.4149393514001813</v>
      </c>
      <c r="M4236" s="1">
        <v>0.31092292939710869</v>
      </c>
      <c r="N4236" s="1">
        <v>2.7490965001402872</v>
      </c>
      <c r="O4236" s="1">
        <v>0.25732533333333341</v>
      </c>
      <c r="P4236" s="1">
        <v>0.17009973501273912</v>
      </c>
      <c r="Q4236" s="1">
        <v>6.1833649915821081</v>
      </c>
      <c r="R4236" s="2">
        <f t="shared" si="267"/>
        <v>256.41019527294344</v>
      </c>
      <c r="S4236" s="2">
        <f t="shared" si="266"/>
        <v>3.9576310310610308</v>
      </c>
      <c r="T4236" s="2">
        <f t="shared" si="268"/>
        <v>8.7322841142709109</v>
      </c>
      <c r="U4236" s="2">
        <f t="shared" si="269"/>
        <v>269.10011041827539</v>
      </c>
    </row>
    <row r="4237" spans="1:21" x14ac:dyDescent="0.25">
      <c r="A4237">
        <v>5101733</v>
      </c>
      <c r="B4237">
        <v>60</v>
      </c>
      <c r="C4237" s="1">
        <f>6.76505271983692*(10.3/7.3)</f>
        <v>9.545211371824692</v>
      </c>
      <c r="D4237" s="1">
        <f>10.6551097933756*(10.3/7.3)</f>
        <v>15.033922037228642</v>
      </c>
      <c r="E4237" s="1">
        <f>37.236321111125*(10.3/7.3)</f>
        <v>52.538918828025658</v>
      </c>
      <c r="F4237" s="1">
        <f>78.9591444747107*(38.9/42.5)</f>
        <v>72.270840472146986</v>
      </c>
      <c r="G4237" s="1">
        <v>3.2438837175235422</v>
      </c>
      <c r="H4237" s="1">
        <v>6.0702603010715874</v>
      </c>
      <c r="I4237" s="1">
        <v>55.49828162207691</v>
      </c>
      <c r="J4237" s="1">
        <v>5.5937447930783563E-2</v>
      </c>
      <c r="K4237" s="1">
        <v>3.4205969615837102</v>
      </c>
      <c r="L4237" s="1">
        <v>4.7986997534614542</v>
      </c>
      <c r="M4237" s="1">
        <v>0.27738244940418355</v>
      </c>
      <c r="N4237" s="1">
        <v>2.4898674001302159</v>
      </c>
      <c r="O4237" s="1">
        <v>0.23311377777777781</v>
      </c>
      <c r="P4237" s="1">
        <v>0.15676070641600845</v>
      </c>
      <c r="Q4237" s="1">
        <v>5.184289046270508</v>
      </c>
      <c r="R4237" s="2">
        <f t="shared" si="267"/>
        <v>219.38560739616852</v>
      </c>
      <c r="S4237" s="2">
        <f t="shared" si="266"/>
        <v>3.6332951159305025</v>
      </c>
      <c r="T4237" s="2">
        <f t="shared" si="268"/>
        <v>7.7990633807736316</v>
      </c>
      <c r="U4237" s="2">
        <f t="shared" si="269"/>
        <v>230.81796589287268</v>
      </c>
    </row>
    <row r="4238" spans="1:21" x14ac:dyDescent="0.25">
      <c r="A4238">
        <v>5101741</v>
      </c>
      <c r="B4238">
        <v>60</v>
      </c>
      <c r="C4238" s="1">
        <f>7.49837431805535*(10.3/7.3)</f>
        <v>10.579898010406863</v>
      </c>
      <c r="D4238" s="1">
        <f>11.5802853183334*(10.3/7.3)</f>
        <v>16.339306682032127</v>
      </c>
      <c r="E4238" s="1">
        <f>40.4954108653924*(10.3/7.3)</f>
        <v>57.137360536101561</v>
      </c>
      <c r="F4238" s="1">
        <f>86.0287130088843*(38.9/42.5)</f>
        <v>78.74157496577881</v>
      </c>
      <c r="G4238" s="1">
        <v>3.5304506225583525</v>
      </c>
      <c r="H4238" s="1">
        <v>6.5205457797947712</v>
      </c>
      <c r="I4238" s="1">
        <v>60.831027347367034</v>
      </c>
      <c r="J4238" s="1">
        <v>6.1606792470803043E-2</v>
      </c>
      <c r="K4238" s="1">
        <v>3.6277456912847907</v>
      </c>
      <c r="L4238" s="1">
        <v>5.2214958757844467</v>
      </c>
      <c r="M4238" s="1">
        <v>0.28909608166466028</v>
      </c>
      <c r="N4238" s="1">
        <v>2.6888803383720137</v>
      </c>
      <c r="O4238" s="1">
        <v>0.24397777777777777</v>
      </c>
      <c r="P4238" s="1">
        <v>0.16303410904827706</v>
      </c>
      <c r="Q4238" s="1">
        <v>5.6422726844539968</v>
      </c>
      <c r="R4238" s="2">
        <f t="shared" si="267"/>
        <v>239.32243662849351</v>
      </c>
      <c r="S4238" s="2">
        <f t="shared" si="266"/>
        <v>3.852386592803871</v>
      </c>
      <c r="T4238" s="2">
        <f t="shared" si="268"/>
        <v>8.443450073598898</v>
      </c>
      <c r="U4238" s="2">
        <f t="shared" si="269"/>
        <v>251.61827329489628</v>
      </c>
    </row>
    <row r="4239" spans="1:21" x14ac:dyDescent="0.25">
      <c r="A4239">
        <v>5101749</v>
      </c>
      <c r="B4239">
        <v>60</v>
      </c>
      <c r="C4239" s="1">
        <f>7.5978145058105*(10.3/7.3)</f>
        <v>10.720204028746325</v>
      </c>
      <c r="D4239" s="1">
        <f>11.5074486069938*(10.3/7.3)</f>
        <v>16.23653707562136</v>
      </c>
      <c r="E4239" s="1">
        <f>40.256859440318*(10.3/7.3)</f>
        <v>56.800774278804859</v>
      </c>
      <c r="F4239" s="1">
        <f>86.1799276897727*(38.9/42.5)</f>
        <v>78.879980873697832</v>
      </c>
      <c r="G4239" s="1">
        <v>3.5542343344894802</v>
      </c>
      <c r="H4239" s="1">
        <v>6.6491427889489616</v>
      </c>
      <c r="I4239" s="1">
        <v>61.395868321122386</v>
      </c>
      <c r="J4239" s="1">
        <v>6.2818934344115063E-2</v>
      </c>
      <c r="K4239" s="1">
        <v>3.6098911611070799</v>
      </c>
      <c r="L4239" s="1">
        <v>5.1817239687799024</v>
      </c>
      <c r="M4239" s="1">
        <v>0.2777598263544151</v>
      </c>
      <c r="N4239" s="1">
        <v>2.7019100810499963</v>
      </c>
      <c r="O4239" s="1">
        <v>0.23972000000000004</v>
      </c>
      <c r="P4239" s="1">
        <v>0.16112618110356614</v>
      </c>
      <c r="Q4239" s="1">
        <v>5.6802831829740636</v>
      </c>
      <c r="R4239" s="2">
        <f t="shared" si="267"/>
        <v>239.91702488440524</v>
      </c>
      <c r="S4239" s="2">
        <f t="shared" si="266"/>
        <v>3.8338362765547611</v>
      </c>
      <c r="T4239" s="2">
        <f t="shared" si="268"/>
        <v>8.4011138761843132</v>
      </c>
      <c r="U4239" s="2">
        <f t="shared" si="269"/>
        <v>252.15197503714433</v>
      </c>
    </row>
    <row r="4240" spans="1:21" x14ac:dyDescent="0.25">
      <c r="A4240">
        <v>5101757</v>
      </c>
      <c r="B4240">
        <v>28</v>
      </c>
      <c r="C4240" s="1">
        <f>6.33040730256856*(10.3/7.3)</f>
        <v>8.9319445501994821</v>
      </c>
      <c r="D4240" s="1">
        <f>9.41775022111674*(10.3/7.3)</f>
        <v>13.288058531164722</v>
      </c>
      <c r="E4240" s="1">
        <f>32.9563280470825*(10.3/7.3)</f>
        <v>46.500024504787653</v>
      </c>
      <c r="F4240" s="1">
        <f>71.1793016160414*(38.9/42.5)</f>
        <v>65.149996067388514</v>
      </c>
      <c r="G4240" s="1">
        <v>2.9542512427446539</v>
      </c>
      <c r="H4240" s="1">
        <v>7.2499873010279297</v>
      </c>
      <c r="I4240" s="1">
        <v>51.079810312440756</v>
      </c>
      <c r="J4240" s="1">
        <v>5.6447642668258635E-2</v>
      </c>
      <c r="K4240" s="1">
        <v>3.1940648367321147</v>
      </c>
      <c r="L4240" s="1">
        <v>4.3713349588509427</v>
      </c>
      <c r="M4240" s="1">
        <v>0.23523713049280576</v>
      </c>
      <c r="N4240" s="1">
        <v>2.4019329251565176</v>
      </c>
      <c r="O4240" s="1">
        <v>0.20862095238095238</v>
      </c>
      <c r="P4240" s="1">
        <v>0.14384629431846832</v>
      </c>
      <c r="Q4240" s="1">
        <v>4.7214060957106403</v>
      </c>
      <c r="R4240" s="2">
        <f t="shared" si="267"/>
        <v>199.87547860546439</v>
      </c>
      <c r="S4240" s="2">
        <f t="shared" si="266"/>
        <v>3.3943587737188414</v>
      </c>
      <c r="T4240" s="2">
        <f t="shared" si="268"/>
        <v>7.217125966881218</v>
      </c>
      <c r="U4240" s="2">
        <f t="shared" si="269"/>
        <v>210.48696334606444</v>
      </c>
    </row>
    <row r="4241" spans="1:21" x14ac:dyDescent="0.25">
      <c r="A4241">
        <v>5101829</v>
      </c>
      <c r="B4241">
        <v>25</v>
      </c>
      <c r="C4241" s="1">
        <f>4.10696206792801*(10.3/7.3)</f>
        <v>5.7947546985833505</v>
      </c>
      <c r="D4241" s="1">
        <f>5.28843501433416*(10.3/7.3)</f>
        <v>7.4617644722797127</v>
      </c>
      <c r="E4241" s="1">
        <f>18.5640043648135*(10.3/7.3)</f>
        <v>26.193047254462879</v>
      </c>
      <c r="F4241" s="1">
        <f>42.728105004132*(38.9/42.5)</f>
        <v>39.108783168487832</v>
      </c>
      <c r="G4241" s="1">
        <v>1.8450867241462574</v>
      </c>
      <c r="H4241" s="1">
        <v>6.7793073715712922</v>
      </c>
      <c r="I4241" s="1">
        <v>32.387796981070721</v>
      </c>
      <c r="J4241" s="1">
        <v>3.8943784627449615E-2</v>
      </c>
      <c r="K4241" s="1">
        <v>2.1147982901745022</v>
      </c>
      <c r="L4241" s="1">
        <v>2.9074437032588132</v>
      </c>
      <c r="M4241" s="1">
        <v>0.13544455664774036</v>
      </c>
      <c r="N4241" s="1">
        <v>1.7513726068248101</v>
      </c>
      <c r="O4241" s="1">
        <v>0.1169664</v>
      </c>
      <c r="P4241" s="1">
        <v>9.2164381647385038E-2</v>
      </c>
      <c r="Q4241" s="1">
        <v>2.9487687372200484</v>
      </c>
      <c r="R4241" s="2">
        <f t="shared" si="267"/>
        <v>122.51930940782209</v>
      </c>
      <c r="S4241" s="2">
        <f t="shared" si="266"/>
        <v>2.2459064564493367</v>
      </c>
      <c r="T4241" s="2">
        <f t="shared" si="268"/>
        <v>4.9112272667313634</v>
      </c>
      <c r="U4241" s="2">
        <f t="shared" si="269"/>
        <v>129.6764431310028</v>
      </c>
    </row>
    <row r="4242" spans="1:21" x14ac:dyDescent="0.25">
      <c r="A4242">
        <v>5101957</v>
      </c>
      <c r="B4242">
        <v>17</v>
      </c>
      <c r="C4242" s="1">
        <f>10.0746741074204*(10.3/7.3)</f>
        <v>14.21495113786713</v>
      </c>
      <c r="D4242" s="1">
        <f>11.6372275348108*(10.3/7.3)</f>
        <v>16.419649809390627</v>
      </c>
      <c r="E4242" s="1">
        <f>41.104922138143*(10.3/7.3)</f>
        <v>57.99735589354421</v>
      </c>
      <c r="F4242" s="1">
        <f>92.1140712952512*(38.9/42.5)</f>
        <v>84.311467609065247</v>
      </c>
      <c r="G4242" s="1">
        <v>3.8003236970603487</v>
      </c>
      <c r="H4242" s="1">
        <v>8.6079542730310585</v>
      </c>
      <c r="I4242" s="1">
        <v>71.828627076200476</v>
      </c>
      <c r="J4242" s="1">
        <v>4.3279679922743328E-2</v>
      </c>
      <c r="K4242" s="1">
        <v>2.6007525292920137</v>
      </c>
      <c r="L4242" s="1">
        <v>3.2193038088490589</v>
      </c>
      <c r="M4242" s="1">
        <v>0.14062839609574626</v>
      </c>
      <c r="N4242" s="1">
        <v>2.5058590208466529</v>
      </c>
      <c r="O4242" s="1">
        <v>0.13024313725490194</v>
      </c>
      <c r="P4242" s="1">
        <v>9.8557724037344807E-2</v>
      </c>
      <c r="Q4242" s="1">
        <v>6.07357668479965</v>
      </c>
      <c r="R4242" s="2">
        <f t="shared" si="267"/>
        <v>263.25390618095878</v>
      </c>
      <c r="S4242" s="2">
        <f t="shared" si="266"/>
        <v>2.742589933252102</v>
      </c>
      <c r="T4242" s="2">
        <f t="shared" si="268"/>
        <v>5.9960343630463599</v>
      </c>
      <c r="U4242" s="2">
        <f t="shared" si="269"/>
        <v>271.99253047725722</v>
      </c>
    </row>
    <row r="4243" spans="1:21" x14ac:dyDescent="0.25">
      <c r="A4243">
        <v>5101965</v>
      </c>
      <c r="B4243">
        <v>32</v>
      </c>
      <c r="C4243" s="1">
        <f>7.91978364510252*(10.3/7.3)</f>
        <v>11.174489252678901</v>
      </c>
      <c r="D4243" s="1">
        <f>9.01135842916404*(10.3/7.3)</f>
        <v>12.714656413751998</v>
      </c>
      <c r="E4243" s="1">
        <f>31.8750652101608*(10.3/7.3)</f>
        <v>44.974407077350222</v>
      </c>
      <c r="F4243" s="1">
        <f>70.3287924448578*(38.9/42.5)</f>
        <v>64.37153002599922</v>
      </c>
      <c r="G4243" s="1">
        <v>2.8458977221497284</v>
      </c>
      <c r="H4243" s="1">
        <v>7.3272162872612263</v>
      </c>
      <c r="I4243" s="1">
        <v>54.978608905320272</v>
      </c>
      <c r="J4243" s="1">
        <v>3.5815026513036467E-2</v>
      </c>
      <c r="K4243" s="1">
        <v>2.2383316856883853</v>
      </c>
      <c r="L4243" s="1">
        <v>2.6404183858350883</v>
      </c>
      <c r="M4243" s="1">
        <v>0.12144265390253572</v>
      </c>
      <c r="N4243" s="1">
        <v>1.8427087811734506</v>
      </c>
      <c r="O4243" s="1">
        <v>0.11196166666666665</v>
      </c>
      <c r="P4243" s="1">
        <v>8.6274790990942818E-2</v>
      </c>
      <c r="Q4243" s="1">
        <v>4.5482383687324468</v>
      </c>
      <c r="R4243" s="2">
        <f t="shared" si="267"/>
        <v>202.93504405324401</v>
      </c>
      <c r="S4243" s="2">
        <f t="shared" si="266"/>
        <v>2.3604215031923648</v>
      </c>
      <c r="T4243" s="2">
        <f t="shared" si="268"/>
        <v>4.7165314875777415</v>
      </c>
      <c r="U4243" s="2">
        <f t="shared" si="269"/>
        <v>210.01199704401412</v>
      </c>
    </row>
    <row r="4244" spans="1:21" x14ac:dyDescent="0.25">
      <c r="A4244">
        <v>5101973</v>
      </c>
      <c r="B4244">
        <v>2</v>
      </c>
      <c r="C4244" s="1">
        <f>11.5305478057881*(10.3/7.3)</f>
        <v>16.269129095838025</v>
      </c>
      <c r="D4244" s="1">
        <f>15.1938154350027*(10.3/7.3)</f>
        <v>21.43784917541473</v>
      </c>
      <c r="E4244" s="1">
        <f>53.5295372836921*(10.3/7.3)</f>
        <v>75.527977263291632</v>
      </c>
      <c r="F4244" s="1">
        <f>110.61796857415*(38.9/42.5)</f>
        <v>101.24797594198704</v>
      </c>
      <c r="G4244" s="1">
        <v>4.2821410970131613</v>
      </c>
      <c r="H4244" s="1">
        <v>8.649646458129066</v>
      </c>
      <c r="I4244" s="1">
        <v>81.501169192681658</v>
      </c>
      <c r="J4244" s="1">
        <v>4.7939716049053144E-2</v>
      </c>
      <c r="K4244" s="1">
        <v>2.781774460355452</v>
      </c>
      <c r="L4244" s="1">
        <v>3.4623923432113703</v>
      </c>
      <c r="M4244" s="1">
        <v>0.14695757363956879</v>
      </c>
      <c r="N4244" s="1">
        <v>2.2473978176981015</v>
      </c>
      <c r="O4244" s="1">
        <v>0.13757333333333333</v>
      </c>
      <c r="P4244" s="1">
        <v>0.10328107371483275</v>
      </c>
      <c r="Q4244" s="1">
        <v>6.843604492943415</v>
      </c>
      <c r="R4244" s="2">
        <f t="shared" si="267"/>
        <v>315.75949271729871</v>
      </c>
      <c r="S4244" s="2">
        <f t="shared" si="266"/>
        <v>2.9329952501193381</v>
      </c>
      <c r="T4244" s="2">
        <f t="shared" si="268"/>
        <v>5.9943210678823737</v>
      </c>
      <c r="U4244" s="2">
        <f t="shared" si="269"/>
        <v>324.68680903530043</v>
      </c>
    </row>
    <row r="4245" spans="1:21" x14ac:dyDescent="0.25">
      <c r="A4245">
        <v>5102157</v>
      </c>
      <c r="B4245">
        <v>6</v>
      </c>
      <c r="C4245" s="1">
        <f>2.91204416317969*(10.3/7.3)</f>
        <v>4.1087746411987478</v>
      </c>
      <c r="D4245" s="1">
        <f>4.18366963248434*(10.3/7.3)</f>
        <v>5.9029859198066692</v>
      </c>
      <c r="E4245" s="1">
        <f>14.3532962204763*(10.3/7.3)</f>
        <v>20.251911105603579</v>
      </c>
      <c r="F4245" s="1">
        <f>46.535353566176*(38.9/42.5)</f>
        <v>42.593535381746932</v>
      </c>
      <c r="G4245" s="1">
        <v>2.5852716044232555</v>
      </c>
      <c r="H4245" s="1">
        <v>5.7406779793951728</v>
      </c>
      <c r="I4245" s="1">
        <v>36.373211091607907</v>
      </c>
      <c r="J4245" s="1">
        <v>3.6849395828936732E-2</v>
      </c>
      <c r="K4245" s="1">
        <v>1.7503765900395341</v>
      </c>
      <c r="L4245" s="1">
        <v>1.5960558837217544</v>
      </c>
      <c r="M4245" s="1">
        <v>7.6395715205024403E-2</v>
      </c>
      <c r="N4245" s="1">
        <v>1.1320558258894833</v>
      </c>
      <c r="O4245" s="1">
        <v>7.4933333333333338E-2</v>
      </c>
      <c r="P4245" s="1">
        <v>6.07558057277948E-2</v>
      </c>
      <c r="Q4245" s="1">
        <v>4.1317126098088588</v>
      </c>
      <c r="R4245" s="2">
        <f t="shared" si="267"/>
        <v>121.68808033359113</v>
      </c>
      <c r="S4245" s="2">
        <f t="shared" si="266"/>
        <v>1.8479817915962655</v>
      </c>
      <c r="T4245" s="2">
        <f t="shared" si="268"/>
        <v>2.8794407581495958</v>
      </c>
      <c r="U4245" s="2">
        <f t="shared" si="269"/>
        <v>126.415502883337</v>
      </c>
    </row>
    <row r="4246" spans="1:21" x14ac:dyDescent="0.25">
      <c r="A4246">
        <v>5113449</v>
      </c>
      <c r="B4246">
        <v>58</v>
      </c>
      <c r="C4246" s="1">
        <f>0.767975274440181*(10.3/7.3)</f>
        <v>1.0835815516073788</v>
      </c>
      <c r="D4246" s="1">
        <f>1.10513366232265*(10.3/7.3)</f>
        <v>1.5592981810853845</v>
      </c>
      <c r="E4246" s="1">
        <f>3.82998784772289*(10.3/7.3)</f>
        <v>5.4039554563761287</v>
      </c>
      <c r="F4246" s="1">
        <f>10.4134620843466*(38.9/42.5)</f>
        <v>9.5313805901431312</v>
      </c>
      <c r="G4246" s="1">
        <v>0.52150336111236906</v>
      </c>
      <c r="H4246" s="1">
        <v>2.44619646652311</v>
      </c>
      <c r="I4246" s="1">
        <v>7.9093911503773731</v>
      </c>
      <c r="J4246" s="1">
        <v>4.4845981557928141E-2</v>
      </c>
      <c r="K4246" s="1">
        <v>3.1217827767088848</v>
      </c>
      <c r="L4246" s="1">
        <v>2.3693179954509116</v>
      </c>
      <c r="M4246" s="1">
        <v>0.81541998500355539</v>
      </c>
      <c r="N4246" s="1">
        <v>1.4586514592740947</v>
      </c>
      <c r="O4246" s="1">
        <v>0.4302022988505747</v>
      </c>
      <c r="P4246" s="1">
        <v>0.21045700317100713</v>
      </c>
      <c r="Q4246" s="1">
        <v>0.833452860225248</v>
      </c>
      <c r="R4246" s="2">
        <f t="shared" si="267"/>
        <v>29.288759617450122</v>
      </c>
      <c r="S4246" s="2">
        <f t="shared" si="266"/>
        <v>3.3770857614378205</v>
      </c>
      <c r="T4246" s="2">
        <f t="shared" si="268"/>
        <v>5.0735917385791369</v>
      </c>
      <c r="U4246" s="2">
        <f t="shared" si="269"/>
        <v>37.739437117467084</v>
      </c>
    </row>
    <row r="4247" spans="1:21" x14ac:dyDescent="0.25">
      <c r="A4247">
        <v>5113457</v>
      </c>
      <c r="B4247">
        <v>4</v>
      </c>
      <c r="C4247" s="1">
        <f>1.08395115210544*(10.3/7.3)</f>
        <v>1.5294105296830114</v>
      </c>
      <c r="D4247" s="1">
        <f>1.60163429359245*(10.3/7.3)</f>
        <v>2.2598401676715429</v>
      </c>
      <c r="E4247" s="1">
        <f>5.52733064083369*(10.3/7.3)</f>
        <v>7.7988363836420591</v>
      </c>
      <c r="F4247" s="1">
        <f>15.9311962297913*(38.9/42.5)</f>
        <v>14.581730196208943</v>
      </c>
      <c r="G4247" s="1">
        <v>0.83062378608186893</v>
      </c>
      <c r="H4247" s="1">
        <v>4.2559619659998154</v>
      </c>
      <c r="I4247" s="1">
        <v>12.156438821386715</v>
      </c>
      <c r="J4247" s="1">
        <v>6.8983885082977633E-2</v>
      </c>
      <c r="K4247" s="1">
        <v>3.8806487316383187</v>
      </c>
      <c r="L4247" s="1">
        <v>3.3847783988482116</v>
      </c>
      <c r="M4247" s="1">
        <v>1.12204835762082</v>
      </c>
      <c r="N4247" s="1">
        <v>2.0753922458343301</v>
      </c>
      <c r="O4247" s="1">
        <v>0.56702666666666657</v>
      </c>
      <c r="P4247" s="1">
        <v>0.24109026769342856</v>
      </c>
      <c r="Q4247" s="1">
        <v>1.3274809366605225</v>
      </c>
      <c r="R4247" s="2">
        <f t="shared" si="267"/>
        <v>44.740322787334478</v>
      </c>
      <c r="S4247" s="2">
        <f t="shared" si="266"/>
        <v>4.1907228844147255</v>
      </c>
      <c r="T4247" s="2">
        <f t="shared" si="268"/>
        <v>7.1492456689700283</v>
      </c>
      <c r="U4247" s="2">
        <f t="shared" si="269"/>
        <v>56.080291340719228</v>
      </c>
    </row>
    <row r="4248" spans="1:21" x14ac:dyDescent="0.25">
      <c r="A4248">
        <v>5113673</v>
      </c>
      <c r="B4248">
        <v>37</v>
      </c>
      <c r="C4248" s="1">
        <f>1.67756203151194*(10.3/7.3)</f>
        <v>2.3669710855579496</v>
      </c>
      <c r="D4248" s="1">
        <f>3.00738033859299*(10.3/7.3)</f>
        <v>4.2432900667818902</v>
      </c>
      <c r="E4248" s="1">
        <f>10.2779719266738*(10.3/7.3)</f>
        <v>14.501796006128849</v>
      </c>
      <c r="F4248" s="1">
        <f>31.1932366131816*(38.9/42.5)</f>
        <v>28.550985982417977</v>
      </c>
      <c r="G4248" s="1">
        <v>1.7026257211836824</v>
      </c>
      <c r="H4248" s="1">
        <v>8.7550491297416393</v>
      </c>
      <c r="I4248" s="1">
        <v>23.19352870298734</v>
      </c>
      <c r="J4248" s="1">
        <v>4.9390891734021822E-2</v>
      </c>
      <c r="K4248" s="1">
        <v>3.1303692075938399</v>
      </c>
      <c r="L4248" s="1">
        <v>4.8214909933949519</v>
      </c>
      <c r="M4248" s="1">
        <v>0.86584379800166311</v>
      </c>
      <c r="N4248" s="1">
        <v>2.1962488266614804</v>
      </c>
      <c r="O4248" s="1">
        <v>0.28792792792792793</v>
      </c>
      <c r="P4248" s="1">
        <v>0.16990686264217544</v>
      </c>
      <c r="Q4248" s="1">
        <v>2.721091335225065</v>
      </c>
      <c r="R4248" s="2">
        <f t="shared" si="267"/>
        <v>86.035338030024391</v>
      </c>
      <c r="S4248" s="2">
        <f t="shared" si="266"/>
        <v>3.3496669619700374</v>
      </c>
      <c r="T4248" s="2">
        <f t="shared" si="268"/>
        <v>8.1715115459860233</v>
      </c>
      <c r="U4248" s="2">
        <f t="shared" si="269"/>
        <v>97.556516537980457</v>
      </c>
    </row>
    <row r="4249" spans="1:21" x14ac:dyDescent="0.25">
      <c r="A4249">
        <v>5113681</v>
      </c>
      <c r="B4249">
        <v>63</v>
      </c>
      <c r="C4249" s="1">
        <f>1.34718094277665*(10.3/7.3)</f>
        <v>1.900816946657466</v>
      </c>
      <c r="D4249" s="1">
        <f>2.30340283886027*(10.3/7.3)</f>
        <v>3.2500067452412029</v>
      </c>
      <c r="E4249" s="1">
        <f>7.89899835046645*(10.3/7.3)</f>
        <v>11.145162056137588</v>
      </c>
      <c r="F4249" s="1">
        <f>23.213182397851*(38.9/42.5)</f>
        <v>21.24688930062123</v>
      </c>
      <c r="G4249" s="1">
        <v>1.2400212583846135</v>
      </c>
      <c r="H4249" s="1">
        <v>6.1402492572945064</v>
      </c>
      <c r="I4249" s="1">
        <v>17.289250542670597</v>
      </c>
      <c r="J4249" s="1">
        <v>4.3779221088880223E-2</v>
      </c>
      <c r="K4249" s="1">
        <v>2.8077600654730426</v>
      </c>
      <c r="L4249" s="1">
        <v>3.9299669000695623</v>
      </c>
      <c r="M4249" s="1">
        <v>0.71413414170450851</v>
      </c>
      <c r="N4249" s="1">
        <v>1.9483375014015789</v>
      </c>
      <c r="O4249" s="1">
        <v>0.25728000000000006</v>
      </c>
      <c r="P4249" s="1">
        <v>0.15533036074022391</v>
      </c>
      <c r="Q4249" s="1">
        <v>1.9817691344046355</v>
      </c>
      <c r="R4249" s="2">
        <f t="shared" si="267"/>
        <v>64.194165241411838</v>
      </c>
      <c r="S4249" s="2">
        <f t="shared" si="266"/>
        <v>3.006869647302147</v>
      </c>
      <c r="T4249" s="2">
        <f t="shared" si="268"/>
        <v>6.8497185431756495</v>
      </c>
      <c r="U4249" s="2">
        <f t="shared" si="269"/>
        <v>74.050753431889646</v>
      </c>
    </row>
    <row r="4250" spans="1:21" x14ac:dyDescent="0.25">
      <c r="A4250">
        <v>5113689</v>
      </c>
      <c r="B4250">
        <v>8</v>
      </c>
      <c r="C4250" s="1">
        <f>1.62204338304221*(10.3/7.3)</f>
        <v>2.2886365541554521</v>
      </c>
      <c r="D4250" s="1">
        <f>2.77094471973803*(10.3/7.3)</f>
        <v>3.9096891251098262</v>
      </c>
      <c r="E4250" s="1">
        <f>9.50002670931766*(10.3/7.3)</f>
        <v>13.404147274790668</v>
      </c>
      <c r="F4250" s="1">
        <f>28.050704726011*(38.9/42.5)</f>
        <v>25.674645031572425</v>
      </c>
      <c r="G4250" s="1">
        <v>1.5023974119500572</v>
      </c>
      <c r="H4250" s="1">
        <v>8.023596804290694</v>
      </c>
      <c r="I4250" s="1">
        <v>20.915200651124721</v>
      </c>
      <c r="J4250" s="1">
        <v>5.2583902561328645E-2</v>
      </c>
      <c r="K4250" s="1">
        <v>3.1728717292577402</v>
      </c>
      <c r="L4250" s="1">
        <v>4.3298850901159209</v>
      </c>
      <c r="M4250" s="1">
        <v>0.76282176815051495</v>
      </c>
      <c r="N4250" s="1">
        <v>2.422011415280882</v>
      </c>
      <c r="O4250" s="1">
        <v>0.28538000000000002</v>
      </c>
      <c r="P4250" s="1">
        <v>0.17330628193796643</v>
      </c>
      <c r="Q4250" s="1">
        <v>2.4010917542580854</v>
      </c>
      <c r="R4250" s="2">
        <f t="shared" si="267"/>
        <v>78.119404607251937</v>
      </c>
      <c r="S4250" s="2">
        <f t="shared" si="266"/>
        <v>3.3987619137570353</v>
      </c>
      <c r="T4250" s="2">
        <f t="shared" si="268"/>
        <v>7.8000982735473174</v>
      </c>
      <c r="U4250" s="2">
        <f t="shared" si="269"/>
        <v>89.318264794556299</v>
      </c>
    </row>
    <row r="4251" spans="1:21" x14ac:dyDescent="0.25">
      <c r="A4251">
        <v>5113697</v>
      </c>
      <c r="B4251">
        <v>5</v>
      </c>
      <c r="C4251" s="1">
        <f>1.38318778652646*(10.3/7.3)</f>
        <v>1.9516211234551397</v>
      </c>
      <c r="D4251" s="1">
        <f>2.43526964563366*(10.3/7.3)</f>
        <v>3.4360653904146141</v>
      </c>
      <c r="E4251" s="1">
        <f>8.30899002115065*(10.3/7.3)</f>
        <v>11.723643454500239</v>
      </c>
      <c r="F4251" s="1">
        <f>26.1746207708091*(38.9/42.5)</f>
        <v>23.957476423164124</v>
      </c>
      <c r="G4251" s="1">
        <v>1.4551339904207592</v>
      </c>
      <c r="H4251" s="1">
        <v>9.0379568000940047</v>
      </c>
      <c r="I4251" s="1">
        <v>19.662034863301152</v>
      </c>
      <c r="J4251" s="1">
        <v>6.0027754912616825E-2</v>
      </c>
      <c r="K4251" s="1">
        <v>3.0143529370491722</v>
      </c>
      <c r="L4251" s="1">
        <v>3.8452700188423834</v>
      </c>
      <c r="M4251" s="1">
        <v>0.6511192266664324</v>
      </c>
      <c r="N4251" s="1">
        <v>2.1757864519332544</v>
      </c>
      <c r="O4251" s="1">
        <v>0.26599466666666666</v>
      </c>
      <c r="P4251" s="1">
        <v>0.16461432444253168</v>
      </c>
      <c r="Q4251" s="1">
        <v>2.3255566056952794</v>
      </c>
      <c r="R4251" s="2">
        <f t="shared" si="267"/>
        <v>73.549488651045323</v>
      </c>
      <c r="S4251" s="2">
        <f t="shared" si="266"/>
        <v>3.2389950164043206</v>
      </c>
      <c r="T4251" s="2">
        <f t="shared" si="268"/>
        <v>6.9381703641087364</v>
      </c>
      <c r="U4251" s="2">
        <f t="shared" si="269"/>
        <v>83.726654031558382</v>
      </c>
    </row>
    <row r="4252" spans="1:21" x14ac:dyDescent="0.25">
      <c r="A4252">
        <v>5113873</v>
      </c>
      <c r="B4252">
        <v>44</v>
      </c>
      <c r="C4252" s="1">
        <f>7.3232285133935*(10.3/7.3)</f>
        <v>10.332774477801788</v>
      </c>
      <c r="D4252" s="1">
        <f>13.579063207117*(10.3/7.3)</f>
        <v>19.159500141548705</v>
      </c>
      <c r="E4252" s="1">
        <f>47.2496574008641*(10.3/7.3)</f>
        <v>66.66732482587679</v>
      </c>
      <c r="F4252" s="1">
        <f>97.4979118559978*(38.9/42.5)</f>
        <v>89.239265204666239</v>
      </c>
      <c r="G4252" s="1">
        <v>3.9848365694694583</v>
      </c>
      <c r="H4252" s="1">
        <v>8.0439421774689048</v>
      </c>
      <c r="I4252" s="1">
        <v>65.047067316827579</v>
      </c>
      <c r="J4252" s="1">
        <v>6.8298800549084937E-2</v>
      </c>
      <c r="K4252" s="1">
        <v>3.5673925651818803</v>
      </c>
      <c r="L4252" s="1">
        <v>4.7627156451492887</v>
      </c>
      <c r="M4252" s="1">
        <v>0.35552914747055958</v>
      </c>
      <c r="N4252" s="1">
        <v>2.8826769357016797</v>
      </c>
      <c r="O4252" s="1">
        <v>0.27190060606060606</v>
      </c>
      <c r="P4252" s="1">
        <v>0.174169190002992</v>
      </c>
      <c r="Q4252" s="1">
        <v>6.3684602708416067</v>
      </c>
      <c r="R4252" s="2">
        <f t="shared" si="267"/>
        <v>268.84317098450106</v>
      </c>
      <c r="S4252" s="2">
        <f t="shared" si="266"/>
        <v>3.8098605557339571</v>
      </c>
      <c r="T4252" s="2">
        <f t="shared" si="268"/>
        <v>8.2728223343821359</v>
      </c>
      <c r="U4252" s="2">
        <f t="shared" si="269"/>
        <v>280.92585387461713</v>
      </c>
    </row>
    <row r="4253" spans="1:21" x14ac:dyDescent="0.25">
      <c r="A4253">
        <v>5113881</v>
      </c>
      <c r="B4253">
        <v>55</v>
      </c>
      <c r="C4253" s="1">
        <f>8.47507031437899*(10.3/7.3)</f>
        <v>11.95797592302789</v>
      </c>
      <c r="D4253" s="1">
        <f>15.1094630853057*(10.3/7.3)</f>
        <v>21.318831476527258</v>
      </c>
      <c r="E4253" s="1">
        <f>52.692170195236*(10.3/7.3)</f>
        <v>74.346486713826167</v>
      </c>
      <c r="F4253" s="1">
        <f>106.08408317704*(38.9/42.5)</f>
        <v>97.098137307926208</v>
      </c>
      <c r="G4253" s="1">
        <v>4.1973390772472525</v>
      </c>
      <c r="H4253" s="1">
        <v>7.5245969442353626</v>
      </c>
      <c r="I4253" s="1">
        <v>70.928368653810239</v>
      </c>
      <c r="J4253" s="1">
        <v>7.4433508817532412E-2</v>
      </c>
      <c r="K4253" s="1">
        <v>3.9223725714378661</v>
      </c>
      <c r="L4253" s="1">
        <v>5.5285180147180162</v>
      </c>
      <c r="M4253" s="1">
        <v>0.39594295674242608</v>
      </c>
      <c r="N4253" s="1">
        <v>3.0328785994034888</v>
      </c>
      <c r="O4253" s="1">
        <v>0.29783272727272719</v>
      </c>
      <c r="P4253" s="1">
        <v>0.18849174515675235</v>
      </c>
      <c r="Q4253" s="1">
        <v>6.7080761508517757</v>
      </c>
      <c r="R4253" s="2">
        <f t="shared" si="267"/>
        <v>294.07981224745214</v>
      </c>
      <c r="S4253" s="2">
        <f t="shared" si="266"/>
        <v>4.1852978254121513</v>
      </c>
      <c r="T4253" s="2">
        <f t="shared" si="268"/>
        <v>9.2551722981366584</v>
      </c>
      <c r="U4253" s="2">
        <f t="shared" si="269"/>
        <v>307.52028237100092</v>
      </c>
    </row>
    <row r="4254" spans="1:21" x14ac:dyDescent="0.25">
      <c r="A4254">
        <v>5113889</v>
      </c>
      <c r="B4254">
        <v>55</v>
      </c>
      <c r="C4254" s="1">
        <f>8.55581492611366*(10.3/7.3)</f>
        <v>12.071903251913795</v>
      </c>
      <c r="D4254" s="1">
        <f>15.1013371774901*(10.3/7.3)</f>
        <v>21.30736615454089</v>
      </c>
      <c r="E4254" s="1">
        <f>52.6795002395876*(10.3/7.3)</f>
        <v>74.328609927089332</v>
      </c>
      <c r="F4254" s="1">
        <f>106.125983179296*(38.9/42.5)</f>
        <v>97.13648813352043</v>
      </c>
      <c r="G4254" s="1">
        <v>4.1957198990460611</v>
      </c>
      <c r="H4254" s="1">
        <v>7.2853078722286568</v>
      </c>
      <c r="I4254" s="1">
        <v>71.167235624707857</v>
      </c>
      <c r="J4254" s="1">
        <v>7.108708688711235E-2</v>
      </c>
      <c r="K4254" s="1">
        <v>3.9702257582394345</v>
      </c>
      <c r="L4254" s="1">
        <v>5.6774944649117911</v>
      </c>
      <c r="M4254" s="1">
        <v>0.39560457615574318</v>
      </c>
      <c r="N4254" s="1">
        <v>3.0156224072852607</v>
      </c>
      <c r="O4254" s="1">
        <v>0.29986036363636365</v>
      </c>
      <c r="P4254" s="1">
        <v>0.1905952808422566</v>
      </c>
      <c r="Q4254" s="1">
        <v>6.7054884231329819</v>
      </c>
      <c r="R4254" s="2">
        <f t="shared" si="267"/>
        <v>294.19811928617997</v>
      </c>
      <c r="S4254" s="2">
        <f t="shared" si="266"/>
        <v>4.2319081259688032</v>
      </c>
      <c r="T4254" s="2">
        <f t="shared" si="268"/>
        <v>9.3885818119891589</v>
      </c>
      <c r="U4254" s="2">
        <f t="shared" si="269"/>
        <v>307.81860922413796</v>
      </c>
    </row>
    <row r="4255" spans="1:21" x14ac:dyDescent="0.25">
      <c r="A4255">
        <v>5113897</v>
      </c>
      <c r="B4255">
        <v>57</v>
      </c>
      <c r="C4255" s="1">
        <f>6.63830858059182*(10.3/7.3)</f>
        <v>9.3663806000131213</v>
      </c>
      <c r="D4255" s="1">
        <f>11.8192637209212*(10.3/7.3)</f>
        <v>16.67649538705323</v>
      </c>
      <c r="E4255" s="1">
        <f>41.1963192612105*(10.3/7.3)</f>
        <v>58.126313478146379</v>
      </c>
      <c r="F4255" s="1">
        <f>84.1250142734056*(38.9/42.5)</f>
        <v>76.999130711422978</v>
      </c>
      <c r="G4255" s="1">
        <v>3.3806565318421513</v>
      </c>
      <c r="H4255" s="1">
        <v>6.181130765142453</v>
      </c>
      <c r="I4255" s="1">
        <v>56.532761783805732</v>
      </c>
      <c r="J4255" s="1">
        <v>5.6969551413098549E-2</v>
      </c>
      <c r="K4255" s="1">
        <v>3.4240238773259932</v>
      </c>
      <c r="L4255" s="1">
        <v>4.6597634332031816</v>
      </c>
      <c r="M4255" s="1">
        <v>0.32807619950804695</v>
      </c>
      <c r="N4255" s="1">
        <v>2.5497745286106821</v>
      </c>
      <c r="O4255" s="1">
        <v>0.25368982456140349</v>
      </c>
      <c r="P4255" s="1">
        <v>0.16801638978983571</v>
      </c>
      <c r="Q4255" s="1">
        <v>5.4028757358207971</v>
      </c>
      <c r="R4255" s="2">
        <f t="shared" si="267"/>
        <v>232.66574499324685</v>
      </c>
      <c r="S4255" s="2">
        <f t="shared" si="266"/>
        <v>3.6490098185289273</v>
      </c>
      <c r="T4255" s="2">
        <f t="shared" si="268"/>
        <v>7.7913039858833137</v>
      </c>
      <c r="U4255" s="2">
        <f t="shared" si="269"/>
        <v>244.10605879765907</v>
      </c>
    </row>
    <row r="4256" spans="1:21" x14ac:dyDescent="0.25">
      <c r="A4256">
        <v>5113905</v>
      </c>
      <c r="B4256">
        <v>36</v>
      </c>
      <c r="C4256" s="1">
        <f>5.83873661391923*(10.3/7.3)</f>
        <v>8.2382174141600064</v>
      </c>
      <c r="D4256" s="1">
        <f>11.4752693993374*(10.3/7.3)</f>
        <v>16.191133536051389</v>
      </c>
      <c r="E4256" s="1">
        <f>39.7526160249053*(10.3/7.3)</f>
        <v>56.089307541989655</v>
      </c>
      <c r="F4256" s="1">
        <f>87.4358996863181*(38.9/42.5)</f>
        <v>80.029564654065268</v>
      </c>
      <c r="G4256" s="1">
        <v>3.8332607895010153</v>
      </c>
      <c r="H4256" s="1">
        <v>6.4420737984432437</v>
      </c>
      <c r="I4256" s="1">
        <v>58.751375147465218</v>
      </c>
      <c r="J4256" s="1">
        <v>5.1810696543346642E-2</v>
      </c>
      <c r="K4256" s="1">
        <v>3.1842046182939736</v>
      </c>
      <c r="L4256" s="1">
        <v>4.2394496979895058</v>
      </c>
      <c r="M4256" s="1">
        <v>0.29325223729306132</v>
      </c>
      <c r="N4256" s="1">
        <v>2.4139957919588158</v>
      </c>
      <c r="O4256" s="1">
        <v>0.23339555555555547</v>
      </c>
      <c r="P4256" s="1">
        <v>0.1564123931994309</v>
      </c>
      <c r="Q4256" s="1">
        <v>6.1262158736317636</v>
      </c>
      <c r="R4256" s="2">
        <f t="shared" si="267"/>
        <v>235.70114875530754</v>
      </c>
      <c r="S4256" s="2">
        <f t="shared" si="266"/>
        <v>3.3924277080367511</v>
      </c>
      <c r="T4256" s="2">
        <f t="shared" si="268"/>
        <v>7.1800932827969381</v>
      </c>
      <c r="U4256" s="2">
        <f t="shared" si="269"/>
        <v>246.27366974614125</v>
      </c>
    </row>
    <row r="4257" spans="1:21" x14ac:dyDescent="0.25">
      <c r="A4257">
        <v>5113913</v>
      </c>
      <c r="B4257">
        <v>11</v>
      </c>
      <c r="C4257" s="1">
        <f>3.77062853462508*(10.3/7.3)</f>
        <v>5.3202019050189486</v>
      </c>
      <c r="D4257" s="1">
        <f>40.8562808674005*(10.3/7.3)</f>
        <v>57.646533278660961</v>
      </c>
      <c r="E4257" s="1">
        <f>140.930594891678*(10.3/7.3)</f>
        <v>198.84727772387461</v>
      </c>
      <c r="F4257" s="1">
        <f>169.316675411032*(38.9/42.5)</f>
        <v>154.97455702327409</v>
      </c>
      <c r="G4257" s="1">
        <v>3.0121591584898622</v>
      </c>
      <c r="H4257" s="1">
        <v>6.5092979312084447</v>
      </c>
      <c r="I4257" s="1">
        <v>43.576263779348025</v>
      </c>
      <c r="J4257" s="1">
        <v>3.9372301917433142E-2</v>
      </c>
      <c r="K4257" s="1">
        <v>2.5818901750236991</v>
      </c>
      <c r="L4257" s="1">
        <v>3.1256725943916162</v>
      </c>
      <c r="M4257" s="1">
        <v>0.22211552299824522</v>
      </c>
      <c r="N4257" s="1">
        <v>2.2615007176248407</v>
      </c>
      <c r="O4257" s="1">
        <v>0.1794521212121212</v>
      </c>
      <c r="P4257" s="1">
        <v>0.13025346328225484</v>
      </c>
      <c r="Q4257" s="1">
        <v>4.8139529930203322</v>
      </c>
      <c r="R4257" s="2">
        <f t="shared" si="267"/>
        <v>474.70024379289526</v>
      </c>
      <c r="S4257" s="2">
        <f t="shared" si="266"/>
        <v>2.7515159402233871</v>
      </c>
      <c r="T4257" s="2">
        <f t="shared" si="268"/>
        <v>5.7887409562268237</v>
      </c>
      <c r="U4257" s="2">
        <f t="shared" si="269"/>
        <v>483.24050068934548</v>
      </c>
    </row>
    <row r="4258" spans="1:21" x14ac:dyDescent="0.25">
      <c r="A4258">
        <v>5113921</v>
      </c>
      <c r="B4258">
        <v>61</v>
      </c>
      <c r="C4258" s="1">
        <f>6.01394510716566*(10.3/7.3)</f>
        <v>8.4854293977816866</v>
      </c>
      <c r="D4258" s="1">
        <f>12.4190772271913*(10.3/7.3)</f>
        <v>17.5228075945302</v>
      </c>
      <c r="E4258" s="1">
        <f>42.9872273226957*(10.3/7.3)</f>
        <v>60.653211153940546</v>
      </c>
      <c r="F4258" s="1">
        <f>93.2508442572403*(38.9/42.5)</f>
        <v>85.351949214274086</v>
      </c>
      <c r="G4258" s="1">
        <v>4.0583519929334972</v>
      </c>
      <c r="H4258" s="1">
        <v>8.7128082883851476</v>
      </c>
      <c r="I4258" s="1">
        <v>61.670043907938513</v>
      </c>
      <c r="J4258" s="1">
        <v>5.2952817825695983E-2</v>
      </c>
      <c r="K4258" s="1">
        <v>3.2749415889391496</v>
      </c>
      <c r="L4258" s="1">
        <v>4.4090820776683914</v>
      </c>
      <c r="M4258" s="1">
        <v>0.29359184112717496</v>
      </c>
      <c r="N4258" s="1">
        <v>2.4710125495178907</v>
      </c>
      <c r="O4258" s="1">
        <v>0.23560918032786882</v>
      </c>
      <c r="P4258" s="1">
        <v>0.15829414924068305</v>
      </c>
      <c r="Q4258" s="1">
        <v>6.4859506736380164</v>
      </c>
      <c r="R4258" s="2">
        <f t="shared" si="267"/>
        <v>252.94055222342175</v>
      </c>
      <c r="S4258" s="2">
        <f t="shared" si="266"/>
        <v>3.4861885560055286</v>
      </c>
      <c r="T4258" s="2">
        <f t="shared" si="268"/>
        <v>7.4092956486413257</v>
      </c>
      <c r="U4258" s="2">
        <f t="shared" si="269"/>
        <v>263.83603642806861</v>
      </c>
    </row>
    <row r="4259" spans="1:21" x14ac:dyDescent="0.25">
      <c r="A4259">
        <v>5113929</v>
      </c>
      <c r="B4259">
        <v>22</v>
      </c>
      <c r="C4259" s="1">
        <f>4.34992586338879*(10.3/7.3)</f>
        <v>6.1375666291650077</v>
      </c>
      <c r="D4259" s="1">
        <f>10.1160911740159*(10.3/7.3)</f>
        <v>14.273388916762192</v>
      </c>
      <c r="E4259" s="1">
        <f>34.0579054287479*(10.3/7.3)</f>
        <v>48.054304920014168</v>
      </c>
      <c r="F4259" s="1">
        <f>116.862353486469*(38.9/42.5)</f>
        <v>106.96342472055609</v>
      </c>
      <c r="G4259" s="1">
        <v>6.8724848259220694</v>
      </c>
      <c r="H4259" s="1">
        <v>11.579532881518981</v>
      </c>
      <c r="I4259" s="1">
        <v>85.945395217350168</v>
      </c>
      <c r="J4259" s="1">
        <v>4.3604319046564304E-2</v>
      </c>
      <c r="K4259" s="1">
        <v>2.7250159246784738</v>
      </c>
      <c r="L4259" s="1">
        <v>3.3916049197331506</v>
      </c>
      <c r="M4259" s="1">
        <v>0.23023986865621948</v>
      </c>
      <c r="N4259" s="1">
        <v>1.9763233126748361</v>
      </c>
      <c r="O4259" s="1">
        <v>0.19037818181818178</v>
      </c>
      <c r="P4259" s="1">
        <v>0.13413306821017879</v>
      </c>
      <c r="Q4259" s="1">
        <v>10.983423237775011</v>
      </c>
      <c r="R4259" s="2">
        <f t="shared" si="267"/>
        <v>290.80952134906369</v>
      </c>
      <c r="S4259" s="2">
        <f t="shared" si="266"/>
        <v>2.9027533119352169</v>
      </c>
      <c r="T4259" s="2">
        <f t="shared" si="268"/>
        <v>5.7885462828823879</v>
      </c>
      <c r="U4259" s="2">
        <f t="shared" si="269"/>
        <v>299.50082094388131</v>
      </c>
    </row>
    <row r="4260" spans="1:21" x14ac:dyDescent="0.25">
      <c r="A4260">
        <v>5113937</v>
      </c>
      <c r="B4260">
        <v>66</v>
      </c>
      <c r="C4260" s="1">
        <f>5.08636137936919*(10.3/7.3)</f>
        <v>7.1766468777400876</v>
      </c>
      <c r="D4260" s="1">
        <f>9.61514219086381*(10.3/7.3)</f>
        <v>13.566570488479071</v>
      </c>
      <c r="E4260" s="1">
        <f>33.0226507944626*(10.3/7.3)</f>
        <v>46.59360317574864</v>
      </c>
      <c r="F4260" s="1">
        <f>89.0842885764802*(38.9/42.5)</f>
        <v>81.538325308825421</v>
      </c>
      <c r="G4260" s="1">
        <v>4.5540199748915997</v>
      </c>
      <c r="H4260" s="1">
        <v>5.6965009089294112</v>
      </c>
      <c r="I4260" s="1">
        <v>63.935175072301426</v>
      </c>
      <c r="J4260" s="1">
        <v>4.9058764603570462E-2</v>
      </c>
      <c r="K4260" s="1">
        <v>3.0162151941650182</v>
      </c>
      <c r="L4260" s="1">
        <v>4.0404257007584583</v>
      </c>
      <c r="M4260" s="1">
        <v>0.25690398612950094</v>
      </c>
      <c r="N4260" s="1">
        <v>2.4968868563355993</v>
      </c>
      <c r="O4260" s="1">
        <v>0.20889777777777771</v>
      </c>
      <c r="P4260" s="1">
        <v>0.14462965395813188</v>
      </c>
      <c r="Q4260" s="1">
        <v>7.2781141151235698</v>
      </c>
      <c r="R4260" s="2">
        <f t="shared" si="267"/>
        <v>230.33895592203922</v>
      </c>
      <c r="S4260" s="2">
        <f t="shared" si="266"/>
        <v>3.2099036127267202</v>
      </c>
      <c r="T4260" s="2">
        <f t="shared" si="268"/>
        <v>7.0031143210013367</v>
      </c>
      <c r="U4260" s="2">
        <f t="shared" si="269"/>
        <v>240.55197385576727</v>
      </c>
    </row>
    <row r="4261" spans="1:21" x14ac:dyDescent="0.25">
      <c r="A4261">
        <v>5113945</v>
      </c>
      <c r="B4261">
        <v>66</v>
      </c>
      <c r="C4261" s="1">
        <f>6.96606335304098*(10.3/7.3)</f>
        <v>9.828829114564666</v>
      </c>
      <c r="D4261" s="1">
        <f>11.921108927189*(10.3/7.3)</f>
        <v>16.820194787677664</v>
      </c>
      <c r="E4261" s="1">
        <f>41.3839129568326*(10.3/7.3)</f>
        <v>58.391000473339126</v>
      </c>
      <c r="F4261" s="1">
        <f>95.6863135416715*(38.9/42.5)</f>
        <v>87.581119924024051</v>
      </c>
      <c r="G4261" s="1">
        <v>4.3163291668635768</v>
      </c>
      <c r="H4261" s="1">
        <v>6.5570885638897236</v>
      </c>
      <c r="I4261" s="1">
        <v>67.395933324752249</v>
      </c>
      <c r="J4261" s="1">
        <v>5.9246825406583797E-2</v>
      </c>
      <c r="K4261" s="1">
        <v>3.5518185552032784</v>
      </c>
      <c r="L4261" s="1">
        <v>5.0398373520049828</v>
      </c>
      <c r="M4261" s="1">
        <v>0.3043863575453904</v>
      </c>
      <c r="N4261" s="1">
        <v>2.6421647987192562</v>
      </c>
      <c r="O4261" s="1">
        <v>0.24864646464646456</v>
      </c>
      <c r="P4261" s="1">
        <v>0.16479207838004495</v>
      </c>
      <c r="Q4261" s="1">
        <v>6.8982429607408839</v>
      </c>
      <c r="R4261" s="2">
        <f t="shared" si="267"/>
        <v>257.78873831585196</v>
      </c>
      <c r="S4261" s="2">
        <f t="shared" si="266"/>
        <v>3.7758574589899072</v>
      </c>
      <c r="T4261" s="2">
        <f t="shared" si="268"/>
        <v>8.235034972916095</v>
      </c>
      <c r="U4261" s="2">
        <f t="shared" si="269"/>
        <v>269.79963074775793</v>
      </c>
    </row>
    <row r="4262" spans="1:21" x14ac:dyDescent="0.25">
      <c r="A4262">
        <v>5113953</v>
      </c>
      <c r="B4262">
        <v>67</v>
      </c>
      <c r="C4262" s="1">
        <f>7.44978073607899*(10.3/7.3)</f>
        <v>10.511334463234737</v>
      </c>
      <c r="D4262" s="1">
        <f>12.1977624699141*(10.3/7.3)</f>
        <v>17.21054156713905</v>
      </c>
      <c r="E4262" s="1">
        <f>42.519233034607*(10.3/7.3)</f>
        <v>59.99289044608939</v>
      </c>
      <c r="F4262" s="1">
        <f>92.6689460394577*(38.9/42.5)</f>
        <v>84.819341198468337</v>
      </c>
      <c r="G4262" s="1">
        <v>3.9365392876636149</v>
      </c>
      <c r="H4262" s="1">
        <v>6.6144915607238586</v>
      </c>
      <c r="I4262" s="1">
        <v>64.940972089841026</v>
      </c>
      <c r="J4262" s="1">
        <v>6.0807009782920078E-2</v>
      </c>
      <c r="K4262" s="1">
        <v>3.6686323854210041</v>
      </c>
      <c r="L4262" s="1">
        <v>5.2904034551475529</v>
      </c>
      <c r="M4262" s="1">
        <v>0.30960960262916426</v>
      </c>
      <c r="N4262" s="1">
        <v>2.6964049420129323</v>
      </c>
      <c r="O4262" s="1">
        <v>0.25554945273631852</v>
      </c>
      <c r="P4262" s="1">
        <v>0.16860802096979008</v>
      </c>
      <c r="Q4262" s="1">
        <v>6.291272834165599</v>
      </c>
      <c r="R4262" s="2">
        <f t="shared" si="267"/>
        <v>254.31738344732562</v>
      </c>
      <c r="S4262" s="2">
        <f t="shared" si="266"/>
        <v>3.8980474161737142</v>
      </c>
      <c r="T4262" s="2">
        <f t="shared" si="268"/>
        <v>8.5519674525259681</v>
      </c>
      <c r="U4262" s="2">
        <f t="shared" si="269"/>
        <v>266.76739831602532</v>
      </c>
    </row>
    <row r="4263" spans="1:21" x14ac:dyDescent="0.25">
      <c r="A4263">
        <v>5113961</v>
      </c>
      <c r="B4263">
        <v>67</v>
      </c>
      <c r="C4263" s="1">
        <f>7.61676606222782*(10.3/7.3)</f>
        <v>10.746943896020078</v>
      </c>
      <c r="D4263" s="1">
        <f>12.1494865286568*(10.3/7.3)</f>
        <v>17.142426197967843</v>
      </c>
      <c r="E4263" s="1">
        <f>42.4259871153415*(10.3/7.3)</f>
        <v>59.861324286029777</v>
      </c>
      <c r="F4263" s="1">
        <f>90.64216479377*(38.9/42.5)</f>
        <v>82.964240246533024</v>
      </c>
      <c r="G4263" s="1">
        <v>3.7601432017553953</v>
      </c>
      <c r="H4263" s="1">
        <v>6.6324401098153567</v>
      </c>
      <c r="I4263" s="1">
        <v>63.617966249833387</v>
      </c>
      <c r="J4263" s="1">
        <v>6.1691876094798523E-2</v>
      </c>
      <c r="K4263" s="1">
        <v>3.7002554779326875</v>
      </c>
      <c r="L4263" s="1">
        <v>5.3549960469896645</v>
      </c>
      <c r="M4263" s="1">
        <v>0.30625996618579976</v>
      </c>
      <c r="N4263" s="1">
        <v>2.722615496774718</v>
      </c>
      <c r="O4263" s="1">
        <v>0.25493094527363186</v>
      </c>
      <c r="P4263" s="1">
        <v>0.16883554057047956</v>
      </c>
      <c r="Q4263" s="1">
        <v>6.0093612813442467</v>
      </c>
      <c r="R4263" s="2">
        <f t="shared" si="267"/>
        <v>250.7348454692991</v>
      </c>
      <c r="S4263" s="2">
        <f t="shared" si="266"/>
        <v>3.9307828945979657</v>
      </c>
      <c r="T4263" s="2">
        <f t="shared" si="268"/>
        <v>8.6388024552238143</v>
      </c>
      <c r="U4263" s="2">
        <f t="shared" si="269"/>
        <v>263.30443081912091</v>
      </c>
    </row>
    <row r="4264" spans="1:21" x14ac:dyDescent="0.25">
      <c r="A4264">
        <v>5113969</v>
      </c>
      <c r="B4264">
        <v>67</v>
      </c>
      <c r="C4264" s="1">
        <f>7.33570282903747*(10.3/7.3)</f>
        <v>10.350375224532323</v>
      </c>
      <c r="D4264" s="1">
        <f>11.4834742433648*(10.3/7.3)</f>
        <v>16.202710233788657</v>
      </c>
      <c r="E4264" s="1">
        <f>40.1347888718245*(10.3/7.3)</f>
        <v>56.628537723259278</v>
      </c>
      <c r="F4264" s="1">
        <f>85.37364591126*(38.9/42.5)</f>
        <v>78.141995904659197</v>
      </c>
      <c r="G4264" s="1">
        <v>3.5156708778811439</v>
      </c>
      <c r="H4264" s="1">
        <v>6.4480914645376259</v>
      </c>
      <c r="I4264" s="1">
        <v>60.160356910644879</v>
      </c>
      <c r="J4264" s="1">
        <v>6.0346463846763489E-2</v>
      </c>
      <c r="K4264" s="1">
        <v>3.5981472731813455</v>
      </c>
      <c r="L4264" s="1">
        <v>5.160107835254041</v>
      </c>
      <c r="M4264" s="1">
        <v>0.29141259413972248</v>
      </c>
      <c r="N4264" s="1">
        <v>2.6476242185569641</v>
      </c>
      <c r="O4264" s="1">
        <v>0.24514069651741291</v>
      </c>
      <c r="P4264" s="1">
        <v>0.16321619018977887</v>
      </c>
      <c r="Q4264" s="1">
        <v>5.6186520879379094</v>
      </c>
      <c r="R4264" s="2">
        <f t="shared" si="267"/>
        <v>237.06639042724098</v>
      </c>
      <c r="S4264" s="2">
        <f t="shared" si="266"/>
        <v>3.821709927217888</v>
      </c>
      <c r="T4264" s="2">
        <f t="shared" si="268"/>
        <v>8.3442853444681404</v>
      </c>
      <c r="U4264" s="2">
        <f t="shared" si="269"/>
        <v>249.232385698927</v>
      </c>
    </row>
    <row r="4265" spans="1:21" x14ac:dyDescent="0.25">
      <c r="A4265">
        <v>5113977</v>
      </c>
      <c r="B4265">
        <v>67</v>
      </c>
      <c r="C4265" s="1">
        <f>7.60790852801772*(10.3/7.3)</f>
        <v>10.734446279257876</v>
      </c>
      <c r="D4265" s="1">
        <f>11.6876480791069*(10.3/7.3)</f>
        <v>16.49079112531517</v>
      </c>
      <c r="E4265" s="1">
        <f>40.8699391385617*(10.3/7.3)</f>
        <v>57.665804537970608</v>
      </c>
      <c r="F4265" s="1">
        <f>87.2731638588639*(38.9/42.5)</f>
        <v>79.880613508466027</v>
      </c>
      <c r="G4265" s="1">
        <v>3.5979036423966857</v>
      </c>
      <c r="H4265" s="1">
        <v>6.702629966597736</v>
      </c>
      <c r="I4265" s="1">
        <v>61.886382593817842</v>
      </c>
      <c r="J4265" s="1">
        <v>6.2493271622318526E-2</v>
      </c>
      <c r="K4265" s="1">
        <v>3.6324131539240025</v>
      </c>
      <c r="L4265" s="1">
        <v>5.2433836912661391</v>
      </c>
      <c r="M4265" s="1">
        <v>0.28893152681364914</v>
      </c>
      <c r="N4265" s="1">
        <v>2.702982238963481</v>
      </c>
      <c r="O4265" s="1">
        <v>0.24437014925373132</v>
      </c>
      <c r="P4265" s="1">
        <v>0.16304186548190211</v>
      </c>
      <c r="Q4265" s="1">
        <v>5.7500743143326112</v>
      </c>
      <c r="R4265" s="2">
        <f t="shared" si="267"/>
        <v>242.70864596815454</v>
      </c>
      <c r="S4265" s="2">
        <f t="shared" si="266"/>
        <v>3.8579482910282228</v>
      </c>
      <c r="T4265" s="2">
        <f t="shared" si="268"/>
        <v>8.4796676062970011</v>
      </c>
      <c r="U4265" s="2">
        <f t="shared" si="269"/>
        <v>255.04626186547978</v>
      </c>
    </row>
    <row r="4266" spans="1:21" x14ac:dyDescent="0.25">
      <c r="A4266">
        <v>5113985</v>
      </c>
      <c r="B4266">
        <v>67</v>
      </c>
      <c r="C4266" s="1">
        <f>5.72185415130306*(10.3/7.3)</f>
        <v>8.0733010627974622</v>
      </c>
      <c r="D4266" s="1">
        <f>8.66228236260261*(10.3/7.3)</f>
        <v>12.222124429425595</v>
      </c>
      <c r="E4266" s="1">
        <f>30.3000508164334*(10.3/7.3)</f>
        <v>42.75212649441967</v>
      </c>
      <c r="F4266" s="1">
        <f>65.0666552040741*(38.9/42.5)</f>
        <v>59.555126763258407</v>
      </c>
      <c r="G4266" s="1">
        <v>2.6919339857388884</v>
      </c>
      <c r="H4266" s="1">
        <v>6.1413116547866204</v>
      </c>
      <c r="I4266" s="1">
        <v>46.39705958848841</v>
      </c>
      <c r="J4266" s="1">
        <v>5.2205339121645468E-2</v>
      </c>
      <c r="K4266" s="1">
        <v>3.0713175319697208</v>
      </c>
      <c r="L4266" s="1">
        <v>4.1427262296361462</v>
      </c>
      <c r="M4266" s="1">
        <v>0.23769764180836978</v>
      </c>
      <c r="N4266" s="1">
        <v>2.2777658349001473</v>
      </c>
      <c r="O4266" s="1">
        <v>0.20208477611940298</v>
      </c>
      <c r="P4266" s="1">
        <v>0.14010356116245745</v>
      </c>
      <c r="Q4266" s="1">
        <v>4.3021776027790475</v>
      </c>
      <c r="R4266" s="2">
        <f t="shared" si="267"/>
        <v>182.13516158169412</v>
      </c>
      <c r="S4266" s="2">
        <f t="shared" si="266"/>
        <v>3.2636264322538233</v>
      </c>
      <c r="T4266" s="2">
        <f t="shared" si="268"/>
        <v>6.8602744824640656</v>
      </c>
      <c r="U4266" s="2">
        <f t="shared" si="269"/>
        <v>192.25906249641201</v>
      </c>
    </row>
    <row r="4267" spans="1:21" x14ac:dyDescent="0.25">
      <c r="A4267">
        <v>5114057</v>
      </c>
      <c r="B4267">
        <v>6</v>
      </c>
      <c r="C4267" s="1">
        <f>4.09138620300486*(10.3/7.3)</f>
        <v>5.7727777932808326</v>
      </c>
      <c r="D4267" s="1">
        <f>5.32719828653626*(10.3/7.3)</f>
        <v>7.5164578563456805</v>
      </c>
      <c r="E4267" s="1">
        <f>18.6855287072575*(10.3/7.3)</f>
        <v>26.36451310750034</v>
      </c>
      <c r="F4267" s="1">
        <f>43.2867146573048*(38.9/42.5)</f>
        <v>39.620075298097774</v>
      </c>
      <c r="G4267" s="1">
        <v>1.8839203398076361</v>
      </c>
      <c r="H4267" s="1">
        <v>6.8486165127697634</v>
      </c>
      <c r="I4267" s="1">
        <v>32.746192215660059</v>
      </c>
      <c r="J4267" s="1">
        <v>3.6251104099168936E-2</v>
      </c>
      <c r="K4267" s="1">
        <v>2.0540467059577368</v>
      </c>
      <c r="L4267" s="1">
        <v>2.8101997126301188</v>
      </c>
      <c r="M4267" s="1">
        <v>0.13252235567034701</v>
      </c>
      <c r="N4267" s="1">
        <v>1.6987522764757952</v>
      </c>
      <c r="O4267" s="1">
        <v>0.11445333333333334</v>
      </c>
      <c r="P4267" s="1">
        <v>9.0404636419875131E-2</v>
      </c>
      <c r="Q4267" s="1">
        <v>3.0108315932998782</v>
      </c>
      <c r="R4267" s="2">
        <f t="shared" si="267"/>
        <v>123.76338471676196</v>
      </c>
      <c r="S4267" s="2">
        <f t="shared" si="266"/>
        <v>2.1807024464767806</v>
      </c>
      <c r="T4267" s="2">
        <f t="shared" si="268"/>
        <v>4.7559276781095949</v>
      </c>
      <c r="U4267" s="2">
        <f t="shared" si="269"/>
        <v>130.70001484134835</v>
      </c>
    </row>
    <row r="4268" spans="1:21" x14ac:dyDescent="0.25">
      <c r="A4268">
        <v>5114193</v>
      </c>
      <c r="B4268">
        <v>50</v>
      </c>
      <c r="C4268" s="1">
        <f>6.56281341675624*(10.3/7.3)</f>
        <v>9.2598600263820874</v>
      </c>
      <c r="D4268" s="1">
        <f>7.7306527970596*(10.3/7.3)</f>
        <v>10.907633398590944</v>
      </c>
      <c r="E4268" s="1">
        <f>27.2850174403867*(10.3/7.3)</f>
        <v>38.498038306299101</v>
      </c>
      <c r="F4268" s="1">
        <f>60.9095596181839*(38.9/42.5)</f>
        <v>55.750161626996572</v>
      </c>
      <c r="G4268" s="1">
        <v>2.5122895855260281</v>
      </c>
      <c r="H4268" s="1">
        <v>5.6358744960966787</v>
      </c>
      <c r="I4268" s="1">
        <v>47.175675269103905</v>
      </c>
      <c r="J4268" s="1">
        <v>3.3976181124798922E-2</v>
      </c>
      <c r="K4268" s="1">
        <v>2.1501179325250201</v>
      </c>
      <c r="L4268" s="1">
        <v>2.5091895987856918</v>
      </c>
      <c r="M4268" s="1">
        <v>0.11826673153919084</v>
      </c>
      <c r="N4268" s="1">
        <v>2.0879491648420769</v>
      </c>
      <c r="O4268" s="1">
        <v>0.10703679999999999</v>
      </c>
      <c r="P4268" s="1">
        <v>8.3834197315023784E-2</v>
      </c>
      <c r="Q4268" s="1">
        <v>4.0150746800644326</v>
      </c>
      <c r="R4268" s="2">
        <f t="shared" si="267"/>
        <v>173.75460738905974</v>
      </c>
      <c r="S4268" s="2">
        <f t="shared" si="266"/>
        <v>2.2679283109648427</v>
      </c>
      <c r="T4268" s="2">
        <f t="shared" si="268"/>
        <v>4.8224422951669599</v>
      </c>
      <c r="U4268" s="2">
        <f t="shared" si="269"/>
        <v>180.84497799519153</v>
      </c>
    </row>
    <row r="4269" spans="1:21" x14ac:dyDescent="0.25">
      <c r="A4269">
        <v>5114201</v>
      </c>
      <c r="B4269">
        <v>17</v>
      </c>
      <c r="C4269" s="1">
        <f>6.84523042246696*(10.3/7.3)</f>
        <v>9.6583388152615974</v>
      </c>
      <c r="D4269" s="1">
        <f>8.51504578873632*(10.3/7.3)</f>
        <v>12.014379674518366</v>
      </c>
      <c r="E4269" s="1">
        <f>30.0179263827906*(10.3/7.3)</f>
        <v>42.354060512704521</v>
      </c>
      <c r="F4269" s="1">
        <f>64.9550480103881*(38.9/42.5)</f>
        <v>59.45297335539054</v>
      </c>
      <c r="G4269" s="1">
        <v>2.6190695108516979</v>
      </c>
      <c r="H4269" s="1">
        <v>5.9762091862047635</v>
      </c>
      <c r="I4269" s="1">
        <v>49.191804338646236</v>
      </c>
      <c r="J4269" s="1">
        <v>3.5139717515072416E-2</v>
      </c>
      <c r="K4269" s="1">
        <v>2.1944188338871613</v>
      </c>
      <c r="L4269" s="1">
        <v>2.5549895855843459</v>
      </c>
      <c r="M4269" s="1">
        <v>0.11836594556356908</v>
      </c>
      <c r="N4269" s="1">
        <v>1.79807718201263</v>
      </c>
      <c r="O4269" s="1">
        <v>0.10944627450980389</v>
      </c>
      <c r="P4269" s="1">
        <v>8.4881713524529112E-2</v>
      </c>
      <c r="Q4269" s="1">
        <v>4.1857275287584272</v>
      </c>
      <c r="R4269" s="2">
        <f t="shared" si="267"/>
        <v>185.45256292233614</v>
      </c>
      <c r="S4269" s="2">
        <f t="shared" si="266"/>
        <v>2.3144402649267626</v>
      </c>
      <c r="T4269" s="2">
        <f t="shared" si="268"/>
        <v>4.5808789876703484</v>
      </c>
      <c r="U4269" s="2">
        <f t="shared" si="269"/>
        <v>192.34788217493326</v>
      </c>
    </row>
    <row r="4270" spans="1:21" x14ac:dyDescent="0.25">
      <c r="A4270">
        <v>5114393</v>
      </c>
      <c r="B4270">
        <v>10</v>
      </c>
      <c r="C4270" s="1">
        <f>3.86068231213419*(10.3/7.3)</f>
        <v>5.4472640842441296</v>
      </c>
      <c r="D4270" s="1">
        <f>5.02743420786772*(10.3/7.3)</f>
        <v>7.0935030604160971</v>
      </c>
      <c r="E4270" s="1">
        <f>17.4674994198868*(10.3/7.3)</f>
        <v>24.645923839018383</v>
      </c>
      <c r="F4270" s="1">
        <f>48.9208863565342*(38.9/42.5)</f>
        <v>44.776999512215994</v>
      </c>
      <c r="G4270" s="1">
        <v>2.4716462618590631</v>
      </c>
      <c r="H4270" s="1">
        <v>7.6946583074315527</v>
      </c>
      <c r="I4270" s="1">
        <v>38.186246146524333</v>
      </c>
      <c r="J4270" s="1">
        <v>3.7676254801093344E-2</v>
      </c>
      <c r="K4270" s="1">
        <v>2.0258350912515737</v>
      </c>
      <c r="L4270" s="1">
        <v>1.9498553055090646</v>
      </c>
      <c r="M4270" s="1">
        <v>8.8995408072188781E-2</v>
      </c>
      <c r="N4270" s="1">
        <v>1.2708063269612793</v>
      </c>
      <c r="O4270" s="1">
        <v>8.955733333333335E-2</v>
      </c>
      <c r="P4270" s="1">
        <v>6.9424753531773006E-2</v>
      </c>
      <c r="Q4270" s="1">
        <v>3.950119596578415</v>
      </c>
      <c r="R4270" s="2">
        <f t="shared" si="267"/>
        <v>134.26636080828797</v>
      </c>
      <c r="S4270" s="2">
        <f t="shared" si="266"/>
        <v>2.1329360995844402</v>
      </c>
      <c r="T4270" s="2">
        <f t="shared" si="268"/>
        <v>3.399214373875866</v>
      </c>
      <c r="U4270" s="2">
        <f t="shared" si="269"/>
        <v>139.79851128174829</v>
      </c>
    </row>
    <row r="4271" spans="1:21" x14ac:dyDescent="0.25">
      <c r="A4271">
        <v>5125685</v>
      </c>
      <c r="B4271">
        <v>43</v>
      </c>
      <c r="C4271" s="1">
        <f>1.00473276426031*(10.3/7.3)</f>
        <v>1.4176366399837266</v>
      </c>
      <c r="D4271" s="1">
        <f>1.46990555850384*(10.3/7.3)</f>
        <v>2.0739763359711683</v>
      </c>
      <c r="E4271" s="1">
        <f>5.08177794061631*(10.3/7.3)</f>
        <v>7.1701798340202743</v>
      </c>
      <c r="F4271" s="1">
        <f>14.2821632653923*(38.9/42.5)</f>
        <v>13.072380024088471</v>
      </c>
      <c r="G4271" s="1">
        <v>0.73227300122913508</v>
      </c>
      <c r="H4271" s="1">
        <v>3.258711826285841</v>
      </c>
      <c r="I4271" s="1">
        <v>10.872723627722035</v>
      </c>
      <c r="J4271" s="1">
        <v>5.8101300935176826E-2</v>
      </c>
      <c r="K4271" s="1">
        <v>3.7337893596198621</v>
      </c>
      <c r="L4271" s="1">
        <v>3.094600272992007</v>
      </c>
      <c r="M4271" s="1">
        <v>1.0595802362024791</v>
      </c>
      <c r="N4271" s="1">
        <v>1.7818198962137701</v>
      </c>
      <c r="O4271" s="1">
        <v>0.53950635658914725</v>
      </c>
      <c r="P4271" s="1">
        <v>0.23682873181132508</v>
      </c>
      <c r="Q4271" s="1">
        <v>1.1702993170328655</v>
      </c>
      <c r="R4271" s="2">
        <f t="shared" si="267"/>
        <v>39.768180606333509</v>
      </c>
      <c r="S4271" s="2">
        <f t="shared" si="266"/>
        <v>4.028719392366364</v>
      </c>
      <c r="T4271" s="2">
        <f t="shared" si="268"/>
        <v>6.4755067619974032</v>
      </c>
      <c r="U4271" s="2">
        <f t="shared" si="269"/>
        <v>50.272406760697272</v>
      </c>
    </row>
    <row r="4272" spans="1:21" x14ac:dyDescent="0.25">
      <c r="A4272">
        <v>5125909</v>
      </c>
      <c r="B4272">
        <v>18</v>
      </c>
      <c r="C4272" s="1">
        <f>1.36611876987441*(10.3/7.3)</f>
        <v>1.9275374424255305</v>
      </c>
      <c r="D4272" s="1">
        <f>2.39600112957624*(10.3/7.3)</f>
        <v>3.380659128032228</v>
      </c>
      <c r="E4272" s="1">
        <f>8.19684252222178*(10.3/7.3)</f>
        <v>11.565407942312916</v>
      </c>
      <c r="F4272" s="1">
        <f>24.7468807115813*(38.9/42.5)</f>
        <v>22.650674345423809</v>
      </c>
      <c r="G4272" s="1">
        <v>1.3447394177479621</v>
      </c>
      <c r="H4272" s="1">
        <v>7.8987041205344308</v>
      </c>
      <c r="I4272" s="1">
        <v>18.448802532117881</v>
      </c>
      <c r="J4272" s="1">
        <v>4.5200492290226608E-2</v>
      </c>
      <c r="K4272" s="1">
        <v>2.9495944383237305</v>
      </c>
      <c r="L4272" s="1">
        <v>4.2377405127664689</v>
      </c>
      <c r="M4272" s="1">
        <v>0.77488986451246189</v>
      </c>
      <c r="N4272" s="1">
        <v>2.0679570539108978</v>
      </c>
      <c r="O4272" s="1">
        <v>0.26692740740740739</v>
      </c>
      <c r="P4272" s="1">
        <v>0.16233876480360573</v>
      </c>
      <c r="Q4272" s="1">
        <v>2.1491269233414942</v>
      </c>
      <c r="R4272" s="2">
        <f t="shared" si="267"/>
        <v>69.365651851936263</v>
      </c>
      <c r="S4272" s="2">
        <f t="shared" si="266"/>
        <v>3.1571336954175631</v>
      </c>
      <c r="T4272" s="2">
        <f t="shared" si="268"/>
        <v>7.3475148385972355</v>
      </c>
      <c r="U4272" s="2">
        <f t="shared" si="269"/>
        <v>79.870300385951055</v>
      </c>
    </row>
    <row r="4273" spans="1:21" x14ac:dyDescent="0.25">
      <c r="A4273">
        <v>5125917</v>
      </c>
      <c r="B4273">
        <v>27</v>
      </c>
      <c r="C4273" s="1">
        <f>1.86463997223186*(10.3/7.3)</f>
        <v>2.6309303717792023</v>
      </c>
      <c r="D4273" s="1">
        <f>3.29130765933957*(10.3/7.3)</f>
        <v>4.6438998481092586</v>
      </c>
      <c r="E4273" s="1">
        <f>11.2519269476523*(10.3/7.3)</f>
        <v>15.876006515180617</v>
      </c>
      <c r="F4273" s="1">
        <f>34.2520228124337*(38.9/42.5)</f>
        <v>31.350674997733474</v>
      </c>
      <c r="G4273" s="1">
        <v>1.8705084721773022</v>
      </c>
      <c r="H4273" s="1">
        <v>8.584330896956569</v>
      </c>
      <c r="I4273" s="1">
        <v>25.549121326008684</v>
      </c>
      <c r="J4273" s="1">
        <v>6.0931148708098098E-2</v>
      </c>
      <c r="K4273" s="1">
        <v>3.68503562433661</v>
      </c>
      <c r="L4273" s="1">
        <v>5.4176789236019909</v>
      </c>
      <c r="M4273" s="1">
        <v>0.94981530173985695</v>
      </c>
      <c r="N4273" s="1">
        <v>2.7581279436190611</v>
      </c>
      <c r="O4273" s="1">
        <v>0.34046814814814824</v>
      </c>
      <c r="P4273" s="1">
        <v>0.19454628115701186</v>
      </c>
      <c r="Q4273" s="1">
        <v>2.9893971016532248</v>
      </c>
      <c r="R4273" s="2">
        <f t="shared" si="267"/>
        <v>93.494869529598333</v>
      </c>
      <c r="S4273" s="2">
        <f t="shared" si="266"/>
        <v>3.9405130542017197</v>
      </c>
      <c r="T4273" s="2">
        <f t="shared" si="268"/>
        <v>9.4660903171090567</v>
      </c>
      <c r="U4273" s="2">
        <f t="shared" si="269"/>
        <v>106.90147290090911</v>
      </c>
    </row>
    <row r="4274" spans="1:21" x14ac:dyDescent="0.25">
      <c r="A4274">
        <v>5125925</v>
      </c>
      <c r="B4274">
        <v>13</v>
      </c>
      <c r="C4274" s="1">
        <f>2.28732857057718*(10.3/7.3)</f>
        <v>3.2273266132801361</v>
      </c>
      <c r="D4274" s="1">
        <f>3.92600009131277*(10.3/7.3)</f>
        <v>5.5394247863728054</v>
      </c>
      <c r="E4274" s="1">
        <f>13.4701616423202*(10.3/7.3)</f>
        <v>19.005844509027099</v>
      </c>
      <c r="F4274" s="1">
        <f>39.1450264963359*(38.9/42.5)</f>
        <v>35.829212487234486</v>
      </c>
      <c r="G4274" s="1">
        <v>2.0782204734265828</v>
      </c>
      <c r="H4274" s="1">
        <v>9.1811572203208947</v>
      </c>
      <c r="I4274" s="1">
        <v>29.069538182566905</v>
      </c>
      <c r="J4274" s="1">
        <v>7.6424016470971037E-2</v>
      </c>
      <c r="K4274" s="1">
        <v>4.1671149695306546</v>
      </c>
      <c r="L4274" s="1">
        <v>6.2441672713584921</v>
      </c>
      <c r="M4274" s="1">
        <v>1.04258173512056</v>
      </c>
      <c r="N4274" s="1">
        <v>2.9958350709203763</v>
      </c>
      <c r="O4274" s="1">
        <v>0.39603692307692318</v>
      </c>
      <c r="P4274" s="1">
        <v>0.21361818092641918</v>
      </c>
      <c r="Q4274" s="1">
        <v>3.3213569210013918</v>
      </c>
      <c r="R4274" s="2">
        <f t="shared" si="267"/>
        <v>107.2520811932303</v>
      </c>
      <c r="S4274" s="2">
        <f t="shared" si="266"/>
        <v>4.4571571669280443</v>
      </c>
      <c r="T4274" s="2">
        <f t="shared" si="268"/>
        <v>10.678621000476353</v>
      </c>
      <c r="U4274" s="2">
        <f t="shared" si="269"/>
        <v>122.38785936063469</v>
      </c>
    </row>
    <row r="4275" spans="1:21" x14ac:dyDescent="0.25">
      <c r="A4275">
        <v>5125933</v>
      </c>
      <c r="B4275">
        <v>12</v>
      </c>
      <c r="C4275" s="1">
        <f>1.72838729544793*(10.3/7.3)</f>
        <v>2.438683444262145</v>
      </c>
      <c r="D4275" s="1">
        <f>2.92881853132365*(10.3/7.3)</f>
        <v>4.1324425852922708</v>
      </c>
      <c r="E4275" s="1">
        <f>10.0534281213422*(10.3/7.3)</f>
        <v>14.184973924633489</v>
      </c>
      <c r="F4275" s="1">
        <f>29.2005973449771*(38.9/42.5)</f>
        <v>26.727134981637871</v>
      </c>
      <c r="G4275" s="1">
        <v>1.5481765867949322</v>
      </c>
      <c r="H4275" s="1">
        <v>7.2239943736225491</v>
      </c>
      <c r="I4275" s="1">
        <v>21.732870919948226</v>
      </c>
      <c r="J4275" s="1">
        <v>7.6231277100306624E-2</v>
      </c>
      <c r="K4275" s="1">
        <v>3.3796345894805526</v>
      </c>
      <c r="L4275" s="1">
        <v>4.5011864915947921</v>
      </c>
      <c r="M4275" s="1">
        <v>0.74519564985133657</v>
      </c>
      <c r="N4275" s="1">
        <v>2.5125112722766056</v>
      </c>
      <c r="O4275" s="1">
        <v>0.30383111111111111</v>
      </c>
      <c r="P4275" s="1">
        <v>0.17990142562988376</v>
      </c>
      <c r="Q4275" s="1">
        <v>2.4742548190786611</v>
      </c>
      <c r="R4275" s="2">
        <f t="shared" si="267"/>
        <v>80.462531635270153</v>
      </c>
      <c r="S4275" s="2">
        <f t="shared" si="266"/>
        <v>3.6357672922107431</v>
      </c>
      <c r="T4275" s="2">
        <f t="shared" si="268"/>
        <v>8.0627245248338451</v>
      </c>
      <c r="U4275" s="2">
        <f t="shared" si="269"/>
        <v>92.161023452314737</v>
      </c>
    </row>
    <row r="4276" spans="1:21" x14ac:dyDescent="0.25">
      <c r="A4276">
        <v>5126101</v>
      </c>
      <c r="B4276">
        <v>36</v>
      </c>
      <c r="C4276" s="1">
        <f>6.27701249261668*(10.3/7.3)</f>
        <v>8.8566066676646376</v>
      </c>
      <c r="D4276" s="1">
        <f>12.1613036114546*(10.3/7.3)</f>
        <v>17.15909961616196</v>
      </c>
      <c r="E4276" s="1">
        <f>42.2164011048853*(10.3/7.3)</f>
        <v>59.565607038399818</v>
      </c>
      <c r="F4276" s="1">
        <f>89.3328834874886*(38.9/42.5)</f>
        <v>81.76586276854843</v>
      </c>
      <c r="G4276" s="1">
        <v>3.7679300920661407</v>
      </c>
      <c r="H4276" s="1">
        <v>7.9594475924248513</v>
      </c>
      <c r="I4276" s="1">
        <v>59.454237571587264</v>
      </c>
      <c r="J4276" s="1">
        <v>6.0041568898181991E-2</v>
      </c>
      <c r="K4276" s="1">
        <v>3.2876356604874815</v>
      </c>
      <c r="L4276" s="1">
        <v>4.2124638027087542</v>
      </c>
      <c r="M4276" s="1">
        <v>0.32756248881052225</v>
      </c>
      <c r="N4276" s="1">
        <v>2.5533130877504648</v>
      </c>
      <c r="O4276" s="1">
        <v>0.24767555555555554</v>
      </c>
      <c r="P4276" s="1">
        <v>0.16239668952560901</v>
      </c>
      <c r="Q4276" s="1">
        <v>6.0218060832107341</v>
      </c>
      <c r="R4276" s="2">
        <f t="shared" si="267"/>
        <v>244.55059743006382</v>
      </c>
      <c r="S4276" s="2">
        <f t="shared" si="266"/>
        <v>3.5100739189112722</v>
      </c>
      <c r="T4276" s="2">
        <f t="shared" si="268"/>
        <v>7.3410149348252967</v>
      </c>
      <c r="U4276" s="2">
        <f t="shared" si="269"/>
        <v>255.40168628380039</v>
      </c>
    </row>
    <row r="4277" spans="1:21" x14ac:dyDescent="0.25">
      <c r="A4277">
        <v>5126109</v>
      </c>
      <c r="B4277">
        <v>66</v>
      </c>
      <c r="C4277" s="1">
        <f>7.96040488334909*(10.3/7.3)</f>
        <v>11.231804150478849</v>
      </c>
      <c r="D4277" s="1">
        <f>14.5668201041116*(10.3/7.3)</f>
        <v>20.55318453045879</v>
      </c>
      <c r="E4277" s="1">
        <f>50.736689650567*(10.3/7.3)</f>
        <v>71.587384027512329</v>
      </c>
      <c r="F4277" s="1">
        <f>103.215981202865*(38.9/42.5)</f>
        <v>94.472980442151481</v>
      </c>
      <c r="G4277" s="1">
        <v>4.1469494712993908</v>
      </c>
      <c r="H4277" s="1">
        <v>8.4892246538570859</v>
      </c>
      <c r="I4277" s="1">
        <v>68.768375274168704</v>
      </c>
      <c r="J4277" s="1">
        <v>7.3867362570773878E-2</v>
      </c>
      <c r="K4277" s="1">
        <v>3.8201149805272392</v>
      </c>
      <c r="L4277" s="1">
        <v>5.2900826462644641</v>
      </c>
      <c r="M4277" s="1">
        <v>0.38796021852271118</v>
      </c>
      <c r="N4277" s="1">
        <v>3.4564073253881347</v>
      </c>
      <c r="O4277" s="1">
        <v>0.29197494949494951</v>
      </c>
      <c r="P4277" s="1">
        <v>0.18489726542143592</v>
      </c>
      <c r="Q4277" s="1">
        <v>6.6275448171451501</v>
      </c>
      <c r="R4277" s="2">
        <f t="shared" si="267"/>
        <v>285.8774473670718</v>
      </c>
      <c r="S4277" s="2">
        <f t="shared" si="266"/>
        <v>4.0788796085194488</v>
      </c>
      <c r="T4277" s="2">
        <f t="shared" si="268"/>
        <v>9.4264251396702612</v>
      </c>
      <c r="U4277" s="2">
        <f t="shared" si="269"/>
        <v>299.3827521152615</v>
      </c>
    </row>
    <row r="4278" spans="1:21" x14ac:dyDescent="0.25">
      <c r="A4278">
        <v>5126117</v>
      </c>
      <c r="B4278">
        <v>64</v>
      </c>
      <c r="C4278" s="1">
        <f>8.40090770105323*(10.3/7.3)</f>
        <v>11.853335523403876</v>
      </c>
      <c r="D4278" s="1">
        <f>14.9940260583841*(10.3/7.3)</f>
        <v>21.155954575528202</v>
      </c>
      <c r="E4278" s="1">
        <f>52.2824615851135*(10.3/7.3)</f>
        <v>73.768404702283433</v>
      </c>
      <c r="F4278" s="1">
        <f>105.524863385182*(38.9/42.5)</f>
        <v>96.586286721966317</v>
      </c>
      <c r="G4278" s="1">
        <v>4.1877383137301472</v>
      </c>
      <c r="H4278" s="1">
        <v>7.3988068077035072</v>
      </c>
      <c r="I4278" s="1">
        <v>70.592549724039173</v>
      </c>
      <c r="J4278" s="1">
        <v>7.3841159983935992E-2</v>
      </c>
      <c r="K4278" s="1">
        <v>3.9799675938477104</v>
      </c>
      <c r="L4278" s="1">
        <v>5.6678562867637803</v>
      </c>
      <c r="M4278" s="1">
        <v>0.40325494244091786</v>
      </c>
      <c r="N4278" s="1">
        <v>3.0593809707610826</v>
      </c>
      <c r="O4278" s="1">
        <v>0.30193750000000003</v>
      </c>
      <c r="P4278" s="1">
        <v>0.19136657109982305</v>
      </c>
      <c r="Q4278" s="1">
        <v>6.6927324648655357</v>
      </c>
      <c r="R4278" s="2">
        <f t="shared" si="267"/>
        <v>292.23580883352014</v>
      </c>
      <c r="S4278" s="2">
        <f t="shared" si="266"/>
        <v>4.245175324931469</v>
      </c>
      <c r="T4278" s="2">
        <f t="shared" si="268"/>
        <v>9.4324296999657804</v>
      </c>
      <c r="U4278" s="2">
        <f t="shared" si="269"/>
        <v>305.91341385841741</v>
      </c>
    </row>
    <row r="4279" spans="1:21" x14ac:dyDescent="0.25">
      <c r="A4279">
        <v>5126125</v>
      </c>
      <c r="B4279">
        <v>65</v>
      </c>
      <c r="C4279" s="1">
        <f>6.00073176391981*(10.3/7.3)</f>
        <v>8.4667859134758974</v>
      </c>
      <c r="D4279" s="1">
        <f>10.616743060822*(10.3/7.3)</f>
        <v>14.979788154310498</v>
      </c>
      <c r="E4279" s="1">
        <f>37.0210254573104*(10.3/7.3)</f>
        <v>52.235145508259883</v>
      </c>
      <c r="F4279" s="1">
        <f>75.1651575238986*(38.9/42.5)</f>
        <v>68.798226533638925</v>
      </c>
      <c r="G4279" s="1">
        <v>2.9987615468307145</v>
      </c>
      <c r="H4279" s="1">
        <v>5.9334895159763805</v>
      </c>
      <c r="I4279" s="1">
        <v>50.502472993617516</v>
      </c>
      <c r="J4279" s="1">
        <v>5.4699857714937836E-2</v>
      </c>
      <c r="K4279" s="1">
        <v>3.2820116294176471</v>
      </c>
      <c r="L4279" s="1">
        <v>4.3750192273377637</v>
      </c>
      <c r="M4279" s="1">
        <v>0.31016215156547178</v>
      </c>
      <c r="N4279" s="1">
        <v>2.4416200990640822</v>
      </c>
      <c r="O4279" s="1">
        <v>0.24271425641025635</v>
      </c>
      <c r="P4279" s="1">
        <v>0.16248969548636014</v>
      </c>
      <c r="Q4279" s="1">
        <v>4.7925412848892757</v>
      </c>
      <c r="R4279" s="2">
        <f t="shared" si="267"/>
        <v>208.7072114509991</v>
      </c>
      <c r="S4279" s="2">
        <f t="shared" si="266"/>
        <v>3.4992011826189451</v>
      </c>
      <c r="T4279" s="2">
        <f t="shared" si="268"/>
        <v>7.3695157343775737</v>
      </c>
      <c r="U4279" s="2">
        <f t="shared" si="269"/>
        <v>219.57592836799563</v>
      </c>
    </row>
    <row r="4280" spans="1:21" x14ac:dyDescent="0.25">
      <c r="A4280">
        <v>5126133</v>
      </c>
      <c r="B4280">
        <v>61</v>
      </c>
      <c r="C4280" s="1">
        <f>4.23000916342206*(10.3/7.3)</f>
        <v>5.9683690935955109</v>
      </c>
      <c r="D4280" s="1">
        <f>7.69929419007868*(10.3/7.3)</f>
        <v>10.863387692850743</v>
      </c>
      <c r="E4280" s="1">
        <f>26.8008904594928*(10.3/7.3)</f>
        <v>37.814955031887074</v>
      </c>
      <c r="F4280" s="1">
        <f>55.5567639341705*(38.9/42.5)</f>
        <v>50.850779224452538</v>
      </c>
      <c r="G4280" s="1">
        <v>2.275919182195707</v>
      </c>
      <c r="H4280" s="1">
        <v>4.726123872474469</v>
      </c>
      <c r="I4280" s="1">
        <v>37.301456766442811</v>
      </c>
      <c r="J4280" s="1">
        <v>4.2658388146380205E-2</v>
      </c>
      <c r="K4280" s="1">
        <v>2.7780785540891784</v>
      </c>
      <c r="L4280" s="1">
        <v>3.4365488136376472</v>
      </c>
      <c r="M4280" s="1">
        <v>0.25096867328199607</v>
      </c>
      <c r="N4280" s="1">
        <v>2.0841268495556808</v>
      </c>
      <c r="O4280" s="1">
        <v>0.19951300546448081</v>
      </c>
      <c r="P4280" s="1">
        <v>0.14151045385333835</v>
      </c>
      <c r="Q4280" s="1">
        <v>3.6373137614999922</v>
      </c>
      <c r="R4280" s="2">
        <f t="shared" si="267"/>
        <v>153.43830462539884</v>
      </c>
      <c r="S4280" s="2">
        <f t="shared" si="266"/>
        <v>2.9622473960888969</v>
      </c>
      <c r="T4280" s="2">
        <f t="shared" si="268"/>
        <v>5.9711573419398052</v>
      </c>
      <c r="U4280" s="2">
        <f t="shared" si="269"/>
        <v>162.37170936342753</v>
      </c>
    </row>
    <row r="4281" spans="1:21" x14ac:dyDescent="0.25">
      <c r="A4281">
        <v>5126141</v>
      </c>
      <c r="B4281">
        <v>27</v>
      </c>
      <c r="C4281" s="1">
        <f>5.34842464824561*(10.3/7.3)</f>
        <v>7.5464073804013365</v>
      </c>
      <c r="D4281" s="1">
        <f>11.5430383462972*(10.3/7.3)</f>
        <v>16.286752735186525</v>
      </c>
      <c r="E4281" s="1">
        <f>39.9158064309739*(10.3/7.3)</f>
        <v>56.319562498497369</v>
      </c>
      <c r="F4281" s="1">
        <f>86.1405484674314*(38.9/42.5)</f>
        <v>78.843937303131341</v>
      </c>
      <c r="G4281" s="1">
        <v>3.7485673290946431</v>
      </c>
      <c r="H4281" s="1">
        <v>8.4239656429540037</v>
      </c>
      <c r="I4281" s="1">
        <v>56.308364009693101</v>
      </c>
      <c r="J4281" s="1">
        <v>4.9428294789363225E-2</v>
      </c>
      <c r="K4281" s="1">
        <v>3.0996630267752572</v>
      </c>
      <c r="L4281" s="1">
        <v>4.0230581084129433</v>
      </c>
      <c r="M4281" s="1">
        <v>0.28046858659119578</v>
      </c>
      <c r="N4281" s="1">
        <v>3.0627927192609574</v>
      </c>
      <c r="O4281" s="1">
        <v>0.22517925925925922</v>
      </c>
      <c r="P4281" s="1">
        <v>0.15215923718543506</v>
      </c>
      <c r="Q4281" s="1">
        <v>5.9908610282334545</v>
      </c>
      <c r="R4281" s="2">
        <f t="shared" si="267"/>
        <v>233.46841792719178</v>
      </c>
      <c r="S4281" s="2">
        <f t="shared" si="266"/>
        <v>3.3012505587500556</v>
      </c>
      <c r="T4281" s="2">
        <f t="shared" si="268"/>
        <v>7.5914986735243559</v>
      </c>
      <c r="U4281" s="2">
        <f t="shared" si="269"/>
        <v>244.36116715946622</v>
      </c>
    </row>
    <row r="4282" spans="1:21" x14ac:dyDescent="0.25">
      <c r="A4282">
        <v>5126149</v>
      </c>
      <c r="B4282">
        <v>47</v>
      </c>
      <c r="C4282" s="1">
        <f>4.70748713277544*(10.3/7.3)</f>
        <v>6.6420708859708331</v>
      </c>
      <c r="D4282" s="1">
        <f>12.2363320751792*(10.3/7.3)</f>
        <v>17.264961695115819</v>
      </c>
      <c r="E4282" s="1">
        <f>42.3334263189106*(10.3/7.3)</f>
        <v>59.730724806134191</v>
      </c>
      <c r="F4282" s="1">
        <f>80.6520635581953*(38.9/42.5)</f>
        <v>73.820359350912895</v>
      </c>
      <c r="G4282" s="1">
        <v>3.1459333287929514</v>
      </c>
      <c r="H4282" s="1">
        <v>9.9546871053130079</v>
      </c>
      <c r="I4282" s="1">
        <v>47.949665976142917</v>
      </c>
      <c r="J4282" s="1">
        <v>4.5981342093700354E-2</v>
      </c>
      <c r="K4282" s="1">
        <v>2.9628981706432951</v>
      </c>
      <c r="L4282" s="1">
        <v>3.7369267892840976</v>
      </c>
      <c r="M4282" s="1">
        <v>0.260359112099529</v>
      </c>
      <c r="N4282" s="1">
        <v>2.2465125540786528</v>
      </c>
      <c r="O4282" s="1">
        <v>0.20857758865248227</v>
      </c>
      <c r="P4282" s="1">
        <v>0.14470755960944451</v>
      </c>
      <c r="Q4282" s="1">
        <v>5.0277473291211612</v>
      </c>
      <c r="R4282" s="2">
        <f t="shared" si="267"/>
        <v>223.53615047750378</v>
      </c>
      <c r="S4282" s="2">
        <f t="shared" si="266"/>
        <v>3.1535870723464399</v>
      </c>
      <c r="T4282" s="2">
        <f t="shared" si="268"/>
        <v>6.4523760441147617</v>
      </c>
      <c r="U4282" s="2">
        <f t="shared" si="269"/>
        <v>233.14211359396501</v>
      </c>
    </row>
    <row r="4283" spans="1:21" x14ac:dyDescent="0.25">
      <c r="A4283">
        <v>5126157</v>
      </c>
      <c r="B4283">
        <v>51</v>
      </c>
      <c r="C4283" s="1">
        <f>6.34537420497942*(10.3/7.3)</f>
        <v>8.9530622344230242</v>
      </c>
      <c r="D4283" s="1">
        <f>12.4415780919086*(10.3/7.3)</f>
        <v>17.554555389953279</v>
      </c>
      <c r="E4283" s="1">
        <f>42.927962792779*(10.3/7.3)</f>
        <v>60.569591337756705</v>
      </c>
      <c r="F4283" s="1">
        <f>103.293287558292*(38.9/42.5)</f>
        <v>94.543738494530444</v>
      </c>
      <c r="G4283" s="1">
        <v>4.8848651687644562</v>
      </c>
      <c r="H4283" s="1">
        <v>9.4073508773509698</v>
      </c>
      <c r="I4283" s="1">
        <v>71.398684548770788</v>
      </c>
      <c r="J4283" s="1">
        <v>5.796316172448699E-2</v>
      </c>
      <c r="K4283" s="1">
        <v>3.4629321512283684</v>
      </c>
      <c r="L4283" s="1">
        <v>4.8196732292487434</v>
      </c>
      <c r="M4283" s="1">
        <v>0.31121445426694128</v>
      </c>
      <c r="N4283" s="1">
        <v>2.6177396558965058</v>
      </c>
      <c r="O4283" s="1">
        <v>0.24937202614379084</v>
      </c>
      <c r="P4283" s="1">
        <v>0.16526342700366875</v>
      </c>
      <c r="Q4283" s="1">
        <v>7.8068621418610089</v>
      </c>
      <c r="R4283" s="2">
        <f t="shared" si="267"/>
        <v>275.11871019341066</v>
      </c>
      <c r="S4283" s="2">
        <f t="shared" si="266"/>
        <v>3.6861587399565243</v>
      </c>
      <c r="T4283" s="2">
        <f t="shared" si="268"/>
        <v>7.9979993655559802</v>
      </c>
      <c r="U4283" s="2">
        <f t="shared" si="269"/>
        <v>286.80286829892316</v>
      </c>
    </row>
    <row r="4284" spans="1:21" x14ac:dyDescent="0.25">
      <c r="A4284">
        <v>5126165</v>
      </c>
      <c r="B4284">
        <v>32</v>
      </c>
      <c r="C4284" s="1">
        <f>3.30646922031868*(10.3/7.3)</f>
        <v>4.6652921875729296</v>
      </c>
      <c r="D4284" s="1">
        <f>7.11204852134178*(10.3/7.3)</f>
        <v>10.034808187646616</v>
      </c>
      <c r="E4284" s="1">
        <f>24.0927292751072*(10.3/7.3)</f>
        <v>33.993850895014234</v>
      </c>
      <c r="F4284" s="1">
        <f>77.4571376462116*(38.9/42.5)</f>
        <v>70.896062457356066</v>
      </c>
      <c r="G4284" s="1">
        <v>4.4045579188090391</v>
      </c>
      <c r="H4284" s="1">
        <v>5.834942330358766</v>
      </c>
      <c r="I4284" s="1">
        <v>56.725595040829312</v>
      </c>
      <c r="J4284" s="1">
        <v>3.8192016217783245E-2</v>
      </c>
      <c r="K4284" s="1">
        <v>2.4298784566595457</v>
      </c>
      <c r="L4284" s="1">
        <v>2.9475835798153636</v>
      </c>
      <c r="M4284" s="1">
        <v>0.20179898278249533</v>
      </c>
      <c r="N4284" s="1">
        <v>1.7769575226147072</v>
      </c>
      <c r="O4284" s="1">
        <v>0.16434333333333323</v>
      </c>
      <c r="P4284" s="1">
        <v>0.12178235309123533</v>
      </c>
      <c r="Q4284" s="1">
        <v>7.0392478154482436</v>
      </c>
      <c r="R4284" s="2">
        <f t="shared" si="267"/>
        <v>193.59435683303522</v>
      </c>
      <c r="S4284" s="2">
        <f t="shared" si="266"/>
        <v>2.5898528259685643</v>
      </c>
      <c r="T4284" s="2">
        <f t="shared" si="268"/>
        <v>5.0906834185458996</v>
      </c>
      <c r="U4284" s="2">
        <f t="shared" si="269"/>
        <v>201.27489307754968</v>
      </c>
    </row>
    <row r="4285" spans="1:21" x14ac:dyDescent="0.25">
      <c r="A4285">
        <v>5126173</v>
      </c>
      <c r="B4285">
        <v>55</v>
      </c>
      <c r="C4285" s="1">
        <f>6.17973635701161*(10.3/7.3)</f>
        <v>8.7193540379752825</v>
      </c>
      <c r="D4285" s="1">
        <f>11.0493903300711*(10.3/7.3)</f>
        <v>15.590235671196215</v>
      </c>
      <c r="E4285" s="1">
        <f>38.1925524619957*(10.3/7.3)</f>
        <v>53.88812196692551</v>
      </c>
      <c r="F4285" s="1">
        <f>93.9103047984826*(38.9/42.5)</f>
        <v>85.955549568493439</v>
      </c>
      <c r="G4285" s="1">
        <v>4.4750378928367907</v>
      </c>
      <c r="H4285" s="1">
        <v>6.2995077417385525</v>
      </c>
      <c r="I4285" s="1">
        <v>66.570615058737573</v>
      </c>
      <c r="J4285" s="1">
        <v>5.7326917146567707E-2</v>
      </c>
      <c r="K4285" s="1">
        <v>3.4010945720169117</v>
      </c>
      <c r="L4285" s="1">
        <v>4.7194943968714274</v>
      </c>
      <c r="M4285" s="1">
        <v>0.29307400129165928</v>
      </c>
      <c r="N4285" s="1">
        <v>2.5641506536124985</v>
      </c>
      <c r="O4285" s="1">
        <v>0.23803442424242427</v>
      </c>
      <c r="P4285" s="1">
        <v>0.15977164574047506</v>
      </c>
      <c r="Q4285" s="1">
        <v>7.1518870433464787</v>
      </c>
      <c r="R4285" s="2">
        <f t="shared" si="267"/>
        <v>248.65030898124982</v>
      </c>
      <c r="S4285" s="2">
        <f t="shared" si="266"/>
        <v>3.6181931349039544</v>
      </c>
      <c r="T4285" s="2">
        <f t="shared" si="268"/>
        <v>7.8147534760180095</v>
      </c>
      <c r="U4285" s="2">
        <f t="shared" si="269"/>
        <v>260.08325559217178</v>
      </c>
    </row>
    <row r="4286" spans="1:21" x14ac:dyDescent="0.25">
      <c r="A4286">
        <v>5126181</v>
      </c>
      <c r="B4286">
        <v>55</v>
      </c>
      <c r="C4286" s="1">
        <f>7.44711536946982*(10.3/7.3)</f>
        <v>10.507573740484817</v>
      </c>
      <c r="D4286" s="1">
        <f>12.4507413816598*(10.3/7.3)</f>
        <v>17.567484415218583</v>
      </c>
      <c r="E4286" s="1">
        <f>43.3200891205828*(10.3/7.3)</f>
        <v>61.122865471507204</v>
      </c>
      <c r="F4286" s="1">
        <f>96.9346726299946*(38.9/42.5)</f>
        <v>88.723735654277419</v>
      </c>
      <c r="G4286" s="1">
        <v>4.2341509961104382</v>
      </c>
      <c r="H4286" s="1">
        <v>6.7565877353317587</v>
      </c>
      <c r="I4286" s="1">
        <v>68.057448855834792</v>
      </c>
      <c r="J4286" s="1">
        <v>6.1838291381242312E-2</v>
      </c>
      <c r="K4286" s="1">
        <v>3.7045680410496331</v>
      </c>
      <c r="L4286" s="1">
        <v>5.3482085733595177</v>
      </c>
      <c r="M4286" s="1">
        <v>0.3171204190978828</v>
      </c>
      <c r="N4286" s="1">
        <v>2.7320195361275865</v>
      </c>
      <c r="O4286" s="1">
        <v>0.26023175757575762</v>
      </c>
      <c r="P4286" s="1">
        <v>0.17091474370409329</v>
      </c>
      <c r="Q4286" s="1">
        <v>6.7669079846513895</v>
      </c>
      <c r="R4286" s="2">
        <f t="shared" si="267"/>
        <v>263.73675485341636</v>
      </c>
      <c r="S4286" s="2">
        <f t="shared" si="266"/>
        <v>3.9373210761349688</v>
      </c>
      <c r="T4286" s="2">
        <f t="shared" si="268"/>
        <v>8.6575802861607443</v>
      </c>
      <c r="U4286" s="2">
        <f t="shared" si="269"/>
        <v>276.33165621571209</v>
      </c>
    </row>
    <row r="4287" spans="1:21" x14ac:dyDescent="0.25">
      <c r="A4287">
        <v>5126189</v>
      </c>
      <c r="B4287">
        <v>55</v>
      </c>
      <c r="C4287" s="1">
        <f>7.5342326501127*(10.3/7.3)</f>
        <v>10.630492643309706</v>
      </c>
      <c r="D4287" s="1">
        <f>12.2005970328326*(10.3/7.3)</f>
        <v>17.21454101892822</v>
      </c>
      <c r="E4287" s="1">
        <f>42.5610075672593*(10.3/7.3)</f>
        <v>60.051832594900077</v>
      </c>
      <c r="F4287" s="1">
        <f>91.9769549201186*(38.9/42.5)</f>
        <v>84.185965797473216</v>
      </c>
      <c r="G4287" s="1">
        <v>3.8684898370370022</v>
      </c>
      <c r="H4287" s="1">
        <v>6.6657091903736232</v>
      </c>
      <c r="I4287" s="1">
        <v>64.494069120934242</v>
      </c>
      <c r="J4287" s="1">
        <v>6.1587248017133417E-2</v>
      </c>
      <c r="K4287" s="1">
        <v>3.6964837338608785</v>
      </c>
      <c r="L4287" s="1">
        <v>5.3531760844493883</v>
      </c>
      <c r="M4287" s="1">
        <v>0.31039555737260299</v>
      </c>
      <c r="N4287" s="1">
        <v>2.7174788662368847</v>
      </c>
      <c r="O4287" s="1">
        <v>0.25767369696969694</v>
      </c>
      <c r="P4287" s="1">
        <v>0.16957053450570966</v>
      </c>
      <c r="Q4287" s="1">
        <v>6.1825180043970391</v>
      </c>
      <c r="R4287" s="2">
        <f t="shared" si="267"/>
        <v>253.29361820735312</v>
      </c>
      <c r="S4287" s="2">
        <f t="shared" si="266"/>
        <v>3.9276415163837215</v>
      </c>
      <c r="T4287" s="2">
        <f t="shared" si="268"/>
        <v>8.6387242050285735</v>
      </c>
      <c r="U4287" s="2">
        <f t="shared" si="269"/>
        <v>265.85998392876542</v>
      </c>
    </row>
    <row r="4288" spans="1:21" x14ac:dyDescent="0.25">
      <c r="A4288">
        <v>5126197</v>
      </c>
      <c r="B4288">
        <v>55</v>
      </c>
      <c r="C4288" s="1">
        <f>7.38230243000567*(10.3/7.3)</f>
        <v>10.416125346446352</v>
      </c>
      <c r="D4288" s="1">
        <f>11.7011784141418*(10.3/7.3)</f>
        <v>16.509881872008236</v>
      </c>
      <c r="E4288" s="1">
        <f>40.8696279330342*(10.3/7.3)</f>
        <v>57.665365439760613</v>
      </c>
      <c r="F4288" s="1">
        <f>87.3237238714243*(38.9/42.5)</f>
        <v>79.926890790550701</v>
      </c>
      <c r="G4288" s="1">
        <v>3.6193509839359086</v>
      </c>
      <c r="H4288" s="1">
        <v>6.5238336124584668</v>
      </c>
      <c r="I4288" s="1">
        <v>61.396665619393239</v>
      </c>
      <c r="J4288" s="1">
        <v>6.0707593303682458E-2</v>
      </c>
      <c r="K4288" s="1">
        <v>3.6320024978309928</v>
      </c>
      <c r="L4288" s="1">
        <v>5.2287526606211019</v>
      </c>
      <c r="M4288" s="1">
        <v>0.29833941906965977</v>
      </c>
      <c r="N4288" s="1">
        <v>2.6682827986900115</v>
      </c>
      <c r="O4288" s="1">
        <v>0.25082084848484842</v>
      </c>
      <c r="P4288" s="1">
        <v>0.16598720427453531</v>
      </c>
      <c r="Q4288" s="1">
        <v>5.7843508875688112</v>
      </c>
      <c r="R4288" s="2">
        <f t="shared" si="267"/>
        <v>241.84246455212232</v>
      </c>
      <c r="S4288" s="2">
        <f t="shared" si="266"/>
        <v>3.8586972954092107</v>
      </c>
      <c r="T4288" s="2">
        <f t="shared" si="268"/>
        <v>8.4461957268656214</v>
      </c>
      <c r="U4288" s="2">
        <f t="shared" si="269"/>
        <v>254.14735757439715</v>
      </c>
    </row>
    <row r="4289" spans="1:21" x14ac:dyDescent="0.25">
      <c r="A4289">
        <v>5126205</v>
      </c>
      <c r="B4289">
        <v>55</v>
      </c>
      <c r="C4289" s="1">
        <f>7.55776807505779*(10.3/7.3)</f>
        <v>10.663700160697971</v>
      </c>
      <c r="D4289" s="1">
        <f>11.7709232094604*(10.3/7.3)</f>
        <v>16.608288911978381</v>
      </c>
      <c r="E4289" s="1">
        <f>41.1408296100449*(10.3/7.3)</f>
        <v>58.048019860748354</v>
      </c>
      <c r="F4289" s="1">
        <f>87.829397425221*(38.9/42.5)</f>
        <v>80.389730819790543</v>
      </c>
      <c r="G4289" s="1">
        <v>3.6275249076262517</v>
      </c>
      <c r="H4289" s="1">
        <v>6.6713890994335054</v>
      </c>
      <c r="I4289" s="1">
        <v>62.038517820554816</v>
      </c>
      <c r="J4289" s="1">
        <v>6.2403794718340677E-2</v>
      </c>
      <c r="K4289" s="1">
        <v>3.657182540549984</v>
      </c>
      <c r="L4289" s="1">
        <v>5.2909673927619005</v>
      </c>
      <c r="M4289" s="1">
        <v>0.29784241666443917</v>
      </c>
      <c r="N4289" s="1">
        <v>2.7127578478665306</v>
      </c>
      <c r="O4289" s="1">
        <v>0.24869139393939396</v>
      </c>
      <c r="P4289" s="1">
        <v>0.16506141429689963</v>
      </c>
      <c r="Q4289" s="1">
        <v>5.7974142359323713</v>
      </c>
      <c r="R4289" s="2">
        <f t="shared" si="267"/>
        <v>243.84458581676216</v>
      </c>
      <c r="S4289" s="2">
        <f t="shared" si="266"/>
        <v>3.8846477495652243</v>
      </c>
      <c r="T4289" s="2">
        <f t="shared" si="268"/>
        <v>8.5502590512322652</v>
      </c>
      <c r="U4289" s="2">
        <f t="shared" si="269"/>
        <v>256.27949261755964</v>
      </c>
    </row>
    <row r="4290" spans="1:21" x14ac:dyDescent="0.25">
      <c r="A4290">
        <v>5126213</v>
      </c>
      <c r="B4290">
        <v>54</v>
      </c>
      <c r="C4290" s="1">
        <f>7.00885156022105*(10.3/7.3)</f>
        <v>9.8892015164762803</v>
      </c>
      <c r="D4290" s="1">
        <f>10.7298856586258*(10.3/7.3)</f>
        <v>15.139427710115818</v>
      </c>
      <c r="E4290" s="1">
        <f>37.516602149981*(10.3/7.3)</f>
        <v>52.934383855452616</v>
      </c>
      <c r="F4290" s="1">
        <f>80.5697499988954*(38.9/42.5)</f>
        <v>73.745018234283108</v>
      </c>
      <c r="G4290" s="1">
        <v>3.3393563456179951</v>
      </c>
      <c r="H4290" s="1">
        <v>7.6251874324625595</v>
      </c>
      <c r="I4290" s="1">
        <v>57.273308524864888</v>
      </c>
      <c r="J4290" s="1">
        <v>5.9464728920742366E-2</v>
      </c>
      <c r="K4290" s="1">
        <v>3.4620117264458941</v>
      </c>
      <c r="L4290" s="1">
        <v>4.8958430721225747</v>
      </c>
      <c r="M4290" s="1">
        <v>0.27311743926129217</v>
      </c>
      <c r="N4290" s="1">
        <v>2.5662056696381201</v>
      </c>
      <c r="O4290" s="1">
        <v>0.23166419753086415</v>
      </c>
      <c r="P4290" s="1">
        <v>0.15598189487269576</v>
      </c>
      <c r="Q4290" s="1">
        <v>5.3368708719922378</v>
      </c>
      <c r="R4290" s="2">
        <f t="shared" si="267"/>
        <v>225.28275449126551</v>
      </c>
      <c r="S4290" s="2">
        <f t="shared" si="266"/>
        <v>3.6774583502393319</v>
      </c>
      <c r="T4290" s="2">
        <f t="shared" si="268"/>
        <v>7.9668303785528511</v>
      </c>
      <c r="U4290" s="2">
        <f t="shared" si="269"/>
        <v>236.9270432200577</v>
      </c>
    </row>
    <row r="4291" spans="1:21" x14ac:dyDescent="0.25">
      <c r="A4291">
        <v>5126221</v>
      </c>
      <c r="B4291">
        <v>24</v>
      </c>
      <c r="C4291" s="1">
        <f>6.34951819693949*(10.3/7.3)</f>
        <v>8.9589092367776413</v>
      </c>
      <c r="D4291" s="1">
        <f>9.6034307919462*(10.3/7.3)</f>
        <v>13.550046185896687</v>
      </c>
      <c r="E4291" s="1">
        <f>33.5773208925994*(10.3/7.3)</f>
        <v>47.376219889558051</v>
      </c>
      <c r="F4291" s="1">
        <f>72.9137791177337*(38.9/42.5)</f>
        <v>66.737553121878634</v>
      </c>
      <c r="G4291" s="1">
        <v>3.0507081174212929</v>
      </c>
      <c r="H4291" s="1">
        <v>9.8663354008558599</v>
      </c>
      <c r="I4291" s="1">
        <v>52.153167238576138</v>
      </c>
      <c r="J4291" s="1">
        <v>5.7253901896460568E-2</v>
      </c>
      <c r="K4291" s="1">
        <v>3.2144809425715173</v>
      </c>
      <c r="L4291" s="1">
        <v>4.4259967751555207</v>
      </c>
      <c r="M4291" s="1">
        <v>0.24821851416676632</v>
      </c>
      <c r="N4291" s="1">
        <v>2.4069267085203498</v>
      </c>
      <c r="O4291" s="1">
        <v>0.21297111111111111</v>
      </c>
      <c r="P4291" s="1">
        <v>0.14505344956158259</v>
      </c>
      <c r="Q4291" s="1">
        <v>4.8755609182532131</v>
      </c>
      <c r="R4291" s="2">
        <f t="shared" si="267"/>
        <v>206.56850010921752</v>
      </c>
      <c r="S4291" s="2">
        <f t="shared" si="266"/>
        <v>3.4167882940295602</v>
      </c>
      <c r="T4291" s="2">
        <f t="shared" si="268"/>
        <v>7.2941131089537485</v>
      </c>
      <c r="U4291" s="2">
        <f t="shared" si="269"/>
        <v>217.27940151220085</v>
      </c>
    </row>
    <row r="4292" spans="1:21" x14ac:dyDescent="0.25">
      <c r="A4292">
        <v>5126285</v>
      </c>
      <c r="B4292">
        <v>6</v>
      </c>
      <c r="C4292" s="1">
        <f>4.88305755091407*(10.3/7.3)</f>
        <v>6.8897935307417679</v>
      </c>
      <c r="D4292" s="1">
        <f>6.38636106405804*(10.3/7.3)</f>
        <v>9.0108930081914753</v>
      </c>
      <c r="E4292" s="1">
        <f>22.3722680199211*(10.3/7.3)</f>
        <v>31.56635076783386</v>
      </c>
      <c r="F4292" s="1">
        <f>53.0480049538083*(38.9/42.5)</f>
        <v>48.554526887132781</v>
      </c>
      <c r="G4292" s="1">
        <v>2.3597734033319004</v>
      </c>
      <c r="H4292" s="1">
        <v>7.4582906223427443</v>
      </c>
      <c r="I4292" s="1">
        <v>40.251344772420971</v>
      </c>
      <c r="J4292" s="1">
        <v>4.1729080149737856E-2</v>
      </c>
      <c r="K4292" s="1">
        <v>2.32449148826095</v>
      </c>
      <c r="L4292" s="1">
        <v>3.0213247268643162</v>
      </c>
      <c r="M4292" s="1">
        <v>0.14921847006152986</v>
      </c>
      <c r="N4292" s="1">
        <v>1.9482210960170026</v>
      </c>
      <c r="O4292" s="1">
        <v>0.13004444444444443</v>
      </c>
      <c r="P4292" s="1">
        <v>9.9818156836590941E-2</v>
      </c>
      <c r="Q4292" s="1">
        <v>3.7713273569231318</v>
      </c>
      <c r="R4292" s="2">
        <f t="shared" si="267"/>
        <v>149.86230034891864</v>
      </c>
      <c r="S4292" s="2">
        <f t="shared" si="266"/>
        <v>2.4660387252472784</v>
      </c>
      <c r="T4292" s="2">
        <f t="shared" si="268"/>
        <v>5.2488087373872938</v>
      </c>
      <c r="U4292" s="2">
        <f t="shared" si="269"/>
        <v>157.5771478115532</v>
      </c>
    </row>
    <row r="4293" spans="1:21" x14ac:dyDescent="0.25">
      <c r="A4293">
        <v>5126293</v>
      </c>
      <c r="B4293">
        <v>43</v>
      </c>
      <c r="C4293" s="1">
        <f>3.9820381206148*(10.3/7.3)</f>
        <v>5.6184921427852714</v>
      </c>
      <c r="D4293" s="1">
        <f>5.3274477534251*(10.3/7.3)</f>
        <v>7.5168098438737694</v>
      </c>
      <c r="E4293" s="1">
        <f>18.6533577847544*(10.3/7.3)</f>
        <v>26.319121257941195</v>
      </c>
      <c r="F4293" s="1">
        <f>43.788232396283*(38.9/42.5)</f>
        <v>40.079111534480198</v>
      </c>
      <c r="G4293" s="1">
        <v>1.937047970498341</v>
      </c>
      <c r="H4293" s="1">
        <v>5.9972184081013902</v>
      </c>
      <c r="I4293" s="1">
        <v>32.957523611917644</v>
      </c>
      <c r="J4293" s="1">
        <v>4.1319331396221029E-2</v>
      </c>
      <c r="K4293" s="1">
        <v>2.2345081344685793</v>
      </c>
      <c r="L4293" s="1">
        <v>2.9759062083097612</v>
      </c>
      <c r="M4293" s="1">
        <v>0.14320910435162323</v>
      </c>
      <c r="N4293" s="1">
        <v>1.8566630406815703</v>
      </c>
      <c r="O4293" s="1">
        <v>0.12400620155038763</v>
      </c>
      <c r="P4293" s="1">
        <v>9.6869600716180171E-2</v>
      </c>
      <c r="Q4293" s="1">
        <v>3.0957387656366202</v>
      </c>
      <c r="R4293" s="2">
        <f t="shared" si="267"/>
        <v>123.52106353523443</v>
      </c>
      <c r="S4293" s="2">
        <f t="shared" si="266"/>
        <v>2.3726970665809808</v>
      </c>
      <c r="T4293" s="2">
        <f t="shared" si="268"/>
        <v>5.0997845548933425</v>
      </c>
      <c r="U4293" s="2">
        <f t="shared" si="269"/>
        <v>130.99354515670876</v>
      </c>
    </row>
    <row r="4294" spans="1:21" x14ac:dyDescent="0.25">
      <c r="A4294">
        <v>5126429</v>
      </c>
      <c r="B4294">
        <v>23</v>
      </c>
      <c r="C4294" s="1">
        <f>5.94337960865741*(10.3/7.3)</f>
        <v>8.3858643793385426</v>
      </c>
      <c r="D4294" s="1">
        <f>7.23651745388269*(10.3/7.3)</f>
        <v>10.210428736300237</v>
      </c>
      <c r="E4294" s="1">
        <f>25.4968691688491*(10.3/7.3)</f>
        <v>35.97503458070485</v>
      </c>
      <c r="F4294" s="1">
        <f>57.1426953063271*(38.9/42.5)</f>
        <v>52.302372880379437</v>
      </c>
      <c r="G4294" s="1">
        <v>2.3810146916600594</v>
      </c>
      <c r="H4294" s="1">
        <v>5.7111764414544046</v>
      </c>
      <c r="I4294" s="1">
        <v>43.834390083724372</v>
      </c>
      <c r="J4294" s="1">
        <v>3.2545741792104656E-2</v>
      </c>
      <c r="K4294" s="1">
        <v>2.0653390155733846</v>
      </c>
      <c r="L4294" s="1">
        <v>2.3785747437116718</v>
      </c>
      <c r="M4294" s="1">
        <v>0.11367333367147063</v>
      </c>
      <c r="N4294" s="1">
        <v>2.4852917752649915</v>
      </c>
      <c r="O4294" s="1">
        <v>0.10300057971014492</v>
      </c>
      <c r="P4294" s="1">
        <v>8.1136322138000261E-2</v>
      </c>
      <c r="Q4294" s="1">
        <v>3.8052746213745281</v>
      </c>
      <c r="R4294" s="2">
        <f t="shared" si="267"/>
        <v>162.60555641493644</v>
      </c>
      <c r="S4294" s="2">
        <f t="shared" si="266"/>
        <v>2.1790210795034892</v>
      </c>
      <c r="T4294" s="2">
        <f t="shared" si="268"/>
        <v>5.0805404323582781</v>
      </c>
      <c r="U4294" s="2">
        <f t="shared" si="269"/>
        <v>169.86511792679821</v>
      </c>
    </row>
    <row r="4295" spans="1:21" x14ac:dyDescent="0.25">
      <c r="A4295">
        <v>5126437</v>
      </c>
      <c r="B4295">
        <v>9</v>
      </c>
      <c r="C4295" s="1">
        <f>10.0183665794447*(10.3/7.3)</f>
        <v>14.135503529901408</v>
      </c>
      <c r="D4295" s="1">
        <f>12.4354662865053*(10.3/7.3)</f>
        <v>17.545931883699225</v>
      </c>
      <c r="E4295" s="1">
        <f>43.8407192310002*(10.3/7.3)</f>
        <v>61.857453161548193</v>
      </c>
      <c r="F4295" s="1">
        <f>94.9704599775859*(38.9/42.5)</f>
        <v>86.925903367719798</v>
      </c>
      <c r="G4295" s="1">
        <v>3.8323368608420361</v>
      </c>
      <c r="H4295" s="1">
        <v>7.6546105376383586</v>
      </c>
      <c r="I4295" s="1">
        <v>71.986334642564117</v>
      </c>
      <c r="J4295" s="1">
        <v>4.5529576314953107E-2</v>
      </c>
      <c r="K4295" s="1">
        <v>2.6502861879305275</v>
      </c>
      <c r="L4295" s="1">
        <v>3.2345092806945437</v>
      </c>
      <c r="M4295" s="1">
        <v>0.14102610988987185</v>
      </c>
      <c r="N4295" s="1">
        <v>2.3166514607519919</v>
      </c>
      <c r="O4295" s="1">
        <v>0.13268740740740739</v>
      </c>
      <c r="P4295" s="1">
        <v>9.9426327352703223E-2</v>
      </c>
      <c r="Q4295" s="1">
        <v>6.124739275318329</v>
      </c>
      <c r="R4295" s="2">
        <f t="shared" si="267"/>
        <v>270.06281325923146</v>
      </c>
      <c r="S4295" s="2">
        <f t="shared" si="266"/>
        <v>2.7952420915981842</v>
      </c>
      <c r="T4295" s="2">
        <f t="shared" si="268"/>
        <v>5.8248742587438143</v>
      </c>
      <c r="U4295" s="2">
        <f t="shared" si="269"/>
        <v>278.68292960957348</v>
      </c>
    </row>
    <row r="4296" spans="1:21" x14ac:dyDescent="0.25">
      <c r="A4296">
        <v>5126557</v>
      </c>
      <c r="B4296">
        <v>4</v>
      </c>
      <c r="C4296" s="1">
        <f>6.26313866134777*(10.3/7.3)</f>
        <v>8.8370312619016556</v>
      </c>
      <c r="D4296" s="1">
        <f>7.12914873647511*(10.3/7.3)</f>
        <v>10.058935888451177</v>
      </c>
      <c r="E4296" s="1">
        <f>25.1938339906888*(10.3/7.3)</f>
        <v>35.54746439782118</v>
      </c>
      <c r="F4296" s="1">
        <f>56.7518643488308*(38.9/42.5)</f>
        <v>51.944647603988692</v>
      </c>
      <c r="G4296" s="1">
        <v>2.3473450726611231</v>
      </c>
      <c r="H4296" s="1">
        <v>8.2826663122841708</v>
      </c>
      <c r="I4296" s="1">
        <v>44.494130643747795</v>
      </c>
      <c r="J4296" s="1">
        <v>5.0899350669712955E-2</v>
      </c>
      <c r="K4296" s="1">
        <v>2.5061618784711532</v>
      </c>
      <c r="L4296" s="1">
        <v>2.2493157430352184</v>
      </c>
      <c r="M4296" s="1">
        <v>0.10295536320922573</v>
      </c>
      <c r="N4296" s="1">
        <v>1.9754504044795187</v>
      </c>
      <c r="O4296" s="1">
        <v>9.9373333333333327E-2</v>
      </c>
      <c r="P4296" s="1">
        <v>7.5872310702472884E-2</v>
      </c>
      <c r="Q4296" s="1">
        <v>3.7514647279972331</v>
      </c>
      <c r="R4296" s="2">
        <f t="shared" si="267"/>
        <v>165.26368590885306</v>
      </c>
      <c r="S4296" s="2">
        <f t="shared" si="266"/>
        <v>2.6329335398433393</v>
      </c>
      <c r="T4296" s="2">
        <f t="shared" si="268"/>
        <v>4.4270948440572964</v>
      </c>
      <c r="U4296" s="2">
        <f t="shared" si="269"/>
        <v>172.32371429275372</v>
      </c>
    </row>
    <row r="4297" spans="1:21" x14ac:dyDescent="0.25">
      <c r="A4297">
        <v>5126565</v>
      </c>
      <c r="B4297">
        <v>1</v>
      </c>
      <c r="C4297" s="1">
        <f>5.62786322956083*(10.3/7.3)</f>
        <v>7.9406837348598023</v>
      </c>
      <c r="D4297" s="1">
        <f>6.40682809388849*(10.3/7.3)</f>
        <v>9.039771146171427</v>
      </c>
      <c r="E4297" s="1">
        <f>22.6429072147233*(10.3/7.3)</f>
        <v>31.94821154954111</v>
      </c>
      <c r="F4297" s="1">
        <f>50.9125736662049*(38.9/42.5)</f>
        <v>46.599979190949867</v>
      </c>
      <c r="G4297" s="1">
        <v>2.1019078950260042</v>
      </c>
      <c r="H4297" s="1">
        <v>8.2902242557912746</v>
      </c>
      <c r="I4297" s="1">
        <v>39.903941596710325</v>
      </c>
      <c r="J4297" s="1">
        <v>4.4265101595302031E-2</v>
      </c>
      <c r="K4297" s="1">
        <v>2.4389791210647522</v>
      </c>
      <c r="L4297" s="1">
        <v>2.2364653963580574</v>
      </c>
      <c r="M4297" s="1">
        <v>0.10313201711698045</v>
      </c>
      <c r="N4297" s="1">
        <v>2.0844771653122427</v>
      </c>
      <c r="O4297" s="1">
        <v>9.9253333333333332E-2</v>
      </c>
      <c r="P4297" s="1">
        <v>7.589541753282418E-2</v>
      </c>
      <c r="Q4297" s="1">
        <v>3.3592135308634807</v>
      </c>
      <c r="R4297" s="2">
        <f t="shared" si="267"/>
        <v>149.18393289991329</v>
      </c>
      <c r="S4297" s="2">
        <f t="shared" ref="S4297:S4360" si="270">J4297+K4297+P4297</f>
        <v>2.5591396401928788</v>
      </c>
      <c r="T4297" s="2">
        <f t="shared" si="268"/>
        <v>4.5233279121206138</v>
      </c>
      <c r="U4297" s="2">
        <f t="shared" si="269"/>
        <v>156.26640045222678</v>
      </c>
    </row>
    <row r="4298" spans="1:21" x14ac:dyDescent="0.25">
      <c r="A4298">
        <v>5126621</v>
      </c>
      <c r="B4298">
        <v>1</v>
      </c>
      <c r="C4298" s="1">
        <f>2.94735937004601*(10.3/7.3)</f>
        <v>4.1586029467772496</v>
      </c>
      <c r="D4298" s="1">
        <f>3.75931448618978*(10.3/7.3)</f>
        <v>5.3042382476376337</v>
      </c>
      <c r="E4298" s="1">
        <f>13.1037585255813*(10.3/7.3)</f>
        <v>18.488864768970906</v>
      </c>
      <c r="F4298" s="1">
        <f>35.1414168824736*(38.9/42.5)</f>
        <v>32.164732158311118</v>
      </c>
      <c r="G4298" s="1">
        <v>1.7188649555036541</v>
      </c>
      <c r="H4298" s="1">
        <v>5.8851186775309206</v>
      </c>
      <c r="I4298" s="1">
        <v>27.387850211991193</v>
      </c>
      <c r="J4298" s="1">
        <v>3.7832404699358987E-2</v>
      </c>
      <c r="K4298" s="1">
        <v>1.7445060527131244</v>
      </c>
      <c r="L4298" s="1">
        <v>1.6096865344090914</v>
      </c>
      <c r="M4298" s="1">
        <v>7.7119074794864295E-2</v>
      </c>
      <c r="N4298" s="1">
        <v>1.141263783865883</v>
      </c>
      <c r="O4298" s="1">
        <v>7.5413333333333332E-2</v>
      </c>
      <c r="P4298" s="1">
        <v>6.11276099017702E-2</v>
      </c>
      <c r="Q4298" s="1">
        <v>2.7470444494350668</v>
      </c>
      <c r="R4298" s="2">
        <f t="shared" ref="R4298:R4361" si="271">C4298+D4298+E4298+F4298+G4298+H4298+I4298+Q4298</f>
        <v>97.855316416157748</v>
      </c>
      <c r="S4298" s="2">
        <f t="shared" si="270"/>
        <v>1.8434660673142536</v>
      </c>
      <c r="T4298" s="2">
        <f t="shared" ref="T4298:T4361" si="272">L4298+M4298+N4298+O4298</f>
        <v>2.9034827264031717</v>
      </c>
      <c r="U4298" s="2">
        <f t="shared" ref="U4298:U4361" si="273">R4298+S4298+T4298</f>
        <v>102.60226520987517</v>
      </c>
    </row>
    <row r="4299" spans="1:21" x14ac:dyDescent="0.25">
      <c r="A4299">
        <v>5137913</v>
      </c>
      <c r="B4299">
        <v>28</v>
      </c>
      <c r="C4299" s="1">
        <f>0.622416296311454*(10.3/7.3)</f>
        <v>0.8782038153435584</v>
      </c>
      <c r="D4299" s="1">
        <f>0.889908985759508*(10.3/7.3)</f>
        <v>1.2556250073045114</v>
      </c>
      <c r="E4299" s="1">
        <f>3.08734032827608*(10.3/7.3)</f>
        <v>4.3561103261977632</v>
      </c>
      <c r="F4299" s="1">
        <f>8.26857652871809*(38.9/42.5)</f>
        <v>7.5681794580502011</v>
      </c>
      <c r="G4299" s="1">
        <v>0.40952563014899018</v>
      </c>
      <c r="H4299" s="1">
        <v>1.8816400116112502</v>
      </c>
      <c r="I4299" s="1">
        <v>6.2723690029022281</v>
      </c>
      <c r="J4299" s="1">
        <v>3.6785545715256676E-2</v>
      </c>
      <c r="K4299" s="1">
        <v>2.7770314898188775</v>
      </c>
      <c r="L4299" s="1">
        <v>2.0853031801638395</v>
      </c>
      <c r="M4299" s="1">
        <v>0.72708566288156906</v>
      </c>
      <c r="N4299" s="1">
        <v>1.262149881536756</v>
      </c>
      <c r="O4299" s="1">
        <v>0.36435238095238093</v>
      </c>
      <c r="P4299" s="1">
        <v>0.19000838214853319</v>
      </c>
      <c r="Q4299" s="1">
        <v>0.65449301621984801</v>
      </c>
      <c r="R4299" s="2">
        <f t="shared" si="271"/>
        <v>23.276146267778351</v>
      </c>
      <c r="S4299" s="2">
        <f t="shared" si="270"/>
        <v>3.0038254176826671</v>
      </c>
      <c r="T4299" s="2">
        <f t="shared" si="272"/>
        <v>4.4388911055345455</v>
      </c>
      <c r="U4299" s="2">
        <f t="shared" si="273"/>
        <v>30.718862790995562</v>
      </c>
    </row>
    <row r="4300" spans="1:21" x14ac:dyDescent="0.25">
      <c r="A4300">
        <v>5137921</v>
      </c>
      <c r="B4300">
        <v>35</v>
      </c>
      <c r="C4300" s="1">
        <f>1.25386812675347*(10.3/7.3)</f>
        <v>1.7691563980220244</v>
      </c>
      <c r="D4300" s="1">
        <f>1.89286671543192*(10.3/7.3)</f>
        <v>2.6707571464313333</v>
      </c>
      <c r="E4300" s="1">
        <f>6.51538111155841*(10.3/7.3)</f>
        <v>9.1929349930207742</v>
      </c>
      <c r="F4300" s="1">
        <f>19.3789613915575*(38.9/42.5)</f>
        <v>17.737449367802029</v>
      </c>
      <c r="G4300" s="1">
        <v>1.0315243664750458</v>
      </c>
      <c r="H4300" s="1">
        <v>6.3181912398350715</v>
      </c>
      <c r="I4300" s="1">
        <v>14.804337960178266</v>
      </c>
      <c r="J4300" s="1">
        <v>6.8173251313759342E-2</v>
      </c>
      <c r="K4300" s="1">
        <v>4.2374593401109166</v>
      </c>
      <c r="L4300" s="1">
        <v>3.8568168894506867</v>
      </c>
      <c r="M4300" s="1">
        <v>1.3308549892518797</v>
      </c>
      <c r="N4300" s="1">
        <v>2.0936120263583455</v>
      </c>
      <c r="O4300" s="1">
        <v>0.63537828571428556</v>
      </c>
      <c r="P4300" s="1">
        <v>0.25462746157466015</v>
      </c>
      <c r="Q4300" s="1">
        <v>1.648554923590257</v>
      </c>
      <c r="R4300" s="2">
        <f t="shared" si="271"/>
        <v>55.172906395354801</v>
      </c>
      <c r="S4300" s="2">
        <f t="shared" si="270"/>
        <v>4.560260052999336</v>
      </c>
      <c r="T4300" s="2">
        <f t="shared" si="272"/>
        <v>7.9166621907751971</v>
      </c>
      <c r="U4300" s="2">
        <f t="shared" si="273"/>
        <v>67.649828639129339</v>
      </c>
    </row>
    <row r="4301" spans="1:21" x14ac:dyDescent="0.25">
      <c r="A4301">
        <v>5138145</v>
      </c>
      <c r="B4301">
        <v>2</v>
      </c>
      <c r="C4301" s="1">
        <f>1.20901477942901*(10.3/7.3)</f>
        <v>1.7058701682354513</v>
      </c>
      <c r="D4301" s="1">
        <f>2.09286320958988*(10.3/7.3)</f>
        <v>2.9529439806542084</v>
      </c>
      <c r="E4301" s="1">
        <f>7.15852461634636*(10.3/7.3)</f>
        <v>10.100384047721571</v>
      </c>
      <c r="F4301" s="1">
        <f>21.8357341572766*(38.9/42.5)</f>
        <v>19.986119028660251</v>
      </c>
      <c r="G4301" s="1">
        <v>1.1920467949841198</v>
      </c>
      <c r="H4301" s="1">
        <v>6.3318771159507916</v>
      </c>
      <c r="I4301" s="1">
        <v>16.347689497058955</v>
      </c>
      <c r="J4301" s="1">
        <v>4.490158215888479E-2</v>
      </c>
      <c r="K4301" s="1">
        <v>2.9459603756690029</v>
      </c>
      <c r="L4301" s="1">
        <v>4.047691511823821</v>
      </c>
      <c r="M4301" s="1">
        <v>0.72768833660851961</v>
      </c>
      <c r="N4301" s="1">
        <v>2.1100004990040482</v>
      </c>
      <c r="O4301" s="1">
        <v>0.26512000000000002</v>
      </c>
      <c r="P4301" s="1">
        <v>0.16193409385948518</v>
      </c>
      <c r="Q4301" s="1">
        <v>1.9050976175545311</v>
      </c>
      <c r="R4301" s="2">
        <f t="shared" si="271"/>
        <v>60.522028250819872</v>
      </c>
      <c r="S4301" s="2">
        <f t="shared" si="270"/>
        <v>3.152796051687373</v>
      </c>
      <c r="T4301" s="2">
        <f t="shared" si="272"/>
        <v>7.1505003474363882</v>
      </c>
      <c r="U4301" s="2">
        <f t="shared" si="273"/>
        <v>70.825324649943639</v>
      </c>
    </row>
    <row r="4302" spans="1:21" x14ac:dyDescent="0.25">
      <c r="A4302">
        <v>5138153</v>
      </c>
      <c r="B4302">
        <v>29</v>
      </c>
      <c r="C4302" s="1">
        <f>2.39678275109725*(10.3/7.3)</f>
        <v>3.3817619638769405</v>
      </c>
      <c r="D4302" s="1">
        <f>4.18731955445127*(10.3/7.3)</f>
        <v>5.908135809705211</v>
      </c>
      <c r="E4302" s="1">
        <f>14.3417716999441*(10.3/7.3)</f>
        <v>20.235650480743047</v>
      </c>
      <c r="F4302" s="1">
        <f>42.5308013033351*(38.9/42.5)</f>
        <v>38.928192251758496</v>
      </c>
      <c r="G4302" s="1">
        <v>2.2875651412853641</v>
      </c>
      <c r="H4302" s="1">
        <v>10.780233628545211</v>
      </c>
      <c r="I4302" s="1">
        <v>31.614502131161938</v>
      </c>
      <c r="J4302" s="1">
        <v>7.6110492110596825E-2</v>
      </c>
      <c r="K4302" s="1">
        <v>4.2896893504452223</v>
      </c>
      <c r="L4302" s="1">
        <v>6.6847000401853123</v>
      </c>
      <c r="M4302" s="1">
        <v>1.1402146055623148</v>
      </c>
      <c r="N4302" s="1">
        <v>3.1190240033797925</v>
      </c>
      <c r="O4302" s="1">
        <v>0.41647264367816089</v>
      </c>
      <c r="P4302" s="1">
        <v>0.21740375835679265</v>
      </c>
      <c r="Q4302" s="1">
        <v>3.6559260248852885</v>
      </c>
      <c r="R4302" s="2">
        <f t="shared" si="271"/>
        <v>116.79196743196151</v>
      </c>
      <c r="S4302" s="2">
        <f t="shared" si="270"/>
        <v>4.5832036009126114</v>
      </c>
      <c r="T4302" s="2">
        <f t="shared" si="272"/>
        <v>11.36041129280558</v>
      </c>
      <c r="U4302" s="2">
        <f t="shared" si="273"/>
        <v>132.7355823256797</v>
      </c>
    </row>
    <row r="4303" spans="1:21" x14ac:dyDescent="0.25">
      <c r="A4303">
        <v>5138161</v>
      </c>
      <c r="B4303">
        <v>47</v>
      </c>
      <c r="C4303" s="1">
        <f>1.84514187773893*(10.3/7.3)</f>
        <v>2.6034193617412233</v>
      </c>
      <c r="D4303" s="1">
        <f>3.11303315838497*(10.3/7.3)</f>
        <v>4.3923618536116749</v>
      </c>
      <c r="E4303" s="1">
        <f>10.6948264024777*(10.3/7.3)</f>
        <v>15.089960540482174</v>
      </c>
      <c r="F4303" s="1">
        <f>30.6787647989595*(38.9/42.5)</f>
        <v>28.080092957165284</v>
      </c>
      <c r="G4303" s="1">
        <v>1.6139967064254126</v>
      </c>
      <c r="H4303" s="1">
        <v>7.2176037720598076</v>
      </c>
      <c r="I4303" s="1">
        <v>22.79396106074039</v>
      </c>
      <c r="J4303" s="1">
        <v>6.4948101764742458E-2</v>
      </c>
      <c r="K4303" s="1">
        <v>3.5357383057691263</v>
      </c>
      <c r="L4303" s="1">
        <v>5.0227252952721093</v>
      </c>
      <c r="M4303" s="1">
        <v>0.83975019727201861</v>
      </c>
      <c r="N4303" s="1">
        <v>2.5487708126109361</v>
      </c>
      <c r="O4303" s="1">
        <v>0.33038865248226951</v>
      </c>
      <c r="P4303" s="1">
        <v>0.18547418621323392</v>
      </c>
      <c r="Q4303" s="1">
        <v>2.5794467910908447</v>
      </c>
      <c r="R4303" s="2">
        <f t="shared" si="271"/>
        <v>84.37084304331681</v>
      </c>
      <c r="S4303" s="2">
        <f t="shared" si="270"/>
        <v>3.7861605937471028</v>
      </c>
      <c r="T4303" s="2">
        <f t="shared" si="272"/>
        <v>8.7416349576373342</v>
      </c>
      <c r="U4303" s="2">
        <f t="shared" si="273"/>
        <v>96.898638594701239</v>
      </c>
    </row>
    <row r="4304" spans="1:21" x14ac:dyDescent="0.25">
      <c r="A4304">
        <v>5138337</v>
      </c>
      <c r="B4304">
        <v>59</v>
      </c>
      <c r="C4304" s="1">
        <f>4.39165997128881*(10.3/7.3)</f>
        <v>6.1964517403116055</v>
      </c>
      <c r="D4304" s="1">
        <f>8.2150652085833*(10.3/7.3)</f>
        <v>11.591119403891502</v>
      </c>
      <c r="E4304" s="1">
        <f>28.5721649880322*(10.3/7.3)</f>
        <v>40.314150599552349</v>
      </c>
      <c r="F4304" s="1">
        <f>59.221853603451*(38.9/42.5)</f>
        <v>54.205414239393953</v>
      </c>
      <c r="G4304" s="1">
        <v>2.4347404392570278</v>
      </c>
      <c r="H4304" s="1">
        <v>5.4001577525327757</v>
      </c>
      <c r="I4304" s="1">
        <v>39.481328687883718</v>
      </c>
      <c r="J4304" s="1">
        <v>5.2885997093230282E-2</v>
      </c>
      <c r="K4304" s="1">
        <v>2.8692853613343252</v>
      </c>
      <c r="L4304" s="1">
        <v>3.497588236868395</v>
      </c>
      <c r="M4304" s="1">
        <v>0.27539246001824252</v>
      </c>
      <c r="N4304" s="1">
        <v>2.2129697679949012</v>
      </c>
      <c r="O4304" s="1">
        <v>0.20953401129943505</v>
      </c>
      <c r="P4304" s="1">
        <v>0.14611278419738441</v>
      </c>
      <c r="Q4304" s="1">
        <v>3.8911376883103226</v>
      </c>
      <c r="R4304" s="2">
        <f t="shared" si="271"/>
        <v>163.51450055113327</v>
      </c>
      <c r="S4304" s="2">
        <f t="shared" si="270"/>
        <v>3.0682841426249401</v>
      </c>
      <c r="T4304" s="2">
        <f t="shared" si="272"/>
        <v>6.1954844761809733</v>
      </c>
      <c r="U4304" s="2">
        <f t="shared" si="273"/>
        <v>172.77826916993919</v>
      </c>
    </row>
    <row r="4305" spans="1:21" x14ac:dyDescent="0.25">
      <c r="A4305">
        <v>5138345</v>
      </c>
      <c r="B4305">
        <v>60</v>
      </c>
      <c r="C4305" s="1">
        <f>8.24291446883093*(10.3/7.3)</f>
        <v>11.63041356561077</v>
      </c>
      <c r="D4305" s="1">
        <f>14.9543552493887*(10.3/7.3)</f>
        <v>21.099980694342932</v>
      </c>
      <c r="E4305" s="1">
        <f>52.1069934599683*(10.3/7.3)</f>
        <v>73.520826388722398</v>
      </c>
      <c r="F4305" s="1">
        <f>105.67970872798*(38.9/42.5)</f>
        <v>96.728015753375033</v>
      </c>
      <c r="G4305" s="1">
        <v>4.2264907875923603</v>
      </c>
      <c r="H4305" s="1">
        <v>7.6050266959139821</v>
      </c>
      <c r="I4305" s="1">
        <v>70.498792321168693</v>
      </c>
      <c r="J4305" s="1">
        <v>7.8402241582624793E-2</v>
      </c>
      <c r="K4305" s="1">
        <v>4.0020077259728515</v>
      </c>
      <c r="L4305" s="1">
        <v>5.6674506443940338</v>
      </c>
      <c r="M4305" s="1">
        <v>0.41005941807527435</v>
      </c>
      <c r="N4305" s="1">
        <v>3.1900402856086858</v>
      </c>
      <c r="O4305" s="1">
        <v>0.30585777777777773</v>
      </c>
      <c r="P4305" s="1">
        <v>0.19254613650290958</v>
      </c>
      <c r="Q4305" s="1">
        <v>6.7546656422709042</v>
      </c>
      <c r="R4305" s="2">
        <f t="shared" si="271"/>
        <v>292.06421184899705</v>
      </c>
      <c r="S4305" s="2">
        <f t="shared" si="270"/>
        <v>4.2729561040583857</v>
      </c>
      <c r="T4305" s="2">
        <f t="shared" si="272"/>
        <v>9.5734081258557708</v>
      </c>
      <c r="U4305" s="2">
        <f t="shared" si="273"/>
        <v>305.91057607891122</v>
      </c>
    </row>
    <row r="4306" spans="1:21" x14ac:dyDescent="0.25">
      <c r="A4306">
        <v>5138353</v>
      </c>
      <c r="B4306">
        <v>55</v>
      </c>
      <c r="C4306" s="1">
        <f>7.58418568434999*(10.3/7.3)</f>
        <v>10.700974321754101</v>
      </c>
      <c r="D4306" s="1">
        <f>13.5397733989465*(10.3/7.3)</f>
        <v>19.10406383686972</v>
      </c>
      <c r="E4306" s="1">
        <f>47.2021638885291*(10.3/7.3)</f>
        <v>66.600313431760256</v>
      </c>
      <c r="F4306" s="1">
        <f>95.7304541402779*(38.9/42.5)</f>
        <v>87.621521554277848</v>
      </c>
      <c r="G4306" s="1">
        <v>3.8196023602637394</v>
      </c>
      <c r="H4306" s="1">
        <v>6.929366904475958</v>
      </c>
      <c r="I4306" s="1">
        <v>64.139044769360794</v>
      </c>
      <c r="J4306" s="1">
        <v>6.6080723646868469E-2</v>
      </c>
      <c r="K4306" s="1">
        <v>3.7126893794128968</v>
      </c>
      <c r="L4306" s="1">
        <v>5.1595393666426821</v>
      </c>
      <c r="M4306" s="1">
        <v>0.36770035878521129</v>
      </c>
      <c r="N4306" s="1">
        <v>2.8210168618217257</v>
      </c>
      <c r="O4306" s="1">
        <v>0.28047030303030296</v>
      </c>
      <c r="P4306" s="1">
        <v>0.18043552679809199</v>
      </c>
      <c r="Q4306" s="1">
        <v>6.1043873337548433</v>
      </c>
      <c r="R4306" s="2">
        <f t="shared" si="271"/>
        <v>265.01927451251726</v>
      </c>
      <c r="S4306" s="2">
        <f t="shared" si="270"/>
        <v>3.9592056298578573</v>
      </c>
      <c r="T4306" s="2">
        <f t="shared" si="272"/>
        <v>8.6287268902799212</v>
      </c>
      <c r="U4306" s="2">
        <f t="shared" si="273"/>
        <v>277.60720703265508</v>
      </c>
    </row>
    <row r="4307" spans="1:21" x14ac:dyDescent="0.25">
      <c r="A4307">
        <v>5138361</v>
      </c>
      <c r="B4307">
        <v>63</v>
      </c>
      <c r="C4307" s="1">
        <f>3.26105526147096*(10.3/7.3)</f>
        <v>4.6012149579658823</v>
      </c>
      <c r="D4307" s="1">
        <f>5.73960148383027*(10.3/7.3)</f>
        <v>8.0983418196509334</v>
      </c>
      <c r="E4307" s="1">
        <f>20.012233807301*(10.3/7.3)</f>
        <v>28.236439481534333</v>
      </c>
      <c r="F4307" s="1">
        <f>40.9029616542089*(38.9/42.5)</f>
        <v>37.43824019644066</v>
      </c>
      <c r="G4307" s="1">
        <v>1.6426003926482424</v>
      </c>
      <c r="H4307" s="1">
        <v>3.9316768696315565</v>
      </c>
      <c r="I4307" s="1">
        <v>27.581130554441497</v>
      </c>
      <c r="J4307" s="1">
        <v>3.7260043659218645E-2</v>
      </c>
      <c r="K4307" s="1">
        <v>2.4871064826837341</v>
      </c>
      <c r="L4307" s="1">
        <v>2.9876856408391315</v>
      </c>
      <c r="M4307" s="1">
        <v>0.2241915540918504</v>
      </c>
      <c r="N4307" s="1">
        <v>1.8113636285758508</v>
      </c>
      <c r="O4307" s="1">
        <v>0.17596021164021164</v>
      </c>
      <c r="P4307" s="1">
        <v>0.12956308617675949</v>
      </c>
      <c r="Q4307" s="1">
        <v>2.6251604448716224</v>
      </c>
      <c r="R4307" s="2">
        <f t="shared" si="271"/>
        <v>114.15480471718475</v>
      </c>
      <c r="S4307" s="2">
        <f t="shared" si="270"/>
        <v>2.6539296125197125</v>
      </c>
      <c r="T4307" s="2">
        <f t="shared" si="272"/>
        <v>5.1992010351470448</v>
      </c>
      <c r="U4307" s="2">
        <f t="shared" si="273"/>
        <v>122.00793536485151</v>
      </c>
    </row>
    <row r="4308" spans="1:21" x14ac:dyDescent="0.25">
      <c r="A4308">
        <v>5138369</v>
      </c>
      <c r="B4308">
        <v>64</v>
      </c>
      <c r="C4308" s="1">
        <f>4.37728296611042*(10.3/7.3)</f>
        <v>6.1761663768407242</v>
      </c>
      <c r="D4308" s="1">
        <f>8.31614005843302*(10.3/7.3)</f>
        <v>11.733731863268504</v>
      </c>
      <c r="E4308" s="1">
        <f>28.8900458651565*(10.3/7.3)</f>
        <v>40.762667453576952</v>
      </c>
      <c r="F4308" s="1">
        <f>60.8936213962955*(38.9/42.5)</f>
        <v>55.735573466256326</v>
      </c>
      <c r="G4308" s="1">
        <v>2.5520772320381777</v>
      </c>
      <c r="H4308" s="1">
        <v>5.1355176416389341</v>
      </c>
      <c r="I4308" s="1">
        <v>40.667806300500764</v>
      </c>
      <c r="J4308" s="1">
        <v>4.3595471002366028E-2</v>
      </c>
      <c r="K4308" s="1">
        <v>2.8292221610752737</v>
      </c>
      <c r="L4308" s="1">
        <v>3.5251395278058495</v>
      </c>
      <c r="M4308" s="1">
        <v>0.25514980938308429</v>
      </c>
      <c r="N4308" s="1">
        <v>2.5824615183580222</v>
      </c>
      <c r="O4308" s="1">
        <v>0.20360583333333332</v>
      </c>
      <c r="P4308" s="1">
        <v>0.14280238844136683</v>
      </c>
      <c r="Q4308" s="1">
        <v>4.0786622429833939</v>
      </c>
      <c r="R4308" s="2">
        <f t="shared" si="271"/>
        <v>166.84220257710376</v>
      </c>
      <c r="S4308" s="2">
        <f t="shared" si="270"/>
        <v>3.0156200205190062</v>
      </c>
      <c r="T4308" s="2">
        <f t="shared" si="272"/>
        <v>6.5663566888802896</v>
      </c>
      <c r="U4308" s="2">
        <f t="shared" si="273"/>
        <v>176.42417928650306</v>
      </c>
    </row>
    <row r="4309" spans="1:21" x14ac:dyDescent="0.25">
      <c r="A4309">
        <v>5138377</v>
      </c>
      <c r="B4309">
        <v>34</v>
      </c>
      <c r="C4309" s="1">
        <f>3.86030276347127*(10.3/7.3)</f>
        <v>5.4467285566786465</v>
      </c>
      <c r="D4309" s="1">
        <f>9.11760934178904*(10.3/7.3)</f>
        <v>12.864572084990021</v>
      </c>
      <c r="E4309" s="1">
        <f>31.49582322706*(10.3/7.3)</f>
        <v>44.439312224481931</v>
      </c>
      <c r="F4309" s="1">
        <f>65.9670503013955*(38.9/42.5)</f>
        <v>60.379253099394916</v>
      </c>
      <c r="G4309" s="1">
        <v>2.8162713010210152</v>
      </c>
      <c r="H4309" s="1">
        <v>10.722894098606943</v>
      </c>
      <c r="I4309" s="1">
        <v>41.803606321282032</v>
      </c>
      <c r="J4309" s="1">
        <v>4.1652286481739562E-2</v>
      </c>
      <c r="K4309" s="1">
        <v>2.7684440544240023</v>
      </c>
      <c r="L4309" s="1">
        <v>3.364203014419556</v>
      </c>
      <c r="M4309" s="1">
        <v>0.24268806395287487</v>
      </c>
      <c r="N4309" s="1">
        <v>2.0572336146976227</v>
      </c>
      <c r="O4309" s="1">
        <v>0.19248784313725492</v>
      </c>
      <c r="P4309" s="1">
        <v>0.13708153944681398</v>
      </c>
      <c r="Q4309" s="1">
        <v>4.5008902071112145</v>
      </c>
      <c r="R4309" s="2">
        <f t="shared" si="271"/>
        <v>182.97352789356674</v>
      </c>
      <c r="S4309" s="2">
        <f t="shared" si="270"/>
        <v>2.9471778803525561</v>
      </c>
      <c r="T4309" s="2">
        <f t="shared" si="272"/>
        <v>5.8566125362073089</v>
      </c>
      <c r="U4309" s="2">
        <f t="shared" si="273"/>
        <v>191.77731831012662</v>
      </c>
    </row>
    <row r="4310" spans="1:21" x14ac:dyDescent="0.25">
      <c r="A4310">
        <v>5138385</v>
      </c>
      <c r="B4310">
        <v>65</v>
      </c>
      <c r="C4310" s="1">
        <f>5.65597037598578*(10.3/7.3)</f>
        <v>7.9803417633771998</v>
      </c>
      <c r="D4310" s="1">
        <f>11.7339961517726*(10.3/7.3)</f>
        <v>16.556186351131227</v>
      </c>
      <c r="E4310" s="1">
        <f>40.5631180522159*(10.3/7.3)</f>
        <v>57.232892594222484</v>
      </c>
      <c r="F4310" s="1">
        <f>90.4012027309128*(38.9/42.5)</f>
        <v>82.743689087823711</v>
      </c>
      <c r="G4310" s="1">
        <v>4.0341247140645153</v>
      </c>
      <c r="H4310" s="1">
        <v>10.695794938267452</v>
      </c>
      <c r="I4310" s="1">
        <v>60.281285798772728</v>
      </c>
      <c r="J4310" s="1">
        <v>5.1841635664075542E-2</v>
      </c>
      <c r="K4310" s="1">
        <v>3.2359217509853946</v>
      </c>
      <c r="L4310" s="1">
        <v>4.2678104150970908</v>
      </c>
      <c r="M4310" s="1">
        <v>0.28752589881552704</v>
      </c>
      <c r="N4310" s="1">
        <v>2.506218310742645</v>
      </c>
      <c r="O4310" s="1">
        <v>0.22984697435897436</v>
      </c>
      <c r="P4310" s="1">
        <v>0.1552059896891067</v>
      </c>
      <c r="Q4310" s="1">
        <v>6.4472312781853054</v>
      </c>
      <c r="R4310" s="2">
        <f t="shared" si="271"/>
        <v>245.97154652584462</v>
      </c>
      <c r="S4310" s="2">
        <f t="shared" si="270"/>
        <v>3.4429693763385769</v>
      </c>
      <c r="T4310" s="2">
        <f t="shared" si="272"/>
        <v>7.2914015990142378</v>
      </c>
      <c r="U4310" s="2">
        <f t="shared" si="273"/>
        <v>256.7059175011974</v>
      </c>
    </row>
    <row r="4311" spans="1:21" x14ac:dyDescent="0.25">
      <c r="A4311">
        <v>5138393</v>
      </c>
      <c r="B4311">
        <v>35</v>
      </c>
      <c r="C4311" s="1">
        <f>3.1805876723205*(10.3/7.3)</f>
        <v>4.4876784965618031</v>
      </c>
      <c r="D4311" s="1">
        <f>6.10980979048357*(10.3/7.3)</f>
        <v>8.6206905262987412</v>
      </c>
      <c r="E4311" s="1">
        <f>21.0422869975705*(10.3/7.3)</f>
        <v>29.689802202051574</v>
      </c>
      <c r="F4311" s="1">
        <f>53.2538986206482*(38.9/42.5)</f>
        <v>48.742980149252126</v>
      </c>
      <c r="G4311" s="1">
        <v>2.6102713256861989</v>
      </c>
      <c r="H4311" s="1">
        <v>6.0942457746988916</v>
      </c>
      <c r="I4311" s="1">
        <v>37.48668485501895</v>
      </c>
      <c r="J4311" s="1">
        <v>3.7584844068723568E-2</v>
      </c>
      <c r="K4311" s="1">
        <v>2.4212753603149784</v>
      </c>
      <c r="L4311" s="1">
        <v>2.9255943212646307</v>
      </c>
      <c r="M4311" s="1">
        <v>0.20473988706523449</v>
      </c>
      <c r="N4311" s="1">
        <v>1.7652027191329507</v>
      </c>
      <c r="O4311" s="1">
        <v>0.16485790476190479</v>
      </c>
      <c r="P4311" s="1">
        <v>0.12244369324495523</v>
      </c>
      <c r="Q4311" s="1">
        <v>4.1716665022382209</v>
      </c>
      <c r="R4311" s="2">
        <f t="shared" si="271"/>
        <v>141.90401983180652</v>
      </c>
      <c r="S4311" s="2">
        <f t="shared" si="270"/>
        <v>2.5813038976286573</v>
      </c>
      <c r="T4311" s="2">
        <f t="shared" si="272"/>
        <v>5.0603948322247208</v>
      </c>
      <c r="U4311" s="2">
        <f t="shared" si="273"/>
        <v>149.5457185616599</v>
      </c>
    </row>
    <row r="4312" spans="1:21" x14ac:dyDescent="0.25">
      <c r="A4312">
        <v>5138401</v>
      </c>
      <c r="B4312">
        <v>53</v>
      </c>
      <c r="C4312" s="1">
        <f>5.1158177797984*(10.3/7.3)</f>
        <v>7.2182086482087007</v>
      </c>
      <c r="D4312" s="1">
        <f>9.95575043040594*(10.3/7.3)</f>
        <v>14.047154716874134</v>
      </c>
      <c r="E4312" s="1">
        <f>34.1087794499831*(10.3/7.3)</f>
        <v>48.126086073263771</v>
      </c>
      <c r="F4312" s="1">
        <f>94.7789655107305*(38.9/42.5)</f>
        <v>86.75062960864507</v>
      </c>
      <c r="G4312" s="1">
        <v>4.9474911974487386</v>
      </c>
      <c r="H4312" s="1">
        <v>6.9778990712371769</v>
      </c>
      <c r="I4312" s="1">
        <v>68.15996610787991</v>
      </c>
      <c r="J4312" s="1">
        <v>5.2043934868110528E-2</v>
      </c>
      <c r="K4312" s="1">
        <v>3.0257937374150754</v>
      </c>
      <c r="L4312" s="1">
        <v>3.9922332699607295</v>
      </c>
      <c r="M4312" s="1">
        <v>0.2593063828961984</v>
      </c>
      <c r="N4312" s="1">
        <v>2.4760401403266599</v>
      </c>
      <c r="O4312" s="1">
        <v>0.21146566037735848</v>
      </c>
      <c r="P4312" s="1">
        <v>0.14476843202030859</v>
      </c>
      <c r="Q4312" s="1">
        <v>7.9069494023153446</v>
      </c>
      <c r="R4312" s="2">
        <f t="shared" si="271"/>
        <v>244.13438482587284</v>
      </c>
      <c r="S4312" s="2">
        <f t="shared" si="270"/>
        <v>3.2226061043034941</v>
      </c>
      <c r="T4312" s="2">
        <f t="shared" si="272"/>
        <v>6.9390454535609463</v>
      </c>
      <c r="U4312" s="2">
        <f t="shared" si="273"/>
        <v>254.29603638373726</v>
      </c>
    </row>
    <row r="4313" spans="1:21" x14ac:dyDescent="0.25">
      <c r="A4313">
        <v>5138409</v>
      </c>
      <c r="B4313">
        <v>68</v>
      </c>
      <c r="C4313" s="1">
        <f>7.24129648089802*(10.3/7.3)</f>
        <v>10.217171747020496</v>
      </c>
      <c r="D4313" s="1">
        <f>12.463802338073*(10.3/7.3)</f>
        <v>17.585912887966082</v>
      </c>
      <c r="E4313" s="1">
        <f>43.2474875458017*(10.3/7.3)</f>
        <v>61.020427633117535</v>
      </c>
      <c r="F4313" s="1">
        <f>100.608440202084*(38.9/42.5)</f>
        <v>92.086313502613038</v>
      </c>
      <c r="G4313" s="1">
        <v>4.5653524053624226</v>
      </c>
      <c r="H4313" s="1">
        <v>6.7726583572179857</v>
      </c>
      <c r="I4313" s="1">
        <v>70.882852481958167</v>
      </c>
      <c r="J4313" s="1">
        <v>6.1561024110276641E-2</v>
      </c>
      <c r="K4313" s="1">
        <v>3.6702651121030692</v>
      </c>
      <c r="L4313" s="1">
        <v>5.2537785953054712</v>
      </c>
      <c r="M4313" s="1">
        <v>0.31643526257150312</v>
      </c>
      <c r="N4313" s="1">
        <v>2.7079264649133541</v>
      </c>
      <c r="O4313" s="1">
        <v>0.25968549019607839</v>
      </c>
      <c r="P4313" s="1">
        <v>0.1707514374055302</v>
      </c>
      <c r="Q4313" s="1">
        <v>7.296225305373742</v>
      </c>
      <c r="R4313" s="2">
        <f t="shared" si="271"/>
        <v>270.42691432062946</v>
      </c>
      <c r="S4313" s="2">
        <f t="shared" si="270"/>
        <v>3.9025775736188759</v>
      </c>
      <c r="T4313" s="2">
        <f t="shared" si="272"/>
        <v>8.5378258129864069</v>
      </c>
      <c r="U4313" s="2">
        <f t="shared" si="273"/>
        <v>282.86731770723475</v>
      </c>
    </row>
    <row r="4314" spans="1:21" x14ac:dyDescent="0.25">
      <c r="A4314">
        <v>5138417</v>
      </c>
      <c r="B4314">
        <v>69</v>
      </c>
      <c r="C4314" s="1">
        <f>6.84761745690987*(10.3/7.3)</f>
        <v>9.6617068227632483</v>
      </c>
      <c r="D4314" s="1">
        <f>11.3038986498064*(10.3/7.3)</f>
        <v>15.949336451096769</v>
      </c>
      <c r="E4314" s="1">
        <f>39.3762906091769*(10.3/7.3)</f>
        <v>55.558327845824905</v>
      </c>
      <c r="F4314" s="1">
        <f>86.6253672061503*(38.9/42.5)</f>
        <v>79.287689042805766</v>
      </c>
      <c r="G4314" s="1">
        <v>3.7174898072824929</v>
      </c>
      <c r="H4314" s="1">
        <v>6.383577830955903</v>
      </c>
      <c r="I4314" s="1">
        <v>60.732781628296806</v>
      </c>
      <c r="J4314" s="1">
        <v>5.7863647201587522E-2</v>
      </c>
      <c r="K4314" s="1">
        <v>3.5203726756642801</v>
      </c>
      <c r="L4314" s="1">
        <v>4.9849530616218809</v>
      </c>
      <c r="M4314" s="1">
        <v>0.29824169443846826</v>
      </c>
      <c r="N4314" s="1">
        <v>2.5680435352929547</v>
      </c>
      <c r="O4314" s="1">
        <v>0.24697971014492756</v>
      </c>
      <c r="P4314" s="1">
        <v>0.16344373550476898</v>
      </c>
      <c r="Q4314" s="1">
        <v>5.9411937559309314</v>
      </c>
      <c r="R4314" s="2">
        <f t="shared" si="271"/>
        <v>237.23210318495683</v>
      </c>
      <c r="S4314" s="2">
        <f t="shared" si="270"/>
        <v>3.7416800583706369</v>
      </c>
      <c r="T4314" s="2">
        <f t="shared" si="272"/>
        <v>8.0982180014982319</v>
      </c>
      <c r="U4314" s="2">
        <f t="shared" si="273"/>
        <v>249.07200124482569</v>
      </c>
    </row>
    <row r="4315" spans="1:21" x14ac:dyDescent="0.25">
      <c r="A4315">
        <v>5138425</v>
      </c>
      <c r="B4315">
        <v>70</v>
      </c>
      <c r="C4315" s="1">
        <f>7.45499844367121*(10.3/7.3)</f>
        <v>10.518696434221019</v>
      </c>
      <c r="D4315" s="1">
        <f>11.9845812184535*(10.3/7.3)</f>
        <v>16.909751582201569</v>
      </c>
      <c r="E4315" s="1">
        <f>41.8253001811884*(10.3/7.3)</f>
        <v>59.013779707704188</v>
      </c>
      <c r="F4315" s="1">
        <f>90.0282820857705*(38.9/42.5)</f>
        <v>82.402357014975863</v>
      </c>
      <c r="G4315" s="1">
        <v>3.7674779205288895</v>
      </c>
      <c r="H4315" s="1">
        <v>6.6343868040065237</v>
      </c>
      <c r="I4315" s="1">
        <v>63.182361917976351</v>
      </c>
      <c r="J4315" s="1">
        <v>6.1226520591227553E-2</v>
      </c>
      <c r="K4315" s="1">
        <v>3.6635113762057423</v>
      </c>
      <c r="L4315" s="1">
        <v>5.3017878034354737</v>
      </c>
      <c r="M4315" s="1">
        <v>0.30681803851850709</v>
      </c>
      <c r="N4315" s="1">
        <v>2.6940053610294972</v>
      </c>
      <c r="O4315" s="1">
        <v>0.25581409523809517</v>
      </c>
      <c r="P4315" s="1">
        <v>0.16819928982988919</v>
      </c>
      <c r="Q4315" s="1">
        <v>6.0210834346352184</v>
      </c>
      <c r="R4315" s="2">
        <f t="shared" si="271"/>
        <v>248.44989481624958</v>
      </c>
      <c r="S4315" s="2">
        <f t="shared" si="270"/>
        <v>3.8929371866268587</v>
      </c>
      <c r="T4315" s="2">
        <f t="shared" si="272"/>
        <v>8.5584252982215734</v>
      </c>
      <c r="U4315" s="2">
        <f t="shared" si="273"/>
        <v>260.90125730109798</v>
      </c>
    </row>
    <row r="4316" spans="1:21" x14ac:dyDescent="0.25">
      <c r="A4316">
        <v>5138433</v>
      </c>
      <c r="B4316">
        <v>70</v>
      </c>
      <c r="C4316" s="1">
        <f>7.21226803686394*(10.3/7.3)</f>
        <v>10.176213805438165</v>
      </c>
      <c r="D4316" s="1">
        <f>11.3910373962759*(10.3/7.3)</f>
        <v>16.072285641320835</v>
      </c>
      <c r="E4316" s="1">
        <f>39.789820493206*(10.3/7.3)</f>
        <v>56.14180151781116</v>
      </c>
      <c r="F4316" s="1">
        <f>85.1001013944728*(38.9/42.5)</f>
        <v>77.891622217529232</v>
      </c>
      <c r="G4316" s="1">
        <v>3.5288692994987017</v>
      </c>
      <c r="H4316" s="1">
        <v>6.4982958339357664</v>
      </c>
      <c r="I4316" s="1">
        <v>59.907792805412669</v>
      </c>
      <c r="J4316" s="1">
        <v>6.0163294964061698E-2</v>
      </c>
      <c r="K4316" s="1">
        <v>3.5834235096198275</v>
      </c>
      <c r="L4316" s="1">
        <v>5.1320595295674369</v>
      </c>
      <c r="M4316" s="1">
        <v>0.29250934812962037</v>
      </c>
      <c r="N4316" s="1">
        <v>2.6316272882554714</v>
      </c>
      <c r="O4316" s="1">
        <v>0.24602361904761905</v>
      </c>
      <c r="P4316" s="1">
        <v>0.16332009339491821</v>
      </c>
      <c r="Q4316" s="1">
        <v>5.6397454558198481</v>
      </c>
      <c r="R4316" s="2">
        <f t="shared" si="271"/>
        <v>235.85662657676636</v>
      </c>
      <c r="S4316" s="2">
        <f t="shared" si="270"/>
        <v>3.8069068979788074</v>
      </c>
      <c r="T4316" s="2">
        <f t="shared" si="272"/>
        <v>8.3022197850001476</v>
      </c>
      <c r="U4316" s="2">
        <f t="shared" si="273"/>
        <v>247.96575325974533</v>
      </c>
    </row>
    <row r="4317" spans="1:21" x14ac:dyDescent="0.25">
      <c r="A4317">
        <v>5138441</v>
      </c>
      <c r="B4317">
        <v>63</v>
      </c>
      <c r="C4317" s="1">
        <f>6.64646607594237*(10.3/7.3)</f>
        <v>9.3778904907132041</v>
      </c>
      <c r="D4317" s="1">
        <f>10.323682293956*(10.3/7.3)</f>
        <v>14.56629145585571</v>
      </c>
      <c r="E4317" s="1">
        <f>36.0826817591142*(10.3/7.3)</f>
        <v>50.911181112174859</v>
      </c>
      <c r="F4317" s="1">
        <f>77.204476638501*(38.9/42.5)</f>
        <v>70.664803323239752</v>
      </c>
      <c r="G4317" s="1">
        <v>3.1948005397322743</v>
      </c>
      <c r="H4317" s="1">
        <v>7.000921737658933</v>
      </c>
      <c r="I4317" s="1">
        <v>54.607123824506232</v>
      </c>
      <c r="J4317" s="1">
        <v>5.7233544621291994E-2</v>
      </c>
      <c r="K4317" s="1">
        <v>3.3966702608951831</v>
      </c>
      <c r="L4317" s="1">
        <v>4.7660502144375521</v>
      </c>
      <c r="M4317" s="1">
        <v>0.27503794154729289</v>
      </c>
      <c r="N4317" s="1">
        <v>2.5024540947632152</v>
      </c>
      <c r="O4317" s="1">
        <v>0.22930539682539683</v>
      </c>
      <c r="P4317" s="1">
        <v>0.15456128072105324</v>
      </c>
      <c r="Q4317" s="1">
        <v>5.1058456114442805</v>
      </c>
      <c r="R4317" s="2">
        <f t="shared" si="271"/>
        <v>215.42885809532527</v>
      </c>
      <c r="S4317" s="2">
        <f t="shared" si="270"/>
        <v>3.6084650862375285</v>
      </c>
      <c r="T4317" s="2">
        <f t="shared" si="272"/>
        <v>7.7728476475734567</v>
      </c>
      <c r="U4317" s="2">
        <f t="shared" si="273"/>
        <v>226.81017082913624</v>
      </c>
    </row>
    <row r="4318" spans="1:21" x14ac:dyDescent="0.25">
      <c r="A4318">
        <v>5138449</v>
      </c>
      <c r="B4318">
        <v>66</v>
      </c>
      <c r="C4318" s="1">
        <f>6.39473789513687*(10.3/7.3)</f>
        <v>9.0227123725903784</v>
      </c>
      <c r="D4318" s="1">
        <f>9.77329113073641*(10.3/7.3)</f>
        <v>13.789712143367808</v>
      </c>
      <c r="E4318" s="1">
        <f>34.1658706487279*(10.3/7.3)</f>
        <v>48.206639408479127</v>
      </c>
      <c r="F4318" s="1">
        <f>73.7875521764766*(38.9/42.5)</f>
        <v>67.537312462704463</v>
      </c>
      <c r="G4318" s="1">
        <v>3.0751055239015654</v>
      </c>
      <c r="H4318" s="1">
        <v>7.3541080610024068</v>
      </c>
      <c r="I4318" s="1">
        <v>52.552634883582179</v>
      </c>
      <c r="J4318" s="1">
        <v>5.6799268330260999E-2</v>
      </c>
      <c r="K4318" s="1">
        <v>3.2880921762532394</v>
      </c>
      <c r="L4318" s="1">
        <v>4.5572611862057508</v>
      </c>
      <c r="M4318" s="1">
        <v>0.25671799383660093</v>
      </c>
      <c r="N4318" s="1">
        <v>2.4383362076235415</v>
      </c>
      <c r="O4318" s="1">
        <v>0.21918141414141418</v>
      </c>
      <c r="P4318" s="1">
        <v>0.14879623784830912</v>
      </c>
      <c r="Q4318" s="1">
        <v>4.914552207148625</v>
      </c>
      <c r="R4318" s="2">
        <f t="shared" si="271"/>
        <v>206.45277706277653</v>
      </c>
      <c r="S4318" s="2">
        <f t="shared" si="270"/>
        <v>3.4936876824318093</v>
      </c>
      <c r="T4318" s="2">
        <f t="shared" si="272"/>
        <v>7.4714968018073078</v>
      </c>
      <c r="U4318" s="2">
        <f t="shared" si="273"/>
        <v>217.41796154701566</v>
      </c>
    </row>
    <row r="4319" spans="1:21" x14ac:dyDescent="0.25">
      <c r="A4319">
        <v>5138521</v>
      </c>
      <c r="B4319">
        <v>56</v>
      </c>
      <c r="C4319" s="1">
        <f>3.75957593698741*(10.3/7.3)</f>
        <v>5.3046071439685329</v>
      </c>
      <c r="D4319" s="1">
        <f>5.11051411828553*(10.3/7.3)</f>
        <v>7.210725399772735</v>
      </c>
      <c r="E4319" s="1">
        <f>17.8699785559928*(10.3/7.3)</f>
        <v>25.213805359825471</v>
      </c>
      <c r="F4319" s="1">
        <f>42.552575903189*(38.9/42.5)</f>
        <v>38.948122414918828</v>
      </c>
      <c r="G4319" s="1">
        <v>1.9107887812937394</v>
      </c>
      <c r="H4319" s="1">
        <v>5.4873669045499636</v>
      </c>
      <c r="I4319" s="1">
        <v>31.976850688116723</v>
      </c>
      <c r="J4319" s="1">
        <v>3.6831008612655446E-2</v>
      </c>
      <c r="K4319" s="1">
        <v>2.1223024028971427</v>
      </c>
      <c r="L4319" s="1">
        <v>2.9520424169518527</v>
      </c>
      <c r="M4319" s="1">
        <v>0.13772600920997086</v>
      </c>
      <c r="N4319" s="1">
        <v>1.6725565372763052</v>
      </c>
      <c r="O4319" s="1">
        <v>0.1187352380952381</v>
      </c>
      <c r="P4319" s="1">
        <v>9.3327503953286012E-2</v>
      </c>
      <c r="Q4319" s="1">
        <v>3.0537720248986733</v>
      </c>
      <c r="R4319" s="2">
        <f t="shared" si="271"/>
        <v>119.10603871734467</v>
      </c>
      <c r="S4319" s="2">
        <f t="shared" si="270"/>
        <v>2.2524609154630841</v>
      </c>
      <c r="T4319" s="2">
        <f t="shared" si="272"/>
        <v>4.8810602015333666</v>
      </c>
      <c r="U4319" s="2">
        <f t="shared" si="273"/>
        <v>126.23955983434114</v>
      </c>
    </row>
    <row r="4320" spans="1:21" x14ac:dyDescent="0.25">
      <c r="A4320">
        <v>5138665</v>
      </c>
      <c r="B4320">
        <v>10</v>
      </c>
      <c r="C4320" s="1">
        <f>7.35127187742422*(10.3/7.3)</f>
        <v>10.372342511982119</v>
      </c>
      <c r="D4320" s="1">
        <f>9.09819239100169*(10.3/7.3)</f>
        <v>12.837175565385948</v>
      </c>
      <c r="E4320" s="1">
        <f>32.0375535467829*(10.3/7.3)</f>
        <v>45.203671442721095</v>
      </c>
      <c r="F4320" s="1">
        <f>71.5295280881688*(38.9/42.5)</f>
        <v>65.470556297170958</v>
      </c>
      <c r="G4320" s="1">
        <v>2.977756498757361</v>
      </c>
      <c r="H4320" s="1">
        <v>6.4511246690628612</v>
      </c>
      <c r="I4320" s="1">
        <v>54.561592059053154</v>
      </c>
      <c r="J4320" s="1">
        <v>3.7388565586353936E-2</v>
      </c>
      <c r="K4320" s="1">
        <v>2.2840442198075892</v>
      </c>
      <c r="L4320" s="1">
        <v>2.6702985025185155</v>
      </c>
      <c r="M4320" s="1">
        <v>0.12391964884956601</v>
      </c>
      <c r="N4320" s="1">
        <v>2.9879828273570643</v>
      </c>
      <c r="O4320" s="1">
        <v>0.11515199999999999</v>
      </c>
      <c r="P4320" s="1">
        <v>8.8531175068672502E-2</v>
      </c>
      <c r="Q4320" s="1">
        <v>4.7589715733565168</v>
      </c>
      <c r="R4320" s="2">
        <f t="shared" si="271"/>
        <v>202.63319061749002</v>
      </c>
      <c r="S4320" s="2">
        <f t="shared" si="270"/>
        <v>2.4099639604626155</v>
      </c>
      <c r="T4320" s="2">
        <f t="shared" si="272"/>
        <v>5.897352978725146</v>
      </c>
      <c r="U4320" s="2">
        <f t="shared" si="273"/>
        <v>210.94050755667777</v>
      </c>
    </row>
    <row r="4321" spans="1:21" x14ac:dyDescent="0.25">
      <c r="A4321">
        <v>5138673</v>
      </c>
      <c r="B4321">
        <v>22</v>
      </c>
      <c r="C4321" s="1">
        <f>11.980979630891*(10.3/7.3)</f>
        <v>16.90466989016123</v>
      </c>
      <c r="D4321" s="1">
        <f>14.8152708802678*(10.3/7.3)</f>
        <v>20.903738365309351</v>
      </c>
      <c r="E4321" s="1">
        <f>52.2278235264444*(10.3/7.3)</f>
        <v>73.691312646901039</v>
      </c>
      <c r="F4321" s="1">
        <f>113.737411666283*(38.9/42.5)</f>
        <v>104.10318385455109</v>
      </c>
      <c r="G4321" s="1">
        <v>4.6124632041413607</v>
      </c>
      <c r="H4321" s="1">
        <v>8.832716645301117</v>
      </c>
      <c r="I4321" s="1">
        <v>86.396906552776954</v>
      </c>
      <c r="J4321" s="1">
        <v>5.1426472300098308E-2</v>
      </c>
      <c r="K4321" s="1">
        <v>2.9028096815627986</v>
      </c>
      <c r="L4321" s="1">
        <v>3.5975477634898936</v>
      </c>
      <c r="M4321" s="1">
        <v>0.15406393566352933</v>
      </c>
      <c r="N4321" s="1">
        <v>2.7065449605609873</v>
      </c>
      <c r="O4321" s="1">
        <v>0.14417696969696969</v>
      </c>
      <c r="P4321" s="1">
        <v>0.10695457045787858</v>
      </c>
      <c r="Q4321" s="1">
        <v>7.3715165362989863</v>
      </c>
      <c r="R4321" s="2">
        <f t="shared" si="271"/>
        <v>322.81650769544115</v>
      </c>
      <c r="S4321" s="2">
        <f t="shared" si="270"/>
        <v>3.0611907243207757</v>
      </c>
      <c r="T4321" s="2">
        <f t="shared" si="272"/>
        <v>6.6023336294113797</v>
      </c>
      <c r="U4321" s="2">
        <f t="shared" si="273"/>
        <v>332.4800320491733</v>
      </c>
    </row>
    <row r="4322" spans="1:21" x14ac:dyDescent="0.25">
      <c r="A4322">
        <v>5138793</v>
      </c>
      <c r="B4322">
        <v>10</v>
      </c>
      <c r="C4322" s="1">
        <f>6.03412087245906*(10.3/7.3)</f>
        <v>8.5138965734696406</v>
      </c>
      <c r="D4322" s="1">
        <f>6.85736817053813*(10.3/7.3)</f>
        <v>9.6754646789784591</v>
      </c>
      <c r="E4322" s="1">
        <f>24.2360278233225*(10.3/7.3)</f>
        <v>34.196039257564657</v>
      </c>
      <c r="F4322" s="1">
        <f>54.5582676915516*(38.9/42.5)</f>
        <v>49.936861487090788</v>
      </c>
      <c r="G4322" s="1">
        <v>2.2543740062476454</v>
      </c>
      <c r="H4322" s="1">
        <v>7.6852528666227142</v>
      </c>
      <c r="I4322" s="1">
        <v>42.792209216265512</v>
      </c>
      <c r="J4322" s="1">
        <v>4.6030274358304875E-2</v>
      </c>
      <c r="K4322" s="1">
        <v>2.4596956751131542</v>
      </c>
      <c r="L4322" s="1">
        <v>2.2637068091510448</v>
      </c>
      <c r="M4322" s="1">
        <v>0.10420222494886237</v>
      </c>
      <c r="N4322" s="1">
        <v>1.9667139863839875</v>
      </c>
      <c r="O4322" s="1">
        <v>0.10020266666666666</v>
      </c>
      <c r="P4322" s="1">
        <v>7.6546411213196178E-2</v>
      </c>
      <c r="Q4322" s="1">
        <v>3.6028808319026333</v>
      </c>
      <c r="R4322" s="2">
        <f t="shared" si="271"/>
        <v>158.65697891814204</v>
      </c>
      <c r="S4322" s="2">
        <f t="shared" si="270"/>
        <v>2.5822723606846556</v>
      </c>
      <c r="T4322" s="2">
        <f t="shared" si="272"/>
        <v>4.4348256871505622</v>
      </c>
      <c r="U4322" s="2">
        <f t="shared" si="273"/>
        <v>165.67407696597726</v>
      </c>
    </row>
    <row r="4323" spans="1:21" x14ac:dyDescent="0.25">
      <c r="A4323">
        <v>5138841</v>
      </c>
      <c r="B4323">
        <v>5</v>
      </c>
      <c r="C4323" s="1">
        <f>4.11602718944993*(10.3/7.3)</f>
        <v>5.8075452125115481</v>
      </c>
      <c r="D4323" s="1">
        <f>5.73366629798253*(10.3/7.3)</f>
        <v>8.0899675163315194</v>
      </c>
      <c r="E4323" s="1">
        <f>19.7414904212767*(10.3/7.3)</f>
        <v>27.854431690294462</v>
      </c>
      <c r="F4323" s="1">
        <f>61.6187946025166*(38.9/42.5)</f>
        <v>56.399320236185758</v>
      </c>
      <c r="G4323" s="1">
        <v>3.3461000313568641</v>
      </c>
      <c r="H4323" s="1">
        <v>9.5236806361504964</v>
      </c>
      <c r="I4323" s="1">
        <v>48.177162804587319</v>
      </c>
      <c r="J4323" s="1">
        <v>3.7148400253695382E-2</v>
      </c>
      <c r="K4323" s="1">
        <v>2.022657076449986</v>
      </c>
      <c r="L4323" s="1">
        <v>1.9652637420548476</v>
      </c>
      <c r="M4323" s="1">
        <v>8.9536197784032406E-2</v>
      </c>
      <c r="N4323" s="1">
        <v>1.5125131519408923</v>
      </c>
      <c r="O4323" s="1">
        <v>9.0442666666666657E-2</v>
      </c>
      <c r="P4323" s="1">
        <v>7.002734258318985E-2</v>
      </c>
      <c r="Q4323" s="1">
        <v>5.3476484519402003</v>
      </c>
      <c r="R4323" s="2">
        <f t="shared" si="271"/>
        <v>164.54585657935817</v>
      </c>
      <c r="S4323" s="2">
        <f t="shared" si="270"/>
        <v>2.1298328192868712</v>
      </c>
      <c r="T4323" s="2">
        <f t="shared" si="272"/>
        <v>3.6577557584464393</v>
      </c>
      <c r="U4323" s="2">
        <f t="shared" si="273"/>
        <v>170.33344515709146</v>
      </c>
    </row>
    <row r="4324" spans="1:21" x14ac:dyDescent="0.25">
      <c r="A4324">
        <v>5138857</v>
      </c>
      <c r="B4324">
        <v>11</v>
      </c>
      <c r="C4324" s="1">
        <f>3.23195697015119*(10.3/7.3)</f>
        <v>4.5601584647338731</v>
      </c>
      <c r="D4324" s="1">
        <f>4.19942235187973*(10.3/7.3)</f>
        <v>5.9252123595015398</v>
      </c>
      <c r="E4324" s="1">
        <f>14.6099297839392*(10.3/7.3)</f>
        <v>20.614010517064919</v>
      </c>
      <c r="F4324" s="1">
        <f>39.9996271092291*(38.9/42.5)</f>
        <v>36.611423401153218</v>
      </c>
      <c r="G4324" s="1">
        <v>1.9896383703531695</v>
      </c>
      <c r="H4324" s="1">
        <v>7.0495000348070418</v>
      </c>
      <c r="I4324" s="1">
        <v>31.132820919121592</v>
      </c>
      <c r="J4324" s="1">
        <v>3.3238172267679826E-2</v>
      </c>
      <c r="K4324" s="1">
        <v>1.8634814775606352</v>
      </c>
      <c r="L4324" s="1">
        <v>1.7842645349022674</v>
      </c>
      <c r="M4324" s="1">
        <v>8.3147388812653794E-2</v>
      </c>
      <c r="N4324" s="1">
        <v>1.1737645941178845</v>
      </c>
      <c r="O4324" s="1">
        <v>8.3432727272727283E-2</v>
      </c>
      <c r="P4324" s="1">
        <v>6.5584270801409078E-2</v>
      </c>
      <c r="Q4324" s="1">
        <v>3.1797873498794971</v>
      </c>
      <c r="R4324" s="2">
        <f t="shared" si="271"/>
        <v>111.06255141661484</v>
      </c>
      <c r="S4324" s="2">
        <f t="shared" si="270"/>
        <v>1.9623039206297241</v>
      </c>
      <c r="T4324" s="2">
        <f t="shared" si="272"/>
        <v>3.1246092451055327</v>
      </c>
      <c r="U4324" s="2">
        <f t="shared" si="273"/>
        <v>116.14946458235009</v>
      </c>
    </row>
    <row r="4325" spans="1:21" x14ac:dyDescent="0.25">
      <c r="A4325">
        <v>514665</v>
      </c>
      <c r="B4325">
        <v>16</v>
      </c>
      <c r="C4325" s="1">
        <f>1.08218373221292*(10.3/7.3)</f>
        <v>1.5269167728483732</v>
      </c>
      <c r="D4325" s="1">
        <f>1.33254115390167*(10.3/7.3)</f>
        <v>1.880160806190029</v>
      </c>
      <c r="E4325" s="1">
        <f>4.71737320472522*(10.3/7.3)</f>
        <v>6.6560197272150345</v>
      </c>
      <c r="F4325" s="1">
        <f>9.3158912736021*(38.9/42.5)</f>
        <v>8.5267804833675687</v>
      </c>
      <c r="G4325" s="1">
        <v>0.33586669513264877</v>
      </c>
      <c r="H4325" s="1">
        <v>3.2005581380954315</v>
      </c>
      <c r="I4325" s="1">
        <v>6.9558886608394692</v>
      </c>
      <c r="J4325" s="1">
        <v>2.8479853217980047E-2</v>
      </c>
      <c r="K4325" s="1">
        <v>4.2372372007858221</v>
      </c>
      <c r="L4325" s="1">
        <v>1.4941916238063409</v>
      </c>
      <c r="M4325" s="1">
        <v>8.0448774638346279E-2</v>
      </c>
      <c r="N4325" s="1">
        <v>0.91920650981427099</v>
      </c>
      <c r="O4325" s="1">
        <v>7.4390000000000012E-2</v>
      </c>
      <c r="P4325" s="1">
        <v>6.3524287429951587E-2</v>
      </c>
      <c r="Q4325" s="1">
        <v>0.53677325706131129</v>
      </c>
      <c r="R4325" s="2">
        <f t="shared" si="271"/>
        <v>29.618964540749868</v>
      </c>
      <c r="S4325" s="2">
        <f t="shared" si="270"/>
        <v>4.3292413414337538</v>
      </c>
      <c r="T4325" s="2">
        <f t="shared" si="272"/>
        <v>2.5682369082589585</v>
      </c>
      <c r="U4325" s="2">
        <f t="shared" si="273"/>
        <v>36.516442790442582</v>
      </c>
    </row>
    <row r="4326" spans="1:21" x14ac:dyDescent="0.25">
      <c r="A4326">
        <v>514673</v>
      </c>
      <c r="B4326">
        <v>14</v>
      </c>
      <c r="C4326" s="1">
        <f>1.02415048226145*(10.3/7.3)</f>
        <v>1.4450342420949245</v>
      </c>
      <c r="D4326" s="1">
        <f>1.27833261277727*(10.3/7.3)</f>
        <v>1.8036747824117607</v>
      </c>
      <c r="E4326" s="1">
        <f>4.51691099311964*(10.3/7.3)</f>
        <v>6.3731757848126369</v>
      </c>
      <c r="F4326" s="1">
        <f>9.21070102640115*(38.9/42.5)</f>
        <v>8.4305004688707026</v>
      </c>
      <c r="G4326" s="1">
        <v>0.34703015895381206</v>
      </c>
      <c r="H4326" s="1">
        <v>0.87511388423673087</v>
      </c>
      <c r="I4326" s="1">
        <v>6.8892058068830027</v>
      </c>
      <c r="J4326" s="1">
        <v>3.1478510158907132E-2</v>
      </c>
      <c r="K4326" s="1">
        <v>3.7313539828827778</v>
      </c>
      <c r="L4326" s="1">
        <v>2.0111504685898529</v>
      </c>
      <c r="M4326" s="1">
        <v>7.631090365695016E-2</v>
      </c>
      <c r="N4326" s="1">
        <v>0.90812490170870219</v>
      </c>
      <c r="O4326" s="1">
        <v>6.9104761904761905E-2</v>
      </c>
      <c r="P4326" s="1">
        <v>5.9783536987656753E-2</v>
      </c>
      <c r="Q4326" s="1">
        <v>0.55461440928691486</v>
      </c>
      <c r="R4326" s="2">
        <f t="shared" si="271"/>
        <v>26.718349537550488</v>
      </c>
      <c r="S4326" s="2">
        <f t="shared" si="270"/>
        <v>3.8226160300293417</v>
      </c>
      <c r="T4326" s="2">
        <f t="shared" si="272"/>
        <v>3.064691035860267</v>
      </c>
      <c r="U4326" s="2">
        <f t="shared" si="273"/>
        <v>33.605656603440096</v>
      </c>
    </row>
    <row r="4327" spans="1:21" x14ac:dyDescent="0.25">
      <c r="A4327">
        <v>514697</v>
      </c>
      <c r="B4327">
        <v>26</v>
      </c>
      <c r="C4327" s="1">
        <f>1.20719182846729*(10.3/7.3)</f>
        <v>1.7032980593442533</v>
      </c>
      <c r="D4327" s="1">
        <f>1.89567017931508*(10.3/7.3)</f>
        <v>2.6747127187596331</v>
      </c>
      <c r="E4327" s="1">
        <f>6.57386057238114*(10.3/7.3)</f>
        <v>9.275447108976131</v>
      </c>
      <c r="F4327" s="1">
        <f>16.5523759912765*(38.9/42.5)</f>
        <v>15.15029237789782</v>
      </c>
      <c r="G4327" s="1">
        <v>0.79208839533354203</v>
      </c>
      <c r="H4327" s="1">
        <v>3.0619619266161382</v>
      </c>
      <c r="I4327" s="1">
        <v>12.142349624982955</v>
      </c>
      <c r="J4327" s="1">
        <v>3.2677564934916699E-2</v>
      </c>
      <c r="K4327" s="1">
        <v>4.3896865224786605</v>
      </c>
      <c r="L4327" s="1">
        <v>1.4752522412403388</v>
      </c>
      <c r="M4327" s="1">
        <v>8.0884402625050339E-2</v>
      </c>
      <c r="N4327" s="1">
        <v>1.0090855061542112</v>
      </c>
      <c r="O4327" s="1">
        <v>7.4512820512820502E-2</v>
      </c>
      <c r="P4327" s="1">
        <v>6.3540479395828534E-2</v>
      </c>
      <c r="Q4327" s="1">
        <v>1.2658946957385386</v>
      </c>
      <c r="R4327" s="2">
        <f t="shared" si="271"/>
        <v>46.066044907649008</v>
      </c>
      <c r="S4327" s="2">
        <f t="shared" si="270"/>
        <v>4.4859045668094062</v>
      </c>
      <c r="T4327" s="2">
        <f t="shared" si="272"/>
        <v>2.6397349705324213</v>
      </c>
      <c r="U4327" s="2">
        <f t="shared" si="273"/>
        <v>53.191684444990834</v>
      </c>
    </row>
    <row r="4328" spans="1:21" x14ac:dyDescent="0.25">
      <c r="A4328">
        <v>514705</v>
      </c>
      <c r="B4328">
        <v>19</v>
      </c>
      <c r="C4328" s="1">
        <f>1.02669146420159*(10.3/7.3)</f>
        <v>1.4486194631885443</v>
      </c>
      <c r="D4328" s="1">
        <f>2.02559111930203*(10.3/7.3)</f>
        <v>2.8580258258645133</v>
      </c>
      <c r="E4328" s="1">
        <f>6.93912198102441*(10.3/7.3)</f>
        <v>9.7908159458289585</v>
      </c>
      <c r="F4328" s="1">
        <f>19.171625982657*(38.9/42.5)</f>
        <v>17.547676487655441</v>
      </c>
      <c r="G4328" s="1">
        <v>0.9982890727675291</v>
      </c>
      <c r="H4328" s="1">
        <v>4.4214234707553191</v>
      </c>
      <c r="I4328" s="1">
        <v>13.735476417066286</v>
      </c>
      <c r="J4328" s="1">
        <v>2.7805937547565517E-2</v>
      </c>
      <c r="K4328" s="1">
        <v>3.4368355890087448</v>
      </c>
      <c r="L4328" s="1">
        <v>1.2502830434004597</v>
      </c>
      <c r="M4328" s="1">
        <v>7.1582034149327831E-2</v>
      </c>
      <c r="N4328" s="1">
        <v>0.914439236288208</v>
      </c>
      <c r="O4328" s="1">
        <v>6.5597192982456143E-2</v>
      </c>
      <c r="P4328" s="1">
        <v>5.7051758474607889E-2</v>
      </c>
      <c r="Q4328" s="1">
        <v>1.59543915739103</v>
      </c>
      <c r="R4328" s="2">
        <f t="shared" si="271"/>
        <v>52.395765840517619</v>
      </c>
      <c r="S4328" s="2">
        <f t="shared" si="270"/>
        <v>3.5216932850309184</v>
      </c>
      <c r="T4328" s="2">
        <f t="shared" si="272"/>
        <v>2.3019015068204518</v>
      </c>
      <c r="U4328" s="2">
        <f t="shared" si="273"/>
        <v>58.219360632368989</v>
      </c>
    </row>
    <row r="4329" spans="1:21" x14ac:dyDescent="0.25">
      <c r="A4329">
        <v>514713</v>
      </c>
      <c r="B4329">
        <v>2</v>
      </c>
      <c r="C4329" s="1">
        <f>1.19806175474303*(10.3/7.3)</f>
        <v>1.690415900527833</v>
      </c>
      <c r="D4329" s="1">
        <f>1.91605892446353*(10.3/7.3)</f>
        <v>2.7034804002704576</v>
      </c>
      <c r="E4329" s="1">
        <f>6.58302009778121*(10.3/7.3)</f>
        <v>9.2883708228967734</v>
      </c>
      <c r="F4329" s="1">
        <f>19.491097663553*(38.9/42.5)</f>
        <v>17.840087037934349</v>
      </c>
      <c r="G4329" s="1">
        <v>1.0399562160561278</v>
      </c>
      <c r="H4329" s="1">
        <v>4.0980849238514399</v>
      </c>
      <c r="I4329" s="1">
        <v>14.716029820351785</v>
      </c>
      <c r="J4329" s="1">
        <v>2.7398366660359011E-2</v>
      </c>
      <c r="K4329" s="1">
        <v>3.5657757825417704</v>
      </c>
      <c r="L4329" s="1">
        <v>1.3637591970773728</v>
      </c>
      <c r="M4329" s="1">
        <v>7.6250401737303408E-2</v>
      </c>
      <c r="N4329" s="1">
        <v>1.0473583207982395</v>
      </c>
      <c r="O4329" s="1">
        <v>6.9813333333333338E-2</v>
      </c>
      <c r="P4329" s="1">
        <v>6.0042237270161336E-2</v>
      </c>
      <c r="Q4329" s="1">
        <v>1.6620304822814846</v>
      </c>
      <c r="R4329" s="2">
        <f t="shared" si="271"/>
        <v>53.038455604170252</v>
      </c>
      <c r="S4329" s="2">
        <f t="shared" si="270"/>
        <v>3.6532163864722911</v>
      </c>
      <c r="T4329" s="2">
        <f t="shared" si="272"/>
        <v>2.5571812529462488</v>
      </c>
      <c r="U4329" s="2">
        <f t="shared" si="273"/>
        <v>59.248853243588798</v>
      </c>
    </row>
    <row r="4330" spans="1:21" x14ac:dyDescent="0.25">
      <c r="A4330">
        <v>514737</v>
      </c>
      <c r="B4330">
        <v>2</v>
      </c>
      <c r="C4330" s="1">
        <f>1.05228695346778*(10.3/7.3)</f>
        <v>1.4847336466737151</v>
      </c>
      <c r="D4330" s="1">
        <f>2.02357928999171*(10.3/7.3)</f>
        <v>2.855187217385569</v>
      </c>
      <c r="E4330" s="1">
        <f>6.92544761889106*(10.3/7.3)</f>
        <v>9.7715219828188999</v>
      </c>
      <c r="F4330" s="1">
        <f>19.7491759990688*(38.9/42.5)</f>
        <v>18.076304620324191</v>
      </c>
      <c r="G4330" s="1">
        <v>1.0461256751660817</v>
      </c>
      <c r="H4330" s="1">
        <v>4.1249576118766962</v>
      </c>
      <c r="I4330" s="1">
        <v>14.318869255386272</v>
      </c>
      <c r="J4330" s="1">
        <v>2.3689806576550156E-2</v>
      </c>
      <c r="K4330" s="1">
        <v>2.9007241737556422</v>
      </c>
      <c r="L4330" s="1">
        <v>1.186507237576544</v>
      </c>
      <c r="M4330" s="1">
        <v>6.8194351298855579E-2</v>
      </c>
      <c r="N4330" s="1">
        <v>0.82179895950480675</v>
      </c>
      <c r="O4330" s="1">
        <v>6.4533333333333331E-2</v>
      </c>
      <c r="P4330" s="1">
        <v>5.606521977118438E-2</v>
      </c>
      <c r="Q4330" s="1">
        <v>1.6718903484389451</v>
      </c>
      <c r="R4330" s="2">
        <f t="shared" si="271"/>
        <v>53.349590358070365</v>
      </c>
      <c r="S4330" s="2">
        <f t="shared" si="270"/>
        <v>2.9804792001033764</v>
      </c>
      <c r="T4330" s="2">
        <f t="shared" si="272"/>
        <v>2.1410338817135397</v>
      </c>
      <c r="U4330" s="2">
        <f t="shared" si="273"/>
        <v>58.47110343988728</v>
      </c>
    </row>
    <row r="4331" spans="1:21" x14ac:dyDescent="0.25">
      <c r="A4331">
        <v>514745</v>
      </c>
      <c r="B4331">
        <v>17</v>
      </c>
      <c r="C4331" s="1">
        <f>1.17392995703915*(10.3/7.3)</f>
        <v>1.6563669256853808</v>
      </c>
      <c r="D4331" s="1">
        <f>2.37946186758143*(10.3/7.3)</f>
        <v>3.3573229090532504</v>
      </c>
      <c r="E4331" s="1">
        <f>8.10256555638312*(10.3/7.3)</f>
        <v>11.432387017910434</v>
      </c>
      <c r="F4331" s="1">
        <f>24.5640942875184*(38.9/42.5)</f>
        <v>22.483371006693275</v>
      </c>
      <c r="G4331" s="1">
        <v>1.35128511042569</v>
      </c>
      <c r="H4331" s="1">
        <v>7.5176344750651847</v>
      </c>
      <c r="I4331" s="1">
        <v>17.908512931227587</v>
      </c>
      <c r="J4331" s="1">
        <v>2.6770122904069684E-2</v>
      </c>
      <c r="K4331" s="1">
        <v>3.0158520966092746</v>
      </c>
      <c r="L4331" s="1">
        <v>1.2778739943740398</v>
      </c>
      <c r="M4331" s="1">
        <v>7.0475711583111292E-2</v>
      </c>
      <c r="N4331" s="1">
        <v>0.8868806908325616</v>
      </c>
      <c r="O4331" s="1">
        <v>6.7843137254901958E-2</v>
      </c>
      <c r="P4331" s="1">
        <v>5.878180175263447E-2</v>
      </c>
      <c r="Q4331" s="1">
        <v>2.1595880760227941</v>
      </c>
      <c r="R4331" s="2">
        <f t="shared" si="271"/>
        <v>67.866468452083609</v>
      </c>
      <c r="S4331" s="2">
        <f t="shared" si="270"/>
        <v>3.1014040212659784</v>
      </c>
      <c r="T4331" s="2">
        <f t="shared" si="272"/>
        <v>2.3030735340446147</v>
      </c>
      <c r="U4331" s="2">
        <f t="shared" si="273"/>
        <v>73.270946007394201</v>
      </c>
    </row>
    <row r="4332" spans="1:21" x14ac:dyDescent="0.25">
      <c r="A4332">
        <v>514761</v>
      </c>
      <c r="B4332">
        <v>6</v>
      </c>
      <c r="C4332" s="1">
        <f>1.40988661397314*(10.3/7.3)</f>
        <v>1.9892920717703158</v>
      </c>
      <c r="D4332" s="1">
        <f>2.13828604858059*(10.3/7.3)</f>
        <v>3.017033739778098</v>
      </c>
      <c r="E4332" s="1">
        <f>7.4100381241406*(10.3/7.3)</f>
        <v>10.455259271047696</v>
      </c>
      <c r="F4332" s="1">
        <f>19.4065378799826*(38.9/42.5)</f>
        <v>17.762689965442874</v>
      </c>
      <c r="G4332" s="1">
        <v>0.95226048424391474</v>
      </c>
      <c r="H4332" s="1">
        <v>5.7697900580892005</v>
      </c>
      <c r="I4332" s="1">
        <v>14.466467885418959</v>
      </c>
      <c r="J4332" s="1">
        <v>2.717064805872163E-2</v>
      </c>
      <c r="K4332" s="1">
        <v>2.9524729697427277</v>
      </c>
      <c r="L4332" s="1">
        <v>1.3148707158219723</v>
      </c>
      <c r="M4332" s="1">
        <v>7.1209655543550854E-2</v>
      </c>
      <c r="N4332" s="1">
        <v>0.93432551787599893</v>
      </c>
      <c r="O4332" s="1">
        <v>6.9600000000000009E-2</v>
      </c>
      <c r="P4332" s="1">
        <v>6.0195307565991389E-2</v>
      </c>
      <c r="Q4332" s="1">
        <v>1.5218774862345688</v>
      </c>
      <c r="R4332" s="2">
        <f t="shared" si="271"/>
        <v>55.934670962025621</v>
      </c>
      <c r="S4332" s="2">
        <f t="shared" si="270"/>
        <v>3.0398389253674409</v>
      </c>
      <c r="T4332" s="2">
        <f t="shared" si="272"/>
        <v>2.3900058892415221</v>
      </c>
      <c r="U4332" s="2">
        <f t="shared" si="273"/>
        <v>61.364515776634583</v>
      </c>
    </row>
    <row r="4333" spans="1:21" x14ac:dyDescent="0.25">
      <c r="A4333">
        <v>5150149</v>
      </c>
      <c r="B4333">
        <v>64</v>
      </c>
      <c r="C4333" s="1">
        <f>0.617408310267937*(10.3/7.3)</f>
        <v>0.87113775284380102</v>
      </c>
      <c r="D4333" s="1">
        <f>0.886897639351707*(10.3/7.3)</f>
        <v>1.2513761212770667</v>
      </c>
      <c r="E4333" s="1">
        <f>3.07446264012328*(10.3/7.3)</f>
        <v>4.3379404374342121</v>
      </c>
      <c r="F4333" s="1">
        <f>8.32920670573564*(38.9/42.5)</f>
        <v>7.6236739024262681</v>
      </c>
      <c r="G4333" s="1">
        <v>0.41602439850879586</v>
      </c>
      <c r="H4333" s="1">
        <v>1.9012479263586952</v>
      </c>
      <c r="I4333" s="1">
        <v>6.3247364657835137</v>
      </c>
      <c r="J4333" s="1">
        <v>3.6727713121190671E-2</v>
      </c>
      <c r="K4333" s="1">
        <v>2.7407823800954563</v>
      </c>
      <c r="L4333" s="1">
        <v>2.1362077661953851</v>
      </c>
      <c r="M4333" s="1">
        <v>0.76774329495369042</v>
      </c>
      <c r="N4333" s="1">
        <v>1.2589248341240429</v>
      </c>
      <c r="O4333" s="1">
        <v>0.35333416666666673</v>
      </c>
      <c r="P4333" s="1">
        <v>0.18324015313282765</v>
      </c>
      <c r="Q4333" s="1">
        <v>0.66487917569898958</v>
      </c>
      <c r="R4333" s="2">
        <f t="shared" si="271"/>
        <v>23.391016180331341</v>
      </c>
      <c r="S4333" s="2">
        <f t="shared" si="270"/>
        <v>2.9607502463494746</v>
      </c>
      <c r="T4333" s="2">
        <f t="shared" si="272"/>
        <v>4.5162100619397849</v>
      </c>
      <c r="U4333" s="2">
        <f t="shared" si="273"/>
        <v>30.867976488620599</v>
      </c>
    </row>
    <row r="4334" spans="1:21" x14ac:dyDescent="0.25">
      <c r="A4334">
        <v>5150157</v>
      </c>
      <c r="B4334">
        <v>23</v>
      </c>
      <c r="C4334" s="1">
        <f>0.776894144643797*(10.3/7.3)</f>
        <v>1.0961657109357681</v>
      </c>
      <c r="D4334" s="1">
        <f>1.48024663385197*(10.3/7.3)</f>
        <v>2.0885671683116795</v>
      </c>
      <c r="E4334" s="1">
        <f>4.96204789466701*(10.3/7.3)</f>
        <v>7.0012456595986645</v>
      </c>
      <c r="F4334" s="1">
        <f>19.5552505308397*(38.9/42.5)</f>
        <v>17.898805779992077</v>
      </c>
      <c r="G4334" s="1">
        <v>1.2037279485654617</v>
      </c>
      <c r="H4334" s="1">
        <v>4.3305920941569109</v>
      </c>
      <c r="I4334" s="1">
        <v>15.101011966538852</v>
      </c>
      <c r="J4334" s="1">
        <v>4.5250262815456195E-2</v>
      </c>
      <c r="K4334" s="1">
        <v>3.264163849848412</v>
      </c>
      <c r="L4334" s="1">
        <v>2.4089255059743722</v>
      </c>
      <c r="M4334" s="1">
        <v>0.96790019512537262</v>
      </c>
      <c r="N4334" s="1">
        <v>1.5666140587453645</v>
      </c>
      <c r="O4334" s="1">
        <v>0.44058898550724634</v>
      </c>
      <c r="P4334" s="1">
        <v>0.20810343340831178</v>
      </c>
      <c r="Q4334" s="1">
        <v>1.9237661278443463</v>
      </c>
      <c r="R4334" s="2">
        <f t="shared" si="271"/>
        <v>50.643882455943753</v>
      </c>
      <c r="S4334" s="2">
        <f t="shared" si="270"/>
        <v>3.5175175460721801</v>
      </c>
      <c r="T4334" s="2">
        <f t="shared" si="272"/>
        <v>5.3840287453523556</v>
      </c>
      <c r="U4334" s="2">
        <f t="shared" si="273"/>
        <v>59.545428747368284</v>
      </c>
    </row>
    <row r="4335" spans="1:21" x14ac:dyDescent="0.25">
      <c r="A4335">
        <v>5150381</v>
      </c>
      <c r="B4335">
        <v>27</v>
      </c>
      <c r="C4335" s="1">
        <f>1.96260500514716*(10.3/7.3)</f>
        <v>2.7691550072624245</v>
      </c>
      <c r="D4335" s="1">
        <f>3.54631930852853*(10.3/7.3)</f>
        <v>5.0037108051840917</v>
      </c>
      <c r="E4335" s="1">
        <f>12.0908507972035*(10.3/7.3)</f>
        <v>17.059693590574792</v>
      </c>
      <c r="F4335" s="1">
        <f>38.0315965371656*(38.9/42.5)</f>
        <v>34.810096595193912</v>
      </c>
      <c r="G4335" s="1">
        <v>2.116492059234397</v>
      </c>
      <c r="H4335" s="1">
        <v>10.679529688777519</v>
      </c>
      <c r="I4335" s="1">
        <v>28.442386429938452</v>
      </c>
      <c r="J4335" s="1">
        <v>6.9621230002881312E-2</v>
      </c>
      <c r="K4335" s="1">
        <v>4.0895501332925797</v>
      </c>
      <c r="L4335" s="1">
        <v>6.324622007817025</v>
      </c>
      <c r="M4335" s="1">
        <v>1.1112228548878968</v>
      </c>
      <c r="N4335" s="1">
        <v>3.0647968607767075</v>
      </c>
      <c r="O4335" s="1">
        <v>0.39050469135802468</v>
      </c>
      <c r="P4335" s="1">
        <v>0.20826831461670869</v>
      </c>
      <c r="Q4335" s="1">
        <v>3.3825215558540638</v>
      </c>
      <c r="R4335" s="2">
        <f t="shared" si="271"/>
        <v>104.26358573201965</v>
      </c>
      <c r="S4335" s="2">
        <f t="shared" si="270"/>
        <v>4.36743967791217</v>
      </c>
      <c r="T4335" s="2">
        <f t="shared" si="272"/>
        <v>10.891146414839655</v>
      </c>
      <c r="U4335" s="2">
        <f t="shared" si="273"/>
        <v>119.52217182477148</v>
      </c>
    </row>
    <row r="4336" spans="1:21" x14ac:dyDescent="0.25">
      <c r="A4336">
        <v>5150389</v>
      </c>
      <c r="B4336">
        <v>65</v>
      </c>
      <c r="C4336" s="1">
        <f>1.80285254439696*(10.3/7.3)</f>
        <v>2.543750850313518</v>
      </c>
      <c r="D4336" s="1">
        <f>3.06341676930884*(10.3/7.3)</f>
        <v>4.3223551676549334</v>
      </c>
      <c r="E4336" s="1">
        <f>10.5147379770625*(10.3/7.3)</f>
        <v>14.835863173115586</v>
      </c>
      <c r="F4336" s="1">
        <f>30.5270252949846*(38.9/42.5)</f>
        <v>27.941206681762377</v>
      </c>
      <c r="G4336" s="1">
        <v>1.6184484455275145</v>
      </c>
      <c r="H4336" s="1">
        <v>7.1959373924551553</v>
      </c>
      <c r="I4336" s="1">
        <v>22.706695359296813</v>
      </c>
      <c r="J4336" s="1">
        <v>6.0668152279667778E-2</v>
      </c>
      <c r="K4336" s="1">
        <v>3.5623046229311544</v>
      </c>
      <c r="L4336" s="1">
        <v>5.0463221202966899</v>
      </c>
      <c r="M4336" s="1">
        <v>0.87081446625175307</v>
      </c>
      <c r="N4336" s="1">
        <v>2.5479439363464382</v>
      </c>
      <c r="O4336" s="1">
        <v>0.33069128205128206</v>
      </c>
      <c r="P4336" s="1">
        <v>0.18641407864949275</v>
      </c>
      <c r="Q4336" s="1">
        <v>2.5865614426238843</v>
      </c>
      <c r="R4336" s="2">
        <f t="shared" si="271"/>
        <v>83.750818512749788</v>
      </c>
      <c r="S4336" s="2">
        <f t="shared" si="270"/>
        <v>3.8093868538603148</v>
      </c>
      <c r="T4336" s="2">
        <f t="shared" si="272"/>
        <v>8.7957718049461633</v>
      </c>
      <c r="U4336" s="2">
        <f t="shared" si="273"/>
        <v>96.355977171556276</v>
      </c>
    </row>
    <row r="4337" spans="1:21" x14ac:dyDescent="0.25">
      <c r="A4337">
        <v>5150397</v>
      </c>
      <c r="B4337">
        <v>4</v>
      </c>
      <c r="C4337" s="1">
        <f>2.00211333964578*(10.3/7.3)</f>
        <v>2.8248996436098026</v>
      </c>
      <c r="D4337" s="1">
        <f>3.3915361035147*(10.3/7.3)</f>
        <v>4.78531806386321</v>
      </c>
      <c r="E4337" s="1">
        <f>11.6473109142731*(10.3/7.3)</f>
        <v>16.433877043426385</v>
      </c>
      <c r="F4337" s="1">
        <f>33.550902745453*(38.9/42.5)</f>
        <v>30.708943924661728</v>
      </c>
      <c r="G4337" s="1">
        <v>1.7700982898515316</v>
      </c>
      <c r="H4337" s="1">
        <v>7.6771910602151365</v>
      </c>
      <c r="I4337" s="1">
        <v>24.930448218415108</v>
      </c>
      <c r="J4337" s="1">
        <v>7.6146413025162257E-2</v>
      </c>
      <c r="K4337" s="1">
        <v>3.8257878113505148</v>
      </c>
      <c r="L4337" s="1">
        <v>5.3193515996051515</v>
      </c>
      <c r="M4337" s="1">
        <v>0.88756328190203604</v>
      </c>
      <c r="N4337" s="1">
        <v>2.8406510501832365</v>
      </c>
      <c r="O4337" s="1">
        <v>0.35424</v>
      </c>
      <c r="P4337" s="1">
        <v>0.19748606577575414</v>
      </c>
      <c r="Q4337" s="1">
        <v>2.8289242075252816</v>
      </c>
      <c r="R4337" s="2">
        <f t="shared" si="271"/>
        <v>91.959700451568182</v>
      </c>
      <c r="S4337" s="2">
        <f t="shared" si="270"/>
        <v>4.0994202901514312</v>
      </c>
      <c r="T4337" s="2">
        <f t="shared" si="272"/>
        <v>9.4018059316904257</v>
      </c>
      <c r="U4337" s="2">
        <f t="shared" si="273"/>
        <v>105.46092667341003</v>
      </c>
    </row>
    <row r="4338" spans="1:21" x14ac:dyDescent="0.25">
      <c r="A4338">
        <v>5150565</v>
      </c>
      <c r="B4338">
        <v>32</v>
      </c>
      <c r="C4338" s="1">
        <f>4.44618122537093*(10.3/7.3)</f>
        <v>6.2733789892219987</v>
      </c>
      <c r="D4338" s="1">
        <f>8.72355705743071*(10.3/7.3)</f>
        <v>12.308580505689907</v>
      </c>
      <c r="E4338" s="1">
        <f>30.2791940797671*(10.3/7.3)</f>
        <v>42.7226984961098</v>
      </c>
      <c r="F4338" s="1">
        <f>63.682504350132*(38.9/42.5)</f>
        <v>58.288221628709032</v>
      </c>
      <c r="G4338" s="1">
        <v>2.6738234604525375</v>
      </c>
      <c r="H4338" s="1">
        <v>5.4329017243559203</v>
      </c>
      <c r="I4338" s="1">
        <v>42.164470612516986</v>
      </c>
      <c r="J4338" s="1">
        <v>5.3390111275200137E-2</v>
      </c>
      <c r="K4338" s="1">
        <v>2.818660666484972</v>
      </c>
      <c r="L4338" s="1">
        <v>3.3490510996779199</v>
      </c>
      <c r="M4338" s="1">
        <v>0.27053310361889737</v>
      </c>
      <c r="N4338" s="1">
        <v>2.1739448800935945</v>
      </c>
      <c r="O4338" s="1">
        <v>0.20527333333333331</v>
      </c>
      <c r="P4338" s="1">
        <v>0.14324166109536351</v>
      </c>
      <c r="Q4338" s="1">
        <v>4.2732338409058865</v>
      </c>
      <c r="R4338" s="2">
        <f t="shared" si="271"/>
        <v>174.13730925796204</v>
      </c>
      <c r="S4338" s="2">
        <f t="shared" si="270"/>
        <v>3.0152924388555356</v>
      </c>
      <c r="T4338" s="2">
        <f t="shared" si="272"/>
        <v>5.9988024167237457</v>
      </c>
      <c r="U4338" s="2">
        <f t="shared" si="273"/>
        <v>183.15140411354133</v>
      </c>
    </row>
    <row r="4339" spans="1:21" x14ac:dyDescent="0.25">
      <c r="A4339">
        <v>5150573</v>
      </c>
      <c r="B4339">
        <v>42</v>
      </c>
      <c r="C4339" s="1">
        <f>7.7933378503781*(10.3/7.3)</f>
        <v>10.99607943272526</v>
      </c>
      <c r="D4339" s="1">
        <f>14.4296346214985*(10.3/7.3)</f>
        <v>20.359621452251254</v>
      </c>
      <c r="E4339" s="1">
        <f>50.2325177931829*(10.3/7.3)</f>
        <v>70.87601825613477</v>
      </c>
      <c r="F4339" s="1">
        <f>102.594389794442*(38.9/42.5)</f>
        <v>93.904041482441869</v>
      </c>
      <c r="G4339" s="1">
        <v>4.1465151822523127</v>
      </c>
      <c r="H4339" s="1">
        <v>7.48324383265191</v>
      </c>
      <c r="I4339" s="1">
        <v>68.23440325969392</v>
      </c>
      <c r="J4339" s="1">
        <v>8.2023755372214097E-2</v>
      </c>
      <c r="K4339" s="1">
        <v>3.7781395580188075</v>
      </c>
      <c r="L4339" s="1">
        <v>5.2121728770439759</v>
      </c>
      <c r="M4339" s="1">
        <v>0.38539389003891217</v>
      </c>
      <c r="N4339" s="1">
        <v>3.6581036966677649</v>
      </c>
      <c r="O4339" s="1">
        <v>0.28856761904761896</v>
      </c>
      <c r="P4339" s="1">
        <v>0.18291145355688795</v>
      </c>
      <c r="Q4339" s="1">
        <v>6.6268507478918313</v>
      </c>
      <c r="R4339" s="2">
        <f t="shared" si="271"/>
        <v>282.62677364604309</v>
      </c>
      <c r="S4339" s="2">
        <f t="shared" si="270"/>
        <v>4.0430747669479095</v>
      </c>
      <c r="T4339" s="2">
        <f t="shared" si="272"/>
        <v>9.5442380827982731</v>
      </c>
      <c r="U4339" s="2">
        <f t="shared" si="273"/>
        <v>296.21408649578927</v>
      </c>
    </row>
    <row r="4340" spans="1:21" x14ac:dyDescent="0.25">
      <c r="A4340">
        <v>5150581</v>
      </c>
      <c r="B4340">
        <v>57</v>
      </c>
      <c r="C4340" s="1">
        <f>7.25729597375483*(10.3/7.3)</f>
        <v>10.239746373928048</v>
      </c>
      <c r="D4340" s="1">
        <f>13.1273094824399*(10.3/7.3)</f>
        <v>18.522094201250763</v>
      </c>
      <c r="E4340" s="1">
        <f>45.7420348134429*(10.3/7.3)</f>
        <v>64.54013131211812</v>
      </c>
      <c r="F4340" s="1">
        <f>92.9258726587466*(38.9/42.5)</f>
        <v>85.054504621770448</v>
      </c>
      <c r="G4340" s="1">
        <v>3.7216850312930543</v>
      </c>
      <c r="H4340" s="1">
        <v>6.8745168337941047</v>
      </c>
      <c r="I4340" s="1">
        <v>62.075045201550168</v>
      </c>
      <c r="J4340" s="1">
        <v>7.043122699613058E-2</v>
      </c>
      <c r="K4340" s="1">
        <v>3.6205468684486317</v>
      </c>
      <c r="L4340" s="1">
        <v>4.9717140270883871</v>
      </c>
      <c r="M4340" s="1">
        <v>0.36196298350399519</v>
      </c>
      <c r="N4340" s="1">
        <v>2.7751836372990493</v>
      </c>
      <c r="O4340" s="1">
        <v>0.27540023391812862</v>
      </c>
      <c r="P4340" s="1">
        <v>0.17684619472910132</v>
      </c>
      <c r="Q4340" s="1">
        <v>5.9478984518382223</v>
      </c>
      <c r="R4340" s="2">
        <f t="shared" si="271"/>
        <v>256.9756220275429</v>
      </c>
      <c r="S4340" s="2">
        <f t="shared" si="270"/>
        <v>3.8678242901738633</v>
      </c>
      <c r="T4340" s="2">
        <f t="shared" si="272"/>
        <v>8.3842608818095599</v>
      </c>
      <c r="U4340" s="2">
        <f t="shared" si="273"/>
        <v>269.22770719952632</v>
      </c>
    </row>
    <row r="4341" spans="1:21" x14ac:dyDescent="0.25">
      <c r="A4341">
        <v>5150589</v>
      </c>
      <c r="B4341">
        <v>63</v>
      </c>
      <c r="C4341" s="1">
        <f>4.1747429882774*(10.3/7.3)</f>
        <v>5.8903907916790699</v>
      </c>
      <c r="D4341" s="1">
        <f>7.40110353104432*(10.3/7.3)</f>
        <v>10.4426529273639</v>
      </c>
      <c r="E4341" s="1">
        <f>25.7998070015068*(10.3/7.3)</f>
        <v>36.402467413084956</v>
      </c>
      <c r="F4341" s="1">
        <f>52.708691025542*(38.9/42.5)</f>
        <v>48.243954844554935</v>
      </c>
      <c r="G4341" s="1">
        <v>2.1178999505242699</v>
      </c>
      <c r="H4341" s="1">
        <v>4.745055551824553</v>
      </c>
      <c r="I4341" s="1">
        <v>35.467124081515458</v>
      </c>
      <c r="J4341" s="1">
        <v>4.4272375658885837E-2</v>
      </c>
      <c r="K4341" s="1">
        <v>2.7925053807821008</v>
      </c>
      <c r="L4341" s="1">
        <v>3.44862804880096</v>
      </c>
      <c r="M4341" s="1">
        <v>0.25905536282587704</v>
      </c>
      <c r="N4341" s="1">
        <v>2.0361246176399375</v>
      </c>
      <c r="O4341" s="1">
        <v>0.20270814814814811</v>
      </c>
      <c r="P4341" s="1">
        <v>0.14252979300677163</v>
      </c>
      <c r="Q4341" s="1">
        <v>3.3847716104269185</v>
      </c>
      <c r="R4341" s="2">
        <f t="shared" si="271"/>
        <v>146.69431717097407</v>
      </c>
      <c r="S4341" s="2">
        <f t="shared" si="270"/>
        <v>2.9793075494477579</v>
      </c>
      <c r="T4341" s="2">
        <f t="shared" si="272"/>
        <v>5.9465161774149227</v>
      </c>
      <c r="U4341" s="2">
        <f t="shared" si="273"/>
        <v>155.62014089783676</v>
      </c>
    </row>
    <row r="4342" spans="1:21" x14ac:dyDescent="0.25">
      <c r="A4342">
        <v>5150597</v>
      </c>
      <c r="B4342">
        <v>69</v>
      </c>
      <c r="C4342" s="1">
        <f>6.20094164369747*(10.3/7.3)</f>
        <v>8.7492738260388947</v>
      </c>
      <c r="D4342" s="1">
        <f>11.2937417880426*(10.3/7.3)</f>
        <v>15.935005536553257</v>
      </c>
      <c r="E4342" s="1">
        <f>39.3133853620794*(10.3/7.3)</f>
        <v>55.469571127317444</v>
      </c>
      <c r="F4342" s="1">
        <f>81.4359974066382*(38.9/42.5)</f>
        <v>74.537889391017117</v>
      </c>
      <c r="G4342" s="1">
        <v>3.3338404180933803</v>
      </c>
      <c r="H4342" s="1">
        <v>6.136465938897576</v>
      </c>
      <c r="I4342" s="1">
        <v>54.655238151258651</v>
      </c>
      <c r="J4342" s="1">
        <v>5.6323548724837108E-2</v>
      </c>
      <c r="K4342" s="1">
        <v>3.3965350703220127</v>
      </c>
      <c r="L4342" s="1">
        <v>4.6152671262660006</v>
      </c>
      <c r="M4342" s="1">
        <v>0.32539515664261276</v>
      </c>
      <c r="N4342" s="1">
        <v>3.0818628951931242</v>
      </c>
      <c r="O4342" s="1">
        <v>0.25199304347826085</v>
      </c>
      <c r="P4342" s="1">
        <v>0.166422739493579</v>
      </c>
      <c r="Q4342" s="1">
        <v>5.3280554627063186</v>
      </c>
      <c r="R4342" s="2">
        <f t="shared" si="271"/>
        <v>224.14533985188265</v>
      </c>
      <c r="S4342" s="2">
        <f t="shared" si="270"/>
        <v>3.6192813585404289</v>
      </c>
      <c r="T4342" s="2">
        <f t="shared" si="272"/>
        <v>8.2745182215799993</v>
      </c>
      <c r="U4342" s="2">
        <f t="shared" si="273"/>
        <v>236.03913943200308</v>
      </c>
    </row>
    <row r="4343" spans="1:21" x14ac:dyDescent="0.25">
      <c r="A4343">
        <v>5150605</v>
      </c>
      <c r="B4343">
        <v>68</v>
      </c>
      <c r="C4343" s="1">
        <f>6.37750112498082*(10.3/7.3)</f>
        <v>8.9983919982606082</v>
      </c>
      <c r="D4343" s="1">
        <f>12.570545966489*(10.3/7.3)</f>
        <v>17.736523760936588</v>
      </c>
      <c r="E4343" s="1">
        <f>43.5936246664205*(10.3/7.3)</f>
        <v>61.508812885497356</v>
      </c>
      <c r="F4343" s="1">
        <f>93.328752225938*(38.9/42.5)</f>
        <v>85.423257919740905</v>
      </c>
      <c r="G4343" s="1">
        <v>3.9900148413566785</v>
      </c>
      <c r="H4343" s="1">
        <v>8.2182508983412799</v>
      </c>
      <c r="I4343" s="1">
        <v>62.104561811432134</v>
      </c>
      <c r="J4343" s="1">
        <v>5.9034071472742602E-2</v>
      </c>
      <c r="K4343" s="1">
        <v>3.5439529194219448</v>
      </c>
      <c r="L4343" s="1">
        <v>4.9103595185632143</v>
      </c>
      <c r="M4343" s="1">
        <v>0.33672813267578128</v>
      </c>
      <c r="N4343" s="1">
        <v>2.7416043789778892</v>
      </c>
      <c r="O4343" s="1">
        <v>0.26073568627450977</v>
      </c>
      <c r="P4343" s="1">
        <v>0.17100755101334492</v>
      </c>
      <c r="Q4343" s="1">
        <v>6.3767360478303141</v>
      </c>
      <c r="R4343" s="2">
        <f t="shared" si="271"/>
        <v>254.35655016339587</v>
      </c>
      <c r="S4343" s="2">
        <f t="shared" si="270"/>
        <v>3.7739945419080323</v>
      </c>
      <c r="T4343" s="2">
        <f t="shared" si="272"/>
        <v>8.2494277164913949</v>
      </c>
      <c r="U4343" s="2">
        <f t="shared" si="273"/>
        <v>266.37997242179529</v>
      </c>
    </row>
    <row r="4344" spans="1:21" x14ac:dyDescent="0.25">
      <c r="A4344">
        <v>5150613</v>
      </c>
      <c r="B4344">
        <v>66</v>
      </c>
      <c r="C4344" s="1">
        <f>5.65040292498901*(10.3/7.3)</f>
        <v>7.9724863188201063</v>
      </c>
      <c r="D4344" s="1">
        <f>12.1716810659936*(10.3/7.3)</f>
        <v>17.173741778045738</v>
      </c>
      <c r="E4344" s="1">
        <f>42.0686994791827*(10.3/7.3)</f>
        <v>59.35720611446331</v>
      </c>
      <c r="F4344" s="1">
        <f>91.9551029852946*(38.9/42.5)</f>
        <v>84.165964850069628</v>
      </c>
      <c r="G4344" s="1">
        <v>4.0482868959678759</v>
      </c>
      <c r="H4344" s="1">
        <v>11.112721717565114</v>
      </c>
      <c r="I4344" s="1">
        <v>60.412346237945833</v>
      </c>
      <c r="J4344" s="1">
        <v>5.1915855133430826E-2</v>
      </c>
      <c r="K4344" s="1">
        <v>3.3849010657618863</v>
      </c>
      <c r="L4344" s="1">
        <v>4.2966955497093897</v>
      </c>
      <c r="M4344" s="1">
        <v>0.29254080524050441</v>
      </c>
      <c r="N4344" s="1">
        <v>2.5787984358624199</v>
      </c>
      <c r="O4344" s="1">
        <v>0.23322747474747471</v>
      </c>
      <c r="P4344" s="1">
        <v>0.15633568248558843</v>
      </c>
      <c r="Q4344" s="1">
        <v>6.469864902231774</v>
      </c>
      <c r="R4344" s="2">
        <f t="shared" si="271"/>
        <v>250.71261881510935</v>
      </c>
      <c r="S4344" s="2">
        <f t="shared" si="270"/>
        <v>3.5931526033809056</v>
      </c>
      <c r="T4344" s="2">
        <f t="shared" si="272"/>
        <v>7.4012622655597884</v>
      </c>
      <c r="U4344" s="2">
        <f t="shared" si="273"/>
        <v>261.70703368405003</v>
      </c>
    </row>
    <row r="4345" spans="1:21" x14ac:dyDescent="0.25">
      <c r="A4345">
        <v>5150621</v>
      </c>
      <c r="B4345">
        <v>47</v>
      </c>
      <c r="C4345" s="1">
        <f>4.89768418194541*(10.3/7.3)</f>
        <v>6.9104311060325623</v>
      </c>
      <c r="D4345" s="1">
        <f>9.43902810318125*(10.3/7.3)</f>
        <v>13.318080748324231</v>
      </c>
      <c r="E4345" s="1">
        <f>32.6244681254215*(10.3/7.3)</f>
        <v>46.031783793402944</v>
      </c>
      <c r="F4345" s="1">
        <f>76.4736151451187*(38.9/42.5)</f>
        <v>69.995850097532141</v>
      </c>
      <c r="G4345" s="1">
        <v>3.5356650805973251</v>
      </c>
      <c r="H4345" s="1">
        <v>8.3834210249001391</v>
      </c>
      <c r="I4345" s="1">
        <v>52.644557124585766</v>
      </c>
      <c r="J4345" s="1">
        <v>4.9141535802586997E-2</v>
      </c>
      <c r="K4345" s="1">
        <v>3.0307397489675032</v>
      </c>
      <c r="L4345" s="1">
        <v>3.969762009544842</v>
      </c>
      <c r="M4345" s="1">
        <v>0.26674309429257165</v>
      </c>
      <c r="N4345" s="1">
        <v>2.3944283979788263</v>
      </c>
      <c r="O4345" s="1">
        <v>0.2146655319148936</v>
      </c>
      <c r="P4345" s="1">
        <v>0.14758786587720615</v>
      </c>
      <c r="Q4345" s="1">
        <v>5.6506062931920766</v>
      </c>
      <c r="R4345" s="2">
        <f t="shared" si="271"/>
        <v>206.47039526856716</v>
      </c>
      <c r="S4345" s="2">
        <f t="shared" si="270"/>
        <v>3.2274691506472961</v>
      </c>
      <c r="T4345" s="2">
        <f t="shared" si="272"/>
        <v>6.8455990337311334</v>
      </c>
      <c r="U4345" s="2">
        <f t="shared" si="273"/>
        <v>216.54346345294559</v>
      </c>
    </row>
    <row r="4346" spans="1:21" x14ac:dyDescent="0.25">
      <c r="A4346">
        <v>5150629</v>
      </c>
      <c r="B4346">
        <v>42</v>
      </c>
      <c r="C4346" s="1">
        <f>3.41271593055727*(10.3/7.3)</f>
        <v>4.8152019294164159</v>
      </c>
      <c r="D4346" s="1">
        <f>6.83302516216811*(10.3/7.3)</f>
        <v>9.6411176945659687</v>
      </c>
      <c r="E4346" s="1">
        <f>23.3682626696502*(10.3/7.3)</f>
        <v>32.97165828731471</v>
      </c>
      <c r="F4346" s="1">
        <f>66.0925950974162*(38.9/42.5)</f>
        <v>60.494163512693852</v>
      </c>
      <c r="G4346" s="1">
        <v>3.4943152192000522</v>
      </c>
      <c r="H4346" s="1">
        <v>6.0605909320767841</v>
      </c>
      <c r="I4346" s="1">
        <v>47.504727607862073</v>
      </c>
      <c r="J4346" s="1">
        <v>4.2228767906480766E-2</v>
      </c>
      <c r="K4346" s="1">
        <v>2.5332719868002109</v>
      </c>
      <c r="L4346" s="1">
        <v>3.092667730140465</v>
      </c>
      <c r="M4346" s="1">
        <v>0.21561065061888413</v>
      </c>
      <c r="N4346" s="1">
        <v>1.9880734262243427</v>
      </c>
      <c r="O4346" s="1">
        <v>0.17349079365079365</v>
      </c>
      <c r="P4346" s="1">
        <v>0.1262013447134212</v>
      </c>
      <c r="Q4346" s="1">
        <v>5.5845220398174424</v>
      </c>
      <c r="R4346" s="2">
        <f t="shared" si="271"/>
        <v>170.5662972229473</v>
      </c>
      <c r="S4346" s="2">
        <f t="shared" si="270"/>
        <v>2.7017020994201131</v>
      </c>
      <c r="T4346" s="2">
        <f t="shared" si="272"/>
        <v>5.4698426006344851</v>
      </c>
      <c r="U4346" s="2">
        <f t="shared" si="273"/>
        <v>178.73784192300189</v>
      </c>
    </row>
    <row r="4347" spans="1:21" x14ac:dyDescent="0.25">
      <c r="A4347">
        <v>5150637</v>
      </c>
      <c r="B4347">
        <v>48</v>
      </c>
      <c r="C4347" s="1">
        <f>6.50395584501184*(10.3/7.3)</f>
        <v>9.1768144114550605</v>
      </c>
      <c r="D4347" s="1">
        <f>12.0400732711658*(10.3/7.3)</f>
        <v>16.988048588083267</v>
      </c>
      <c r="E4347" s="1">
        <f>41.4431976588066*(10.3/7.3)</f>
        <v>58.474648751466795</v>
      </c>
      <c r="F4347" s="1">
        <f>108.435878723404*(38.9/42.5)</f>
        <v>99.250721937421773</v>
      </c>
      <c r="G4347" s="1">
        <v>5.4223063173806052</v>
      </c>
      <c r="H4347" s="1">
        <v>7.6731321646279902</v>
      </c>
      <c r="I4347" s="1">
        <v>77.54433956943079</v>
      </c>
      <c r="J4347" s="1">
        <v>6.1439822402956486E-2</v>
      </c>
      <c r="K4347" s="1">
        <v>3.468109179624252</v>
      </c>
      <c r="L4347" s="1">
        <v>4.8192451952088975</v>
      </c>
      <c r="M4347" s="1">
        <v>0.29946919459390897</v>
      </c>
      <c r="N4347" s="1">
        <v>2.5684407370499036</v>
      </c>
      <c r="O4347" s="1">
        <v>0.24480555555555561</v>
      </c>
      <c r="P4347" s="1">
        <v>0.16224566181010638</v>
      </c>
      <c r="Q4347" s="1">
        <v>8.6657863519781433</v>
      </c>
      <c r="R4347" s="2">
        <f t="shared" si="271"/>
        <v>283.19579809184449</v>
      </c>
      <c r="S4347" s="2">
        <f t="shared" si="270"/>
        <v>3.6917946638373147</v>
      </c>
      <c r="T4347" s="2">
        <f t="shared" si="272"/>
        <v>7.931960682408266</v>
      </c>
      <c r="U4347" s="2">
        <f t="shared" si="273"/>
        <v>294.81955343809005</v>
      </c>
    </row>
    <row r="4348" spans="1:21" x14ac:dyDescent="0.25">
      <c r="A4348">
        <v>5150645</v>
      </c>
      <c r="B4348">
        <v>64</v>
      </c>
      <c r="C4348" s="1">
        <f>7.24530136358735*(10.3/7.3)</f>
        <v>10.222822471910913</v>
      </c>
      <c r="D4348" s="1">
        <f>12.1990473265327*(10.3/7.3)</f>
        <v>17.212354447025572</v>
      </c>
      <c r="E4348" s="1">
        <f>42.4209384948995*(10.3/7.3)</f>
        <v>59.854200890063645</v>
      </c>
      <c r="F4348" s="1">
        <f>95.594744862609*(38.9/42.5)</f>
        <v>87.497307650717431</v>
      </c>
      <c r="G4348" s="1">
        <v>4.2065484580816888</v>
      </c>
      <c r="H4348" s="1">
        <v>6.7290890358240976</v>
      </c>
      <c r="I4348" s="1">
        <v>67.128101946664145</v>
      </c>
      <c r="J4348" s="1">
        <v>6.1117913517916657E-2</v>
      </c>
      <c r="K4348" s="1">
        <v>3.6619766793507278</v>
      </c>
      <c r="L4348" s="1">
        <v>5.2614698891402369</v>
      </c>
      <c r="M4348" s="1">
        <v>0.31581086340843884</v>
      </c>
      <c r="N4348" s="1">
        <v>2.6864215417926895</v>
      </c>
      <c r="O4348" s="1">
        <v>0.25965166666666661</v>
      </c>
      <c r="P4348" s="1">
        <v>0.1705258739815313</v>
      </c>
      <c r="Q4348" s="1">
        <v>6.7227943393999654</v>
      </c>
      <c r="R4348" s="2">
        <f t="shared" si="271"/>
        <v>259.57321923968743</v>
      </c>
      <c r="S4348" s="2">
        <f t="shared" si="270"/>
        <v>3.8936204668501757</v>
      </c>
      <c r="T4348" s="2">
        <f t="shared" si="272"/>
        <v>8.5233539610080324</v>
      </c>
      <c r="U4348" s="2">
        <f t="shared" si="273"/>
        <v>271.99019366754561</v>
      </c>
    </row>
    <row r="4349" spans="1:21" x14ac:dyDescent="0.25">
      <c r="A4349">
        <v>5150653</v>
      </c>
      <c r="B4349">
        <v>63</v>
      </c>
      <c r="C4349" s="1">
        <f>6.48443085360372*(10.3/7.3)</f>
        <v>9.149265450975113</v>
      </c>
      <c r="D4349" s="1">
        <f>10.5919325207627*(10.3/7.3)</f>
        <v>14.944781501898097</v>
      </c>
      <c r="E4349" s="1">
        <f>36.9264842824939*(10.3/7.3)</f>
        <v>52.101751795847555</v>
      </c>
      <c r="F4349" s="1">
        <f>80.3872097622516*(38.9/42.5)</f>
        <v>73.577940229449155</v>
      </c>
      <c r="G4349" s="1">
        <v>3.4098332263362141</v>
      </c>
      <c r="H4349" s="1">
        <v>6.1605104109643429</v>
      </c>
      <c r="I4349" s="1">
        <v>56.351500156042029</v>
      </c>
      <c r="J4349" s="1">
        <v>5.5417588118083741E-2</v>
      </c>
      <c r="K4349" s="1">
        <v>3.4011274563151042</v>
      </c>
      <c r="L4349" s="1">
        <v>4.7610771216064478</v>
      </c>
      <c r="M4349" s="1">
        <v>0.28325328106252173</v>
      </c>
      <c r="N4349" s="1">
        <v>2.4644382485226877</v>
      </c>
      <c r="O4349" s="1">
        <v>0.23827470899470893</v>
      </c>
      <c r="P4349" s="1">
        <v>0.15891114539131293</v>
      </c>
      <c r="Q4349" s="1">
        <v>5.4495051562450962</v>
      </c>
      <c r="R4349" s="2">
        <f t="shared" si="271"/>
        <v>221.1450879277576</v>
      </c>
      <c r="S4349" s="2">
        <f t="shared" si="270"/>
        <v>3.615456189824501</v>
      </c>
      <c r="T4349" s="2">
        <f t="shared" si="272"/>
        <v>7.7470433601863657</v>
      </c>
      <c r="U4349" s="2">
        <f t="shared" si="273"/>
        <v>232.50758747776845</v>
      </c>
    </row>
    <row r="4350" spans="1:21" x14ac:dyDescent="0.25">
      <c r="A4350">
        <v>5150661</v>
      </c>
      <c r="B4350">
        <v>63</v>
      </c>
      <c r="C4350" s="1">
        <f>6.54704485446373*(10.3/7.3)</f>
        <v>9.2376112330104618</v>
      </c>
      <c r="D4350" s="1">
        <f>10.4884613444396*(10.3/7.3)</f>
        <v>14.798787924346311</v>
      </c>
      <c r="E4350" s="1">
        <f>36.6119532930632*(10.3/7.3)</f>
        <v>51.6579614956919</v>
      </c>
      <c r="F4350" s="1">
        <f>78.6301100596686*(38.9/42.5)</f>
        <v>71.969677207555463</v>
      </c>
      <c r="G4350" s="1">
        <v>3.2813688231163876</v>
      </c>
      <c r="H4350" s="1">
        <v>6.1573646002629703</v>
      </c>
      <c r="I4350" s="1">
        <v>55.201038903029279</v>
      </c>
      <c r="J4350" s="1">
        <v>5.5979307472610727E-2</v>
      </c>
      <c r="K4350" s="1">
        <v>3.4103454095219812</v>
      </c>
      <c r="L4350" s="1">
        <v>4.7770165228629278</v>
      </c>
      <c r="M4350" s="1">
        <v>0.27872657215802399</v>
      </c>
      <c r="N4350" s="1">
        <v>2.4781089140406851</v>
      </c>
      <c r="O4350" s="1">
        <v>0.23677544973544973</v>
      </c>
      <c r="P4350" s="1">
        <v>0.15757790803232122</v>
      </c>
      <c r="Q4350" s="1">
        <v>5.2441967492727724</v>
      </c>
      <c r="R4350" s="2">
        <f t="shared" si="271"/>
        <v>217.54800693628556</v>
      </c>
      <c r="S4350" s="2">
        <f t="shared" si="270"/>
        <v>3.6239026250269131</v>
      </c>
      <c r="T4350" s="2">
        <f t="shared" si="272"/>
        <v>7.7706274587970858</v>
      </c>
      <c r="U4350" s="2">
        <f t="shared" si="273"/>
        <v>228.94253702010957</v>
      </c>
    </row>
    <row r="4351" spans="1:21" x14ac:dyDescent="0.25">
      <c r="A4351">
        <v>5150669</v>
      </c>
      <c r="B4351">
        <v>63</v>
      </c>
      <c r="C4351" s="1">
        <f>7.30005660874824*(10.3/7.3)</f>
        <v>10.300079872617383</v>
      </c>
      <c r="D4351" s="1">
        <f>11.4980656608255*(10.3/7.3)</f>
        <v>16.223298124178434</v>
      </c>
      <c r="E4351" s="1">
        <f>40.1640052227332*(10.3/7.3)</f>
        <v>56.669760793719512</v>
      </c>
      <c r="F4351" s="1">
        <f>86.0853701199654*(38.9/42.5)</f>
        <v>78.793432886274218</v>
      </c>
      <c r="G4351" s="1">
        <v>3.5761403849523594</v>
      </c>
      <c r="H4351" s="1">
        <v>6.6259304382906388</v>
      </c>
      <c r="I4351" s="1">
        <v>60.682328865774345</v>
      </c>
      <c r="J4351" s="1">
        <v>6.1283985693539579E-2</v>
      </c>
      <c r="K4351" s="1">
        <v>3.6124523733009331</v>
      </c>
      <c r="L4351" s="1">
        <v>5.1813213956012998</v>
      </c>
      <c r="M4351" s="1">
        <v>0.29728896352595202</v>
      </c>
      <c r="N4351" s="1">
        <v>2.6638954042926688</v>
      </c>
      <c r="O4351" s="1">
        <v>0.24704169312169316</v>
      </c>
      <c r="P4351" s="1">
        <v>0.16384084348909392</v>
      </c>
      <c r="Q4351" s="1">
        <v>5.7152928526635929</v>
      </c>
      <c r="R4351" s="2">
        <f t="shared" si="271"/>
        <v>238.58626421847049</v>
      </c>
      <c r="S4351" s="2">
        <f t="shared" si="270"/>
        <v>3.8375772024835668</v>
      </c>
      <c r="T4351" s="2">
        <f t="shared" si="272"/>
        <v>8.3895474565416137</v>
      </c>
      <c r="U4351" s="2">
        <f t="shared" si="273"/>
        <v>250.81338887749567</v>
      </c>
    </row>
    <row r="4352" spans="1:21" x14ac:dyDescent="0.25">
      <c r="A4352">
        <v>5150677</v>
      </c>
      <c r="B4352">
        <v>61</v>
      </c>
      <c r="C4352" s="1">
        <f>5.54055244201928*(10.3/7.3)</f>
        <v>7.8174918017532322</v>
      </c>
      <c r="D4352" s="1">
        <f>8.59400857704472*(10.3/7.3)</f>
        <v>12.125792923775434</v>
      </c>
      <c r="E4352" s="1">
        <f>30.0353991672367*(10.3/7.3)</f>
        <v>42.378713893498428</v>
      </c>
      <c r="F4352" s="1">
        <f>64.4354423418677*(38.9/42.5)</f>
        <v>58.977381343497768</v>
      </c>
      <c r="G4352" s="1">
        <v>2.6731039467341735</v>
      </c>
      <c r="H4352" s="1">
        <v>9.6004329979734493</v>
      </c>
      <c r="I4352" s="1">
        <v>45.62482450807255</v>
      </c>
      <c r="J4352" s="1">
        <v>5.0770141637269776E-2</v>
      </c>
      <c r="K4352" s="1">
        <v>3.0679545491503046</v>
      </c>
      <c r="L4352" s="1">
        <v>4.1054633490495469</v>
      </c>
      <c r="M4352" s="1">
        <v>0.24208283748764425</v>
      </c>
      <c r="N4352" s="1">
        <v>2.2307381301844136</v>
      </c>
      <c r="O4352" s="1">
        <v>0.20606950819672126</v>
      </c>
      <c r="P4352" s="1">
        <v>0.14126633124332139</v>
      </c>
      <c r="Q4352" s="1">
        <v>4.2720839331368117</v>
      </c>
      <c r="R4352" s="2">
        <f t="shared" si="271"/>
        <v>183.46982534844184</v>
      </c>
      <c r="S4352" s="2">
        <f t="shared" si="270"/>
        <v>3.2599910220308961</v>
      </c>
      <c r="T4352" s="2">
        <f t="shared" si="272"/>
        <v>6.7843538249183268</v>
      </c>
      <c r="U4352" s="2">
        <f t="shared" si="273"/>
        <v>193.51417019539107</v>
      </c>
    </row>
    <row r="4353" spans="1:21" x14ac:dyDescent="0.25">
      <c r="A4353">
        <v>5150685</v>
      </c>
      <c r="B4353">
        <v>36</v>
      </c>
      <c r="C4353" s="1">
        <f>5.69033972491612*(10.3/7.3)</f>
        <v>8.0288355022789126</v>
      </c>
      <c r="D4353" s="1">
        <f>8.71774942045577*(10.3/7.3)</f>
        <v>12.300386168588274</v>
      </c>
      <c r="E4353" s="1">
        <f>30.4637202869562*(10.3/7.3)</f>
        <v>42.98305739118485</v>
      </c>
      <c r="F4353" s="1">
        <f>66.2686073745266*(38.9/42.5)</f>
        <v>60.655266514566698</v>
      </c>
      <c r="G4353" s="1">
        <v>2.7829625332943846</v>
      </c>
      <c r="H4353" s="1">
        <v>8.0409054280014054</v>
      </c>
      <c r="I4353" s="1">
        <v>47.252994543678312</v>
      </c>
      <c r="J4353" s="1">
        <v>5.2960133294468685E-2</v>
      </c>
      <c r="K4353" s="1">
        <v>3.0635189575988511</v>
      </c>
      <c r="L4353" s="1">
        <v>4.112032076546817</v>
      </c>
      <c r="M4353" s="1">
        <v>0.23205406019090993</v>
      </c>
      <c r="N4353" s="1">
        <v>2.2689231417104003</v>
      </c>
      <c r="O4353" s="1">
        <v>0.20321629629629628</v>
      </c>
      <c r="P4353" s="1">
        <v>0.13971474027143588</v>
      </c>
      <c r="Q4353" s="1">
        <v>4.4476570166805267</v>
      </c>
      <c r="R4353" s="2">
        <f t="shared" si="271"/>
        <v>186.49206509827334</v>
      </c>
      <c r="S4353" s="2">
        <f t="shared" si="270"/>
        <v>3.2561938311647554</v>
      </c>
      <c r="T4353" s="2">
        <f t="shared" si="272"/>
        <v>6.8162255747444229</v>
      </c>
      <c r="U4353" s="2">
        <f t="shared" si="273"/>
        <v>196.56448450418253</v>
      </c>
    </row>
    <row r="4354" spans="1:21" x14ac:dyDescent="0.25">
      <c r="A4354">
        <v>5150749</v>
      </c>
      <c r="B4354">
        <v>25</v>
      </c>
      <c r="C4354" s="1">
        <f>4.07285235759682*(10.3/7.3)</f>
        <v>5.7466272990749721</v>
      </c>
      <c r="D4354" s="1">
        <f>5.7975137704559*(10.3/7.3)</f>
        <v>8.1800536761227072</v>
      </c>
      <c r="E4354" s="1">
        <f>20.1896542998793*(10.3/7.3)</f>
        <v>28.486772505309208</v>
      </c>
      <c r="F4354" s="1">
        <f>50.341491929868*(38.9/42.5)</f>
        <v>46.077271436985072</v>
      </c>
      <c r="G4354" s="1">
        <v>2.3631925354531265</v>
      </c>
      <c r="H4354" s="1">
        <v>7.4462874883581298</v>
      </c>
      <c r="I4354" s="1">
        <v>37.719819115081101</v>
      </c>
      <c r="J4354" s="1">
        <v>4.023643422004862E-2</v>
      </c>
      <c r="K4354" s="1">
        <v>2.2231243832990755</v>
      </c>
      <c r="L4354" s="1">
        <v>2.914622734548562</v>
      </c>
      <c r="M4354" s="1">
        <v>0.14621943959967637</v>
      </c>
      <c r="N4354" s="1">
        <v>1.7438533817492721</v>
      </c>
      <c r="O4354" s="1">
        <v>0.12584533333333334</v>
      </c>
      <c r="P4354" s="1">
        <v>9.7279452751815876E-2</v>
      </c>
      <c r="Q4354" s="1">
        <v>3.7767917233269177</v>
      </c>
      <c r="R4354" s="2">
        <f t="shared" si="271"/>
        <v>139.79681577971121</v>
      </c>
      <c r="S4354" s="2">
        <f t="shared" si="270"/>
        <v>2.3606402702709399</v>
      </c>
      <c r="T4354" s="2">
        <f t="shared" si="272"/>
        <v>4.9305408892308442</v>
      </c>
      <c r="U4354" s="2">
        <f t="shared" si="273"/>
        <v>147.08799693921301</v>
      </c>
    </row>
    <row r="4355" spans="1:21" x14ac:dyDescent="0.25">
      <c r="A4355">
        <v>5150757</v>
      </c>
      <c r="B4355">
        <v>7</v>
      </c>
      <c r="C4355" s="1">
        <f>4.75184885000044*(10.3/7.3)</f>
        <v>6.7046634458910264</v>
      </c>
      <c r="D4355" s="1">
        <f>6.78348585697169*(10.3/7.3)</f>
        <v>9.5712197707956754</v>
      </c>
      <c r="E4355" s="1">
        <f>23.5538089042809*(10.3/7.3)</f>
        <v>33.233456399190914</v>
      </c>
      <c r="F4355" s="1">
        <f>62.1323966321419*(38.9/42.5)</f>
        <v>56.869417152713439</v>
      </c>
      <c r="G4355" s="1">
        <v>3.0439574773806912</v>
      </c>
      <c r="H4355" s="1">
        <v>7.0699162977872678</v>
      </c>
      <c r="I4355" s="1">
        <v>47.01949559199425</v>
      </c>
      <c r="J4355" s="1">
        <v>4.2475681953686513E-2</v>
      </c>
      <c r="K4355" s="1">
        <v>2.3761189903946334</v>
      </c>
      <c r="L4355" s="1">
        <v>3.1328230302104059</v>
      </c>
      <c r="M4355" s="1">
        <v>0.15270242220309402</v>
      </c>
      <c r="N4355" s="1">
        <v>1.921542839107419</v>
      </c>
      <c r="O4355" s="1">
        <v>0.13455999999999999</v>
      </c>
      <c r="P4355" s="1">
        <v>0.10181883407901531</v>
      </c>
      <c r="Q4355" s="1">
        <v>4.8647722241243967</v>
      </c>
      <c r="R4355" s="2">
        <f t="shared" si="271"/>
        <v>168.37689835987766</v>
      </c>
      <c r="S4355" s="2">
        <f t="shared" si="270"/>
        <v>2.5204135064273352</v>
      </c>
      <c r="T4355" s="2">
        <f t="shared" si="272"/>
        <v>5.3416282915209186</v>
      </c>
      <c r="U4355" s="2">
        <f t="shared" si="273"/>
        <v>176.23894015782591</v>
      </c>
    </row>
    <row r="4356" spans="1:21" x14ac:dyDescent="0.25">
      <c r="A4356">
        <v>5150901</v>
      </c>
      <c r="B4356">
        <v>26</v>
      </c>
      <c r="C4356" s="1">
        <f>8.57813319357934*(10.3/7.3)</f>
        <v>12.103393410118796</v>
      </c>
      <c r="D4356" s="1">
        <f>10.5378402894332*(10.3/7.3)</f>
        <v>14.868459586460533</v>
      </c>
      <c r="E4356" s="1">
        <f>37.1510469541063*(10.3/7.3)</f>
        <v>52.418600496889681</v>
      </c>
      <c r="F4356" s="1">
        <f>81.3532867952969*(38.9/42.5)</f>
        <v>74.462184854989374</v>
      </c>
      <c r="G4356" s="1">
        <v>3.3145883325183307</v>
      </c>
      <c r="H4356" s="1">
        <v>6.5785115459518124</v>
      </c>
      <c r="I4356" s="1">
        <v>61.986077633376993</v>
      </c>
      <c r="J4356" s="1">
        <v>4.181742582796507E-2</v>
      </c>
      <c r="K4356" s="1">
        <v>2.4549962194578665</v>
      </c>
      <c r="L4356" s="1">
        <v>2.915465506476584</v>
      </c>
      <c r="M4356" s="1">
        <v>0.13146480522958456</v>
      </c>
      <c r="N4356" s="1">
        <v>2.8314712848840276</v>
      </c>
      <c r="O4356" s="1">
        <v>0.12292717948717947</v>
      </c>
      <c r="P4356" s="1">
        <v>9.3358202537540916E-2</v>
      </c>
      <c r="Q4356" s="1">
        <v>5.2972872894128633</v>
      </c>
      <c r="R4356" s="2">
        <f t="shared" si="271"/>
        <v>231.02910314971837</v>
      </c>
      <c r="S4356" s="2">
        <f t="shared" si="270"/>
        <v>2.5901718478233722</v>
      </c>
      <c r="T4356" s="2">
        <f t="shared" si="272"/>
        <v>6.0013287760773757</v>
      </c>
      <c r="U4356" s="2">
        <f t="shared" si="273"/>
        <v>239.62060377361911</v>
      </c>
    </row>
    <row r="4357" spans="1:21" x14ac:dyDescent="0.25">
      <c r="A4357">
        <v>5151021</v>
      </c>
      <c r="B4357">
        <v>11</v>
      </c>
      <c r="C4357" s="1">
        <f>5.79369745455851*(10.3/7.3)</f>
        <v>8.1746690112263849</v>
      </c>
      <c r="D4357" s="1">
        <f>6.58761568952194*(10.3/7.3)</f>
        <v>9.2948550139830068</v>
      </c>
      <c r="E4357" s="1">
        <f>23.2861218243075*(10.3/7.3)</f>
        <v>32.855760930187344</v>
      </c>
      <c r="F4357" s="1">
        <f>52.2125746582864*(38.9/42.5)</f>
        <v>47.789862451937474</v>
      </c>
      <c r="G4357" s="1">
        <v>2.1488250465183012</v>
      </c>
      <c r="H4357" s="1">
        <v>7.6119942546084101</v>
      </c>
      <c r="I4357" s="1">
        <v>40.92207707141813</v>
      </c>
      <c r="J4357" s="1">
        <v>4.3843095694356862E-2</v>
      </c>
      <c r="K4357" s="1">
        <v>2.2028385914239363</v>
      </c>
      <c r="L4357" s="1">
        <v>1.9926639923571925</v>
      </c>
      <c r="M4357" s="1">
        <v>9.4045416727687722E-2</v>
      </c>
      <c r="N4357" s="1">
        <v>1.8412824771168734</v>
      </c>
      <c r="O4357" s="1">
        <v>8.9735757575757566E-2</v>
      </c>
      <c r="P4357" s="1">
        <v>7.0042350581813573E-2</v>
      </c>
      <c r="Q4357" s="1">
        <v>3.4341952798237725</v>
      </c>
      <c r="R4357" s="2">
        <f t="shared" si="271"/>
        <v>152.23223905970281</v>
      </c>
      <c r="S4357" s="2">
        <f t="shared" si="270"/>
        <v>2.3167240377001068</v>
      </c>
      <c r="T4357" s="2">
        <f t="shared" si="272"/>
        <v>4.0177276437775111</v>
      </c>
      <c r="U4357" s="2">
        <f t="shared" si="273"/>
        <v>158.56669074118042</v>
      </c>
    </row>
    <row r="4358" spans="1:21" x14ac:dyDescent="0.25">
      <c r="A4358">
        <v>5151029</v>
      </c>
      <c r="B4358">
        <v>12</v>
      </c>
      <c r="C4358" s="1">
        <f>6.67105585344085*(10.3/7.3)</f>
        <v>9.412585656224767</v>
      </c>
      <c r="D4358" s="1">
        <f>7.58581848576114*(10.3/7.3)</f>
        <v>10.703278137443808</v>
      </c>
      <c r="E4358" s="1">
        <f>26.8004527761198*(10.3/7.3)</f>
        <v>37.814337478634762</v>
      </c>
      <c r="F4358" s="1">
        <f>60.8045705019926*(38.9/42.5)</f>
        <v>55.654065706529671</v>
      </c>
      <c r="G4358" s="1">
        <v>2.5329653206649509</v>
      </c>
      <c r="H4358" s="1">
        <v>7.1167835453551236</v>
      </c>
      <c r="I4358" s="1">
        <v>47.73577557799522</v>
      </c>
      <c r="J4358" s="1">
        <v>4.8075498569284135E-2</v>
      </c>
      <c r="K4358" s="1">
        <v>2.5435042866264772</v>
      </c>
      <c r="L4358" s="1">
        <v>2.3761977535339986</v>
      </c>
      <c r="M4358" s="1">
        <v>0.10843788007317152</v>
      </c>
      <c r="N4358" s="1">
        <v>2.1982057879194201</v>
      </c>
      <c r="O4358" s="1">
        <v>0.10420444444444443</v>
      </c>
      <c r="P4358" s="1">
        <v>7.9241368206723339E-2</v>
      </c>
      <c r="Q4358" s="1">
        <v>4.0481180923869129</v>
      </c>
      <c r="R4358" s="2">
        <f t="shared" si="271"/>
        <v>175.0179095152352</v>
      </c>
      <c r="S4358" s="2">
        <f t="shared" si="270"/>
        <v>2.6708211534024846</v>
      </c>
      <c r="T4358" s="2">
        <f t="shared" si="272"/>
        <v>4.7870458659710344</v>
      </c>
      <c r="U4358" s="2">
        <f t="shared" si="273"/>
        <v>182.47577653460871</v>
      </c>
    </row>
    <row r="4359" spans="1:21" x14ac:dyDescent="0.25">
      <c r="A4359">
        <v>5151069</v>
      </c>
      <c r="B4359">
        <v>1</v>
      </c>
      <c r="C4359" s="1">
        <f>3.14849673246131*(10.3/7.3)</f>
        <v>4.4423994992262372</v>
      </c>
      <c r="D4359" s="1">
        <f>4.05197385920567*(10.3/7.3)</f>
        <v>5.7171685958655329</v>
      </c>
      <c r="E4359" s="1">
        <f>14.1182926188637*(10.3/7.3)</f>
        <v>19.920330681410395</v>
      </c>
      <c r="F4359" s="1">
        <f>37.8628152922746*(38.9/42.5)</f>
        <v>34.655612114576051</v>
      </c>
      <c r="G4359" s="1">
        <v>1.854056581217425</v>
      </c>
      <c r="H4359" s="1">
        <v>6.4763178140865394</v>
      </c>
      <c r="I4359" s="1">
        <v>29.444738353674623</v>
      </c>
      <c r="J4359" s="1">
        <v>3.1297870913242695E-2</v>
      </c>
      <c r="K4359" s="1">
        <v>1.811421622928969</v>
      </c>
      <c r="L4359" s="1">
        <v>1.7066782137464467</v>
      </c>
      <c r="M4359" s="1">
        <v>7.429542823344526E-2</v>
      </c>
      <c r="N4359" s="1">
        <v>1.4025474158001845</v>
      </c>
      <c r="O4359" s="1">
        <v>7.9413333333333336E-2</v>
      </c>
      <c r="P4359" s="1">
        <v>6.3893324637649351E-2</v>
      </c>
      <c r="Q4359" s="1">
        <v>2.9631041252333308</v>
      </c>
      <c r="R4359" s="2">
        <f t="shared" si="271"/>
        <v>105.47372776529014</v>
      </c>
      <c r="S4359" s="2">
        <f t="shared" si="270"/>
        <v>1.9066128184798612</v>
      </c>
      <c r="T4359" s="2">
        <f t="shared" si="272"/>
        <v>3.2629343911134097</v>
      </c>
      <c r="U4359" s="2">
        <f t="shared" si="273"/>
        <v>110.6432749748834</v>
      </c>
    </row>
    <row r="4360" spans="1:21" x14ac:dyDescent="0.25">
      <c r="A4360">
        <v>5151077</v>
      </c>
      <c r="B4360">
        <v>4</v>
      </c>
      <c r="C4360" s="1">
        <f>3.25613509323901*(10.3/7.3)</f>
        <v>4.594272802789285</v>
      </c>
      <c r="D4360" s="1">
        <f>5.17989729211818*(10.3/7.3)</f>
        <v>7.3086222066872928</v>
      </c>
      <c r="E4360" s="1">
        <f>17.5777947719561*(10.3/7.3)</f>
        <v>24.80154604810248</v>
      </c>
      <c r="F4360" s="1">
        <f>63.4731962513738*(38.9/42.5)</f>
        <v>58.096643157139788</v>
      </c>
      <c r="G4360" s="1">
        <v>3.7365463218111588</v>
      </c>
      <c r="H4360" s="1">
        <v>8.721866807196939</v>
      </c>
      <c r="I4360" s="1">
        <v>49.551971488074983</v>
      </c>
      <c r="J4360" s="1">
        <v>3.1845244197923867E-2</v>
      </c>
      <c r="K4360" s="1">
        <v>1.8254364292278222</v>
      </c>
      <c r="L4360" s="1">
        <v>1.7416281292086273</v>
      </c>
      <c r="M4360" s="1">
        <v>8.1605156743087937E-2</v>
      </c>
      <c r="N4360" s="1">
        <v>1.5291986029234645</v>
      </c>
      <c r="O4360" s="1">
        <v>8.1826666666666659E-2</v>
      </c>
      <c r="P4360" s="1">
        <v>6.4762520387192823E-2</v>
      </c>
      <c r="Q4360" s="1">
        <v>5.9716493727575655</v>
      </c>
      <c r="R4360" s="2">
        <f t="shared" si="271"/>
        <v>162.78311820455951</v>
      </c>
      <c r="S4360" s="2">
        <f t="shared" si="270"/>
        <v>1.9220441938129389</v>
      </c>
      <c r="T4360" s="2">
        <f t="shared" si="272"/>
        <v>3.4342585555418466</v>
      </c>
      <c r="U4360" s="2">
        <f t="shared" si="273"/>
        <v>168.13942095391431</v>
      </c>
    </row>
    <row r="4361" spans="1:21" x14ac:dyDescent="0.25">
      <c r="A4361">
        <v>5151085</v>
      </c>
      <c r="B4361">
        <v>6</v>
      </c>
      <c r="C4361" s="1">
        <f>2.93003367645182*(10.3/7.3)</f>
        <v>4.1341571051306536</v>
      </c>
      <c r="D4361" s="1">
        <f>3.91422711027514*(10.3/7.3)</f>
        <v>5.5228135939498619</v>
      </c>
      <c r="E4361" s="1">
        <f>13.5781702556722*(10.3/7.3)</f>
        <v>19.158240223756597</v>
      </c>
      <c r="F4361" s="1">
        <f>38.3709671688314*(38.9/42.5)</f>
        <v>35.120720538059778</v>
      </c>
      <c r="G4361" s="1">
        <v>1.9556291254044906</v>
      </c>
      <c r="H4361" s="1">
        <v>6.6515501339178913</v>
      </c>
      <c r="I4361" s="1">
        <v>29.818971304626285</v>
      </c>
      <c r="J4361" s="1">
        <v>3.0402554920469619E-2</v>
      </c>
      <c r="K4361" s="1">
        <v>1.7432999284405275</v>
      </c>
      <c r="L4361" s="1">
        <v>1.6460436372040672</v>
      </c>
      <c r="M4361" s="1">
        <v>7.8260223663939019E-2</v>
      </c>
      <c r="N4361" s="1">
        <v>1.0999759927641957</v>
      </c>
      <c r="O4361" s="1">
        <v>7.7591111111111111E-2</v>
      </c>
      <c r="P4361" s="1">
        <v>6.2535594377272588E-2</v>
      </c>
      <c r="Q4361" s="1">
        <v>3.1254346753039837</v>
      </c>
      <c r="R4361" s="2">
        <f t="shared" si="271"/>
        <v>105.48751670014954</v>
      </c>
      <c r="S4361" s="2">
        <f t="shared" ref="S4361:S4424" si="274">J4361+K4361+P4361</f>
        <v>1.8362380777382696</v>
      </c>
      <c r="T4361" s="2">
        <f t="shared" si="272"/>
        <v>2.901870964743313</v>
      </c>
      <c r="U4361" s="2">
        <f t="shared" si="273"/>
        <v>110.22562574263112</v>
      </c>
    </row>
    <row r="4362" spans="1:21" x14ac:dyDescent="0.25">
      <c r="A4362">
        <v>5162385</v>
      </c>
      <c r="B4362">
        <v>69</v>
      </c>
      <c r="C4362" s="1">
        <f>0.71982296937618*(10.3/7.3)</f>
        <v>1.0156406280239259</v>
      </c>
      <c r="D4362" s="1">
        <f>1.06516497938545*(10.3/7.3)</f>
        <v>1.5029040120096142</v>
      </c>
      <c r="E4362" s="1">
        <f>3.67941663806433*(10.3/7.3)</f>
        <v>5.1915056674058393</v>
      </c>
      <c r="F4362" s="1">
        <f>10.4160871998381*(38.9/42.5)</f>
        <v>9.5337833429105974</v>
      </c>
      <c r="G4362" s="1">
        <v>0.53712158485792216</v>
      </c>
      <c r="H4362" s="1">
        <v>2.3981099165407356</v>
      </c>
      <c r="I4362" s="1">
        <v>7.9207946031761258</v>
      </c>
      <c r="J4362" s="1">
        <v>3.9317157040145642E-2</v>
      </c>
      <c r="K4362" s="1">
        <v>3.0244768363664991</v>
      </c>
      <c r="L4362" s="1">
        <v>2.2145750512904891</v>
      </c>
      <c r="M4362" s="1">
        <v>0.85750113968780328</v>
      </c>
      <c r="N4362" s="1">
        <v>1.3683282396454224</v>
      </c>
      <c r="O4362" s="1">
        <v>0.39645526570048306</v>
      </c>
      <c r="P4362" s="1">
        <v>0.19922677924058793</v>
      </c>
      <c r="Q4362" s="1">
        <v>0.85841349178206816</v>
      </c>
      <c r="R4362" s="2">
        <f t="shared" ref="R4362:R4425" si="275">C4362+D4362+E4362+F4362+G4362+H4362+I4362+Q4362</f>
        <v>28.958273246706831</v>
      </c>
      <c r="S4362" s="2">
        <f t="shared" si="274"/>
        <v>3.2630207726472329</v>
      </c>
      <c r="T4362" s="2">
        <f t="shared" ref="T4362:T4425" si="276">L4362+M4362+N4362+O4362</f>
        <v>4.8368596963241979</v>
      </c>
      <c r="U4362" s="2">
        <f t="shared" ref="U4362:U4425" si="277">R4362+S4362+T4362</f>
        <v>37.058153715678259</v>
      </c>
    </row>
    <row r="4363" spans="1:21" x14ac:dyDescent="0.25">
      <c r="A4363">
        <v>5162393</v>
      </c>
      <c r="B4363">
        <v>3</v>
      </c>
      <c r="C4363" s="1">
        <f>0.858584371445385*(10.3/7.3)</f>
        <v>1.2114272638202015</v>
      </c>
      <c r="D4363" s="1">
        <f>1.45924183085152*(10.3/7.3)</f>
        <v>2.0589302544891255</v>
      </c>
      <c r="E4363" s="1">
        <f>4.95356983086358*(10.3/7.3)</f>
        <v>6.989283459985602</v>
      </c>
      <c r="F4363" s="1">
        <f>17.2086977463479*(38.9/42.5)</f>
        <v>15.751019819598422</v>
      </c>
      <c r="G4363" s="1">
        <v>1.0002392053801643</v>
      </c>
      <c r="H4363" s="1">
        <v>7.5321905144121972</v>
      </c>
      <c r="I4363" s="1">
        <v>13.223245026532476</v>
      </c>
      <c r="J4363" s="1">
        <v>4.7914256826509828E-2</v>
      </c>
      <c r="K4363" s="1">
        <v>3.4224754081457518</v>
      </c>
      <c r="L4363" s="1">
        <v>2.5685041798461747</v>
      </c>
      <c r="M4363" s="1">
        <v>1.0768620087744027</v>
      </c>
      <c r="N4363" s="1">
        <v>1.6858013530020877</v>
      </c>
      <c r="O4363" s="1">
        <v>0.46698666666666666</v>
      </c>
      <c r="P4363" s="1">
        <v>0.21079043889244387</v>
      </c>
      <c r="Q4363" s="1">
        <v>1.598555807685196</v>
      </c>
      <c r="R4363" s="2">
        <f t="shared" si="275"/>
        <v>49.364891351903381</v>
      </c>
      <c r="S4363" s="2">
        <f t="shared" si="274"/>
        <v>3.6811801038647056</v>
      </c>
      <c r="T4363" s="2">
        <f t="shared" si="276"/>
        <v>5.7981542082893327</v>
      </c>
      <c r="U4363" s="2">
        <f t="shared" si="277"/>
        <v>58.844225664057419</v>
      </c>
    </row>
    <row r="4364" spans="1:21" x14ac:dyDescent="0.25">
      <c r="A4364">
        <v>5162401</v>
      </c>
      <c r="B4364">
        <v>3</v>
      </c>
      <c r="C4364" s="1">
        <f>0.890182188115248*(10.3/7.3)</f>
        <v>1.2560104846009665</v>
      </c>
      <c r="D4364" s="1">
        <f>1.36440343876475*(10.3/7.3)</f>
        <v>1.9251171807228658</v>
      </c>
      <c r="E4364" s="1">
        <f>4.68557633343268*(10.3/7.3)</f>
        <v>6.6111556485420042</v>
      </c>
      <c r="F4364" s="1">
        <f>14.3548706221264*(38.9/42.5)</f>
        <v>13.13892864001688</v>
      </c>
      <c r="G4364" s="1">
        <v>0.77799561750043678</v>
      </c>
      <c r="H4364" s="1">
        <v>11.481355958790347</v>
      </c>
      <c r="I4364" s="1">
        <v>10.989816400040844</v>
      </c>
      <c r="J4364" s="1">
        <v>5.1526637625155074E-2</v>
      </c>
      <c r="K4364" s="1">
        <v>3.5584155624891287</v>
      </c>
      <c r="L4364" s="1">
        <v>2.791117446608093</v>
      </c>
      <c r="M4364" s="1">
        <v>1.2906393154204661</v>
      </c>
      <c r="N4364" s="1">
        <v>2.3496994391414163</v>
      </c>
      <c r="O4364" s="1">
        <v>0.478791111111111</v>
      </c>
      <c r="P4364" s="1">
        <v>0.21332240413727896</v>
      </c>
      <c r="Q4364" s="1">
        <v>1.2433719914390553</v>
      </c>
      <c r="R4364" s="2">
        <f t="shared" si="275"/>
        <v>47.423751921653398</v>
      </c>
      <c r="S4364" s="2">
        <f t="shared" si="274"/>
        <v>3.8232646042515626</v>
      </c>
      <c r="T4364" s="2">
        <f t="shared" si="276"/>
        <v>6.9102473122810864</v>
      </c>
      <c r="U4364" s="2">
        <f t="shared" si="277"/>
        <v>58.157263838186047</v>
      </c>
    </row>
    <row r="4365" spans="1:21" x14ac:dyDescent="0.25">
      <c r="A4365">
        <v>5162617</v>
      </c>
      <c r="B4365">
        <v>67</v>
      </c>
      <c r="C4365" s="1">
        <f>1.73550007375826*(10.3/7.3)</f>
        <v>2.4487192821520591</v>
      </c>
      <c r="D4365" s="1">
        <f>3.01262813871709*(10.3/7.3)</f>
        <v>4.2506944970939751</v>
      </c>
      <c r="E4365" s="1">
        <f>10.3122701208425*(10.3/7.3)</f>
        <v>14.55018934858596</v>
      </c>
      <c r="F4365" s="1">
        <f>31.008081665892*(38.9/42.5)</f>
        <v>28.3815147483106</v>
      </c>
      <c r="G4365" s="1">
        <v>1.6799281018243766</v>
      </c>
      <c r="H4365" s="1">
        <v>7.982241191352573</v>
      </c>
      <c r="I4365" s="1">
        <v>23.138801223938142</v>
      </c>
      <c r="J4365" s="1">
        <v>5.8734173081819226E-2</v>
      </c>
      <c r="K4365" s="1">
        <v>3.5708165932758922</v>
      </c>
      <c r="L4365" s="1">
        <v>5.1553506753261917</v>
      </c>
      <c r="M4365" s="1">
        <v>0.91228663236180685</v>
      </c>
      <c r="N4365" s="1">
        <v>2.5762777325677191</v>
      </c>
      <c r="O4365" s="1">
        <v>0.33290189054726382</v>
      </c>
      <c r="P4365" s="1">
        <v>0.18552211241578029</v>
      </c>
      <c r="Q4365" s="1">
        <v>2.6848166010891896</v>
      </c>
      <c r="R4365" s="2">
        <f t="shared" si="275"/>
        <v>85.116904994346882</v>
      </c>
      <c r="S4365" s="2">
        <f t="shared" si="274"/>
        <v>3.815072878773492</v>
      </c>
      <c r="T4365" s="2">
        <f t="shared" si="276"/>
        <v>8.9768169308029826</v>
      </c>
      <c r="U4365" s="2">
        <f t="shared" si="277"/>
        <v>97.908794803923357</v>
      </c>
    </row>
    <row r="4366" spans="1:21" x14ac:dyDescent="0.25">
      <c r="A4366">
        <v>5162625</v>
      </c>
      <c r="B4366">
        <v>64</v>
      </c>
      <c r="C4366" s="1">
        <f>1.70250455131782*(10.3/7.3)</f>
        <v>2.4021639559689723</v>
      </c>
      <c r="D4366" s="1">
        <f>2.87304963965088*(10.3/7.3)</f>
        <v>4.0537549710142597</v>
      </c>
      <c r="E4366" s="1">
        <f>9.86788467516336*(10.3/7.3)</f>
        <v>13.923179747148305</v>
      </c>
      <c r="F4366" s="1">
        <f>28.4298886328618*(38.9/42.5)</f>
        <v>26.021709831019358</v>
      </c>
      <c r="G4366" s="1">
        <v>1.4995943316153169</v>
      </c>
      <c r="H4366" s="1">
        <v>6.5573032781939</v>
      </c>
      <c r="I4366" s="1">
        <v>21.140738457079784</v>
      </c>
      <c r="J4366" s="1">
        <v>6.0361429848075063E-2</v>
      </c>
      <c r="K4366" s="1">
        <v>3.4364399081596186</v>
      </c>
      <c r="L4366" s="1">
        <v>4.7310646599926889</v>
      </c>
      <c r="M4366" s="1">
        <v>0.80974485864934531</v>
      </c>
      <c r="N4366" s="1">
        <v>2.5153879572424089</v>
      </c>
      <c r="O4366" s="1">
        <v>0.31699749999999993</v>
      </c>
      <c r="P4366" s="1">
        <v>0.17941404566632035</v>
      </c>
      <c r="Q4366" s="1">
        <v>2.3966119455039343</v>
      </c>
      <c r="R4366" s="2">
        <f t="shared" si="275"/>
        <v>77.99505651754383</v>
      </c>
      <c r="S4366" s="2">
        <f t="shared" si="274"/>
        <v>3.6762153836740143</v>
      </c>
      <c r="T4366" s="2">
        <f t="shared" si="276"/>
        <v>8.3731949758844433</v>
      </c>
      <c r="U4366" s="2">
        <f t="shared" si="277"/>
        <v>90.044466877102295</v>
      </c>
    </row>
    <row r="4367" spans="1:21" x14ac:dyDescent="0.25">
      <c r="A4367">
        <v>5162801</v>
      </c>
      <c r="B4367">
        <v>9</v>
      </c>
      <c r="C4367" s="1">
        <f>6.70595064117781*(10.3/7.3)</f>
        <v>9.4618207676892414</v>
      </c>
      <c r="D4367" s="1">
        <f>12.9173455302743*(10.3/7.3)</f>
        <v>18.22584369340068</v>
      </c>
      <c r="E4367" s="1">
        <f>44.9012328875576*(10.3/7.3)</f>
        <v>63.353794348197731</v>
      </c>
      <c r="F4367" s="1">
        <f>92.3517549605695*(38.9/42.5)</f>
        <v>84.529018069791874</v>
      </c>
      <c r="G4367" s="1">
        <v>3.7807160725403932</v>
      </c>
      <c r="H4367" s="1">
        <v>6.6782362060540814</v>
      </c>
      <c r="I4367" s="1">
        <v>60.947735157511701</v>
      </c>
      <c r="J4367" s="1">
        <v>5.9497260149547704E-2</v>
      </c>
      <c r="K4367" s="1">
        <v>2.8707093055908661</v>
      </c>
      <c r="L4367" s="1">
        <v>3.548050969733072</v>
      </c>
      <c r="M4367" s="1">
        <v>0.28003917758895347</v>
      </c>
      <c r="N4367" s="1">
        <v>2.0301225600582971</v>
      </c>
      <c r="O4367" s="1">
        <v>0.21613037037037039</v>
      </c>
      <c r="P4367" s="1">
        <v>0.14367699230541126</v>
      </c>
      <c r="Q4367" s="1">
        <v>6.0422402985805439</v>
      </c>
      <c r="R4367" s="2">
        <f t="shared" si="275"/>
        <v>253.01940461376628</v>
      </c>
      <c r="S4367" s="2">
        <f t="shared" si="274"/>
        <v>3.073883558045825</v>
      </c>
      <c r="T4367" s="2">
        <f t="shared" si="276"/>
        <v>6.0743430777506928</v>
      </c>
      <c r="U4367" s="2">
        <f t="shared" si="277"/>
        <v>262.16763124956282</v>
      </c>
    </row>
    <row r="4368" spans="1:21" x14ac:dyDescent="0.25">
      <c r="A4368">
        <v>5162809</v>
      </c>
      <c r="B4368">
        <v>42</v>
      </c>
      <c r="C4368" s="1">
        <f>7.63402112767291*(10.3/7.3)</f>
        <v>10.771290084250817</v>
      </c>
      <c r="D4368" s="1">
        <f>14.0296914498913*(10.3/7.3)</f>
        <v>19.795318073134244</v>
      </c>
      <c r="E4368" s="1">
        <f>48.8596392898154*(10.3/7.3)</f>
        <v>68.938943107547757</v>
      </c>
      <c r="F4368" s="1">
        <f>99.3806434030597*(38.9/42.5)</f>
        <v>90.962518314800491</v>
      </c>
      <c r="G4368" s="1">
        <v>3.9945395621897237</v>
      </c>
      <c r="H4368" s="1">
        <v>7.1221420873125423</v>
      </c>
      <c r="I4368" s="1">
        <v>66.133806915025772</v>
      </c>
      <c r="J4368" s="1">
        <v>8.8532021706500028E-2</v>
      </c>
      <c r="K4368" s="1">
        <v>3.6877635516546312</v>
      </c>
      <c r="L4368" s="1">
        <v>5.1129284734599016</v>
      </c>
      <c r="M4368" s="1">
        <v>0.3772325154843329</v>
      </c>
      <c r="N4368" s="1">
        <v>3.110010503260066</v>
      </c>
      <c r="O4368" s="1">
        <v>0.28230730158730161</v>
      </c>
      <c r="P4368" s="1">
        <v>0.17939338164605537</v>
      </c>
      <c r="Q4368" s="1">
        <v>6.3839673368328977</v>
      </c>
      <c r="R4368" s="2">
        <f t="shared" si="275"/>
        <v>274.10252548109423</v>
      </c>
      <c r="S4368" s="2">
        <f t="shared" si="274"/>
        <v>3.9556889550071865</v>
      </c>
      <c r="T4368" s="2">
        <f t="shared" si="276"/>
        <v>8.8824787937916021</v>
      </c>
      <c r="U4368" s="2">
        <f t="shared" si="277"/>
        <v>286.94069322989304</v>
      </c>
    </row>
    <row r="4369" spans="1:21" x14ac:dyDescent="0.25">
      <c r="A4369">
        <v>5162817</v>
      </c>
      <c r="B4369">
        <v>52</v>
      </c>
      <c r="C4369" s="1">
        <f>7.85324210527073*(10.3/7.3)</f>
        <v>11.08060187456007</v>
      </c>
      <c r="D4369" s="1">
        <f>14.1705683086466*(10.3/7.3)</f>
        <v>19.994089531378076</v>
      </c>
      <c r="E4369" s="1">
        <f>49.372510001065*(10.3/7.3)</f>
        <v>69.662582604242402</v>
      </c>
      <c r="F4369" s="1">
        <f>100.734489654934*(38.9/42.5)</f>
        <v>92.201685825339823</v>
      </c>
      <c r="G4369" s="1">
        <v>4.0520966166891643</v>
      </c>
      <c r="H4369" s="1">
        <v>7.2448379329241899</v>
      </c>
      <c r="I4369" s="1">
        <v>67.43283649742088</v>
      </c>
      <c r="J4369" s="1">
        <v>7.2134463872712287E-2</v>
      </c>
      <c r="K4369" s="1">
        <v>3.8252180237769369</v>
      </c>
      <c r="L4369" s="1">
        <v>5.3956878407925837</v>
      </c>
      <c r="M4369" s="1">
        <v>0.38556740911066012</v>
      </c>
      <c r="N4369" s="1">
        <v>2.9033610813528048</v>
      </c>
      <c r="O4369" s="1">
        <v>0.29193948717948714</v>
      </c>
      <c r="P4369" s="1">
        <v>0.18537040479724343</v>
      </c>
      <c r="Q4369" s="1">
        <v>6.4759534969918215</v>
      </c>
      <c r="R4369" s="2">
        <f t="shared" si="275"/>
        <v>278.1446843795465</v>
      </c>
      <c r="S4369" s="2">
        <f t="shared" si="274"/>
        <v>4.0827228924468928</v>
      </c>
      <c r="T4369" s="2">
        <f t="shared" si="276"/>
        <v>8.9765558184355356</v>
      </c>
      <c r="U4369" s="2">
        <f t="shared" si="277"/>
        <v>291.20396309042894</v>
      </c>
    </row>
    <row r="4370" spans="1:21" x14ac:dyDescent="0.25">
      <c r="A4370">
        <v>5162825</v>
      </c>
      <c r="B4370">
        <v>66</v>
      </c>
      <c r="C4370" s="1">
        <f>3.79680716883323*(10.3/7.3)</f>
        <v>5.3571388820523644</v>
      </c>
      <c r="D4370" s="1">
        <f>6.74416062809875*(10.3/7.3)</f>
        <v>9.5157334889612528</v>
      </c>
      <c r="E4370" s="1">
        <f>23.5035721379637*(10.3/7.3)</f>
        <v>33.162574386441889</v>
      </c>
      <c r="F4370" s="1">
        <f>48.2550339544847*(38.9/42.5)</f>
        <v>44.167548725398937</v>
      </c>
      <c r="G4370" s="1">
        <v>1.9499229853581301</v>
      </c>
      <c r="H4370" s="1">
        <v>4.4969000438626177</v>
      </c>
      <c r="I4370" s="1">
        <v>32.505740379076194</v>
      </c>
      <c r="J4370" s="1">
        <v>4.1290101433763812E-2</v>
      </c>
      <c r="K4370" s="1">
        <v>2.6824045375494374</v>
      </c>
      <c r="L4370" s="1">
        <v>3.2561713677773452</v>
      </c>
      <c r="M4370" s="1">
        <v>0.24627643806868199</v>
      </c>
      <c r="N4370" s="1">
        <v>2.2861488027863692</v>
      </c>
      <c r="O4370" s="1">
        <v>0.19301171717171714</v>
      </c>
      <c r="P4370" s="1">
        <v>0.13783833363405287</v>
      </c>
      <c r="Q4370" s="1">
        <v>3.1163152734034085</v>
      </c>
      <c r="R4370" s="2">
        <f t="shared" si="275"/>
        <v>134.27187416455482</v>
      </c>
      <c r="S4370" s="2">
        <f t="shared" si="274"/>
        <v>2.8615329726172538</v>
      </c>
      <c r="T4370" s="2">
        <f t="shared" si="276"/>
        <v>5.9816083258041131</v>
      </c>
      <c r="U4370" s="2">
        <f t="shared" si="277"/>
        <v>143.11501546297617</v>
      </c>
    </row>
    <row r="4371" spans="1:21" x14ac:dyDescent="0.25">
      <c r="A4371">
        <v>5162833</v>
      </c>
      <c r="B4371">
        <v>66</v>
      </c>
      <c r="C4371" s="1">
        <f>6.5784711125415*(10.3/7.3)</f>
        <v>9.2819523916681401</v>
      </c>
      <c r="D4371" s="1">
        <f>12.1985557101409*(10.3/7.3)</f>
        <v>17.211660796500141</v>
      </c>
      <c r="E4371" s="1">
        <f>42.4138701358792*(10.3/7.3)</f>
        <v>59.84422772596659</v>
      </c>
      <c r="F4371" s="1">
        <f>89.1431377652261*(38.9/42.5)</f>
        <v>81.592189625112866</v>
      </c>
      <c r="G4371" s="1">
        <v>3.7136079639609756</v>
      </c>
      <c r="H4371" s="1">
        <v>6.654298477011384</v>
      </c>
      <c r="I4371" s="1">
        <v>59.839135283042992</v>
      </c>
      <c r="J4371" s="1">
        <v>6.0018959908465494E-2</v>
      </c>
      <c r="K4371" s="1">
        <v>3.5850947479876498</v>
      </c>
      <c r="L4371" s="1">
        <v>4.9631294230040828</v>
      </c>
      <c r="M4371" s="1">
        <v>0.34565732772974578</v>
      </c>
      <c r="N4371" s="1">
        <v>2.7608195758005434</v>
      </c>
      <c r="O4371" s="1">
        <v>0.26620202020202027</v>
      </c>
      <c r="P4371" s="1">
        <v>0.1740573384472123</v>
      </c>
      <c r="Q4371" s="1">
        <v>5.9349898967412873</v>
      </c>
      <c r="R4371" s="2">
        <f t="shared" si="275"/>
        <v>244.07206216000441</v>
      </c>
      <c r="S4371" s="2">
        <f t="shared" si="274"/>
        <v>3.8191710463433277</v>
      </c>
      <c r="T4371" s="2">
        <f t="shared" si="276"/>
        <v>8.3358083467363908</v>
      </c>
      <c r="U4371" s="2">
        <f t="shared" si="277"/>
        <v>256.22704155308412</v>
      </c>
    </row>
    <row r="4372" spans="1:21" x14ac:dyDescent="0.25">
      <c r="A4372">
        <v>5162841</v>
      </c>
      <c r="B4372">
        <v>52</v>
      </c>
      <c r="C4372" s="1">
        <f>4.93539462621429*(10.3/7.3)</f>
        <v>6.9636389931516645</v>
      </c>
      <c r="D4372" s="1">
        <f>10.4221106336737*(10.3/7.3)</f>
        <v>14.705169798197192</v>
      </c>
      <c r="E4372" s="1">
        <f>35.7620800853814*(10.3/7.3)</f>
        <v>50.458825325949164</v>
      </c>
      <c r="F4372" s="1">
        <f>92.2997266425812*(38.9/42.5)</f>
        <v>84.481396856386084</v>
      </c>
      <c r="G4372" s="1">
        <v>4.6232358413163279</v>
      </c>
      <c r="H4372" s="1">
        <v>11.038021204181389</v>
      </c>
      <c r="I4372" s="1">
        <v>64.183549217329428</v>
      </c>
      <c r="J4372" s="1">
        <v>4.7431673999198495E-2</v>
      </c>
      <c r="K4372" s="1">
        <v>3.0298960852139434</v>
      </c>
      <c r="L4372" s="1">
        <v>3.8599741333501063</v>
      </c>
      <c r="M4372" s="1">
        <v>0.27499705922295559</v>
      </c>
      <c r="N4372" s="1">
        <v>2.3390266197845766</v>
      </c>
      <c r="O4372" s="1">
        <v>0.21698461538461539</v>
      </c>
      <c r="P4372" s="1">
        <v>0.14890043999972677</v>
      </c>
      <c r="Q4372" s="1">
        <v>7.3887330797292972</v>
      </c>
      <c r="R4372" s="2">
        <f t="shared" si="275"/>
        <v>243.84257031624051</v>
      </c>
      <c r="S4372" s="2">
        <f t="shared" si="274"/>
        <v>3.2262281992128687</v>
      </c>
      <c r="T4372" s="2">
        <f t="shared" si="276"/>
        <v>6.6909824277422532</v>
      </c>
      <c r="U4372" s="2">
        <f t="shared" si="277"/>
        <v>253.75978094319564</v>
      </c>
    </row>
    <row r="4373" spans="1:21" x14ac:dyDescent="0.25">
      <c r="A4373">
        <v>5162849</v>
      </c>
      <c r="B4373">
        <v>48</v>
      </c>
      <c r="C4373" s="1">
        <f>5.40056307408878*(10.3/7.3)</f>
        <v>7.6199725565910246</v>
      </c>
      <c r="D4373" s="1">
        <f>10.8513810232237*(10.3/7.3)</f>
        <v>15.310852676603327</v>
      </c>
      <c r="E4373" s="1">
        <f>37.4703474899109*(10.3/7.3)</f>
        <v>52.869120430970199</v>
      </c>
      <c r="F4373" s="1">
        <f>87.3321216550678*(38.9/42.5)</f>
        <v>79.93457723252088</v>
      </c>
      <c r="G4373" s="1">
        <v>4.0356980293057667</v>
      </c>
      <c r="H4373" s="1">
        <v>9.7610140584652125</v>
      </c>
      <c r="I4373" s="1">
        <v>59.488455715733124</v>
      </c>
      <c r="J4373" s="1">
        <v>5.2870495615097456E-2</v>
      </c>
      <c r="K4373" s="1">
        <v>3.2820816122428731</v>
      </c>
      <c r="L4373" s="1">
        <v>4.340417055564072</v>
      </c>
      <c r="M4373" s="1">
        <v>0.29351176777054816</v>
      </c>
      <c r="N4373" s="1">
        <v>2.4627087361870603</v>
      </c>
      <c r="O4373" s="1">
        <v>0.23382000000000003</v>
      </c>
      <c r="P4373" s="1">
        <v>0.15686246759142117</v>
      </c>
      <c r="Q4373" s="1">
        <v>6.4497457089361632</v>
      </c>
      <c r="R4373" s="2">
        <f t="shared" si="275"/>
        <v>235.46943640912571</v>
      </c>
      <c r="S4373" s="2">
        <f t="shared" si="274"/>
        <v>3.4918145754493914</v>
      </c>
      <c r="T4373" s="2">
        <f t="shared" si="276"/>
        <v>7.3304575595216797</v>
      </c>
      <c r="U4373" s="2">
        <f t="shared" si="277"/>
        <v>246.29170854409676</v>
      </c>
    </row>
    <row r="4374" spans="1:21" x14ac:dyDescent="0.25">
      <c r="A4374">
        <v>5162857</v>
      </c>
      <c r="B4374">
        <v>59</v>
      </c>
      <c r="C4374" s="1">
        <f>5.34454274078057*(10.3/7.3)</f>
        <v>7.5409301684986154</v>
      </c>
      <c r="D4374" s="1">
        <f>10.2924330876997*(10.3/7.3)</f>
        <v>14.522200110042069</v>
      </c>
      <c r="E4374" s="1">
        <f>35.4553708855049*(10.3/7.3)</f>
        <v>50.026071249411011</v>
      </c>
      <c r="F4374" s="1">
        <f>89.184727536025*(38.9/42.5)</f>
        <v>81.630256497679341</v>
      </c>
      <c r="G4374" s="1">
        <v>4.3532649130161953</v>
      </c>
      <c r="H4374" s="1">
        <v>7.1483058157011321</v>
      </c>
      <c r="I4374" s="1">
        <v>62.645387420941823</v>
      </c>
      <c r="J4374" s="1">
        <v>5.5008318158916943E-2</v>
      </c>
      <c r="K4374" s="1">
        <v>3.2141657987890224</v>
      </c>
      <c r="L4374" s="1">
        <v>4.3579661146052038</v>
      </c>
      <c r="M4374" s="1">
        <v>0.28688798904278923</v>
      </c>
      <c r="N4374" s="1">
        <v>2.5642946210062902</v>
      </c>
      <c r="O4374" s="1">
        <v>0.22923118644067803</v>
      </c>
      <c r="P4374" s="1">
        <v>0.15464953958244154</v>
      </c>
      <c r="Q4374" s="1">
        <v>6.9572726920350254</v>
      </c>
      <c r="R4374" s="2">
        <f t="shared" si="275"/>
        <v>234.82368886732522</v>
      </c>
      <c r="S4374" s="2">
        <f t="shared" si="274"/>
        <v>3.4238236565303808</v>
      </c>
      <c r="T4374" s="2">
        <f t="shared" si="276"/>
        <v>7.4383799110949615</v>
      </c>
      <c r="U4374" s="2">
        <f t="shared" si="277"/>
        <v>245.68589243495055</v>
      </c>
    </row>
    <row r="4375" spans="1:21" x14ac:dyDescent="0.25">
      <c r="A4375">
        <v>5162865</v>
      </c>
      <c r="B4375">
        <v>3</v>
      </c>
      <c r="C4375" s="1">
        <f>4.92023145287861*(10.3/7.3)</f>
        <v>6.9422443787191366</v>
      </c>
      <c r="D4375" s="1">
        <f>10.2123901941864*(10.3/7.3)</f>
        <v>14.409262876728752</v>
      </c>
      <c r="E4375" s="1">
        <f>34.7502170932824*(10.3/7.3)</f>
        <v>49.031128227508098</v>
      </c>
      <c r="F4375" s="1">
        <f>105.454526170706*(38.9/42.5)</f>
        <v>96.521907483304858</v>
      </c>
      <c r="G4375" s="1">
        <v>5.8128822558886588</v>
      </c>
      <c r="H4375" s="1">
        <v>8.5847041287346979</v>
      </c>
      <c r="I4375" s="1">
        <v>76.626786602202827</v>
      </c>
      <c r="J4375" s="1">
        <v>5.3982038199332096E-2</v>
      </c>
      <c r="K4375" s="1">
        <v>2.8635429058474156</v>
      </c>
      <c r="L4375" s="1">
        <v>3.6784163418000992</v>
      </c>
      <c r="M4375" s="1">
        <v>0.24310831653925513</v>
      </c>
      <c r="N4375" s="1">
        <v>2.3433009518659031</v>
      </c>
      <c r="O4375" s="1">
        <v>0.19980444444444445</v>
      </c>
      <c r="P4375" s="1">
        <v>0.13651432192155202</v>
      </c>
      <c r="Q4375" s="1">
        <v>9.2899944728814265</v>
      </c>
      <c r="R4375" s="2">
        <f t="shared" si="275"/>
        <v>267.21891042596849</v>
      </c>
      <c r="S4375" s="2">
        <f t="shared" si="274"/>
        <v>3.0540392659682998</v>
      </c>
      <c r="T4375" s="2">
        <f t="shared" si="276"/>
        <v>6.4646300546497013</v>
      </c>
      <c r="U4375" s="2">
        <f t="shared" si="277"/>
        <v>276.7375797465865</v>
      </c>
    </row>
    <row r="4376" spans="1:21" x14ac:dyDescent="0.25">
      <c r="A4376">
        <v>5162873</v>
      </c>
      <c r="B4376">
        <v>69</v>
      </c>
      <c r="C4376" s="1">
        <f>6.88265559121497*(10.3/7.3)</f>
        <v>9.711144190344406</v>
      </c>
      <c r="D4376" s="1">
        <f>12.0120699668609*(10.3/7.3)</f>
        <v>16.948537076529782</v>
      </c>
      <c r="E4376" s="1">
        <f>41.6285426085239*(10.3/7.3)</f>
        <v>58.736162858602171</v>
      </c>
      <c r="F4376" s="1">
        <f>98.4904988466449*(38.9/42.5)</f>
        <v>90.147774238458481</v>
      </c>
      <c r="G4376" s="1">
        <v>4.5401465552421563</v>
      </c>
      <c r="H4376" s="1">
        <v>7.4303469213889439</v>
      </c>
      <c r="I4376" s="1">
        <v>69.481708411853219</v>
      </c>
      <c r="J4376" s="1">
        <v>6.3145636435138208E-2</v>
      </c>
      <c r="K4376" s="1">
        <v>3.6564316796151126</v>
      </c>
      <c r="L4376" s="1">
        <v>5.2307424317202518</v>
      </c>
      <c r="M4376" s="1">
        <v>0.31936037790238836</v>
      </c>
      <c r="N4376" s="1">
        <v>2.7105551109491364</v>
      </c>
      <c r="O4376" s="1">
        <v>0.26079149758454101</v>
      </c>
      <c r="P4376" s="1">
        <v>0.1706532857406822</v>
      </c>
      <c r="Q4376" s="1">
        <v>7.2559419832637282</v>
      </c>
      <c r="R4376" s="2">
        <f t="shared" si="275"/>
        <v>264.25176223568292</v>
      </c>
      <c r="S4376" s="2">
        <f t="shared" si="274"/>
        <v>3.8902306017909334</v>
      </c>
      <c r="T4376" s="2">
        <f t="shared" si="276"/>
        <v>8.521449418156319</v>
      </c>
      <c r="U4376" s="2">
        <f t="shared" si="277"/>
        <v>276.66344225563017</v>
      </c>
    </row>
    <row r="4377" spans="1:21" x14ac:dyDescent="0.25">
      <c r="A4377">
        <v>5162881</v>
      </c>
      <c r="B4377">
        <v>69</v>
      </c>
      <c r="C4377" s="1">
        <f>6.97154970460844*(10.3/7.3)</f>
        <v>9.8365701311598581</v>
      </c>
      <c r="D4377" s="1">
        <f>11.5838380428005*(10.3/7.3)</f>
        <v>16.344319430252693</v>
      </c>
      <c r="E4377" s="1">
        <f>40.3312480483814*(10.3/7.3)</f>
        <v>56.90573354771626</v>
      </c>
      <c r="F4377" s="1">
        <f>89.2899512844663*(38.9/42.5)</f>
        <v>81.726567175664428</v>
      </c>
      <c r="G4377" s="1">
        <v>3.8584038298518726</v>
      </c>
      <c r="H4377" s="1">
        <v>6.5849769439277903</v>
      </c>
      <c r="I4377" s="1">
        <v>62.605102764232363</v>
      </c>
      <c r="J4377" s="1">
        <v>5.9731271811829863E-2</v>
      </c>
      <c r="K4377" s="1">
        <v>3.5938761997597899</v>
      </c>
      <c r="L4377" s="1">
        <v>5.1313849640639475</v>
      </c>
      <c r="M4377" s="1">
        <v>0.30931764118129379</v>
      </c>
      <c r="N4377" s="1">
        <v>2.6313040149020228</v>
      </c>
      <c r="O4377" s="1">
        <v>0.25385120772946862</v>
      </c>
      <c r="P4377" s="1">
        <v>0.16739140652616208</v>
      </c>
      <c r="Q4377" s="1">
        <v>6.1663988148317657</v>
      </c>
      <c r="R4377" s="2">
        <f t="shared" si="275"/>
        <v>244.02807263763702</v>
      </c>
      <c r="S4377" s="2">
        <f t="shared" si="274"/>
        <v>3.8209988780977815</v>
      </c>
      <c r="T4377" s="2">
        <f t="shared" si="276"/>
        <v>8.3258578278767317</v>
      </c>
      <c r="U4377" s="2">
        <f t="shared" si="277"/>
        <v>256.17492934361155</v>
      </c>
    </row>
    <row r="4378" spans="1:21" x14ac:dyDescent="0.25">
      <c r="A4378">
        <v>5162889</v>
      </c>
      <c r="B4378">
        <v>68</v>
      </c>
      <c r="C4378" s="1">
        <f>6.64874370261886*(10.3/7.3)</f>
        <v>9.3811041283526357</v>
      </c>
      <c r="D4378" s="1">
        <f>10.7994289313204*(10.3/7.3)</f>
        <v>15.237550409945245</v>
      </c>
      <c r="E4378" s="1">
        <f>37.6665246661602*(10.3/7.3)</f>
        <v>53.145918364582222</v>
      </c>
      <c r="F4378" s="1">
        <f>81.5301676145905*(38.9/42.5)</f>
        <v>74.624082828413464</v>
      </c>
      <c r="G4378" s="1">
        <v>3.436073150888268</v>
      </c>
      <c r="H4378" s="1">
        <v>6.2827751823164082</v>
      </c>
      <c r="I4378" s="1">
        <v>57.147703720915075</v>
      </c>
      <c r="J4378" s="1">
        <v>5.693168881115139E-2</v>
      </c>
      <c r="K4378" s="1">
        <v>3.4662668458419015</v>
      </c>
      <c r="L4378" s="1">
        <v>4.8791040858980059</v>
      </c>
      <c r="M4378" s="1">
        <v>0.29282601927504365</v>
      </c>
      <c r="N4378" s="1">
        <v>2.5176786571961323</v>
      </c>
      <c r="O4378" s="1">
        <v>0.24240235294117649</v>
      </c>
      <c r="P4378" s="1">
        <v>0.16097947350444641</v>
      </c>
      <c r="Q4378" s="1">
        <v>5.4914411087255477</v>
      </c>
      <c r="R4378" s="2">
        <f t="shared" si="275"/>
        <v>224.74664889413887</v>
      </c>
      <c r="S4378" s="2">
        <f t="shared" si="274"/>
        <v>3.6841780081574993</v>
      </c>
      <c r="T4378" s="2">
        <f t="shared" si="276"/>
        <v>7.9320111153103579</v>
      </c>
      <c r="U4378" s="2">
        <f t="shared" si="277"/>
        <v>236.36283801760672</v>
      </c>
    </row>
    <row r="4379" spans="1:21" x14ac:dyDescent="0.25">
      <c r="A4379">
        <v>5162897</v>
      </c>
      <c r="B4379">
        <v>69</v>
      </c>
      <c r="C4379" s="1">
        <f>6.85460199439079*(10.3/7.3)</f>
        <v>9.6715617181130362</v>
      </c>
      <c r="D4379" s="1">
        <f>10.9471500775265*(10.3/7.3)</f>
        <v>15.445978876509944</v>
      </c>
      <c r="E4379" s="1">
        <f>38.2184988799973*(10.3/7.3)</f>
        <v>53.924731296434508</v>
      </c>
      <c r="F4379" s="1">
        <f>82.0204894652705*(38.9/42.5)</f>
        <v>75.072871534094645</v>
      </c>
      <c r="G4379" s="1">
        <v>3.4187589214316478</v>
      </c>
      <c r="H4379" s="1">
        <v>6.3880566122934468</v>
      </c>
      <c r="I4379" s="1">
        <v>57.618240345853984</v>
      </c>
      <c r="J4379" s="1">
        <v>5.8176414365489156E-2</v>
      </c>
      <c r="K4379" s="1">
        <v>3.4991340893435696</v>
      </c>
      <c r="L4379" s="1">
        <v>4.9438261250000037</v>
      </c>
      <c r="M4379" s="1">
        <v>0.28487130614958944</v>
      </c>
      <c r="N4379" s="1">
        <v>2.5511664825617473</v>
      </c>
      <c r="O4379" s="1">
        <v>0.24183188405797104</v>
      </c>
      <c r="P4379" s="1">
        <v>0.16029554249246636</v>
      </c>
      <c r="Q4379" s="1">
        <v>5.4637699657583463</v>
      </c>
      <c r="R4379" s="2">
        <f t="shared" si="275"/>
        <v>227.00396927048956</v>
      </c>
      <c r="S4379" s="2">
        <f t="shared" si="274"/>
        <v>3.7176060462015252</v>
      </c>
      <c r="T4379" s="2">
        <f t="shared" si="276"/>
        <v>8.0216957977693113</v>
      </c>
      <c r="U4379" s="2">
        <f t="shared" si="277"/>
        <v>238.74327111446041</v>
      </c>
    </row>
    <row r="4380" spans="1:21" x14ac:dyDescent="0.25">
      <c r="A4380">
        <v>5162905</v>
      </c>
      <c r="B4380">
        <v>68</v>
      </c>
      <c r="C4380" s="1">
        <f>7.19729109348317*(10.3/7.3)</f>
        <v>10.155081953818714</v>
      </c>
      <c r="D4380" s="1">
        <f>11.3094430020969*(10.3/7.3)</f>
        <v>15.957159304328489</v>
      </c>
      <c r="E4380" s="1">
        <f>39.5038724558517*(10.3/7.3)</f>
        <v>55.738340588393527</v>
      </c>
      <c r="F4380" s="1">
        <f>84.9048775457796*(38.9/42.5)</f>
        <v>77.7129349771959</v>
      </c>
      <c r="G4380" s="1">
        <v>3.5358258887223544</v>
      </c>
      <c r="H4380" s="1">
        <v>7.2856105492294772</v>
      </c>
      <c r="I4380" s="1">
        <v>59.933377160714457</v>
      </c>
      <c r="J4380" s="1">
        <v>6.105608286316766E-2</v>
      </c>
      <c r="K4380" s="1">
        <v>3.5797896734247692</v>
      </c>
      <c r="L4380" s="1">
        <v>5.0962877942155949</v>
      </c>
      <c r="M4380" s="1">
        <v>0.29228846453533808</v>
      </c>
      <c r="N4380" s="1">
        <v>2.6408224097532518</v>
      </c>
      <c r="O4380" s="1">
        <v>0.24405803921568633</v>
      </c>
      <c r="P4380" s="1">
        <v>0.16189476993614935</v>
      </c>
      <c r="Q4380" s="1">
        <v>5.650863292478653</v>
      </c>
      <c r="R4380" s="2">
        <f t="shared" si="275"/>
        <v>235.96919371488156</v>
      </c>
      <c r="S4380" s="2">
        <f t="shared" si="274"/>
        <v>3.8027405262240861</v>
      </c>
      <c r="T4380" s="2">
        <f t="shared" si="276"/>
        <v>8.2734567077198715</v>
      </c>
      <c r="U4380" s="2">
        <f t="shared" si="277"/>
        <v>248.04539094882551</v>
      </c>
    </row>
    <row r="4381" spans="1:21" x14ac:dyDescent="0.25">
      <c r="A4381">
        <v>5162913</v>
      </c>
      <c r="B4381">
        <v>69</v>
      </c>
      <c r="C4381" s="1">
        <f>5.99062048034652*(10.3/7.3)</f>
        <v>8.4525193078861829</v>
      </c>
      <c r="D4381" s="1">
        <f>9.25631441080381*(10.3/7.3)</f>
        <v>13.060279237161541</v>
      </c>
      <c r="E4381" s="1">
        <f>32.3441689364485*(10.3/7.3)</f>
        <v>45.63629315690681</v>
      </c>
      <c r="F4381" s="1">
        <f>69.921318456357*(38.9/42.5)</f>
        <v>63.99857148123025</v>
      </c>
      <c r="G4381" s="1">
        <v>2.921687894566408</v>
      </c>
      <c r="H4381" s="1">
        <v>7.5381784503308689</v>
      </c>
      <c r="I4381" s="1">
        <v>49.661158406326045</v>
      </c>
      <c r="J4381" s="1">
        <v>5.3873190798603476E-2</v>
      </c>
      <c r="K4381" s="1">
        <v>3.1706521313636387</v>
      </c>
      <c r="L4381" s="1">
        <v>4.3203566803873459</v>
      </c>
      <c r="M4381" s="1">
        <v>0.24082984304518604</v>
      </c>
      <c r="N4381" s="1">
        <v>2.3400259473526082</v>
      </c>
      <c r="O4381" s="1">
        <v>0.21122937198067632</v>
      </c>
      <c r="P4381" s="1">
        <v>0.14458680977965294</v>
      </c>
      <c r="Q4381" s="1">
        <v>4.6693642150604742</v>
      </c>
      <c r="R4381" s="2">
        <f t="shared" si="275"/>
        <v>195.9380521494686</v>
      </c>
      <c r="S4381" s="2">
        <f t="shared" si="274"/>
        <v>3.3691121319418951</v>
      </c>
      <c r="T4381" s="2">
        <f t="shared" si="276"/>
        <v>7.1124418427658158</v>
      </c>
      <c r="U4381" s="2">
        <f t="shared" si="277"/>
        <v>206.41960612417631</v>
      </c>
    </row>
    <row r="4382" spans="1:21" x14ac:dyDescent="0.25">
      <c r="A4382">
        <v>5162921</v>
      </c>
      <c r="B4382">
        <v>24</v>
      </c>
      <c r="C4382" s="1">
        <f>5.56861732330484*(10.3/7.3)</f>
        <v>7.8570901958958652</v>
      </c>
      <c r="D4382" s="1">
        <f>8.57481880585744*(10.3/7.3)</f>
        <v>12.098716945250906</v>
      </c>
      <c r="E4382" s="1">
        <f>29.9374543500625*(10.3/7.3)</f>
        <v>42.240517781595052</v>
      </c>
      <c r="F4382" s="1">
        <f>66.1952109740157*(38.9/42.5)</f>
        <v>60.588087220922603</v>
      </c>
      <c r="G4382" s="1">
        <v>2.82704287157275</v>
      </c>
      <c r="H4382" s="1">
        <v>8.7077306536003203</v>
      </c>
      <c r="I4382" s="1">
        <v>47.330116888740825</v>
      </c>
      <c r="J4382" s="1">
        <v>5.2521315305909679E-2</v>
      </c>
      <c r="K4382" s="1">
        <v>2.9478064825980943</v>
      </c>
      <c r="L4382" s="1">
        <v>3.9046390545447749</v>
      </c>
      <c r="M4382" s="1">
        <v>0.21753452257312234</v>
      </c>
      <c r="N4382" s="1">
        <v>2.2262650369981736</v>
      </c>
      <c r="O4382" s="1">
        <v>0.1946</v>
      </c>
      <c r="P4382" s="1">
        <v>0.13412147131924315</v>
      </c>
      <c r="Q4382" s="1">
        <v>4.5181050458925265</v>
      </c>
      <c r="R4382" s="2">
        <f t="shared" si="275"/>
        <v>186.16740760347085</v>
      </c>
      <c r="S4382" s="2">
        <f t="shared" si="274"/>
        <v>3.1344492692232473</v>
      </c>
      <c r="T4382" s="2">
        <f t="shared" si="276"/>
        <v>6.5430386141160719</v>
      </c>
      <c r="U4382" s="2">
        <f t="shared" si="277"/>
        <v>195.84489548681017</v>
      </c>
    </row>
    <row r="4383" spans="1:21" x14ac:dyDescent="0.25">
      <c r="A4383">
        <v>5162985</v>
      </c>
      <c r="B4383">
        <v>24</v>
      </c>
      <c r="C4383" s="1">
        <f>3.73838349376923*(10.3/7.3)</f>
        <v>5.2747054775100066</v>
      </c>
      <c r="D4383" s="1">
        <f>5.33410545763459*(10.3/7.3)</f>
        <v>7.526203590909077</v>
      </c>
      <c r="E4383" s="1">
        <f>18.5750568039784*(10.3/7.3)</f>
        <v>26.208641791914733</v>
      </c>
      <c r="F4383" s="1">
        <f>46.2662933242243*(38.9/42.5)</f>
        <v>42.347266124995912</v>
      </c>
      <c r="G4383" s="1">
        <v>2.1707107759696198</v>
      </c>
      <c r="H4383" s="1">
        <v>5.8375316258195307</v>
      </c>
      <c r="I4383" s="1">
        <v>34.638875754033052</v>
      </c>
      <c r="J4383" s="1">
        <v>3.5865679757888264E-2</v>
      </c>
      <c r="K4383" s="1">
        <v>2.1047435375602741</v>
      </c>
      <c r="L4383" s="1">
        <v>2.8519775987211204</v>
      </c>
      <c r="M4383" s="1">
        <v>0.14004244373235419</v>
      </c>
      <c r="N4383" s="1">
        <v>1.6829257488887526</v>
      </c>
      <c r="O4383" s="1">
        <v>0.11939777777777778</v>
      </c>
      <c r="P4383" s="1">
        <v>9.3130592321658281E-2</v>
      </c>
      <c r="Q4383" s="1">
        <v>3.4691724730108113</v>
      </c>
      <c r="R4383" s="2">
        <f t="shared" si="275"/>
        <v>127.47310761416276</v>
      </c>
      <c r="S4383" s="2">
        <f t="shared" si="274"/>
        <v>2.2337398096398209</v>
      </c>
      <c r="T4383" s="2">
        <f t="shared" si="276"/>
        <v>4.7943435691200049</v>
      </c>
      <c r="U4383" s="2">
        <f t="shared" si="277"/>
        <v>134.50119099292257</v>
      </c>
    </row>
    <row r="4384" spans="1:21" x14ac:dyDescent="0.25">
      <c r="A4384">
        <v>5163137</v>
      </c>
      <c r="B4384">
        <v>1</v>
      </c>
      <c r="C4384" s="1">
        <f>8.25658915419646*(10.3/7.3)</f>
        <v>11.649707984688161</v>
      </c>
      <c r="D4384" s="1">
        <f>10.099266003328*(10.3/7.3)</f>
        <v>14.249649292366922</v>
      </c>
      <c r="E4384" s="1">
        <f>35.6061986881722*(10.3/7.3)</f>
        <v>50.238883080571803</v>
      </c>
      <c r="F4384" s="1">
        <f>78.2593851680224*(38.9/42.5)</f>
        <v>71.630354894966402</v>
      </c>
      <c r="G4384" s="1">
        <v>3.1984621924821437</v>
      </c>
      <c r="H4384" s="1">
        <v>6.5569358781623048</v>
      </c>
      <c r="I4384" s="1">
        <v>59.747825231180684</v>
      </c>
      <c r="J4384" s="1">
        <v>3.8587694968143849E-2</v>
      </c>
      <c r="K4384" s="1">
        <v>2.2991496588692422</v>
      </c>
      <c r="L4384" s="1">
        <v>2.6812023647942276</v>
      </c>
      <c r="M4384" s="1">
        <v>0.12371141012519227</v>
      </c>
      <c r="N4384" s="1">
        <v>4.5509358571503729</v>
      </c>
      <c r="O4384" s="1">
        <v>0.1168</v>
      </c>
      <c r="P4384" s="1">
        <v>8.8638032281434617E-2</v>
      </c>
      <c r="Q4384" s="1">
        <v>5.1116975678938417</v>
      </c>
      <c r="R4384" s="2">
        <f t="shared" si="275"/>
        <v>222.38351612231224</v>
      </c>
      <c r="S4384" s="2">
        <f t="shared" si="274"/>
        <v>2.4263753861188202</v>
      </c>
      <c r="T4384" s="2">
        <f t="shared" si="276"/>
        <v>7.4726496320697926</v>
      </c>
      <c r="U4384" s="2">
        <f t="shared" si="277"/>
        <v>232.28254114050085</v>
      </c>
    </row>
    <row r="4385" spans="1:21" x14ac:dyDescent="0.25">
      <c r="A4385">
        <v>5163257</v>
      </c>
      <c r="B4385">
        <v>7</v>
      </c>
      <c r="C4385" s="1">
        <f>7.51064549895895*(10.3/7.3)</f>
        <v>10.597212142366738</v>
      </c>
      <c r="D4385" s="1">
        <f>8.46158353840884*(10.3/7.3)</f>
        <v>11.938946636385079</v>
      </c>
      <c r="E4385" s="1">
        <f>29.9021583323332*(10.3/7.3)</f>
        <v>42.190716551100245</v>
      </c>
      <c r="F4385" s="1">
        <f>68.151929539544*(38.9/42.5)</f>
        <v>62.379060213841463</v>
      </c>
      <c r="G4385" s="1">
        <v>2.8471478998109845</v>
      </c>
      <c r="H4385" s="1">
        <v>7.8943319768477807</v>
      </c>
      <c r="I4385" s="1">
        <v>53.695234408532187</v>
      </c>
      <c r="J4385" s="1">
        <v>5.3729870661760271E-2</v>
      </c>
      <c r="K4385" s="1">
        <v>2.6947252445626009</v>
      </c>
      <c r="L4385" s="1">
        <v>2.5238954235121622</v>
      </c>
      <c r="M4385" s="1">
        <v>0.11384552929361182</v>
      </c>
      <c r="N4385" s="1">
        <v>2.7725210220107321</v>
      </c>
      <c r="O4385" s="1">
        <v>0.10950857142857141</v>
      </c>
      <c r="P4385" s="1">
        <v>8.2953288669501926E-2</v>
      </c>
      <c r="Q4385" s="1">
        <v>4.5502363695609391</v>
      </c>
      <c r="R4385" s="2">
        <f t="shared" si="275"/>
        <v>196.0928861984454</v>
      </c>
      <c r="S4385" s="2">
        <f t="shared" si="274"/>
        <v>2.8314084038938629</v>
      </c>
      <c r="T4385" s="2">
        <f t="shared" si="276"/>
        <v>5.5197705462450779</v>
      </c>
      <c r="U4385" s="2">
        <f t="shared" si="277"/>
        <v>204.44406514858434</v>
      </c>
    </row>
    <row r="4386" spans="1:21" x14ac:dyDescent="0.25">
      <c r="A4386">
        <v>5163305</v>
      </c>
      <c r="B4386">
        <v>25</v>
      </c>
      <c r="C4386" s="1">
        <f>4.38753474828412*(10.3/7.3)</f>
        <v>6.1906312201816984</v>
      </c>
      <c r="D4386" s="1">
        <f>5.79115343459324*(10.3/7.3)</f>
        <v>8.171079503604167</v>
      </c>
      <c r="E4386" s="1">
        <f>20.0919450600804*(10.3/7.3)</f>
        <v>28.348908783401161</v>
      </c>
      <c r="F4386" s="1">
        <f>57.160480680625*(38.9/42.5)</f>
        <v>52.318651728854434</v>
      </c>
      <c r="G4386" s="1">
        <v>2.922070424356213</v>
      </c>
      <c r="H4386" s="1">
        <v>9.8468247096541877</v>
      </c>
      <c r="I4386" s="1">
        <v>44.585221278701944</v>
      </c>
      <c r="J4386" s="1">
        <v>3.9388132924905526E-2</v>
      </c>
      <c r="K4386" s="1">
        <v>2.1521166664740505</v>
      </c>
      <c r="L4386" s="1">
        <v>2.1088949005672917</v>
      </c>
      <c r="M4386" s="1">
        <v>9.4818633236876268E-2</v>
      </c>
      <c r="N4386" s="1">
        <v>1.6480444237348884</v>
      </c>
      <c r="O4386" s="1">
        <v>9.6053333333333324E-2</v>
      </c>
      <c r="P4386" s="1">
        <v>7.4015100967552719E-2</v>
      </c>
      <c r="Q4386" s="1">
        <v>4.669975564039615</v>
      </c>
      <c r="R4386" s="2">
        <f t="shared" si="275"/>
        <v>157.05336321279341</v>
      </c>
      <c r="S4386" s="2">
        <f t="shared" si="274"/>
        <v>2.2655199003665087</v>
      </c>
      <c r="T4386" s="2">
        <f t="shared" si="276"/>
        <v>3.9478112908723895</v>
      </c>
      <c r="U4386" s="2">
        <f t="shared" si="277"/>
        <v>163.26669440403231</v>
      </c>
    </row>
    <row r="4387" spans="1:21" x14ac:dyDescent="0.25">
      <c r="A4387">
        <v>5163313</v>
      </c>
      <c r="B4387">
        <v>15</v>
      </c>
      <c r="C4387" s="1">
        <f>3.30590165449404*(10.3/7.3)</f>
        <v>4.6644913755189901</v>
      </c>
      <c r="D4387" s="1">
        <f>4.74808977130627*(10.3/7.3)</f>
        <v>6.6993595403362427</v>
      </c>
      <c r="E4387" s="1">
        <f>16.3135699538405*(10.3/7.3)</f>
        <v>23.017776784185891</v>
      </c>
      <c r="F4387" s="1">
        <f>51.6665951214603*(38.9/42.5)</f>
        <v>47.290130593524879</v>
      </c>
      <c r="G4387" s="1">
        <v>2.8353761119937309</v>
      </c>
      <c r="H4387" s="1">
        <v>8.3291896534278944</v>
      </c>
      <c r="I4387" s="1">
        <v>40.247387532828661</v>
      </c>
      <c r="J4387" s="1">
        <v>3.0891089113050687E-2</v>
      </c>
      <c r="K4387" s="1">
        <v>1.779319392032479</v>
      </c>
      <c r="L4387" s="1">
        <v>1.6973036500633041</v>
      </c>
      <c r="M4387" s="1">
        <v>8.0314238410660391E-2</v>
      </c>
      <c r="N4387" s="1">
        <v>1.1880055243223038</v>
      </c>
      <c r="O4387" s="1">
        <v>8.0220444444444455E-2</v>
      </c>
      <c r="P4387" s="1">
        <v>6.3713950592460961E-2</v>
      </c>
      <c r="Q4387" s="1">
        <v>4.5314230100356472</v>
      </c>
      <c r="R4387" s="2">
        <f t="shared" si="275"/>
        <v>137.61513460185191</v>
      </c>
      <c r="S4387" s="2">
        <f t="shared" si="274"/>
        <v>1.8739244317379906</v>
      </c>
      <c r="T4387" s="2">
        <f t="shared" si="276"/>
        <v>3.0458438572407127</v>
      </c>
      <c r="U4387" s="2">
        <f t="shared" si="277"/>
        <v>142.53490289083064</v>
      </c>
    </row>
    <row r="4388" spans="1:21" x14ac:dyDescent="0.25">
      <c r="A4388">
        <v>5163321</v>
      </c>
      <c r="B4388">
        <v>8</v>
      </c>
      <c r="C4388" s="1">
        <f>3.03702481304353*(10.3/7.3)</f>
        <v>4.285117201965523</v>
      </c>
      <c r="D4388" s="1">
        <f>4.09910845515815*(10.3/7.3)</f>
        <v>5.7836735737162872</v>
      </c>
      <c r="E4388" s="1">
        <f>14.2029366132585*(10.3/7.3)</f>
        <v>20.039759878981119</v>
      </c>
      <c r="F4388" s="1">
        <f>40.6706892338544*(38.9/42.5)</f>
        <v>37.225642616398474</v>
      </c>
      <c r="G4388" s="1">
        <v>2.0927878250373766</v>
      </c>
      <c r="H4388" s="1">
        <v>7.6213462554126528</v>
      </c>
      <c r="I4388" s="1">
        <v>31.59817754633082</v>
      </c>
      <c r="J4388" s="1">
        <v>2.9770317560644077E-2</v>
      </c>
      <c r="K4388" s="1">
        <v>1.7585931625846329</v>
      </c>
      <c r="L4388" s="1">
        <v>1.6699300545212012</v>
      </c>
      <c r="M4388" s="1">
        <v>7.9152114129546342E-2</v>
      </c>
      <c r="N4388" s="1">
        <v>1.1089680204301391</v>
      </c>
      <c r="O4388" s="1">
        <v>7.8880000000000006E-2</v>
      </c>
      <c r="P4388" s="1">
        <v>6.3142401028134718E-2</v>
      </c>
      <c r="Q4388" s="1">
        <v>3.3446380765437564</v>
      </c>
      <c r="R4388" s="2">
        <f t="shared" si="275"/>
        <v>111.99114297438599</v>
      </c>
      <c r="S4388" s="2">
        <f t="shared" si="274"/>
        <v>1.8515058811734117</v>
      </c>
      <c r="T4388" s="2">
        <f t="shared" si="276"/>
        <v>2.9369301890808863</v>
      </c>
      <c r="U4388" s="2">
        <f t="shared" si="277"/>
        <v>116.77957904464029</v>
      </c>
    </row>
    <row r="4389" spans="1:21" x14ac:dyDescent="0.25">
      <c r="A4389">
        <v>5174613</v>
      </c>
      <c r="B4389">
        <v>28</v>
      </c>
      <c r="C4389" s="1">
        <f>0.6425158078456*(10.3/7.3)</f>
        <v>0.90656340011091496</v>
      </c>
      <c r="D4389" s="1">
        <f>0.926723126141613*(10.3/7.3)</f>
        <v>1.3075682464737823</v>
      </c>
      <c r="E4389" s="1">
        <f>3.21277877478285*(10.3/7.3)</f>
        <v>4.5330988192141595</v>
      </c>
      <c r="F4389" s="1">
        <f>8.66430477979372*(38.9/42.5)</f>
        <v>7.9303871984464882</v>
      </c>
      <c r="G4389" s="1">
        <v>0.43160156426852059</v>
      </c>
      <c r="H4389" s="1">
        <v>1.9242044299655381</v>
      </c>
      <c r="I4389" s="1">
        <v>6.5678588422249309</v>
      </c>
      <c r="J4389" s="1">
        <v>3.5568958580865652E-2</v>
      </c>
      <c r="K4389" s="1">
        <v>2.8217143895231791</v>
      </c>
      <c r="L4389" s="1">
        <v>2.0822677289948648</v>
      </c>
      <c r="M4389" s="1">
        <v>0.77187783933870502</v>
      </c>
      <c r="N4389" s="1">
        <v>1.2510483474785408</v>
      </c>
      <c r="O4389" s="1">
        <v>0.36652380952380959</v>
      </c>
      <c r="P4389" s="1">
        <v>0.18788144799844267</v>
      </c>
      <c r="Q4389" s="1">
        <v>0.68977418947023905</v>
      </c>
      <c r="R4389" s="2">
        <f t="shared" si="275"/>
        <v>24.291056690174575</v>
      </c>
      <c r="S4389" s="2">
        <f t="shared" si="274"/>
        <v>3.0451647961024877</v>
      </c>
      <c r="T4389" s="2">
        <f t="shared" si="276"/>
        <v>4.4717177253359202</v>
      </c>
      <c r="U4389" s="2">
        <f t="shared" si="277"/>
        <v>31.807939211612982</v>
      </c>
    </row>
    <row r="4390" spans="1:21" x14ac:dyDescent="0.25">
      <c r="A4390">
        <v>5174621</v>
      </c>
      <c r="B4390">
        <v>56</v>
      </c>
      <c r="C4390" s="1">
        <f>0.791619190648796*(10.3/7.3)</f>
        <v>1.1169421457099458</v>
      </c>
      <c r="D4390" s="1">
        <f>1.20958349059014*(10.3/7.3)</f>
        <v>1.7066725963121163</v>
      </c>
      <c r="E4390" s="1">
        <f>4.1612954811325*(10.3/7.3)</f>
        <v>5.8714169117349027</v>
      </c>
      <c r="F4390" s="1">
        <f>12.3921698913134*(38.9/42.5)</f>
        <v>11.342480206402165</v>
      </c>
      <c r="G4390" s="1">
        <v>0.66079313824112462</v>
      </c>
      <c r="H4390" s="1">
        <v>3.3887959191812675</v>
      </c>
      <c r="I4390" s="1">
        <v>9.4468580622500351</v>
      </c>
      <c r="J4390" s="1">
        <v>4.2086974180927036E-2</v>
      </c>
      <c r="K4390" s="1">
        <v>3.2179792474945463</v>
      </c>
      <c r="L4390" s="1">
        <v>2.3451761045205433</v>
      </c>
      <c r="M4390" s="1">
        <v>0.95448283029042791</v>
      </c>
      <c r="N4390" s="1">
        <v>1.465697866204221</v>
      </c>
      <c r="O4390" s="1">
        <v>0.42357428571428563</v>
      </c>
      <c r="P4390" s="1">
        <v>0.20428472573270334</v>
      </c>
      <c r="Q4390" s="1">
        <v>1.0560620930794242</v>
      </c>
      <c r="R4390" s="2">
        <f t="shared" si="275"/>
        <v>34.590021072910979</v>
      </c>
      <c r="S4390" s="2">
        <f t="shared" si="274"/>
        <v>3.4643509474081764</v>
      </c>
      <c r="T4390" s="2">
        <f t="shared" si="276"/>
        <v>5.188931086729478</v>
      </c>
      <c r="U4390" s="2">
        <f t="shared" si="277"/>
        <v>43.243303107048632</v>
      </c>
    </row>
    <row r="4391" spans="1:21" x14ac:dyDescent="0.25">
      <c r="A4391">
        <v>5174629</v>
      </c>
      <c r="B4391">
        <v>17</v>
      </c>
      <c r="C4391" s="1">
        <f>0.9841556255815*(10.3/7.3)</f>
        <v>1.3886031429437611</v>
      </c>
      <c r="D4391" s="1">
        <f>1.47772471986049*(10.3/7.3)</f>
        <v>2.0850088513100133</v>
      </c>
      <c r="E4391" s="1">
        <f>5.09214190000877*(10.3/7.3)</f>
        <v>7.184802954806889</v>
      </c>
      <c r="F4391" s="1">
        <f>14.9052426641661*(38.9/42.5)</f>
        <v>13.642680932613215</v>
      </c>
      <c r="G4391" s="1">
        <v>0.78558831244598593</v>
      </c>
      <c r="H4391" s="1">
        <v>8.1272097879910135</v>
      </c>
      <c r="I4391" s="1">
        <v>11.367328331045282</v>
      </c>
      <c r="J4391" s="1">
        <v>5.5353341813576672E-2</v>
      </c>
      <c r="K4391" s="1">
        <v>3.8687779855989315</v>
      </c>
      <c r="L4391" s="1">
        <v>3.0909811115256978</v>
      </c>
      <c r="M4391" s="1">
        <v>1.2964137750162152</v>
      </c>
      <c r="N4391" s="1">
        <v>1.9677315877662931</v>
      </c>
      <c r="O4391" s="1">
        <v>0.526563137254902</v>
      </c>
      <c r="P4391" s="1">
        <v>0.22802671726078408</v>
      </c>
      <c r="Q4391" s="1">
        <v>1.2555064354159611</v>
      </c>
      <c r="R4391" s="2">
        <f t="shared" si="275"/>
        <v>45.836728748572121</v>
      </c>
      <c r="S4391" s="2">
        <f t="shared" si="274"/>
        <v>4.1521580446732926</v>
      </c>
      <c r="T4391" s="2">
        <f t="shared" si="276"/>
        <v>6.8816896115631083</v>
      </c>
      <c r="U4391" s="2">
        <f t="shared" si="277"/>
        <v>56.870576404808524</v>
      </c>
    </row>
    <row r="4392" spans="1:21" x14ac:dyDescent="0.25">
      <c r="A4392">
        <v>5174637</v>
      </c>
      <c r="B4392">
        <v>3</v>
      </c>
      <c r="C4392" s="1">
        <f>0.636204779336058*(10.3/7.3)</f>
        <v>0.89765879824128736</v>
      </c>
      <c r="D4392" s="1">
        <f>1.34512937577568*(10.3/7.3)</f>
        <v>1.8979222699300629</v>
      </c>
      <c r="E4392" s="1">
        <f>4.45830269503761*(10.3/7.3)</f>
        <v>6.2904818847790898</v>
      </c>
      <c r="F4392" s="1">
        <f>19.5308817637696*(38.9/42.5)</f>
        <v>17.876501190838532</v>
      </c>
      <c r="G4392" s="1">
        <v>1.2516312522431521</v>
      </c>
      <c r="H4392" s="1">
        <v>4.1283166978798524</v>
      </c>
      <c r="I4392" s="1">
        <v>15.158171802370211</v>
      </c>
      <c r="J4392" s="1">
        <v>3.9866313700318991E-2</v>
      </c>
      <c r="K4392" s="1">
        <v>2.8127485834584243</v>
      </c>
      <c r="L4392" s="1">
        <v>2.1412296878981421</v>
      </c>
      <c r="M4392" s="1">
        <v>1.1042413280048391</v>
      </c>
      <c r="N4392" s="1">
        <v>2.2193744157212696</v>
      </c>
      <c r="O4392" s="1">
        <v>0.3536711111111111</v>
      </c>
      <c r="P4392" s="1">
        <v>0.17490007222801374</v>
      </c>
      <c r="Q4392" s="1">
        <v>2.0003239191100626</v>
      </c>
      <c r="R4392" s="2">
        <f t="shared" si="275"/>
        <v>49.501007815392256</v>
      </c>
      <c r="S4392" s="2">
        <f t="shared" si="274"/>
        <v>3.0275149693867571</v>
      </c>
      <c r="T4392" s="2">
        <f t="shared" si="276"/>
        <v>5.8185165427353622</v>
      </c>
      <c r="U4392" s="2">
        <f t="shared" si="277"/>
        <v>58.347039327514373</v>
      </c>
    </row>
    <row r="4393" spans="1:21" x14ac:dyDescent="0.25">
      <c r="A4393">
        <v>5174845</v>
      </c>
      <c r="B4393">
        <v>19</v>
      </c>
      <c r="C4393" s="1">
        <f>1.57941567835524*(10.3/7.3)</f>
        <v>2.2284906146656129</v>
      </c>
      <c r="D4393" s="1">
        <f>2.78597512537603*(10.3/7.3)</f>
        <v>3.9308964097771386</v>
      </c>
      <c r="E4393" s="1">
        <f>9.5126346454763*(10.3/7.3)</f>
        <v>13.421936554576156</v>
      </c>
      <c r="F4393" s="1">
        <f>29.5720305295839*(38.9/42.5)</f>
        <v>27.067105590607337</v>
      </c>
      <c r="G4393" s="1">
        <v>1.6329838258522333</v>
      </c>
      <c r="H4393" s="1">
        <v>7.3774368329334239</v>
      </c>
      <c r="I4393" s="1">
        <v>22.151276783780297</v>
      </c>
      <c r="J4393" s="1">
        <v>5.6209943498385283E-2</v>
      </c>
      <c r="K4393" s="1">
        <v>3.5398224198108736</v>
      </c>
      <c r="L4393" s="1">
        <v>5.038629560189654</v>
      </c>
      <c r="M4393" s="1">
        <v>0.91799618356733248</v>
      </c>
      <c r="N4393" s="1">
        <v>2.5954130066365466</v>
      </c>
      <c r="O4393" s="1">
        <v>0.32312421052631585</v>
      </c>
      <c r="P4393" s="1">
        <v>0.18346527854003183</v>
      </c>
      <c r="Q4393" s="1">
        <v>2.6097915025035712</v>
      </c>
      <c r="R4393" s="2">
        <f t="shared" si="275"/>
        <v>80.419918114695761</v>
      </c>
      <c r="S4393" s="2">
        <f t="shared" si="274"/>
        <v>3.7794976418492907</v>
      </c>
      <c r="T4393" s="2">
        <f t="shared" si="276"/>
        <v>8.8751629609198499</v>
      </c>
      <c r="U4393" s="2">
        <f t="shared" si="277"/>
        <v>93.074578717464902</v>
      </c>
    </row>
    <row r="4394" spans="1:21" x14ac:dyDescent="0.25">
      <c r="A4394">
        <v>5174853</v>
      </c>
      <c r="B4394">
        <v>59</v>
      </c>
      <c r="C4394" s="1">
        <f>1.2037053471236*(10.3/7.3)</f>
        <v>1.698378777448369</v>
      </c>
      <c r="D4394" s="1">
        <f>1.99190438307912*(10.3/7.3)</f>
        <v>2.8104952254404014</v>
      </c>
      <c r="E4394" s="1">
        <f>6.84416787678381*(10.3/7.3)</f>
        <v>9.6568396069689406</v>
      </c>
      <c r="F4394" s="1">
        <f>19.8148073278421*(38.9/42.5)</f>
        <v>18.136376589483731</v>
      </c>
      <c r="G4394" s="1">
        <v>1.0464802940390192</v>
      </c>
      <c r="H4394" s="1">
        <v>5.0980677468929336</v>
      </c>
      <c r="I4394" s="1">
        <v>14.802416391343042</v>
      </c>
      <c r="J4394" s="1">
        <v>4.3320952799967068E-2</v>
      </c>
      <c r="K4394" s="1">
        <v>2.7788557106457792</v>
      </c>
      <c r="L4394" s="1">
        <v>3.6121987176405916</v>
      </c>
      <c r="M4394" s="1">
        <v>0.64486873002198075</v>
      </c>
      <c r="N4394" s="1">
        <v>1.9718476425459197</v>
      </c>
      <c r="O4394" s="1">
        <v>0.24973016949152549</v>
      </c>
      <c r="P4394" s="1">
        <v>0.14999370575850948</v>
      </c>
      <c r="Q4394" s="1">
        <v>1.6724570909299414</v>
      </c>
      <c r="R4394" s="2">
        <f t="shared" si="275"/>
        <v>54.921511722546384</v>
      </c>
      <c r="S4394" s="2">
        <f t="shared" si="274"/>
        <v>2.9721703692042558</v>
      </c>
      <c r="T4394" s="2">
        <f t="shared" si="276"/>
        <v>6.4786452597000173</v>
      </c>
      <c r="U4394" s="2">
        <f t="shared" si="277"/>
        <v>64.372327351450664</v>
      </c>
    </row>
    <row r="4395" spans="1:21" x14ac:dyDescent="0.25">
      <c r="A4395">
        <v>5174861</v>
      </c>
      <c r="B4395">
        <v>3</v>
      </c>
      <c r="C4395" s="1">
        <f>2.36572056823648*(10.3/7.3)</f>
        <v>3.3379345003884597</v>
      </c>
      <c r="D4395" s="1">
        <f>4.11142797500755*(10.3/7.3)</f>
        <v>5.8010559099421553</v>
      </c>
      <c r="E4395" s="1">
        <f>14.093678242362*(10.3/7.3)</f>
        <v>19.885600807716198</v>
      </c>
      <c r="F4395" s="1">
        <f>41.3106675390532*(38.9/42.5)</f>
        <v>37.811410994568654</v>
      </c>
      <c r="G4395" s="1">
        <v>2.2063416376408749</v>
      </c>
      <c r="H4395" s="1">
        <v>9.0437792158328119</v>
      </c>
      <c r="I4395" s="1">
        <v>30.663223645013648</v>
      </c>
      <c r="J4395" s="1">
        <v>8.3251657716624405E-2</v>
      </c>
      <c r="K4395" s="1">
        <v>4.3429939504044004</v>
      </c>
      <c r="L4395" s="1">
        <v>6.4296403392913595</v>
      </c>
      <c r="M4395" s="1">
        <v>1.0785782767968761</v>
      </c>
      <c r="N4395" s="1">
        <v>3.3964600060877856</v>
      </c>
      <c r="O4395" s="1">
        <v>0.41520000000000001</v>
      </c>
      <c r="P4395" s="1">
        <v>0.2156502718034429</v>
      </c>
      <c r="Q4395" s="1">
        <v>3.5261167724854197</v>
      </c>
      <c r="R4395" s="2">
        <f t="shared" si="275"/>
        <v>112.27546348358823</v>
      </c>
      <c r="S4395" s="2">
        <f t="shared" si="274"/>
        <v>4.6418958799244674</v>
      </c>
      <c r="T4395" s="2">
        <f t="shared" si="276"/>
        <v>11.319878622176022</v>
      </c>
      <c r="U4395" s="2">
        <f t="shared" si="277"/>
        <v>128.23723798568872</v>
      </c>
    </row>
    <row r="4396" spans="1:21" x14ac:dyDescent="0.25">
      <c r="A4396">
        <v>5175045</v>
      </c>
      <c r="B4396">
        <v>51</v>
      </c>
      <c r="C4396" s="1">
        <f>7.58394457936322*(10.3/7.3)</f>
        <v>10.700634132526194</v>
      </c>
      <c r="D4396" s="1">
        <f>13.7980033304533*(10.3/7.3)</f>
        <v>19.46841565803685</v>
      </c>
      <c r="E4396" s="1">
        <f>48.0660264367835*(10.3/7.3)</f>
        <v>67.819187986146574</v>
      </c>
      <c r="F4396" s="1">
        <f>97.8613746049542*(38.9/42.5)</f>
        <v>89.571940520769857</v>
      </c>
      <c r="G4396" s="1">
        <v>3.9320440158580325</v>
      </c>
      <c r="H4396" s="1">
        <v>7.0727861051569132</v>
      </c>
      <c r="I4396" s="1">
        <v>65.318918125237104</v>
      </c>
      <c r="J4396" s="1">
        <v>8.6266828386459618E-2</v>
      </c>
      <c r="K4396" s="1">
        <v>3.8111151161695975</v>
      </c>
      <c r="L4396" s="1">
        <v>5.3689939482238929</v>
      </c>
      <c r="M4396" s="1">
        <v>0.39158419559443797</v>
      </c>
      <c r="N4396" s="1">
        <v>2.9868656392508313</v>
      </c>
      <c r="O4396" s="1">
        <v>0.29127215686274505</v>
      </c>
      <c r="P4396" s="1">
        <v>0.18492305162970532</v>
      </c>
      <c r="Q4396" s="1">
        <v>6.2840886098187827</v>
      </c>
      <c r="R4396" s="2">
        <f t="shared" si="275"/>
        <v>270.1680151535503</v>
      </c>
      <c r="S4396" s="2">
        <f t="shared" si="274"/>
        <v>4.082304996185762</v>
      </c>
      <c r="T4396" s="2">
        <f t="shared" si="276"/>
        <v>9.0387159399319064</v>
      </c>
      <c r="U4396" s="2">
        <f t="shared" si="277"/>
        <v>283.289036089668</v>
      </c>
    </row>
    <row r="4397" spans="1:21" x14ac:dyDescent="0.25">
      <c r="A4397">
        <v>5175053</v>
      </c>
      <c r="B4397">
        <v>52</v>
      </c>
      <c r="C4397" s="1">
        <f>5.79744362574799*(10.3/7.3)</f>
        <v>8.1799547048225065</v>
      </c>
      <c r="D4397" s="1">
        <f>10.4395306412509*(10.3/7.3)</f>
        <v>14.729748712997818</v>
      </c>
      <c r="E4397" s="1">
        <f>36.3654789700652*(10.3/7.3)</f>
        <v>51.310196355023571</v>
      </c>
      <c r="F4397" s="1">
        <f>74.6952733943703*(38.9/42.5)</f>
        <v>68.368144353905976</v>
      </c>
      <c r="G4397" s="1">
        <v>3.0256760701184193</v>
      </c>
      <c r="H4397" s="1">
        <v>6.085824066219546</v>
      </c>
      <c r="I4397" s="1">
        <v>50.140883909940428</v>
      </c>
      <c r="J4397" s="1">
        <v>5.69666424421017E-2</v>
      </c>
      <c r="K4397" s="1">
        <v>3.3401920089177422</v>
      </c>
      <c r="L4397" s="1">
        <v>4.4162880086949237</v>
      </c>
      <c r="M4397" s="1">
        <v>0.32432948133131823</v>
      </c>
      <c r="N4397" s="1">
        <v>2.513454724255261</v>
      </c>
      <c r="O4397" s="1">
        <v>0.24912615384615386</v>
      </c>
      <c r="P4397" s="1">
        <v>0.16542601132999674</v>
      </c>
      <c r="Q4397" s="1">
        <v>4.8355553632029604</v>
      </c>
      <c r="R4397" s="2">
        <f t="shared" si="275"/>
        <v>206.67598353623123</v>
      </c>
      <c r="S4397" s="2">
        <f t="shared" si="274"/>
        <v>3.5625846626898405</v>
      </c>
      <c r="T4397" s="2">
        <f t="shared" si="276"/>
        <v>7.5031983681276575</v>
      </c>
      <c r="U4397" s="2">
        <f t="shared" si="277"/>
        <v>217.74176656704873</v>
      </c>
    </row>
    <row r="4398" spans="1:21" x14ac:dyDescent="0.25">
      <c r="A4398">
        <v>5175061</v>
      </c>
      <c r="B4398">
        <v>66</v>
      </c>
      <c r="C4398" s="1">
        <f>6.91446645989214*(10.3/7.3)</f>
        <v>9.7560280187519179</v>
      </c>
      <c r="D4398" s="1">
        <f>12.6021516838025*(10.3/7.3)</f>
        <v>17.781118129200859</v>
      </c>
      <c r="E4398" s="1">
        <f>43.8642551858785*(10.3/7.3)</f>
        <v>61.890661426650496</v>
      </c>
      <c r="F4398" s="1">
        <f>91.0004203849575*(38.9/42.5)</f>
        <v>83.292149481761072</v>
      </c>
      <c r="G4398" s="1">
        <v>3.7316855358457421</v>
      </c>
      <c r="H4398" s="1">
        <v>7.2140952489617272</v>
      </c>
      <c r="I4398" s="1">
        <v>61.093671886345497</v>
      </c>
      <c r="J4398" s="1">
        <v>6.3310400204746584E-2</v>
      </c>
      <c r="K4398" s="1">
        <v>3.7061000654281995</v>
      </c>
      <c r="L4398" s="1">
        <v>5.1897322184177082</v>
      </c>
      <c r="M4398" s="1">
        <v>0.36744984071520276</v>
      </c>
      <c r="N4398" s="1">
        <v>2.9901662747814672</v>
      </c>
      <c r="O4398" s="1">
        <v>0.27805818181818176</v>
      </c>
      <c r="P4398" s="1">
        <v>0.17990168889125452</v>
      </c>
      <c r="Q4398" s="1">
        <v>5.9638809933607773</v>
      </c>
      <c r="R4398" s="2">
        <f t="shared" si="275"/>
        <v>250.72329072087811</v>
      </c>
      <c r="S4398" s="2">
        <f t="shared" si="274"/>
        <v>3.9493121545242005</v>
      </c>
      <c r="T4398" s="2">
        <f t="shared" si="276"/>
        <v>8.8254065157325599</v>
      </c>
      <c r="U4398" s="2">
        <f t="shared" si="277"/>
        <v>263.49800939113487</v>
      </c>
    </row>
    <row r="4399" spans="1:21" x14ac:dyDescent="0.25">
      <c r="A4399">
        <v>5175069</v>
      </c>
      <c r="B4399">
        <v>58</v>
      </c>
      <c r="C4399" s="1">
        <f>5.52537176032053*(10.3/7.3)</f>
        <v>7.7960724837399287</v>
      </c>
      <c r="D4399" s="1">
        <f>10.4279690777946*(10.3/7.3)</f>
        <v>14.713435822093734</v>
      </c>
      <c r="E4399" s="1">
        <f>36.2016726404388*(10.3/7.3)</f>
        <v>51.079072355687615</v>
      </c>
      <c r="F4399" s="1">
        <f>77.9271333577373*(38.9/42.5)</f>
        <v>71.326246767434895</v>
      </c>
      <c r="G4399" s="1">
        <v>3.3317484080360176</v>
      </c>
      <c r="H4399" s="1">
        <v>8.1827914189661684</v>
      </c>
      <c r="I4399" s="1">
        <v>52.492485902060587</v>
      </c>
      <c r="J4399" s="1">
        <v>5.3570301117510988E-2</v>
      </c>
      <c r="K4399" s="1">
        <v>3.2934269845703579</v>
      </c>
      <c r="L4399" s="1">
        <v>4.4072444599196103</v>
      </c>
      <c r="M4399" s="1">
        <v>0.31182709648324713</v>
      </c>
      <c r="N4399" s="1">
        <v>2.481014296050652</v>
      </c>
      <c r="O4399" s="1">
        <v>0.2414629885057471</v>
      </c>
      <c r="P4399" s="1">
        <v>0.16148224900897309</v>
      </c>
      <c r="Q4399" s="1">
        <v>5.3247120676374777</v>
      </c>
      <c r="R4399" s="2">
        <f t="shared" si="275"/>
        <v>214.24656522565644</v>
      </c>
      <c r="S4399" s="2">
        <f t="shared" si="274"/>
        <v>3.5084795346968418</v>
      </c>
      <c r="T4399" s="2">
        <f t="shared" si="276"/>
        <v>7.4415488409592569</v>
      </c>
      <c r="U4399" s="2">
        <f t="shared" si="277"/>
        <v>225.19659360131254</v>
      </c>
    </row>
    <row r="4400" spans="1:21" x14ac:dyDescent="0.25">
      <c r="A4400">
        <v>5175077</v>
      </c>
      <c r="B4400">
        <v>19</v>
      </c>
      <c r="C4400" s="1">
        <f>4.48227117967716*(10.3/7.3)</f>
        <v>6.3243004315992772</v>
      </c>
      <c r="D4400" s="1">
        <f>9.30029984919088*(10.3/7.3)</f>
        <v>13.122340883104942</v>
      </c>
      <c r="E4400" s="1">
        <f>31.986287348373*(10.3/7.3)</f>
        <v>45.131336943594832</v>
      </c>
      <c r="F4400" s="1">
        <f>79.5856646235239*(38.9/42.5)</f>
        <v>72.844290678943011</v>
      </c>
      <c r="G4400" s="1">
        <v>3.8795027129951229</v>
      </c>
      <c r="H4400" s="1">
        <v>8.5220011900091031</v>
      </c>
      <c r="I4400" s="1">
        <v>54.938466764153816</v>
      </c>
      <c r="J4400" s="1">
        <v>4.6496580118571822E-2</v>
      </c>
      <c r="K4400" s="1">
        <v>3.0042445719868747</v>
      </c>
      <c r="L4400" s="1">
        <v>3.7933754650431664</v>
      </c>
      <c r="M4400" s="1">
        <v>0.26773997844384306</v>
      </c>
      <c r="N4400" s="1">
        <v>2.2218964532228815</v>
      </c>
      <c r="O4400" s="1">
        <v>0.21298807017543864</v>
      </c>
      <c r="P4400" s="1">
        <v>0.14698582677732119</v>
      </c>
      <c r="Q4400" s="1">
        <v>6.2001184910881024</v>
      </c>
      <c r="R4400" s="2">
        <f t="shared" si="275"/>
        <v>210.96235809548818</v>
      </c>
      <c r="S4400" s="2">
        <f t="shared" si="274"/>
        <v>3.1977269788827676</v>
      </c>
      <c r="T4400" s="2">
        <f t="shared" si="276"/>
        <v>6.4959999668853303</v>
      </c>
      <c r="U4400" s="2">
        <f t="shared" si="277"/>
        <v>220.65608504125629</v>
      </c>
    </row>
    <row r="4401" spans="1:21" x14ac:dyDescent="0.25">
      <c r="A4401">
        <v>5175085</v>
      </c>
      <c r="B4401">
        <v>55</v>
      </c>
      <c r="C4401" s="1">
        <f>4.88104436687261*(10.3/7.3)</f>
        <v>6.8869530107928609</v>
      </c>
      <c r="D4401" s="1">
        <f>9.55616043318456*(10.3/7.3)</f>
        <v>13.483349652301499</v>
      </c>
      <c r="E4401" s="1">
        <f>32.9263723330614*(10.3/7.3)</f>
        <v>46.457758223360614</v>
      </c>
      <c r="F4401" s="1">
        <f>81.6334987446759*(38.9/42.5)</f>
        <v>74.71866120395039</v>
      </c>
      <c r="G4401" s="1">
        <v>3.9486489120814285</v>
      </c>
      <c r="H4401" s="1">
        <v>8.3994250880393597</v>
      </c>
      <c r="I4401" s="1">
        <v>56.928158116615791</v>
      </c>
      <c r="J4401" s="1">
        <v>5.1429635415626423E-2</v>
      </c>
      <c r="K4401" s="1">
        <v>3.1165518999129165</v>
      </c>
      <c r="L4401" s="1">
        <v>4.1039262162437726</v>
      </c>
      <c r="M4401" s="1">
        <v>0.28021400275095032</v>
      </c>
      <c r="N4401" s="1">
        <v>2.3326900535025645</v>
      </c>
      <c r="O4401" s="1">
        <v>0.22280145454545444</v>
      </c>
      <c r="P4401" s="1">
        <v>0.15138323431187192</v>
      </c>
      <c r="Q4401" s="1">
        <v>6.3106261151986383</v>
      </c>
      <c r="R4401" s="2">
        <f t="shared" si="275"/>
        <v>217.13358032234058</v>
      </c>
      <c r="S4401" s="2">
        <f t="shared" si="274"/>
        <v>3.3193647696404147</v>
      </c>
      <c r="T4401" s="2">
        <f t="shared" si="276"/>
        <v>6.9396317270427419</v>
      </c>
      <c r="U4401" s="2">
        <f t="shared" si="277"/>
        <v>227.39257681902373</v>
      </c>
    </row>
    <row r="4402" spans="1:21" x14ac:dyDescent="0.25">
      <c r="A4402">
        <v>5175093</v>
      </c>
      <c r="B4402">
        <v>5</v>
      </c>
      <c r="C4402" s="1">
        <f>4.60982937147467*(10.3/7.3)</f>
        <v>6.5042797981080929</v>
      </c>
      <c r="D4402" s="1">
        <f>9.6307367031823*(10.3/7.3)</f>
        <v>13.588573704490098</v>
      </c>
      <c r="E4402" s="1">
        <f>32.8087902280962*(10.3/7.3)</f>
        <v>46.291854705396069</v>
      </c>
      <c r="F4402" s="1">
        <f>97.3127131242763*(38.9/42.5)</f>
        <v>89.069753894925853</v>
      </c>
      <c r="G4402" s="1">
        <v>5.3010138571544037</v>
      </c>
      <c r="H4402" s="1">
        <v>7.8918366558168644</v>
      </c>
      <c r="I4402" s="1">
        <v>70.268547784728455</v>
      </c>
      <c r="J4402" s="1">
        <v>4.8102655073330322E-2</v>
      </c>
      <c r="K4402" s="1">
        <v>2.6853376902295993</v>
      </c>
      <c r="L4402" s="1">
        <v>3.3949744935923318</v>
      </c>
      <c r="M4402" s="1">
        <v>0.23106543678280386</v>
      </c>
      <c r="N4402" s="1">
        <v>2.2176903458219752</v>
      </c>
      <c r="O4402" s="1">
        <v>0.19047466666666668</v>
      </c>
      <c r="P4402" s="1">
        <v>0.13099252046425022</v>
      </c>
      <c r="Q4402" s="1">
        <v>8.4719399543563618</v>
      </c>
      <c r="R4402" s="2">
        <f t="shared" si="275"/>
        <v>247.38780035497618</v>
      </c>
      <c r="S4402" s="2">
        <f t="shared" si="274"/>
        <v>2.86443286576718</v>
      </c>
      <c r="T4402" s="2">
        <f t="shared" si="276"/>
        <v>6.0342049428637772</v>
      </c>
      <c r="U4402" s="2">
        <f t="shared" si="277"/>
        <v>256.28643816360716</v>
      </c>
    </row>
    <row r="4403" spans="1:21" x14ac:dyDescent="0.25">
      <c r="A4403">
        <v>5175101</v>
      </c>
      <c r="B4403">
        <v>18</v>
      </c>
      <c r="C4403" s="1">
        <f>5.37581089784766*(10.3/7.3)</f>
        <v>7.585048253127523</v>
      </c>
      <c r="D4403" s="1">
        <f>10.4777144351415*(10.3/7.3)</f>
        <v>14.783624476980425</v>
      </c>
      <c r="E4403" s="1">
        <f>35.8516123498193*(10.3/7.3)</f>
        <v>50.585151671662906</v>
      </c>
      <c r="F4403" s="1">
        <f>101.867710585605*(38.9/42.5)</f>
        <v>93.238916277177736</v>
      </c>
      <c r="G4403" s="1">
        <v>5.3898421466776227</v>
      </c>
      <c r="H4403" s="1">
        <v>10.693090443382857</v>
      </c>
      <c r="I4403" s="1">
        <v>73.628532775619135</v>
      </c>
      <c r="J4403" s="1">
        <v>5.5403982925084388E-2</v>
      </c>
      <c r="K4403" s="1">
        <v>3.1149900951469864</v>
      </c>
      <c r="L4403" s="1">
        <v>4.1523563542863178</v>
      </c>
      <c r="M4403" s="1">
        <v>0.26748029593802408</v>
      </c>
      <c r="N4403" s="1">
        <v>2.2602060817991014</v>
      </c>
      <c r="O4403" s="1">
        <v>0.22138370370370369</v>
      </c>
      <c r="P4403" s="1">
        <v>0.14849574865325388</v>
      </c>
      <c r="Q4403" s="1">
        <v>8.613902974142329</v>
      </c>
      <c r="R4403" s="2">
        <f t="shared" si="275"/>
        <v>264.51810901877053</v>
      </c>
      <c r="S4403" s="2">
        <f t="shared" si="274"/>
        <v>3.3188898267253251</v>
      </c>
      <c r="T4403" s="2">
        <f t="shared" si="276"/>
        <v>6.9014264357271466</v>
      </c>
      <c r="U4403" s="2">
        <f t="shared" si="277"/>
        <v>274.73842528122299</v>
      </c>
    </row>
    <row r="4404" spans="1:21" x14ac:dyDescent="0.25">
      <c r="A4404">
        <v>5175109</v>
      </c>
      <c r="B4404">
        <v>60</v>
      </c>
      <c r="C4404" s="1">
        <f>7.05633679451624*(10.3/7.3)</f>
        <v>9.9562012306188024</v>
      </c>
      <c r="D4404" s="1">
        <f>12.0098265445895*(10.3/7.3)</f>
        <v>16.945371699900228</v>
      </c>
      <c r="E4404" s="1">
        <f>41.7302544492202*(10.3/7.3)</f>
        <v>58.879674085886087</v>
      </c>
      <c r="F4404" s="1">
        <f>94.9257721345226*(38.9/42.5)</f>
        <v>86.885000847833652</v>
      </c>
      <c r="G4404" s="1">
        <v>4.2183184895829431</v>
      </c>
      <c r="H4404" s="1">
        <v>6.8468250002347464</v>
      </c>
      <c r="I4404" s="1">
        <v>66.652885079384006</v>
      </c>
      <c r="J4404" s="1">
        <v>6.1507925823259847E-2</v>
      </c>
      <c r="K4404" s="1">
        <v>3.6595587624047514</v>
      </c>
      <c r="L4404" s="1">
        <v>5.2435711943951482</v>
      </c>
      <c r="M4404" s="1">
        <v>0.32076982230327017</v>
      </c>
      <c r="N4404" s="1">
        <v>2.6888632817697347</v>
      </c>
      <c r="O4404" s="1">
        <v>0.26114577777777781</v>
      </c>
      <c r="P4404" s="1">
        <v>0.17063712875100226</v>
      </c>
      <c r="Q4404" s="1">
        <v>6.7416048920275404</v>
      </c>
      <c r="R4404" s="2">
        <f t="shared" si="275"/>
        <v>257.12588132546801</v>
      </c>
      <c r="S4404" s="2">
        <f t="shared" si="274"/>
        <v>3.8917038169790139</v>
      </c>
      <c r="T4404" s="2">
        <f t="shared" si="276"/>
        <v>8.5143500762459308</v>
      </c>
      <c r="U4404" s="2">
        <f t="shared" si="277"/>
        <v>269.53193521869298</v>
      </c>
    </row>
    <row r="4405" spans="1:21" x14ac:dyDescent="0.25">
      <c r="A4405">
        <v>5175117</v>
      </c>
      <c r="B4405">
        <v>60</v>
      </c>
      <c r="C4405" s="1">
        <f>6.47393460007708*(10.3/7.3)</f>
        <v>9.1344556686019054</v>
      </c>
      <c r="D4405" s="1">
        <f>10.6712450257506*(10.3/7.3)</f>
        <v>15.056688187017919</v>
      </c>
      <c r="E4405" s="1">
        <f>37.1836164749027*(10.3/7.3)</f>
        <v>52.464554752259914</v>
      </c>
      <c r="F4405" s="1">
        <f>81.3339878122218*(38.9/42.5)</f>
        <v>74.444520609304192</v>
      </c>
      <c r="G4405" s="1">
        <v>3.4704548680253255</v>
      </c>
      <c r="H4405" s="1">
        <v>6.2720853850945995</v>
      </c>
      <c r="I4405" s="1">
        <v>56.954766239510157</v>
      </c>
      <c r="J4405" s="1">
        <v>5.6246070284058584E-2</v>
      </c>
      <c r="K4405" s="1">
        <v>3.4447583700969227</v>
      </c>
      <c r="L4405" s="1">
        <v>4.8168759556342691</v>
      </c>
      <c r="M4405" s="1">
        <v>0.29408579428962478</v>
      </c>
      <c r="N4405" s="1">
        <v>2.4912589164851959</v>
      </c>
      <c r="O4405" s="1">
        <v>0.24208444444444446</v>
      </c>
      <c r="P4405" s="1">
        <v>0.16117797635168313</v>
      </c>
      <c r="Q4405" s="1">
        <v>5.546389058487966</v>
      </c>
      <c r="R4405" s="2">
        <f t="shared" si="275"/>
        <v>223.34391476830197</v>
      </c>
      <c r="S4405" s="2">
        <f t="shared" si="274"/>
        <v>3.662182416732664</v>
      </c>
      <c r="T4405" s="2">
        <f t="shared" si="276"/>
        <v>7.8443051108535347</v>
      </c>
      <c r="U4405" s="2">
        <f t="shared" si="277"/>
        <v>234.85040229588816</v>
      </c>
    </row>
    <row r="4406" spans="1:21" x14ac:dyDescent="0.25">
      <c r="A4406">
        <v>5175125</v>
      </c>
      <c r="B4406">
        <v>60</v>
      </c>
      <c r="C4406" s="1">
        <f>6.78213943834705*(10.3/7.3)</f>
        <v>9.5693200294485745</v>
      </c>
      <c r="D4406" s="1">
        <f>10.9628466613482*(10.3/7.3)</f>
        <v>15.468126111217362</v>
      </c>
      <c r="E4406" s="1">
        <f>38.2494147416384*(10.3/7.3)</f>
        <v>53.968352306695259</v>
      </c>
      <c r="F4406" s="1">
        <f>82.4676832097452*(38.9/42.5)</f>
        <v>75.482185337860912</v>
      </c>
      <c r="G4406" s="1">
        <v>3.4595823139996682</v>
      </c>
      <c r="H4406" s="1">
        <v>6.3406667243257182</v>
      </c>
      <c r="I4406" s="1">
        <v>57.817262297898857</v>
      </c>
      <c r="J4406" s="1">
        <v>5.7355102306070209E-2</v>
      </c>
      <c r="K4406" s="1">
        <v>3.4916721068884091</v>
      </c>
      <c r="L4406" s="1">
        <v>4.9198229984651096</v>
      </c>
      <c r="M4406" s="1">
        <v>0.29220406234201646</v>
      </c>
      <c r="N4406" s="1">
        <v>2.5238627463881622</v>
      </c>
      <c r="O4406" s="1">
        <v>0.24392711111111115</v>
      </c>
      <c r="P4406" s="1">
        <v>0.1615200325333877</v>
      </c>
      <c r="Q4406" s="1">
        <v>5.5290128305930804</v>
      </c>
      <c r="R4406" s="2">
        <f t="shared" si="275"/>
        <v>227.63450795203946</v>
      </c>
      <c r="S4406" s="2">
        <f t="shared" si="274"/>
        <v>3.7105472417278671</v>
      </c>
      <c r="T4406" s="2">
        <f t="shared" si="276"/>
        <v>7.9798169183063994</v>
      </c>
      <c r="U4406" s="2">
        <f t="shared" si="277"/>
        <v>239.32487211207373</v>
      </c>
    </row>
    <row r="4407" spans="1:21" x14ac:dyDescent="0.25">
      <c r="A4407">
        <v>5175133</v>
      </c>
      <c r="B4407">
        <v>60</v>
      </c>
      <c r="C4407" s="1">
        <f>7.16911975779795*(10.3/7.3)</f>
        <v>10.115333356893002</v>
      </c>
      <c r="D4407" s="1">
        <f>11.4326782315904*(10.3/7.3)</f>
        <v>16.131039148682362</v>
      </c>
      <c r="E4407" s="1">
        <f>39.9158845923076*(10.3/7.3)</f>
        <v>56.319672780927121</v>
      </c>
      <c r="F4407" s="1">
        <f>85.6515769350581*(38.9/42.5)</f>
        <v>78.396384535853159</v>
      </c>
      <c r="G4407" s="1">
        <v>3.5688443289614562</v>
      </c>
      <c r="H4407" s="1">
        <v>6.6329072066003691</v>
      </c>
      <c r="I4407" s="1">
        <v>60.190799774310307</v>
      </c>
      <c r="J4407" s="1">
        <v>6.0710203516902782E-2</v>
      </c>
      <c r="K4407" s="1">
        <v>3.5960391441065886</v>
      </c>
      <c r="L4407" s="1">
        <v>5.1223101749964082</v>
      </c>
      <c r="M4407" s="1">
        <v>0.29726926937497794</v>
      </c>
      <c r="N4407" s="1">
        <v>2.6388810081998746</v>
      </c>
      <c r="O4407" s="1">
        <v>0.24802399999999999</v>
      </c>
      <c r="P4407" s="1">
        <v>0.16363407794889148</v>
      </c>
      <c r="Q4407" s="1">
        <v>5.7036324892078181</v>
      </c>
      <c r="R4407" s="2">
        <f t="shared" si="275"/>
        <v>237.05861362143563</v>
      </c>
      <c r="S4407" s="2">
        <f t="shared" si="274"/>
        <v>3.8203834255723828</v>
      </c>
      <c r="T4407" s="2">
        <f t="shared" si="276"/>
        <v>8.3064844525712598</v>
      </c>
      <c r="U4407" s="2">
        <f t="shared" si="277"/>
        <v>249.18548149957925</v>
      </c>
    </row>
    <row r="4408" spans="1:21" x14ac:dyDescent="0.25">
      <c r="A4408">
        <v>5175141</v>
      </c>
      <c r="B4408">
        <v>60</v>
      </c>
      <c r="C4408" s="1">
        <f>6.82149730705201*(10.3/7.3)</f>
        <v>9.6248523647446156</v>
      </c>
      <c r="D4408" s="1">
        <f>10.7275087309005*(10.3/7.3)</f>
        <v>15.136073962777413</v>
      </c>
      <c r="E4408" s="1">
        <f>37.4682490265083*(10.3/7.3)</f>
        <v>52.866159585347297</v>
      </c>
      <c r="F4408" s="1">
        <f>80.6230818242293*(38.9/42.5)</f>
        <v>73.793832540294545</v>
      </c>
      <c r="G4408" s="1">
        <v>3.3618723876901382</v>
      </c>
      <c r="H4408" s="1">
        <v>7.197961457098085</v>
      </c>
      <c r="I4408" s="1">
        <v>56.91602763366344</v>
      </c>
      <c r="J4408" s="1">
        <v>5.8745883057561156E-2</v>
      </c>
      <c r="K4408" s="1">
        <v>3.4528686222763247</v>
      </c>
      <c r="L4408" s="1">
        <v>4.8350801484944732</v>
      </c>
      <c r="M4408" s="1">
        <v>0.27768853989246994</v>
      </c>
      <c r="N4408" s="1">
        <v>2.5458593732473105</v>
      </c>
      <c r="O4408" s="1">
        <v>0.23382044444444447</v>
      </c>
      <c r="P4408" s="1">
        <v>0.15626654006354557</v>
      </c>
      <c r="Q4408" s="1">
        <v>5.3728554141166649</v>
      </c>
      <c r="R4408" s="2">
        <f t="shared" si="275"/>
        <v>224.26963534573218</v>
      </c>
      <c r="S4408" s="2">
        <f t="shared" si="274"/>
        <v>3.6678810453974315</v>
      </c>
      <c r="T4408" s="2">
        <f t="shared" si="276"/>
        <v>7.892448506078698</v>
      </c>
      <c r="U4408" s="2">
        <f t="shared" si="277"/>
        <v>235.8299648972083</v>
      </c>
    </row>
    <row r="4409" spans="1:21" x14ac:dyDescent="0.25">
      <c r="A4409">
        <v>5175149</v>
      </c>
      <c r="B4409">
        <v>60</v>
      </c>
      <c r="C4409" s="1">
        <f>6.24768493924537*(10.3/7.3)</f>
        <v>8.8152266950996339</v>
      </c>
      <c r="D4409" s="1">
        <f>9.67919676060959*(10.3/7.3)</f>
        <v>13.656948854010787</v>
      </c>
      <c r="E4409" s="1">
        <f>33.8038801441892*(10.3/7.3)</f>
        <v>47.695885682897114</v>
      </c>
      <c r="F4409" s="1">
        <f>73.8189640611426*(38.9/42.5)</f>
        <v>67.566063575963412</v>
      </c>
      <c r="G4409" s="1">
        <v>3.1171505096619687</v>
      </c>
      <c r="H4409" s="1">
        <v>6.9926653175384788</v>
      </c>
      <c r="I4409" s="1">
        <v>52.528117055857592</v>
      </c>
      <c r="J4409" s="1">
        <v>5.6351584617488092E-2</v>
      </c>
      <c r="K4409" s="1">
        <v>3.2332251197230213</v>
      </c>
      <c r="L4409" s="1">
        <v>4.4129415038031539</v>
      </c>
      <c r="M4409" s="1">
        <v>0.25044868794641389</v>
      </c>
      <c r="N4409" s="1">
        <v>2.4219196605111417</v>
      </c>
      <c r="O4409" s="1">
        <v>0.21532977777777773</v>
      </c>
      <c r="P4409" s="1">
        <v>0.14600745945589327</v>
      </c>
      <c r="Q4409" s="1">
        <v>4.9817473898707334</v>
      </c>
      <c r="R4409" s="2">
        <f t="shared" si="275"/>
        <v>205.35380508089969</v>
      </c>
      <c r="S4409" s="2">
        <f t="shared" si="274"/>
        <v>3.4355841637964026</v>
      </c>
      <c r="T4409" s="2">
        <f t="shared" si="276"/>
        <v>7.3006396300384875</v>
      </c>
      <c r="U4409" s="2">
        <f t="shared" si="277"/>
        <v>216.09002887473457</v>
      </c>
    </row>
    <row r="4410" spans="1:21" x14ac:dyDescent="0.25">
      <c r="A4410">
        <v>5175213</v>
      </c>
      <c r="B4410">
        <v>42</v>
      </c>
      <c r="C4410" s="1">
        <f>3.99994978393799*(10.3/7.3)</f>
        <v>5.6437647636385346</v>
      </c>
      <c r="D4410" s="1">
        <f>6.06776035992366*(10.3/7.3)</f>
        <v>8.5613605078374935</v>
      </c>
      <c r="E4410" s="1">
        <f>21.0101453572595*(10.3/7.3)</f>
        <v>29.644451668461972</v>
      </c>
      <c r="F4410" s="1">
        <f>55.8913568020005*(38.9/42.5)</f>
        <v>51.157030108183982</v>
      </c>
      <c r="G4410" s="1">
        <v>2.7729355655898011</v>
      </c>
      <c r="H4410" s="1">
        <v>7.8712182660165313</v>
      </c>
      <c r="I4410" s="1">
        <v>41.791102907531503</v>
      </c>
      <c r="J4410" s="1">
        <v>3.8320575188760878E-2</v>
      </c>
      <c r="K4410" s="1">
        <v>2.1913814816467738</v>
      </c>
      <c r="L4410" s="1">
        <v>2.9099893729397612</v>
      </c>
      <c r="M4410" s="1">
        <v>0.1438693448239024</v>
      </c>
      <c r="N4410" s="1">
        <v>1.653319689244765</v>
      </c>
      <c r="O4410" s="1">
        <v>0.12469206349206348</v>
      </c>
      <c r="P4410" s="1">
        <v>9.6029973608144276E-2</v>
      </c>
      <c r="Q4410" s="1">
        <v>4.4316321824494569</v>
      </c>
      <c r="R4410" s="2">
        <f t="shared" si="275"/>
        <v>151.87349596970927</v>
      </c>
      <c r="S4410" s="2">
        <f t="shared" si="274"/>
        <v>2.325732030443679</v>
      </c>
      <c r="T4410" s="2">
        <f t="shared" si="276"/>
        <v>4.8318704705004922</v>
      </c>
      <c r="U4410" s="2">
        <f t="shared" si="277"/>
        <v>159.03109847065343</v>
      </c>
    </row>
    <row r="4411" spans="1:21" x14ac:dyDescent="0.25">
      <c r="A4411">
        <v>5175533</v>
      </c>
      <c r="B4411">
        <v>19</v>
      </c>
      <c r="C4411" s="1">
        <f>4.26708879039179*(10.3/7.3)</f>
        <v>6.0206869234295155</v>
      </c>
      <c r="D4411" s="1">
        <f>5.45282283887849*(10.3/7.3)</f>
        <v>7.6937089370477301</v>
      </c>
      <c r="E4411" s="1">
        <f>19.0309917440683*(10.3/7.3)</f>
        <v>26.851947255329272</v>
      </c>
      <c r="F4411" s="1">
        <f>49.7180014006828*(38.9/42.5)</f>
        <v>45.506594223213213</v>
      </c>
      <c r="G4411" s="1">
        <v>2.3861265467458899</v>
      </c>
      <c r="H4411" s="1">
        <v>8.5455147920312005</v>
      </c>
      <c r="I4411" s="1">
        <v>38.576134227928641</v>
      </c>
      <c r="J4411" s="1">
        <v>3.729776102594947E-2</v>
      </c>
      <c r="K4411" s="1">
        <v>2.0995207704255718</v>
      </c>
      <c r="L4411" s="1">
        <v>2.0450574402140207</v>
      </c>
      <c r="M4411" s="1">
        <v>9.2799353146802752E-2</v>
      </c>
      <c r="N4411" s="1">
        <v>1.5004219526879155</v>
      </c>
      <c r="O4411" s="1">
        <v>9.3992982456140378E-2</v>
      </c>
      <c r="P4411" s="1">
        <v>7.2476885037532926E-2</v>
      </c>
      <c r="Q4411" s="1">
        <v>3.8134442527902404</v>
      </c>
      <c r="R4411" s="2">
        <f t="shared" si="275"/>
        <v>139.3941571585157</v>
      </c>
      <c r="S4411" s="2">
        <f t="shared" si="274"/>
        <v>2.2092954164890544</v>
      </c>
      <c r="T4411" s="2">
        <f t="shared" si="276"/>
        <v>3.7322717285048794</v>
      </c>
      <c r="U4411" s="2">
        <f t="shared" si="277"/>
        <v>145.33572430350964</v>
      </c>
    </row>
    <row r="4412" spans="1:21" x14ac:dyDescent="0.25">
      <c r="A4412">
        <v>5175541</v>
      </c>
      <c r="B4412">
        <v>2</v>
      </c>
      <c r="C4412" s="1">
        <f>3.18812676723423*(10.3/7.3)</f>
        <v>4.4983158496592557</v>
      </c>
      <c r="D4412" s="1">
        <f>4.70574172823346*(10.3/7.3)</f>
        <v>6.6396081918910479</v>
      </c>
      <c r="E4412" s="1">
        <f>16.1173252076206*(10.3/7.3)</f>
        <v>22.740883512122203</v>
      </c>
      <c r="F4412" s="1">
        <f>52.7770094212429*(38.9/42.5)</f>
        <v>48.306486270267023</v>
      </c>
      <c r="G4412" s="1">
        <v>2.9532932521996305</v>
      </c>
      <c r="H4412" s="1">
        <v>8.4581785559491216</v>
      </c>
      <c r="I4412" s="1">
        <v>41.112305417073017</v>
      </c>
      <c r="J4412" s="1">
        <v>3.1658543232606258E-2</v>
      </c>
      <c r="K4412" s="1">
        <v>1.8292472197526615</v>
      </c>
      <c r="L4412" s="1">
        <v>1.7422555458877063</v>
      </c>
      <c r="M4412" s="1">
        <v>8.1670762551323231E-2</v>
      </c>
      <c r="N4412" s="1">
        <v>1.5318208248520739</v>
      </c>
      <c r="O4412" s="1">
        <v>8.1600000000000006E-2</v>
      </c>
      <c r="P4412" s="1">
        <v>6.4816962453578916E-2</v>
      </c>
      <c r="Q4412" s="1">
        <v>4.7198750605930222</v>
      </c>
      <c r="R4412" s="2">
        <f t="shared" si="275"/>
        <v>139.42894610975432</v>
      </c>
      <c r="S4412" s="2">
        <f t="shared" si="274"/>
        <v>1.9257227254388465</v>
      </c>
      <c r="T4412" s="2">
        <f t="shared" si="276"/>
        <v>3.4373471332911034</v>
      </c>
      <c r="U4412" s="2">
        <f t="shared" si="277"/>
        <v>144.79201596848426</v>
      </c>
    </row>
    <row r="4413" spans="1:21" x14ac:dyDescent="0.25">
      <c r="A4413">
        <v>5175549</v>
      </c>
      <c r="B4413">
        <v>26</v>
      </c>
      <c r="C4413" s="1">
        <f>3.33115948260907*(10.3/7.3)</f>
        <v>4.7001291329963619</v>
      </c>
      <c r="D4413" s="1">
        <f>4.34895452611859*(10.3/7.3)</f>
        <v>6.1361961121947237</v>
      </c>
      <c r="E4413" s="1">
        <f>15.135662340647*(10.3/7.3)</f>
        <v>21.355797549132124</v>
      </c>
      <c r="F4413" s="1">
        <f>40.9972712607804*(38.9/42.5)</f>
        <v>37.524561224573141</v>
      </c>
      <c r="G4413" s="1">
        <v>2.025274546750524</v>
      </c>
      <c r="H4413" s="1">
        <v>7.6576825222737268</v>
      </c>
      <c r="I4413" s="1">
        <v>31.821359610113195</v>
      </c>
      <c r="J4413" s="1">
        <v>3.0636583927694663E-2</v>
      </c>
      <c r="K4413" s="1">
        <v>1.8114929800400246</v>
      </c>
      <c r="L4413" s="1">
        <v>1.7446430348366404</v>
      </c>
      <c r="M4413" s="1">
        <v>8.1800650759524654E-2</v>
      </c>
      <c r="N4413" s="1">
        <v>1.1597109043423133</v>
      </c>
      <c r="O4413" s="1">
        <v>8.2252307692307694E-2</v>
      </c>
      <c r="P4413" s="1">
        <v>6.4771485943565049E-2</v>
      </c>
      <c r="Q4413" s="1">
        <v>3.2367401432086029</v>
      </c>
      <c r="R4413" s="2">
        <f t="shared" si="275"/>
        <v>114.45774084124241</v>
      </c>
      <c r="S4413" s="2">
        <f t="shared" si="274"/>
        <v>1.9069010499112844</v>
      </c>
      <c r="T4413" s="2">
        <f t="shared" si="276"/>
        <v>3.0684068976307861</v>
      </c>
      <c r="U4413" s="2">
        <f t="shared" si="277"/>
        <v>119.43304878878448</v>
      </c>
    </row>
    <row r="4414" spans="1:21" x14ac:dyDescent="0.25">
      <c r="A4414">
        <v>5186849</v>
      </c>
      <c r="B4414">
        <v>67</v>
      </c>
      <c r="C4414" s="1">
        <f>0.690626103619333*(10.3/7.3)</f>
        <v>0.97444505031220974</v>
      </c>
      <c r="D4414" s="1">
        <f>1.00348124328716*(10.3/7.3)</f>
        <v>1.4158707953229863</v>
      </c>
      <c r="E4414" s="1">
        <f>3.47583628168041*(10.3/7.3)</f>
        <v>4.90426215086414</v>
      </c>
      <c r="F4414" s="1">
        <f>9.47832886600639*(38.9/42.5)</f>
        <v>8.6754586561799627</v>
      </c>
      <c r="G4414" s="1">
        <v>0.47610608741508093</v>
      </c>
      <c r="H4414" s="1">
        <v>2.1075808024822282</v>
      </c>
      <c r="I4414" s="1">
        <v>7.1876111102485636</v>
      </c>
      <c r="J4414" s="1">
        <v>3.6383255619169871E-2</v>
      </c>
      <c r="K4414" s="1">
        <v>2.9359685117539822</v>
      </c>
      <c r="L4414" s="1">
        <v>2.1197918470992971</v>
      </c>
      <c r="M4414" s="1">
        <v>0.82005486694472396</v>
      </c>
      <c r="N4414" s="1">
        <v>1.2905185047493382</v>
      </c>
      <c r="O4414" s="1">
        <v>0.37731820895522372</v>
      </c>
      <c r="P4414" s="1">
        <v>0.1922656950236864</v>
      </c>
      <c r="Q4414" s="1">
        <v>0.76090013970446801</v>
      </c>
      <c r="R4414" s="2">
        <f t="shared" si="275"/>
        <v>26.502234792529638</v>
      </c>
      <c r="S4414" s="2">
        <f t="shared" si="274"/>
        <v>3.1646174623968384</v>
      </c>
      <c r="T4414" s="2">
        <f t="shared" si="276"/>
        <v>4.607683427748583</v>
      </c>
      <c r="U4414" s="2">
        <f t="shared" si="277"/>
        <v>34.274535682675058</v>
      </c>
    </row>
    <row r="4415" spans="1:21" x14ac:dyDescent="0.25">
      <c r="A4415">
        <v>5186857</v>
      </c>
      <c r="B4415">
        <v>54</v>
      </c>
      <c r="C4415" s="1">
        <f>0.856917446476341*(10.3/7.3)</f>
        <v>1.2090753011926449</v>
      </c>
      <c r="D4415" s="1">
        <f>1.27538772169455*(10.3/7.3)</f>
        <v>1.7995196621169747</v>
      </c>
      <c r="E4415" s="1">
        <f>4.40254436195251*(10.3/7.3)</f>
        <v>6.2118091682343657</v>
      </c>
      <c r="F4415" s="1">
        <f>12.5695476897686*(38.9/42.5)</f>
        <v>11.504833061929359</v>
      </c>
      <c r="G4415" s="1">
        <v>0.65198764396257813</v>
      </c>
      <c r="H4415" s="1">
        <v>4.4119479671390058</v>
      </c>
      <c r="I4415" s="1">
        <v>9.561321380375297</v>
      </c>
      <c r="J4415" s="1">
        <v>4.5047579799272042E-2</v>
      </c>
      <c r="K4415" s="1">
        <v>3.413996583544292</v>
      </c>
      <c r="L4415" s="1">
        <v>2.5246451299271491</v>
      </c>
      <c r="M4415" s="1">
        <v>1.0625239658220746</v>
      </c>
      <c r="N4415" s="1">
        <v>1.576034844723935</v>
      </c>
      <c r="O4415" s="1">
        <v>0.45121185185185186</v>
      </c>
      <c r="P4415" s="1">
        <v>0.20924558709413757</v>
      </c>
      <c r="Q4415" s="1">
        <v>1.0419893853283222</v>
      </c>
      <c r="R4415" s="2">
        <f t="shared" si="275"/>
        <v>36.392483570278543</v>
      </c>
      <c r="S4415" s="2">
        <f t="shared" si="274"/>
        <v>3.6682897504377014</v>
      </c>
      <c r="T4415" s="2">
        <f t="shared" si="276"/>
        <v>5.6144157923250111</v>
      </c>
      <c r="U4415" s="2">
        <f t="shared" si="277"/>
        <v>45.675189113041256</v>
      </c>
    </row>
    <row r="4416" spans="1:21" x14ac:dyDescent="0.25">
      <c r="A4416">
        <v>5186865</v>
      </c>
      <c r="B4416">
        <v>66</v>
      </c>
      <c r="C4416" s="1">
        <f>0.874316897812523*(10.3/7.3)</f>
        <v>1.233625211982053</v>
      </c>
      <c r="D4416" s="1">
        <f>1.33318511364443*(10.3/7.3)</f>
        <v>1.8810694069229599</v>
      </c>
      <c r="E4416" s="1">
        <f>4.58404516041708*(10.3/7.3)</f>
        <v>6.4678993359309453</v>
      </c>
      <c r="F4416" s="1">
        <f>13.7965336992209*(38.9/42.5)</f>
        <v>12.627886138816343</v>
      </c>
      <c r="G4416" s="1">
        <v>0.74001808541410441</v>
      </c>
      <c r="H4416" s="1">
        <v>6.7172609814735855</v>
      </c>
      <c r="I4416" s="1">
        <v>10.540777434872428</v>
      </c>
      <c r="J4416" s="1">
        <v>5.0316295898891548E-2</v>
      </c>
      <c r="K4416" s="1">
        <v>3.556749776017182</v>
      </c>
      <c r="L4416" s="1">
        <v>2.7682948397728784</v>
      </c>
      <c r="M4416" s="1">
        <v>1.2573980130354443</v>
      </c>
      <c r="N4416" s="1">
        <v>1.849713721255331</v>
      </c>
      <c r="O4416" s="1">
        <v>0.46521212121212113</v>
      </c>
      <c r="P4416" s="1">
        <v>0.21198894310947947</v>
      </c>
      <c r="Q4416" s="1">
        <v>1.1826773054563322</v>
      </c>
      <c r="R4416" s="2">
        <f t="shared" si="275"/>
        <v>41.391213900868749</v>
      </c>
      <c r="S4416" s="2">
        <f t="shared" si="274"/>
        <v>3.8190550150255529</v>
      </c>
      <c r="T4416" s="2">
        <f t="shared" si="276"/>
        <v>6.3406186952757748</v>
      </c>
      <c r="U4416" s="2">
        <f t="shared" si="277"/>
        <v>51.550887611170076</v>
      </c>
    </row>
    <row r="4417" spans="1:21" x14ac:dyDescent="0.25">
      <c r="A4417">
        <v>5187081</v>
      </c>
      <c r="B4417">
        <v>60</v>
      </c>
      <c r="C4417" s="1">
        <f>1.48316566822074*(10.3/7.3)</f>
        <v>2.0926858058457065</v>
      </c>
      <c r="D4417" s="1">
        <f>2.53978379141898*(10.3/7.3)</f>
        <v>3.5835305550158183</v>
      </c>
      <c r="E4417" s="1">
        <f>8.69859044501706*(10.3/7.3)</f>
        <v>12.273353641599421</v>
      </c>
      <c r="F4417" s="1">
        <f>26.1068722641929*(38.9/42.5)</f>
        <v>23.895466613578932</v>
      </c>
      <c r="G4417" s="1">
        <v>1.4114524316732684</v>
      </c>
      <c r="H4417" s="1">
        <v>6.4330415894125368</v>
      </c>
      <c r="I4417" s="1">
        <v>19.520194371558308</v>
      </c>
      <c r="J4417" s="1">
        <v>5.0814062274192891E-2</v>
      </c>
      <c r="K4417" s="1">
        <v>3.2391126143389908</v>
      </c>
      <c r="L4417" s="1">
        <v>4.4484227054603149</v>
      </c>
      <c r="M4417" s="1">
        <v>0.81089296707829983</v>
      </c>
      <c r="N4417" s="1">
        <v>2.3690740185371775</v>
      </c>
      <c r="O4417" s="1">
        <v>0.29502844444444443</v>
      </c>
      <c r="P4417" s="1">
        <v>0.16907626305874743</v>
      </c>
      <c r="Q4417" s="1">
        <v>2.2557458953682406</v>
      </c>
      <c r="R4417" s="2">
        <f t="shared" si="275"/>
        <v>71.465470904052225</v>
      </c>
      <c r="S4417" s="2">
        <f t="shared" si="274"/>
        <v>3.4590029396719308</v>
      </c>
      <c r="T4417" s="2">
        <f t="shared" si="276"/>
        <v>7.9234181355202367</v>
      </c>
      <c r="U4417" s="2">
        <f t="shared" si="277"/>
        <v>82.847891979244395</v>
      </c>
    </row>
    <row r="4418" spans="1:21" x14ac:dyDescent="0.25">
      <c r="A4418">
        <v>5187089</v>
      </c>
      <c r="B4418">
        <v>26</v>
      </c>
      <c r="C4418" s="1">
        <f>2.10993552741121*(10.3/7.3)</f>
        <v>2.9770323194980133</v>
      </c>
      <c r="D4418" s="1">
        <f>3.64654418196218*(10.3/7.3)</f>
        <v>5.1451239827685518</v>
      </c>
      <c r="E4418" s="1">
        <f>12.5010175805683*(10.3/7.3)</f>
        <v>17.638422065733298</v>
      </c>
      <c r="F4418" s="1">
        <f>36.712506504011*(38.9/42.5)</f>
        <v>33.602741247200633</v>
      </c>
      <c r="G4418" s="1">
        <v>1.9620530661053794</v>
      </c>
      <c r="H4418" s="1">
        <v>9.1878753923272072</v>
      </c>
      <c r="I4418" s="1">
        <v>27.287646749170523</v>
      </c>
      <c r="J4418" s="1">
        <v>7.1742130725314088E-2</v>
      </c>
      <c r="K4418" s="1">
        <v>4.0468548893832512</v>
      </c>
      <c r="L4418" s="1">
        <v>5.8481208271460696</v>
      </c>
      <c r="M4418" s="1">
        <v>1.0047091187561943</v>
      </c>
      <c r="N4418" s="1">
        <v>3.0880586471381521</v>
      </c>
      <c r="O4418" s="1">
        <v>0.38039384615384603</v>
      </c>
      <c r="P4418" s="1">
        <v>0.20292172342144546</v>
      </c>
      <c r="Q4418" s="1">
        <v>3.1357012472003811</v>
      </c>
      <c r="R4418" s="2">
        <f t="shared" si="275"/>
        <v>100.93659607000399</v>
      </c>
      <c r="S4418" s="2">
        <f t="shared" si="274"/>
        <v>4.3215187435300102</v>
      </c>
      <c r="T4418" s="2">
        <f t="shared" si="276"/>
        <v>10.321282439194261</v>
      </c>
      <c r="U4418" s="2">
        <f t="shared" si="277"/>
        <v>115.57939725272826</v>
      </c>
    </row>
    <row r="4419" spans="1:21" x14ac:dyDescent="0.25">
      <c r="A4419">
        <v>5187273</v>
      </c>
      <c r="B4419">
        <v>8</v>
      </c>
      <c r="C4419" s="1">
        <f>7.35844112994596*(10.3/7.3)</f>
        <v>10.382458032663472</v>
      </c>
      <c r="D4419" s="1">
        <f>13.631779737585*(10.3/7.3)</f>
        <v>19.233880999606292</v>
      </c>
      <c r="E4419" s="1">
        <f>47.4631117853971*(10.3/7.3)</f>
        <v>66.968500190354845</v>
      </c>
      <c r="F4419" s="1">
        <f>96.4894305169627*(38.9/42.5)</f>
        <v>88.31620816729054</v>
      </c>
      <c r="G4419" s="1">
        <v>3.880455661484647</v>
      </c>
      <c r="H4419" s="1">
        <v>6.9075404797418081</v>
      </c>
      <c r="I4419" s="1">
        <v>64.062651622720153</v>
      </c>
      <c r="J4419" s="1">
        <v>8.8019957938798549E-2</v>
      </c>
      <c r="K4419" s="1">
        <v>3.2775013489293157</v>
      </c>
      <c r="L4419" s="1">
        <v>4.4161862006367025</v>
      </c>
      <c r="M4419" s="1">
        <v>0.33325121331435653</v>
      </c>
      <c r="N4419" s="1">
        <v>2.6886833324437704</v>
      </c>
      <c r="O4419" s="1">
        <v>0.25281333333333333</v>
      </c>
      <c r="P4419" s="1">
        <v>0.16243664323117463</v>
      </c>
      <c r="Q4419" s="1">
        <v>6.2016414681261542</v>
      </c>
      <c r="R4419" s="2">
        <f t="shared" si="275"/>
        <v>265.95333662198789</v>
      </c>
      <c r="S4419" s="2">
        <f t="shared" si="274"/>
        <v>3.5279579500992888</v>
      </c>
      <c r="T4419" s="2">
        <f t="shared" si="276"/>
        <v>7.6909340797281622</v>
      </c>
      <c r="U4419" s="2">
        <f t="shared" si="277"/>
        <v>277.17222865181532</v>
      </c>
    </row>
    <row r="4420" spans="1:21" x14ac:dyDescent="0.25">
      <c r="A4420">
        <v>5187281</v>
      </c>
      <c r="B4420">
        <v>7</v>
      </c>
      <c r="C4420" s="1">
        <f>7.19713294820695*(10.3/7.3)</f>
        <v>10.154858817333094</v>
      </c>
      <c r="D4420" s="1">
        <f>13.0064023136286*(10.3/7.3)</f>
        <v>18.35149915484585</v>
      </c>
      <c r="E4420" s="1">
        <f>45.315421969517*(10.3/7.3)</f>
        <v>63.938198121373318</v>
      </c>
      <c r="F4420" s="1">
        <f>92.3947159565175*(38.9/42.5)</f>
        <v>84.568340016671272</v>
      </c>
      <c r="G4420" s="1">
        <v>3.7147041373846137</v>
      </c>
      <c r="H4420" s="1">
        <v>6.9398716825221936</v>
      </c>
      <c r="I4420" s="1">
        <v>61.811097631483719</v>
      </c>
      <c r="J4420" s="1">
        <v>7.2393905473867912E-2</v>
      </c>
      <c r="K4420" s="1">
        <v>3.7130782505511992</v>
      </c>
      <c r="L4420" s="1">
        <v>5.1416817152157757</v>
      </c>
      <c r="M4420" s="1">
        <v>0.37936484286380606</v>
      </c>
      <c r="N4420" s="1">
        <v>2.8611768798275388</v>
      </c>
      <c r="O4420" s="1">
        <v>0.2828342857142857</v>
      </c>
      <c r="P4420" s="1">
        <v>0.18146557858595655</v>
      </c>
      <c r="Q4420" s="1">
        <v>5.9367417720758722</v>
      </c>
      <c r="R4420" s="2">
        <f t="shared" si="275"/>
        <v>255.41531133368991</v>
      </c>
      <c r="S4420" s="2">
        <f t="shared" si="274"/>
        <v>3.9669377346110237</v>
      </c>
      <c r="T4420" s="2">
        <f t="shared" si="276"/>
        <v>8.6650577236214055</v>
      </c>
      <c r="U4420" s="2">
        <f t="shared" si="277"/>
        <v>268.04730679192238</v>
      </c>
    </row>
    <row r="4421" spans="1:21" x14ac:dyDescent="0.25">
      <c r="A4421">
        <v>5187289</v>
      </c>
      <c r="B4421">
        <v>52</v>
      </c>
      <c r="C4421" s="1">
        <f>6.59632507662065*(10.3/7.3)</f>
        <v>9.3071436012592716</v>
      </c>
      <c r="D4421" s="1">
        <f>11.9887401878143*(10.3/7.3)</f>
        <v>16.915619717053019</v>
      </c>
      <c r="E4421" s="1">
        <f>41.7463413443036*(10.3/7.3)</f>
        <v>58.902372033743418</v>
      </c>
      <c r="F4421" s="1">
        <f>85.9233477812796*(38.9/42.5)</f>
        <v>78.645134792747655</v>
      </c>
      <c r="G4421" s="1">
        <v>3.4926773010066623</v>
      </c>
      <c r="H4421" s="1">
        <v>6.6068053857476352</v>
      </c>
      <c r="I4421" s="1">
        <v>57.575940028370049</v>
      </c>
      <c r="J4421" s="1">
        <v>6.1341711916082849E-2</v>
      </c>
      <c r="K4421" s="1">
        <v>3.5789008127234756</v>
      </c>
      <c r="L4421" s="1">
        <v>4.912656726055185</v>
      </c>
      <c r="M4421" s="1">
        <v>0.35520012706326592</v>
      </c>
      <c r="N4421" s="1">
        <v>3.1847684868878599</v>
      </c>
      <c r="O4421" s="1">
        <v>0.26958769230769231</v>
      </c>
      <c r="P4421" s="1">
        <v>0.17519659212932848</v>
      </c>
      <c r="Q4421" s="1">
        <v>5.5819043623394231</v>
      </c>
      <c r="R4421" s="2">
        <f t="shared" si="275"/>
        <v>237.02759722226713</v>
      </c>
      <c r="S4421" s="2">
        <f t="shared" si="274"/>
        <v>3.815439116768887</v>
      </c>
      <c r="T4421" s="2">
        <f t="shared" si="276"/>
        <v>8.7222130323140021</v>
      </c>
      <c r="U4421" s="2">
        <f t="shared" si="277"/>
        <v>249.56524937135003</v>
      </c>
    </row>
    <row r="4422" spans="1:21" x14ac:dyDescent="0.25">
      <c r="A4422">
        <v>5187297</v>
      </c>
      <c r="B4422">
        <v>58</v>
      </c>
      <c r="C4422" s="1">
        <f>6.99599558579165*(10.3/7.3)</f>
        <v>9.8710622648841042</v>
      </c>
      <c r="D4422" s="1">
        <f>12.8691333524889*(10.3/7.3)</f>
        <v>18.157818291867887</v>
      </c>
      <c r="E4422" s="1">
        <f>44.755103006506*(10.3/7.3)</f>
        <v>63.147611091371431</v>
      </c>
      <c r="F4422" s="1">
        <f>94.1376168394078*(38.9/42.5)</f>
        <v>86.163606942422646</v>
      </c>
      <c r="G4422" s="1">
        <v>3.9206866395937077</v>
      </c>
      <c r="H4422" s="1">
        <v>7.5621713222449713</v>
      </c>
      <c r="I4422" s="1">
        <v>63.336537832990388</v>
      </c>
      <c r="J4422" s="1">
        <v>6.4323164707786096E-2</v>
      </c>
      <c r="K4422" s="1">
        <v>3.76958445923899</v>
      </c>
      <c r="L4422" s="1">
        <v>5.3366916908712394</v>
      </c>
      <c r="M4422" s="1">
        <v>0.371347636437865</v>
      </c>
      <c r="N4422" s="1">
        <v>2.9667255050793728</v>
      </c>
      <c r="O4422" s="1">
        <v>0.28214712643678158</v>
      </c>
      <c r="P4422" s="1">
        <v>0.18203668221490515</v>
      </c>
      <c r="Q4422" s="1">
        <v>6.2659375518620974</v>
      </c>
      <c r="R4422" s="2">
        <f t="shared" si="275"/>
        <v>258.42543193723725</v>
      </c>
      <c r="S4422" s="2">
        <f t="shared" si="274"/>
        <v>4.0159443061616811</v>
      </c>
      <c r="T4422" s="2">
        <f t="shared" si="276"/>
        <v>8.956911958825259</v>
      </c>
      <c r="U4422" s="2">
        <f t="shared" si="277"/>
        <v>271.39828820222419</v>
      </c>
    </row>
    <row r="4423" spans="1:21" x14ac:dyDescent="0.25">
      <c r="A4423">
        <v>5187305</v>
      </c>
      <c r="B4423">
        <v>57</v>
      </c>
      <c r="C4423" s="1">
        <f>5.061995385784*(10.3/7.3)</f>
        <v>7.1422674621335904</v>
      </c>
      <c r="D4423" s="1">
        <f>10.0838330505938*(10.3/7.3)</f>
        <v>14.227874030289888</v>
      </c>
      <c r="E4423" s="1">
        <f>34.755156438055*(10.3/7.3)</f>
        <v>49.038097439995369</v>
      </c>
      <c r="F4423" s="1">
        <f>84.733424151629*(38.9/42.5)</f>
        <v>77.556004694079277</v>
      </c>
      <c r="G4423" s="1">
        <v>4.0538475803525369</v>
      </c>
      <c r="H4423" s="1">
        <v>10.150273931539378</v>
      </c>
      <c r="I4423" s="1">
        <v>58.606152515758389</v>
      </c>
      <c r="J4423" s="1">
        <v>5.0718195646148219E-2</v>
      </c>
      <c r="K4423" s="1">
        <v>3.1635213624627934</v>
      </c>
      <c r="L4423" s="1">
        <v>4.1575977308341816</v>
      </c>
      <c r="M4423" s="1">
        <v>0.29743065408501024</v>
      </c>
      <c r="N4423" s="1">
        <v>2.4666104483871423</v>
      </c>
      <c r="O4423" s="1">
        <v>0.23132631578947363</v>
      </c>
      <c r="P4423" s="1">
        <v>0.15547989342913987</v>
      </c>
      <c r="Q4423" s="1">
        <v>6.47875184074607</v>
      </c>
      <c r="R4423" s="2">
        <f t="shared" si="275"/>
        <v>227.25326949489448</v>
      </c>
      <c r="S4423" s="2">
        <f t="shared" si="274"/>
        <v>3.3697194515380815</v>
      </c>
      <c r="T4423" s="2">
        <f t="shared" si="276"/>
        <v>7.1529651490958077</v>
      </c>
      <c r="U4423" s="2">
        <f t="shared" si="277"/>
        <v>237.77595409552839</v>
      </c>
    </row>
    <row r="4424" spans="1:21" x14ac:dyDescent="0.25">
      <c r="A4424">
        <v>5187313</v>
      </c>
      <c r="B4424">
        <v>12</v>
      </c>
      <c r="C4424" s="1">
        <f>4.18737452843474*(10.3/7.3)</f>
        <v>5.908213375736687</v>
      </c>
      <c r="D4424" s="1">
        <f>9.85498067786052*(10.3/7.3)</f>
        <v>13.904972737255253</v>
      </c>
      <c r="E4424" s="1">
        <f>33.2683559173478*(10.3/7.3)</f>
        <v>46.940283006668864</v>
      </c>
      <c r="F4424" s="1">
        <f>109.000205790969*(38.9/42.5)</f>
        <v>99.767247182792559</v>
      </c>
      <c r="G4424" s="1">
        <v>6.2831917474590524</v>
      </c>
      <c r="H4424" s="1">
        <v>10.365019710407863</v>
      </c>
      <c r="I4424" s="1">
        <v>79.242715527241515</v>
      </c>
      <c r="J4424" s="1">
        <v>4.526579048137936E-2</v>
      </c>
      <c r="K4424" s="1">
        <v>2.8360751887291613</v>
      </c>
      <c r="L4424" s="1">
        <v>3.5431271772852946</v>
      </c>
      <c r="M4424" s="1">
        <v>0.25166949395089067</v>
      </c>
      <c r="N4424" s="1">
        <v>2.0550977556455794</v>
      </c>
      <c r="O4424" s="1">
        <v>0.2021911111111111</v>
      </c>
      <c r="P4424" s="1">
        <v>0.1401178008984971</v>
      </c>
      <c r="Q4424" s="1">
        <v>10.041630646624066</v>
      </c>
      <c r="R4424" s="2">
        <f t="shared" si="275"/>
        <v>272.45327393418586</v>
      </c>
      <c r="S4424" s="2">
        <f t="shared" si="274"/>
        <v>3.0214587801090378</v>
      </c>
      <c r="T4424" s="2">
        <f t="shared" si="276"/>
        <v>6.052085537992876</v>
      </c>
      <c r="U4424" s="2">
        <f t="shared" si="277"/>
        <v>281.52681825228774</v>
      </c>
    </row>
    <row r="4425" spans="1:21" x14ac:dyDescent="0.25">
      <c r="A4425">
        <v>5187321</v>
      </c>
      <c r="B4425">
        <v>15</v>
      </c>
      <c r="C4425" s="1">
        <f>4.92790520835558*(10.3/7.3)</f>
        <v>6.9530717323373228</v>
      </c>
      <c r="D4425" s="1">
        <f>10.4181494326125*(10.3/7.3)</f>
        <v>14.699580706288828</v>
      </c>
      <c r="E4425" s="1">
        <f>35.4512094143839*(10.3/7.3)</f>
        <v>50.020199584678693</v>
      </c>
      <c r="F4425" s="1">
        <f>106.617896694876*(38.9/42.5)</f>
        <v>97.586733680721636</v>
      </c>
      <c r="G4425" s="1">
        <v>5.8558002323057279</v>
      </c>
      <c r="H4425" s="1">
        <v>10.51281949454677</v>
      </c>
      <c r="I4425" s="1">
        <v>77.101742408670262</v>
      </c>
      <c r="J4425" s="1">
        <v>5.2709077072166592E-2</v>
      </c>
      <c r="K4425" s="1">
        <v>3.1002266956662461</v>
      </c>
      <c r="L4425" s="1">
        <v>4.1216261843694904</v>
      </c>
      <c r="M4425" s="1">
        <v>0.2785009180202912</v>
      </c>
      <c r="N4425" s="1">
        <v>2.2870944058986624</v>
      </c>
      <c r="O4425" s="1">
        <v>0.22386844444444443</v>
      </c>
      <c r="P4425" s="1">
        <v>0.15056317041581213</v>
      </c>
      <c r="Q4425" s="1">
        <v>9.3585848461507162</v>
      </c>
      <c r="R4425" s="2">
        <f t="shared" si="275"/>
        <v>272.08853268569999</v>
      </c>
      <c r="S4425" s="2">
        <f t="shared" ref="S4425:S4488" si="278">J4425+K4425+P4425</f>
        <v>3.3034989431542248</v>
      </c>
      <c r="T4425" s="2">
        <f t="shared" si="276"/>
        <v>6.9110899527328877</v>
      </c>
      <c r="U4425" s="2">
        <f t="shared" si="277"/>
        <v>282.30312158158711</v>
      </c>
    </row>
    <row r="4426" spans="1:21" x14ac:dyDescent="0.25">
      <c r="A4426">
        <v>5187329</v>
      </c>
      <c r="B4426">
        <v>10</v>
      </c>
      <c r="C4426" s="1">
        <f>4.74652311955572*(10.3/7.3)</f>
        <v>6.6971490590991669</v>
      </c>
      <c r="D4426" s="1">
        <f>9.10267762867139*(10.3/7.3)</f>
        <v>12.843504051413062</v>
      </c>
      <c r="E4426" s="1">
        <f>31.2648771711651*(10.3/7.3)</f>
        <v>44.113456830547989</v>
      </c>
      <c r="F4426" s="1">
        <f>83.5351192293658*(38.9/42.5)</f>
        <v>76.459203247584199</v>
      </c>
      <c r="G4426" s="1">
        <v>4.24877237034889</v>
      </c>
      <c r="H4426" s="1">
        <v>10.972118520711758</v>
      </c>
      <c r="I4426" s="1">
        <v>59.653175475851967</v>
      </c>
      <c r="J4426" s="1">
        <v>5.0181824914367325E-2</v>
      </c>
      <c r="K4426" s="1">
        <v>2.9453718279095442</v>
      </c>
      <c r="L4426" s="1">
        <v>3.8009072952317262</v>
      </c>
      <c r="M4426" s="1">
        <v>0.25462151388328902</v>
      </c>
      <c r="N4426" s="1">
        <v>2.2495013296280333</v>
      </c>
      <c r="O4426" s="1">
        <v>0.21047466666666664</v>
      </c>
      <c r="P4426" s="1">
        <v>0.14339664765806467</v>
      </c>
      <c r="Q4426" s="1">
        <v>6.7902754777265431</v>
      </c>
      <c r="R4426" s="2">
        <f t="shared" ref="R4426:R4489" si="279">C4426+D4426+E4426+F4426+G4426+H4426+I4426+Q4426</f>
        <v>221.77765503328357</v>
      </c>
      <c r="S4426" s="2">
        <f t="shared" si="278"/>
        <v>3.1389503004819761</v>
      </c>
      <c r="T4426" s="2">
        <f t="shared" ref="T4426:T4489" si="280">L4426+M4426+N4426+O4426</f>
        <v>6.5155048054097158</v>
      </c>
      <c r="U4426" s="2">
        <f t="shared" ref="U4426:U4489" si="281">R4426+S4426+T4426</f>
        <v>231.43211013917525</v>
      </c>
    </row>
    <row r="4427" spans="1:21" x14ac:dyDescent="0.25">
      <c r="A4427">
        <v>5187337</v>
      </c>
      <c r="B4427">
        <v>67</v>
      </c>
      <c r="C4427" s="1">
        <f>6.85692040938538*(10.3/7.3)</f>
        <v>9.6748329063930747</v>
      </c>
      <c r="D4427" s="1">
        <f>12.306932778653*(10.3/7.3)</f>
        <v>17.364576386318635</v>
      </c>
      <c r="E4427" s="1">
        <f>42.5186917783656*(10.3/7.3)</f>
        <v>59.992126755776127</v>
      </c>
      <c r="F4427" s="1">
        <f>105.333549689138*(38.9/42.5)</f>
        <v>96.411178421352147</v>
      </c>
      <c r="G4427" s="1">
        <v>5.0499565064507879</v>
      </c>
      <c r="H4427" s="1">
        <v>8.2757851995388982</v>
      </c>
      <c r="I4427" s="1">
        <v>74.753161720281241</v>
      </c>
      <c r="J4427" s="1">
        <v>6.3415503459820249E-2</v>
      </c>
      <c r="K4427" s="1">
        <v>3.6633359163113139</v>
      </c>
      <c r="L4427" s="1">
        <v>5.2399664119034242</v>
      </c>
      <c r="M4427" s="1">
        <v>0.32493144029822585</v>
      </c>
      <c r="N4427" s="1">
        <v>2.7284927870369908</v>
      </c>
      <c r="O4427" s="1">
        <v>0.26358288557213927</v>
      </c>
      <c r="P4427" s="1">
        <v>0.1715793049307649</v>
      </c>
      <c r="Q4427" s="1">
        <v>8.0707067454693036</v>
      </c>
      <c r="R4427" s="2">
        <f t="shared" si="279"/>
        <v>279.59232464158021</v>
      </c>
      <c r="S4427" s="2">
        <f t="shared" si="278"/>
        <v>3.898330724701899</v>
      </c>
      <c r="T4427" s="2">
        <f t="shared" si="280"/>
        <v>8.5569735248107808</v>
      </c>
      <c r="U4427" s="2">
        <f t="shared" si="281"/>
        <v>292.04762889109287</v>
      </c>
    </row>
    <row r="4428" spans="1:21" x14ac:dyDescent="0.25">
      <c r="A4428">
        <v>5187345</v>
      </c>
      <c r="B4428">
        <v>67</v>
      </c>
      <c r="C4428" s="1">
        <f>6.76817267232323*(10.3/7.3)</f>
        <v>9.5496134965656534</v>
      </c>
      <c r="D4428" s="1">
        <f>11.3327141319437*(10.3/7.3)</f>
        <v>15.989993912194564</v>
      </c>
      <c r="E4428" s="1">
        <f>39.4396442536903*(10.3/7.3)</f>
        <v>55.647717234658913</v>
      </c>
      <c r="F4428" s="1">
        <f>87.6656448860953*(38.9/42.5)</f>
        <v>80.23984908397901</v>
      </c>
      <c r="G4428" s="1">
        <v>3.8063440830849653</v>
      </c>
      <c r="H4428" s="1">
        <v>6.6045145739383635</v>
      </c>
      <c r="I4428" s="1">
        <v>61.414002152012877</v>
      </c>
      <c r="J4428" s="1">
        <v>5.9076795952364786E-2</v>
      </c>
      <c r="K4428" s="1">
        <v>3.5686128565536253</v>
      </c>
      <c r="L4428" s="1">
        <v>5.0580091944896006</v>
      </c>
      <c r="M4428" s="1">
        <v>0.3099578318441451</v>
      </c>
      <c r="N4428" s="1">
        <v>2.5983236276636941</v>
      </c>
      <c r="O4428" s="1">
        <v>0.25304756218905472</v>
      </c>
      <c r="P4428" s="1">
        <v>0.16637688598614811</v>
      </c>
      <c r="Q4428" s="1">
        <v>6.0831983063001775</v>
      </c>
      <c r="R4428" s="2">
        <f t="shared" si="279"/>
        <v>239.33523284273451</v>
      </c>
      <c r="S4428" s="2">
        <f t="shared" si="278"/>
        <v>3.7940665384921379</v>
      </c>
      <c r="T4428" s="2">
        <f t="shared" si="280"/>
        <v>8.219338216186495</v>
      </c>
      <c r="U4428" s="2">
        <f t="shared" si="281"/>
        <v>251.34863759741313</v>
      </c>
    </row>
    <row r="4429" spans="1:21" x14ac:dyDescent="0.25">
      <c r="A4429">
        <v>5187353</v>
      </c>
      <c r="B4429">
        <v>67</v>
      </c>
      <c r="C4429" s="1">
        <f>6.77970530075786*(10.3/7.3)</f>
        <v>9.5658855613432774</v>
      </c>
      <c r="D4429" s="1">
        <f>11.1062467857284*(10.3/7.3)</f>
        <v>15.670457793561965</v>
      </c>
      <c r="E4429" s="1">
        <f>38.7199013907428*(10.3/7.3)</f>
        <v>54.632189633513754</v>
      </c>
      <c r="F4429" s="1">
        <f>84.0754257835282*(38.9/42.5)</f>
        <v>76.953742658335244</v>
      </c>
      <c r="G4429" s="1">
        <v>3.558716967660652</v>
      </c>
      <c r="H4429" s="1">
        <v>6.4702514050360627</v>
      </c>
      <c r="I4429" s="1">
        <v>58.850462720952436</v>
      </c>
      <c r="J4429" s="1">
        <v>5.8371537489075448E-2</v>
      </c>
      <c r="K4429" s="1">
        <v>3.5415749508818601</v>
      </c>
      <c r="L4429" s="1">
        <v>5.0010760879516543</v>
      </c>
      <c r="M4429" s="1">
        <v>0.30040890737374809</v>
      </c>
      <c r="N4429" s="1">
        <v>2.5691566248661095</v>
      </c>
      <c r="O4429" s="1">
        <v>0.24852935323383085</v>
      </c>
      <c r="P4429" s="1">
        <v>0.16420885827845444</v>
      </c>
      <c r="Q4429" s="1">
        <v>5.6874472085900916</v>
      </c>
      <c r="R4429" s="2">
        <f t="shared" si="279"/>
        <v>231.38915394899348</v>
      </c>
      <c r="S4429" s="2">
        <f t="shared" si="278"/>
        <v>3.7641553466493902</v>
      </c>
      <c r="T4429" s="2">
        <f t="shared" si="280"/>
        <v>8.1191709734253426</v>
      </c>
      <c r="U4429" s="2">
        <f t="shared" si="281"/>
        <v>243.27248026906824</v>
      </c>
    </row>
    <row r="4430" spans="1:21" x14ac:dyDescent="0.25">
      <c r="A4430">
        <v>5187361</v>
      </c>
      <c r="B4430">
        <v>67</v>
      </c>
      <c r="C4430" s="1">
        <f>7.16467513828268*(10.3/7.3)</f>
        <v>10.109062181412552</v>
      </c>
      <c r="D4430" s="1">
        <f>11.5659856069344*(10.3/7.3)</f>
        <v>16.319130376907431</v>
      </c>
      <c r="E4430" s="1">
        <f>40.3599022495715*(10.3/7.3)</f>
        <v>56.946163448025523</v>
      </c>
      <c r="F4430" s="1">
        <f>86.8021258322844*(38.9/42.5)</f>
        <v>79.449475173549757</v>
      </c>
      <c r="G4430" s="1">
        <v>3.6316294850587574</v>
      </c>
      <c r="H4430" s="1">
        <v>6.6559035762254641</v>
      </c>
      <c r="I4430" s="1">
        <v>60.835959537894333</v>
      </c>
      <c r="J4430" s="1">
        <v>6.0520498532208797E-2</v>
      </c>
      <c r="K4430" s="1">
        <v>3.6190372662525174</v>
      </c>
      <c r="L4430" s="1">
        <v>5.1550260752339332</v>
      </c>
      <c r="M4430" s="1">
        <v>0.30215921751578056</v>
      </c>
      <c r="N4430" s="1">
        <v>2.6406071195817664</v>
      </c>
      <c r="O4430" s="1">
        <v>0.25141094527363178</v>
      </c>
      <c r="P4430" s="1">
        <v>0.16572278051890965</v>
      </c>
      <c r="Q4430" s="1">
        <v>5.8039740628793002</v>
      </c>
      <c r="R4430" s="2">
        <f t="shared" si="279"/>
        <v>239.75129784195309</v>
      </c>
      <c r="S4430" s="2">
        <f t="shared" si="278"/>
        <v>3.8452805453036358</v>
      </c>
      <c r="T4430" s="2">
        <f t="shared" si="280"/>
        <v>8.349203357605111</v>
      </c>
      <c r="U4430" s="2">
        <f t="shared" si="281"/>
        <v>251.94578174486185</v>
      </c>
    </row>
    <row r="4431" spans="1:21" x14ac:dyDescent="0.25">
      <c r="A4431">
        <v>5187369</v>
      </c>
      <c r="B4431">
        <v>67</v>
      </c>
      <c r="C4431" s="1">
        <f>7.18601644554058*(10.3/7.3)</f>
        <v>10.139173888913421</v>
      </c>
      <c r="D4431" s="1">
        <f>11.4996515498484*(10.3/7.3)</f>
        <v>16.225535748416192</v>
      </c>
      <c r="E4431" s="1">
        <f>40.1463728930886*(10.3/7.3)</f>
        <v>56.64488230120719</v>
      </c>
      <c r="F4431" s="1">
        <f>86.062701210255*(38.9/42.5)</f>
        <v>78.772684166562783</v>
      </c>
      <c r="G4431" s="1">
        <v>3.584275583467238</v>
      </c>
      <c r="H4431" s="1">
        <v>6.7228346182286671</v>
      </c>
      <c r="I4431" s="1">
        <v>60.406371178612424</v>
      </c>
      <c r="J4431" s="1">
        <v>6.1016510052007825E-2</v>
      </c>
      <c r="K4431" s="1">
        <v>3.5911104976411372</v>
      </c>
      <c r="L4431" s="1">
        <v>5.101674489273055</v>
      </c>
      <c r="M4431" s="1">
        <v>0.28159065768585212</v>
      </c>
      <c r="N4431" s="1">
        <v>2.6414405514288499</v>
      </c>
      <c r="O4431" s="1">
        <v>0.24637293532338303</v>
      </c>
      <c r="P4431" s="1">
        <v>0.16275071994107129</v>
      </c>
      <c r="Q4431" s="1">
        <v>5.7282943114773266</v>
      </c>
      <c r="R4431" s="2">
        <f t="shared" si="279"/>
        <v>238.22405179688525</v>
      </c>
      <c r="S4431" s="2">
        <f t="shared" si="278"/>
        <v>3.8148777276342161</v>
      </c>
      <c r="T4431" s="2">
        <f t="shared" si="280"/>
        <v>8.2710786337111397</v>
      </c>
      <c r="U4431" s="2">
        <f t="shared" si="281"/>
        <v>250.3100081582306</v>
      </c>
    </row>
    <row r="4432" spans="1:21" x14ac:dyDescent="0.25">
      <c r="A4432">
        <v>5187377</v>
      </c>
      <c r="B4432">
        <v>67</v>
      </c>
      <c r="C4432" s="1">
        <f>5.69930607931721*(10.3/7.3)</f>
        <v>8.0414866598585313</v>
      </c>
      <c r="D4432" s="1">
        <f>9.00549457066821*(10.3/7.3)</f>
        <v>12.706382750394868</v>
      </c>
      <c r="E4432" s="1">
        <f>31.4497763694689*(10.3/7.3)</f>
        <v>44.374342000757458</v>
      </c>
      <c r="F4432" s="1">
        <f>67.5990773905196*(38.9/42.5)</f>
        <v>61.873037893910862</v>
      </c>
      <c r="G4432" s="1">
        <v>2.817661236802476</v>
      </c>
      <c r="H4432" s="1">
        <v>5.9237230987612373</v>
      </c>
      <c r="I4432" s="1">
        <v>47.64574404917461</v>
      </c>
      <c r="J4432" s="1">
        <v>5.1827757318652405E-2</v>
      </c>
      <c r="K4432" s="1">
        <v>3.1113138424672586</v>
      </c>
      <c r="L4432" s="1">
        <v>4.1692042088545866</v>
      </c>
      <c r="M4432" s="1">
        <v>0.24050207593919964</v>
      </c>
      <c r="N4432" s="1">
        <v>2.3294108274850953</v>
      </c>
      <c r="O4432" s="1">
        <v>0.20858825870646769</v>
      </c>
      <c r="P4432" s="1">
        <v>0.14249083148349595</v>
      </c>
      <c r="Q4432" s="1">
        <v>4.503111565666063</v>
      </c>
      <c r="R4432" s="2">
        <f t="shared" si="279"/>
        <v>187.88548925532609</v>
      </c>
      <c r="S4432" s="2">
        <f t="shared" si="278"/>
        <v>3.305632431269407</v>
      </c>
      <c r="T4432" s="2">
        <f t="shared" si="280"/>
        <v>6.9477053709853491</v>
      </c>
      <c r="U4432" s="2">
        <f t="shared" si="281"/>
        <v>198.13882705758084</v>
      </c>
    </row>
    <row r="4433" spans="1:21" x14ac:dyDescent="0.25">
      <c r="A4433">
        <v>5187385</v>
      </c>
      <c r="B4433">
        <v>7</v>
      </c>
      <c r="C4433" s="1">
        <f>4.66325737241044*(10.3/7.3)</f>
        <v>6.5796645117572012</v>
      </c>
      <c r="D4433" s="1">
        <f>7.27722683359044*(10.3/7.3)</f>
        <v>10.267867998079666</v>
      </c>
      <c r="E4433" s="1">
        <f>25.4047430123491*(10.3/7.3)</f>
        <v>35.845048359889837</v>
      </c>
      <c r="F4433" s="1">
        <f>55.6636848545093*(38.9/42.5)</f>
        <v>50.948643313892084</v>
      </c>
      <c r="G4433" s="1">
        <v>2.3607952599132589</v>
      </c>
      <c r="H4433" s="1">
        <v>6.8674113987398089</v>
      </c>
      <c r="I4433" s="1">
        <v>39.565558349995122</v>
      </c>
      <c r="J4433" s="1">
        <v>4.5534425690675638E-2</v>
      </c>
      <c r="K4433" s="1">
        <v>2.7319297393676338</v>
      </c>
      <c r="L4433" s="1">
        <v>3.4581817095063956</v>
      </c>
      <c r="M4433" s="1">
        <v>0.20845967494821979</v>
      </c>
      <c r="N4433" s="1">
        <v>2.0116699071691193</v>
      </c>
      <c r="O4433" s="1">
        <v>0.18080761904761905</v>
      </c>
      <c r="P4433" s="1">
        <v>0.12628661541649502</v>
      </c>
      <c r="Q4433" s="1">
        <v>3.7729604610485907</v>
      </c>
      <c r="R4433" s="2">
        <f t="shared" si="279"/>
        <v>156.20794965331558</v>
      </c>
      <c r="S4433" s="2">
        <f t="shared" si="278"/>
        <v>2.9037507804748044</v>
      </c>
      <c r="T4433" s="2">
        <f t="shared" si="280"/>
        <v>5.8591189106713539</v>
      </c>
      <c r="U4433" s="2">
        <f t="shared" si="281"/>
        <v>164.97081934446175</v>
      </c>
    </row>
    <row r="4434" spans="1:21" x14ac:dyDescent="0.25">
      <c r="A4434">
        <v>5187441</v>
      </c>
      <c r="B4434">
        <v>1</v>
      </c>
      <c r="C4434" s="1">
        <f>3.86701515186172*(10.3/7.3)</f>
        <v>5.4561994608459887</v>
      </c>
      <c r="D4434" s="1">
        <f>6.32645472265271*(10.3/7.3)</f>
        <v>8.9263676223729966</v>
      </c>
      <c r="E4434" s="1">
        <f>21.7416103885926*(10.3/7.3)</f>
        <v>30.67651876746632</v>
      </c>
      <c r="F4434" s="1">
        <f>63.1837043764041*(38.9/42.5)</f>
        <v>57.831672946873375</v>
      </c>
      <c r="G4434" s="1">
        <v>3.3411644640689007</v>
      </c>
      <c r="H4434" s="1">
        <v>7.8871339354124448</v>
      </c>
      <c r="I4434" s="1">
        <v>47.336255150004561</v>
      </c>
      <c r="J4434" s="1">
        <v>4.3034572505708704E-2</v>
      </c>
      <c r="K4434" s="1">
        <v>2.2094054270186203</v>
      </c>
      <c r="L4434" s="1">
        <v>2.7045911684290878</v>
      </c>
      <c r="M4434" s="1">
        <v>0.14804877141222494</v>
      </c>
      <c r="N4434" s="1">
        <v>1.7189092994098278</v>
      </c>
      <c r="O4434" s="1">
        <v>0.12970666666666666</v>
      </c>
      <c r="P4434" s="1">
        <v>9.9029685530309594E-2</v>
      </c>
      <c r="Q4434" s="1">
        <v>5.3397605590142305</v>
      </c>
      <c r="R4434" s="2">
        <f t="shared" si="279"/>
        <v>166.79507290605881</v>
      </c>
      <c r="S4434" s="2">
        <f t="shared" si="278"/>
        <v>2.3514696850546386</v>
      </c>
      <c r="T4434" s="2">
        <f t="shared" si="280"/>
        <v>4.7012559059178072</v>
      </c>
      <c r="U4434" s="2">
        <f t="shared" si="281"/>
        <v>173.84779849703125</v>
      </c>
    </row>
    <row r="4435" spans="1:21" x14ac:dyDescent="0.25">
      <c r="A4435">
        <v>5187449</v>
      </c>
      <c r="B4435">
        <v>20</v>
      </c>
      <c r="C4435" s="1">
        <f>4.13528459830692*(10.3/7.3)</f>
        <v>5.8347166250083964</v>
      </c>
      <c r="D4435" s="1">
        <f>6.04699028239805*(10.3/7.3)</f>
        <v>8.5320547820136845</v>
      </c>
      <c r="E4435" s="1">
        <f>21.0231263827458*(10.3/7.3)</f>
        <v>29.662767361956448</v>
      </c>
      <c r="F4435" s="1">
        <f>53.0844716481349*(38.9/42.5)</f>
        <v>48.587904637939914</v>
      </c>
      <c r="G4435" s="1">
        <v>2.5248645526162301</v>
      </c>
      <c r="H4435" s="1">
        <v>6.2932476269144857</v>
      </c>
      <c r="I4435" s="1">
        <v>39.615214303684226</v>
      </c>
      <c r="J4435" s="1">
        <v>3.8898721803547961E-2</v>
      </c>
      <c r="K4435" s="1">
        <v>2.2761304909277476</v>
      </c>
      <c r="L4435" s="1">
        <v>3.0587056915987971</v>
      </c>
      <c r="M4435" s="1">
        <v>0.1512147094983754</v>
      </c>
      <c r="N4435" s="1">
        <v>1.9954657344799434</v>
      </c>
      <c r="O4435" s="1">
        <v>0.13083200000000003</v>
      </c>
      <c r="P4435" s="1">
        <v>9.9692520721142194E-2</v>
      </c>
      <c r="Q4435" s="1">
        <v>4.0351716594323337</v>
      </c>
      <c r="R4435" s="2">
        <f t="shared" si="279"/>
        <v>145.08594154956572</v>
      </c>
      <c r="S4435" s="2">
        <f t="shared" si="278"/>
        <v>2.414721733452438</v>
      </c>
      <c r="T4435" s="2">
        <f t="shared" si="280"/>
        <v>5.3362181355771163</v>
      </c>
      <c r="U4435" s="2">
        <f t="shared" si="281"/>
        <v>152.83688141859528</v>
      </c>
    </row>
    <row r="4436" spans="1:21" x14ac:dyDescent="0.25">
      <c r="A4436">
        <v>5187761</v>
      </c>
      <c r="B4436">
        <v>13</v>
      </c>
      <c r="C4436" s="1">
        <f>4.53899470553344*(10.3/7.3)</f>
        <v>6.4043349954786848</v>
      </c>
      <c r="D4436" s="1">
        <f>5.83257081733749*(10.3/7.3)</f>
        <v>8.2295177285720786</v>
      </c>
      <c r="E4436" s="1">
        <f>20.3589215026708*(10.3/7.3)</f>
        <v>28.725601572261535</v>
      </c>
      <c r="F4436" s="1">
        <f>52.801923459602*(38.9/42.5)</f>
        <v>48.329289943023916</v>
      </c>
      <c r="G4436" s="1">
        <v>2.5220913910631264</v>
      </c>
      <c r="H4436" s="1">
        <v>10.131003385521266</v>
      </c>
      <c r="I4436" s="1">
        <v>40.86539677610979</v>
      </c>
      <c r="J4436" s="1">
        <v>3.8384673988375403E-2</v>
      </c>
      <c r="K4436" s="1">
        <v>2.1502091543613187</v>
      </c>
      <c r="L4436" s="1">
        <v>2.0875508016251958</v>
      </c>
      <c r="M4436" s="1">
        <v>9.5523684209795193E-2</v>
      </c>
      <c r="N4436" s="1">
        <v>1.619833453367356</v>
      </c>
      <c r="O4436" s="1">
        <v>9.600410256410255E-2</v>
      </c>
      <c r="P4436" s="1">
        <v>7.3520228258252815E-2</v>
      </c>
      <c r="Q4436" s="1">
        <v>4.030739666082626</v>
      </c>
      <c r="R4436" s="2">
        <f t="shared" si="279"/>
        <v>149.23797545811306</v>
      </c>
      <c r="S4436" s="2">
        <f t="shared" si="278"/>
        <v>2.2621140566079472</v>
      </c>
      <c r="T4436" s="2">
        <f t="shared" si="280"/>
        <v>3.8989120417664496</v>
      </c>
      <c r="U4436" s="2">
        <f t="shared" si="281"/>
        <v>155.39900155648743</v>
      </c>
    </row>
    <row r="4437" spans="1:21" x14ac:dyDescent="0.25">
      <c r="A4437">
        <v>5187785</v>
      </c>
      <c r="B4437">
        <v>4</v>
      </c>
      <c r="C4437" s="1">
        <f>3.39892270596353*(10.3/7.3)</f>
        <v>4.7957402563595073</v>
      </c>
      <c r="D4437" s="1">
        <f>4.39858455611257*(10.3/7.3)</f>
        <v>6.2062220449259504</v>
      </c>
      <c r="E4437" s="1">
        <f>15.330997375177*(10.3/7.3)</f>
        <v>21.631407255386762</v>
      </c>
      <c r="F4437" s="1">
        <f>40.6686472429837*(38.9/42.5)</f>
        <v>37.223773594166289</v>
      </c>
      <c r="G4437" s="1">
        <v>1.9771775260638946</v>
      </c>
      <c r="H4437" s="1">
        <v>8.4397035829317577</v>
      </c>
      <c r="I4437" s="1">
        <v>31.531073037086038</v>
      </c>
      <c r="J4437" s="1">
        <v>2.9564522178418991E-2</v>
      </c>
      <c r="K4437" s="1">
        <v>1.8113932074588179</v>
      </c>
      <c r="L4437" s="1">
        <v>1.7493242734472105</v>
      </c>
      <c r="M4437" s="1">
        <v>8.3291762884136852E-2</v>
      </c>
      <c r="N4437" s="1">
        <v>1.145187023147036</v>
      </c>
      <c r="O4437" s="1">
        <v>8.3093333333333338E-2</v>
      </c>
      <c r="P4437" s="1">
        <v>6.5148669155140865E-2</v>
      </c>
      <c r="Q4437" s="1">
        <v>3.1598727585496063</v>
      </c>
      <c r="R4437" s="2">
        <f t="shared" si="279"/>
        <v>114.96497005546981</v>
      </c>
      <c r="S4437" s="2">
        <f t="shared" si="278"/>
        <v>1.9061063987923779</v>
      </c>
      <c r="T4437" s="2">
        <f t="shared" si="280"/>
        <v>3.0608963928117165</v>
      </c>
      <c r="U4437" s="2">
        <f t="shared" si="281"/>
        <v>119.93197284707389</v>
      </c>
    </row>
    <row r="4438" spans="1:21" x14ac:dyDescent="0.25">
      <c r="A4438">
        <v>5199077</v>
      </c>
      <c r="B4438">
        <v>1</v>
      </c>
      <c r="C4438" s="1">
        <f>0.433739777564879*(10.3/7.3)</f>
        <v>0.6119890012216791</v>
      </c>
      <c r="D4438" s="1">
        <f>0.611167067128258*(10.3/7.3)</f>
        <v>0.86233161526315916</v>
      </c>
      <c r="E4438" s="1">
        <f>2.12446702638753*(10.3/7.3)</f>
        <v>2.9975356673686999</v>
      </c>
      <c r="F4438" s="1">
        <f>5.54022691170343*(38.9/42.5)</f>
        <v>5.0709371027120769</v>
      </c>
      <c r="G4438" s="1">
        <v>0.26877382731190103</v>
      </c>
      <c r="H4438" s="1">
        <v>1.2875376650100467</v>
      </c>
      <c r="I4438" s="1">
        <v>4.196585666119808</v>
      </c>
      <c r="J4438" s="1">
        <v>3.0525607829428952E-2</v>
      </c>
      <c r="K4438" s="1">
        <v>2.40398434522064</v>
      </c>
      <c r="L4438" s="1">
        <v>1.8799133043351077</v>
      </c>
      <c r="M4438" s="1">
        <v>0.69376803402220111</v>
      </c>
      <c r="N4438" s="1">
        <v>1.0786798093378864</v>
      </c>
      <c r="O4438" s="1">
        <v>0.30159999999999998</v>
      </c>
      <c r="P4438" s="1">
        <v>0.16153553172276644</v>
      </c>
      <c r="Q4438" s="1">
        <v>0.42954721259892903</v>
      </c>
      <c r="R4438" s="2">
        <f t="shared" si="279"/>
        <v>15.725237757606301</v>
      </c>
      <c r="S4438" s="2">
        <f t="shared" si="278"/>
        <v>2.5960454847728354</v>
      </c>
      <c r="T4438" s="2">
        <f t="shared" si="280"/>
        <v>3.9539611476951957</v>
      </c>
      <c r="U4438" s="2">
        <f t="shared" si="281"/>
        <v>22.275244390074334</v>
      </c>
    </row>
    <row r="4439" spans="1:21" x14ac:dyDescent="0.25">
      <c r="A4439">
        <v>5199085</v>
      </c>
      <c r="B4439">
        <v>55</v>
      </c>
      <c r="C4439" s="1">
        <f>0.772686105120171*(10.3/7.3)</f>
        <v>1.0902283401010628</v>
      </c>
      <c r="D4439" s="1">
        <f>1.13436995226068*(10.3/7.3)</f>
        <v>1.6005493846965795</v>
      </c>
      <c r="E4439" s="1">
        <f>3.92484972272593*(10.3/7.3)</f>
        <v>5.5378016635721989</v>
      </c>
      <c r="F4439" s="1">
        <f>10.8450533095462*(38.9/42.5)</f>
        <v>9.9264134997963875</v>
      </c>
      <c r="G4439" s="1">
        <v>0.55015773642198118</v>
      </c>
      <c r="H4439" s="1">
        <v>2.4877940607998839</v>
      </c>
      <c r="I4439" s="1">
        <v>8.2251900523839758</v>
      </c>
      <c r="J4439" s="1">
        <v>3.9554528231515861E-2</v>
      </c>
      <c r="K4439" s="1">
        <v>3.1601885803298422</v>
      </c>
      <c r="L4439" s="1">
        <v>2.2727699294094426</v>
      </c>
      <c r="M4439" s="1">
        <v>0.93529578492952281</v>
      </c>
      <c r="N4439" s="1">
        <v>1.3946692665324492</v>
      </c>
      <c r="O4439" s="1">
        <v>0.40931490909090912</v>
      </c>
      <c r="P4439" s="1">
        <v>0.19926589263663966</v>
      </c>
      <c r="Q4439" s="1">
        <v>0.87924752396207106</v>
      </c>
      <c r="R4439" s="2">
        <f t="shared" si="279"/>
        <v>30.297382261734139</v>
      </c>
      <c r="S4439" s="2">
        <f t="shared" si="278"/>
        <v>3.3990090011979976</v>
      </c>
      <c r="T4439" s="2">
        <f t="shared" si="280"/>
        <v>5.0120498899623236</v>
      </c>
      <c r="U4439" s="2">
        <f t="shared" si="281"/>
        <v>38.708441152894466</v>
      </c>
    </row>
    <row r="4440" spans="1:21" x14ac:dyDescent="0.25">
      <c r="A4440">
        <v>5199093</v>
      </c>
      <c r="B4440">
        <v>55</v>
      </c>
      <c r="C4440" s="1">
        <f>0.776828339910506*(10.3/7.3)</f>
        <v>1.0960728631613983</v>
      </c>
      <c r="D4440" s="1">
        <f>1.14354884018289*(10.3/7.3)</f>
        <v>1.6135004183402462</v>
      </c>
      <c r="E4440" s="1">
        <f>3.95373482144655*(10.3/7.3)</f>
        <v>5.5785573508081399</v>
      </c>
      <c r="F4440" s="1">
        <f>11.0508480082222*(38.9/42.5)</f>
        <v>10.1147761769375</v>
      </c>
      <c r="G4440" s="1">
        <v>0.56495078256610132</v>
      </c>
      <c r="H4440" s="1">
        <v>3.1357556433797571</v>
      </c>
      <c r="I4440" s="1">
        <v>8.39364319758152</v>
      </c>
      <c r="J4440" s="1">
        <v>4.264034030208351E-2</v>
      </c>
      <c r="K4440" s="1">
        <v>3.3127401168375643</v>
      </c>
      <c r="L4440" s="1">
        <v>2.3712729642327894</v>
      </c>
      <c r="M4440" s="1">
        <v>1.0892622308528606</v>
      </c>
      <c r="N4440" s="1">
        <v>1.5414107023106356</v>
      </c>
      <c r="O4440" s="1">
        <v>0.42214303030303013</v>
      </c>
      <c r="P4440" s="1">
        <v>0.20308122216085678</v>
      </c>
      <c r="Q4440" s="1">
        <v>0.90288937853029994</v>
      </c>
      <c r="R4440" s="2">
        <f t="shared" si="279"/>
        <v>31.400145811304963</v>
      </c>
      <c r="S4440" s="2">
        <f t="shared" si="278"/>
        <v>3.5584616793005046</v>
      </c>
      <c r="T4440" s="2">
        <f t="shared" si="280"/>
        <v>5.4240889276993158</v>
      </c>
      <c r="U4440" s="2">
        <f t="shared" si="281"/>
        <v>40.382696418304782</v>
      </c>
    </row>
    <row r="4441" spans="1:21" x14ac:dyDescent="0.25">
      <c r="A4441">
        <v>5199101</v>
      </c>
      <c r="B4441">
        <v>43</v>
      </c>
      <c r="C4441" s="1">
        <f>0.706189898591069*(10.3/7.3)</f>
        <v>0.99640492540931591</v>
      </c>
      <c r="D4441" s="1">
        <f>1.09347756709423*(10.3/7.3)</f>
        <v>1.5428519097356932</v>
      </c>
      <c r="E4441" s="1">
        <f>3.75269526721605*(10.3/7.3)</f>
        <v>5.2948988016883982</v>
      </c>
      <c r="F4441" s="1">
        <f>11.5518537002604*(38.9/42.5)</f>
        <v>10.573343739767717</v>
      </c>
      <c r="G4441" s="1">
        <v>0.62825180350385501</v>
      </c>
      <c r="H4441" s="1">
        <v>4.3393141698455935</v>
      </c>
      <c r="I4441" s="1">
        <v>8.8344606110538422</v>
      </c>
      <c r="J4441" s="1">
        <v>4.3531520741088979E-2</v>
      </c>
      <c r="K4441" s="1">
        <v>3.1125683687036796</v>
      </c>
      <c r="L4441" s="1">
        <v>2.3428531085754947</v>
      </c>
      <c r="M4441" s="1">
        <v>1.1842107708441421</v>
      </c>
      <c r="N4441" s="1">
        <v>1.7519883454623639</v>
      </c>
      <c r="O4441" s="1">
        <v>0.38548341085271326</v>
      </c>
      <c r="P4441" s="1">
        <v>0.1870280270579657</v>
      </c>
      <c r="Q4441" s="1">
        <v>1.0040553937276233</v>
      </c>
      <c r="R4441" s="2">
        <f t="shared" si="279"/>
        <v>33.213581354732042</v>
      </c>
      <c r="S4441" s="2">
        <f t="shared" si="278"/>
        <v>3.3431279165027346</v>
      </c>
      <c r="T4441" s="2">
        <f t="shared" si="280"/>
        <v>5.6645356357347145</v>
      </c>
      <c r="U4441" s="2">
        <f t="shared" si="281"/>
        <v>42.221244906969496</v>
      </c>
    </row>
    <row r="4442" spans="1:21" x14ac:dyDescent="0.25">
      <c r="A4442">
        <v>5199309</v>
      </c>
      <c r="B4442">
        <v>48</v>
      </c>
      <c r="C4442" s="1">
        <f>1.48729628616672*(10.3/7.3)</f>
        <v>2.0985139380160511</v>
      </c>
      <c r="D4442" s="1">
        <f>2.64480350630747*(10.3/7.3)</f>
        <v>3.7317090568447862</v>
      </c>
      <c r="E4442" s="1">
        <f>9.01665973180263*(10.3/7.3)</f>
        <v>12.722136333913298</v>
      </c>
      <c r="F4442" s="1">
        <f>28.6280240953681*(38.9/42.5)</f>
        <v>26.203062054348639</v>
      </c>
      <c r="G4442" s="1">
        <v>1.5990142710477144</v>
      </c>
      <c r="H4442" s="1">
        <v>7.3903391117372159</v>
      </c>
      <c r="I4442" s="1">
        <v>21.502683033524914</v>
      </c>
      <c r="J4442" s="1">
        <v>5.2167891792964695E-2</v>
      </c>
      <c r="K4442" s="1">
        <v>3.3685585164709462</v>
      </c>
      <c r="L4442" s="1">
        <v>4.6953540424667812</v>
      </c>
      <c r="M4442" s="1">
        <v>0.88737315442919151</v>
      </c>
      <c r="N4442" s="1">
        <v>2.5472691836086789</v>
      </c>
      <c r="O4442" s="1">
        <v>0.30670666666666663</v>
      </c>
      <c r="P4442" s="1">
        <v>0.17397898575215817</v>
      </c>
      <c r="Q4442" s="1">
        <v>2.5555022596653001</v>
      </c>
      <c r="R4442" s="2">
        <f t="shared" si="279"/>
        <v>77.802960059097927</v>
      </c>
      <c r="S4442" s="2">
        <f t="shared" si="278"/>
        <v>3.5947053940160689</v>
      </c>
      <c r="T4442" s="2">
        <f t="shared" si="280"/>
        <v>8.4367030471713189</v>
      </c>
      <c r="U4442" s="2">
        <f t="shared" si="281"/>
        <v>89.834368500285322</v>
      </c>
    </row>
    <row r="4443" spans="1:21" x14ac:dyDescent="0.25">
      <c r="A4443">
        <v>5199317</v>
      </c>
      <c r="B4443">
        <v>27</v>
      </c>
      <c r="C4443" s="1">
        <f>1.35451667705888*(10.3/7.3)</f>
        <v>1.9111673662611639</v>
      </c>
      <c r="D4443" s="1">
        <f>2.30826885639409*(10.3/7.3)</f>
        <v>3.2568724960081035</v>
      </c>
      <c r="E4443" s="1">
        <f>7.90771467179369*(10.3/7.3)</f>
        <v>11.157460427325338</v>
      </c>
      <c r="F4443" s="1">
        <f>23.6937543867338*(38.9/42.5)</f>
        <v>21.686754015151685</v>
      </c>
      <c r="G4443" s="1">
        <v>1.279321294805573</v>
      </c>
      <c r="H4443" s="1">
        <v>6.7908277924561951</v>
      </c>
      <c r="I4443" s="1">
        <v>17.725146837454318</v>
      </c>
      <c r="J4443" s="1">
        <v>4.7414501717326335E-2</v>
      </c>
      <c r="K4443" s="1">
        <v>3.0669136749995007</v>
      </c>
      <c r="L4443" s="1">
        <v>4.004803679456324</v>
      </c>
      <c r="M4443" s="1">
        <v>0.7395466664253747</v>
      </c>
      <c r="N4443" s="1">
        <v>2.3303899117519369</v>
      </c>
      <c r="O4443" s="1">
        <v>0.27336888888888888</v>
      </c>
      <c r="P4443" s="1">
        <v>0.16100795873639018</v>
      </c>
      <c r="Q4443" s="1">
        <v>2.0445774117897306</v>
      </c>
      <c r="R4443" s="2">
        <f t="shared" si="279"/>
        <v>65.85212764125211</v>
      </c>
      <c r="S4443" s="2">
        <f t="shared" si="278"/>
        <v>3.2753361354532169</v>
      </c>
      <c r="T4443" s="2">
        <f t="shared" si="280"/>
        <v>7.3481091465225248</v>
      </c>
      <c r="U4443" s="2">
        <f t="shared" si="281"/>
        <v>76.475572923227844</v>
      </c>
    </row>
    <row r="4444" spans="1:21" x14ac:dyDescent="0.25">
      <c r="A4444">
        <v>5199509</v>
      </c>
      <c r="B4444">
        <v>63</v>
      </c>
      <c r="C4444" s="1">
        <f>8.26689416443493*(10.3/7.3)</f>
        <v>11.66424793064107</v>
      </c>
      <c r="D4444" s="1">
        <f>13.7943385875479*(10.3/7.3)</f>
        <v>19.463244856403136</v>
      </c>
      <c r="E4444" s="1">
        <f>48.2159975023372*(10.3/7.3)</f>
        <v>68.030790996448346</v>
      </c>
      <c r="F4444" s="1">
        <f>96.840069148994*(38.9/42.5)</f>
        <v>88.637145644608609</v>
      </c>
      <c r="G4444" s="1">
        <v>3.7822658883554543</v>
      </c>
      <c r="H4444" s="1">
        <v>7.121742196121688</v>
      </c>
      <c r="I4444" s="1">
        <v>65.910419168978905</v>
      </c>
      <c r="J4444" s="1">
        <v>8.3303519095879325E-2</v>
      </c>
      <c r="K4444" s="1">
        <v>3.8775514307898695</v>
      </c>
      <c r="L4444" s="1">
        <v>5.4097654030761628</v>
      </c>
      <c r="M4444" s="1">
        <v>0.4004744966819988</v>
      </c>
      <c r="N4444" s="1">
        <v>3.3462701751706985</v>
      </c>
      <c r="O4444" s="1">
        <v>0.29602793650793657</v>
      </c>
      <c r="P4444" s="1">
        <v>0.18835199180283155</v>
      </c>
      <c r="Q4444" s="1">
        <v>6.044717173170822</v>
      </c>
      <c r="R4444" s="2">
        <f t="shared" si="279"/>
        <v>270.65457385472797</v>
      </c>
      <c r="S4444" s="2">
        <f t="shared" si="278"/>
        <v>4.1492069416885808</v>
      </c>
      <c r="T4444" s="2">
        <f t="shared" si="280"/>
        <v>9.4525380114367969</v>
      </c>
      <c r="U4444" s="2">
        <f t="shared" si="281"/>
        <v>284.25631880785335</v>
      </c>
    </row>
    <row r="4445" spans="1:21" x14ac:dyDescent="0.25">
      <c r="A4445">
        <v>5199517</v>
      </c>
      <c r="B4445">
        <v>50</v>
      </c>
      <c r="C4445" s="1">
        <f>7.45761578982994*(10.3/7.3)</f>
        <v>10.522389402088816</v>
      </c>
      <c r="D4445" s="1">
        <f>13.559692968395*(10.3/7.3)</f>
        <v>19.132169530749145</v>
      </c>
      <c r="E4445" s="1">
        <f>47.2224765760084*(10.3/7.3)</f>
        <v>66.628973799025601</v>
      </c>
      <c r="F4445" s="1">
        <f>96.8667814353172*(38.9/42.5)</f>
        <v>88.661595243149165</v>
      </c>
      <c r="G4445" s="1">
        <v>3.9234970270839153</v>
      </c>
      <c r="H4445" s="1">
        <v>7.1540470060834789</v>
      </c>
      <c r="I4445" s="1">
        <v>64.828856539434312</v>
      </c>
      <c r="J4445" s="1">
        <v>6.8901142609711891E-2</v>
      </c>
      <c r="K4445" s="1">
        <v>3.8390073483666987</v>
      </c>
      <c r="L4445" s="1">
        <v>5.4222797553012398</v>
      </c>
      <c r="M4445" s="1">
        <v>0.39047520277381054</v>
      </c>
      <c r="N4445" s="1">
        <v>3.2364079493522957</v>
      </c>
      <c r="O4445" s="1">
        <v>0.29175679999999993</v>
      </c>
      <c r="P4445" s="1">
        <v>0.18633846967654288</v>
      </c>
      <c r="Q4445" s="1">
        <v>6.2704290387185946</v>
      </c>
      <c r="R4445" s="2">
        <f t="shared" si="279"/>
        <v>267.12195758633305</v>
      </c>
      <c r="S4445" s="2">
        <f t="shared" si="278"/>
        <v>4.0942469606529537</v>
      </c>
      <c r="T4445" s="2">
        <f t="shared" si="280"/>
        <v>9.3409197074273465</v>
      </c>
      <c r="U4445" s="2">
        <f t="shared" si="281"/>
        <v>280.5571242544134</v>
      </c>
    </row>
    <row r="4446" spans="1:21" x14ac:dyDescent="0.25">
      <c r="A4446">
        <v>5199525</v>
      </c>
      <c r="B4446">
        <v>51</v>
      </c>
      <c r="C4446" s="1">
        <f>6.71041255069932*(10.3/7.3)</f>
        <v>9.4681163386579517</v>
      </c>
      <c r="D4446" s="1">
        <f>12.281110771888*(10.3/7.3)</f>
        <v>17.328142595951512</v>
      </c>
      <c r="E4446" s="1">
        <f>42.7375576356095*(10.3/7.3)</f>
        <v>60.300937485860018</v>
      </c>
      <c r="F4446" s="1">
        <f>88.8497969383421*(38.9/42.5)</f>
        <v>81.323696491800192</v>
      </c>
      <c r="G4446" s="1">
        <v>3.6536031247404246</v>
      </c>
      <c r="H4446" s="1">
        <v>6.8832282714885649</v>
      </c>
      <c r="I4446" s="1">
        <v>59.627188370652789</v>
      </c>
      <c r="J4446" s="1">
        <v>6.3378488119581675E-2</v>
      </c>
      <c r="K4446" s="1">
        <v>3.7111061133917538</v>
      </c>
      <c r="L4446" s="1">
        <v>5.1726861832911188</v>
      </c>
      <c r="M4446" s="1">
        <v>0.36901194999144993</v>
      </c>
      <c r="N4446" s="1">
        <v>3.0744129416029096</v>
      </c>
      <c r="O4446" s="1">
        <v>0.27919372549019594</v>
      </c>
      <c r="P4446" s="1">
        <v>0.18032258902505213</v>
      </c>
      <c r="Q4446" s="1">
        <v>5.8390917518682661</v>
      </c>
      <c r="R4446" s="2">
        <f t="shared" si="279"/>
        <v>244.42400443101971</v>
      </c>
      <c r="S4446" s="2">
        <f t="shared" si="278"/>
        <v>3.9548071905363877</v>
      </c>
      <c r="T4446" s="2">
        <f t="shared" si="280"/>
        <v>8.8953048003756745</v>
      </c>
      <c r="U4446" s="2">
        <f t="shared" si="281"/>
        <v>257.27411642193181</v>
      </c>
    </row>
    <row r="4447" spans="1:21" x14ac:dyDescent="0.25">
      <c r="A4447">
        <v>5199533</v>
      </c>
      <c r="B4447">
        <v>61</v>
      </c>
      <c r="C4447" s="1">
        <f>5.84721754510513*(10.3/7.3)</f>
        <v>8.2501836595318938</v>
      </c>
      <c r="D4447" s="1">
        <f>10.8950200520777*(10.3/7.3)</f>
        <v>15.372425552931482</v>
      </c>
      <c r="E4447" s="1">
        <f>37.8397546592327*(10.3/7.3)</f>
        <v>53.390338765766735</v>
      </c>
      <c r="F4447" s="1">
        <f>81.357726599244*(38.9/42.5)</f>
        <v>74.466248581425731</v>
      </c>
      <c r="G4447" s="1">
        <v>3.4689861585864614</v>
      </c>
      <c r="H4447" s="1">
        <v>9.090292461362866</v>
      </c>
      <c r="I4447" s="1">
        <v>54.953366403484416</v>
      </c>
      <c r="J4447" s="1">
        <v>5.6582913420354951E-2</v>
      </c>
      <c r="K4447" s="1">
        <v>3.4293479242469584</v>
      </c>
      <c r="L4447" s="1">
        <v>4.6656305409436225</v>
      </c>
      <c r="M4447" s="1">
        <v>0.33040302912070757</v>
      </c>
      <c r="N4447" s="1">
        <v>2.6797067892203792</v>
      </c>
      <c r="O4447" s="1">
        <v>0.25437202185792357</v>
      </c>
      <c r="P4447" s="1">
        <v>0.16744018979031158</v>
      </c>
      <c r="Q4447" s="1">
        <v>5.5440418059601049</v>
      </c>
      <c r="R4447" s="2">
        <f t="shared" si="279"/>
        <v>224.53588338904967</v>
      </c>
      <c r="S4447" s="2">
        <f t="shared" si="278"/>
        <v>3.653371027457625</v>
      </c>
      <c r="T4447" s="2">
        <f t="shared" si="280"/>
        <v>7.9301123811426324</v>
      </c>
      <c r="U4447" s="2">
        <f t="shared" si="281"/>
        <v>236.11936679764995</v>
      </c>
    </row>
    <row r="4448" spans="1:21" x14ac:dyDescent="0.25">
      <c r="A4448">
        <v>5199541</v>
      </c>
      <c r="B4448">
        <v>35</v>
      </c>
      <c r="C4448" s="1">
        <f>4.72448051299287*(10.3/7.3)</f>
        <v>6.6660478470995246</v>
      </c>
      <c r="D4448" s="1">
        <f>9.0741801984189*(10.3/7.3)</f>
        <v>12.803295348454062</v>
      </c>
      <c r="E4448" s="1">
        <f>31.381130041706*(10.3/7.3)</f>
        <v>44.277484853366012</v>
      </c>
      <c r="F4448" s="1">
        <f>72.8218280121596*(38.9/42.5)</f>
        <v>66.653390815835536</v>
      </c>
      <c r="G4448" s="1">
        <v>3.3377003702580947</v>
      </c>
      <c r="H4448" s="1">
        <v>11.545562488393548</v>
      </c>
      <c r="I4448" s="1">
        <v>50.017069548400094</v>
      </c>
      <c r="J4448" s="1">
        <v>4.9460965213212457E-2</v>
      </c>
      <c r="K4448" s="1">
        <v>3.1198516050340266</v>
      </c>
      <c r="L4448" s="1">
        <v>4.0523139378205988</v>
      </c>
      <c r="M4448" s="1">
        <v>0.28959656777980641</v>
      </c>
      <c r="N4448" s="1">
        <v>2.3040164532708234</v>
      </c>
      <c r="O4448" s="1">
        <v>0.22721676190476192</v>
      </c>
      <c r="P4448" s="1">
        <v>0.15387592998229077</v>
      </c>
      <c r="Q4448" s="1">
        <v>5.3342243360289237</v>
      </c>
      <c r="R4448" s="2">
        <f t="shared" si="279"/>
        <v>200.63477560783576</v>
      </c>
      <c r="S4448" s="2">
        <f t="shared" si="278"/>
        <v>3.3231885002295298</v>
      </c>
      <c r="T4448" s="2">
        <f t="shared" si="280"/>
        <v>6.8731437207759907</v>
      </c>
      <c r="U4448" s="2">
        <f t="shared" si="281"/>
        <v>210.83110782884128</v>
      </c>
    </row>
    <row r="4449" spans="1:21" x14ac:dyDescent="0.25">
      <c r="A4449">
        <v>5199549</v>
      </c>
      <c r="B4449">
        <v>3</v>
      </c>
      <c r="C4449" s="1">
        <f>4.2179102336199*(10.3/7.3)</f>
        <v>5.9512980008609571</v>
      </c>
      <c r="D4449" s="1">
        <f>9.15076081142778*(10.3/7.3)</f>
        <v>12.911347446261113</v>
      </c>
      <c r="E4449" s="1">
        <f>31.1635131176158*(10.3/7.3)</f>
        <v>43.970436316635961</v>
      </c>
      <c r="F4449" s="1">
        <f>91.3230984093012*(38.9/42.5)</f>
        <v>83.587494779336879</v>
      </c>
      <c r="G4449" s="1">
        <v>4.9538074279403075</v>
      </c>
      <c r="H4449" s="1">
        <v>9.4345528875333997</v>
      </c>
      <c r="I4449" s="1">
        <v>65.380943536313467</v>
      </c>
      <c r="J4449" s="1">
        <v>4.4864807726322231E-2</v>
      </c>
      <c r="K4449" s="1">
        <v>2.7922772474217381</v>
      </c>
      <c r="L4449" s="1">
        <v>3.4600798569748155</v>
      </c>
      <c r="M4449" s="1">
        <v>0.24205850933654224</v>
      </c>
      <c r="N4449" s="1">
        <v>1.999892292882014</v>
      </c>
      <c r="O4449" s="1">
        <v>0.20053333333333331</v>
      </c>
      <c r="P4449" s="1">
        <v>0.13753096084264571</v>
      </c>
      <c r="Q4449" s="1">
        <v>7.9170438346078038</v>
      </c>
      <c r="R4449" s="2">
        <f t="shared" si="279"/>
        <v>234.10692422948989</v>
      </c>
      <c r="S4449" s="2">
        <f t="shared" si="278"/>
        <v>2.9746730159907062</v>
      </c>
      <c r="T4449" s="2">
        <f t="shared" si="280"/>
        <v>5.9025639925267051</v>
      </c>
      <c r="U4449" s="2">
        <f t="shared" si="281"/>
        <v>242.98416123800729</v>
      </c>
    </row>
    <row r="4450" spans="1:21" x14ac:dyDescent="0.25">
      <c r="A4450">
        <v>5199557</v>
      </c>
      <c r="B4450">
        <v>50</v>
      </c>
      <c r="C4450" s="1">
        <f>6.13022868543097*(10.3/7.3)</f>
        <v>8.6495007479368446</v>
      </c>
      <c r="D4450" s="1">
        <f>11.9668177183943*(10.3/7.3)</f>
        <v>16.884688013624864</v>
      </c>
      <c r="E4450" s="1">
        <f>41.0492967774377*(10.3/7.3)</f>
        <v>57.918870795562789</v>
      </c>
      <c r="F4450" s="1">
        <f>111.284271307869*(38.9/42.5)</f>
        <v>101.85783891473176</v>
      </c>
      <c r="G4450" s="1">
        <v>5.7216958619945242</v>
      </c>
      <c r="H4450" s="1">
        <v>9.534631256520786</v>
      </c>
      <c r="I4450" s="1">
        <v>79.503640872099837</v>
      </c>
      <c r="J4450" s="1">
        <v>6.1079051075505257E-2</v>
      </c>
      <c r="K4450" s="1">
        <v>3.4975849566897255</v>
      </c>
      <c r="L4450" s="1">
        <v>4.916660725907315</v>
      </c>
      <c r="M4450" s="1">
        <v>0.31950580265013967</v>
      </c>
      <c r="N4450" s="1">
        <v>2.6389038076494318</v>
      </c>
      <c r="O4450" s="1">
        <v>0.25492160000000008</v>
      </c>
      <c r="P4450" s="1">
        <v>0.16692659608849386</v>
      </c>
      <c r="Q4450" s="1">
        <v>9.1442627931419427</v>
      </c>
      <c r="R4450" s="2">
        <f t="shared" si="279"/>
        <v>289.21512925561336</v>
      </c>
      <c r="S4450" s="2">
        <f t="shared" si="278"/>
        <v>3.7255906038537243</v>
      </c>
      <c r="T4450" s="2">
        <f t="shared" si="280"/>
        <v>8.1299919362068866</v>
      </c>
      <c r="U4450" s="2">
        <f t="shared" si="281"/>
        <v>301.07071179567396</v>
      </c>
    </row>
    <row r="4451" spans="1:21" x14ac:dyDescent="0.25">
      <c r="A4451">
        <v>5199565</v>
      </c>
      <c r="B4451">
        <v>51</v>
      </c>
      <c r="C4451" s="1">
        <f>6.29665765026202*(10.3/7.3)</f>
        <v>8.8843251777669625</v>
      </c>
      <c r="D4451" s="1">
        <f>11.9671192745564*(10.3/7.3)</f>
        <v>16.885113496976889</v>
      </c>
      <c r="E4451" s="1">
        <f>41.0939070797716*(10.3/7.3)</f>
        <v>57.981814098855835</v>
      </c>
      <c r="F4451" s="1">
        <f>110.848109063803*(38.9/42.5)</f>
        <v>101.45862217839843</v>
      </c>
      <c r="G4451" s="1">
        <v>5.6687704233117335</v>
      </c>
      <c r="H4451" s="1">
        <v>10.212741144931416</v>
      </c>
      <c r="I4451" s="1">
        <v>79.475313797028932</v>
      </c>
      <c r="J4451" s="1">
        <v>6.0598940058382643E-2</v>
      </c>
      <c r="K4451" s="1">
        <v>3.4923370481302118</v>
      </c>
      <c r="L4451" s="1">
        <v>4.8917865976403014</v>
      </c>
      <c r="M4451" s="1">
        <v>0.3117833261603738</v>
      </c>
      <c r="N4451" s="1">
        <v>2.5912326530074985</v>
      </c>
      <c r="O4451" s="1">
        <v>0.25210039215686275</v>
      </c>
      <c r="P4451" s="1">
        <v>0.16555938061174347</v>
      </c>
      <c r="Q4451" s="1">
        <v>9.059678758717391</v>
      </c>
      <c r="R4451" s="2">
        <f t="shared" si="279"/>
        <v>289.62637907598759</v>
      </c>
      <c r="S4451" s="2">
        <f t="shared" si="278"/>
        <v>3.7184953688003382</v>
      </c>
      <c r="T4451" s="2">
        <f t="shared" si="280"/>
        <v>8.0469029689650355</v>
      </c>
      <c r="U4451" s="2">
        <f t="shared" si="281"/>
        <v>301.39177741375295</v>
      </c>
    </row>
    <row r="4452" spans="1:21" x14ac:dyDescent="0.25">
      <c r="A4452">
        <v>5199573</v>
      </c>
      <c r="B4452">
        <v>55</v>
      </c>
      <c r="C4452" s="1">
        <f>5.00594143580427*(10.3/7.3)</f>
        <v>7.0631776422991699</v>
      </c>
      <c r="D4452" s="1">
        <f>8.5782690176596*(10.3/7.3)</f>
        <v>12.103585052314234</v>
      </c>
      <c r="E4452" s="1">
        <f>29.7968471769414*(10.3/7.3)</f>
        <v>42.042126838698188</v>
      </c>
      <c r="F4452" s="1">
        <f>67.9364064174726*(38.9/42.5)</f>
        <v>62.181793167992581</v>
      </c>
      <c r="G4452" s="1">
        <v>3.0276681545133033</v>
      </c>
      <c r="H4452" s="1">
        <v>5.5901909264537428</v>
      </c>
      <c r="I4452" s="1">
        <v>47.653641444181716</v>
      </c>
      <c r="J4452" s="1">
        <v>4.7912096650051632E-2</v>
      </c>
      <c r="K4452" s="1">
        <v>3.0249577057324979</v>
      </c>
      <c r="L4452" s="1">
        <v>3.9886528542428001</v>
      </c>
      <c r="M4452" s="1">
        <v>0.25810823083058965</v>
      </c>
      <c r="N4452" s="1">
        <v>2.1530533282461919</v>
      </c>
      <c r="O4452" s="1">
        <v>0.21350206060606056</v>
      </c>
      <c r="P4452" s="1">
        <v>0.14574972198783734</v>
      </c>
      <c r="Q4452" s="1">
        <v>4.8387390597244613</v>
      </c>
      <c r="R4452" s="2">
        <f t="shared" si="279"/>
        <v>184.5009222861774</v>
      </c>
      <c r="S4452" s="2">
        <f t="shared" si="278"/>
        <v>3.218619524370387</v>
      </c>
      <c r="T4452" s="2">
        <f t="shared" si="280"/>
        <v>6.613316473925642</v>
      </c>
      <c r="U4452" s="2">
        <f t="shared" si="281"/>
        <v>194.33285828447342</v>
      </c>
    </row>
    <row r="4453" spans="1:21" x14ac:dyDescent="0.25">
      <c r="A4453">
        <v>5199581</v>
      </c>
      <c r="B4453">
        <v>55</v>
      </c>
      <c r="C4453" s="1">
        <f>6.01183825628798*(10.3/7.3)</f>
        <v>8.4824567177761931</v>
      </c>
      <c r="D4453" s="1">
        <f>9.98329627606432*(10.3/7.3)</f>
        <v>14.086020773077054</v>
      </c>
      <c r="E4453" s="1">
        <f>34.7738284371811*(10.3/7.3)</f>
        <v>49.064442863419934</v>
      </c>
      <c r="F4453" s="1">
        <f>76.2536681515519*(38.9/42.5)</f>
        <v>69.79453390812634</v>
      </c>
      <c r="G4453" s="1">
        <v>3.2648680069020095</v>
      </c>
      <c r="H4453" s="1">
        <v>6.0680361789755572</v>
      </c>
      <c r="I4453" s="1">
        <v>53.331785739874896</v>
      </c>
      <c r="J4453" s="1">
        <v>5.3991450396757186E-2</v>
      </c>
      <c r="K4453" s="1">
        <v>3.3386999421292272</v>
      </c>
      <c r="L4453" s="1">
        <v>4.6007044249705764</v>
      </c>
      <c r="M4453" s="1">
        <v>0.28687058167810414</v>
      </c>
      <c r="N4453" s="1">
        <v>2.3997428082353949</v>
      </c>
      <c r="O4453" s="1">
        <v>0.23530472727272725</v>
      </c>
      <c r="P4453" s="1">
        <v>0.15687696072939697</v>
      </c>
      <c r="Q4453" s="1">
        <v>5.2178255818068715</v>
      </c>
      <c r="R4453" s="2">
        <f t="shared" si="279"/>
        <v>209.30996976995885</v>
      </c>
      <c r="S4453" s="2">
        <f t="shared" si="278"/>
        <v>3.5495683532553812</v>
      </c>
      <c r="T4453" s="2">
        <f t="shared" si="280"/>
        <v>7.5226225421568031</v>
      </c>
      <c r="U4453" s="2">
        <f t="shared" si="281"/>
        <v>220.38216066537103</v>
      </c>
    </row>
    <row r="4454" spans="1:21" x14ac:dyDescent="0.25">
      <c r="A4454">
        <v>5199589</v>
      </c>
      <c r="B4454">
        <v>55</v>
      </c>
      <c r="C4454" s="1">
        <f>6.96474778313379*(10.3/7.3)</f>
        <v>9.8269728994901389</v>
      </c>
      <c r="D4454" s="1">
        <f>11.3705911863933*(10.3/7.3)</f>
        <v>16.043436879431631</v>
      </c>
      <c r="E4454" s="1">
        <f>39.6540265865757*(10.3/7.3)</f>
        <v>55.950201896127346</v>
      </c>
      <c r="F4454" s="1">
        <f>85.7071129288902*(38.9/42.5)</f>
        <v>78.447216304325394</v>
      </c>
      <c r="G4454" s="1">
        <v>3.6094798493599831</v>
      </c>
      <c r="H4454" s="1">
        <v>6.5778232856728458</v>
      </c>
      <c r="I4454" s="1">
        <v>59.969846634570025</v>
      </c>
      <c r="J4454" s="1">
        <v>5.9322303000689469E-2</v>
      </c>
      <c r="K4454" s="1">
        <v>3.586187218742598</v>
      </c>
      <c r="L4454" s="1">
        <v>5.0919601454331147</v>
      </c>
      <c r="M4454" s="1">
        <v>0.30215401922911422</v>
      </c>
      <c r="N4454" s="1">
        <v>2.5997738742042316</v>
      </c>
      <c r="O4454" s="1">
        <v>0.25115927272727268</v>
      </c>
      <c r="P4454" s="1">
        <v>0.16540515879968096</v>
      </c>
      <c r="Q4454" s="1">
        <v>5.7685751017168752</v>
      </c>
      <c r="R4454" s="2">
        <f t="shared" si="279"/>
        <v>236.19355285069423</v>
      </c>
      <c r="S4454" s="2">
        <f t="shared" si="278"/>
        <v>3.8109146805429681</v>
      </c>
      <c r="T4454" s="2">
        <f t="shared" si="280"/>
        <v>8.2450473115937335</v>
      </c>
      <c r="U4454" s="2">
        <f t="shared" si="281"/>
        <v>248.24951484283093</v>
      </c>
    </row>
    <row r="4455" spans="1:21" x14ac:dyDescent="0.25">
      <c r="A4455">
        <v>5199597</v>
      </c>
      <c r="B4455">
        <v>55</v>
      </c>
      <c r="C4455" s="1">
        <f>7.04216122703008*(10.3/7.3)</f>
        <v>9.9362000874534075</v>
      </c>
      <c r="D4455" s="1">
        <f>11.4329417603472*(10.3/7.3)</f>
        <v>16.131410976928311</v>
      </c>
      <c r="E4455" s="1">
        <f>39.8953581429327*(10.3/7.3)</f>
        <v>56.290710804411937</v>
      </c>
      <c r="F4455" s="1">
        <f>85.4138400880183*(38.9/42.5)</f>
        <v>78.178785398209683</v>
      </c>
      <c r="G4455" s="1">
        <v>3.560046143795959</v>
      </c>
      <c r="H4455" s="1">
        <v>6.6920322097801792</v>
      </c>
      <c r="I4455" s="1">
        <v>59.696105064810325</v>
      </c>
      <c r="J4455" s="1">
        <v>6.0408408864218929E-2</v>
      </c>
      <c r="K4455" s="1">
        <v>3.5871997721492717</v>
      </c>
      <c r="L4455" s="1">
        <v>5.0884150807108899</v>
      </c>
      <c r="M4455" s="1">
        <v>0.29066155392968052</v>
      </c>
      <c r="N4455" s="1">
        <v>2.6268110016243003</v>
      </c>
      <c r="O4455" s="1">
        <v>0.24804266666666658</v>
      </c>
      <c r="P4455" s="1">
        <v>0.16373862862270955</v>
      </c>
      <c r="Q4455" s="1">
        <v>5.6895714626876117</v>
      </c>
      <c r="R4455" s="2">
        <f t="shared" si="279"/>
        <v>236.17486214807741</v>
      </c>
      <c r="S4455" s="2">
        <f t="shared" si="278"/>
        <v>3.8113468096361998</v>
      </c>
      <c r="T4455" s="2">
        <f t="shared" si="280"/>
        <v>8.2539303029315381</v>
      </c>
      <c r="U4455" s="2">
        <f t="shared" si="281"/>
        <v>248.24013926064515</v>
      </c>
    </row>
    <row r="4456" spans="1:21" x14ac:dyDescent="0.25">
      <c r="A4456">
        <v>5199605</v>
      </c>
      <c r="B4456">
        <v>55</v>
      </c>
      <c r="C4456" s="1">
        <f>7.22885145936371*(10.3/7.3)</f>
        <v>10.199612333074827</v>
      </c>
      <c r="D4456" s="1">
        <f>11.6537625660539*(10.3/7.3)</f>
        <v>16.442980058952759</v>
      </c>
      <c r="E4456" s="1">
        <f>40.6766741763293*(10.3/7.3)</f>
        <v>57.393115618656481</v>
      </c>
      <c r="F4456" s="1">
        <f>87.0519625767038*(38.9/42.5)</f>
        <v>79.678149276088888</v>
      </c>
      <c r="G4456" s="1">
        <v>3.6231355691290514</v>
      </c>
      <c r="H4456" s="1">
        <v>6.8885082038193755</v>
      </c>
      <c r="I4456" s="1">
        <v>60.950139174935231</v>
      </c>
      <c r="J4456" s="1">
        <v>6.1836748398057854E-2</v>
      </c>
      <c r="K4456" s="1">
        <v>3.6025950508649007</v>
      </c>
      <c r="L4456" s="1">
        <v>5.1088099018921929</v>
      </c>
      <c r="M4456" s="1">
        <v>0.27508277474262155</v>
      </c>
      <c r="N4456" s="1">
        <v>2.6731528044965454</v>
      </c>
      <c r="O4456" s="1">
        <v>0.24513454545454552</v>
      </c>
      <c r="P4456" s="1">
        <v>0.16211411180977897</v>
      </c>
      <c r="Q4456" s="1">
        <v>5.7903993113934691</v>
      </c>
      <c r="R4456" s="2">
        <f t="shared" si="279"/>
        <v>240.9660395460501</v>
      </c>
      <c r="S4456" s="2">
        <f t="shared" si="278"/>
        <v>3.8265459110727376</v>
      </c>
      <c r="T4456" s="2">
        <f t="shared" si="280"/>
        <v>8.3021800265859049</v>
      </c>
      <c r="U4456" s="2">
        <f t="shared" si="281"/>
        <v>253.09476548370876</v>
      </c>
    </row>
    <row r="4457" spans="1:21" x14ac:dyDescent="0.25">
      <c r="A4457">
        <v>5199613</v>
      </c>
      <c r="B4457">
        <v>47</v>
      </c>
      <c r="C4457" s="1">
        <f>6.80765440695533*(10.3/7.3)</f>
        <v>9.605320601594503</v>
      </c>
      <c r="D4457" s="1">
        <f>10.7772089632116*(10.3/7.3)</f>
        <v>15.206198948093052</v>
      </c>
      <c r="E4457" s="1">
        <f>37.622387781253*(10.3/7.3)</f>
        <v>53.083643033822732</v>
      </c>
      <c r="F4457" s="1">
        <f>81.4820778945273*(38.9/42.5)</f>
        <v>74.580066590520232</v>
      </c>
      <c r="G4457" s="1">
        <v>3.4233706518762776</v>
      </c>
      <c r="H4457" s="1">
        <v>7.4456642706996714</v>
      </c>
      <c r="I4457" s="1">
        <v>57.51789320007471</v>
      </c>
      <c r="J4457" s="1">
        <v>5.917499735071937E-2</v>
      </c>
      <c r="K4457" s="1">
        <v>3.4077163261037273</v>
      </c>
      <c r="L4457" s="1">
        <v>4.7328557027296227</v>
      </c>
      <c r="M4457" s="1">
        <v>0.26905757541871272</v>
      </c>
      <c r="N4457" s="1">
        <v>2.5532021149854263</v>
      </c>
      <c r="O4457" s="1">
        <v>0.22868312056737591</v>
      </c>
      <c r="P4457" s="1">
        <v>0.15273471565796559</v>
      </c>
      <c r="Q4457" s="1">
        <v>5.4711403112178028</v>
      </c>
      <c r="R4457" s="2">
        <f t="shared" si="279"/>
        <v>226.33329760789897</v>
      </c>
      <c r="S4457" s="2">
        <f t="shared" si="278"/>
        <v>3.6196260391124122</v>
      </c>
      <c r="T4457" s="2">
        <f t="shared" si="280"/>
        <v>7.7837985137011376</v>
      </c>
      <c r="U4457" s="2">
        <f t="shared" si="281"/>
        <v>237.7367221607125</v>
      </c>
    </row>
    <row r="4458" spans="1:21" x14ac:dyDescent="0.25">
      <c r="A4458">
        <v>5199677</v>
      </c>
      <c r="B4458">
        <v>44</v>
      </c>
      <c r="C4458" s="1">
        <f>4.49743866527537*(10.3/7.3)</f>
        <v>6.345701130457031</v>
      </c>
      <c r="D4458" s="1">
        <f>6.62935968626712*(10.3/7.3)</f>
        <v>9.3537540778837478</v>
      </c>
      <c r="E4458" s="1">
        <f>23.0376202048076*(10.3/7.3)</f>
        <v>32.505135357468234</v>
      </c>
      <c r="F4458" s="1">
        <f>58.3273610167384*(38.9/42.5)</f>
        <v>53.386690436496998</v>
      </c>
      <c r="G4458" s="1">
        <v>2.782572369872411</v>
      </c>
      <c r="H4458" s="1">
        <v>7.7376546082719617</v>
      </c>
      <c r="I4458" s="1">
        <v>43.468761794456171</v>
      </c>
      <c r="J4458" s="1">
        <v>3.75928565599742E-2</v>
      </c>
      <c r="K4458" s="1">
        <v>2.1603009462187597</v>
      </c>
      <c r="L4458" s="1">
        <v>2.9232064683743677</v>
      </c>
      <c r="M4458" s="1">
        <v>0.14704894895649886</v>
      </c>
      <c r="N4458" s="1">
        <v>1.6374050394007349</v>
      </c>
      <c r="O4458" s="1">
        <v>0.12612969696969697</v>
      </c>
      <c r="P4458" s="1">
        <v>9.6059068684459167E-2</v>
      </c>
      <c r="Q4458" s="1">
        <v>4.4470334678326253</v>
      </c>
      <c r="R4458" s="2">
        <f t="shared" si="279"/>
        <v>160.02730324273918</v>
      </c>
      <c r="S4458" s="2">
        <f t="shared" si="278"/>
        <v>2.2939528714631932</v>
      </c>
      <c r="T4458" s="2">
        <f t="shared" si="280"/>
        <v>4.8337901537012984</v>
      </c>
      <c r="U4458" s="2">
        <f t="shared" si="281"/>
        <v>167.15504626790369</v>
      </c>
    </row>
    <row r="4459" spans="1:21" x14ac:dyDescent="0.25">
      <c r="A4459">
        <v>5199789</v>
      </c>
      <c r="B4459">
        <v>16</v>
      </c>
      <c r="C4459" s="1">
        <f>8.57820978815756*(10.3/7.3)</f>
        <v>12.103501481920947</v>
      </c>
      <c r="D4459" s="1">
        <f>11.0915362616252*(10.3/7.3)</f>
        <v>15.649701848594418</v>
      </c>
      <c r="E4459" s="1">
        <f>38.7436874629835*(10.3/7.3)</f>
        <v>54.665750803935566</v>
      </c>
      <c r="F4459" s="1">
        <f>98.5142548432057*(38.9/42.5)</f>
        <v>90.169517962369454</v>
      </c>
      <c r="G4459" s="1">
        <v>4.6380250045840841</v>
      </c>
      <c r="H4459" s="1">
        <v>8.6175251982238787</v>
      </c>
      <c r="I4459" s="1">
        <v>75.8824054075357</v>
      </c>
      <c r="J4459" s="1">
        <v>4.6402085087531138E-2</v>
      </c>
      <c r="K4459" s="1">
        <v>2.696352510269127</v>
      </c>
      <c r="L4459" s="1">
        <v>3.3245607022242547</v>
      </c>
      <c r="M4459" s="1">
        <v>0.15372329122095529</v>
      </c>
      <c r="N4459" s="1">
        <v>2.0754437321331949</v>
      </c>
      <c r="O4459" s="1">
        <v>0.14109000000000002</v>
      </c>
      <c r="P4459" s="1">
        <v>0.10304749378362849</v>
      </c>
      <c r="Q4459" s="1">
        <v>7.4123687287873574</v>
      </c>
      <c r="R4459" s="2">
        <f t="shared" si="279"/>
        <v>269.13879643595146</v>
      </c>
      <c r="S4459" s="2">
        <f t="shared" si="278"/>
        <v>2.8458020891402867</v>
      </c>
      <c r="T4459" s="2">
        <f t="shared" si="280"/>
        <v>5.6948177255784049</v>
      </c>
      <c r="U4459" s="2">
        <f t="shared" si="281"/>
        <v>277.67941625067016</v>
      </c>
    </row>
    <row r="4460" spans="1:21" x14ac:dyDescent="0.25">
      <c r="A4460">
        <v>5199989</v>
      </c>
      <c r="B4460">
        <v>11</v>
      </c>
      <c r="C4460" s="1">
        <f>5.85525164287642*(10.3/7.3)</f>
        <v>8.261519441318784</v>
      </c>
      <c r="D4460" s="1">
        <f>7.75400486317636*(10.3/7.3)</f>
        <v>10.940582204207741</v>
      </c>
      <c r="E4460" s="1">
        <f>26.9183471239045*(10.3/7.3)</f>
        <v>37.980681558385776</v>
      </c>
      <c r="F4460" s="1">
        <f>75.5421299261979*(38.9/42.5)</f>
        <v>69.143267155978819</v>
      </c>
      <c r="G4460" s="1">
        <v>3.8289662823910988</v>
      </c>
      <c r="H4460" s="1">
        <v>8.3311440307388231</v>
      </c>
      <c r="I4460" s="1">
        <v>58.75861663167764</v>
      </c>
      <c r="J4460" s="1">
        <v>4.7595630798922345E-2</v>
      </c>
      <c r="K4460" s="1">
        <v>2.4922285970667963</v>
      </c>
      <c r="L4460" s="1">
        <v>2.435213564510335</v>
      </c>
      <c r="M4460" s="1">
        <v>0.11358814369224964</v>
      </c>
      <c r="N4460" s="1">
        <v>2.8033948332238556</v>
      </c>
      <c r="O4460" s="1">
        <v>0.10967272727272728</v>
      </c>
      <c r="P4460" s="1">
        <v>8.252036192179879E-2</v>
      </c>
      <c r="Q4460" s="1">
        <v>6.1193525061045024</v>
      </c>
      <c r="R4460" s="2">
        <f t="shared" si="279"/>
        <v>203.36412981080318</v>
      </c>
      <c r="S4460" s="2">
        <f t="shared" si="278"/>
        <v>2.6223445897875175</v>
      </c>
      <c r="T4460" s="2">
        <f t="shared" si="280"/>
        <v>5.4618692686991679</v>
      </c>
      <c r="U4460" s="2">
        <f t="shared" si="281"/>
        <v>211.44834366928987</v>
      </c>
    </row>
    <row r="4461" spans="1:21" x14ac:dyDescent="0.25">
      <c r="A4461">
        <v>5199997</v>
      </c>
      <c r="B4461">
        <v>5</v>
      </c>
      <c r="C4461" s="1">
        <f>3.815794825512*(10.3/7.3)</f>
        <v>5.383929685311454</v>
      </c>
      <c r="D4461" s="1">
        <f>4.95712055906511*(10.3/7.3)</f>
        <v>6.9942933915576155</v>
      </c>
      <c r="E4461" s="1">
        <f>17.3160415173901*(10.3/7.3)</f>
        <v>24.43222296289294</v>
      </c>
      <c r="F4461" s="1">
        <f>43.828058034114*(38.9/42.5)</f>
        <v>40.115563706518415</v>
      </c>
      <c r="G4461" s="1">
        <v>2.0572731995522515</v>
      </c>
      <c r="H4461" s="1">
        <v>7.6419206571819895</v>
      </c>
      <c r="I4461" s="1">
        <v>33.693086847195225</v>
      </c>
      <c r="J4461" s="1">
        <v>3.3207312603990964E-2</v>
      </c>
      <c r="K4461" s="1">
        <v>1.9438459318319865</v>
      </c>
      <c r="L4461" s="1">
        <v>1.8628837238107412</v>
      </c>
      <c r="M4461" s="1">
        <v>8.7391748682279349E-2</v>
      </c>
      <c r="N4461" s="1">
        <v>1.4214336294881424</v>
      </c>
      <c r="O4461" s="1">
        <v>8.7359999999999993E-2</v>
      </c>
      <c r="P4461" s="1">
        <v>6.802075646830523E-2</v>
      </c>
      <c r="Q4461" s="1">
        <v>3.2878795426634193</v>
      </c>
      <c r="R4461" s="2">
        <f t="shared" si="279"/>
        <v>123.60616999287332</v>
      </c>
      <c r="S4461" s="2">
        <f t="shared" si="278"/>
        <v>2.0450740009042825</v>
      </c>
      <c r="T4461" s="2">
        <f t="shared" si="280"/>
        <v>3.459069101981163</v>
      </c>
      <c r="U4461" s="2">
        <f t="shared" si="281"/>
        <v>129.11031309575876</v>
      </c>
    </row>
    <row r="4462" spans="1:21" x14ac:dyDescent="0.25">
      <c r="A4462">
        <v>5200013</v>
      </c>
      <c r="B4462">
        <v>6</v>
      </c>
      <c r="C4462" s="1">
        <f>3.14272150126325*(10.3/7.3)</f>
        <v>4.4342508853440394</v>
      </c>
      <c r="D4462" s="1">
        <f>4.07939376248996*(10.3/7.3)</f>
        <v>5.7558569525543248</v>
      </c>
      <c r="E4462" s="1">
        <f>14.2182578409145*(10.3/7.3)</f>
        <v>20.061377501564365</v>
      </c>
      <c r="F4462" s="1">
        <f>37.6319700428739*(38.9/42.5)</f>
        <v>34.44432081571285</v>
      </c>
      <c r="G4462" s="1">
        <v>1.8272328459567559</v>
      </c>
      <c r="H4462" s="1">
        <v>7.7029440529060063</v>
      </c>
      <c r="I4462" s="1">
        <v>29.144788236329703</v>
      </c>
      <c r="J4462" s="1">
        <v>2.8725075035115955E-2</v>
      </c>
      <c r="K4462" s="1">
        <v>1.7729503471899779</v>
      </c>
      <c r="L4462" s="1">
        <v>1.6973135620720461</v>
      </c>
      <c r="M4462" s="1">
        <v>8.1199053708877034E-2</v>
      </c>
      <c r="N4462" s="1">
        <v>1.1336628483518221</v>
      </c>
      <c r="O4462" s="1">
        <v>8.0631111111111112E-2</v>
      </c>
      <c r="P4462" s="1">
        <v>6.3754788592504191E-2</v>
      </c>
      <c r="Q4462" s="1">
        <v>2.9202351419400241</v>
      </c>
      <c r="R4462" s="2">
        <f t="shared" si="279"/>
        <v>106.29100643230807</v>
      </c>
      <c r="S4462" s="2">
        <f t="shared" si="278"/>
        <v>1.8654302108175982</v>
      </c>
      <c r="T4462" s="2">
        <f t="shared" si="280"/>
        <v>2.9928065752438564</v>
      </c>
      <c r="U4462" s="2">
        <f t="shared" si="281"/>
        <v>111.14924321836952</v>
      </c>
    </row>
    <row r="4463" spans="1:21" x14ac:dyDescent="0.25">
      <c r="A4463">
        <v>5211313</v>
      </c>
      <c r="B4463">
        <v>46</v>
      </c>
      <c r="C4463" s="1">
        <f>0.660679522244392*(10.3/7.3)</f>
        <v>0.93219165467359377</v>
      </c>
      <c r="D4463" s="1">
        <f>0.957127179700854*(10.3/7.3)</f>
        <v>1.3504671165642184</v>
      </c>
      <c r="E4463" s="1">
        <f>3.31757549100547*(10.3/7.3)</f>
        <v>4.6809626790899044</v>
      </c>
      <c r="F4463" s="1">
        <f>8.94871762408738*(38.9/42.5)</f>
        <v>8.1907086018117461</v>
      </c>
      <c r="G4463" s="1">
        <v>0.4460437299041467</v>
      </c>
      <c r="H4463" s="1">
        <v>1.9669566233137916</v>
      </c>
      <c r="I4463" s="1">
        <v>6.777059843035528</v>
      </c>
      <c r="J4463" s="1">
        <v>3.5123026856815114E-2</v>
      </c>
      <c r="K4463" s="1">
        <v>2.8752044062217381</v>
      </c>
      <c r="L4463" s="1">
        <v>2.0816660021842175</v>
      </c>
      <c r="M4463" s="1">
        <v>0.81405989879293217</v>
      </c>
      <c r="N4463" s="1">
        <v>1.2467327330830125</v>
      </c>
      <c r="O4463" s="1">
        <v>0.36741449275362309</v>
      </c>
      <c r="P4463" s="1">
        <v>0.18555596662715224</v>
      </c>
      <c r="Q4463" s="1">
        <v>0.71285527610251831</v>
      </c>
      <c r="R4463" s="2">
        <f t="shared" si="279"/>
        <v>25.05724552449545</v>
      </c>
      <c r="S4463" s="2">
        <f t="shared" si="278"/>
        <v>3.0958833997057056</v>
      </c>
      <c r="T4463" s="2">
        <f t="shared" si="280"/>
        <v>4.509873126813785</v>
      </c>
      <c r="U4463" s="2">
        <f t="shared" si="281"/>
        <v>32.663002051014942</v>
      </c>
    </row>
    <row r="4464" spans="1:21" x14ac:dyDescent="0.25">
      <c r="A4464">
        <v>5211321</v>
      </c>
      <c r="B4464">
        <v>69</v>
      </c>
      <c r="C4464" s="1">
        <f>0.8429990398764*(10.3/7.3)</f>
        <v>1.1894370014694406</v>
      </c>
      <c r="D4464" s="1">
        <f>1.24068224261999*(10.3/7.3)</f>
        <v>1.7505516573953299</v>
      </c>
      <c r="E4464" s="1">
        <f>4.29123797080169*(10.3/7.3)</f>
        <v>6.0547604245558047</v>
      </c>
      <c r="F4464" s="1">
        <f>11.9103600406705*(38.9/42.5)</f>
        <v>10.901482484284314</v>
      </c>
      <c r="G4464" s="1">
        <v>0.60611689694579907</v>
      </c>
      <c r="H4464" s="1">
        <v>2.7961323984713258</v>
      </c>
      <c r="I4464" s="1">
        <v>9.0355730596444808</v>
      </c>
      <c r="J4464" s="1">
        <v>4.264050801764703E-2</v>
      </c>
      <c r="K4464" s="1">
        <v>3.3620106844255746</v>
      </c>
      <c r="L4464" s="1">
        <v>2.438080707624477</v>
      </c>
      <c r="M4464" s="1">
        <v>1.0412187572187972</v>
      </c>
      <c r="N4464" s="1">
        <v>1.4899382360217801</v>
      </c>
      <c r="O4464" s="1">
        <v>0.43600850241545897</v>
      </c>
      <c r="P4464" s="1">
        <v>0.20315720677918386</v>
      </c>
      <c r="Q4464" s="1">
        <v>0.96867997228780789</v>
      </c>
      <c r="R4464" s="2">
        <f t="shared" si="279"/>
        <v>33.302733895054303</v>
      </c>
      <c r="S4464" s="2">
        <f t="shared" si="278"/>
        <v>3.6078083992224057</v>
      </c>
      <c r="T4464" s="2">
        <f t="shared" si="280"/>
        <v>5.4052462032805133</v>
      </c>
      <c r="U4464" s="2">
        <f t="shared" si="281"/>
        <v>42.315788497557222</v>
      </c>
    </row>
    <row r="4465" spans="1:21" x14ac:dyDescent="0.25">
      <c r="A4465">
        <v>5211329</v>
      </c>
      <c r="B4465">
        <v>70</v>
      </c>
      <c r="C4465" s="1">
        <f>0.840424161684645*(10.3/7.3)</f>
        <v>1.1858039541577872</v>
      </c>
      <c r="D4465" s="1">
        <f>1.24842112782679*(10.3/7.3)</f>
        <v>1.7614709063857479</v>
      </c>
      <c r="E4465" s="1">
        <f>4.3108357470669*(10.3/7.3)</f>
        <v>6.0824120814779548</v>
      </c>
      <c r="F4465" s="1">
        <f>12.253335779541*(38.9/42.5)</f>
        <v>11.215406160568158</v>
      </c>
      <c r="G4465" s="1">
        <v>0.63371611028035191</v>
      </c>
      <c r="H4465" s="1">
        <v>3.277028330794086</v>
      </c>
      <c r="I4465" s="1">
        <v>9.3172053720540262</v>
      </c>
      <c r="J4465" s="1">
        <v>4.6936743915239783E-2</v>
      </c>
      <c r="K4465" s="1">
        <v>3.5544418663367501</v>
      </c>
      <c r="L4465" s="1">
        <v>2.549468418096259</v>
      </c>
      <c r="M4465" s="1">
        <v>1.2571454099806791</v>
      </c>
      <c r="N4465" s="1">
        <v>1.6865221548558922</v>
      </c>
      <c r="O4465" s="1">
        <v>0.45907961904761907</v>
      </c>
      <c r="P4465" s="1">
        <v>0.20936500176342648</v>
      </c>
      <c r="Q4465" s="1">
        <v>1.0127883041010195</v>
      </c>
      <c r="R4465" s="2">
        <f t="shared" si="279"/>
        <v>34.485831219819133</v>
      </c>
      <c r="S4465" s="2">
        <f t="shared" si="278"/>
        <v>3.8107436120154161</v>
      </c>
      <c r="T4465" s="2">
        <f t="shared" si="280"/>
        <v>5.9522156019804502</v>
      </c>
      <c r="U4465" s="2">
        <f t="shared" si="281"/>
        <v>44.248790433814996</v>
      </c>
    </row>
    <row r="4466" spans="1:21" x14ac:dyDescent="0.25">
      <c r="A4466">
        <v>5211337</v>
      </c>
      <c r="B4466">
        <v>16</v>
      </c>
      <c r="C4466" s="1">
        <f>0.810996798283184*(10.3/7.3)</f>
        <v>1.1442831537420273</v>
      </c>
      <c r="D4466" s="1">
        <f>1.21201525238479*(10.3/7.3)</f>
        <v>1.7101037122689444</v>
      </c>
      <c r="E4466" s="1">
        <f>4.1802423415036*(10.3/7.3)</f>
        <v>5.8981501530804161</v>
      </c>
      <c r="F4466" s="1">
        <f>12.0831869556973*(38.9/42.5)</f>
        <v>11.059669942979374</v>
      </c>
      <c r="G4466" s="1">
        <v>0.63177943659453129</v>
      </c>
      <c r="H4466" s="1">
        <v>4.4841278827642483</v>
      </c>
      <c r="I4466" s="1">
        <v>9.2036191138899497</v>
      </c>
      <c r="J4466" s="1">
        <v>5.5948763140802812E-2</v>
      </c>
      <c r="K4466" s="1">
        <v>3.684476720033997</v>
      </c>
      <c r="L4466" s="1">
        <v>2.64700425035192</v>
      </c>
      <c r="M4466" s="1">
        <v>1.4466919474844087</v>
      </c>
      <c r="N4466" s="1">
        <v>2.3613499532273519</v>
      </c>
      <c r="O4466" s="1">
        <v>0.47575999999999996</v>
      </c>
      <c r="P4466" s="1">
        <v>0.2103889828060955</v>
      </c>
      <c r="Q4466" s="1">
        <v>1.009693163507243</v>
      </c>
      <c r="R4466" s="2">
        <f t="shared" si="279"/>
        <v>35.14142655882673</v>
      </c>
      <c r="S4466" s="2">
        <f t="shared" si="278"/>
        <v>3.9508144659808955</v>
      </c>
      <c r="T4466" s="2">
        <f t="shared" si="280"/>
        <v>6.9308061510636803</v>
      </c>
      <c r="U4466" s="2">
        <f t="shared" si="281"/>
        <v>46.023047175871305</v>
      </c>
    </row>
    <row r="4467" spans="1:21" x14ac:dyDescent="0.25">
      <c r="A4467">
        <v>5211545</v>
      </c>
      <c r="B4467">
        <v>68</v>
      </c>
      <c r="C4467" s="1">
        <f>1.22692033903599*(10.3/7.3)</f>
        <v>1.73113417699598</v>
      </c>
      <c r="D4467" s="1">
        <f>2.08038665312847*(10.3/7.3)</f>
        <v>2.9353400722223659</v>
      </c>
      <c r="E4467" s="1">
        <f>7.12631728867212*(10.3/7.3)</f>
        <v>10.054940831962032</v>
      </c>
      <c r="F4467" s="1">
        <f>21.4508689748908*(38.9/42.5)</f>
        <v>19.633854191135317</v>
      </c>
      <c r="G4467" s="1">
        <v>1.1607308730006793</v>
      </c>
      <c r="H4467" s="1">
        <v>5.6435114769215051</v>
      </c>
      <c r="I4467" s="1">
        <v>16.075612521566338</v>
      </c>
      <c r="J4467" s="1">
        <v>4.2032802018673647E-2</v>
      </c>
      <c r="K4467" s="1">
        <v>2.7805953295769807</v>
      </c>
      <c r="L4467" s="1">
        <v>3.6471203795137077</v>
      </c>
      <c r="M4467" s="1">
        <v>0.68711721275856008</v>
      </c>
      <c r="N4467" s="1">
        <v>2.1662813512011745</v>
      </c>
      <c r="O4467" s="1">
        <v>0.24959137254901964</v>
      </c>
      <c r="P4467" s="1">
        <v>0.14746936340264694</v>
      </c>
      <c r="Q4467" s="1">
        <v>1.8550493404120463</v>
      </c>
      <c r="R4467" s="2">
        <f t="shared" si="279"/>
        <v>59.090173484216258</v>
      </c>
      <c r="S4467" s="2">
        <f t="shared" si="278"/>
        <v>2.970097494998301</v>
      </c>
      <c r="T4467" s="2">
        <f t="shared" si="280"/>
        <v>6.7501103160224618</v>
      </c>
      <c r="U4467" s="2">
        <f t="shared" si="281"/>
        <v>68.810381295237022</v>
      </c>
    </row>
    <row r="4468" spans="1:21" x14ac:dyDescent="0.25">
      <c r="A4468">
        <v>5211737</v>
      </c>
      <c r="B4468">
        <v>32</v>
      </c>
      <c r="C4468" s="1">
        <f>7.52547475640718*(10.3/7.3)</f>
        <v>10.618135615204649</v>
      </c>
      <c r="D4468" s="1">
        <f>14.3352524959422*(10.3/7.3)</f>
        <v>20.226452151808857</v>
      </c>
      <c r="E4468" s="1">
        <f>49.8778355986476*(10.3/7.3)</f>
        <v>70.375576255626086</v>
      </c>
      <c r="F4468" s="1">
        <f>101.006776685169*(38.9/42.5)</f>
        <v>92.450908542425353</v>
      </c>
      <c r="G4468" s="1">
        <v>4.0606105734291136</v>
      </c>
      <c r="H4468" s="1">
        <v>7.3530392609104949</v>
      </c>
      <c r="I4468" s="1">
        <v>66.483584317076691</v>
      </c>
      <c r="J4468" s="1">
        <v>8.3093333176433207E-2</v>
      </c>
      <c r="K4468" s="1">
        <v>3.7093703328625103</v>
      </c>
      <c r="L4468" s="1">
        <v>5.1478054835678524</v>
      </c>
      <c r="M4468" s="1">
        <v>0.39221671179386558</v>
      </c>
      <c r="N4468" s="1">
        <v>3.0104300378621893</v>
      </c>
      <c r="O4468" s="1">
        <v>0.28497833333333333</v>
      </c>
      <c r="P4468" s="1">
        <v>0.18076643280612348</v>
      </c>
      <c r="Q4468" s="1">
        <v>6.4895602771698222</v>
      </c>
      <c r="R4468" s="2">
        <f t="shared" si="279"/>
        <v>278.05786699365103</v>
      </c>
      <c r="S4468" s="2">
        <f t="shared" si="278"/>
        <v>3.9732300988450673</v>
      </c>
      <c r="T4468" s="2">
        <f t="shared" si="280"/>
        <v>8.8354305665572408</v>
      </c>
      <c r="U4468" s="2">
        <f t="shared" si="281"/>
        <v>290.86652765905336</v>
      </c>
    </row>
    <row r="4469" spans="1:21" x14ac:dyDescent="0.25">
      <c r="A4469">
        <v>5211745</v>
      </c>
      <c r="B4469">
        <v>60</v>
      </c>
      <c r="C4469" s="1">
        <f>10.5834762712736*(10.3/7.3)</f>
        <v>14.932850081385972</v>
      </c>
      <c r="D4469" s="1">
        <f>15.1631881482085*(10.3/7.3)</f>
        <v>21.39463533240378</v>
      </c>
      <c r="E4469" s="1">
        <f>53.3535734229548*(10.3/7.3)</f>
        <v>75.279699487182825</v>
      </c>
      <c r="F4469" s="1">
        <f>104.397357036568*(38.9/42.5)</f>
        <v>95.554286793470311</v>
      </c>
      <c r="G4469" s="1">
        <v>3.8431617282272303</v>
      </c>
      <c r="H4469" s="1">
        <v>7.2360310984671923</v>
      </c>
      <c r="I4469" s="1">
        <v>73.890749049873364</v>
      </c>
      <c r="J4469" s="1">
        <v>7.4426642542361643E-2</v>
      </c>
      <c r="K4469" s="1">
        <v>3.9261730303034241</v>
      </c>
      <c r="L4469" s="1">
        <v>5.5281294910131997</v>
      </c>
      <c r="M4469" s="1">
        <v>0.40845929553446125</v>
      </c>
      <c r="N4469" s="1">
        <v>3.2189212695750911</v>
      </c>
      <c r="O4469" s="1">
        <v>0.29957600000000001</v>
      </c>
      <c r="P4469" s="1">
        <v>0.19033880251272758</v>
      </c>
      <c r="Q4469" s="1">
        <v>6.1420392916873565</v>
      </c>
      <c r="R4469" s="2">
        <f t="shared" si="279"/>
        <v>298.27345286269804</v>
      </c>
      <c r="S4469" s="2">
        <f t="shared" si="278"/>
        <v>4.1909384753585135</v>
      </c>
      <c r="T4469" s="2">
        <f t="shared" si="280"/>
        <v>9.4550860561227523</v>
      </c>
      <c r="U4469" s="2">
        <f t="shared" si="281"/>
        <v>311.9194773941793</v>
      </c>
    </row>
    <row r="4470" spans="1:21" x14ac:dyDescent="0.25">
      <c r="A4470">
        <v>5211753</v>
      </c>
      <c r="B4470">
        <v>64</v>
      </c>
      <c r="C4470" s="1">
        <f>6.63994138047399*(10.3/7.3)</f>
        <v>9.3686844135454947</v>
      </c>
      <c r="D4470" s="1">
        <f>12.2044029485438*(10.3/7.3)</f>
        <v>17.219911009589232</v>
      </c>
      <c r="E4470" s="1">
        <f>42.480383712771*(10.3/7.3)</f>
        <v>59.93807564952624</v>
      </c>
      <c r="F4470" s="1">
        <f>87.5341313963783*(38.9/42.5)</f>
        <v>80.119475560449743</v>
      </c>
      <c r="G4470" s="1">
        <v>3.5680262050360061</v>
      </c>
      <c r="H4470" s="1">
        <v>6.8035137850815408</v>
      </c>
      <c r="I4470" s="1">
        <v>58.505317466002893</v>
      </c>
      <c r="J4470" s="1">
        <v>6.4046519711101854E-2</v>
      </c>
      <c r="K4470" s="1">
        <v>3.6885953693075559</v>
      </c>
      <c r="L4470" s="1">
        <v>5.1127463827791848</v>
      </c>
      <c r="M4470" s="1">
        <v>0.37250229390268941</v>
      </c>
      <c r="N4470" s="1">
        <v>3.6075179966387387</v>
      </c>
      <c r="O4470" s="1">
        <v>0.27869166666666662</v>
      </c>
      <c r="P4470" s="1">
        <v>0.17975394837187178</v>
      </c>
      <c r="Q4470" s="1">
        <v>5.7023249852173681</v>
      </c>
      <c r="R4470" s="2">
        <f t="shared" si="279"/>
        <v>241.22532907444852</v>
      </c>
      <c r="S4470" s="2">
        <f t="shared" si="278"/>
        <v>3.9323958373905299</v>
      </c>
      <c r="T4470" s="2">
        <f t="shared" si="280"/>
        <v>9.3714583399872797</v>
      </c>
      <c r="U4470" s="2">
        <f t="shared" si="281"/>
        <v>254.52918325182634</v>
      </c>
    </row>
    <row r="4471" spans="1:21" x14ac:dyDescent="0.25">
      <c r="A4471">
        <v>5211761</v>
      </c>
      <c r="B4471">
        <v>64</v>
      </c>
      <c r="C4471" s="1">
        <f>7.04148797809536*(10.3/7.3)</f>
        <v>9.9352501608742703</v>
      </c>
      <c r="D4471" s="1">
        <f>12.9557262069436*(10.3/7.3)</f>
        <v>18.279997250893025</v>
      </c>
      <c r="E4471" s="1">
        <f>45.0582008725737*(10.3/7.3)</f>
        <v>63.575269724316328</v>
      </c>
      <c r="F4471" s="1">
        <f>94.6604544002314*(38.9/42.5)</f>
        <v>86.642157086329462</v>
      </c>
      <c r="G4471" s="1">
        <v>3.9377075714316363</v>
      </c>
      <c r="H4471" s="1">
        <v>7.233949164954824</v>
      </c>
      <c r="I4471" s="1">
        <v>63.659416623601878</v>
      </c>
      <c r="J4471" s="1">
        <v>6.6282555491038522E-2</v>
      </c>
      <c r="K4471" s="1">
        <v>3.8576088896535441</v>
      </c>
      <c r="L4471" s="1">
        <v>5.4959518657163446</v>
      </c>
      <c r="M4471" s="1">
        <v>0.38668694379073953</v>
      </c>
      <c r="N4471" s="1">
        <v>3.0333945733445771</v>
      </c>
      <c r="O4471" s="1">
        <v>0.29020916666666657</v>
      </c>
      <c r="P4471" s="1">
        <v>0.18574727012924738</v>
      </c>
      <c r="Q4471" s="1">
        <v>6.2931399543428057</v>
      </c>
      <c r="R4471" s="2">
        <f t="shared" si="279"/>
        <v>259.55688753674423</v>
      </c>
      <c r="S4471" s="2">
        <f t="shared" si="278"/>
        <v>4.1096387152738298</v>
      </c>
      <c r="T4471" s="2">
        <f t="shared" si="280"/>
        <v>9.2062425495183291</v>
      </c>
      <c r="U4471" s="2">
        <f t="shared" si="281"/>
        <v>272.87276880153638</v>
      </c>
    </row>
    <row r="4472" spans="1:21" x14ac:dyDescent="0.25">
      <c r="A4472">
        <v>5211769</v>
      </c>
      <c r="B4472">
        <v>65</v>
      </c>
      <c r="C4472" s="1">
        <f>6.0515783087278*(10.3/7.3)</f>
        <v>8.5385282986159368</v>
      </c>
      <c r="D4472" s="1">
        <f>11.3720534105743*(10.3/7.3)</f>
        <v>16.045500017659617</v>
      </c>
      <c r="E4472" s="1">
        <f>39.4262612623693*(10.3/7.3)</f>
        <v>55.628834383890883</v>
      </c>
      <c r="F4472" s="1">
        <f>87.8071841648269*(38.9/42.5)</f>
        <v>80.369399153218069</v>
      </c>
      <c r="G4472" s="1">
        <v>3.873826072146759</v>
      </c>
      <c r="H4472" s="1">
        <v>10.2302256182299</v>
      </c>
      <c r="I4472" s="1">
        <v>59.85177607357533</v>
      </c>
      <c r="J4472" s="1">
        <v>5.8917993929959736E-2</v>
      </c>
      <c r="K4472" s="1">
        <v>3.5517692925248157</v>
      </c>
      <c r="L4472" s="1">
        <v>4.9165229374225499</v>
      </c>
      <c r="M4472" s="1">
        <v>0.34494068995207161</v>
      </c>
      <c r="N4472" s="1">
        <v>2.678549009695713</v>
      </c>
      <c r="O4472" s="1">
        <v>0.26356348717948719</v>
      </c>
      <c r="P4472" s="1">
        <v>0.17221457500914653</v>
      </c>
      <c r="Q4472" s="1">
        <v>6.1910462340245065</v>
      </c>
      <c r="R4472" s="2">
        <f t="shared" si="279"/>
        <v>240.72913585136101</v>
      </c>
      <c r="S4472" s="2">
        <f t="shared" si="278"/>
        <v>3.7829018614639218</v>
      </c>
      <c r="T4472" s="2">
        <f t="shared" si="280"/>
        <v>8.2035761242498211</v>
      </c>
      <c r="U4472" s="2">
        <f t="shared" si="281"/>
        <v>252.71561383707476</v>
      </c>
    </row>
    <row r="4473" spans="1:21" x14ac:dyDescent="0.25">
      <c r="A4473">
        <v>5211777</v>
      </c>
      <c r="B4473">
        <v>42</v>
      </c>
      <c r="C4473" s="1">
        <f>5.09334614174666*(10.3/7.3)</f>
        <v>7.1865020904096752</v>
      </c>
      <c r="D4473" s="1">
        <f>9.80900684749115*(10.3/7.3)</f>
        <v>13.840105551939573</v>
      </c>
      <c r="E4473" s="1">
        <f>33.8548777441667*(10.3/7.3)</f>
        <v>47.767841200673516</v>
      </c>
      <c r="F4473" s="1">
        <f>81.8524565625146*(38.9/42.5)</f>
        <v>74.919072006630969</v>
      </c>
      <c r="G4473" s="1">
        <v>3.8786099330345678</v>
      </c>
      <c r="H4473" s="1">
        <v>10.807059432775683</v>
      </c>
      <c r="I4473" s="1">
        <v>56.865503364459279</v>
      </c>
      <c r="J4473" s="1">
        <v>5.2881836082281891E-2</v>
      </c>
      <c r="K4473" s="1">
        <v>3.2389077620650375</v>
      </c>
      <c r="L4473" s="1">
        <v>4.3220671809483697</v>
      </c>
      <c r="M4473" s="1">
        <v>0.30572723120268547</v>
      </c>
      <c r="N4473" s="1">
        <v>2.3924735172147926</v>
      </c>
      <c r="O4473" s="1">
        <v>0.2371149206349206</v>
      </c>
      <c r="P4473" s="1">
        <v>0.15797620225658496</v>
      </c>
      <c r="Q4473" s="1">
        <v>6.1986916737995417</v>
      </c>
      <c r="R4473" s="2">
        <f t="shared" si="279"/>
        <v>221.46338525372278</v>
      </c>
      <c r="S4473" s="2">
        <f t="shared" si="278"/>
        <v>3.4497658004039042</v>
      </c>
      <c r="T4473" s="2">
        <f t="shared" si="280"/>
        <v>7.2573828500007682</v>
      </c>
      <c r="U4473" s="2">
        <f t="shared" si="281"/>
        <v>232.17053390412744</v>
      </c>
    </row>
    <row r="4474" spans="1:21" x14ac:dyDescent="0.25">
      <c r="A4474">
        <v>5211785</v>
      </c>
      <c r="B4474">
        <v>60</v>
      </c>
      <c r="C4474" s="1">
        <f>5.08100194067849*(10.3/7.3)</f>
        <v>7.1690849299984123</v>
      </c>
      <c r="D4474" s="1">
        <f>10.6298350373121*(10.3/7.3)</f>
        <v>14.99826039511159</v>
      </c>
      <c r="E4474" s="1">
        <f>36.1949886658482*(10.3/7.3)</f>
        <v>51.069641542224197</v>
      </c>
      <c r="F4474" s="1">
        <f>108.18066178663*(38.9/42.5)</f>
        <v>99.017123376468504</v>
      </c>
      <c r="G4474" s="1">
        <v>5.9180134156203055</v>
      </c>
      <c r="H4474" s="1">
        <v>8.5520650097373565</v>
      </c>
      <c r="I4474" s="1">
        <v>78.240122890943937</v>
      </c>
      <c r="J4474" s="1">
        <v>5.296805394148215E-2</v>
      </c>
      <c r="K4474" s="1">
        <v>3.2047844572475075</v>
      </c>
      <c r="L4474" s="1">
        <v>4.3579625163522442</v>
      </c>
      <c r="M4474" s="1">
        <v>0.28867288361495053</v>
      </c>
      <c r="N4474" s="1">
        <v>2.3658202874320087</v>
      </c>
      <c r="O4474" s="1">
        <v>0.23234400000000005</v>
      </c>
      <c r="P4474" s="1">
        <v>0.15535753662164134</v>
      </c>
      <c r="Q4474" s="1">
        <v>9.4580123080689891</v>
      </c>
      <c r="R4474" s="2">
        <f t="shared" si="279"/>
        <v>274.42232386817329</v>
      </c>
      <c r="S4474" s="2">
        <f t="shared" si="278"/>
        <v>3.4131100478106311</v>
      </c>
      <c r="T4474" s="2">
        <f t="shared" si="280"/>
        <v>7.2447996873992038</v>
      </c>
      <c r="U4474" s="2">
        <f t="shared" si="281"/>
        <v>285.08023360338314</v>
      </c>
    </row>
    <row r="4475" spans="1:21" x14ac:dyDescent="0.25">
      <c r="A4475">
        <v>5211793</v>
      </c>
      <c r="B4475">
        <v>68</v>
      </c>
      <c r="C4475" s="1">
        <f>5.11334635924495*(10.3/7.3)</f>
        <v>7.2147215753730114</v>
      </c>
      <c r="D4475" s="1">
        <f>9.38053697926544*(10.3/7.3)</f>
        <v>13.235552176223848</v>
      </c>
      <c r="E4475" s="1">
        <f>32.3975265070691*(10.3/7.3)</f>
        <v>45.711578496275564</v>
      </c>
      <c r="F4475" s="1">
        <f>79.6763690722584*(38.9/42.5)</f>
        <v>72.92731192731415</v>
      </c>
      <c r="G4475" s="1">
        <v>3.8071085242145157</v>
      </c>
      <c r="H4475" s="1">
        <v>7.3223629019698988</v>
      </c>
      <c r="I4475" s="1">
        <v>56.178116454052777</v>
      </c>
      <c r="J4475" s="1">
        <v>5.1825991490223121E-2</v>
      </c>
      <c r="K4475" s="1">
        <v>3.1342464366800864</v>
      </c>
      <c r="L4475" s="1">
        <v>4.2040014381804145</v>
      </c>
      <c r="M4475" s="1">
        <v>0.2805967614412091</v>
      </c>
      <c r="N4475" s="1">
        <v>2.4940983013298039</v>
      </c>
      <c r="O4475" s="1">
        <v>0.22516392156862741</v>
      </c>
      <c r="P4475" s="1">
        <v>0.15144034665817277</v>
      </c>
      <c r="Q4475" s="1">
        <v>6.0844200158679564</v>
      </c>
      <c r="R4475" s="2">
        <f t="shared" si="279"/>
        <v>212.48117207129172</v>
      </c>
      <c r="S4475" s="2">
        <f t="shared" si="278"/>
        <v>3.3375127748284825</v>
      </c>
      <c r="T4475" s="2">
        <f t="shared" si="280"/>
        <v>7.2038604225200551</v>
      </c>
      <c r="U4475" s="2">
        <f t="shared" si="281"/>
        <v>223.02254526864027</v>
      </c>
    </row>
    <row r="4476" spans="1:21" x14ac:dyDescent="0.25">
      <c r="A4476">
        <v>5211801</v>
      </c>
      <c r="B4476">
        <v>68</v>
      </c>
      <c r="C4476" s="1">
        <f>3.71537726090162*(10.3/7.3)</f>
        <v>5.24224462839544</v>
      </c>
      <c r="D4476" s="1">
        <f>6.54307747676641*(10.3/7.3)</f>
        <v>9.2320134261224638</v>
      </c>
      <c r="E4476" s="1">
        <f>22.6688515047483*(10.3/7.3)</f>
        <v>31.984817876562641</v>
      </c>
      <c r="F4476" s="1">
        <f>53.6284321151395*(38.9/42.5)</f>
        <v>49.085788453621781</v>
      </c>
      <c r="G4476" s="1">
        <v>2.4744264631254924</v>
      </c>
      <c r="H4476" s="1">
        <v>4.6984721485921641</v>
      </c>
      <c r="I4476" s="1">
        <v>37.754986946157217</v>
      </c>
      <c r="J4476" s="1">
        <v>4.0609581558458389E-2</v>
      </c>
      <c r="K4476" s="1">
        <v>2.6417732577279374</v>
      </c>
      <c r="L4476" s="1">
        <v>3.3034585662399691</v>
      </c>
      <c r="M4476" s="1">
        <v>0.22600039298445168</v>
      </c>
      <c r="N4476" s="1">
        <v>1.893693798326523</v>
      </c>
      <c r="O4476" s="1">
        <v>0.1839113725490196</v>
      </c>
      <c r="P4476" s="1">
        <v>0.1310640302416205</v>
      </c>
      <c r="Q4476" s="1">
        <v>3.9545628406115214</v>
      </c>
      <c r="R4476" s="2">
        <f t="shared" si="279"/>
        <v>144.42731278318871</v>
      </c>
      <c r="S4476" s="2">
        <f t="shared" si="278"/>
        <v>2.8134468695280161</v>
      </c>
      <c r="T4476" s="2">
        <f t="shared" si="280"/>
        <v>5.6070641300999631</v>
      </c>
      <c r="U4476" s="2">
        <f t="shared" si="281"/>
        <v>152.84782378281668</v>
      </c>
    </row>
    <row r="4477" spans="1:21" x14ac:dyDescent="0.25">
      <c r="A4477">
        <v>5211809</v>
      </c>
      <c r="B4477">
        <v>69</v>
      </c>
      <c r="C4477" s="1">
        <f>6.06191471375709*(10.3/7.3)</f>
        <v>8.553112541328499</v>
      </c>
      <c r="D4477" s="1">
        <f>10.2245120358305*(10.3/7.3)</f>
        <v>14.426366297130727</v>
      </c>
      <c r="E4477" s="1">
        <f>35.5706776323602*(10.3/7.3)</f>
        <v>50.188764330590381</v>
      </c>
      <c r="F4477" s="1">
        <f>79.2397320457038*(38.9/42.5)</f>
        <v>72.527660625361875</v>
      </c>
      <c r="G4477" s="1">
        <v>3.4508385538042616</v>
      </c>
      <c r="H4477" s="1">
        <v>6.2427396308525243</v>
      </c>
      <c r="I4477" s="1">
        <v>55.443161747793432</v>
      </c>
      <c r="J4477" s="1">
        <v>5.4934852677800801E-2</v>
      </c>
      <c r="K4477" s="1">
        <v>3.383211022000622</v>
      </c>
      <c r="L4477" s="1">
        <v>4.6723714406557528</v>
      </c>
      <c r="M4477" s="1">
        <v>0.28986303734601537</v>
      </c>
      <c r="N4477" s="1">
        <v>2.4358251295725588</v>
      </c>
      <c r="O4477" s="1">
        <v>0.240383381642512</v>
      </c>
      <c r="P4477" s="1">
        <v>0.15959107985918825</v>
      </c>
      <c r="Q4477" s="1">
        <v>5.515038784618687</v>
      </c>
      <c r="R4477" s="2">
        <f t="shared" si="279"/>
        <v>216.3476825114804</v>
      </c>
      <c r="S4477" s="2">
        <f t="shared" si="278"/>
        <v>3.597736954537611</v>
      </c>
      <c r="T4477" s="2">
        <f t="shared" si="280"/>
        <v>7.6384429892168386</v>
      </c>
      <c r="U4477" s="2">
        <f t="shared" si="281"/>
        <v>227.58386245523485</v>
      </c>
    </row>
    <row r="4478" spans="1:21" x14ac:dyDescent="0.25">
      <c r="A4478">
        <v>5211817</v>
      </c>
      <c r="B4478">
        <v>69</v>
      </c>
      <c r="C4478" s="1">
        <f>5.89273882574826*(10.3/7.3)</f>
        <v>8.3144123157817926</v>
      </c>
      <c r="D4478" s="1">
        <f>9.74183763905508*(10.3/7.3)</f>
        <v>13.745332559214702</v>
      </c>
      <c r="E4478" s="1">
        <f>33.9493816458752*(10.3/7.3)</f>
        <v>47.901182322262258</v>
      </c>
      <c r="F4478" s="1">
        <f>73.8693387198862*(38.9/42.5)</f>
        <v>67.612171204789917</v>
      </c>
      <c r="G4478" s="1">
        <v>3.137055276224531</v>
      </c>
      <c r="H4478" s="1">
        <v>6.012325803998297</v>
      </c>
      <c r="I4478" s="1">
        <v>51.61234268809055</v>
      </c>
      <c r="J4478" s="1">
        <v>5.2909184101528756E-2</v>
      </c>
      <c r="K4478" s="1">
        <v>3.2914925401089197</v>
      </c>
      <c r="L4478" s="1">
        <v>4.5009130846213701</v>
      </c>
      <c r="M4478" s="1">
        <v>0.28152636893610333</v>
      </c>
      <c r="N4478" s="1">
        <v>2.3536800753818059</v>
      </c>
      <c r="O4478" s="1">
        <v>0.23098357487922708</v>
      </c>
      <c r="P4478" s="1">
        <v>0.15423489904961596</v>
      </c>
      <c r="Q4478" s="1">
        <v>5.0135586606328157</v>
      </c>
      <c r="R4478" s="2">
        <f t="shared" si="279"/>
        <v>203.3483808309949</v>
      </c>
      <c r="S4478" s="2">
        <f t="shared" si="278"/>
        <v>3.4986366232600643</v>
      </c>
      <c r="T4478" s="2">
        <f t="shared" si="280"/>
        <v>7.367103103818506</v>
      </c>
      <c r="U4478" s="2">
        <f t="shared" si="281"/>
        <v>214.21412055807346</v>
      </c>
    </row>
    <row r="4479" spans="1:21" x14ac:dyDescent="0.25">
      <c r="A4479">
        <v>5211825</v>
      </c>
      <c r="B4479">
        <v>70</v>
      </c>
      <c r="C4479" s="1">
        <f>6.97625169194211*(10.3/7.3)</f>
        <v>9.8432044420553098</v>
      </c>
      <c r="D4479" s="1">
        <f>11.4313014165769*(10.3/7.3)</f>
        <v>16.129096519279681</v>
      </c>
      <c r="E4479" s="1">
        <f>39.8700657482085*(10.3/7.3)</f>
        <v>56.255024274869548</v>
      </c>
      <c r="F4479" s="1">
        <f>85.6970158792579*(38.9/42.5)</f>
        <v>78.437974534191312</v>
      </c>
      <c r="G4479" s="1">
        <v>3.5909164311188078</v>
      </c>
      <c r="H4479" s="1">
        <v>6.6638987738914004</v>
      </c>
      <c r="I4479" s="1">
        <v>59.811385015467543</v>
      </c>
      <c r="J4479" s="1">
        <v>5.9621255992675315E-2</v>
      </c>
      <c r="K4479" s="1">
        <v>3.5926229874170414</v>
      </c>
      <c r="L4479" s="1">
        <v>5.0933381693687521</v>
      </c>
      <c r="M4479" s="1">
        <v>0.30161072903147412</v>
      </c>
      <c r="N4479" s="1">
        <v>2.6046064521050707</v>
      </c>
      <c r="O4479" s="1">
        <v>0.25090057142857142</v>
      </c>
      <c r="P4479" s="1">
        <v>0.16498491891200406</v>
      </c>
      <c r="Q4479" s="1">
        <v>5.7389075383177364</v>
      </c>
      <c r="R4479" s="2">
        <f t="shared" si="279"/>
        <v>236.47040752919133</v>
      </c>
      <c r="S4479" s="2">
        <f t="shared" si="278"/>
        <v>3.8172291623217207</v>
      </c>
      <c r="T4479" s="2">
        <f t="shared" si="280"/>
        <v>8.2504559219338685</v>
      </c>
      <c r="U4479" s="2">
        <f t="shared" si="281"/>
        <v>248.53809261344693</v>
      </c>
    </row>
    <row r="4480" spans="1:21" x14ac:dyDescent="0.25">
      <c r="A4480">
        <v>5211833</v>
      </c>
      <c r="B4480">
        <v>70</v>
      </c>
      <c r="C4480" s="1">
        <f>6.7905452920974*(10.3/7.3)</f>
        <v>9.5811803436442737</v>
      </c>
      <c r="D4480" s="1">
        <f>11.2236636432812*(10.3/7.3)</f>
        <v>15.836128154218741</v>
      </c>
      <c r="E4480" s="1">
        <f>39.1562319224913*(10.3/7.3)</f>
        <v>55.247834082419246</v>
      </c>
      <c r="F4480" s="1">
        <f>83.0443897675649*(38.9/42.5)</f>
        <v>76.01004145784178</v>
      </c>
      <c r="G4480" s="1">
        <v>3.4369175350251289</v>
      </c>
      <c r="H4480" s="1">
        <v>7.1335949710185433</v>
      </c>
      <c r="I4480" s="1">
        <v>57.605919089432135</v>
      </c>
      <c r="J4480" s="1">
        <v>5.9528269213195692E-2</v>
      </c>
      <c r="K4480" s="1">
        <v>3.5161917873644764</v>
      </c>
      <c r="L4480" s="1">
        <v>4.9485406246415735</v>
      </c>
      <c r="M4480" s="1">
        <v>0.27070652198118739</v>
      </c>
      <c r="N4480" s="1">
        <v>2.5905633303342985</v>
      </c>
      <c r="O4480" s="1">
        <v>0.24107885714285712</v>
      </c>
      <c r="P4480" s="1">
        <v>0.16007469392374135</v>
      </c>
      <c r="Q4480" s="1">
        <v>5.4927905810903939</v>
      </c>
      <c r="R4480" s="2">
        <f t="shared" si="279"/>
        <v>230.3444062146902</v>
      </c>
      <c r="S4480" s="2">
        <f t="shared" si="278"/>
        <v>3.7357947505014133</v>
      </c>
      <c r="T4480" s="2">
        <f t="shared" si="280"/>
        <v>8.0508893340999172</v>
      </c>
      <c r="U4480" s="2">
        <f t="shared" si="281"/>
        <v>242.13109029929151</v>
      </c>
    </row>
    <row r="4481" spans="1:21" x14ac:dyDescent="0.25">
      <c r="A4481">
        <v>5211841</v>
      </c>
      <c r="B4481">
        <v>69</v>
      </c>
      <c r="C4481" s="1">
        <f>7.1551679998712*(10.3/7.3)</f>
        <v>10.095647999818265</v>
      </c>
      <c r="D4481" s="1">
        <f>11.720827979659*(10.3/7.3)</f>
        <v>16.537606601436607</v>
      </c>
      <c r="E4481" s="1">
        <f>40.8984299043325*(10.3/7.3)</f>
        <v>57.706003837619896</v>
      </c>
      <c r="F4481" s="1">
        <f>86.9905424560146*(38.9/42.5)</f>
        <v>79.621931800916911</v>
      </c>
      <c r="G4481" s="1">
        <v>3.6062762683930401</v>
      </c>
      <c r="H4481" s="1">
        <v>6.9994589472738449</v>
      </c>
      <c r="I4481" s="1">
        <v>60.539623975613509</v>
      </c>
      <c r="J4481" s="1">
        <v>6.2447660164929093E-2</v>
      </c>
      <c r="K4481" s="1">
        <v>3.585162175575813</v>
      </c>
      <c r="L4481" s="1">
        <v>5.0750935804232711</v>
      </c>
      <c r="M4481" s="1">
        <v>0.27734318305664601</v>
      </c>
      <c r="N4481" s="1">
        <v>2.7040242137810329</v>
      </c>
      <c r="O4481" s="1">
        <v>0.24206067632850239</v>
      </c>
      <c r="P4481" s="1">
        <v>0.16074961439881902</v>
      </c>
      <c r="Q4481" s="1">
        <v>5.7634552234592045</v>
      </c>
      <c r="R4481" s="2">
        <f t="shared" si="279"/>
        <v>240.87000465453124</v>
      </c>
      <c r="S4481" s="2">
        <f t="shared" si="278"/>
        <v>3.808359450139561</v>
      </c>
      <c r="T4481" s="2">
        <f t="shared" si="280"/>
        <v>8.2985216535894537</v>
      </c>
      <c r="U4481" s="2">
        <f t="shared" si="281"/>
        <v>252.97688575826027</v>
      </c>
    </row>
    <row r="4482" spans="1:21" x14ac:dyDescent="0.25">
      <c r="A4482">
        <v>5211849</v>
      </c>
      <c r="B4482">
        <v>52</v>
      </c>
      <c r="C4482" s="1">
        <f>5.75849528272126*(10.3/7.3)</f>
        <v>8.1250001934286349</v>
      </c>
      <c r="D4482" s="1">
        <f>9.06213114792762*(10.3/7.3)</f>
        <v>12.786294633377324</v>
      </c>
      <c r="E4482" s="1">
        <f>31.6395642743656*(10.3/7.3)</f>
        <v>44.642124935063848</v>
      </c>
      <c r="F4482" s="1">
        <f>68.647085420657*(38.9/42.5)</f>
        <v>62.832273479142515</v>
      </c>
      <c r="G4482" s="1">
        <v>2.8867703887531726</v>
      </c>
      <c r="H4482" s="1">
        <v>8.5854362372225665</v>
      </c>
      <c r="I4482" s="1">
        <v>48.558952422987744</v>
      </c>
      <c r="J4482" s="1">
        <v>5.2589940966675464E-2</v>
      </c>
      <c r="K4482" s="1">
        <v>3.0708246937000774</v>
      </c>
      <c r="L4482" s="1">
        <v>4.0923221150661933</v>
      </c>
      <c r="M4482" s="1">
        <v>0.23973361543855104</v>
      </c>
      <c r="N4482" s="1">
        <v>2.2931591145819596</v>
      </c>
      <c r="O4482" s="1">
        <v>0.20450974358974355</v>
      </c>
      <c r="P4482" s="1">
        <v>0.13912619466391668</v>
      </c>
      <c r="Q4482" s="1">
        <v>4.6135599820256221</v>
      </c>
      <c r="R4482" s="2">
        <f t="shared" si="279"/>
        <v>193.03041227200146</v>
      </c>
      <c r="S4482" s="2">
        <f t="shared" si="278"/>
        <v>3.2625408293306695</v>
      </c>
      <c r="T4482" s="2">
        <f t="shared" si="280"/>
        <v>6.8297245886764477</v>
      </c>
      <c r="U4482" s="2">
        <f t="shared" si="281"/>
        <v>203.12267769000857</v>
      </c>
    </row>
    <row r="4483" spans="1:21" x14ac:dyDescent="0.25">
      <c r="A4483">
        <v>5211857</v>
      </c>
      <c r="B4483">
        <v>6</v>
      </c>
      <c r="C4483" s="1">
        <f>5.27796387731956*(10.3/7.3)</f>
        <v>7.4469901282727999</v>
      </c>
      <c r="D4483" s="1">
        <f>6.00719543285669*(10.3/7.3)</f>
        <v>8.4759058847156048</v>
      </c>
      <c r="E4483" s="1">
        <f>21.3167017630008*(10.3/7.3)</f>
        <v>30.07699015875453</v>
      </c>
      <c r="F4483" s="1">
        <f>43.5715257012105*(38.9/42.5)</f>
        <v>39.880761171225622</v>
      </c>
      <c r="G4483" s="1">
        <v>1.6126429638714059</v>
      </c>
      <c r="H4483" s="1">
        <v>6.9633852845442918</v>
      </c>
      <c r="I4483" s="1">
        <v>33.657877881015459</v>
      </c>
      <c r="J4483" s="1">
        <v>3.6855053433946357E-2</v>
      </c>
      <c r="K4483" s="1">
        <v>2.2526993259261072</v>
      </c>
      <c r="L4483" s="1">
        <v>2.6536301166032654</v>
      </c>
      <c r="M4483" s="1">
        <v>0.16502994284633762</v>
      </c>
      <c r="N4483" s="1">
        <v>1.6559067799732716</v>
      </c>
      <c r="O4483" s="1">
        <v>0.14341333333333331</v>
      </c>
      <c r="P4483" s="1">
        <v>0.1069529066075063</v>
      </c>
      <c r="Q4483" s="1">
        <v>2.5772832755935737</v>
      </c>
      <c r="R4483" s="2">
        <f t="shared" si="279"/>
        <v>130.69183674799328</v>
      </c>
      <c r="S4483" s="2">
        <f t="shared" si="278"/>
        <v>2.3965072859675596</v>
      </c>
      <c r="T4483" s="2">
        <f t="shared" si="280"/>
        <v>4.6179801727562078</v>
      </c>
      <c r="U4483" s="2">
        <f t="shared" si="281"/>
        <v>137.70632420671706</v>
      </c>
    </row>
    <row r="4484" spans="1:21" x14ac:dyDescent="0.25">
      <c r="A4484">
        <v>5211905</v>
      </c>
      <c r="B4484">
        <v>14</v>
      </c>
      <c r="C4484" s="1">
        <f>3.53304747189097*(10.3/7.3)</f>
        <v>4.9849847891064316</v>
      </c>
      <c r="D4484" s="1">
        <f>5.47253746778079*(10.3/7.3)</f>
        <v>7.7215254682386494</v>
      </c>
      <c r="E4484" s="1">
        <f>18.9360739458597*(10.3/7.3)</f>
        <v>26.718022142788396</v>
      </c>
      <c r="F4484" s="1">
        <f>50.2917743605644*(38.9/42.5)</f>
        <v>46.031765238257755</v>
      </c>
      <c r="G4484" s="1">
        <v>2.4977495882298735</v>
      </c>
      <c r="H4484" s="1">
        <v>7.837707384223136</v>
      </c>
      <c r="I4484" s="1">
        <v>37.422102248524297</v>
      </c>
      <c r="J4484" s="1">
        <v>3.7920299634329933E-2</v>
      </c>
      <c r="K4484" s="1">
        <v>2.1875918226333524</v>
      </c>
      <c r="L4484" s="1">
        <v>2.7596918208046297</v>
      </c>
      <c r="M4484" s="1">
        <v>0.15138412561252343</v>
      </c>
      <c r="N4484" s="1">
        <v>1.7151389286258587</v>
      </c>
      <c r="O4484" s="1">
        <v>0.12790095238095239</v>
      </c>
      <c r="P4484" s="1">
        <v>9.8418217986662851E-2</v>
      </c>
      <c r="Q4484" s="1">
        <v>3.9918372414632719</v>
      </c>
      <c r="R4484" s="2">
        <f t="shared" si="279"/>
        <v>137.20569410083181</v>
      </c>
      <c r="S4484" s="2">
        <f t="shared" si="278"/>
        <v>2.3239303402543454</v>
      </c>
      <c r="T4484" s="2">
        <f t="shared" si="280"/>
        <v>4.7541158274239637</v>
      </c>
      <c r="U4484" s="2">
        <f t="shared" si="281"/>
        <v>144.28374026851012</v>
      </c>
    </row>
    <row r="4485" spans="1:21" x14ac:dyDescent="0.25">
      <c r="A4485">
        <v>5211913</v>
      </c>
      <c r="B4485">
        <v>8</v>
      </c>
      <c r="C4485" s="1">
        <f>4.09986649939052*(10.3/7.3)</f>
        <v>5.784743142975671</v>
      </c>
      <c r="D4485" s="1">
        <f>5.98132211976987*(10.3/7.3)</f>
        <v>8.4393997032369459</v>
      </c>
      <c r="E4485" s="1">
        <f>20.8074676445591*(10.3/7.3)</f>
        <v>29.358481745062797</v>
      </c>
      <c r="F4485" s="1">
        <f>51.9905611164678*(38.9/42.5)</f>
        <v>47.586654763072886</v>
      </c>
      <c r="G4485" s="1">
        <v>2.452091758854035</v>
      </c>
      <c r="H4485" s="1">
        <v>7.0780140944020218</v>
      </c>
      <c r="I4485" s="1">
        <v>38.738864984676376</v>
      </c>
      <c r="J4485" s="1">
        <v>3.7076053629634814E-2</v>
      </c>
      <c r="K4485" s="1">
        <v>2.2163389550563499</v>
      </c>
      <c r="L4485" s="1">
        <v>2.873744634666143</v>
      </c>
      <c r="M4485" s="1">
        <v>0.15152016957832637</v>
      </c>
      <c r="N4485" s="1">
        <v>2.1938401281286324</v>
      </c>
      <c r="O4485" s="1">
        <v>0.12949999999999998</v>
      </c>
      <c r="P4485" s="1">
        <v>9.8445552483806292E-2</v>
      </c>
      <c r="Q4485" s="1">
        <v>3.9188681077575942</v>
      </c>
      <c r="R4485" s="2">
        <f t="shared" si="279"/>
        <v>143.35711830003834</v>
      </c>
      <c r="S4485" s="2">
        <f t="shared" si="278"/>
        <v>2.3518605611697909</v>
      </c>
      <c r="T4485" s="2">
        <f t="shared" si="280"/>
        <v>5.3486049323731013</v>
      </c>
      <c r="U4485" s="2">
        <f t="shared" si="281"/>
        <v>151.05758379358122</v>
      </c>
    </row>
    <row r="4486" spans="1:21" x14ac:dyDescent="0.25">
      <c r="A4486">
        <v>5212017</v>
      </c>
      <c r="B4486">
        <v>1</v>
      </c>
      <c r="C4486" s="1">
        <f>9.10893362066923*(10.3/7.3)</f>
        <v>12.852330999026444</v>
      </c>
      <c r="D4486" s="1">
        <f>14.4146057581228*(10.3/7.3)</f>
        <v>20.3384163436527</v>
      </c>
      <c r="E4486" s="1">
        <f>49.0347995821972*(10.3/7.3)</f>
        <v>69.186087081730335</v>
      </c>
      <c r="F4486" s="1">
        <f>171.328388337507*(38.9/42.5)</f>
        <v>156.81586603127099</v>
      </c>
      <c r="G4486" s="1">
        <v>9.937657439372563</v>
      </c>
      <c r="H4486" s="1">
        <v>11.511587732818759</v>
      </c>
      <c r="I4486" s="1">
        <v>133.21033531048874</v>
      </c>
      <c r="J4486" s="1">
        <v>4.8482846129977095E-2</v>
      </c>
      <c r="K4486" s="1">
        <v>2.82539128711197</v>
      </c>
      <c r="L4486" s="1">
        <v>3.5628134344092404</v>
      </c>
      <c r="M4486" s="1">
        <v>0.16410759427566224</v>
      </c>
      <c r="N4486" s="1">
        <v>2.1558557355147574</v>
      </c>
      <c r="O4486" s="1">
        <v>0.14928</v>
      </c>
      <c r="P4486" s="1">
        <v>0.10834693254153156</v>
      </c>
      <c r="Q4486" s="1">
        <v>15.882100930504114</v>
      </c>
      <c r="R4486" s="2">
        <f t="shared" si="279"/>
        <v>429.73438186886466</v>
      </c>
      <c r="S4486" s="2">
        <f t="shared" si="278"/>
        <v>2.9822210657834787</v>
      </c>
      <c r="T4486" s="2">
        <f t="shared" si="280"/>
        <v>6.0320567641996599</v>
      </c>
      <c r="U4486" s="2">
        <f t="shared" si="281"/>
        <v>438.7486596988478</v>
      </c>
    </row>
    <row r="4487" spans="1:21" x14ac:dyDescent="0.25">
      <c r="A4487">
        <v>5212025</v>
      </c>
      <c r="B4487">
        <v>3</v>
      </c>
      <c r="C4487" s="1">
        <f>9.70371605210194*(10.3/7.3)</f>
        <v>13.691544566664378</v>
      </c>
      <c r="D4487" s="1">
        <f>12.2289840634633*(10.3/7.3)</f>
        <v>17.254593952557808</v>
      </c>
      <c r="E4487" s="1">
        <f>42.9126023334699*(10.3/7.3)</f>
        <v>60.547918360923234</v>
      </c>
      <c r="F4487" s="1">
        <f>101.60394495071*(38.9/42.5)</f>
        <v>92.997493143120394</v>
      </c>
      <c r="G4487" s="1">
        <v>4.4881473838150967</v>
      </c>
      <c r="H4487" s="1">
        <v>7.8602612473871885</v>
      </c>
      <c r="I4487" s="1">
        <v>77.875261774109617</v>
      </c>
      <c r="J4487" s="1">
        <v>5.0680825676216207E-2</v>
      </c>
      <c r="K4487" s="1">
        <v>2.9159263821438217</v>
      </c>
      <c r="L4487" s="1">
        <v>3.6695739232965501</v>
      </c>
      <c r="M4487" s="1">
        <v>0.16608506936169737</v>
      </c>
      <c r="N4487" s="1">
        <v>2.4048034616997711</v>
      </c>
      <c r="O4487" s="1">
        <v>0.15223111111111112</v>
      </c>
      <c r="P4487" s="1">
        <v>0.11133522916509354</v>
      </c>
      <c r="Q4487" s="1">
        <v>7.1728382846360077</v>
      </c>
      <c r="R4487" s="2">
        <f t="shared" si="279"/>
        <v>281.8880587132137</v>
      </c>
      <c r="S4487" s="2">
        <f t="shared" si="278"/>
        <v>3.0779424369851314</v>
      </c>
      <c r="T4487" s="2">
        <f t="shared" si="280"/>
        <v>6.3926935654691297</v>
      </c>
      <c r="U4487" s="2">
        <f t="shared" si="281"/>
        <v>291.35869471566798</v>
      </c>
    </row>
    <row r="4488" spans="1:21" x14ac:dyDescent="0.25">
      <c r="A4488">
        <v>5212225</v>
      </c>
      <c r="B4488">
        <v>19</v>
      </c>
      <c r="C4488" s="1">
        <f>5.59662876681994*(10.3/7.3)</f>
        <v>7.89661319154047</v>
      </c>
      <c r="D4488" s="1">
        <f>7.216937323593*(10.3/7.3)</f>
        <v>10.182801977124376</v>
      </c>
      <c r="E4488" s="1">
        <f>25.1887544528983*(10.3/7.3)</f>
        <v>35.540297378746949</v>
      </c>
      <c r="F4488" s="1">
        <f>65.2514964935021*(38.9/42.5)</f>
        <v>59.724310908170132</v>
      </c>
      <c r="G4488" s="1">
        <v>3.1153933197064725</v>
      </c>
      <c r="H4488" s="1">
        <v>7.0181914245957993</v>
      </c>
      <c r="I4488" s="1">
        <v>50.446560927213611</v>
      </c>
      <c r="J4488" s="1">
        <v>4.4696568419457079E-2</v>
      </c>
      <c r="K4488" s="1">
        <v>2.4066641037371959</v>
      </c>
      <c r="L4488" s="1">
        <v>2.362504113596458</v>
      </c>
      <c r="M4488" s="1">
        <v>0.10616739468619973</v>
      </c>
      <c r="N4488" s="1">
        <v>2.607978061484352</v>
      </c>
      <c r="O4488" s="1">
        <v>0.10693052631578946</v>
      </c>
      <c r="P4488" s="1">
        <v>8.0774910290030852E-2</v>
      </c>
      <c r="Q4488" s="1">
        <v>4.9789390954213077</v>
      </c>
      <c r="R4488" s="2">
        <f t="shared" si="279"/>
        <v>178.90310822251911</v>
      </c>
      <c r="S4488" s="2">
        <f t="shared" si="278"/>
        <v>2.5321355824466836</v>
      </c>
      <c r="T4488" s="2">
        <f t="shared" si="280"/>
        <v>5.1835800960827996</v>
      </c>
      <c r="U4488" s="2">
        <f t="shared" si="281"/>
        <v>186.61882390104859</v>
      </c>
    </row>
    <row r="4489" spans="1:21" x14ac:dyDescent="0.25">
      <c r="A4489">
        <v>5212249</v>
      </c>
      <c r="B4489">
        <v>1</v>
      </c>
      <c r="C4489" s="1">
        <f>2.93381744861607*(10.3/7.3)</f>
        <v>4.1394958521569212</v>
      </c>
      <c r="D4489" s="1">
        <f>3.90939587976094*(10.3/7.3)</f>
        <v>5.5159969262380359</v>
      </c>
      <c r="E4489" s="1">
        <f>13.5822040692743*(10.3/7.3)</f>
        <v>19.163931768976024</v>
      </c>
      <c r="F4489" s="1">
        <f>37.390193917449*(38.9/42.5)</f>
        <v>34.223024550323906</v>
      </c>
      <c r="G4489" s="1">
        <v>1.8722967211946797</v>
      </c>
      <c r="H4489" s="1">
        <v>7.7292568932640693</v>
      </c>
      <c r="I4489" s="1">
        <v>28.955971303356023</v>
      </c>
      <c r="J4489" s="1">
        <v>2.5849597288974308E-2</v>
      </c>
      <c r="K4489" s="1">
        <v>1.6637562370905914</v>
      </c>
      <c r="L4489" s="1">
        <v>1.5677163987538907</v>
      </c>
      <c r="M4489" s="1">
        <v>7.6739615256598392E-2</v>
      </c>
      <c r="N4489" s="1">
        <v>1.0645866068407093</v>
      </c>
      <c r="O4489" s="1">
        <v>7.445333333333333E-2</v>
      </c>
      <c r="P4489" s="1">
        <v>6.043444831383056E-2</v>
      </c>
      <c r="Q4489" s="1">
        <v>2.9922550338727789</v>
      </c>
      <c r="R4489" s="2">
        <f t="shared" si="279"/>
        <v>104.59222904938244</v>
      </c>
      <c r="S4489" s="2">
        <f t="shared" ref="S4489:S4552" si="282">J4489+K4489+P4489</f>
        <v>1.7500402826933963</v>
      </c>
      <c r="T4489" s="2">
        <f t="shared" si="280"/>
        <v>2.7834959541845317</v>
      </c>
      <c r="U4489" s="2">
        <f t="shared" si="281"/>
        <v>109.12576528626036</v>
      </c>
    </row>
    <row r="4490" spans="1:21" x14ac:dyDescent="0.25">
      <c r="A4490">
        <v>5223549</v>
      </c>
      <c r="B4490">
        <v>64</v>
      </c>
      <c r="C4490" s="1">
        <f>0.734580781170019*(10.3/7.3)</f>
        <v>1.0364632939796161</v>
      </c>
      <c r="D4490" s="1">
        <f>1.07075552323501*(10.3/7.3)</f>
        <v>1.5107920396329546</v>
      </c>
      <c r="E4490" s="1">
        <f>3.7094327048397*(10.3/7.3)</f>
        <v>5.2338571040888882</v>
      </c>
      <c r="F4490" s="1">
        <f>10.0623744081149*(38.9/42.5)</f>
        <v>9.2100321053098746</v>
      </c>
      <c r="G4490" s="1">
        <v>0.50382351346732623</v>
      </c>
      <c r="H4490" s="1">
        <v>2.2094545642921029</v>
      </c>
      <c r="I4490" s="1">
        <v>7.6179302878777095</v>
      </c>
      <c r="J4490" s="1">
        <v>3.7116496665445788E-2</v>
      </c>
      <c r="K4490" s="1">
        <v>3.068191048941145</v>
      </c>
      <c r="L4490" s="1">
        <v>2.1771542702938769</v>
      </c>
      <c r="M4490" s="1">
        <v>0.89070227297023741</v>
      </c>
      <c r="N4490" s="1">
        <v>1.317989851805526</v>
      </c>
      <c r="O4490" s="1">
        <v>0.38875416666666668</v>
      </c>
      <c r="P4490" s="1">
        <v>0.19100112701435348</v>
      </c>
      <c r="Q4490" s="1">
        <v>0.80519739595234863</v>
      </c>
      <c r="R4490" s="2">
        <f t="shared" ref="R4490:R4553" si="283">C4490+D4490+E4490+F4490+G4490+H4490+I4490+Q4490</f>
        <v>28.12755030460082</v>
      </c>
      <c r="S4490" s="2">
        <f t="shared" si="282"/>
        <v>3.2963086726209445</v>
      </c>
      <c r="T4490" s="2">
        <f t="shared" ref="T4490:T4553" si="284">L4490+M4490+N4490+O4490</f>
        <v>4.7746005617363068</v>
      </c>
      <c r="U4490" s="2">
        <f t="shared" ref="U4490:U4553" si="285">R4490+S4490+T4490</f>
        <v>36.198459538958076</v>
      </c>
    </row>
    <row r="4491" spans="1:21" x14ac:dyDescent="0.25">
      <c r="A4491">
        <v>5223557</v>
      </c>
      <c r="B4491">
        <v>62</v>
      </c>
      <c r="C4491" s="1">
        <f>0.835853900860499*(10.3/7.3)</f>
        <v>1.1793555039538544</v>
      </c>
      <c r="D4491" s="1">
        <f>1.22976530169041*(10.3/7.3)</f>
        <v>1.7351483023850951</v>
      </c>
      <c r="E4491" s="1">
        <f>4.25425059492598*(10.3/7.3)</f>
        <v>6.0025727572243239</v>
      </c>
      <c r="F4491" s="1">
        <f>11.770888693343*(38.9/42.5)</f>
        <v>10.773825180495093</v>
      </c>
      <c r="G4491" s="1">
        <v>0.59777818894717727</v>
      </c>
      <c r="H4491" s="1">
        <v>2.7940606480226737</v>
      </c>
      <c r="I4491" s="1">
        <v>8.9253746829440885</v>
      </c>
      <c r="J4491" s="1">
        <v>4.2856494825446061E-2</v>
      </c>
      <c r="K4491" s="1">
        <v>3.4029882377522522</v>
      </c>
      <c r="L4491" s="1">
        <v>2.4263095925326019</v>
      </c>
      <c r="M4491" s="1">
        <v>1.1002305554212997</v>
      </c>
      <c r="N4491" s="1">
        <v>1.5162413355321191</v>
      </c>
      <c r="O4491" s="1">
        <v>0.43302709677419354</v>
      </c>
      <c r="P4491" s="1">
        <v>0.20108673538306898</v>
      </c>
      <c r="Q4491" s="1">
        <v>0.9553532700069054</v>
      </c>
      <c r="R4491" s="2">
        <f t="shared" si="283"/>
        <v>32.96346853397921</v>
      </c>
      <c r="S4491" s="2">
        <f t="shared" si="282"/>
        <v>3.6469314679607674</v>
      </c>
      <c r="T4491" s="2">
        <f t="shared" si="284"/>
        <v>5.4758085802602139</v>
      </c>
      <c r="U4491" s="2">
        <f t="shared" si="285"/>
        <v>42.086208582200193</v>
      </c>
    </row>
    <row r="4492" spans="1:21" x14ac:dyDescent="0.25">
      <c r="A4492">
        <v>5223565</v>
      </c>
      <c r="B4492">
        <v>62</v>
      </c>
      <c r="C4492" s="1">
        <f>0.848226643115748*(10.3/7.3)</f>
        <v>1.1968129348071517</v>
      </c>
      <c r="D4492" s="1">
        <f>1.26064025255876*(10.3/7.3)</f>
        <v>1.7787115892267436</v>
      </c>
      <c r="E4492" s="1">
        <f>4.35292189477076*(10.3/7.3)</f>
        <v>6.1417939063203901</v>
      </c>
      <c r="F4492" s="1">
        <f>12.3741871172884*(38.9/42.5)</f>
        <v>11.326020679118123</v>
      </c>
      <c r="G4492" s="1">
        <v>0.64003682064590428</v>
      </c>
      <c r="H4492" s="1">
        <v>3.3250400411507295</v>
      </c>
      <c r="I4492" s="1">
        <v>9.4082977994623818</v>
      </c>
      <c r="J4492" s="1">
        <v>4.941498218115957E-2</v>
      </c>
      <c r="K4492" s="1">
        <v>3.6248104187198713</v>
      </c>
      <c r="L4492" s="1">
        <v>2.6304386712713845</v>
      </c>
      <c r="M4492" s="1">
        <v>1.3634030003062136</v>
      </c>
      <c r="N4492" s="1">
        <v>1.7787003524877516</v>
      </c>
      <c r="O4492" s="1">
        <v>0.46367397849462355</v>
      </c>
      <c r="P4492" s="1">
        <v>0.20769692664412484</v>
      </c>
      <c r="Q4492" s="1">
        <v>1.0228898960094372</v>
      </c>
      <c r="R4492" s="2">
        <f t="shared" si="283"/>
        <v>34.839603666740864</v>
      </c>
      <c r="S4492" s="2">
        <f t="shared" si="282"/>
        <v>3.8819223275451558</v>
      </c>
      <c r="T4492" s="2">
        <f t="shared" si="284"/>
        <v>6.2362160025599742</v>
      </c>
      <c r="U4492" s="2">
        <f t="shared" si="285"/>
        <v>44.957741996845996</v>
      </c>
    </row>
    <row r="4493" spans="1:21" x14ac:dyDescent="0.25">
      <c r="A4493">
        <v>5223773</v>
      </c>
      <c r="B4493">
        <v>27</v>
      </c>
      <c r="C4493" s="1">
        <f>1.65192264432364*(10.3/7.3)</f>
        <v>2.330794963908692</v>
      </c>
      <c r="D4493" s="1">
        <f>2.98050709221215*(10.3/7.3)</f>
        <v>4.2053730205185156</v>
      </c>
      <c r="E4493" s="1">
        <f>10.1489481835784*(10.3/7.3)</f>
        <v>14.319748806966778</v>
      </c>
      <c r="F4493" s="1">
        <f>32.6096407948151*(38.9/42.5)</f>
        <v>29.847412398077825</v>
      </c>
      <c r="G4493" s="1">
        <v>1.8341076699568977</v>
      </c>
      <c r="H4493" s="1">
        <v>9.2546551704754378</v>
      </c>
      <c r="I4493" s="1">
        <v>24.492841545616852</v>
      </c>
      <c r="J4493" s="1">
        <v>5.9404538289667755E-2</v>
      </c>
      <c r="K4493" s="1">
        <v>3.7622257606464435</v>
      </c>
      <c r="L4493" s="1">
        <v>5.3880932820654603</v>
      </c>
      <c r="M4493" s="1">
        <v>1.0094922470685059</v>
      </c>
      <c r="N4493" s="1">
        <v>3.1700764748433476</v>
      </c>
      <c r="O4493" s="1">
        <v>0.34198123456790125</v>
      </c>
      <c r="P4493" s="1">
        <v>0.18843897132648316</v>
      </c>
      <c r="Q4493" s="1">
        <v>2.9312223035840876</v>
      </c>
      <c r="R4493" s="2">
        <f t="shared" si="283"/>
        <v>89.216155879105102</v>
      </c>
      <c r="S4493" s="2">
        <f t="shared" si="282"/>
        <v>4.0100692702625942</v>
      </c>
      <c r="T4493" s="2">
        <f t="shared" si="284"/>
        <v>9.9096432385452164</v>
      </c>
      <c r="U4493" s="2">
        <f t="shared" si="285"/>
        <v>103.13586838791291</v>
      </c>
    </row>
    <row r="4494" spans="1:21" x14ac:dyDescent="0.25">
      <c r="A4494">
        <v>5223781</v>
      </c>
      <c r="B4494">
        <v>3</v>
      </c>
      <c r="C4494" s="1">
        <f>1.05427841250159*(10.3/7.3)</f>
        <v>1.4875435135296462</v>
      </c>
      <c r="D4494" s="1">
        <f>1.80696332730651*(10.3/7.3)</f>
        <v>2.5495509960626124</v>
      </c>
      <c r="E4494" s="1">
        <f>6.17711853125849*(10.3/7.3)</f>
        <v>8.7156603934195154</v>
      </c>
      <c r="F4494" s="1">
        <f>19.1274199741611*(38.9/42.5)</f>
        <v>17.507214988114541</v>
      </c>
      <c r="G4494" s="1">
        <v>1.0518480720216912</v>
      </c>
      <c r="H4494" s="1">
        <v>5.7205234633762325</v>
      </c>
      <c r="I4494" s="1">
        <v>14.385265076545304</v>
      </c>
      <c r="J4494" s="1">
        <v>4.5065652704163905E-2</v>
      </c>
      <c r="K4494" s="1">
        <v>2.9993606760555616</v>
      </c>
      <c r="L4494" s="1">
        <v>3.813667118685466</v>
      </c>
      <c r="M4494" s="1">
        <v>0.69983260546989057</v>
      </c>
      <c r="N4494" s="1">
        <v>2.9125758672794717</v>
      </c>
      <c r="O4494" s="1">
        <v>0.26227555555555554</v>
      </c>
      <c r="P4494" s="1">
        <v>0.15685476555531849</v>
      </c>
      <c r="Q4494" s="1">
        <v>1.681035731541517</v>
      </c>
      <c r="R4494" s="2">
        <f t="shared" si="283"/>
        <v>53.098642234611063</v>
      </c>
      <c r="S4494" s="2">
        <f t="shared" si="282"/>
        <v>3.2012810943150436</v>
      </c>
      <c r="T4494" s="2">
        <f t="shared" si="284"/>
        <v>7.6883511469903834</v>
      </c>
      <c r="U4494" s="2">
        <f t="shared" si="285"/>
        <v>63.988274475916491</v>
      </c>
    </row>
    <row r="4495" spans="1:21" x14ac:dyDescent="0.25">
      <c r="A4495">
        <v>5223965</v>
      </c>
      <c r="B4495">
        <v>8</v>
      </c>
      <c r="C4495" s="1">
        <f>7.00147209813464*(10.3/7.3)</f>
        <v>9.8787893987379167</v>
      </c>
      <c r="D4495" s="1">
        <f>13.7293051821145*(10.3/7.3)</f>
        <v>19.371485393942404</v>
      </c>
      <c r="E4495" s="1">
        <f>47.7407381528212*(10.3/7.3)</f>
        <v>67.360219585487386</v>
      </c>
      <c r="F4495" s="1">
        <f>96.0599737600533*(38.9/42.5)</f>
        <v>87.923128923907569</v>
      </c>
      <c r="G4495" s="1">
        <v>3.849742484611181</v>
      </c>
      <c r="H4495" s="1">
        <v>7.0498817491255839</v>
      </c>
      <c r="I4495" s="1">
        <v>62.608978504655454</v>
      </c>
      <c r="J4495" s="1">
        <v>7.37097532675796E-2</v>
      </c>
      <c r="K4495" s="1">
        <v>3.4224586535804677</v>
      </c>
      <c r="L4495" s="1">
        <v>4.5652768232452186</v>
      </c>
      <c r="M4495" s="1">
        <v>0.35258720821699902</v>
      </c>
      <c r="N4495" s="1">
        <v>3.3520752662868132</v>
      </c>
      <c r="O4495" s="1">
        <v>0.26287333333333329</v>
      </c>
      <c r="P4495" s="1">
        <v>0.16838555670691577</v>
      </c>
      <c r="Q4495" s="1">
        <v>6.1525564822553171</v>
      </c>
      <c r="R4495" s="2">
        <f t="shared" si="283"/>
        <v>264.19478252272279</v>
      </c>
      <c r="S4495" s="2">
        <f t="shared" si="282"/>
        <v>3.6645539635549631</v>
      </c>
      <c r="T4495" s="2">
        <f t="shared" si="284"/>
        <v>8.5328126310823631</v>
      </c>
      <c r="U4495" s="2">
        <f t="shared" si="285"/>
        <v>276.39214911736013</v>
      </c>
    </row>
    <row r="4496" spans="1:21" x14ac:dyDescent="0.25">
      <c r="A4496">
        <v>5223973</v>
      </c>
      <c r="B4496">
        <v>66</v>
      </c>
      <c r="C4496" s="1">
        <f>6.96503744990234*(10.3/7.3)</f>
        <v>9.8273816073964522</v>
      </c>
      <c r="D4496" s="1">
        <f>12.9740347206094*(10.3/7.3)</f>
        <v>18.305829811270751</v>
      </c>
      <c r="E4496" s="1">
        <f>45.1753472791441*(10.3/7.3)</f>
        <v>63.740558489751336</v>
      </c>
      <c r="F4496" s="1">
        <f>91.3328466226612*(38.9/42.5)</f>
        <v>83.596417261682817</v>
      </c>
      <c r="G4496" s="1">
        <v>3.6537016218788141</v>
      </c>
      <c r="H4496" s="1">
        <v>7.0534189684773914</v>
      </c>
      <c r="I4496" s="1">
        <v>60.435093159352292</v>
      </c>
      <c r="J4496" s="1">
        <v>7.5680367812494431E-2</v>
      </c>
      <c r="K4496" s="1">
        <v>3.8341623791287587</v>
      </c>
      <c r="L4496" s="1">
        <v>5.2963356127739463</v>
      </c>
      <c r="M4496" s="1">
        <v>0.40338803364753489</v>
      </c>
      <c r="N4496" s="1">
        <v>3.059151184745613</v>
      </c>
      <c r="O4496" s="1">
        <v>0.29152484848484844</v>
      </c>
      <c r="P4496" s="1">
        <v>0.18602094083208429</v>
      </c>
      <c r="Q4496" s="1">
        <v>5.8392491673862379</v>
      </c>
      <c r="R4496" s="2">
        <f t="shared" si="283"/>
        <v>252.45165008719607</v>
      </c>
      <c r="S4496" s="2">
        <f t="shared" si="282"/>
        <v>4.0958636877733374</v>
      </c>
      <c r="T4496" s="2">
        <f t="shared" si="284"/>
        <v>9.0503996796519424</v>
      </c>
      <c r="U4496" s="2">
        <f t="shared" si="285"/>
        <v>265.59791345462133</v>
      </c>
    </row>
    <row r="4497" spans="1:21" x14ac:dyDescent="0.25">
      <c r="A4497">
        <v>5223981</v>
      </c>
      <c r="B4497">
        <v>71</v>
      </c>
      <c r="C4497" s="1">
        <f>7.00309191164454*(10.3/7.3)</f>
        <v>9.8810748890327016</v>
      </c>
      <c r="D4497" s="1">
        <f>12.9540678834551*(10.3/7.3)</f>
        <v>18.277657424601081</v>
      </c>
      <c r="E4497" s="1">
        <f>45.0921916725537*(10.3/7.3)</f>
        <v>63.623229346205953</v>
      </c>
      <c r="F4497" s="1">
        <f>92.3438515124376*(38.9/42.5)</f>
        <v>84.521784090207561</v>
      </c>
      <c r="G4497" s="1">
        <v>3.7425684392767238</v>
      </c>
      <c r="H4497" s="1">
        <v>7.2043878775031853</v>
      </c>
      <c r="I4497" s="1">
        <v>61.488783990314289</v>
      </c>
      <c r="J4497" s="1">
        <v>6.9468775698247942E-2</v>
      </c>
      <c r="K4497" s="1">
        <v>3.8586807587296623</v>
      </c>
      <c r="L4497" s="1">
        <v>5.4061128101356184</v>
      </c>
      <c r="M4497" s="1">
        <v>0.39793299989248621</v>
      </c>
      <c r="N4497" s="1">
        <v>3.144537664586355</v>
      </c>
      <c r="O4497" s="1">
        <v>0.29334910798122066</v>
      </c>
      <c r="P4497" s="1">
        <v>0.18727086474139615</v>
      </c>
      <c r="Q4497" s="1">
        <v>5.9812737614011615</v>
      </c>
      <c r="R4497" s="2">
        <f t="shared" si="283"/>
        <v>254.72075981854269</v>
      </c>
      <c r="S4497" s="2">
        <f t="shared" si="282"/>
        <v>4.1154203991693068</v>
      </c>
      <c r="T4497" s="2">
        <f t="shared" si="284"/>
        <v>9.2419325825956804</v>
      </c>
      <c r="U4497" s="2">
        <f t="shared" si="285"/>
        <v>268.07811280030768</v>
      </c>
    </row>
    <row r="4498" spans="1:21" x14ac:dyDescent="0.25">
      <c r="A4498">
        <v>5223989</v>
      </c>
      <c r="B4498">
        <v>69</v>
      </c>
      <c r="C4498" s="1">
        <f>6.71898652036051*(10.3/7.3)</f>
        <v>9.4802138574949666</v>
      </c>
      <c r="D4498" s="1">
        <f>12.4398457981435*(10.3/7.3)</f>
        <v>17.552111194640766</v>
      </c>
      <c r="E4498" s="1">
        <f>43.2747798414905*(10.3/7.3)</f>
        <v>61.058935940733136</v>
      </c>
      <c r="F4498" s="1">
        <f>89.9468184259662*(38.9/42.5)</f>
        <v>82.327793806354961</v>
      </c>
      <c r="G4498" s="1">
        <v>3.7036192149042204</v>
      </c>
      <c r="H4498" s="1">
        <v>6.9808135858360334</v>
      </c>
      <c r="I4498" s="1">
        <v>60.179527023864807</v>
      </c>
      <c r="J4498" s="1">
        <v>6.5001822843948093E-2</v>
      </c>
      <c r="K4498" s="1">
        <v>3.7812761765208234</v>
      </c>
      <c r="L4498" s="1">
        <v>5.3013150967011198</v>
      </c>
      <c r="M4498" s="1">
        <v>0.38266371546054223</v>
      </c>
      <c r="N4498" s="1">
        <v>3.059646616025443</v>
      </c>
      <c r="O4498" s="1">
        <v>0.28609468599033827</v>
      </c>
      <c r="P4498" s="1">
        <v>0.1834612034266658</v>
      </c>
      <c r="Q4498" s="1">
        <v>5.9190261425409991</v>
      </c>
      <c r="R4498" s="2">
        <f t="shared" si="283"/>
        <v>247.20204076636989</v>
      </c>
      <c r="S4498" s="2">
        <f t="shared" si="282"/>
        <v>4.0297392027914372</v>
      </c>
      <c r="T4498" s="2">
        <f t="shared" si="284"/>
        <v>9.0297201141774437</v>
      </c>
      <c r="U4498" s="2">
        <f t="shared" si="285"/>
        <v>260.26150008333877</v>
      </c>
    </row>
    <row r="4499" spans="1:21" x14ac:dyDescent="0.25">
      <c r="A4499">
        <v>5223997</v>
      </c>
      <c r="B4499">
        <v>69</v>
      </c>
      <c r="C4499" s="1">
        <f>6.68235521882837*(10.3/7.3)</f>
        <v>9.4285285964290715</v>
      </c>
      <c r="D4499" s="1">
        <f>12.3720412593266*(10.3/7.3)</f>
        <v>17.456441776858142</v>
      </c>
      <c r="E4499" s="1">
        <f>42.997296208653*(10.3/7.3)</f>
        <v>60.667417938236447</v>
      </c>
      <c r="F4499" s="1">
        <f>91.473415116646*(38.9/42.5)</f>
        <v>83.725078777353616</v>
      </c>
      <c r="G4499" s="1">
        <v>3.8568021807319601</v>
      </c>
      <c r="H4499" s="1">
        <v>7.1744721962789066</v>
      </c>
      <c r="I4499" s="1">
        <v>61.671868711736032</v>
      </c>
      <c r="J4499" s="1">
        <v>6.3492841194750627E-2</v>
      </c>
      <c r="K4499" s="1">
        <v>3.7528758384742584</v>
      </c>
      <c r="L4499" s="1">
        <v>5.3000849319946184</v>
      </c>
      <c r="M4499" s="1">
        <v>0.37268367644076661</v>
      </c>
      <c r="N4499" s="1">
        <v>2.8413716274769367</v>
      </c>
      <c r="O4499" s="1">
        <v>0.28180251207729473</v>
      </c>
      <c r="P4499" s="1">
        <v>0.18113233184821173</v>
      </c>
      <c r="Q4499" s="1">
        <v>6.163839101626424</v>
      </c>
      <c r="R4499" s="2">
        <f t="shared" si="283"/>
        <v>250.14444927925061</v>
      </c>
      <c r="S4499" s="2">
        <f t="shared" si="282"/>
        <v>3.9975010115172207</v>
      </c>
      <c r="T4499" s="2">
        <f t="shared" si="284"/>
        <v>8.7959427479896171</v>
      </c>
      <c r="U4499" s="2">
        <f t="shared" si="285"/>
        <v>262.93789303875747</v>
      </c>
    </row>
    <row r="4500" spans="1:21" x14ac:dyDescent="0.25">
      <c r="A4500">
        <v>5224005</v>
      </c>
      <c r="B4500">
        <v>67</v>
      </c>
      <c r="C4500" s="1">
        <f>6.7549101496234*(10.3/7.3)</f>
        <v>9.5309006220713783</v>
      </c>
      <c r="D4500" s="1">
        <f>12.5762464148038*(10.3/7.3)</f>
        <v>17.744566859243754</v>
      </c>
      <c r="E4500" s="1">
        <f>43.6149013699435*(10.3/7.3)</f>
        <v>61.538833439783303</v>
      </c>
      <c r="F4500" s="1">
        <f>97.066817224023*(38.9/42.5)</f>
        <v>88.844686823870504</v>
      </c>
      <c r="G4500" s="1">
        <v>4.274966748716575</v>
      </c>
      <c r="H4500" s="1">
        <v>8.4794360554317834</v>
      </c>
      <c r="I4500" s="1">
        <v>66.292513068115753</v>
      </c>
      <c r="J4500" s="1">
        <v>6.3957113587159511E-2</v>
      </c>
      <c r="K4500" s="1">
        <v>3.7780759066421084</v>
      </c>
      <c r="L4500" s="1">
        <v>5.3948900250637086</v>
      </c>
      <c r="M4500" s="1">
        <v>0.36877743489869302</v>
      </c>
      <c r="N4500" s="1">
        <v>2.860011817427552</v>
      </c>
      <c r="O4500" s="1">
        <v>0.28098865671641782</v>
      </c>
      <c r="P4500" s="1">
        <v>0.18076128214781337</v>
      </c>
      <c r="Q4500" s="1">
        <v>6.8321386395013848</v>
      </c>
      <c r="R4500" s="2">
        <f t="shared" si="283"/>
        <v>263.53804225673446</v>
      </c>
      <c r="S4500" s="2">
        <f t="shared" si="282"/>
        <v>4.0227943023770809</v>
      </c>
      <c r="T4500" s="2">
        <f t="shared" si="284"/>
        <v>8.9046679341063708</v>
      </c>
      <c r="U4500" s="2">
        <f t="shared" si="285"/>
        <v>276.46550449321791</v>
      </c>
    </row>
    <row r="4501" spans="1:21" x14ac:dyDescent="0.25">
      <c r="A4501">
        <v>5224013</v>
      </c>
      <c r="B4501">
        <v>51</v>
      </c>
      <c r="C4501" s="1">
        <f>4.26466656787657*(10.3/7.3)</f>
        <v>6.0172692670039227</v>
      </c>
      <c r="D4501" s="1">
        <f>8.39420792761251*(10.3/7.3)</f>
        <v>11.843882418412173</v>
      </c>
      <c r="E4501" s="1">
        <f>28.8408829086447*(10.3/7.3)</f>
        <v>40.693300542334349</v>
      </c>
      <c r="F4501" s="1">
        <f>75.4474437896966*(38.9/42.5)</f>
        <v>69.056601492216444</v>
      </c>
      <c r="G4501" s="1">
        <v>3.7921187898041433</v>
      </c>
      <c r="H4501" s="1">
        <v>6.2149677501546465</v>
      </c>
      <c r="I4501" s="1">
        <v>53.331377096850609</v>
      </c>
      <c r="J4501" s="1">
        <v>4.3419123246215822E-2</v>
      </c>
      <c r="K4501" s="1">
        <v>2.7858986357570319</v>
      </c>
      <c r="L4501" s="1">
        <v>3.5500598019360199</v>
      </c>
      <c r="M4501" s="1">
        <v>0.25238822155823559</v>
      </c>
      <c r="N4501" s="1">
        <v>1.9685640067359489</v>
      </c>
      <c r="O4501" s="1">
        <v>0.20145673202614367</v>
      </c>
      <c r="P4501" s="1">
        <v>0.13922354262887374</v>
      </c>
      <c r="Q4501" s="1">
        <v>6.0604638193216998</v>
      </c>
      <c r="R4501" s="2">
        <f t="shared" si="283"/>
        <v>197.00998117609799</v>
      </c>
      <c r="S4501" s="2">
        <f t="shared" si="282"/>
        <v>2.9685413016321216</v>
      </c>
      <c r="T4501" s="2">
        <f t="shared" si="284"/>
        <v>5.9724687622563488</v>
      </c>
      <c r="U4501" s="2">
        <f t="shared" si="285"/>
        <v>205.95099123998645</v>
      </c>
    </row>
    <row r="4502" spans="1:21" x14ac:dyDescent="0.25">
      <c r="A4502">
        <v>5224021</v>
      </c>
      <c r="B4502">
        <v>64</v>
      </c>
      <c r="C4502" s="1">
        <f>5.26910188461908*(10.3/7.3)</f>
        <v>7.4344862207639109</v>
      </c>
      <c r="D4502" s="1">
        <f>9.70096373000445*(10.3/7.3)</f>
        <v>13.687661153293945</v>
      </c>
      <c r="E4502" s="1">
        <f>33.518375654546*(10.3/7.3)</f>
        <v>47.293050581071704</v>
      </c>
      <c r="F4502" s="1">
        <f>81.5197779763813*(38.9/42.5)</f>
        <v>74.614573253676085</v>
      </c>
      <c r="G4502" s="1">
        <v>3.8634058247595835</v>
      </c>
      <c r="H4502" s="1">
        <v>6.3570177752556676</v>
      </c>
      <c r="I4502" s="1">
        <v>57.262805509261973</v>
      </c>
      <c r="J4502" s="1">
        <v>5.2443611637105605E-2</v>
      </c>
      <c r="K4502" s="1">
        <v>3.2173064622307992</v>
      </c>
      <c r="L4502" s="1">
        <v>4.3701997329347178</v>
      </c>
      <c r="M4502" s="1">
        <v>0.29371334399359478</v>
      </c>
      <c r="N4502" s="1">
        <v>2.3729952233323828</v>
      </c>
      <c r="O4502" s="1">
        <v>0.23284666666666665</v>
      </c>
      <c r="P4502" s="1">
        <v>0.15571613350411267</v>
      </c>
      <c r="Q4502" s="1">
        <v>6.1743928706203457</v>
      </c>
      <c r="R4502" s="2">
        <f t="shared" si="283"/>
        <v>216.6873931887032</v>
      </c>
      <c r="S4502" s="2">
        <f t="shared" si="282"/>
        <v>3.4254662073720175</v>
      </c>
      <c r="T4502" s="2">
        <f t="shared" si="284"/>
        <v>7.269754966927362</v>
      </c>
      <c r="U4502" s="2">
        <f t="shared" si="285"/>
        <v>227.38261436300257</v>
      </c>
    </row>
    <row r="4503" spans="1:21" x14ac:dyDescent="0.25">
      <c r="A4503">
        <v>5224029</v>
      </c>
      <c r="B4503">
        <v>65</v>
      </c>
      <c r="C4503" s="1">
        <f>2.78238690368479*(10.3/7.3)</f>
        <v>3.9258335764319621</v>
      </c>
      <c r="D4503" s="1">
        <f>4.88209475417036*(10.3/7.3)</f>
        <v>6.8884350641033816</v>
      </c>
      <c r="E4503" s="1">
        <f>16.9322728958002*(10.3/7.3)</f>
        <v>23.890741209142703</v>
      </c>
      <c r="F4503" s="1">
        <f>39.2451372046896*(38.9/42.5)</f>
        <v>35.92084322970409</v>
      </c>
      <c r="G4503" s="1">
        <v>1.779197726197651</v>
      </c>
      <c r="H4503" s="1">
        <v>3.851321298234911</v>
      </c>
      <c r="I4503" s="1">
        <v>27.498569712409804</v>
      </c>
      <c r="J4503" s="1">
        <v>3.4309109419596071E-2</v>
      </c>
      <c r="K4503" s="1">
        <v>2.3339868145564586</v>
      </c>
      <c r="L4503" s="1">
        <v>2.7764935509633544</v>
      </c>
      <c r="M4503" s="1">
        <v>0.19804242353745694</v>
      </c>
      <c r="N4503" s="1">
        <v>1.6471876048783831</v>
      </c>
      <c r="O4503" s="1">
        <v>0.16040533333333326</v>
      </c>
      <c r="P4503" s="1">
        <v>0.11880674108127447</v>
      </c>
      <c r="Q4503" s="1">
        <v>2.8434666857040121</v>
      </c>
      <c r="R4503" s="2">
        <f t="shared" si="283"/>
        <v>106.59840850192852</v>
      </c>
      <c r="S4503" s="2">
        <f t="shared" si="282"/>
        <v>2.4871026650573289</v>
      </c>
      <c r="T4503" s="2">
        <f t="shared" si="284"/>
        <v>4.7821289127125279</v>
      </c>
      <c r="U4503" s="2">
        <f t="shared" si="285"/>
        <v>113.86764007969838</v>
      </c>
    </row>
    <row r="4504" spans="1:21" x14ac:dyDescent="0.25">
      <c r="A4504">
        <v>5224037</v>
      </c>
      <c r="B4504">
        <v>64</v>
      </c>
      <c r="C4504" s="1">
        <f>3.9348927883674*(10.3/7.3)</f>
        <v>5.5519720164635986</v>
      </c>
      <c r="D4504" s="1">
        <f>6.75590091537538*(10.3/7.3)</f>
        <v>9.5322985518310226</v>
      </c>
      <c r="E4504" s="1">
        <f>23.4733280487372*(10.3/7.3)</f>
        <v>33.119901219451158</v>
      </c>
      <c r="F4504" s="1">
        <f>53.1113560722887*(38.9/42.5)</f>
        <v>48.612511793224215</v>
      </c>
      <c r="G4504" s="1">
        <v>2.3514189274538375</v>
      </c>
      <c r="H4504" s="1">
        <v>4.8650587326660037</v>
      </c>
      <c r="I4504" s="1">
        <v>37.159021718947066</v>
      </c>
      <c r="J4504" s="1">
        <v>4.0669119011176882E-2</v>
      </c>
      <c r="K4504" s="1">
        <v>2.696336365260823</v>
      </c>
      <c r="L4504" s="1">
        <v>3.3304146583600933</v>
      </c>
      <c r="M4504" s="1">
        <v>0.22908325273892624</v>
      </c>
      <c r="N4504" s="1">
        <v>1.8820828357141779</v>
      </c>
      <c r="O4504" s="1">
        <v>0.18880499999999997</v>
      </c>
      <c r="P4504" s="1">
        <v>0.13294279646032031</v>
      </c>
      <c r="Q4504" s="1">
        <v>3.7579754548349023</v>
      </c>
      <c r="R4504" s="2">
        <f t="shared" si="283"/>
        <v>144.95015841487179</v>
      </c>
      <c r="S4504" s="2">
        <f t="shared" si="282"/>
        <v>2.86994828073232</v>
      </c>
      <c r="T4504" s="2">
        <f t="shared" si="284"/>
        <v>5.6303857468131984</v>
      </c>
      <c r="U4504" s="2">
        <f t="shared" si="285"/>
        <v>153.45049244241733</v>
      </c>
    </row>
    <row r="4505" spans="1:21" x14ac:dyDescent="0.25">
      <c r="A4505">
        <v>5224045</v>
      </c>
      <c r="B4505">
        <v>64</v>
      </c>
      <c r="C4505" s="1">
        <f>6.75353544842469*(10.3/7.3)</f>
        <v>9.5289609751745576</v>
      </c>
      <c r="D4505" s="1">
        <f>11.2857082394356*(10.3/7.3)</f>
        <v>15.923670529614553</v>
      </c>
      <c r="E4505" s="1">
        <f>39.2962060943563*(10.3/7.3)</f>
        <v>55.445331886557561</v>
      </c>
      <c r="F4505" s="1">
        <f>86.460526386163*(38.9/42.5)</f>
        <v>79.136811209923309</v>
      </c>
      <c r="G4505" s="1">
        <v>3.716981759905408</v>
      </c>
      <c r="H4505" s="1">
        <v>6.6795425172775307</v>
      </c>
      <c r="I4505" s="1">
        <v>60.42931445044028</v>
      </c>
      <c r="J4505" s="1">
        <v>5.937276337264321E-2</v>
      </c>
      <c r="K4505" s="1">
        <v>3.6010708996201024</v>
      </c>
      <c r="L4505" s="1">
        <v>5.0992589574908349</v>
      </c>
      <c r="M4505" s="1">
        <v>0.31549192740145865</v>
      </c>
      <c r="N4505" s="1">
        <v>2.6090931073437105</v>
      </c>
      <c r="O4505" s="1">
        <v>0.25605666666666665</v>
      </c>
      <c r="P4505" s="1">
        <v>0.16752686605590159</v>
      </c>
      <c r="Q4505" s="1">
        <v>5.9403818080680093</v>
      </c>
      <c r="R4505" s="2">
        <f t="shared" si="283"/>
        <v>236.80099513696118</v>
      </c>
      <c r="S4505" s="2">
        <f t="shared" si="282"/>
        <v>3.8279705290486472</v>
      </c>
      <c r="T4505" s="2">
        <f t="shared" si="284"/>
        <v>8.2799006589026689</v>
      </c>
      <c r="U4505" s="2">
        <f t="shared" si="285"/>
        <v>248.90886632491251</v>
      </c>
    </row>
    <row r="4506" spans="1:21" x14ac:dyDescent="0.25">
      <c r="A4506">
        <v>5224053</v>
      </c>
      <c r="B4506">
        <v>62</v>
      </c>
      <c r="C4506" s="1">
        <f>6.54868819055123*(10.3/7.3)</f>
        <v>9.239929912695569</v>
      </c>
      <c r="D4506" s="1">
        <f>10.8031295602637*(10.3/7.3)</f>
        <v>15.242771845303587</v>
      </c>
      <c r="E4506" s="1">
        <f>37.6594521044627*(10.3/7.3)</f>
        <v>53.135939270680247</v>
      </c>
      <c r="F4506" s="1">
        <f>81.496760563284*(38.9/42.5)</f>
        <v>74.593505550864634</v>
      </c>
      <c r="G4506" s="1">
        <v>3.4414160114011936</v>
      </c>
      <c r="H4506" s="1">
        <v>6.4550255431310442</v>
      </c>
      <c r="I4506" s="1">
        <v>56.886741881437402</v>
      </c>
      <c r="J4506" s="1">
        <v>5.7083957023399273E-2</v>
      </c>
      <c r="K4506" s="1">
        <v>3.4918932290122751</v>
      </c>
      <c r="L4506" s="1">
        <v>4.8869540456746501</v>
      </c>
      <c r="M4506" s="1">
        <v>0.30074244692273705</v>
      </c>
      <c r="N4506" s="1">
        <v>2.5127343367506296</v>
      </c>
      <c r="O4506" s="1">
        <v>0.24548903225806451</v>
      </c>
      <c r="P4506" s="1">
        <v>0.1618132634966791</v>
      </c>
      <c r="Q4506" s="1">
        <v>5.4999799268968905</v>
      </c>
      <c r="R4506" s="2">
        <f t="shared" si="283"/>
        <v>224.49530994241056</v>
      </c>
      <c r="S4506" s="2">
        <f t="shared" si="282"/>
        <v>3.7107904495323534</v>
      </c>
      <c r="T4506" s="2">
        <f t="shared" si="284"/>
        <v>7.9459198616060815</v>
      </c>
      <c r="U4506" s="2">
        <f t="shared" si="285"/>
        <v>236.15202025354898</v>
      </c>
    </row>
    <row r="4507" spans="1:21" x14ac:dyDescent="0.25">
      <c r="A4507">
        <v>5224061</v>
      </c>
      <c r="B4507">
        <v>62</v>
      </c>
      <c r="C4507" s="1">
        <f>6.62340002462628*(10.3/7.3)</f>
        <v>9.345345240226127</v>
      </c>
      <c r="D4507" s="1">
        <f>11.043575990574*(10.3/7.3)</f>
        <v>15.582031877111227</v>
      </c>
      <c r="E4507" s="1">
        <f>38.5129543110813*(10.3/7.3)</f>
        <v>54.340195808786</v>
      </c>
      <c r="F4507" s="1">
        <f>81.8535312709969*(38.9/42.5)</f>
        <v>74.920055680983026</v>
      </c>
      <c r="G4507" s="1">
        <v>3.3993113998597702</v>
      </c>
      <c r="H4507" s="1">
        <v>7.1307436178306105</v>
      </c>
      <c r="I4507" s="1">
        <v>56.681394776564822</v>
      </c>
      <c r="J4507" s="1">
        <v>5.8234412751767675E-2</v>
      </c>
      <c r="K4507" s="1">
        <v>3.4952841758549367</v>
      </c>
      <c r="L4507" s="1">
        <v>4.9089774488480575</v>
      </c>
      <c r="M4507" s="1">
        <v>0.28231256541413113</v>
      </c>
      <c r="N4507" s="1">
        <v>2.541744392566005</v>
      </c>
      <c r="O4507" s="1">
        <v>0.24319225806451611</v>
      </c>
      <c r="P4507" s="1">
        <v>0.16051442327587812</v>
      </c>
      <c r="Q4507" s="1">
        <v>5.4326894518306874</v>
      </c>
      <c r="R4507" s="2">
        <f t="shared" si="283"/>
        <v>226.83176785319228</v>
      </c>
      <c r="S4507" s="2">
        <f t="shared" si="282"/>
        <v>3.7140330118825822</v>
      </c>
      <c r="T4507" s="2">
        <f t="shared" si="284"/>
        <v>7.9762266648927094</v>
      </c>
      <c r="U4507" s="2">
        <f t="shared" si="285"/>
        <v>238.52202752996757</v>
      </c>
    </row>
    <row r="4508" spans="1:21" x14ac:dyDescent="0.25">
      <c r="A4508">
        <v>5224069</v>
      </c>
      <c r="B4508">
        <v>58</v>
      </c>
      <c r="C4508" s="1">
        <f>6.3126161176879*(10.3/7.3)</f>
        <v>8.9068419194774471</v>
      </c>
      <c r="D4508" s="1">
        <f>11.1722428465395*(10.3/7.3)</f>
        <v>15.763575523199529</v>
      </c>
      <c r="E4508" s="1">
        <f>38.9468222873144*(10.3/7.3)</f>
        <v>54.952365693060102</v>
      </c>
      <c r="F4508" s="1">
        <f>79.6224822371387*(38.9/42.5)</f>
        <v>72.877989624110484</v>
      </c>
      <c r="G4508" s="1">
        <v>3.2009410756027847</v>
      </c>
      <c r="H4508" s="1">
        <v>8.5362483478845608</v>
      </c>
      <c r="I4508" s="1">
        <v>53.613675789572717</v>
      </c>
      <c r="J4508" s="1">
        <v>5.7576324416437945E-2</v>
      </c>
      <c r="K4508" s="1">
        <v>3.3802938839595322</v>
      </c>
      <c r="L4508" s="1">
        <v>4.6795472218590195</v>
      </c>
      <c r="M4508" s="1">
        <v>0.26417787227556344</v>
      </c>
      <c r="N4508" s="1">
        <v>2.6055389504535107</v>
      </c>
      <c r="O4508" s="1">
        <v>0.22979494252873561</v>
      </c>
      <c r="P4508" s="1">
        <v>0.15399859485888556</v>
      </c>
      <c r="Q4508" s="1">
        <v>5.1156592532464629</v>
      </c>
      <c r="R4508" s="2">
        <f t="shared" si="283"/>
        <v>222.96729722615407</v>
      </c>
      <c r="S4508" s="2">
        <f t="shared" si="282"/>
        <v>3.5918688032348554</v>
      </c>
      <c r="T4508" s="2">
        <f t="shared" si="284"/>
        <v>7.7790589871168301</v>
      </c>
      <c r="U4508" s="2">
        <f t="shared" si="285"/>
        <v>234.33822501650576</v>
      </c>
    </row>
    <row r="4509" spans="1:21" x14ac:dyDescent="0.25">
      <c r="A4509">
        <v>5224077</v>
      </c>
      <c r="B4509">
        <v>64</v>
      </c>
      <c r="C4509" s="1">
        <f>6.99979180457486*(10.3/7.3)</f>
        <v>9.8764185735782224</v>
      </c>
      <c r="D4509" s="1">
        <f>11.5621698811036*(10.3/7.3)</f>
        <v>16.313746544570851</v>
      </c>
      <c r="E4509" s="1">
        <f>40.3390744365492*(10.3/7.3)</f>
        <v>56.916776259788627</v>
      </c>
      <c r="F4509" s="1">
        <f>85.5021788843529*(38.9/42.5)</f>
        <v>78.259641378854752</v>
      </c>
      <c r="G4509" s="1">
        <v>3.5361394897448868</v>
      </c>
      <c r="H4509" s="1">
        <v>7.081215723248782</v>
      </c>
      <c r="I4509" s="1">
        <v>59.310822444099131</v>
      </c>
      <c r="J4509" s="1">
        <v>6.1628689170191847E-2</v>
      </c>
      <c r="K4509" s="1">
        <v>3.5022853561136689</v>
      </c>
      <c r="L4509" s="1">
        <v>4.9212908656220264</v>
      </c>
      <c r="M4509" s="1">
        <v>0.27006985717785104</v>
      </c>
      <c r="N4509" s="1">
        <v>2.62876863257465</v>
      </c>
      <c r="O4509" s="1">
        <v>0.23566083333333332</v>
      </c>
      <c r="P4509" s="1">
        <v>0.15681183343108315</v>
      </c>
      <c r="Q4509" s="1">
        <v>5.6513644813274517</v>
      </c>
      <c r="R4509" s="2">
        <f t="shared" si="283"/>
        <v>236.94612489521273</v>
      </c>
      <c r="S4509" s="2">
        <f t="shared" si="282"/>
        <v>3.7207258787149438</v>
      </c>
      <c r="T4509" s="2">
        <f t="shared" si="284"/>
        <v>8.0557901887078618</v>
      </c>
      <c r="U4509" s="2">
        <f t="shared" si="285"/>
        <v>248.72264096263555</v>
      </c>
    </row>
    <row r="4510" spans="1:21" x14ac:dyDescent="0.25">
      <c r="A4510">
        <v>5224085</v>
      </c>
      <c r="B4510">
        <v>17</v>
      </c>
      <c r="C4510" s="1">
        <f>6.59451744457457*(10.3/7.3)</f>
        <v>9.3045931067285039</v>
      </c>
      <c r="D4510" s="1">
        <f>7.98244703213519*(10.3/7.3)</f>
        <v>11.262904716574306</v>
      </c>
      <c r="E4510" s="1">
        <f>28.2470216600404*(10.3/7.3)</f>
        <v>39.855386725810448</v>
      </c>
      <c r="F4510" s="1">
        <f>57.5080555216173*(38.9/42.5)</f>
        <v>52.636784936256738</v>
      </c>
      <c r="G4510" s="1">
        <v>2.1479816050031522</v>
      </c>
      <c r="H4510" s="1">
        <v>8.7695855877711981</v>
      </c>
      <c r="I4510" s="1">
        <v>43.450907088081905</v>
      </c>
      <c r="J4510" s="1">
        <v>4.2950207631006369E-2</v>
      </c>
      <c r="K4510" s="1">
        <v>2.58153841647185</v>
      </c>
      <c r="L4510" s="1">
        <v>3.1867567938637991</v>
      </c>
      <c r="M4510" s="1">
        <v>0.18559453531807185</v>
      </c>
      <c r="N4510" s="1">
        <v>1.8956928334675089</v>
      </c>
      <c r="O4510" s="1">
        <v>0.16960627450980392</v>
      </c>
      <c r="P4510" s="1">
        <v>0.11966823202612019</v>
      </c>
      <c r="Q4510" s="1">
        <v>3.4328473139319828</v>
      </c>
      <c r="R4510" s="2">
        <f t="shared" si="283"/>
        <v>170.86099108015821</v>
      </c>
      <c r="S4510" s="2">
        <f t="shared" si="282"/>
        <v>2.7441568561289764</v>
      </c>
      <c r="T4510" s="2">
        <f t="shared" si="284"/>
        <v>5.4376504371591841</v>
      </c>
      <c r="U4510" s="2">
        <f t="shared" si="285"/>
        <v>179.04279837344637</v>
      </c>
    </row>
    <row r="4511" spans="1:21" x14ac:dyDescent="0.25">
      <c r="A4511">
        <v>5224093</v>
      </c>
      <c r="B4511">
        <v>4</v>
      </c>
      <c r="C4511" s="1">
        <f>3.3756226352679*(10.3/7.3)</f>
        <v>4.7628648141451198</v>
      </c>
      <c r="D4511" s="1">
        <f>5.33026877422009*(10.3/7.3)</f>
        <v>7.5207901882831401</v>
      </c>
      <c r="E4511" s="1">
        <f>18.5308792453441*(10.3/7.3)</f>
        <v>26.146309072197866</v>
      </c>
      <c r="F4511" s="1">
        <f>44.1033076992934*(38.9/42.5)</f>
        <v>40.367498105941443</v>
      </c>
      <c r="G4511" s="1">
        <v>2.0192907904231445</v>
      </c>
      <c r="H4511" s="1">
        <v>7.925763424448748</v>
      </c>
      <c r="I4511" s="1">
        <v>31.89942765900906</v>
      </c>
      <c r="J4511" s="1">
        <v>3.9347228440685944E-2</v>
      </c>
      <c r="K4511" s="1">
        <v>2.2567945607585673</v>
      </c>
      <c r="L4511" s="1">
        <v>2.6015591219124041</v>
      </c>
      <c r="M4511" s="1">
        <v>0.16418458636768196</v>
      </c>
      <c r="N4511" s="1">
        <v>1.708237846899626</v>
      </c>
      <c r="O4511" s="1">
        <v>0.14141333333333334</v>
      </c>
      <c r="P4511" s="1">
        <v>0.10550930517907695</v>
      </c>
      <c r="Q4511" s="1">
        <v>3.2271770623200973</v>
      </c>
      <c r="R4511" s="2">
        <f t="shared" si="283"/>
        <v>123.86912111676862</v>
      </c>
      <c r="S4511" s="2">
        <f t="shared" si="282"/>
        <v>2.4016510943783298</v>
      </c>
      <c r="T4511" s="2">
        <f t="shared" si="284"/>
        <v>4.6153948885130456</v>
      </c>
      <c r="U4511" s="2">
        <f t="shared" si="285"/>
        <v>130.88616709965999</v>
      </c>
    </row>
    <row r="4512" spans="1:21" x14ac:dyDescent="0.25">
      <c r="A4512">
        <v>5224141</v>
      </c>
      <c r="B4512">
        <v>35</v>
      </c>
      <c r="C4512" s="1">
        <f>3.87778041041023*(10.3/7.3)</f>
        <v>5.4713887982500466</v>
      </c>
      <c r="D4512" s="1">
        <f>5.67646339613508*(10.3/7.3)</f>
        <v>8.0092565726289529</v>
      </c>
      <c r="E4512" s="1">
        <f>19.7463727303662*(10.3/7.3)</f>
        <v>27.861320427776995</v>
      </c>
      <c r="F4512" s="1">
        <f>49.2362852603192*(38.9/42.5)</f>
        <v>45.065682273562778</v>
      </c>
      <c r="G4512" s="1">
        <v>2.3193487569733455</v>
      </c>
      <c r="H4512" s="1">
        <v>7.4033295770720446</v>
      </c>
      <c r="I4512" s="1">
        <v>36.641303818927973</v>
      </c>
      <c r="J4512" s="1">
        <v>3.4126026834625262E-2</v>
      </c>
      <c r="K4512" s="1">
        <v>2.0736466342431257</v>
      </c>
      <c r="L4512" s="1">
        <v>2.848284090822681</v>
      </c>
      <c r="M4512" s="1">
        <v>0.14371503035018099</v>
      </c>
      <c r="N4512" s="1">
        <v>1.6491025355771167</v>
      </c>
      <c r="O4512" s="1">
        <v>0.12156647619047618</v>
      </c>
      <c r="P4512" s="1">
        <v>9.3675011933398944E-2</v>
      </c>
      <c r="Q4512" s="1">
        <v>3.7067217577199618</v>
      </c>
      <c r="R4512" s="2">
        <f t="shared" si="283"/>
        <v>136.4783519829121</v>
      </c>
      <c r="S4512" s="2">
        <f t="shared" si="282"/>
        <v>2.2014476730111499</v>
      </c>
      <c r="T4512" s="2">
        <f t="shared" si="284"/>
        <v>4.7626681329404548</v>
      </c>
      <c r="U4512" s="2">
        <f t="shared" si="285"/>
        <v>143.44246778886372</v>
      </c>
    </row>
    <row r="4513" spans="1:21" x14ac:dyDescent="0.25">
      <c r="A4513">
        <v>5224253</v>
      </c>
      <c r="B4513">
        <v>44</v>
      </c>
      <c r="C4513" s="1">
        <f>7.57143672569897*(10.3/7.3)</f>
        <v>10.682986065027315</v>
      </c>
      <c r="D4513" s="1">
        <f>9.96195679985977*(10.3/7.3)</f>
        <v>14.055911649117206</v>
      </c>
      <c r="E4513" s="1">
        <f>34.7263139945689*(10.3/7.3)</f>
        <v>48.997401937542371</v>
      </c>
      <c r="F4513" s="1">
        <f>90.6147485228444*(38.9/42.5)</f>
        <v>82.939146295026944</v>
      </c>
      <c r="G4513" s="1">
        <v>4.3613442716737545</v>
      </c>
      <c r="H4513" s="1">
        <v>7.4681642993823285</v>
      </c>
      <c r="I4513" s="1">
        <v>69.786935178528395</v>
      </c>
      <c r="J4513" s="1">
        <v>4.3260619542229609E-2</v>
      </c>
      <c r="K4513" s="1">
        <v>2.5836214651323086</v>
      </c>
      <c r="L4513" s="1">
        <v>3.1585905049976883</v>
      </c>
      <c r="M4513" s="1">
        <v>0.14879257533616153</v>
      </c>
      <c r="N4513" s="1">
        <v>1.9960889083630249</v>
      </c>
      <c r="O4513" s="1">
        <v>0.13577090909090911</v>
      </c>
      <c r="P4513" s="1">
        <v>0.10036914166192129</v>
      </c>
      <c r="Q4513" s="1">
        <v>6.9701849090676511</v>
      </c>
      <c r="R4513" s="2">
        <f t="shared" si="283"/>
        <v>245.26207460536597</v>
      </c>
      <c r="S4513" s="2">
        <f t="shared" si="282"/>
        <v>2.7272512263364597</v>
      </c>
      <c r="T4513" s="2">
        <f t="shared" si="284"/>
        <v>5.4392428977877838</v>
      </c>
      <c r="U4513" s="2">
        <f t="shared" si="285"/>
        <v>253.42856872949019</v>
      </c>
    </row>
    <row r="4514" spans="1:21" x14ac:dyDescent="0.25">
      <c r="A4514">
        <v>5224453</v>
      </c>
      <c r="B4514">
        <v>31</v>
      </c>
      <c r="C4514" s="1">
        <f>5.20600796558484*(10.3/7.3)</f>
        <v>7.3454632939073825</v>
      </c>
      <c r="D4514" s="1">
        <f>6.71018980117633*(10.3/7.3)</f>
        <v>9.4678020482351002</v>
      </c>
      <c r="E4514" s="1">
        <f>23.3878126124351*(10.3/7.3)</f>
        <v>32.999242453161905</v>
      </c>
      <c r="F4514" s="1">
        <f>62.2580305255039*(38.9/42.5)</f>
        <v>56.984409116284731</v>
      </c>
      <c r="G4514" s="1">
        <v>3.0329510931059911</v>
      </c>
      <c r="H4514" s="1">
        <v>9.1321629088406056</v>
      </c>
      <c r="I4514" s="1">
        <v>48.343095052766628</v>
      </c>
      <c r="J4514" s="1">
        <v>4.5760899358491772E-2</v>
      </c>
      <c r="K4514" s="1">
        <v>2.362466781387524</v>
      </c>
      <c r="L4514" s="1">
        <v>2.2677776980626181</v>
      </c>
      <c r="M4514" s="1">
        <v>0.10653892008182946</v>
      </c>
      <c r="N4514" s="1">
        <v>1.8976542156013145</v>
      </c>
      <c r="O4514" s="1">
        <v>0.1032447311827957</v>
      </c>
      <c r="P4514" s="1">
        <v>7.8411911050771152E-2</v>
      </c>
      <c r="Q4514" s="1">
        <v>4.8471821122698531</v>
      </c>
      <c r="R4514" s="2">
        <f t="shared" si="283"/>
        <v>172.15230807857219</v>
      </c>
      <c r="S4514" s="2">
        <f t="shared" si="282"/>
        <v>2.486639591796787</v>
      </c>
      <c r="T4514" s="2">
        <f t="shared" si="284"/>
        <v>4.3752155649285571</v>
      </c>
      <c r="U4514" s="2">
        <f t="shared" si="285"/>
        <v>179.01416323529753</v>
      </c>
    </row>
    <row r="4515" spans="1:21" x14ac:dyDescent="0.25">
      <c r="A4515">
        <v>5224461</v>
      </c>
      <c r="B4515">
        <v>8</v>
      </c>
      <c r="C4515" s="1">
        <f>3.67603423051887*(10.3/7.3)</f>
        <v>5.1867332293622468</v>
      </c>
      <c r="D4515" s="1">
        <f>5.01054806377125*(10.3/7.3)</f>
        <v>7.0696774050471083</v>
      </c>
      <c r="E4515" s="1">
        <f>17.4872300678327*(10.3/7.3)</f>
        <v>24.673762972421464</v>
      </c>
      <c r="F4515" s="1">
        <f>43.2286669410463*(38.9/42.5)</f>
        <v>39.566944564863576</v>
      </c>
      <c r="G4515" s="1">
        <v>2.004001261324563</v>
      </c>
      <c r="H4515" s="1">
        <v>7.0733953511476813</v>
      </c>
      <c r="I4515" s="1">
        <v>32.690849785793375</v>
      </c>
      <c r="J4515" s="1">
        <v>3.3036523652762925E-2</v>
      </c>
      <c r="K4515" s="1">
        <v>1.9223828584085918</v>
      </c>
      <c r="L4515" s="1">
        <v>1.8293035335306442</v>
      </c>
      <c r="M4515" s="1">
        <v>8.6088343147101898E-2</v>
      </c>
      <c r="N4515" s="1">
        <v>1.4940461779177243</v>
      </c>
      <c r="O4515" s="1">
        <v>8.5746666666666665E-2</v>
      </c>
      <c r="P4515" s="1">
        <v>6.7327291910988213E-2</v>
      </c>
      <c r="Q4515" s="1">
        <v>3.2027417418429129</v>
      </c>
      <c r="R4515" s="2">
        <f t="shared" si="283"/>
        <v>121.46810631180293</v>
      </c>
      <c r="S4515" s="2">
        <f t="shared" si="282"/>
        <v>2.022746673972343</v>
      </c>
      <c r="T4515" s="2">
        <f t="shared" si="284"/>
        <v>3.4951847212621368</v>
      </c>
      <c r="U4515" s="2">
        <f t="shared" si="285"/>
        <v>126.98603770703741</v>
      </c>
    </row>
    <row r="4516" spans="1:21" x14ac:dyDescent="0.25">
      <c r="A4516">
        <v>5224477</v>
      </c>
      <c r="B4516">
        <v>5</v>
      </c>
      <c r="C4516" s="1">
        <f>3.22568568461198*(10.3/7.3)</f>
        <v>4.5513099385621061</v>
      </c>
      <c r="D4516" s="1">
        <f>4.20075822408616*(10.3/7.3)</f>
        <v>5.9270972202859458</v>
      </c>
      <c r="E4516" s="1">
        <f>14.6195977246241*(10.3/7.3)</f>
        <v>20.627651584058697</v>
      </c>
      <c r="F4516" s="1">
        <f>39.6955462244298*(38.9/42.5)</f>
        <v>36.333099956007551</v>
      </c>
      <c r="G4516" s="1">
        <v>1.963712010963039</v>
      </c>
      <c r="H4516" s="1">
        <v>8.3607650618575704</v>
      </c>
      <c r="I4516" s="1">
        <v>30.840721321831882</v>
      </c>
      <c r="J4516" s="1">
        <v>2.684590153116918E-2</v>
      </c>
      <c r="K4516" s="1">
        <v>1.7076360602668881</v>
      </c>
      <c r="L4516" s="1">
        <v>1.6214063225904565</v>
      </c>
      <c r="M4516" s="1">
        <v>7.8855622645789575E-2</v>
      </c>
      <c r="N4516" s="1">
        <v>1.1216021286221352</v>
      </c>
      <c r="O4516" s="1">
        <v>7.6895999999999992E-2</v>
      </c>
      <c r="P4516" s="1">
        <v>6.1927171793458566E-2</v>
      </c>
      <c r="Q4516" s="1">
        <v>3.138352528936367</v>
      </c>
      <c r="R4516" s="2">
        <f t="shared" si="283"/>
        <v>111.74270962250314</v>
      </c>
      <c r="S4516" s="2">
        <f t="shared" si="282"/>
        <v>1.796409133591516</v>
      </c>
      <c r="T4516" s="2">
        <f t="shared" si="284"/>
        <v>2.8987600738583814</v>
      </c>
      <c r="U4516" s="2">
        <f t="shared" si="285"/>
        <v>116.43787882995304</v>
      </c>
    </row>
    <row r="4517" spans="1:21" x14ac:dyDescent="0.25">
      <c r="A4517">
        <v>5235777</v>
      </c>
      <c r="B4517">
        <v>13</v>
      </c>
      <c r="C4517" s="1">
        <f>0.569005802707843*(10.3/7.3)</f>
        <v>0.80284380382065568</v>
      </c>
      <c r="D4517" s="1">
        <f>0.818114266225479*(10.3/7.3)</f>
        <v>1.1543256085099218</v>
      </c>
      <c r="E4517" s="1">
        <f>2.83866146134512*(10.3/7.3)</f>
        <v>4.0052346646376424</v>
      </c>
      <c r="F4517" s="1">
        <f>7.55009653344515*(38.9/42.5)</f>
        <v>6.9105589447297984</v>
      </c>
      <c r="G4517" s="1">
        <v>0.37236296616010212</v>
      </c>
      <c r="H4517" s="1">
        <v>1.6589750595898987</v>
      </c>
      <c r="I4517" s="1">
        <v>5.7129106729986896</v>
      </c>
      <c r="J4517" s="1">
        <v>3.3059779673355369E-2</v>
      </c>
      <c r="K4517" s="1">
        <v>2.726118256789535</v>
      </c>
      <c r="L4517" s="1">
        <v>2.003701392554265</v>
      </c>
      <c r="M4517" s="1">
        <v>0.78185504151101648</v>
      </c>
      <c r="N4517" s="1">
        <v>1.177880612449768</v>
      </c>
      <c r="O4517" s="1">
        <v>0.34678564102564102</v>
      </c>
      <c r="P4517" s="1">
        <v>0.17258079502597384</v>
      </c>
      <c r="Q4517" s="1">
        <v>0.59510063084947895</v>
      </c>
      <c r="R4517" s="2">
        <f t="shared" si="283"/>
        <v>21.212312351296188</v>
      </c>
      <c r="S4517" s="2">
        <f t="shared" si="282"/>
        <v>2.9317588314888643</v>
      </c>
      <c r="T4517" s="2">
        <f t="shared" si="284"/>
        <v>4.3102226875406906</v>
      </c>
      <c r="U4517" s="2">
        <f t="shared" si="285"/>
        <v>28.454293870325742</v>
      </c>
    </row>
    <row r="4518" spans="1:21" x14ac:dyDescent="0.25">
      <c r="A4518">
        <v>5235785</v>
      </c>
      <c r="B4518">
        <v>71</v>
      </c>
      <c r="C4518" s="1">
        <f>0.81032748573115*(10.3/7.3)</f>
        <v>1.1433387812371025</v>
      </c>
      <c r="D4518" s="1">
        <f>1.18901294381723*(10.3/7.3)</f>
        <v>1.677648400180477</v>
      </c>
      <c r="E4518" s="1">
        <f>4.11620118952153*(10.3/7.3)</f>
        <v>5.8077907194618872</v>
      </c>
      <c r="F4518" s="1">
        <f>11.2606917277858*(38.9/42.5)</f>
        <v>10.306844899079213</v>
      </c>
      <c r="G4518" s="1">
        <v>0.56744214087318512</v>
      </c>
      <c r="H4518" s="1">
        <v>2.5009152270630728</v>
      </c>
      <c r="I4518" s="1">
        <v>8.525956551277023</v>
      </c>
      <c r="J4518" s="1">
        <v>4.0683000936144902E-2</v>
      </c>
      <c r="K4518" s="1">
        <v>3.3064672468056369</v>
      </c>
      <c r="L4518" s="1">
        <v>2.3587483902905215</v>
      </c>
      <c r="M4518" s="1">
        <v>1.0070631177578866</v>
      </c>
      <c r="N4518" s="1">
        <v>1.4286144652685329</v>
      </c>
      <c r="O4518" s="1">
        <v>0.42239023474178394</v>
      </c>
      <c r="P4518" s="1">
        <v>0.19534391973320597</v>
      </c>
      <c r="Q4518" s="1">
        <v>0.90687100139550203</v>
      </c>
      <c r="R4518" s="2">
        <f t="shared" si="283"/>
        <v>31.436807720567462</v>
      </c>
      <c r="S4518" s="2">
        <f t="shared" si="282"/>
        <v>3.5424941674749877</v>
      </c>
      <c r="T4518" s="2">
        <f t="shared" si="284"/>
        <v>5.2168162080587255</v>
      </c>
      <c r="U4518" s="2">
        <f t="shared" si="285"/>
        <v>40.196118096101173</v>
      </c>
    </row>
    <row r="4519" spans="1:21" x14ac:dyDescent="0.25">
      <c r="A4519">
        <v>5235793</v>
      </c>
      <c r="B4519">
        <v>71</v>
      </c>
      <c r="C4519" s="1">
        <f>0.824138674861438*(10.3/7.3)</f>
        <v>1.1628258015168236</v>
      </c>
      <c r="D4519" s="1">
        <f>1.21399454000667*(10.3/7.3)</f>
        <v>1.7128964057628313</v>
      </c>
      <c r="E4519" s="1">
        <f>4.19899613175469*(10.3/7.3)</f>
        <v>5.9246109804209954</v>
      </c>
      <c r="F4519" s="1">
        <f>11.6437020054602*(38.9/42.5)</f>
        <v>10.657411953232964</v>
      </c>
      <c r="G4519" s="1">
        <v>0.59224691780662853</v>
      </c>
      <c r="H4519" s="1">
        <v>2.8036161870179774</v>
      </c>
      <c r="I4519" s="1">
        <v>8.8301724290195516</v>
      </c>
      <c r="J4519" s="1">
        <v>4.4245379662345943E-2</v>
      </c>
      <c r="K4519" s="1">
        <v>3.4581812109003121</v>
      </c>
      <c r="L4519" s="1">
        <v>2.4591966034946711</v>
      </c>
      <c r="M4519" s="1">
        <v>1.190280483687804</v>
      </c>
      <c r="N4519" s="1">
        <v>1.5744393623433217</v>
      </c>
      <c r="O4519" s="1">
        <v>0.43691718309859157</v>
      </c>
      <c r="P4519" s="1">
        <v>0.1999153686503653</v>
      </c>
      <c r="Q4519" s="1">
        <v>0.94651333896036594</v>
      </c>
      <c r="R4519" s="2">
        <f t="shared" si="283"/>
        <v>32.630294013738137</v>
      </c>
      <c r="S4519" s="2">
        <f t="shared" si="282"/>
        <v>3.7023419592130233</v>
      </c>
      <c r="T4519" s="2">
        <f t="shared" si="284"/>
        <v>5.6608336326243887</v>
      </c>
      <c r="U4519" s="2">
        <f t="shared" si="285"/>
        <v>41.993469605575548</v>
      </c>
    </row>
    <row r="4520" spans="1:21" x14ac:dyDescent="0.25">
      <c r="A4520">
        <v>5235801</v>
      </c>
      <c r="B4520">
        <v>69</v>
      </c>
      <c r="C4520" s="1">
        <f>0.870163695566639*(10.3/7.3)</f>
        <v>1.2277652142926556</v>
      </c>
      <c r="D4520" s="1">
        <f>1.2924781586853*(10.3/7.3)</f>
        <v>1.8236335663641883</v>
      </c>
      <c r="E4520" s="1">
        <f>4.46431132508456*(10.3/7.3)</f>
        <v>6.2989598148453396</v>
      </c>
      <c r="F4520" s="1">
        <f>12.6213606916257*(38.9/42.5)</f>
        <v>11.55225719774678</v>
      </c>
      <c r="G4520" s="1">
        <v>0.6505370025374666</v>
      </c>
      <c r="H4520" s="1">
        <v>4.2852054871896197</v>
      </c>
      <c r="I4520" s="1">
        <v>9.5880651496561047</v>
      </c>
      <c r="J4520" s="1">
        <v>5.3973920766057421E-2</v>
      </c>
      <c r="K4520" s="1">
        <v>3.8422201561353355</v>
      </c>
      <c r="L4520" s="1">
        <v>2.7740760577913854</v>
      </c>
      <c r="M4520" s="1">
        <v>1.5196321636578678</v>
      </c>
      <c r="N4520" s="1">
        <v>2.0294516247866814</v>
      </c>
      <c r="O4520" s="1">
        <v>0.49273352657004837</v>
      </c>
      <c r="P4520" s="1">
        <v>0.20981624515192454</v>
      </c>
      <c r="Q4520" s="1">
        <v>1.0396710086215228</v>
      </c>
      <c r="R4520" s="2">
        <f t="shared" si="283"/>
        <v>36.466094441253674</v>
      </c>
      <c r="S4520" s="2">
        <f t="shared" si="282"/>
        <v>4.1060103220533168</v>
      </c>
      <c r="T4520" s="2">
        <f t="shared" si="284"/>
        <v>6.8158933728059834</v>
      </c>
      <c r="U4520" s="2">
        <f t="shared" si="285"/>
        <v>47.387998136112969</v>
      </c>
    </row>
    <row r="4521" spans="1:21" x14ac:dyDescent="0.25">
      <c r="A4521">
        <v>5236009</v>
      </c>
      <c r="B4521">
        <v>11</v>
      </c>
      <c r="C4521" s="1">
        <f>2.00304570455707*(10.3/7.3)</f>
        <v>2.8262151721832609</v>
      </c>
      <c r="D4521" s="1">
        <f>3.5504364067605*(10.3/7.3)</f>
        <v>5.0095198615935761</v>
      </c>
      <c r="E4521" s="1">
        <f>12.1309208087168*(10.3/7.3)</f>
        <v>17.116230730107311</v>
      </c>
      <c r="F4521" s="1">
        <f>37.1978990596552*(38.9/42.5)</f>
        <v>34.047018198131447</v>
      </c>
      <c r="G4521" s="1">
        <v>2.0399694517877331</v>
      </c>
      <c r="H4521" s="1">
        <v>8.4019902082599511</v>
      </c>
      <c r="I4521" s="1">
        <v>27.767049952290851</v>
      </c>
      <c r="J4521" s="1">
        <v>7.0090782644917485E-2</v>
      </c>
      <c r="K4521" s="1">
        <v>4.1756291232846658</v>
      </c>
      <c r="L4521" s="1">
        <v>6.3309423052630569</v>
      </c>
      <c r="M4521" s="1">
        <v>1.1596527830374281</v>
      </c>
      <c r="N4521" s="1">
        <v>4.1618149179705988</v>
      </c>
      <c r="O4521" s="1">
        <v>0.3981721212121212</v>
      </c>
      <c r="P4521" s="1">
        <v>0.20357420403844806</v>
      </c>
      <c r="Q4521" s="1">
        <v>3.2602251512589366</v>
      </c>
      <c r="R4521" s="2">
        <f t="shared" si="283"/>
        <v>100.46821872561306</v>
      </c>
      <c r="S4521" s="2">
        <f t="shared" si="282"/>
        <v>4.4492941099680312</v>
      </c>
      <c r="T4521" s="2">
        <f t="shared" si="284"/>
        <v>12.050582127483205</v>
      </c>
      <c r="U4521" s="2">
        <f t="shared" si="285"/>
        <v>116.9680949630643</v>
      </c>
    </row>
    <row r="4522" spans="1:21" x14ac:dyDescent="0.25">
      <c r="A4522">
        <v>5236201</v>
      </c>
      <c r="B4522">
        <v>29</v>
      </c>
      <c r="C4522" s="1">
        <f>6.32487389139604*(10.3/7.3)</f>
        <v>8.9241371344355027</v>
      </c>
      <c r="D4522" s="1">
        <f>12.9543698738616*(10.3/7.3)</f>
        <v>18.278083520653968</v>
      </c>
      <c r="E4522" s="1">
        <f>45.0216378929314*(10.3/7.3)</f>
        <v>63.523680862629199</v>
      </c>
      <c r="F4522" s="1">
        <f>88.9901702504045*(38.9/42.5)</f>
        <v>81.452179358605505</v>
      </c>
      <c r="G4522" s="1">
        <v>3.5167581848235678</v>
      </c>
      <c r="H4522" s="1">
        <v>6.9249295413357386</v>
      </c>
      <c r="I4522" s="1">
        <v>56.968598600882714</v>
      </c>
      <c r="J4522" s="1">
        <v>7.3553742370816355E-2</v>
      </c>
      <c r="K4522" s="1">
        <v>3.635384890489902</v>
      </c>
      <c r="L4522" s="1">
        <v>4.8743558213986429</v>
      </c>
      <c r="M4522" s="1">
        <v>0.37955289008771292</v>
      </c>
      <c r="N4522" s="1">
        <v>2.9415429957079202</v>
      </c>
      <c r="O4522" s="1">
        <v>0.27572045977011489</v>
      </c>
      <c r="P4522" s="1">
        <v>0.17673529176145705</v>
      </c>
      <c r="Q4522" s="1">
        <v>5.6203897930970346</v>
      </c>
      <c r="R4522" s="2">
        <f t="shared" si="283"/>
        <v>245.20875699646325</v>
      </c>
      <c r="S4522" s="2">
        <f t="shared" si="282"/>
        <v>3.8856739246221754</v>
      </c>
      <c r="T4522" s="2">
        <f t="shared" si="284"/>
        <v>8.4711721669643918</v>
      </c>
      <c r="U4522" s="2">
        <f t="shared" si="285"/>
        <v>257.56560308804984</v>
      </c>
    </row>
    <row r="4523" spans="1:21" x14ac:dyDescent="0.25">
      <c r="A4523">
        <v>5236209</v>
      </c>
      <c r="B4523">
        <v>65</v>
      </c>
      <c r="C4523" s="1">
        <f>7.01379616577082*(10.3/7.3)</f>
        <v>9.8961781517040368</v>
      </c>
      <c r="D4523" s="1">
        <f>13.3049089141914*(10.3/7.3)</f>
        <v>18.772679700845341</v>
      </c>
      <c r="E4523" s="1">
        <f>46.2918193411198*(10.3/7.3)</f>
        <v>65.315854686785514</v>
      </c>
      <c r="F4523" s="1">
        <f>94.0921106216035*(38.9/42.5)</f>
        <v>86.12195536895004</v>
      </c>
      <c r="G4523" s="1">
        <v>3.7957318619816989</v>
      </c>
      <c r="H4523" s="1">
        <v>7.2516465418613576</v>
      </c>
      <c r="I4523" s="1">
        <v>62.080920207691257</v>
      </c>
      <c r="J4523" s="1">
        <v>7.3621674149588423E-2</v>
      </c>
      <c r="K4523" s="1">
        <v>3.9533858642974353</v>
      </c>
      <c r="L4523" s="1">
        <v>5.5283630965541652</v>
      </c>
      <c r="M4523" s="1">
        <v>0.41654361358551917</v>
      </c>
      <c r="N4523" s="1">
        <v>3.204414476655975</v>
      </c>
      <c r="O4523" s="1">
        <v>0.30032574358974357</v>
      </c>
      <c r="P4523" s="1">
        <v>0.19098601190110817</v>
      </c>
      <c r="Q4523" s="1">
        <v>6.0662381355871977</v>
      </c>
      <c r="R4523" s="2">
        <f t="shared" si="283"/>
        <v>259.30120465540642</v>
      </c>
      <c r="S4523" s="2">
        <f t="shared" si="282"/>
        <v>4.2179935503481323</v>
      </c>
      <c r="T4523" s="2">
        <f t="shared" si="284"/>
        <v>9.4496469303854038</v>
      </c>
      <c r="U4523" s="2">
        <f t="shared" si="285"/>
        <v>272.96884513613998</v>
      </c>
    </row>
    <row r="4524" spans="1:21" x14ac:dyDescent="0.25">
      <c r="A4524">
        <v>5236217</v>
      </c>
      <c r="B4524">
        <v>67</v>
      </c>
      <c r="C4524" s="1">
        <f>4.34155903333139*(10.3/7.3)</f>
        <v>6.1257613757963467</v>
      </c>
      <c r="D4524" s="1">
        <f>8.10641286335432*(10.3/7.3)</f>
        <v>11.437815409938286</v>
      </c>
      <c r="E4524" s="1">
        <f>28.2035979719238*(10.3/7.3)</f>
        <v>39.794117686413045</v>
      </c>
      <c r="F4524" s="1">
        <f>58.0667696268916*(38.9/42.5)</f>
        <v>53.148172670260742</v>
      </c>
      <c r="G4524" s="1">
        <v>2.369840978396899</v>
      </c>
      <c r="H4524" s="1">
        <v>5.4291854221173557</v>
      </c>
      <c r="I4524" s="1">
        <v>38.641121508175893</v>
      </c>
      <c r="J4524" s="1">
        <v>4.8398108717631443E-2</v>
      </c>
      <c r="K4524" s="1">
        <v>2.9921844507234652</v>
      </c>
      <c r="L4524" s="1">
        <v>3.7692082330627623</v>
      </c>
      <c r="M4524" s="1">
        <v>0.29234110280383074</v>
      </c>
      <c r="N4524" s="1">
        <v>2.6710525776252285</v>
      </c>
      <c r="O4524" s="1">
        <v>0.22065512437810941</v>
      </c>
      <c r="P4524" s="1">
        <v>0.15078385370746664</v>
      </c>
      <c r="Q4524" s="1">
        <v>3.7874170887621728</v>
      </c>
      <c r="R4524" s="2">
        <f t="shared" si="283"/>
        <v>160.73343213986072</v>
      </c>
      <c r="S4524" s="2">
        <f t="shared" si="282"/>
        <v>3.1913664131485633</v>
      </c>
      <c r="T4524" s="2">
        <f t="shared" si="284"/>
        <v>6.953257037869931</v>
      </c>
      <c r="U4524" s="2">
        <f t="shared" si="285"/>
        <v>170.8780555908792</v>
      </c>
    </row>
    <row r="4525" spans="1:21" x14ac:dyDescent="0.25">
      <c r="A4525">
        <v>5236225</v>
      </c>
      <c r="B4525">
        <v>67</v>
      </c>
      <c r="C4525" s="1">
        <f>6.77535975880646*(10.3/7.3)</f>
        <v>9.5597541802337709</v>
      </c>
      <c r="D4525" s="1">
        <f>12.6099752380689*(10.3/7.3)</f>
        <v>17.792156842754757</v>
      </c>
      <c r="E4525" s="1">
        <f>43.8442073711154*(10.3/7.3)</f>
        <v>61.862374783902567</v>
      </c>
      <c r="F4525" s="1">
        <f>91.9055879278465*(38.9/42.5)</f>
        <v>84.120644009252402</v>
      </c>
      <c r="G4525" s="1">
        <v>3.8201803262283791</v>
      </c>
      <c r="H4525" s="1">
        <v>7.123568564844085</v>
      </c>
      <c r="I4525" s="1">
        <v>61.582057573370172</v>
      </c>
      <c r="J4525" s="1">
        <v>6.5978651854777581E-2</v>
      </c>
      <c r="K4525" s="1">
        <v>3.8433910387370238</v>
      </c>
      <c r="L4525" s="1">
        <v>5.4498416081317869</v>
      </c>
      <c r="M4525" s="1">
        <v>0.39043127068348177</v>
      </c>
      <c r="N4525" s="1">
        <v>2.9587171543705515</v>
      </c>
      <c r="O4525" s="1">
        <v>0.29074308457711434</v>
      </c>
      <c r="P4525" s="1">
        <v>0.18558841116631339</v>
      </c>
      <c r="Q4525" s="1">
        <v>6.105311023652666</v>
      </c>
      <c r="R4525" s="2">
        <f t="shared" si="283"/>
        <v>251.9660473042388</v>
      </c>
      <c r="S4525" s="2">
        <f t="shared" si="282"/>
        <v>4.0949581017581149</v>
      </c>
      <c r="T4525" s="2">
        <f t="shared" si="284"/>
        <v>9.0897331177629344</v>
      </c>
      <c r="U4525" s="2">
        <f t="shared" si="285"/>
        <v>265.15073852375986</v>
      </c>
    </row>
    <row r="4526" spans="1:21" x14ac:dyDescent="0.25">
      <c r="A4526">
        <v>5236233</v>
      </c>
      <c r="B4526">
        <v>69</v>
      </c>
      <c r="C4526" s="1">
        <f>6.75168108258523*(10.3/7.3)</f>
        <v>9.5263445411819028</v>
      </c>
      <c r="D4526" s="1">
        <f>12.4718537492895*(10.3/7.3)</f>
        <v>17.597273098312538</v>
      </c>
      <c r="E4526" s="1">
        <f>43.3228375357586*(10.3/7.3)</f>
        <v>61.126743372371671</v>
      </c>
      <c r="F4526" s="1">
        <f>93.401055467154*(38.9/42.5)</f>
        <v>85.489436651112712</v>
      </c>
      <c r="G4526" s="1">
        <v>3.9887594082229931</v>
      </c>
      <c r="H4526" s="1">
        <v>7.3101987437687832</v>
      </c>
      <c r="I4526" s="1">
        <v>63.277103532691555</v>
      </c>
      <c r="J4526" s="1">
        <v>6.4727060026741529E-2</v>
      </c>
      <c r="K4526" s="1">
        <v>3.8174302967328337</v>
      </c>
      <c r="L4526" s="1">
        <v>5.4423049691211496</v>
      </c>
      <c r="M4526" s="1">
        <v>0.37965017038515808</v>
      </c>
      <c r="N4526" s="1">
        <v>2.8897438012182954</v>
      </c>
      <c r="O4526" s="1">
        <v>0.28565565217391303</v>
      </c>
      <c r="P4526" s="1">
        <v>0.18301257367593007</v>
      </c>
      <c r="Q4526" s="1">
        <v>6.3747296478449753</v>
      </c>
      <c r="R4526" s="2">
        <f t="shared" si="283"/>
        <v>254.69058899550717</v>
      </c>
      <c r="S4526" s="2">
        <f t="shared" si="282"/>
        <v>4.0651699304355056</v>
      </c>
      <c r="T4526" s="2">
        <f t="shared" si="284"/>
        <v>8.9973545928985157</v>
      </c>
      <c r="U4526" s="2">
        <f t="shared" si="285"/>
        <v>267.75311351884119</v>
      </c>
    </row>
    <row r="4527" spans="1:21" x14ac:dyDescent="0.25">
      <c r="A4527">
        <v>5236241</v>
      </c>
      <c r="B4527">
        <v>71</v>
      </c>
      <c r="C4527" s="1">
        <f>6.56800018583417*(10.3/7.3)</f>
        <v>9.2671783443961537</v>
      </c>
      <c r="D4527" s="1">
        <f>12.1297307727497*(10.3/7.3)</f>
        <v>17.114551638263219</v>
      </c>
      <c r="E4527" s="1">
        <f>42.0503509463092*(10.3/7.3)</f>
        <v>59.331317088628118</v>
      </c>
      <c r="F4527" s="1">
        <f>94.9294332550985*(38.9/42.5)</f>
        <v>86.88835184996077</v>
      </c>
      <c r="G4527" s="1">
        <v>4.2308208688750018</v>
      </c>
      <c r="H4527" s="1">
        <v>7.4116103661486408</v>
      </c>
      <c r="I4527" s="1">
        <v>65.236689887508504</v>
      </c>
      <c r="J4527" s="1">
        <v>6.2426372256795842E-2</v>
      </c>
      <c r="K4527" s="1">
        <v>3.7322719153124599</v>
      </c>
      <c r="L4527" s="1">
        <v>5.3103459385401726</v>
      </c>
      <c r="M4527" s="1">
        <v>0.36093694093623724</v>
      </c>
      <c r="N4527" s="1">
        <v>2.795200913991152</v>
      </c>
      <c r="O4527" s="1">
        <v>0.27831436619718303</v>
      </c>
      <c r="P4527" s="1">
        <v>0.17904054733125369</v>
      </c>
      <c r="Q4527" s="1">
        <v>6.7615858634988717</v>
      </c>
      <c r="R4527" s="2">
        <f t="shared" si="283"/>
        <v>256.24210590727927</v>
      </c>
      <c r="S4527" s="2">
        <f t="shared" si="282"/>
        <v>3.9737388349005096</v>
      </c>
      <c r="T4527" s="2">
        <f t="shared" si="284"/>
        <v>8.7447981596647448</v>
      </c>
      <c r="U4527" s="2">
        <f t="shared" si="285"/>
        <v>268.96064290184455</v>
      </c>
    </row>
    <row r="4528" spans="1:21" x14ac:dyDescent="0.25">
      <c r="A4528">
        <v>5236249</v>
      </c>
      <c r="B4528">
        <v>71</v>
      </c>
      <c r="C4528" s="1">
        <f>3.09560245857444*(10.3/7.3)</f>
        <v>4.3677678525091403</v>
      </c>
      <c r="D4528" s="1">
        <f>5.72065703698053*(10.3/7.3)</f>
        <v>8.071611983684857</v>
      </c>
      <c r="E4528" s="1">
        <f>19.773621329855*(10.3/7.3)</f>
        <v>27.899767081850207</v>
      </c>
      <c r="F4528" s="1">
        <f>47.5756044671892*(38.9/42.5)</f>
        <v>43.545670912321363</v>
      </c>
      <c r="G4528" s="1">
        <v>2.2366310498704332</v>
      </c>
      <c r="H4528" s="1">
        <v>4.2853421407598242</v>
      </c>
      <c r="I4528" s="1">
        <v>33.294155744341445</v>
      </c>
      <c r="J4528" s="1">
        <v>3.6903322366827758E-2</v>
      </c>
      <c r="K4528" s="1">
        <v>2.4920904175870033</v>
      </c>
      <c r="L4528" s="1">
        <v>3.0105287781386081</v>
      </c>
      <c r="M4528" s="1">
        <v>0.22202811385568688</v>
      </c>
      <c r="N4528" s="1">
        <v>1.7429896807505978</v>
      </c>
      <c r="O4528" s="1">
        <v>0.17539154929577461</v>
      </c>
      <c r="P4528" s="1">
        <v>0.12673719254289084</v>
      </c>
      <c r="Q4528" s="1">
        <v>3.5745245089253537</v>
      </c>
      <c r="R4528" s="2">
        <f t="shared" si="283"/>
        <v>127.27547127426263</v>
      </c>
      <c r="S4528" s="2">
        <f t="shared" si="282"/>
        <v>2.6557309324967218</v>
      </c>
      <c r="T4528" s="2">
        <f t="shared" si="284"/>
        <v>5.1509381220406674</v>
      </c>
      <c r="U4528" s="2">
        <f t="shared" si="285"/>
        <v>135.08214032879999</v>
      </c>
    </row>
    <row r="4529" spans="1:21" x14ac:dyDescent="0.25">
      <c r="A4529">
        <v>5236257</v>
      </c>
      <c r="B4529">
        <v>71</v>
      </c>
      <c r="C4529" s="1">
        <f>3.66453145094468*(10.3/7.3)</f>
        <v>5.1705032801000321</v>
      </c>
      <c r="D4529" s="1">
        <f>6.53055923606066*(10.3/7.3)</f>
        <v>9.2143507029349081</v>
      </c>
      <c r="E4529" s="1">
        <f>22.6359291171039*(10.3/7.3)</f>
        <v>31.93836574057131</v>
      </c>
      <c r="F4529" s="1">
        <f>52.5792649695026*(38.9/42.5)</f>
        <v>48.125491936791796</v>
      </c>
      <c r="G4529" s="1">
        <v>2.3923598340175829</v>
      </c>
      <c r="H4529" s="1">
        <v>5.0284098135145063</v>
      </c>
      <c r="I4529" s="1">
        <v>36.732164105024708</v>
      </c>
      <c r="J4529" s="1">
        <v>3.9870815878953393E-2</v>
      </c>
      <c r="K4529" s="1">
        <v>2.6412977306620848</v>
      </c>
      <c r="L4529" s="1">
        <v>3.2685780444988413</v>
      </c>
      <c r="M4529" s="1">
        <v>0.23144491466879949</v>
      </c>
      <c r="N4529" s="1">
        <v>2.1504296029932704</v>
      </c>
      <c r="O4529" s="1">
        <v>0.18668769953051637</v>
      </c>
      <c r="P4529" s="1">
        <v>0.13176668206786171</v>
      </c>
      <c r="Q4529" s="1">
        <v>3.8234061274253675</v>
      </c>
      <c r="R4529" s="2">
        <f t="shared" si="283"/>
        <v>142.4250515403802</v>
      </c>
      <c r="S4529" s="2">
        <f t="shared" si="282"/>
        <v>2.8129352286088998</v>
      </c>
      <c r="T4529" s="2">
        <f t="shared" si="284"/>
        <v>5.8371402616914274</v>
      </c>
      <c r="U4529" s="2">
        <f t="shared" si="285"/>
        <v>151.07512703068051</v>
      </c>
    </row>
    <row r="4530" spans="1:21" x14ac:dyDescent="0.25">
      <c r="A4530">
        <v>5236265</v>
      </c>
      <c r="B4530">
        <v>71</v>
      </c>
      <c r="C4530" s="1">
        <f>3.0433196467571*(10.3/7.3)</f>
        <v>4.293998953643583</v>
      </c>
      <c r="D4530" s="1">
        <f>5.2630324756276*(10.3/7.3)</f>
        <v>7.4259225341046982</v>
      </c>
      <c r="E4530" s="1">
        <f>18.2810177247431*(10.3/7.3)</f>
        <v>25.793764734911459</v>
      </c>
      <c r="F4530" s="1">
        <f>41.4124333533951*(38.9/42.5)</f>
        <v>37.904556645813429</v>
      </c>
      <c r="G4530" s="1">
        <v>1.8370556222493957</v>
      </c>
      <c r="H4530" s="1">
        <v>4.047462078451753</v>
      </c>
      <c r="I4530" s="1">
        <v>28.932936861609903</v>
      </c>
      <c r="J4530" s="1">
        <v>3.5709966132684998E-2</v>
      </c>
      <c r="K4530" s="1">
        <v>2.4296678128876499</v>
      </c>
      <c r="L4530" s="1">
        <v>2.896976717272663</v>
      </c>
      <c r="M4530" s="1">
        <v>0.20612940645644934</v>
      </c>
      <c r="N4530" s="1">
        <v>1.7116346222905043</v>
      </c>
      <c r="O4530" s="1">
        <v>0.16782798122065729</v>
      </c>
      <c r="P4530" s="1">
        <v>0.12248547677443178</v>
      </c>
      <c r="Q4530" s="1">
        <v>2.9359336428643337</v>
      </c>
      <c r="R4530" s="2">
        <f t="shared" si="283"/>
        <v>113.17163107364856</v>
      </c>
      <c r="S4530" s="2">
        <f t="shared" si="282"/>
        <v>2.5878632557947667</v>
      </c>
      <c r="T4530" s="2">
        <f t="shared" si="284"/>
        <v>4.9825687272402739</v>
      </c>
      <c r="U4530" s="2">
        <f t="shared" si="285"/>
        <v>120.74206305668361</v>
      </c>
    </row>
    <row r="4531" spans="1:21" x14ac:dyDescent="0.25">
      <c r="A4531">
        <v>5236273</v>
      </c>
      <c r="B4531">
        <v>71</v>
      </c>
      <c r="C4531" s="1">
        <f>6.61349520770526*(10.3/7.3)</f>
        <v>9.3313699505978391</v>
      </c>
      <c r="D4531" s="1">
        <f>11.2069808745749*(10.3/7.3)</f>
        <v>15.812589453167387</v>
      </c>
      <c r="E4531" s="1">
        <f>38.984818831316*(10.3/7.3)</f>
        <v>55.005977255144543</v>
      </c>
      <c r="F4531" s="1">
        <f>86.728450876947*(38.9/42.5)</f>
        <v>79.382040920311468</v>
      </c>
      <c r="G4531" s="1">
        <v>3.7745000182095652</v>
      </c>
      <c r="H4531" s="1">
        <v>6.7005249770296453</v>
      </c>
      <c r="I4531" s="1">
        <v>60.589488294564674</v>
      </c>
      <c r="J4531" s="1">
        <v>5.9205481787901124E-2</v>
      </c>
      <c r="K4531" s="1">
        <v>3.5879207683678125</v>
      </c>
      <c r="L4531" s="1">
        <v>5.05843133255095</v>
      </c>
      <c r="M4531" s="1">
        <v>0.32115643010094791</v>
      </c>
      <c r="N4531" s="1">
        <v>2.6044888819445933</v>
      </c>
      <c r="O4531" s="1">
        <v>0.25740244131455409</v>
      </c>
      <c r="P4531" s="1">
        <v>0.16790716659965063</v>
      </c>
      <c r="Q4531" s="1">
        <v>6.0323059651751088</v>
      </c>
      <c r="R4531" s="2">
        <f t="shared" si="283"/>
        <v>236.62879683420022</v>
      </c>
      <c r="S4531" s="2">
        <f t="shared" si="282"/>
        <v>3.8150334167553641</v>
      </c>
      <c r="T4531" s="2">
        <f t="shared" si="284"/>
        <v>8.2414790859110454</v>
      </c>
      <c r="U4531" s="2">
        <f t="shared" si="285"/>
        <v>248.68530933686662</v>
      </c>
    </row>
    <row r="4532" spans="1:21" x14ac:dyDescent="0.25">
      <c r="A4532">
        <v>5236281</v>
      </c>
      <c r="B4532">
        <v>71</v>
      </c>
      <c r="C4532" s="1">
        <f>6.72625105722548*(10.3/7.3)</f>
        <v>9.4904638204688325</v>
      </c>
      <c r="D4532" s="1">
        <f>11.1878142106806*(10.3/7.3)</f>
        <v>15.785546078083614</v>
      </c>
      <c r="E4532" s="1">
        <f>38.9748962936644*(10.3/7.3)</f>
        <v>54.991976962293613</v>
      </c>
      <c r="F4532" s="1">
        <f>85.0777840803508*(38.9/42.5)</f>
        <v>77.871195311191684</v>
      </c>
      <c r="G4532" s="1">
        <v>3.627460613090518</v>
      </c>
      <c r="H4532" s="1">
        <v>6.6722802679608479</v>
      </c>
      <c r="I4532" s="1">
        <v>59.402882002561888</v>
      </c>
      <c r="J4532" s="1">
        <v>5.9271460618154213E-2</v>
      </c>
      <c r="K4532" s="1">
        <v>3.5950723741257615</v>
      </c>
      <c r="L4532" s="1">
        <v>5.082123405080841</v>
      </c>
      <c r="M4532" s="1">
        <v>0.31445979044596462</v>
      </c>
      <c r="N4532" s="1">
        <v>2.6026527190191175</v>
      </c>
      <c r="O4532" s="1">
        <v>0.25497389671361514</v>
      </c>
      <c r="P4532" s="1">
        <v>0.16691786685566462</v>
      </c>
      <c r="Q4532" s="1">
        <v>5.7973114821081388</v>
      </c>
      <c r="R4532" s="2">
        <f t="shared" si="283"/>
        <v>233.63911653775912</v>
      </c>
      <c r="S4532" s="2">
        <f t="shared" si="282"/>
        <v>3.8212617015995805</v>
      </c>
      <c r="T4532" s="2">
        <f t="shared" si="284"/>
        <v>8.254209811259539</v>
      </c>
      <c r="U4532" s="2">
        <f t="shared" si="285"/>
        <v>245.71458805061823</v>
      </c>
    </row>
    <row r="4533" spans="1:21" x14ac:dyDescent="0.25">
      <c r="A4533">
        <v>5236289</v>
      </c>
      <c r="B4533">
        <v>71</v>
      </c>
      <c r="C4533" s="1">
        <f>6.73062665735612*(10.3/7.3)</f>
        <v>9.4966376124339771</v>
      </c>
      <c r="D4533" s="1">
        <f>11.1871127643893*(10.3/7.3)</f>
        <v>15.784556366193147</v>
      </c>
      <c r="E4533" s="1">
        <f>38.9999344760888*(10.3/7.3)</f>
        <v>55.02730480872804</v>
      </c>
      <c r="F4533" s="1">
        <f>83.7886221406063*(38.9/42.5)</f>
        <v>76.691232971049047</v>
      </c>
      <c r="G4533" s="1">
        <v>3.5164330170566394</v>
      </c>
      <c r="H4533" s="1">
        <v>6.8314820200823014</v>
      </c>
      <c r="I4533" s="1">
        <v>58.25095790690083</v>
      </c>
      <c r="J4533" s="1">
        <v>5.8326003104926118E-2</v>
      </c>
      <c r="K4533" s="1">
        <v>3.5440721938588116</v>
      </c>
      <c r="L4533" s="1">
        <v>4.9916877535329123</v>
      </c>
      <c r="M4533" s="1">
        <v>0.30269839118971187</v>
      </c>
      <c r="N4533" s="1">
        <v>2.5670866158123631</v>
      </c>
      <c r="O4533" s="1">
        <v>0.24867004694835679</v>
      </c>
      <c r="P4533" s="1">
        <v>0.16350933415830773</v>
      </c>
      <c r="Q4533" s="1">
        <v>5.6198701185836759</v>
      </c>
      <c r="R4533" s="2">
        <f t="shared" si="283"/>
        <v>231.21847482102763</v>
      </c>
      <c r="S4533" s="2">
        <f t="shared" si="282"/>
        <v>3.7659075311220453</v>
      </c>
      <c r="T4533" s="2">
        <f t="shared" si="284"/>
        <v>8.1101428074833439</v>
      </c>
      <c r="U4533" s="2">
        <f t="shared" si="285"/>
        <v>243.09452515963304</v>
      </c>
    </row>
    <row r="4534" spans="1:21" x14ac:dyDescent="0.25">
      <c r="A4534">
        <v>5236297</v>
      </c>
      <c r="B4534">
        <v>44</v>
      </c>
      <c r="C4534" s="1">
        <f>4.48825984954679*(10.3/7.3)</f>
        <v>6.3327501986756038</v>
      </c>
      <c r="D4534" s="1">
        <f>8.3596371271801*(10.3/7.3)</f>
        <v>11.795104439719868</v>
      </c>
      <c r="E4534" s="1">
        <f>29.12529169506*(10.3/7.3)</f>
        <v>41.094589651933973</v>
      </c>
      <c r="F4534" s="1">
        <f>58.020141350897*(38.9/42.5)</f>
        <v>53.105494083526914</v>
      </c>
      <c r="G4534" s="1">
        <v>2.2829193376077717</v>
      </c>
      <c r="H4534" s="1">
        <v>8.1128034405336233</v>
      </c>
      <c r="I4534" s="1">
        <v>38.193318576888423</v>
      </c>
      <c r="J4534" s="1">
        <v>4.4007037657703925E-2</v>
      </c>
      <c r="K4534" s="1">
        <v>2.8041453778506038</v>
      </c>
      <c r="L4534" s="1">
        <v>3.5637029634107007</v>
      </c>
      <c r="M4534" s="1">
        <v>0.22662888617076835</v>
      </c>
      <c r="N4534" s="1">
        <v>2.0053107733312023</v>
      </c>
      <c r="O4534" s="1">
        <v>0.19096606060606058</v>
      </c>
      <c r="P4534" s="1">
        <v>0.13241788725312012</v>
      </c>
      <c r="Q4534" s="1">
        <v>3.6485012244873114</v>
      </c>
      <c r="R4534" s="2">
        <f t="shared" si="283"/>
        <v>164.56548095337351</v>
      </c>
      <c r="S4534" s="2">
        <f t="shared" si="282"/>
        <v>2.9805703027614276</v>
      </c>
      <c r="T4534" s="2">
        <f t="shared" si="284"/>
        <v>5.9866086835187318</v>
      </c>
      <c r="U4534" s="2">
        <f t="shared" si="285"/>
        <v>173.53265993965368</v>
      </c>
    </row>
    <row r="4535" spans="1:21" x14ac:dyDescent="0.25">
      <c r="A4535">
        <v>5236305</v>
      </c>
      <c r="B4535">
        <v>51</v>
      </c>
      <c r="C4535" s="1">
        <f>5.52980534866444*(10.3/7.3)</f>
        <v>7.8023280946909228</v>
      </c>
      <c r="D4535" s="1">
        <f>10.8701608515897*(10.3/7.3)</f>
        <v>15.337350242654027</v>
      </c>
      <c r="E4535" s="1">
        <f>37.8535660512063*(10.3/7.3)</f>
        <v>53.409826072250006</v>
      </c>
      <c r="F4535" s="1">
        <f>73.2576530697809*(38.9/42.5)</f>
        <v>67.05229892739942</v>
      </c>
      <c r="G4535" s="1">
        <v>2.808792212483628</v>
      </c>
      <c r="H4535" s="1">
        <v>7.1753370249003501</v>
      </c>
      <c r="I4535" s="1">
        <v>47.015495267964312</v>
      </c>
      <c r="J4535" s="1">
        <v>5.4136291135918058E-2</v>
      </c>
      <c r="K4535" s="1">
        <v>3.0597813712815856</v>
      </c>
      <c r="L4535" s="1">
        <v>4.0855936692299606</v>
      </c>
      <c r="M4535" s="1">
        <v>0.23400764790344963</v>
      </c>
      <c r="N4535" s="1">
        <v>2.2325261729194685</v>
      </c>
      <c r="O4535" s="1">
        <v>0.20662901960784322</v>
      </c>
      <c r="P4535" s="1">
        <v>0.14052095684471511</v>
      </c>
      <c r="Q4535" s="1">
        <v>4.4889373258870817</v>
      </c>
      <c r="R4535" s="2">
        <f t="shared" si="283"/>
        <v>205.09036516822977</v>
      </c>
      <c r="S4535" s="2">
        <f t="shared" si="282"/>
        <v>3.2544386192622188</v>
      </c>
      <c r="T4535" s="2">
        <f t="shared" si="284"/>
        <v>6.7587565096607216</v>
      </c>
      <c r="U4535" s="2">
        <f t="shared" si="285"/>
        <v>215.10356029715271</v>
      </c>
    </row>
    <row r="4536" spans="1:21" x14ac:dyDescent="0.25">
      <c r="A4536">
        <v>5236313</v>
      </c>
      <c r="B4536">
        <v>65</v>
      </c>
      <c r="C4536" s="1">
        <f>6.14876150957796*(10.3/7.3)</f>
        <v>8.6756498011853438</v>
      </c>
      <c r="D4536" s="1">
        <f>9.91066202819972*(10.3/7.3)</f>
        <v>13.9835368343092</v>
      </c>
      <c r="E4536" s="1">
        <f>34.6047759566818*(10.3/7.3)</f>
        <v>48.82591676079759</v>
      </c>
      <c r="F4536" s="1">
        <f>73.4478173025154*(38.9/42.5)</f>
        <v>67.226355131008248</v>
      </c>
      <c r="G4536" s="1">
        <v>3.0309500291435181</v>
      </c>
      <c r="H4536" s="1">
        <v>8.5502691906818242</v>
      </c>
      <c r="I4536" s="1">
        <v>51.30953754578799</v>
      </c>
      <c r="J4536" s="1">
        <v>5.4756259684879932E-2</v>
      </c>
      <c r="K4536" s="1">
        <v>3.1745491678189004</v>
      </c>
      <c r="L4536" s="1">
        <v>4.2694467403007472</v>
      </c>
      <c r="M4536" s="1">
        <v>0.24122001526156142</v>
      </c>
      <c r="N4536" s="1">
        <v>2.3856668665287821</v>
      </c>
      <c r="O4536" s="1">
        <v>0.21224861538461542</v>
      </c>
      <c r="P4536" s="1">
        <v>0.14320638453309759</v>
      </c>
      <c r="Q4536" s="1">
        <v>4.8439840648412416</v>
      </c>
      <c r="R4536" s="2">
        <f t="shared" si="283"/>
        <v>206.44619935775498</v>
      </c>
      <c r="S4536" s="2">
        <f t="shared" si="282"/>
        <v>3.372511812036878</v>
      </c>
      <c r="T4536" s="2">
        <f t="shared" si="284"/>
        <v>7.1085822374757051</v>
      </c>
      <c r="U4536" s="2">
        <f t="shared" si="285"/>
        <v>216.92729340726757</v>
      </c>
    </row>
    <row r="4537" spans="1:21" x14ac:dyDescent="0.25">
      <c r="A4537">
        <v>5236321</v>
      </c>
      <c r="B4537">
        <v>10</v>
      </c>
      <c r="C4537" s="1">
        <f>3.35979053594907*(10.3/7.3)</f>
        <v>4.7405263726404705</v>
      </c>
      <c r="D4537" s="1">
        <f>5.01257034031317*(10.3/7.3)</f>
        <v>7.072530754140498</v>
      </c>
      <c r="E4537" s="1">
        <f>17.5198479297597*(10.3/7.3)</f>
        <v>24.719785435140437</v>
      </c>
      <c r="F4537" s="1">
        <f>38.8098125999353*(38.9/42.5)</f>
        <v>35.52239317970551</v>
      </c>
      <c r="G4537" s="1">
        <v>1.6527712718213663</v>
      </c>
      <c r="H4537" s="1">
        <v>7.5451789802910714</v>
      </c>
      <c r="I4537" s="1">
        <v>28.000803012998052</v>
      </c>
      <c r="J4537" s="1">
        <v>3.671983667421632E-2</v>
      </c>
      <c r="K4537" s="1">
        <v>2.2197904023190924</v>
      </c>
      <c r="L4537" s="1">
        <v>2.5930259203255721</v>
      </c>
      <c r="M4537" s="1">
        <v>0.16408890999613782</v>
      </c>
      <c r="N4537" s="1">
        <v>1.6336116785135151</v>
      </c>
      <c r="O4537" s="1">
        <v>0.14066133333333333</v>
      </c>
      <c r="P4537" s="1">
        <v>0.10534612050040955</v>
      </c>
      <c r="Q4537" s="1">
        <v>2.6414152746003601</v>
      </c>
      <c r="R4537" s="2">
        <f t="shared" si="283"/>
        <v>111.89540428133776</v>
      </c>
      <c r="S4537" s="2">
        <f t="shared" si="282"/>
        <v>2.3618563594937183</v>
      </c>
      <c r="T4537" s="2">
        <f t="shared" si="284"/>
        <v>4.5313878421685585</v>
      </c>
      <c r="U4537" s="2">
        <f t="shared" si="285"/>
        <v>118.78864848300003</v>
      </c>
    </row>
    <row r="4538" spans="1:21" x14ac:dyDescent="0.25">
      <c r="A4538">
        <v>5236369</v>
      </c>
      <c r="B4538">
        <v>19</v>
      </c>
      <c r="C4538" s="1">
        <f>3.54984909731836*(10.3/7.3)</f>
        <v>5.0086911921067294</v>
      </c>
      <c r="D4538" s="1">
        <f>5.22690207111753*(10.3/7.3)</f>
        <v>7.3749440181521342</v>
      </c>
      <c r="E4538" s="1">
        <f>18.1774120081315*(10.3/7.3)</f>
        <v>25.64758132654169</v>
      </c>
      <c r="F4538" s="1">
        <f>45.3745170089804*(38.9/42.5)</f>
        <v>41.531028509396215</v>
      </c>
      <c r="G4538" s="1">
        <v>2.1408164289093743</v>
      </c>
      <c r="H4538" s="1">
        <v>7.7729250113051105</v>
      </c>
      <c r="I4538" s="1">
        <v>33.727546068515601</v>
      </c>
      <c r="J4538" s="1">
        <v>3.4011734705754158E-2</v>
      </c>
      <c r="K4538" s="1">
        <v>2.1002848248677655</v>
      </c>
      <c r="L4538" s="1">
        <v>2.7605179979027072</v>
      </c>
      <c r="M4538" s="1">
        <v>0.14676958383894034</v>
      </c>
      <c r="N4538" s="1">
        <v>1.5893459232022171</v>
      </c>
      <c r="O4538" s="1">
        <v>0.12405333333333335</v>
      </c>
      <c r="P4538" s="1">
        <v>9.56949085401365E-2</v>
      </c>
      <c r="Q4538" s="1">
        <v>3.4213961192615607</v>
      </c>
      <c r="R4538" s="2">
        <f t="shared" si="283"/>
        <v>126.62492867418841</v>
      </c>
      <c r="S4538" s="2">
        <f t="shared" si="282"/>
        <v>2.2299914681136559</v>
      </c>
      <c r="T4538" s="2">
        <f t="shared" si="284"/>
        <v>4.6206868382771979</v>
      </c>
      <c r="U4538" s="2">
        <f t="shared" si="285"/>
        <v>133.47560698057927</v>
      </c>
    </row>
    <row r="4539" spans="1:21" x14ac:dyDescent="0.25">
      <c r="A4539">
        <v>5236481</v>
      </c>
      <c r="B4539">
        <v>1</v>
      </c>
      <c r="C4539" s="1">
        <f>8.30438417100802*(10.3/7.3)</f>
        <v>11.717144789230494</v>
      </c>
      <c r="D4539" s="1">
        <f>10.8161916143412*(10.3/7.3)</f>
        <v>15.261201866810222</v>
      </c>
      <c r="E4539" s="1">
        <f>37.7104351229276*(10.3/7.3)</f>
        <v>53.207874214541683</v>
      </c>
      <c r="F4539" s="1">
        <f>98.9194128100991*(38.9/42.5)</f>
        <v>90.540356666184806</v>
      </c>
      <c r="G4539" s="1">
        <v>4.7735519269886124</v>
      </c>
      <c r="H4539" s="1">
        <v>10.248571395631759</v>
      </c>
      <c r="I4539" s="1">
        <v>76.437723143701902</v>
      </c>
      <c r="J4539" s="1">
        <v>4.2177445346750594E-2</v>
      </c>
      <c r="K4539" s="1">
        <v>2.5245779651188114</v>
      </c>
      <c r="L4539" s="1">
        <v>3.0827587240352612</v>
      </c>
      <c r="M4539" s="1">
        <v>0.14550533517308253</v>
      </c>
      <c r="N4539" s="1">
        <v>1.891525243847713</v>
      </c>
      <c r="O4539" s="1">
        <v>0.13445333333333331</v>
      </c>
      <c r="P4539" s="1">
        <v>9.841162222407665E-2</v>
      </c>
      <c r="Q4539" s="1">
        <v>7.6289642668767863</v>
      </c>
      <c r="R4539" s="2">
        <f t="shared" si="283"/>
        <v>269.81538826996621</v>
      </c>
      <c r="S4539" s="2">
        <f t="shared" si="282"/>
        <v>2.6651670326896388</v>
      </c>
      <c r="T4539" s="2">
        <f t="shared" si="284"/>
        <v>5.2542426363893897</v>
      </c>
      <c r="U4539" s="2">
        <f t="shared" si="285"/>
        <v>277.73479793904522</v>
      </c>
    </row>
    <row r="4540" spans="1:21" x14ac:dyDescent="0.25">
      <c r="A4540">
        <v>5236489</v>
      </c>
      <c r="B4540">
        <v>4</v>
      </c>
      <c r="C4540" s="1">
        <f>7.17323543980117*(10.3/7.3)</f>
        <v>10.121140415061928</v>
      </c>
      <c r="D4540" s="1">
        <f>9.14323719803169*(10.3/7.3)</f>
        <v>12.900731936948818</v>
      </c>
      <c r="E4540" s="1">
        <f>32.0470975038617*(10.3/7.3)</f>
        <v>45.217137573941926</v>
      </c>
      <c r="F4540" s="1">
        <f>76.9516807699319*(38.9/42.5)</f>
        <v>70.433420751772971</v>
      </c>
      <c r="G4540" s="1">
        <v>3.4479229304063628</v>
      </c>
      <c r="H4540" s="1">
        <v>6.7248901783201509</v>
      </c>
      <c r="I4540" s="1">
        <v>58.934167108110444</v>
      </c>
      <c r="J4540" s="1">
        <v>4.0556541511493176E-2</v>
      </c>
      <c r="K4540" s="1">
        <v>2.4761883615161371</v>
      </c>
      <c r="L4540" s="1">
        <v>2.9697541135195973</v>
      </c>
      <c r="M4540" s="1">
        <v>0.14220501836950522</v>
      </c>
      <c r="N4540" s="1">
        <v>1.9526154058669585</v>
      </c>
      <c r="O4540" s="1">
        <v>0.13097333333333333</v>
      </c>
      <c r="P4540" s="1">
        <v>9.7331439639857492E-2</v>
      </c>
      <c r="Q4540" s="1">
        <v>5.5103791125215897</v>
      </c>
      <c r="R4540" s="2">
        <f t="shared" si="283"/>
        <v>213.28979000708415</v>
      </c>
      <c r="S4540" s="2">
        <f t="shared" si="282"/>
        <v>2.6140763426674876</v>
      </c>
      <c r="T4540" s="2">
        <f t="shared" si="284"/>
        <v>5.1955478710893939</v>
      </c>
      <c r="U4540" s="2">
        <f t="shared" si="285"/>
        <v>221.09941422084103</v>
      </c>
    </row>
    <row r="4541" spans="1:21" x14ac:dyDescent="0.25">
      <c r="A4541">
        <v>5236681</v>
      </c>
      <c r="B4541">
        <v>9</v>
      </c>
      <c r="C4541" s="1">
        <f>5.06096122460153*(10.3/7.3)</f>
        <v>7.1408083032049001</v>
      </c>
      <c r="D4541" s="1">
        <f>6.2162938528504*(10.3/7.3)</f>
        <v>8.7709351622409795</v>
      </c>
      <c r="E4541" s="1">
        <f>21.7883751694795*(10.3/7.3)</f>
        <v>30.74250195145731</v>
      </c>
      <c r="F4541" s="1">
        <f>54.1585820555001*(38.9/42.5)</f>
        <v>49.571031575504783</v>
      </c>
      <c r="G4541" s="1">
        <v>2.4854277009529882</v>
      </c>
      <c r="H4541" s="1">
        <v>6.211323251615271</v>
      </c>
      <c r="I4541" s="1">
        <v>42.134466670421325</v>
      </c>
      <c r="J4541" s="1">
        <v>5.2470514727594085E-2</v>
      </c>
      <c r="K4541" s="1">
        <v>2.2541593836507854</v>
      </c>
      <c r="L4541" s="1">
        <v>2.1076827712830464</v>
      </c>
      <c r="M4541" s="1">
        <v>0.10016050340421792</v>
      </c>
      <c r="N4541" s="1">
        <v>1.6666960989781867</v>
      </c>
      <c r="O4541" s="1">
        <v>9.6859259259259256E-2</v>
      </c>
      <c r="P4541" s="1">
        <v>7.4055970134194779E-2</v>
      </c>
      <c r="Q4541" s="1">
        <v>3.9721447275504422</v>
      </c>
      <c r="R4541" s="2">
        <f t="shared" si="283"/>
        <v>151.028639342948</v>
      </c>
      <c r="S4541" s="2">
        <f t="shared" si="282"/>
        <v>2.380685868512574</v>
      </c>
      <c r="T4541" s="2">
        <f t="shared" si="284"/>
        <v>3.9713986329247102</v>
      </c>
      <c r="U4541" s="2">
        <f t="shared" si="285"/>
        <v>157.3807238443853</v>
      </c>
    </row>
    <row r="4542" spans="1:21" x14ac:dyDescent="0.25">
      <c r="A4542">
        <v>5236689</v>
      </c>
      <c r="B4542">
        <v>4</v>
      </c>
      <c r="C4542" s="1">
        <f>4.61520631086597*(10.3/7.3)</f>
        <v>6.511866438619105</v>
      </c>
      <c r="D4542" s="1">
        <f>5.8522861720726*(10.3/7.3)</f>
        <v>8.2573352838832648</v>
      </c>
      <c r="E4542" s="1">
        <f>20.4721983429562*(10.3/7.3)</f>
        <v>28.885430538691661</v>
      </c>
      <c r="F4542" s="1">
        <f>51.4379009884008*(38.9/42.5)</f>
        <v>47.080808198795125</v>
      </c>
      <c r="G4542" s="1">
        <v>2.3924089478990469</v>
      </c>
      <c r="H4542" s="1">
        <v>6.4099758655241894</v>
      </c>
      <c r="I4542" s="1">
        <v>39.745235003820085</v>
      </c>
      <c r="J4542" s="1">
        <v>3.9164770679125549E-2</v>
      </c>
      <c r="K4542" s="1">
        <v>2.1240138216902125</v>
      </c>
      <c r="L4542" s="1">
        <v>2.0365198844217653</v>
      </c>
      <c r="M4542" s="1">
        <v>9.4941329382274009E-2</v>
      </c>
      <c r="N4542" s="1">
        <v>1.6274231123047946</v>
      </c>
      <c r="O4542" s="1">
        <v>9.453333333333333E-2</v>
      </c>
      <c r="P4542" s="1">
        <v>7.2431055123854185E-2</v>
      </c>
      <c r="Q4542" s="1">
        <v>3.8234846199299874</v>
      </c>
      <c r="R4542" s="2">
        <f t="shared" si="283"/>
        <v>143.10654489716245</v>
      </c>
      <c r="S4542" s="2">
        <f t="shared" si="282"/>
        <v>2.2356096474931921</v>
      </c>
      <c r="T4542" s="2">
        <f t="shared" si="284"/>
        <v>3.853417659442167</v>
      </c>
      <c r="U4542" s="2">
        <f t="shared" si="285"/>
        <v>149.1955722040978</v>
      </c>
    </row>
    <row r="4543" spans="1:21" x14ac:dyDescent="0.25">
      <c r="A4543">
        <v>5236713</v>
      </c>
      <c r="B4543">
        <v>8</v>
      </c>
      <c r="C4543" s="1">
        <f>3.44149014281133*(10.3/7.3)</f>
        <v>4.855801160405024</v>
      </c>
      <c r="D4543" s="1">
        <f>4.4183913557735*(10.3/7.3)</f>
        <v>6.2341686252694606</v>
      </c>
      <c r="E4543" s="1">
        <f>15.3961852305639*(10.3/7.3)</f>
        <v>21.723384640384648</v>
      </c>
      <c r="F4543" s="1">
        <f>41.3126204593387*(38.9/42.5)</f>
        <v>37.813198491018248</v>
      </c>
      <c r="G4543" s="1">
        <v>2.0231802320359416</v>
      </c>
      <c r="H4543" s="1">
        <v>8.8474126465649299</v>
      </c>
      <c r="I4543" s="1">
        <v>32.14899168278609</v>
      </c>
      <c r="J4543" s="1">
        <v>2.8101677683117953E-2</v>
      </c>
      <c r="K4543" s="1">
        <v>1.7702778492241422</v>
      </c>
      <c r="L4543" s="1">
        <v>1.6988075672044325</v>
      </c>
      <c r="M4543" s="1">
        <v>8.1506845977262196E-2</v>
      </c>
      <c r="N4543" s="1">
        <v>1.1915139694435175</v>
      </c>
      <c r="O4543" s="1">
        <v>8.0146666666666658E-2</v>
      </c>
      <c r="P4543" s="1">
        <v>6.3928703316280477E-2</v>
      </c>
      <c r="Q4543" s="1">
        <v>3.2333930648976263</v>
      </c>
      <c r="R4543" s="2">
        <f t="shared" si="283"/>
        <v>116.87953054336198</v>
      </c>
      <c r="S4543" s="2">
        <f t="shared" si="282"/>
        <v>1.8623082302235408</v>
      </c>
      <c r="T4543" s="2">
        <f t="shared" si="284"/>
        <v>3.0519750492918787</v>
      </c>
      <c r="U4543" s="2">
        <f t="shared" si="285"/>
        <v>121.79381382287741</v>
      </c>
    </row>
    <row r="4544" spans="1:21" x14ac:dyDescent="0.25">
      <c r="A4544">
        <v>5248013</v>
      </c>
      <c r="B4544">
        <v>48</v>
      </c>
      <c r="C4544" s="1">
        <f>0.655936819262774*(10.3/7.3)</f>
        <v>0.92549989567213264</v>
      </c>
      <c r="D4544" s="1">
        <f>0.950214774505196*(10.3/7.3)</f>
        <v>1.3407139969045916</v>
      </c>
      <c r="E4544" s="1">
        <f>3.29495390670385*(10.3/7.3)</f>
        <v>4.6490445532944795</v>
      </c>
      <c r="F4544" s="1">
        <f>8.8195202620935*(38.9/42.5)</f>
        <v>8.0724550163632269</v>
      </c>
      <c r="G4544" s="1">
        <v>0.43726935566306357</v>
      </c>
      <c r="H4544" s="1">
        <v>1.9022783959711225</v>
      </c>
      <c r="I4544" s="1">
        <v>6.6698999533979313</v>
      </c>
      <c r="J4544" s="1">
        <v>3.4517401764032146E-2</v>
      </c>
      <c r="K4544" s="1">
        <v>2.900964842821963</v>
      </c>
      <c r="L4544" s="1">
        <v>2.0636557364971861</v>
      </c>
      <c r="M4544" s="1">
        <v>0.83317547919582224</v>
      </c>
      <c r="N4544" s="1">
        <v>1.2291020356769982</v>
      </c>
      <c r="O4544" s="1">
        <v>0.36500333333333329</v>
      </c>
      <c r="P4544" s="1">
        <v>0.17876384601698825</v>
      </c>
      <c r="Q4544" s="1">
        <v>0.69883230357110682</v>
      </c>
      <c r="R4544" s="2">
        <f t="shared" si="283"/>
        <v>24.695993470837653</v>
      </c>
      <c r="S4544" s="2">
        <f t="shared" si="282"/>
        <v>3.1142460906029834</v>
      </c>
      <c r="T4544" s="2">
        <f t="shared" si="284"/>
        <v>4.4909365847033396</v>
      </c>
      <c r="U4544" s="2">
        <f t="shared" si="285"/>
        <v>32.301176146143973</v>
      </c>
    </row>
    <row r="4545" spans="1:21" x14ac:dyDescent="0.25">
      <c r="A4545">
        <v>5248021</v>
      </c>
      <c r="B4545">
        <v>58</v>
      </c>
      <c r="C4545" s="1">
        <f>0.88672116965648*(10.3/7.3)</f>
        <v>1.2511271297892805</v>
      </c>
      <c r="D4545" s="1">
        <f>1.30772039366038*(10.3/7.3)</f>
        <v>1.8451397335208053</v>
      </c>
      <c r="E4545" s="1">
        <f>4.52417343495849*(10.3/7.3)</f>
        <v>6.3834227917907427</v>
      </c>
      <c r="F4545" s="1">
        <f>12.4838632582653*(38.9/42.5)</f>
        <v>11.426406605800439</v>
      </c>
      <c r="G4545" s="1">
        <v>0.63301425337291028</v>
      </c>
      <c r="H4545" s="1">
        <v>2.7554292907516627</v>
      </c>
      <c r="I4545" s="1">
        <v>9.4565445949629598</v>
      </c>
      <c r="J4545" s="1">
        <v>4.3871361550106361E-2</v>
      </c>
      <c r="K4545" s="1">
        <v>3.5029406784216142</v>
      </c>
      <c r="L4545" s="1">
        <v>2.5335059242358913</v>
      </c>
      <c r="M4545" s="1">
        <v>1.1108596049619861</v>
      </c>
      <c r="N4545" s="1">
        <v>1.5139410994212503</v>
      </c>
      <c r="O4545" s="1">
        <v>0.44643862068965501</v>
      </c>
      <c r="P4545" s="1">
        <v>0.19884455453019032</v>
      </c>
      <c r="Q4545" s="1">
        <v>1.0116666149795384</v>
      </c>
      <c r="R4545" s="2">
        <f t="shared" si="283"/>
        <v>34.762751014968337</v>
      </c>
      <c r="S4545" s="2">
        <f t="shared" si="282"/>
        <v>3.7456565945019111</v>
      </c>
      <c r="T4545" s="2">
        <f t="shared" si="284"/>
        <v>5.6047452493087828</v>
      </c>
      <c r="U4545" s="2">
        <f t="shared" si="285"/>
        <v>44.113152858779031</v>
      </c>
    </row>
    <row r="4546" spans="1:21" x14ac:dyDescent="0.25">
      <c r="A4546">
        <v>5248029</v>
      </c>
      <c r="B4546">
        <v>58</v>
      </c>
      <c r="C4546" s="1">
        <f>0.902446828923501*(10.3/7.3)</f>
        <v>1.2733153887550765</v>
      </c>
      <c r="D4546" s="1">
        <f>1.33628040099489*(10.3/7.3)</f>
        <v>1.8854367301708681</v>
      </c>
      <c r="E4546" s="1">
        <f>4.61974472685656*(10.3/7.3)</f>
        <v>6.5182699570715901</v>
      </c>
      <c r="F4546" s="1">
        <f>12.8766620720055*(38.9/42.5)</f>
        <v>11.785933049435641</v>
      </c>
      <c r="G4546" s="1">
        <v>0.65750339870951269</v>
      </c>
      <c r="H4546" s="1">
        <v>3.1103225185127821</v>
      </c>
      <c r="I4546" s="1">
        <v>9.7635130281043985</v>
      </c>
      <c r="J4546" s="1">
        <v>4.807491329980039E-2</v>
      </c>
      <c r="K4546" s="1">
        <v>3.6500780676751123</v>
      </c>
      <c r="L4546" s="1">
        <v>2.6314389256966013</v>
      </c>
      <c r="M4546" s="1">
        <v>1.3218152562319785</v>
      </c>
      <c r="N4546" s="1">
        <v>1.6834818291684834</v>
      </c>
      <c r="O4546" s="1">
        <v>0.46050298850574711</v>
      </c>
      <c r="P4546" s="1">
        <v>0.19933683908505131</v>
      </c>
      <c r="Q4546" s="1">
        <v>1.0508045184855237</v>
      </c>
      <c r="R4546" s="2">
        <f t="shared" si="283"/>
        <v>36.045098589245384</v>
      </c>
      <c r="S4546" s="2">
        <f t="shared" si="282"/>
        <v>3.8974898200599641</v>
      </c>
      <c r="T4546" s="2">
        <f t="shared" si="284"/>
        <v>6.0972389996028111</v>
      </c>
      <c r="U4546" s="2">
        <f t="shared" si="285"/>
        <v>46.03982740890816</v>
      </c>
    </row>
    <row r="4547" spans="1:21" x14ac:dyDescent="0.25">
      <c r="A4547">
        <v>5248037</v>
      </c>
      <c r="B4547">
        <v>39</v>
      </c>
      <c r="C4547" s="1">
        <f>0.942368627411628*(10.3/7.3)</f>
        <v>1.329643405799968</v>
      </c>
      <c r="D4547" s="1">
        <f>1.40328146679985*(10.3/7.3)</f>
        <v>1.9799724805532133</v>
      </c>
      <c r="E4547" s="1">
        <f>4.84682319110506*(10.3/7.3)</f>
        <v>6.8386683381345366</v>
      </c>
      <c r="F4547" s="1">
        <f>13.6895036526136*(38.9/42.5)</f>
        <v>12.529922166745111</v>
      </c>
      <c r="G4547" s="1">
        <v>0.70533493319587015</v>
      </c>
      <c r="H4547" s="1">
        <v>5.0784212543112357</v>
      </c>
      <c r="I4547" s="1">
        <v>10.392250716560591</v>
      </c>
      <c r="J4547" s="1">
        <v>5.7165093817823906E-2</v>
      </c>
      <c r="K4547" s="1">
        <v>4.0092722588560985</v>
      </c>
      <c r="L4547" s="1">
        <v>2.9392702674190114</v>
      </c>
      <c r="M4547" s="1">
        <v>1.6345060287592061</v>
      </c>
      <c r="N4547" s="1">
        <v>2.0206456329311631</v>
      </c>
      <c r="O4547" s="1">
        <v>0.50389606837606837</v>
      </c>
      <c r="P4547" s="1">
        <v>0.21054931433983784</v>
      </c>
      <c r="Q4547" s="1">
        <v>1.1272476101303874</v>
      </c>
      <c r="R4547" s="2">
        <f t="shared" si="283"/>
        <v>39.981460905430914</v>
      </c>
      <c r="S4547" s="2">
        <f t="shared" si="282"/>
        <v>4.2769866670137606</v>
      </c>
      <c r="T4547" s="2">
        <f t="shared" si="284"/>
        <v>7.0983179974854487</v>
      </c>
      <c r="U4547" s="2">
        <f t="shared" si="285"/>
        <v>51.356765569930118</v>
      </c>
    </row>
    <row r="4548" spans="1:21" x14ac:dyDescent="0.25">
      <c r="A4548">
        <v>5248437</v>
      </c>
      <c r="B4548">
        <v>57</v>
      </c>
      <c r="C4548" s="1">
        <f>5.90275445198285*(10.3/7.3)</f>
        <v>8.3285439527977267</v>
      </c>
      <c r="D4548" s="1">
        <f>12.2173175247568*(10.3/7.3)</f>
        <v>17.238132945889692</v>
      </c>
      <c r="E4548" s="1">
        <f>42.4401920053732*(10.3/7.3)</f>
        <v>59.881366802101887</v>
      </c>
      <c r="F4548" s="1">
        <f>84.2647119045112*(38.9/42.5)</f>
        <v>77.1269951314232</v>
      </c>
      <c r="G4548" s="1">
        <v>3.3514421900003577</v>
      </c>
      <c r="H4548" s="1">
        <v>6.9744054438879841</v>
      </c>
      <c r="I4548" s="1">
        <v>53.895143396572216</v>
      </c>
      <c r="J4548" s="1">
        <v>6.771557659151084E-2</v>
      </c>
      <c r="K4548" s="1">
        <v>3.6637692211975863</v>
      </c>
      <c r="L4548" s="1">
        <v>4.8404340595002715</v>
      </c>
      <c r="M4548" s="1">
        <v>0.38068692149136968</v>
      </c>
      <c r="N4548" s="1">
        <v>2.9104470751542295</v>
      </c>
      <c r="O4548" s="1">
        <v>0.27395555555555556</v>
      </c>
      <c r="P4548" s="1">
        <v>0.17630717089570319</v>
      </c>
      <c r="Q4548" s="1">
        <v>5.3561861484024025</v>
      </c>
      <c r="R4548" s="2">
        <f t="shared" si="283"/>
        <v>232.15221601107547</v>
      </c>
      <c r="S4548" s="2">
        <f t="shared" si="282"/>
        <v>3.9077919686848004</v>
      </c>
      <c r="T4548" s="2">
        <f t="shared" si="284"/>
        <v>8.405523611701426</v>
      </c>
      <c r="U4548" s="2">
        <f t="shared" si="285"/>
        <v>244.46553159146168</v>
      </c>
    </row>
    <row r="4549" spans="1:21" x14ac:dyDescent="0.25">
      <c r="A4549">
        <v>5248445</v>
      </c>
      <c r="B4549">
        <v>62</v>
      </c>
      <c r="C4549" s="1">
        <f>6.58851737122753*(10.3/7.3)</f>
        <v>9.2961272498141838</v>
      </c>
      <c r="D4549" s="1">
        <f>12.7766936992552*(10.3/7.3)</f>
        <v>18.02738974004507</v>
      </c>
      <c r="E4549" s="1">
        <f>44.4168323960231*(10.3/7.3)</f>
        <v>62.670325161512054</v>
      </c>
      <c r="F4549" s="1">
        <f>90.6805524828423*(38.9/42.5)</f>
        <v>82.999376272530952</v>
      </c>
      <c r="G4549" s="1">
        <v>3.6864292009628388</v>
      </c>
      <c r="H4549" s="1">
        <v>7.1037625721923483</v>
      </c>
      <c r="I4549" s="1">
        <v>59.585593455337396</v>
      </c>
      <c r="J4549" s="1">
        <v>6.8917704792119117E-2</v>
      </c>
      <c r="K4549" s="1">
        <v>3.8197596942286043</v>
      </c>
      <c r="L4549" s="1">
        <v>5.3159394516511123</v>
      </c>
      <c r="M4549" s="1">
        <v>0.3994974763157742</v>
      </c>
      <c r="N4549" s="1">
        <v>3.6101302822396213</v>
      </c>
      <c r="O4549" s="1">
        <v>0.29074580645161291</v>
      </c>
      <c r="P4549" s="1">
        <v>0.18534162441564492</v>
      </c>
      <c r="Q4549" s="1">
        <v>5.8915535175205225</v>
      </c>
      <c r="R4549" s="2">
        <f t="shared" si="283"/>
        <v>249.26055716991536</v>
      </c>
      <c r="S4549" s="2">
        <f t="shared" si="282"/>
        <v>4.0740190234363682</v>
      </c>
      <c r="T4549" s="2">
        <f t="shared" si="284"/>
        <v>9.6163130166581201</v>
      </c>
      <c r="U4549" s="2">
        <f t="shared" si="285"/>
        <v>262.95088921000985</v>
      </c>
    </row>
    <row r="4550" spans="1:21" x14ac:dyDescent="0.25">
      <c r="A4550">
        <v>5248453</v>
      </c>
      <c r="B4550">
        <v>65</v>
      </c>
      <c r="C4550" s="1">
        <f>6.51862753647058*(10.3/7.3)</f>
        <v>9.1975155651571203</v>
      </c>
      <c r="D4550" s="1">
        <f>12.3832220374589*(10.3/7.3)</f>
        <v>17.472217395318733</v>
      </c>
      <c r="E4550" s="1">
        <f>43.0467030700297*(10.3/7.3)</f>
        <v>60.737128989220032</v>
      </c>
      <c r="F4550" s="1">
        <f>89.3363211918601*(38.9/42.5)</f>
        <v>81.769009279137862</v>
      </c>
      <c r="G4550" s="1">
        <v>3.685135538137712</v>
      </c>
      <c r="H4550" s="1">
        <v>7.0333059516561569</v>
      </c>
      <c r="I4550" s="1">
        <v>59.350538918428349</v>
      </c>
      <c r="J4550" s="1">
        <v>6.59093575605839E-2</v>
      </c>
      <c r="K4550" s="1">
        <v>3.8116392620668065</v>
      </c>
      <c r="L4550" s="1">
        <v>5.3450693641450382</v>
      </c>
      <c r="M4550" s="1">
        <v>0.39342827890505039</v>
      </c>
      <c r="N4550" s="1">
        <v>2.9763161726226093</v>
      </c>
      <c r="O4550" s="1">
        <v>0.28873353846153849</v>
      </c>
      <c r="P4550" s="1">
        <v>0.18465522626446601</v>
      </c>
      <c r="Q4550" s="1">
        <v>5.889486019854794</v>
      </c>
      <c r="R4550" s="2">
        <f t="shared" si="283"/>
        <v>245.13433765691076</v>
      </c>
      <c r="S4550" s="2">
        <f t="shared" si="282"/>
        <v>4.0622038458918563</v>
      </c>
      <c r="T4550" s="2">
        <f t="shared" si="284"/>
        <v>9.0035473541342377</v>
      </c>
      <c r="U4550" s="2">
        <f t="shared" si="285"/>
        <v>258.20008885693682</v>
      </c>
    </row>
    <row r="4551" spans="1:21" x14ac:dyDescent="0.25">
      <c r="A4551">
        <v>5248461</v>
      </c>
      <c r="B4551">
        <v>65</v>
      </c>
      <c r="C4551" s="1">
        <f>6.28895409799227*(10.3/7.3)</f>
        <v>8.8734557820986879</v>
      </c>
      <c r="D4551" s="1">
        <f>11.7031382303934*(10.3/7.3)</f>
        <v>16.512647092198893</v>
      </c>
      <c r="E4551" s="1">
        <f>40.672973369241*(10.3/7.3)</f>
        <v>57.387893931942827</v>
      </c>
      <c r="F4551" s="1">
        <f>86.1874094206827*(38.9/42.5)</f>
        <v>78.886828857989613</v>
      </c>
      <c r="G4551" s="1">
        <v>3.6219800851485915</v>
      </c>
      <c r="H4551" s="1">
        <v>6.9028700582412643</v>
      </c>
      <c r="I4551" s="1">
        <v>57.959603770373455</v>
      </c>
      <c r="J4551" s="1">
        <v>6.206488439642846E-2</v>
      </c>
      <c r="K4551" s="1">
        <v>3.6976848169142804</v>
      </c>
      <c r="L4551" s="1">
        <v>5.1562190377601782</v>
      </c>
      <c r="M4551" s="1">
        <v>0.37224294776820571</v>
      </c>
      <c r="N4551" s="1">
        <v>2.7918647963562657</v>
      </c>
      <c r="O4551" s="1">
        <v>0.27791917948717959</v>
      </c>
      <c r="P4551" s="1">
        <v>0.17889860823236442</v>
      </c>
      <c r="Q4551" s="1">
        <v>5.7885526474977533</v>
      </c>
      <c r="R4551" s="2">
        <f t="shared" si="283"/>
        <v>235.93383222549107</v>
      </c>
      <c r="S4551" s="2">
        <f t="shared" si="282"/>
        <v>3.9386483095430731</v>
      </c>
      <c r="T4551" s="2">
        <f t="shared" si="284"/>
        <v>8.5982459613718287</v>
      </c>
      <c r="U4551" s="2">
        <f t="shared" si="285"/>
        <v>248.47072649640597</v>
      </c>
    </row>
    <row r="4552" spans="1:21" x14ac:dyDescent="0.25">
      <c r="A4552">
        <v>5248469</v>
      </c>
      <c r="B4552">
        <v>62</v>
      </c>
      <c r="C4552" s="1">
        <f>6.70318686720687*(10.3/7.3)</f>
        <v>9.4579211961959917</v>
      </c>
      <c r="D4552" s="1">
        <f>12.3072479773245*(10.3/7.3)</f>
        <v>17.36502111869077</v>
      </c>
      <c r="E4552" s="1">
        <f>42.7408573450311*(10.3/7.3)</f>
        <v>60.305593240249344</v>
      </c>
      <c r="F4552" s="1">
        <f>93.0713546144773*(38.9/42.5)</f>
        <v>85.187663400074527</v>
      </c>
      <c r="G4552" s="1">
        <v>4.0099926707491127</v>
      </c>
      <c r="H4552" s="1">
        <v>7.2465237273265197</v>
      </c>
      <c r="I4552" s="1">
        <v>63.346381426887405</v>
      </c>
      <c r="J4552" s="1">
        <v>6.365900656151996E-2</v>
      </c>
      <c r="K4552" s="1">
        <v>3.8073897753516563</v>
      </c>
      <c r="L4552" s="1">
        <v>5.4253744583190828</v>
      </c>
      <c r="M4552" s="1">
        <v>0.37440274437621968</v>
      </c>
      <c r="N4552" s="1">
        <v>2.8532420946245929</v>
      </c>
      <c r="O4552" s="1">
        <v>0.28536172043010744</v>
      </c>
      <c r="P4552" s="1">
        <v>0.18268571765532099</v>
      </c>
      <c r="Q4552" s="1">
        <v>6.4086640856721049</v>
      </c>
      <c r="R4552" s="2">
        <f t="shared" si="283"/>
        <v>253.32776086584576</v>
      </c>
      <c r="S4552" s="2">
        <f t="shared" si="282"/>
        <v>4.0537344995684972</v>
      </c>
      <c r="T4552" s="2">
        <f t="shared" si="284"/>
        <v>8.938381017750002</v>
      </c>
      <c r="U4552" s="2">
        <f t="shared" si="285"/>
        <v>266.31987638316423</v>
      </c>
    </row>
    <row r="4553" spans="1:21" x14ac:dyDescent="0.25">
      <c r="A4553">
        <v>5248477</v>
      </c>
      <c r="B4553">
        <v>59</v>
      </c>
      <c r="C4553" s="1">
        <f>5.35657925419512*(10.3/7.3)</f>
        <v>7.5579131942753097</v>
      </c>
      <c r="D4553" s="1">
        <f>9.82139309604149*(10.3/7.3)</f>
        <v>13.857582039620183</v>
      </c>
      <c r="E4553" s="1">
        <f>34.0444093956039*(10.3/7.3)</f>
        <v>48.035262571879407</v>
      </c>
      <c r="F4553" s="1">
        <f>77.4252270246604*(38.9/42.5)</f>
        <v>70.866854853159722</v>
      </c>
      <c r="G4553" s="1">
        <v>3.4703730329008002</v>
      </c>
      <c r="H4553" s="1">
        <v>6.2862163197722856</v>
      </c>
      <c r="I4553" s="1">
        <v>53.413164701405648</v>
      </c>
      <c r="J4553" s="1">
        <v>5.2526691229313943E-2</v>
      </c>
      <c r="K4553" s="1">
        <v>3.2762922639178758</v>
      </c>
      <c r="L4553" s="1">
        <v>4.4065764703901706</v>
      </c>
      <c r="M4553" s="1">
        <v>0.30950323141344405</v>
      </c>
      <c r="N4553" s="1">
        <v>2.3837312887099977</v>
      </c>
      <c r="O4553" s="1">
        <v>0.24128271186440683</v>
      </c>
      <c r="P4553" s="1">
        <v>0.15965048436490273</v>
      </c>
      <c r="Q4553" s="1">
        <v>5.5462582717592763</v>
      </c>
      <c r="R4553" s="2">
        <f t="shared" si="283"/>
        <v>209.03362498477262</v>
      </c>
      <c r="S4553" s="2">
        <f t="shared" ref="S4553:S4616" si="286">J4553+K4553+P4553</f>
        <v>3.4884694395120928</v>
      </c>
      <c r="T4553" s="2">
        <f t="shared" si="284"/>
        <v>7.3410937023780187</v>
      </c>
      <c r="U4553" s="2">
        <f t="shared" si="285"/>
        <v>219.86318812666275</v>
      </c>
    </row>
    <row r="4554" spans="1:21" x14ac:dyDescent="0.25">
      <c r="A4554">
        <v>5248485</v>
      </c>
      <c r="B4554">
        <v>59</v>
      </c>
      <c r="C4554" s="1">
        <f>2.63508509212666*(10.3/7.3)</f>
        <v>3.7179967738225495</v>
      </c>
      <c r="D4554" s="1">
        <f>4.67234403540519*(10.3/7.3)</f>
        <v>6.5924854198182814</v>
      </c>
      <c r="E4554" s="1">
        <f>16.2122904554807*(10.3/7.3)</f>
        <v>22.874875574171352</v>
      </c>
      <c r="F4554" s="1">
        <f>36.9169400560221*(38.9/42.5)</f>
        <v>33.789858074806084</v>
      </c>
      <c r="G4554" s="1">
        <v>1.6501234509034322</v>
      </c>
      <c r="H4554" s="1">
        <v>3.7988985349261921</v>
      </c>
      <c r="I4554" s="1">
        <v>25.676511054931265</v>
      </c>
      <c r="J4554" s="1">
        <v>3.3379485990343183E-2</v>
      </c>
      <c r="K4554" s="1">
        <v>2.3178297692732119</v>
      </c>
      <c r="L4554" s="1">
        <v>2.7424821191783346</v>
      </c>
      <c r="M4554" s="1">
        <v>0.20342236360241397</v>
      </c>
      <c r="N4554" s="1">
        <v>1.6036178155287619</v>
      </c>
      <c r="O4554" s="1">
        <v>0.16090214689265536</v>
      </c>
      <c r="P4554" s="1">
        <v>0.1191075810608492</v>
      </c>
      <c r="Q4554" s="1">
        <v>2.6371835973342557</v>
      </c>
      <c r="R4554" s="2">
        <f t="shared" ref="R4554:R4617" si="287">C4554+D4554+E4554+F4554+G4554+H4554+I4554+Q4554</f>
        <v>100.73793248071343</v>
      </c>
      <c r="S4554" s="2">
        <f t="shared" si="286"/>
        <v>2.4703168363244044</v>
      </c>
      <c r="T4554" s="2">
        <f t="shared" ref="T4554:T4617" si="288">L4554+M4554+N4554+O4554</f>
        <v>4.7104244452021664</v>
      </c>
      <c r="U4554" s="2">
        <f t="shared" ref="U4554:U4617" si="289">R4554+S4554+T4554</f>
        <v>107.91867376223999</v>
      </c>
    </row>
    <row r="4555" spans="1:21" x14ac:dyDescent="0.25">
      <c r="A4555">
        <v>5248493</v>
      </c>
      <c r="B4555">
        <v>58</v>
      </c>
      <c r="C4555" s="1">
        <f>2.81749563974093*(10.3/7.3)</f>
        <v>3.9753705601824123</v>
      </c>
      <c r="D4555" s="1">
        <f>4.89275831110981*(10.3/7.3)</f>
        <v>6.9034809047165808</v>
      </c>
      <c r="E4555" s="1">
        <f>16.9968021836483*(10.3/7.3)</f>
        <v>23.981789382407914</v>
      </c>
      <c r="F4555" s="1">
        <f>38.2878133042039*(38.9/42.5)</f>
        <v>35.044610294906626</v>
      </c>
      <c r="G4555" s="1">
        <v>1.690746281299367</v>
      </c>
      <c r="H4555" s="1">
        <v>3.8455164055795903</v>
      </c>
      <c r="I4555" s="1">
        <v>26.681084197997844</v>
      </c>
      <c r="J4555" s="1">
        <v>3.4095751680329918E-2</v>
      </c>
      <c r="K4555" s="1">
        <v>2.356031468220265</v>
      </c>
      <c r="L4555" s="1">
        <v>2.7809355749852371</v>
      </c>
      <c r="M4555" s="1">
        <v>0.20277373447792157</v>
      </c>
      <c r="N4555" s="1">
        <v>1.6778382614207203</v>
      </c>
      <c r="O4555" s="1">
        <v>0.1628367816091954</v>
      </c>
      <c r="P4555" s="1">
        <v>0.11981088874076419</v>
      </c>
      <c r="Q4555" s="1">
        <v>2.702105929017256</v>
      </c>
      <c r="R4555" s="2">
        <f t="shared" si="287"/>
        <v>104.82470395610758</v>
      </c>
      <c r="S4555" s="2">
        <f t="shared" si="286"/>
        <v>2.509938108641359</v>
      </c>
      <c r="T4555" s="2">
        <f t="shared" si="288"/>
        <v>4.824384352493075</v>
      </c>
      <c r="U4555" s="2">
        <f t="shared" si="289"/>
        <v>112.15902641724202</v>
      </c>
    </row>
    <row r="4556" spans="1:21" x14ac:dyDescent="0.25">
      <c r="A4556">
        <v>5248501</v>
      </c>
      <c r="B4556">
        <v>54</v>
      </c>
      <c r="C4556" s="1">
        <f>5.04547209878297*(10.3/7.3)</f>
        <v>7.1189537832143284</v>
      </c>
      <c r="D4556" s="1">
        <f>8.69046416221708*(10.3/7.3)</f>
        <v>12.261887790525467</v>
      </c>
      <c r="E4556" s="1">
        <f>30.2017489332724*(10.3/7.3)</f>
        <v>42.613426577083025</v>
      </c>
      <c r="F4556" s="1">
        <f>67.8276460469759*(38.9/42.5)</f>
        <v>62.082245440643796</v>
      </c>
      <c r="G4556" s="1">
        <v>2.9839319186973734</v>
      </c>
      <c r="H4556" s="1">
        <v>5.8145156661682735</v>
      </c>
      <c r="I4556" s="1">
        <v>47.319678090930708</v>
      </c>
      <c r="J4556" s="1">
        <v>4.8631358261479726E-2</v>
      </c>
      <c r="K4556" s="1">
        <v>3.0532764866761828</v>
      </c>
      <c r="L4556" s="1">
        <v>4.0028026667645502</v>
      </c>
      <c r="M4556" s="1">
        <v>0.26942681357308507</v>
      </c>
      <c r="N4556" s="1">
        <v>2.1980882034039109</v>
      </c>
      <c r="O4556" s="1">
        <v>0.21824987654320985</v>
      </c>
      <c r="P4556" s="1">
        <v>0.14683633478743968</v>
      </c>
      <c r="Q4556" s="1">
        <v>4.7688409659547109</v>
      </c>
      <c r="R4556" s="2">
        <f t="shared" si="287"/>
        <v>184.96348023321769</v>
      </c>
      <c r="S4556" s="2">
        <f t="shared" si="286"/>
        <v>3.2487441797251022</v>
      </c>
      <c r="T4556" s="2">
        <f t="shared" si="288"/>
        <v>6.6885675602847563</v>
      </c>
      <c r="U4556" s="2">
        <f t="shared" si="289"/>
        <v>194.90079197322754</v>
      </c>
    </row>
    <row r="4557" spans="1:21" x14ac:dyDescent="0.25">
      <c r="A4557">
        <v>5248509</v>
      </c>
      <c r="B4557">
        <v>58</v>
      </c>
      <c r="C4557" s="1">
        <f>6.16480178767802*(10.3/7.3)</f>
        <v>8.6982819743950124</v>
      </c>
      <c r="D4557" s="1">
        <f>10.373821237139*(10.3/7.3)</f>
        <v>14.637035444182482</v>
      </c>
      <c r="E4557" s="1">
        <f>36.1116459393557*(10.3/7.3)</f>
        <v>50.952048380186866</v>
      </c>
      <c r="F4557" s="1">
        <f>79.4979457009311*(38.9/42.5)</f>
        <v>72.764002065087496</v>
      </c>
      <c r="G4557" s="1">
        <v>3.4226346227502704</v>
      </c>
      <c r="H4557" s="1">
        <v>6.3805838629965663</v>
      </c>
      <c r="I4557" s="1">
        <v>55.473055168690856</v>
      </c>
      <c r="J4557" s="1">
        <v>5.5930985580233787E-2</v>
      </c>
      <c r="K4557" s="1">
        <v>3.4386853241996778</v>
      </c>
      <c r="L4557" s="1">
        <v>4.7656988631037507</v>
      </c>
      <c r="M4557" s="1">
        <v>0.30623193556837269</v>
      </c>
      <c r="N4557" s="1">
        <v>2.471640070802779</v>
      </c>
      <c r="O4557" s="1">
        <v>0.24554758620689648</v>
      </c>
      <c r="P4557" s="1">
        <v>0.16130935777745431</v>
      </c>
      <c r="Q4557" s="1">
        <v>5.4699640089616253</v>
      </c>
      <c r="R4557" s="2">
        <f t="shared" si="287"/>
        <v>217.79760552725116</v>
      </c>
      <c r="S4557" s="2">
        <f t="shared" si="286"/>
        <v>3.6559256675573661</v>
      </c>
      <c r="T4557" s="2">
        <f t="shared" si="288"/>
        <v>7.7891184556817983</v>
      </c>
      <c r="U4557" s="2">
        <f t="shared" si="289"/>
        <v>229.24264965049034</v>
      </c>
    </row>
    <row r="4558" spans="1:21" x14ac:dyDescent="0.25">
      <c r="A4558">
        <v>5248517</v>
      </c>
      <c r="B4558">
        <v>58</v>
      </c>
      <c r="C4558" s="1">
        <f>6.7282473522453*(10.3/7.3)</f>
        <v>9.4932805107022702</v>
      </c>
      <c r="D4558" s="1">
        <f>11.192491710451*(10.3/7.3)</f>
        <v>15.792145838033626</v>
      </c>
      <c r="E4558" s="1">
        <f>39.0017894695009*(10.3/7.3)</f>
        <v>55.029922128199914</v>
      </c>
      <c r="F4558" s="1">
        <f>84.5914251212606*(38.9/42.5)</f>
        <v>77.426033816871481</v>
      </c>
      <c r="G4558" s="1">
        <v>3.5841875055305601</v>
      </c>
      <c r="H4558" s="1">
        <v>6.706067713647287</v>
      </c>
      <c r="I4558" s="1">
        <v>58.954840351918371</v>
      </c>
      <c r="J4558" s="1">
        <v>5.9451674159757516E-2</v>
      </c>
      <c r="K4558" s="1">
        <v>3.5938131352005596</v>
      </c>
      <c r="L4558" s="1">
        <v>5.0768197982548937</v>
      </c>
      <c r="M4558" s="1">
        <v>0.31639560554250873</v>
      </c>
      <c r="N4558" s="1">
        <v>2.618760595675071</v>
      </c>
      <c r="O4558" s="1">
        <v>0.25350160919540232</v>
      </c>
      <c r="P4558" s="1">
        <v>0.16613639305741423</v>
      </c>
      <c r="Q4558" s="1">
        <v>5.7281535476515844</v>
      </c>
      <c r="R4558" s="2">
        <f t="shared" si="287"/>
        <v>232.71463141255509</v>
      </c>
      <c r="S4558" s="2">
        <f t="shared" si="286"/>
        <v>3.8194012024177315</v>
      </c>
      <c r="T4558" s="2">
        <f t="shared" si="288"/>
        <v>8.2654776086678741</v>
      </c>
      <c r="U4558" s="2">
        <f t="shared" si="289"/>
        <v>244.79951022364071</v>
      </c>
    </row>
    <row r="4559" spans="1:21" x14ac:dyDescent="0.25">
      <c r="A4559">
        <v>5248525</v>
      </c>
      <c r="B4559">
        <v>58</v>
      </c>
      <c r="C4559" s="1">
        <f>5.49687329483663*(10.3/7.3)</f>
        <v>7.7558623201119579</v>
      </c>
      <c r="D4559" s="1">
        <f>9.4114620455439*(10.3/7.3)</f>
        <v>13.279186173849615</v>
      </c>
      <c r="E4559" s="1">
        <f>32.8047524091947*(10.3/7.3)</f>
        <v>46.286157508863752</v>
      </c>
      <c r="F4559" s="1">
        <f>69.0668798252414*(38.9/42.5)</f>
        <v>63.21650882827975</v>
      </c>
      <c r="G4559" s="1">
        <v>2.8512705625702601</v>
      </c>
      <c r="H4559" s="1">
        <v>6.8842151023664373</v>
      </c>
      <c r="I4559" s="1">
        <v>47.357160887336256</v>
      </c>
      <c r="J4559" s="1">
        <v>5.0769494003004963E-2</v>
      </c>
      <c r="K4559" s="1">
        <v>3.1568516206375277</v>
      </c>
      <c r="L4559" s="1">
        <v>4.2389822201672889</v>
      </c>
      <c r="M4559" s="1">
        <v>0.26533964229422108</v>
      </c>
      <c r="N4559" s="1">
        <v>2.2776189127612185</v>
      </c>
      <c r="O4559" s="1">
        <v>0.21817839080459767</v>
      </c>
      <c r="P4559" s="1">
        <v>0.14740947579684446</v>
      </c>
      <c r="Q4559" s="1">
        <v>4.556825099998135</v>
      </c>
      <c r="R4559" s="2">
        <f t="shared" si="287"/>
        <v>192.18718648337611</v>
      </c>
      <c r="S4559" s="2">
        <f t="shared" si="286"/>
        <v>3.3550305904373769</v>
      </c>
      <c r="T4559" s="2">
        <f t="shared" si="288"/>
        <v>7.0001191660273268</v>
      </c>
      <c r="U4559" s="2">
        <f t="shared" si="289"/>
        <v>202.54233623984081</v>
      </c>
    </row>
    <row r="4560" spans="1:21" x14ac:dyDescent="0.25">
      <c r="A4560">
        <v>5248533</v>
      </c>
      <c r="B4560">
        <v>44</v>
      </c>
      <c r="C4560" s="1">
        <f>4.66279312968762*(10.3/7.3)</f>
        <v>6.5790094843537723</v>
      </c>
      <c r="D4560" s="1">
        <f>13.7915803904802*(10.3/7.3)</f>
        <v>19.459353153691175</v>
      </c>
      <c r="E4560" s="1">
        <f>47.8752530292442*(10.3/7.3)</f>
        <v>67.550014548111747</v>
      </c>
      <c r="F4560" s="1">
        <f>76.6178767545683*(38.9/42.5)</f>
        <v>70.127891900063688</v>
      </c>
      <c r="G4560" s="1">
        <v>2.3771438040143398</v>
      </c>
      <c r="H4560" s="1">
        <v>7.9259924530398731</v>
      </c>
      <c r="I4560" s="1">
        <v>39.735746943024729</v>
      </c>
      <c r="J4560" s="1">
        <v>4.6513228095035532E-2</v>
      </c>
      <c r="K4560" s="1">
        <v>2.8877204396908174</v>
      </c>
      <c r="L4560" s="1">
        <v>3.7422247186409594</v>
      </c>
      <c r="M4560" s="1">
        <v>0.23126600878728387</v>
      </c>
      <c r="N4560" s="1">
        <v>2.0983104293693993</v>
      </c>
      <c r="O4560" s="1">
        <v>0.19505212121212123</v>
      </c>
      <c r="P4560" s="1">
        <v>0.13475691390188571</v>
      </c>
      <c r="Q4560" s="1">
        <v>3.7990882712557972</v>
      </c>
      <c r="R4560" s="2">
        <f t="shared" si="287"/>
        <v>217.55424055755512</v>
      </c>
      <c r="S4560" s="2">
        <f t="shared" si="286"/>
        <v>3.0689905816877383</v>
      </c>
      <c r="T4560" s="2">
        <f t="shared" si="288"/>
        <v>6.2668532780097639</v>
      </c>
      <c r="U4560" s="2">
        <f t="shared" si="289"/>
        <v>226.89008441725261</v>
      </c>
    </row>
    <row r="4561" spans="1:21" x14ac:dyDescent="0.25">
      <c r="A4561">
        <v>5248541</v>
      </c>
      <c r="B4561">
        <v>21</v>
      </c>
      <c r="C4561" s="1">
        <f>3.90297521212946*(10.3/7.3)</f>
        <v>5.5069376280730769</v>
      </c>
      <c r="D4561" s="1">
        <f>6.96185300269001*(10.3/7.3)</f>
        <v>9.8228884832475494</v>
      </c>
      <c r="E4561" s="1">
        <f>24.2734229931624*(10.3/7.3)</f>
        <v>34.248802305420853</v>
      </c>
      <c r="F4561" s="1">
        <f>49.1054513701312*(38.9/42.5)</f>
        <v>44.945930783484755</v>
      </c>
      <c r="G4561" s="1">
        <v>1.9535854122417728</v>
      </c>
      <c r="H4561" s="1">
        <v>6.6018836480140708</v>
      </c>
      <c r="I4561" s="1">
        <v>32.880627489782199</v>
      </c>
      <c r="J4561" s="1">
        <v>4.1510656184902003E-2</v>
      </c>
      <c r="K4561" s="1">
        <v>2.5632531430290197</v>
      </c>
      <c r="L4561" s="1">
        <v>3.1864408789417746</v>
      </c>
      <c r="M4561" s="1">
        <v>0.19025133089208135</v>
      </c>
      <c r="N4561" s="1">
        <v>1.8680825288463212</v>
      </c>
      <c r="O4561" s="1">
        <v>0.1694653968253968</v>
      </c>
      <c r="P4561" s="1">
        <v>0.12071436532874599</v>
      </c>
      <c r="Q4561" s="1">
        <v>3.1221684670530654</v>
      </c>
      <c r="R4561" s="2">
        <f t="shared" si="287"/>
        <v>139.08282421731732</v>
      </c>
      <c r="S4561" s="2">
        <f t="shared" si="286"/>
        <v>2.7254781645426678</v>
      </c>
      <c r="T4561" s="2">
        <f t="shared" si="288"/>
        <v>5.4142401355055743</v>
      </c>
      <c r="U4561" s="2">
        <f t="shared" si="289"/>
        <v>147.22254251736555</v>
      </c>
    </row>
    <row r="4562" spans="1:21" x14ac:dyDescent="0.25">
      <c r="A4562">
        <v>5248549</v>
      </c>
      <c r="B4562">
        <v>19</v>
      </c>
      <c r="C4562" s="1">
        <f>8.34442297895103*(10.3/7.3)</f>
        <v>11.773637901807623</v>
      </c>
      <c r="D4562" s="1">
        <f>10.2758398229091*(10.3/7.3)</f>
        <v>14.498787695337533</v>
      </c>
      <c r="E4562" s="1">
        <f>36.3738540332135*(10.3/7.3)</f>
        <v>51.322013224945046</v>
      </c>
      <c r="F4562" s="1">
        <f>72.0244358390768*(38.9/42.5)</f>
        <v>65.923542450355015</v>
      </c>
      <c r="G4562" s="1">
        <v>2.6060247048617726</v>
      </c>
      <c r="H4562" s="1">
        <v>8.9086496683724814</v>
      </c>
      <c r="I4562" s="1">
        <v>53.805564674259685</v>
      </c>
      <c r="J4562" s="1">
        <v>4.9122899917776443E-2</v>
      </c>
      <c r="K4562" s="1">
        <v>2.8726671624473181</v>
      </c>
      <c r="L4562" s="1">
        <v>3.7033901005867427</v>
      </c>
      <c r="M4562" s="1">
        <v>0.21766389340704778</v>
      </c>
      <c r="N4562" s="1">
        <v>2.1515931622568756</v>
      </c>
      <c r="O4562" s="1">
        <v>0.19047859649122806</v>
      </c>
      <c r="P4562" s="1">
        <v>0.13109144915492107</v>
      </c>
      <c r="Q4562" s="1">
        <v>4.1648796653042091</v>
      </c>
      <c r="R4562" s="2">
        <f t="shared" si="287"/>
        <v>213.00309998524338</v>
      </c>
      <c r="S4562" s="2">
        <f t="shared" si="286"/>
        <v>3.0528815115200154</v>
      </c>
      <c r="T4562" s="2">
        <f t="shared" si="288"/>
        <v>6.2631257527418933</v>
      </c>
      <c r="U4562" s="2">
        <f t="shared" si="289"/>
        <v>222.31910724950529</v>
      </c>
    </row>
    <row r="4563" spans="1:21" x14ac:dyDescent="0.25">
      <c r="A4563">
        <v>5248605</v>
      </c>
      <c r="B4563">
        <v>17</v>
      </c>
      <c r="C4563" s="1">
        <f>4.25164789254571*(10.3/7.3)</f>
        <v>5.9989004511261337</v>
      </c>
      <c r="D4563" s="1">
        <f>5.8895617035654*(10.3/7.3)</f>
        <v>8.3099295269484408</v>
      </c>
      <c r="E4563" s="1">
        <f>20.5335320404637*(10.3/7.3)</f>
        <v>28.971969865311788</v>
      </c>
      <c r="F4563" s="1">
        <f>51.1587309282084*(38.9/42.5)</f>
        <v>46.825285484877853</v>
      </c>
      <c r="G4563" s="1">
        <v>2.3917304651836302</v>
      </c>
      <c r="H4563" s="1">
        <v>8.7932967830875981</v>
      </c>
      <c r="I4563" s="1">
        <v>38.586045333394217</v>
      </c>
      <c r="J4563" s="1">
        <v>3.3768913101269872E-2</v>
      </c>
      <c r="K4563" s="1">
        <v>2.0909230296545167</v>
      </c>
      <c r="L4563" s="1">
        <v>2.9087920289681035</v>
      </c>
      <c r="M4563" s="1">
        <v>0.14795885361949548</v>
      </c>
      <c r="N4563" s="1">
        <v>1.7863234386120594</v>
      </c>
      <c r="O4563" s="1">
        <v>0.12398745098039216</v>
      </c>
      <c r="P4563" s="1">
        <v>9.5321949925446611E-2</v>
      </c>
      <c r="Q4563" s="1">
        <v>3.8224002868231572</v>
      </c>
      <c r="R4563" s="2">
        <f t="shared" si="287"/>
        <v>143.6995581967528</v>
      </c>
      <c r="S4563" s="2">
        <f t="shared" si="286"/>
        <v>2.2200138926812332</v>
      </c>
      <c r="T4563" s="2">
        <f t="shared" si="288"/>
        <v>4.9670617721800507</v>
      </c>
      <c r="U4563" s="2">
        <f t="shared" si="289"/>
        <v>150.88663386161409</v>
      </c>
    </row>
    <row r="4564" spans="1:21" x14ac:dyDescent="0.25">
      <c r="A4564">
        <v>5248717</v>
      </c>
      <c r="B4564">
        <v>11</v>
      </c>
      <c r="C4564" s="1">
        <f>10.4207619987622*(10.3/7.3)</f>
        <v>14.703266929760348</v>
      </c>
      <c r="D4564" s="1">
        <f>13.031980718089*(10.3/7.3)</f>
        <v>18.387589232372186</v>
      </c>
      <c r="E4564" s="1">
        <f>45.7096050371786*(10.3/7.3)</f>
        <v>64.494374230539606</v>
      </c>
      <c r="F4564" s="1">
        <f>110.086798720999*(38.9/42.5)</f>
        <v>100.76179929992648</v>
      </c>
      <c r="G4564" s="1">
        <v>4.9311779494658516</v>
      </c>
      <c r="H4564" s="1">
        <v>8.3351138596516439</v>
      </c>
      <c r="I4564" s="1">
        <v>84.799300680381279</v>
      </c>
      <c r="J4564" s="1">
        <v>5.2638099845682212E-2</v>
      </c>
      <c r="K4564" s="1">
        <v>3.0378422351345247</v>
      </c>
      <c r="L4564" s="1">
        <v>3.8665042103908891</v>
      </c>
      <c r="M4564" s="1">
        <v>0.17726577970999235</v>
      </c>
      <c r="N4564" s="1">
        <v>2.3328694776986505</v>
      </c>
      <c r="O4564" s="1">
        <v>0.16085333333333332</v>
      </c>
      <c r="P4564" s="1">
        <v>0.11644799603936852</v>
      </c>
      <c r="Q4564" s="1">
        <v>7.8808780014294513</v>
      </c>
      <c r="R4564" s="2">
        <f t="shared" si="287"/>
        <v>304.29350018352682</v>
      </c>
      <c r="S4564" s="2">
        <f t="shared" si="286"/>
        <v>3.2069283310195758</v>
      </c>
      <c r="T4564" s="2">
        <f t="shared" si="288"/>
        <v>6.5374928011328652</v>
      </c>
      <c r="U4564" s="2">
        <f t="shared" si="289"/>
        <v>314.03792131567928</v>
      </c>
    </row>
    <row r="4565" spans="1:21" x14ac:dyDescent="0.25">
      <c r="A4565">
        <v>5248917</v>
      </c>
      <c r="B4565">
        <v>8</v>
      </c>
      <c r="C4565" s="1">
        <f>4.41217706236854*(10.3/7.3)</f>
        <v>6.2254005126569831</v>
      </c>
      <c r="D4565" s="1">
        <f>5.21701777230113*(10.3/7.3)</f>
        <v>7.360997678726247</v>
      </c>
      <c r="E4565" s="1">
        <f>18.3386269611435*(10.3/7.3)</f>
        <v>25.875048999969568</v>
      </c>
      <c r="F4565" s="1">
        <f>44.5533999645635*(38.9/42.5)</f>
        <v>40.779464908741687</v>
      </c>
      <c r="G4565" s="1">
        <v>1.9934058858965991</v>
      </c>
      <c r="H4565" s="1">
        <v>7.2715814253339399</v>
      </c>
      <c r="I4565" s="1">
        <v>34.912331659639165</v>
      </c>
      <c r="J4565" s="1">
        <v>3.9518017391913983E-2</v>
      </c>
      <c r="K4565" s="1">
        <v>1.9987121263581351</v>
      </c>
      <c r="L4565" s="1">
        <v>1.8758366275664551</v>
      </c>
      <c r="M4565" s="1">
        <v>9.2349703451760107E-2</v>
      </c>
      <c r="N4565" s="1">
        <v>1.4794593794086131</v>
      </c>
      <c r="O4565" s="1">
        <v>8.8120000000000004E-2</v>
      </c>
      <c r="P4565" s="1">
        <v>6.8566606344715286E-2</v>
      </c>
      <c r="Q4565" s="1">
        <v>3.1858084934420567</v>
      </c>
      <c r="R4565" s="2">
        <f t="shared" si="287"/>
        <v>127.60403956440622</v>
      </c>
      <c r="S4565" s="2">
        <f t="shared" si="286"/>
        <v>2.1067967500947646</v>
      </c>
      <c r="T4565" s="2">
        <f t="shared" si="288"/>
        <v>3.5357657104268281</v>
      </c>
      <c r="U4565" s="2">
        <f t="shared" si="289"/>
        <v>133.24660202492782</v>
      </c>
    </row>
    <row r="4566" spans="1:21" x14ac:dyDescent="0.25">
      <c r="A4566">
        <v>5248941</v>
      </c>
      <c r="B4566">
        <v>23</v>
      </c>
      <c r="C4566" s="1">
        <f>4.43868511381213*(10.3/7.3)</f>
        <v>6.2628022838719035</v>
      </c>
      <c r="D4566" s="1">
        <f>5.96258245332406*(10.3/7.3)</f>
        <v>8.4129588040051821</v>
      </c>
      <c r="E4566" s="1">
        <f>20.5235697254973*(10.3/7.3)</f>
        <v>28.957913448304392</v>
      </c>
      <c r="F4566" s="1">
        <f>65.9677723097913*(38.9/42.5)</f>
        <v>60.379913949432535</v>
      </c>
      <c r="G4566" s="1">
        <v>3.627455356755378</v>
      </c>
      <c r="H4566" s="1">
        <v>8.2009894058813231</v>
      </c>
      <c r="I4566" s="1">
        <v>52.153851398252776</v>
      </c>
      <c r="J4566" s="1">
        <v>2.9317586168460866E-2</v>
      </c>
      <c r="K4566" s="1">
        <v>1.7959483372957747</v>
      </c>
      <c r="L4566" s="1">
        <v>1.7361321050833416</v>
      </c>
      <c r="M4566" s="1">
        <v>8.2923170938915797E-2</v>
      </c>
      <c r="N4566" s="1">
        <v>1.525466962494203</v>
      </c>
      <c r="O4566" s="1">
        <v>8.2448695652173928E-2</v>
      </c>
      <c r="P4566" s="1">
        <v>6.4890874072784516E-2</v>
      </c>
      <c r="Q4566" s="1">
        <v>5.7973030815725277</v>
      </c>
      <c r="R4566" s="2">
        <f t="shared" si="287"/>
        <v>173.79318772807602</v>
      </c>
      <c r="S4566" s="2">
        <f t="shared" si="286"/>
        <v>1.8901567975370202</v>
      </c>
      <c r="T4566" s="2">
        <f t="shared" si="288"/>
        <v>3.4269709341686343</v>
      </c>
      <c r="U4566" s="2">
        <f t="shared" si="289"/>
        <v>179.11031545978167</v>
      </c>
    </row>
    <row r="4567" spans="1:21" x14ac:dyDescent="0.25">
      <c r="A4567">
        <v>5260249</v>
      </c>
      <c r="B4567">
        <v>67</v>
      </c>
      <c r="C4567" s="1">
        <f>0.70879296573079*(10.3/7.3)</f>
        <v>1.0000777461681016</v>
      </c>
      <c r="D4567" s="1">
        <f>1.03258930137421*(10.3/7.3)</f>
        <v>1.4569410690622473</v>
      </c>
      <c r="E4567" s="1">
        <f>3.57866151742779*(10.3/7.3)</f>
        <v>5.049344332809067</v>
      </c>
      <c r="F4567" s="1">
        <f>9.63747619768038*(38.9/42.5)</f>
        <v>8.8211252727003924</v>
      </c>
      <c r="G4567" s="1">
        <v>0.48013525266378809</v>
      </c>
      <c r="H4567" s="1">
        <v>2.0786525543654886</v>
      </c>
      <c r="I4567" s="1">
        <v>7.287485581656159</v>
      </c>
      <c r="J4567" s="1">
        <v>3.5952982091908059E-2</v>
      </c>
      <c r="K4567" s="1">
        <v>3.0238309242882746</v>
      </c>
      <c r="L4567" s="1">
        <v>2.1200161993254629</v>
      </c>
      <c r="M4567" s="1">
        <v>0.89345516698290095</v>
      </c>
      <c r="N4567" s="1">
        <v>1.2805181904615592</v>
      </c>
      <c r="O4567" s="1">
        <v>0.37293691542288548</v>
      </c>
      <c r="P4567" s="1">
        <v>0.17792837332768327</v>
      </c>
      <c r="Q4567" s="1">
        <v>0.76733944489646566</v>
      </c>
      <c r="R4567" s="2">
        <f t="shared" si="287"/>
        <v>26.941101254321712</v>
      </c>
      <c r="S4567" s="2">
        <f t="shared" si="286"/>
        <v>3.2377122797078659</v>
      </c>
      <c r="T4567" s="2">
        <f t="shared" si="288"/>
        <v>4.6669264721928085</v>
      </c>
      <c r="U4567" s="2">
        <f t="shared" si="289"/>
        <v>34.845740006222385</v>
      </c>
    </row>
    <row r="4568" spans="1:21" x14ac:dyDescent="0.25">
      <c r="A4568">
        <v>5260257</v>
      </c>
      <c r="B4568">
        <v>67</v>
      </c>
      <c r="C4568" s="1">
        <f>0.775420645883021*(10.3/7.3)</f>
        <v>1.0940866647390568</v>
      </c>
      <c r="D4568" s="1">
        <f>1.1394662339052*(10.3/7.3)</f>
        <v>1.6077400286607608</v>
      </c>
      <c r="E4568" s="1">
        <f>3.94422673882916*(10.3/7.3)</f>
        <v>5.5651418369781318</v>
      </c>
      <c r="F4568" s="1">
        <f>10.8018158413103*(38.9/42.5)</f>
        <v>9.8868384994581682</v>
      </c>
      <c r="G4568" s="1">
        <v>0.54479246526972847</v>
      </c>
      <c r="H4568" s="1">
        <v>2.4720867558755417</v>
      </c>
      <c r="I4568" s="1">
        <v>8.1775200811675948</v>
      </c>
      <c r="J4568" s="1">
        <v>4.1434694695039312E-2</v>
      </c>
      <c r="K4568" s="1">
        <v>3.3077065070395339</v>
      </c>
      <c r="L4568" s="1">
        <v>2.337355400268641</v>
      </c>
      <c r="M4568" s="1">
        <v>1.1142594374403412</v>
      </c>
      <c r="N4568" s="1">
        <v>1.4694443580858509</v>
      </c>
      <c r="O4568" s="1">
        <v>0.40972338308457695</v>
      </c>
      <c r="P4568" s="1">
        <v>0.18288982283659497</v>
      </c>
      <c r="Q4568" s="1">
        <v>0.87067288970047985</v>
      </c>
      <c r="R4568" s="2">
        <f t="shared" si="287"/>
        <v>30.218879221849463</v>
      </c>
      <c r="S4568" s="2">
        <f t="shared" si="286"/>
        <v>3.5320310245711686</v>
      </c>
      <c r="T4568" s="2">
        <f t="shared" si="288"/>
        <v>5.3307825788794103</v>
      </c>
      <c r="U4568" s="2">
        <f t="shared" si="289"/>
        <v>39.081692825300038</v>
      </c>
    </row>
    <row r="4569" spans="1:21" x14ac:dyDescent="0.25">
      <c r="A4569">
        <v>5260265</v>
      </c>
      <c r="B4569">
        <v>67</v>
      </c>
      <c r="C4569" s="1">
        <f>0.924054825651598*(10.3/7.3)</f>
        <v>1.3038033841385557</v>
      </c>
      <c r="D4569" s="1">
        <f>1.37179665501919*(10.3/7.3)</f>
        <v>1.9355487050270752</v>
      </c>
      <c r="E4569" s="1">
        <f>4.74146230856071*(10.3/7.3)</f>
        <v>6.6900084627637426</v>
      </c>
      <c r="F4569" s="1">
        <f>13.2467476308561*(38.9/42.5)</f>
        <v>12.124670184477701</v>
      </c>
      <c r="G4569" s="1">
        <v>0.67759157393995051</v>
      </c>
      <c r="H4569" s="1">
        <v>3.3152775054023143</v>
      </c>
      <c r="I4569" s="1">
        <v>10.042911576954037</v>
      </c>
      <c r="J4569" s="1">
        <v>5.1642196318523292E-2</v>
      </c>
      <c r="K4569" s="1">
        <v>3.8220350905376819</v>
      </c>
      <c r="L4569" s="1">
        <v>2.7590029071934703</v>
      </c>
      <c r="M4569" s="1">
        <v>1.4577542162535897</v>
      </c>
      <c r="N4569" s="1">
        <v>1.7914829377383263</v>
      </c>
      <c r="O4569" s="1">
        <v>0.4730364179104477</v>
      </c>
      <c r="P4569" s="1">
        <v>0.20191409032756416</v>
      </c>
      <c r="Q4569" s="1">
        <v>1.0829089081232095</v>
      </c>
      <c r="R4569" s="2">
        <f t="shared" si="287"/>
        <v>37.172720300826583</v>
      </c>
      <c r="S4569" s="2">
        <f t="shared" si="286"/>
        <v>4.0755913771837697</v>
      </c>
      <c r="T4569" s="2">
        <f t="shared" si="288"/>
        <v>6.4812764790958344</v>
      </c>
      <c r="U4569" s="2">
        <f t="shared" si="289"/>
        <v>47.729588157106186</v>
      </c>
    </row>
    <row r="4570" spans="1:21" x14ac:dyDescent="0.25">
      <c r="A4570">
        <v>5260273</v>
      </c>
      <c r="B4570">
        <v>7</v>
      </c>
      <c r="C4570" s="1">
        <f>0.965914530229751*(10.3/7.3)</f>
        <v>1.3628657070364978</v>
      </c>
      <c r="D4570" s="1">
        <f>1.44533673409536*(10.3/7.3)</f>
        <v>2.0393107344085148</v>
      </c>
      <c r="E4570" s="1">
        <f>4.98955104097945*(10.3/7.3)</f>
        <v>7.0400514687792253</v>
      </c>
      <c r="F4570" s="1">
        <f>14.1750332063391*(38.9/42.5)</f>
        <v>12.974324511213885</v>
      </c>
      <c r="G4570" s="1">
        <v>0.7333762498754044</v>
      </c>
      <c r="H4570" s="1">
        <v>6.0425158502502736</v>
      </c>
      <c r="I4570" s="1">
        <v>10.761298203038212</v>
      </c>
      <c r="J4570" s="1">
        <v>5.796943738718674E-2</v>
      </c>
      <c r="K4570" s="1">
        <v>3.9945006279222794</v>
      </c>
      <c r="L4570" s="1">
        <v>2.9993902669929651</v>
      </c>
      <c r="M4570" s="1">
        <v>1.6324682200475436</v>
      </c>
      <c r="N4570" s="1">
        <v>1.9276501998703652</v>
      </c>
      <c r="O4570" s="1">
        <v>0.50319999999999998</v>
      </c>
      <c r="P4570" s="1">
        <v>0.20314916005335304</v>
      </c>
      <c r="Q4570" s="1">
        <v>1.1720624998008755</v>
      </c>
      <c r="R4570" s="2">
        <f t="shared" si="287"/>
        <v>42.125805224402882</v>
      </c>
      <c r="S4570" s="2">
        <f t="shared" si="286"/>
        <v>4.2556192253628193</v>
      </c>
      <c r="T4570" s="2">
        <f t="shared" si="288"/>
        <v>7.0627086869108737</v>
      </c>
      <c r="U4570" s="2">
        <f t="shared" si="289"/>
        <v>53.444133136676577</v>
      </c>
    </row>
    <row r="4571" spans="1:21" x14ac:dyDescent="0.25">
      <c r="A4571">
        <v>5260665</v>
      </c>
      <c r="B4571">
        <v>23</v>
      </c>
      <c r="C4571" s="1">
        <f>4.98349635435864*(10.3/7.3)</f>
        <v>7.0315085547800056</v>
      </c>
      <c r="D4571" s="1">
        <f>14.9120613857288*(10.3/7.3)</f>
        <v>21.040305790822764</v>
      </c>
      <c r="E4571" s="1">
        <f>51.6689642508469*(10.3/7.3)</f>
        <v>72.902785175852415</v>
      </c>
      <c r="F4571" s="1">
        <f>86.9042005101511*(38.9/42.5)</f>
        <v>79.542903525761844</v>
      </c>
      <c r="G4571" s="1">
        <v>2.9247667928745895</v>
      </c>
      <c r="H4571" s="1">
        <v>6.515896610036779</v>
      </c>
      <c r="I4571" s="1">
        <v>46.502051834060914</v>
      </c>
      <c r="J4571" s="1">
        <v>6.4362021512207504E-2</v>
      </c>
      <c r="K4571" s="1">
        <v>3.357723336305789</v>
      </c>
      <c r="L4571" s="1">
        <v>4.2708671111307321</v>
      </c>
      <c r="M4571" s="1">
        <v>0.34282341163626062</v>
      </c>
      <c r="N4571" s="1">
        <v>2.7655474088917154</v>
      </c>
      <c r="O4571" s="1">
        <v>0.25096579710144928</v>
      </c>
      <c r="P4571" s="1">
        <v>0.16370341895016141</v>
      </c>
      <c r="Q4571" s="1">
        <v>4.6742848287950105</v>
      </c>
      <c r="R4571" s="2">
        <f t="shared" si="287"/>
        <v>241.13450311298431</v>
      </c>
      <c r="S4571" s="2">
        <f t="shared" si="286"/>
        <v>3.5857887767681582</v>
      </c>
      <c r="T4571" s="2">
        <f t="shared" si="288"/>
        <v>7.630203728760157</v>
      </c>
      <c r="U4571" s="2">
        <f t="shared" si="289"/>
        <v>252.35049561851264</v>
      </c>
    </row>
    <row r="4572" spans="1:21" x14ac:dyDescent="0.25">
      <c r="A4572">
        <v>5260673</v>
      </c>
      <c r="B4572">
        <v>44</v>
      </c>
      <c r="C4572" s="1">
        <f>6.31618388833939*(10.3/7.3)</f>
        <v>8.9118758972459879</v>
      </c>
      <c r="D4572" s="1">
        <f>12.9262887780613*(10.3/7.3)</f>
        <v>18.238462248497424</v>
      </c>
      <c r="E4572" s="1">
        <f>44.893450017505*(10.3/7.3)</f>
        <v>63.342813038397523</v>
      </c>
      <c r="F4572" s="1">
        <f>90.3307854482177*(38.9/42.5)</f>
        <v>82.679236563192177</v>
      </c>
      <c r="G4572" s="1">
        <v>3.6404929643640913</v>
      </c>
      <c r="H4572" s="1">
        <v>7.0407969483443171</v>
      </c>
      <c r="I4572" s="1">
        <v>58.240276386021243</v>
      </c>
      <c r="J4572" s="1">
        <v>7.0919750360759495E-2</v>
      </c>
      <c r="K4572" s="1">
        <v>3.8088476286827442</v>
      </c>
      <c r="L4572" s="1">
        <v>5.2286558966167087</v>
      </c>
      <c r="M4572" s="1">
        <v>0.40304088770741175</v>
      </c>
      <c r="N4572" s="1">
        <v>3.7507385832040057</v>
      </c>
      <c r="O4572" s="1">
        <v>0.28970787878787879</v>
      </c>
      <c r="P4572" s="1">
        <v>0.18417841615775543</v>
      </c>
      <c r="Q4572" s="1">
        <v>5.8181394407645337</v>
      </c>
      <c r="R4572" s="2">
        <f t="shared" si="287"/>
        <v>247.91209348682727</v>
      </c>
      <c r="S4572" s="2">
        <f t="shared" si="286"/>
        <v>4.063945795201259</v>
      </c>
      <c r="T4572" s="2">
        <f t="shared" si="288"/>
        <v>9.6721432463160042</v>
      </c>
      <c r="U4572" s="2">
        <f t="shared" si="289"/>
        <v>261.64818252834453</v>
      </c>
    </row>
    <row r="4573" spans="1:21" x14ac:dyDescent="0.25">
      <c r="A4573">
        <v>5260681</v>
      </c>
      <c r="B4573">
        <v>57</v>
      </c>
      <c r="C4573" s="1">
        <f>6.50983501639632*(10.3/7.3)</f>
        <v>9.1851096806687771</v>
      </c>
      <c r="D4573" s="1">
        <f>12.798454971614*(10.3/7.3)</f>
        <v>18.058094001044413</v>
      </c>
      <c r="E4573" s="1">
        <f>44.4643273356061*(10.3/7.3)</f>
        <v>62.73733856941687</v>
      </c>
      <c r="F4573" s="1">
        <f>91.2950543994323*(38.9/42.5)</f>
        <v>83.561826262068664</v>
      </c>
      <c r="G4573" s="1">
        <v>3.7405463525079243</v>
      </c>
      <c r="H4573" s="1">
        <v>7.1357594347062907</v>
      </c>
      <c r="I4573" s="1">
        <v>59.904490207238204</v>
      </c>
      <c r="J4573" s="1">
        <v>6.834803727784991E-2</v>
      </c>
      <c r="K4573" s="1">
        <v>3.871917745790868</v>
      </c>
      <c r="L4573" s="1">
        <v>5.4261348503289284</v>
      </c>
      <c r="M4573" s="1">
        <v>0.40508168459840893</v>
      </c>
      <c r="N4573" s="1">
        <v>3.0860115478557457</v>
      </c>
      <c r="O4573" s="1">
        <v>0.29386292397660807</v>
      </c>
      <c r="P4573" s="1">
        <v>0.18734698566196092</v>
      </c>
      <c r="Q4573" s="1">
        <v>5.9780421158802541</v>
      </c>
      <c r="R4573" s="2">
        <f t="shared" si="287"/>
        <v>250.30120662353139</v>
      </c>
      <c r="S4573" s="2">
        <f t="shared" si="286"/>
        <v>4.1276127687306792</v>
      </c>
      <c r="T4573" s="2">
        <f t="shared" si="288"/>
        <v>9.2110910067596912</v>
      </c>
      <c r="U4573" s="2">
        <f t="shared" si="289"/>
        <v>263.63991039902174</v>
      </c>
    </row>
    <row r="4574" spans="1:21" x14ac:dyDescent="0.25">
      <c r="A4574">
        <v>5260689</v>
      </c>
      <c r="B4574">
        <v>57</v>
      </c>
      <c r="C4574" s="1">
        <f>6.59075114134921*(10.3/7.3)</f>
        <v>9.299279007657109</v>
      </c>
      <c r="D4574" s="1">
        <f>12.5263791815505*(10.3/7.3)</f>
        <v>17.674206242461636</v>
      </c>
      <c r="E4574" s="1">
        <f>43.5270843076082*(10.3/7.3)</f>
        <v>61.414927173748602</v>
      </c>
      <c r="F4574" s="1">
        <f>91.173332697452*(38.9/42.5)</f>
        <v>83.450415104256081</v>
      </c>
      <c r="G4574" s="1">
        <v>3.7971679635002711</v>
      </c>
      <c r="H4574" s="1">
        <v>7.160923114063273</v>
      </c>
      <c r="I4574" s="1">
        <v>60.75542896598445</v>
      </c>
      <c r="J4574" s="1">
        <v>6.6048965263149337E-2</v>
      </c>
      <c r="K4574" s="1">
        <v>3.8534966847323671</v>
      </c>
      <c r="L4574" s="1">
        <v>5.4462258563051149</v>
      </c>
      <c r="M4574" s="1">
        <v>0.39423393616622443</v>
      </c>
      <c r="N4574" s="1">
        <v>2.9721791599074097</v>
      </c>
      <c r="O4574" s="1">
        <v>0.29135812865497068</v>
      </c>
      <c r="P4574" s="1">
        <v>0.1860077841985984</v>
      </c>
      <c r="Q4574" s="1">
        <v>6.0685332750004388</v>
      </c>
      <c r="R4574" s="2">
        <f t="shared" si="287"/>
        <v>249.62088084667187</v>
      </c>
      <c r="S4574" s="2">
        <f t="shared" si="286"/>
        <v>4.1055534341941149</v>
      </c>
      <c r="T4574" s="2">
        <f t="shared" si="288"/>
        <v>9.1039970810337181</v>
      </c>
      <c r="U4574" s="2">
        <f t="shared" si="289"/>
        <v>262.83043136189968</v>
      </c>
    </row>
    <row r="4575" spans="1:21" x14ac:dyDescent="0.25">
      <c r="A4575">
        <v>5260697</v>
      </c>
      <c r="B4575">
        <v>60</v>
      </c>
      <c r="C4575" s="1">
        <f>6.25085799730592*(10.3/7.3)</f>
        <v>8.8197037496234181</v>
      </c>
      <c r="D4575" s="1">
        <f>11.5543961977087*(10.3/7.3)</f>
        <v>16.302778196767033</v>
      </c>
      <c r="E4575" s="1">
        <f>40.1456248824807*(10.3/7.3)</f>
        <v>56.643826888979575</v>
      </c>
      <c r="F4575" s="1">
        <f>86.0176723552818*(38.9/42.5)</f>
        <v>78.73146952048144</v>
      </c>
      <c r="G4575" s="1">
        <v>3.6516581409562279</v>
      </c>
      <c r="H4575" s="1">
        <v>6.8905491030425061</v>
      </c>
      <c r="I4575" s="1">
        <v>58.150502160099727</v>
      </c>
      <c r="J4575" s="1">
        <v>6.1518675272778128E-2</v>
      </c>
      <c r="K4575" s="1">
        <v>3.7030820191304841</v>
      </c>
      <c r="L4575" s="1">
        <v>5.1752040509822335</v>
      </c>
      <c r="M4575" s="1">
        <v>0.36826990139760601</v>
      </c>
      <c r="N4575" s="1">
        <v>2.7838543178582347</v>
      </c>
      <c r="O4575" s="1">
        <v>0.27828888888888892</v>
      </c>
      <c r="P4575" s="1">
        <v>0.17898885895232777</v>
      </c>
      <c r="Q4575" s="1">
        <v>5.835983330295349</v>
      </c>
      <c r="R4575" s="2">
        <f t="shared" si="287"/>
        <v>235.02647109024525</v>
      </c>
      <c r="S4575" s="2">
        <f t="shared" si="286"/>
        <v>3.94358955335559</v>
      </c>
      <c r="T4575" s="2">
        <f t="shared" si="288"/>
        <v>8.6056171591269628</v>
      </c>
      <c r="U4575" s="2">
        <f t="shared" si="289"/>
        <v>247.5756778027278</v>
      </c>
    </row>
    <row r="4576" spans="1:21" x14ac:dyDescent="0.25">
      <c r="A4576">
        <v>5260705</v>
      </c>
      <c r="B4576">
        <v>64</v>
      </c>
      <c r="C4576" s="1">
        <f>6.60759884110294*(10.3/7.3)</f>
        <v>9.3230504196383972</v>
      </c>
      <c r="D4576" s="1">
        <f>12.0476382937141*(10.3/7.3)</f>
        <v>16.998722524007537</v>
      </c>
      <c r="E4576" s="1">
        <f>41.8303588074269*(10.3/7.3)</f>
        <v>59.020917221437962</v>
      </c>
      <c r="F4576" s="1">
        <f>92.0015036714262*(38.9/42.5)</f>
        <v>84.208435125140724</v>
      </c>
      <c r="G4576" s="1">
        <v>3.9979771515954527</v>
      </c>
      <c r="H4576" s="1">
        <v>7.1744303598363857</v>
      </c>
      <c r="I4576" s="1">
        <v>62.917313436913979</v>
      </c>
      <c r="J4576" s="1">
        <v>6.2767989379004976E-2</v>
      </c>
      <c r="K4576" s="1">
        <v>3.7769106217892507</v>
      </c>
      <c r="L4576" s="1">
        <v>5.3733655140692109</v>
      </c>
      <c r="M4576" s="1">
        <v>0.36916778212997697</v>
      </c>
      <c r="N4576" s="1">
        <v>2.81642996050088</v>
      </c>
      <c r="O4576" s="1">
        <v>0.28275750000000005</v>
      </c>
      <c r="P4576" s="1">
        <v>0.18097943739085906</v>
      </c>
      <c r="Q4576" s="1">
        <v>6.389461201179949</v>
      </c>
      <c r="R4576" s="2">
        <f t="shared" si="287"/>
        <v>250.03030743975037</v>
      </c>
      <c r="S4576" s="2">
        <f t="shared" si="286"/>
        <v>4.020658048559115</v>
      </c>
      <c r="T4576" s="2">
        <f t="shared" si="288"/>
        <v>8.8417207567000684</v>
      </c>
      <c r="U4576" s="2">
        <f t="shared" si="289"/>
        <v>262.89268624500954</v>
      </c>
    </row>
    <row r="4577" spans="1:21" x14ac:dyDescent="0.25">
      <c r="A4577">
        <v>5260713</v>
      </c>
      <c r="B4577">
        <v>65</v>
      </c>
      <c r="C4577" s="1">
        <f>3.02699322113357*(10.3/7.3)</f>
        <v>4.2709630380377828</v>
      </c>
      <c r="D4577" s="1">
        <f>5.40913355767545*(10.3/7.3)</f>
        <v>7.6320651567201514</v>
      </c>
      <c r="E4577" s="1">
        <f>18.7746858105163*(10.3/7.3)</f>
        <v>26.490310116208001</v>
      </c>
      <c r="F4577" s="1">
        <f>42.217007499675*(38.9/42.5)</f>
        <v>38.640978629114322</v>
      </c>
      <c r="G4577" s="1">
        <v>1.8676912921868476</v>
      </c>
      <c r="H4577" s="1">
        <v>4.1462490493120914</v>
      </c>
      <c r="I4577" s="1">
        <v>29.202875244580358</v>
      </c>
      <c r="J4577" s="1">
        <v>3.6258633065835585E-2</v>
      </c>
      <c r="K4577" s="1">
        <v>2.487898329589715</v>
      </c>
      <c r="L4577" s="1">
        <v>2.9736557988947863</v>
      </c>
      <c r="M4577" s="1">
        <v>0.22221164431586196</v>
      </c>
      <c r="N4577" s="1">
        <v>1.7632749456351853</v>
      </c>
      <c r="O4577" s="1">
        <v>0.17559876923076925</v>
      </c>
      <c r="P4577" s="1">
        <v>0.1267167817353099</v>
      </c>
      <c r="Q4577" s="1">
        <v>2.9848947592027266</v>
      </c>
      <c r="R4577" s="2">
        <f t="shared" si="287"/>
        <v>115.23602728536228</v>
      </c>
      <c r="S4577" s="2">
        <f t="shared" si="286"/>
        <v>2.6508737443908603</v>
      </c>
      <c r="T4577" s="2">
        <f t="shared" si="288"/>
        <v>5.1347411580766034</v>
      </c>
      <c r="U4577" s="2">
        <f t="shared" si="289"/>
        <v>123.02164218782976</v>
      </c>
    </row>
    <row r="4578" spans="1:21" x14ac:dyDescent="0.25">
      <c r="A4578">
        <v>5260721</v>
      </c>
      <c r="B4578">
        <v>66</v>
      </c>
      <c r="C4578" s="1">
        <f>4.71462839444809*(10.3/7.3)</f>
        <v>6.6521469127144286</v>
      </c>
      <c r="D4578" s="1">
        <f>8.34557733706515*(10.3/7.3)</f>
        <v>11.775266653667273</v>
      </c>
      <c r="E4578" s="1">
        <f>28.9670611365704*(10.3/7.3)</f>
        <v>40.871332836530833</v>
      </c>
      <c r="F4578" s="1">
        <f>65.5718976413279*(38.9/42.5)</f>
        <v>60.017572194062431</v>
      </c>
      <c r="G4578" s="1">
        <v>2.9150409800369914</v>
      </c>
      <c r="H4578" s="1">
        <v>5.6015812817189952</v>
      </c>
      <c r="I4578" s="1">
        <v>45.547925970163597</v>
      </c>
      <c r="J4578" s="1">
        <v>4.7276104697810593E-2</v>
      </c>
      <c r="K4578" s="1">
        <v>3.0244249110210792</v>
      </c>
      <c r="L4578" s="1">
        <v>3.9590413137983989</v>
      </c>
      <c r="M4578" s="1">
        <v>0.27417276655878797</v>
      </c>
      <c r="N4578" s="1">
        <v>2.3363803217600783</v>
      </c>
      <c r="O4578" s="1">
        <v>0.21827313131313134</v>
      </c>
      <c r="P4578" s="1">
        <v>0.14759703259284931</v>
      </c>
      <c r="Q4578" s="1">
        <v>4.6587412922965674</v>
      </c>
      <c r="R4578" s="2">
        <f t="shared" si="287"/>
        <v>178.03960812119109</v>
      </c>
      <c r="S4578" s="2">
        <f t="shared" si="286"/>
        <v>3.2192980483117393</v>
      </c>
      <c r="T4578" s="2">
        <f t="shared" si="288"/>
        <v>6.7878675334303962</v>
      </c>
      <c r="U4578" s="2">
        <f t="shared" si="289"/>
        <v>188.04677370293322</v>
      </c>
    </row>
    <row r="4579" spans="1:21" x14ac:dyDescent="0.25">
      <c r="A4579">
        <v>5260729</v>
      </c>
      <c r="B4579">
        <v>67</v>
      </c>
      <c r="C4579" s="1">
        <f>2.76980444938338*(10.3/7.3)</f>
        <v>3.9080802504998342</v>
      </c>
      <c r="D4579" s="1">
        <f>4.75466387628094*(10.3/7.3)</f>
        <v>6.7086353322868035</v>
      </c>
      <c r="E4579" s="1">
        <f>16.5337579446685*(10.3/7.3)</f>
        <v>23.328452990422626</v>
      </c>
      <c r="F4579" s="1">
        <f>36.7190772736304*(38.9/42.5)</f>
        <v>33.608755433981706</v>
      </c>
      <c r="G4579" s="1">
        <v>1.5981341255751875</v>
      </c>
      <c r="H4579" s="1">
        <v>3.7601207634442639</v>
      </c>
      <c r="I4579" s="1">
        <v>25.557529874151257</v>
      </c>
      <c r="J4579" s="1">
        <v>3.4041767121977658E-2</v>
      </c>
      <c r="K4579" s="1">
        <v>2.3394340417600836</v>
      </c>
      <c r="L4579" s="1">
        <v>2.7629199458538851</v>
      </c>
      <c r="M4579" s="1">
        <v>0.20102269204193007</v>
      </c>
      <c r="N4579" s="1">
        <v>1.6156500944379231</v>
      </c>
      <c r="O4579" s="1">
        <v>0.16111920398009955</v>
      </c>
      <c r="P4579" s="1">
        <v>0.11871314667391503</v>
      </c>
      <c r="Q4579" s="1">
        <v>2.5540956344808965</v>
      </c>
      <c r="R4579" s="2">
        <f t="shared" si="287"/>
        <v>101.02380440484258</v>
      </c>
      <c r="S4579" s="2">
        <f t="shared" si="286"/>
        <v>2.4921889555559762</v>
      </c>
      <c r="T4579" s="2">
        <f t="shared" si="288"/>
        <v>4.7407119363138381</v>
      </c>
      <c r="U4579" s="2">
        <f t="shared" si="289"/>
        <v>108.2567052967124</v>
      </c>
    </row>
    <row r="4580" spans="1:21" x14ac:dyDescent="0.25">
      <c r="A4580">
        <v>5260737</v>
      </c>
      <c r="B4580">
        <v>67</v>
      </c>
      <c r="C4580" s="1">
        <f>6.25014959272424*(10.3/7.3)</f>
        <v>8.8187042198711829</v>
      </c>
      <c r="D4580" s="1">
        <f>10.6412914460955*(10.3/7.3)</f>
        <v>15.014424917093638</v>
      </c>
      <c r="E4580" s="1">
        <f>37.0154010870551*(10.3/7.3)</f>
        <v>52.227209752968193</v>
      </c>
      <c r="F4580" s="1">
        <f>82.1311788676568*(38.9/42.5)</f>
        <v>75.174184892984655</v>
      </c>
      <c r="G4580" s="1">
        <v>3.5678290305641274</v>
      </c>
      <c r="H4580" s="1">
        <v>6.6798683987554517</v>
      </c>
      <c r="I4580" s="1">
        <v>57.268051666288542</v>
      </c>
      <c r="J4580" s="1">
        <v>5.7554182448916386E-2</v>
      </c>
      <c r="K4580" s="1">
        <v>3.4871591439985345</v>
      </c>
      <c r="L4580" s="1">
        <v>4.8525851244949765</v>
      </c>
      <c r="M4580" s="1">
        <v>0.31283061233069526</v>
      </c>
      <c r="N4580" s="1">
        <v>2.5215467011958426</v>
      </c>
      <c r="O4580" s="1">
        <v>0.25145711442786067</v>
      </c>
      <c r="P4580" s="1">
        <v>0.16403410249993847</v>
      </c>
      <c r="Q4580" s="1">
        <v>5.7020098661983818</v>
      </c>
      <c r="R4580" s="2">
        <f t="shared" si="287"/>
        <v>224.45228274472416</v>
      </c>
      <c r="S4580" s="2">
        <f t="shared" si="286"/>
        <v>3.7087474289473894</v>
      </c>
      <c r="T4580" s="2">
        <f t="shared" si="288"/>
        <v>7.9384195524493748</v>
      </c>
      <c r="U4580" s="2">
        <f t="shared" si="289"/>
        <v>236.09944972612092</v>
      </c>
    </row>
    <row r="4581" spans="1:21" x14ac:dyDescent="0.25">
      <c r="A4581">
        <v>5260745</v>
      </c>
      <c r="B4581">
        <v>67</v>
      </c>
      <c r="C4581" s="1">
        <f>6.39620973738343*(10.3/7.3)</f>
        <v>9.0247890815136138</v>
      </c>
      <c r="D4581" s="1">
        <f>10.7142294488485*(10.3/7.3)</f>
        <v>15.117337441526017</v>
      </c>
      <c r="E4581" s="1">
        <f>37.3137170036426*(10.3/7.3)</f>
        <v>52.648121251714898</v>
      </c>
      <c r="F4581" s="1">
        <f>81.5708272949322*(38.9/42.5)</f>
        <v>74.661298394655546</v>
      </c>
      <c r="G4581" s="1">
        <v>3.4862048045201712</v>
      </c>
      <c r="H4581" s="1">
        <v>6.5313165804367346</v>
      </c>
      <c r="I4581" s="1">
        <v>56.87384139158253</v>
      </c>
      <c r="J4581" s="1">
        <v>5.7628786837364165E-2</v>
      </c>
      <c r="K4581" s="1">
        <v>3.5181459258634247</v>
      </c>
      <c r="L4581" s="1">
        <v>4.9177126743330701</v>
      </c>
      <c r="M4581" s="1">
        <v>0.31114850125912052</v>
      </c>
      <c r="N4581" s="1">
        <v>2.5428219153355456</v>
      </c>
      <c r="O4581" s="1">
        <v>0.25036815920398009</v>
      </c>
      <c r="P4581" s="1">
        <v>0.16392461081620718</v>
      </c>
      <c r="Q4581" s="1">
        <v>5.5715601898724252</v>
      </c>
      <c r="R4581" s="2">
        <f t="shared" si="287"/>
        <v>223.91446913582197</v>
      </c>
      <c r="S4581" s="2">
        <f t="shared" si="286"/>
        <v>3.7396993235169962</v>
      </c>
      <c r="T4581" s="2">
        <f t="shared" si="288"/>
        <v>8.0220512501317156</v>
      </c>
      <c r="U4581" s="2">
        <f t="shared" si="289"/>
        <v>235.67621970947067</v>
      </c>
    </row>
    <row r="4582" spans="1:21" x14ac:dyDescent="0.25">
      <c r="A4582">
        <v>5260753</v>
      </c>
      <c r="B4582">
        <v>67</v>
      </c>
      <c r="C4582" s="1">
        <f>6.67245780096963*(10.3/7.3)</f>
        <v>9.4145637465735916</v>
      </c>
      <c r="D4582" s="1">
        <f>11.1883202377334*(10.3/7.3)</f>
        <v>15.786260061459393</v>
      </c>
      <c r="E4582" s="1">
        <f>38.9898548073639*(10.3/7.3)</f>
        <v>55.013082810390173</v>
      </c>
      <c r="F4582" s="1">
        <f>83.897614798574*(38.9/42.5)</f>
        <v>76.790993309753631</v>
      </c>
      <c r="G4582" s="1">
        <v>3.5308362971598632</v>
      </c>
      <c r="H4582" s="1">
        <v>6.7490555432980885</v>
      </c>
      <c r="I4582" s="1">
        <v>58.217863406145916</v>
      </c>
      <c r="J4582" s="1">
        <v>5.8994971784389762E-2</v>
      </c>
      <c r="K4582" s="1">
        <v>3.5686864322700664</v>
      </c>
      <c r="L4582" s="1">
        <v>5.0211852364159792</v>
      </c>
      <c r="M4582" s="1">
        <v>0.31054036698717447</v>
      </c>
      <c r="N4582" s="1">
        <v>2.593759217213996</v>
      </c>
      <c r="O4582" s="1">
        <v>0.2501110447761194</v>
      </c>
      <c r="P4582" s="1">
        <v>0.1644612088411774</v>
      </c>
      <c r="Q4582" s="1">
        <v>5.6428890593879126</v>
      </c>
      <c r="R4582" s="2">
        <f t="shared" si="287"/>
        <v>231.14554423416854</v>
      </c>
      <c r="S4582" s="2">
        <f t="shared" si="286"/>
        <v>3.7921426128956335</v>
      </c>
      <c r="T4582" s="2">
        <f t="shared" si="288"/>
        <v>8.1755958653932694</v>
      </c>
      <c r="U4582" s="2">
        <f t="shared" si="289"/>
        <v>243.11328271245745</v>
      </c>
    </row>
    <row r="4583" spans="1:21" x14ac:dyDescent="0.25">
      <c r="A4583">
        <v>5260761</v>
      </c>
      <c r="B4583">
        <v>67</v>
      </c>
      <c r="C4583" s="1">
        <f>3.78192932156025*(10.3/7.3)</f>
        <v>5.3361468509685732</v>
      </c>
      <c r="D4583" s="1">
        <f>7.21545057632526*(10.3/7.3)</f>
        <v>10.180704237828788</v>
      </c>
      <c r="E4583" s="1">
        <f>25.1306923378845*(10.3/7.3)</f>
        <v>35.458374120576735</v>
      </c>
      <c r="F4583" s="1">
        <f>49.5508452912705*(38.9/42.5)</f>
        <v>45.353597219539374</v>
      </c>
      <c r="G4583" s="1">
        <v>1.9335509226108343</v>
      </c>
      <c r="H4583" s="1">
        <v>4.9826776617574202</v>
      </c>
      <c r="I4583" s="1">
        <v>32.286687910340426</v>
      </c>
      <c r="J4583" s="1">
        <v>3.9945900158849891E-2</v>
      </c>
      <c r="K4583" s="1">
        <v>2.6076365384539044</v>
      </c>
      <c r="L4583" s="1">
        <v>3.2500238574104428</v>
      </c>
      <c r="M4583" s="1">
        <v>0.20713206435297468</v>
      </c>
      <c r="N4583" s="1">
        <v>1.8361092783350135</v>
      </c>
      <c r="O4583" s="1">
        <v>0.17560597014925372</v>
      </c>
      <c r="P4583" s="1">
        <v>0.12513454786196099</v>
      </c>
      <c r="Q4583" s="1">
        <v>3.0901498763186876</v>
      </c>
      <c r="R4583" s="2">
        <f t="shared" si="287"/>
        <v>138.62188879994085</v>
      </c>
      <c r="S4583" s="2">
        <f t="shared" si="286"/>
        <v>2.7727169864747152</v>
      </c>
      <c r="T4583" s="2">
        <f t="shared" si="288"/>
        <v>5.4688711702476844</v>
      </c>
      <c r="U4583" s="2">
        <f t="shared" si="289"/>
        <v>146.86347695666325</v>
      </c>
    </row>
    <row r="4584" spans="1:21" x14ac:dyDescent="0.25">
      <c r="A4584">
        <v>5260769</v>
      </c>
      <c r="B4584">
        <v>14</v>
      </c>
      <c r="C4584" s="1">
        <f>5.19565972039347*(10.3/7.3)</f>
        <v>7.3308623452126991</v>
      </c>
      <c r="D4584" s="1">
        <f>20.2692543924097*(10.3/7.3)</f>
        <v>28.599084964632929</v>
      </c>
      <c r="E4584" s="1">
        <f>70.2388539244233*(10.3/7.3)</f>
        <v>99.104136359117788</v>
      </c>
      <c r="F4584" s="1">
        <f>101.870398997771*(38.9/42.5)</f>
        <v>93.241376965018347</v>
      </c>
      <c r="G4584" s="1">
        <v>2.7238353568555103</v>
      </c>
      <c r="H4584" s="1">
        <v>8.8919805197853865</v>
      </c>
      <c r="I4584" s="1">
        <v>45.064587685510396</v>
      </c>
      <c r="J4584" s="1">
        <v>5.0790542801938572E-2</v>
      </c>
      <c r="K4584" s="1">
        <v>3.0642954621577876</v>
      </c>
      <c r="L4584" s="1">
        <v>4.078015383087223</v>
      </c>
      <c r="M4584" s="1">
        <v>0.25334512273490611</v>
      </c>
      <c r="N4584" s="1">
        <v>2.2455864666901326</v>
      </c>
      <c r="O4584" s="1">
        <v>0.2079695238095238</v>
      </c>
      <c r="P4584" s="1">
        <v>0.14057275785057147</v>
      </c>
      <c r="Q4584" s="1">
        <v>4.353161529221139</v>
      </c>
      <c r="R4584" s="2">
        <f t="shared" si="287"/>
        <v>289.30902572535422</v>
      </c>
      <c r="S4584" s="2">
        <f t="shared" si="286"/>
        <v>3.2556587628102975</v>
      </c>
      <c r="T4584" s="2">
        <f t="shared" si="288"/>
        <v>6.7849164963217863</v>
      </c>
      <c r="U4584" s="2">
        <f t="shared" si="289"/>
        <v>299.3496009844863</v>
      </c>
    </row>
    <row r="4585" spans="1:21" x14ac:dyDescent="0.25">
      <c r="A4585">
        <v>5260777</v>
      </c>
      <c r="B4585">
        <v>20</v>
      </c>
      <c r="C4585" s="1">
        <f>4.61086493017225*(10.3/7.3)</f>
        <v>6.505740928873176</v>
      </c>
      <c r="D4585" s="1">
        <f>7.13469430345076*(10.3/7.3)</f>
        <v>10.066760455553815</v>
      </c>
      <c r="E4585" s="1">
        <f>24.9904512103956*(10.3/7.3)</f>
        <v>35.260499653023899</v>
      </c>
      <c r="F4585" s="1">
        <f>50.9281748128577*(38.9/42.5)</f>
        <v>46.61425882870973</v>
      </c>
      <c r="G4585" s="1">
        <v>1.9976172123325244</v>
      </c>
      <c r="H4585" s="1">
        <v>7.5969089047396867</v>
      </c>
      <c r="I4585" s="1">
        <v>35.5861645542698</v>
      </c>
      <c r="J4585" s="1">
        <v>4.2653532808310496E-2</v>
      </c>
      <c r="K4585" s="1">
        <v>2.6089038216635854</v>
      </c>
      <c r="L4585" s="1">
        <v>3.2274291023461243</v>
      </c>
      <c r="M4585" s="1">
        <v>0.19839508174146073</v>
      </c>
      <c r="N4585" s="1">
        <v>1.9501760355606774</v>
      </c>
      <c r="O4585" s="1">
        <v>0.17264533333333332</v>
      </c>
      <c r="P4585" s="1">
        <v>0.12194214297492363</v>
      </c>
      <c r="Q4585" s="1">
        <v>3.192538923819106</v>
      </c>
      <c r="R4585" s="2">
        <f t="shared" si="287"/>
        <v>146.82048946132176</v>
      </c>
      <c r="S4585" s="2">
        <f t="shared" si="286"/>
        <v>2.7734994974468195</v>
      </c>
      <c r="T4585" s="2">
        <f t="shared" si="288"/>
        <v>5.5486455529815961</v>
      </c>
      <c r="U4585" s="2">
        <f t="shared" si="289"/>
        <v>155.14263451175015</v>
      </c>
    </row>
    <row r="4586" spans="1:21" x14ac:dyDescent="0.25">
      <c r="A4586">
        <v>5260833</v>
      </c>
      <c r="B4586">
        <v>51</v>
      </c>
      <c r="C4586" s="1">
        <f>3.99321898710269*(10.3/7.3)</f>
        <v>5.6342678859120205</v>
      </c>
      <c r="D4586" s="1">
        <f>6.06485454996082*(10.3/7.3)</f>
        <v>8.5572605293967747</v>
      </c>
      <c r="E4586" s="1">
        <f>20.9952296844502*(10.3/7.3)</f>
        <v>29.623406267101</v>
      </c>
      <c r="F4586" s="1">
        <f>56.0514208028479*(38.9/42.5)</f>
        <v>51.303535746606691</v>
      </c>
      <c r="G4586" s="1">
        <v>2.7881116385532456</v>
      </c>
      <c r="H4586" s="1">
        <v>8.812265739340722</v>
      </c>
      <c r="I4586" s="1">
        <v>41.929122723149845</v>
      </c>
      <c r="J4586" s="1">
        <v>3.331896710285738E-2</v>
      </c>
      <c r="K4586" s="1">
        <v>2.0636892165691858</v>
      </c>
      <c r="L4586" s="1">
        <v>2.8004815884564649</v>
      </c>
      <c r="M4586" s="1">
        <v>0.14743084712977364</v>
      </c>
      <c r="N4586" s="1">
        <v>1.557835564885732</v>
      </c>
      <c r="O4586" s="1">
        <v>0.12271686274509803</v>
      </c>
      <c r="P4586" s="1">
        <v>9.4326606808478652E-2</v>
      </c>
      <c r="Q4586" s="1">
        <v>4.4558861803362424</v>
      </c>
      <c r="R4586" s="2">
        <f t="shared" si="287"/>
        <v>153.10385671039657</v>
      </c>
      <c r="S4586" s="2">
        <f t="shared" si="286"/>
        <v>2.1913347904805218</v>
      </c>
      <c r="T4586" s="2">
        <f t="shared" si="288"/>
        <v>4.6284648632170686</v>
      </c>
      <c r="U4586" s="2">
        <f t="shared" si="289"/>
        <v>159.92365636409414</v>
      </c>
    </row>
    <row r="4587" spans="1:21" x14ac:dyDescent="0.25">
      <c r="A4587">
        <v>5260953</v>
      </c>
      <c r="B4587">
        <v>38</v>
      </c>
      <c r="C4587" s="1">
        <f>6.50525815440632*(10.3/7.3)</f>
        <v>9.1786519164911109</v>
      </c>
      <c r="D4587" s="1">
        <f>8.16411320805864*(10.3/7.3)</f>
        <v>11.519228225069037</v>
      </c>
      <c r="E4587" s="1">
        <f>28.6665829618066*(10.3/7.3)</f>
        <v>40.447370480357321</v>
      </c>
      <c r="F4587" s="1">
        <f>67.2316968768447*(38.9/42.5)</f>
        <v>61.536776670806084</v>
      </c>
      <c r="G4587" s="1">
        <v>2.9422814029873576</v>
      </c>
      <c r="H4587" s="1">
        <v>5.9463777985884949</v>
      </c>
      <c r="I4587" s="1">
        <v>51.50820480399252</v>
      </c>
      <c r="J4587" s="1">
        <v>3.8193523671749621E-2</v>
      </c>
      <c r="K4587" s="1">
        <v>2.3589996110726603</v>
      </c>
      <c r="L4587" s="1">
        <v>2.800904463780419</v>
      </c>
      <c r="M4587" s="1">
        <v>0.13894360334898267</v>
      </c>
      <c r="N4587" s="1">
        <v>1.7562021509661303</v>
      </c>
      <c r="O4587" s="1">
        <v>0.12446877192982458</v>
      </c>
      <c r="P4587" s="1">
        <v>9.3963981752913359E-2</v>
      </c>
      <c r="Q4587" s="1">
        <v>4.7022762148199817</v>
      </c>
      <c r="R4587" s="2">
        <f t="shared" si="287"/>
        <v>187.78116751311191</v>
      </c>
      <c r="S4587" s="2">
        <f t="shared" si="286"/>
        <v>2.4911571164973232</v>
      </c>
      <c r="T4587" s="2">
        <f t="shared" si="288"/>
        <v>4.8205189900253567</v>
      </c>
      <c r="U4587" s="2">
        <f t="shared" si="289"/>
        <v>195.09284361963461</v>
      </c>
    </row>
    <row r="4588" spans="1:21" x14ac:dyDescent="0.25">
      <c r="A4588">
        <v>5261145</v>
      </c>
      <c r="B4588">
        <v>4</v>
      </c>
      <c r="C4588" s="1">
        <f>4.79145043535858*(10.3/7.3)</f>
        <v>6.7605396553689614</v>
      </c>
      <c r="D4588" s="1">
        <f>5.69660691712648*(10.3/7.3)</f>
        <v>8.0376782529318831</v>
      </c>
      <c r="E4588" s="1">
        <f>20.0221917090906*(10.3/7.3)</f>
        <v>28.250489671730517</v>
      </c>
      <c r="F4588" s="1">
        <f>48.4939628176146*(38.9/42.5)</f>
        <v>44.386238908357868</v>
      </c>
      <c r="G4588" s="1">
        <v>2.1657483849463959</v>
      </c>
      <c r="H4588" s="1">
        <v>6.9843795720640234</v>
      </c>
      <c r="I4588" s="1">
        <v>37.923791987316889</v>
      </c>
      <c r="J4588" s="1">
        <v>4.633790663070321E-2</v>
      </c>
      <c r="K4588" s="1">
        <v>2.1175358099932309</v>
      </c>
      <c r="L4588" s="1">
        <v>2.0029125850714564</v>
      </c>
      <c r="M4588" s="1">
        <v>9.7696239519582839E-2</v>
      </c>
      <c r="N4588" s="1">
        <v>1.6526123154434484</v>
      </c>
      <c r="O4588" s="1">
        <v>9.3253333333333341E-2</v>
      </c>
      <c r="P4588" s="1">
        <v>7.1713342618921705E-2</v>
      </c>
      <c r="Q4588" s="1">
        <v>3.4612417111015494</v>
      </c>
      <c r="R4588" s="2">
        <f t="shared" si="287"/>
        <v>137.97010814381809</v>
      </c>
      <c r="S4588" s="2">
        <f t="shared" si="286"/>
        <v>2.2355870592428557</v>
      </c>
      <c r="T4588" s="2">
        <f t="shared" si="288"/>
        <v>3.8464744733678211</v>
      </c>
      <c r="U4588" s="2">
        <f t="shared" si="289"/>
        <v>144.05216967642878</v>
      </c>
    </row>
    <row r="4589" spans="1:21" x14ac:dyDescent="0.25">
      <c r="A4589">
        <v>5261177</v>
      </c>
      <c r="B4589">
        <v>1</v>
      </c>
      <c r="C4589" s="1">
        <f>3.67941971087636*(10.3/7.3)</f>
        <v>5.1915100030173278</v>
      </c>
      <c r="D4589" s="1">
        <f>4.8679712714586*(10.3/7.3)</f>
        <v>6.8685074104141925</v>
      </c>
      <c r="E4589" s="1">
        <f>16.8774500525687*(10.3/7.3)</f>
        <v>23.813388430336712</v>
      </c>
      <c r="F4589" s="1">
        <f>48.5226664253916*(38.9/42.5)</f>
        <v>44.412511151711414</v>
      </c>
      <c r="G4589" s="1">
        <v>2.4978262274734755</v>
      </c>
      <c r="H4589" s="1">
        <v>8.5455147920312005</v>
      </c>
      <c r="I4589" s="1">
        <v>37.88674004245469</v>
      </c>
      <c r="J4589" s="1">
        <v>2.6189053589551776E-2</v>
      </c>
      <c r="K4589" s="1">
        <v>1.6653004850152013</v>
      </c>
      <c r="L4589" s="1">
        <v>1.589353210631218</v>
      </c>
      <c r="M4589" s="1">
        <v>7.7799886413298158E-2</v>
      </c>
      <c r="N4589" s="1">
        <v>1.4125035552293359</v>
      </c>
      <c r="O4589" s="1">
        <v>7.6693333333333336E-2</v>
      </c>
      <c r="P4589" s="1">
        <v>6.1277217277833834E-2</v>
      </c>
      <c r="Q4589" s="1">
        <v>3.9919597242726814</v>
      </c>
      <c r="R4589" s="2">
        <f t="shared" si="287"/>
        <v>133.20795778171171</v>
      </c>
      <c r="S4589" s="2">
        <f t="shared" si="286"/>
        <v>1.7527667558825868</v>
      </c>
      <c r="T4589" s="2">
        <f t="shared" si="288"/>
        <v>3.1563499856071857</v>
      </c>
      <c r="U4589" s="2">
        <f t="shared" si="289"/>
        <v>138.1170745232015</v>
      </c>
    </row>
    <row r="4590" spans="1:21" x14ac:dyDescent="0.25">
      <c r="A4590">
        <v>526901</v>
      </c>
      <c r="B4590">
        <v>18</v>
      </c>
      <c r="C4590" s="1">
        <f>0.973071138567142*(10.3/7.3)</f>
        <v>1.3729633872933655</v>
      </c>
      <c r="D4590" s="1">
        <f>1.1921701325506*(10.3/7.3)</f>
        <v>1.6821030637357728</v>
      </c>
      <c r="E4590" s="1">
        <f>4.22145613160804*(10.3/7.3)</f>
        <v>5.9563011172003852</v>
      </c>
      <c r="F4590" s="1">
        <f>8.33451037941893*(38.9/42.5)</f>
        <v>7.628528323750503</v>
      </c>
      <c r="G4590" s="1">
        <v>0.30003242013566706</v>
      </c>
      <c r="H4590" s="1">
        <v>1.7655356032592766</v>
      </c>
      <c r="I4590" s="1">
        <v>6.2338662781559107</v>
      </c>
      <c r="J4590" s="1">
        <v>3.1969240041051471E-2</v>
      </c>
      <c r="K4590" s="1">
        <v>3.9177845824941335</v>
      </c>
      <c r="L4590" s="1">
        <v>1.4452007951306005</v>
      </c>
      <c r="M4590" s="1">
        <v>7.6630669334418533E-2</v>
      </c>
      <c r="N4590" s="1">
        <v>0.88432178001274153</v>
      </c>
      <c r="O4590" s="1">
        <v>6.9170370370370382E-2</v>
      </c>
      <c r="P4590" s="1">
        <v>5.9378275114113657E-2</v>
      </c>
      <c r="Q4590" s="1">
        <v>0.47950386779672854</v>
      </c>
      <c r="R4590" s="2">
        <f t="shared" si="287"/>
        <v>25.418834061327612</v>
      </c>
      <c r="S4590" s="2">
        <f t="shared" si="286"/>
        <v>4.0091320976492986</v>
      </c>
      <c r="T4590" s="2">
        <f t="shared" si="288"/>
        <v>2.475323614848131</v>
      </c>
      <c r="U4590" s="2">
        <f t="shared" si="289"/>
        <v>31.903289773825044</v>
      </c>
    </row>
    <row r="4591" spans="1:21" x14ac:dyDescent="0.25">
      <c r="A4591">
        <v>526909</v>
      </c>
      <c r="B4591">
        <v>3</v>
      </c>
      <c r="C4591" s="1">
        <f>1.02480481880113*(10.3/7.3)</f>
        <v>1.4459574840618736</v>
      </c>
      <c r="D4591" s="1">
        <f>1.28201746734873*(10.3/7.3)</f>
        <v>1.8088739607797117</v>
      </c>
      <c r="E4591" s="1">
        <f>4.52870710024961*(10.3/7.3)</f>
        <v>6.3898196072015043</v>
      </c>
      <c r="F4591" s="1">
        <f>9.27346285327652*(38.9/42.5)</f>
        <v>8.4879459998225091</v>
      </c>
      <c r="G4591" s="1">
        <v>0.35135516693441327</v>
      </c>
      <c r="H4591" s="1">
        <v>0.99585703040258766</v>
      </c>
      <c r="I4591" s="1">
        <v>6.9366918913368609</v>
      </c>
      <c r="J4591" s="1">
        <v>3.2754704203220998E-2</v>
      </c>
      <c r="K4591" s="1">
        <v>3.9652904104610198</v>
      </c>
      <c r="L4591" s="1">
        <v>2.3786638429221632</v>
      </c>
      <c r="M4591" s="1">
        <v>6.9142508779442322E-2</v>
      </c>
      <c r="N4591" s="1">
        <v>0.95888816311604674</v>
      </c>
      <c r="O4591" s="1">
        <v>6.7680000000000004E-2</v>
      </c>
      <c r="P4591" s="1">
        <v>5.8208242421782241E-2</v>
      </c>
      <c r="Q4591" s="1">
        <v>0.56152652249792123</v>
      </c>
      <c r="R4591" s="2">
        <f t="shared" si="287"/>
        <v>26.978027663037381</v>
      </c>
      <c r="S4591" s="2">
        <f t="shared" si="286"/>
        <v>4.0562533570860229</v>
      </c>
      <c r="T4591" s="2">
        <f t="shared" si="288"/>
        <v>3.4743745148176526</v>
      </c>
      <c r="U4591" s="2">
        <f t="shared" si="289"/>
        <v>34.508655534941056</v>
      </c>
    </row>
    <row r="4592" spans="1:21" x14ac:dyDescent="0.25">
      <c r="A4592">
        <v>526925</v>
      </c>
      <c r="B4592">
        <v>14</v>
      </c>
      <c r="C4592" s="1">
        <f>1.24562917623643*(10.3/7.3)</f>
        <v>1.7575315774294895</v>
      </c>
      <c r="D4592" s="1">
        <f>1.72267519709394*(10.3/7.3)</f>
        <v>2.4306239082284402</v>
      </c>
      <c r="E4592" s="1">
        <f>6.0242873933579*(10.3/7.3)</f>
        <v>8.5000219385734805</v>
      </c>
      <c r="F4592" s="1">
        <f>14.096983770754*(38.9/42.5)</f>
        <v>12.902886321937201</v>
      </c>
      <c r="G4592" s="1">
        <v>0.62487807270817919</v>
      </c>
      <c r="H4592" s="1">
        <v>5.0439075684546237</v>
      </c>
      <c r="I4592" s="1">
        <v>10.508443797781599</v>
      </c>
      <c r="J4592" s="1">
        <v>3.52519306430049E-2</v>
      </c>
      <c r="K4592" s="1">
        <v>4.7629976898480022</v>
      </c>
      <c r="L4592" s="1">
        <v>1.5268677117257889</v>
      </c>
      <c r="M4592" s="1">
        <v>8.3424012383986487E-2</v>
      </c>
      <c r="N4592" s="1">
        <v>1.0327801396891489</v>
      </c>
      <c r="O4592" s="1">
        <v>7.5245714285714291E-2</v>
      </c>
      <c r="P4592" s="1">
        <v>6.416943425106969E-2</v>
      </c>
      <c r="Q4592" s="1">
        <v>0.99866358651992237</v>
      </c>
      <c r="R4592" s="2">
        <f t="shared" si="287"/>
        <v>42.766956771632934</v>
      </c>
      <c r="S4592" s="2">
        <f t="shared" si="286"/>
        <v>4.8624190547420767</v>
      </c>
      <c r="T4592" s="2">
        <f t="shared" si="288"/>
        <v>2.7183175780846387</v>
      </c>
      <c r="U4592" s="2">
        <f t="shared" si="289"/>
        <v>50.347693404459648</v>
      </c>
    </row>
    <row r="4593" spans="1:21" x14ac:dyDescent="0.25">
      <c r="A4593">
        <v>526933</v>
      </c>
      <c r="B4593">
        <v>13</v>
      </c>
      <c r="C4593" s="1">
        <f>1.13816479457213*(10.3/7.3)</f>
        <v>1.6059037512456138</v>
      </c>
      <c r="D4593" s="1">
        <f>1.93323701780705*(10.3/7.3)</f>
        <v>2.7277179840291228</v>
      </c>
      <c r="E4593" s="1">
        <f>6.67381963307627*(10.3/7.3)</f>
        <v>9.4164852357103541</v>
      </c>
      <c r="F4593" s="1">
        <f>17.4145206966475*(38.9/42.5)</f>
        <v>15.939408355284444</v>
      </c>
      <c r="G4593" s="1">
        <v>0.86227166696095658</v>
      </c>
      <c r="H4593" s="1">
        <v>4.1109269680327403</v>
      </c>
      <c r="I4593" s="1">
        <v>12.660536994661827</v>
      </c>
      <c r="J4593" s="1">
        <v>3.8530901317854936E-2</v>
      </c>
      <c r="K4593" s="1">
        <v>4.127234981526839</v>
      </c>
      <c r="L4593" s="1">
        <v>1.422855064794585</v>
      </c>
      <c r="M4593" s="1">
        <v>7.8432902010056288E-2</v>
      </c>
      <c r="N4593" s="1">
        <v>1.2910379678905319</v>
      </c>
      <c r="O4593" s="1">
        <v>7.1638974358974358E-2</v>
      </c>
      <c r="P4593" s="1">
        <v>6.1818016616732127E-2</v>
      </c>
      <c r="Q4593" s="1">
        <v>1.3780597417184248</v>
      </c>
      <c r="R4593" s="2">
        <f t="shared" si="287"/>
        <v>48.701310697643486</v>
      </c>
      <c r="S4593" s="2">
        <f t="shared" si="286"/>
        <v>4.2275838994614254</v>
      </c>
      <c r="T4593" s="2">
        <f t="shared" si="288"/>
        <v>2.8639649090541477</v>
      </c>
      <c r="U4593" s="2">
        <f t="shared" si="289"/>
        <v>55.792859506159061</v>
      </c>
    </row>
    <row r="4594" spans="1:21" x14ac:dyDescent="0.25">
      <c r="A4594">
        <v>526941</v>
      </c>
      <c r="B4594">
        <v>4</v>
      </c>
      <c r="C4594" s="1">
        <f>1.21847420983963*(10.3/7.3)</f>
        <v>1.7192170358011218</v>
      </c>
      <c r="D4594" s="1">
        <f>1.99350988223716*(10.3/7.3)</f>
        <v>2.8127605187729854</v>
      </c>
      <c r="E4594" s="1">
        <f>6.84859772786163*(10.3/7.3)</f>
        <v>9.6630899447910714</v>
      </c>
      <c r="F4594" s="1">
        <f>20.0223084440378*(38.9/42.5)</f>
        <v>18.326301140542842</v>
      </c>
      <c r="G4594" s="1">
        <v>1.0625149774103504</v>
      </c>
      <c r="H4594" s="1">
        <v>4.0518974913080328</v>
      </c>
      <c r="I4594" s="1">
        <v>15.017581019866277</v>
      </c>
      <c r="J4594" s="1">
        <v>3.1005089853994625E-2</v>
      </c>
      <c r="K4594" s="1">
        <v>3.8610563160761533</v>
      </c>
      <c r="L4594" s="1">
        <v>1.4210126901705946</v>
      </c>
      <c r="M4594" s="1">
        <v>7.8942277162715374E-2</v>
      </c>
      <c r="N4594" s="1">
        <v>1.0810270129918824</v>
      </c>
      <c r="O4594" s="1">
        <v>7.1573333333333336E-2</v>
      </c>
      <c r="P4594" s="1">
        <v>6.1850230857197264E-2</v>
      </c>
      <c r="Q4594" s="1">
        <v>1.6980832972311553</v>
      </c>
      <c r="R4594" s="2">
        <f t="shared" si="287"/>
        <v>54.351445425723838</v>
      </c>
      <c r="S4594" s="2">
        <f t="shared" si="286"/>
        <v>3.9539116367873448</v>
      </c>
      <c r="T4594" s="2">
        <f t="shared" si="288"/>
        <v>2.6525553136585254</v>
      </c>
      <c r="U4594" s="2">
        <f t="shared" si="289"/>
        <v>60.957912376169709</v>
      </c>
    </row>
    <row r="4595" spans="1:21" x14ac:dyDescent="0.25">
      <c r="A4595">
        <v>526973</v>
      </c>
      <c r="B4595">
        <v>21</v>
      </c>
      <c r="C4595" s="1">
        <f>1.258602109371*(10.3/7.3)</f>
        <v>1.7758358529481229</v>
      </c>
      <c r="D4595" s="1">
        <f>2.79598502004092*(10.3/7.3)</f>
        <v>3.9450199597837639</v>
      </c>
      <c r="E4595" s="1">
        <f>9.47619829511286*(10.3/7.3)</f>
        <v>13.370526361597603</v>
      </c>
      <c r="F4595" s="1">
        <f>29.8156230044641*(38.9/42.5)</f>
        <v>27.290064349968358</v>
      </c>
      <c r="G4595" s="1">
        <v>1.6807701421505972</v>
      </c>
      <c r="H4595" s="1">
        <v>6.4811165083767621</v>
      </c>
      <c r="I4595" s="1">
        <v>21.636419931267884</v>
      </c>
      <c r="J4595" s="1">
        <v>2.7628509949857653E-2</v>
      </c>
      <c r="K4595" s="1">
        <v>3.311011063576641</v>
      </c>
      <c r="L4595" s="1">
        <v>1.3609325030806125</v>
      </c>
      <c r="M4595" s="1">
        <v>7.6937362531995901E-2</v>
      </c>
      <c r="N4595" s="1">
        <v>0.91893255462050139</v>
      </c>
      <c r="O4595" s="1">
        <v>7.1042539682539679E-2</v>
      </c>
      <c r="P4595" s="1">
        <v>6.1464453700878323E-2</v>
      </c>
      <c r="Q4595" s="1">
        <v>2.6861623276379447</v>
      </c>
      <c r="R4595" s="2">
        <f t="shared" si="287"/>
        <v>78.865915433731033</v>
      </c>
      <c r="S4595" s="2">
        <f t="shared" si="286"/>
        <v>3.4001040272273766</v>
      </c>
      <c r="T4595" s="2">
        <f t="shared" si="288"/>
        <v>2.4278449599156495</v>
      </c>
      <c r="U4595" s="2">
        <f t="shared" si="289"/>
        <v>84.69386442087405</v>
      </c>
    </row>
    <row r="4596" spans="1:21" x14ac:dyDescent="0.25">
      <c r="A4596">
        <v>526981</v>
      </c>
      <c r="B4596">
        <v>20</v>
      </c>
      <c r="C4596" s="1">
        <f>1.12119143603777*(10.3/7.3)</f>
        <v>1.5819550398889128</v>
      </c>
      <c r="D4596" s="1">
        <f>2.23308852635586*(10.3/7.3)</f>
        <v>3.1507961399267588</v>
      </c>
      <c r="E4596" s="1">
        <f>7.55429600659337*(10.3/7.3)</f>
        <v>10.658801214782427</v>
      </c>
      <c r="F4596" s="1">
        <f>25.6647625292682*(38.9/42.5)</f>
        <v>23.490806173847798</v>
      </c>
      <c r="G4596" s="1">
        <v>1.4908685705350222</v>
      </c>
      <c r="H4596" s="1">
        <v>7.077090345751154</v>
      </c>
      <c r="I4596" s="1">
        <v>19.207018291219889</v>
      </c>
      <c r="J4596" s="1">
        <v>2.7443344620185529E-2</v>
      </c>
      <c r="K4596" s="1">
        <v>2.906139835281877</v>
      </c>
      <c r="L4596" s="1">
        <v>1.2315299287514025</v>
      </c>
      <c r="M4596" s="1">
        <v>6.8230278329890717E-2</v>
      </c>
      <c r="N4596" s="1">
        <v>0.99033375948382329</v>
      </c>
      <c r="O4596" s="1">
        <v>6.5386666666666662E-2</v>
      </c>
      <c r="P4596" s="1">
        <v>5.7270743212897532E-2</v>
      </c>
      <c r="Q4596" s="1">
        <v>2.3826666652386219</v>
      </c>
      <c r="R4596" s="2">
        <f t="shared" si="287"/>
        <v>69.04000244119058</v>
      </c>
      <c r="S4596" s="2">
        <f t="shared" si="286"/>
        <v>2.99085392311496</v>
      </c>
      <c r="T4596" s="2">
        <f t="shared" si="288"/>
        <v>2.355480633231783</v>
      </c>
      <c r="U4596" s="2">
        <f t="shared" si="289"/>
        <v>74.386336997537313</v>
      </c>
    </row>
    <row r="4597" spans="1:21" x14ac:dyDescent="0.25">
      <c r="A4597">
        <v>526989</v>
      </c>
      <c r="B4597">
        <v>21</v>
      </c>
      <c r="C4597" s="1">
        <f>1.14491824795494*(10.3/7.3)</f>
        <v>1.6154325964295722</v>
      </c>
      <c r="D4597" s="1">
        <f>1.75160747843814*(10.3/7.3)</f>
        <v>2.4714461682072342</v>
      </c>
      <c r="E4597" s="1">
        <f>6.06392368786268*(10.3/7.3)</f>
        <v>8.5559471212309095</v>
      </c>
      <c r="F4597" s="1">
        <f>16.092793173723*(38.9/42.5)</f>
        <v>14.729638928419361</v>
      </c>
      <c r="G4597" s="1">
        <v>0.79779919804717059</v>
      </c>
      <c r="H4597" s="1">
        <v>6.5049500233515429</v>
      </c>
      <c r="I4597" s="1">
        <v>12.00497681698408</v>
      </c>
      <c r="J4597" s="1">
        <v>2.4000772794757732E-2</v>
      </c>
      <c r="K4597" s="1">
        <v>2.6474856935956375</v>
      </c>
      <c r="L4597" s="1">
        <v>1.1550467666531403</v>
      </c>
      <c r="M4597" s="1">
        <v>6.3994019889955053E-2</v>
      </c>
      <c r="N4597" s="1">
        <v>0.83955799066661352</v>
      </c>
      <c r="O4597" s="1">
        <v>6.2669206349206363E-2</v>
      </c>
      <c r="P4597" s="1">
        <v>5.5085331122213962E-2</v>
      </c>
      <c r="Q4597" s="1">
        <v>1.2750215493904564</v>
      </c>
      <c r="R4597" s="2">
        <f t="shared" si="287"/>
        <v>47.955212402060326</v>
      </c>
      <c r="S4597" s="2">
        <f t="shared" si="286"/>
        <v>2.7265717975126091</v>
      </c>
      <c r="T4597" s="2">
        <f t="shared" si="288"/>
        <v>2.1212679835589152</v>
      </c>
      <c r="U4597" s="2">
        <f t="shared" si="289"/>
        <v>52.803052183131854</v>
      </c>
    </row>
    <row r="4598" spans="1:21" x14ac:dyDescent="0.25">
      <c r="A4598">
        <v>526997</v>
      </c>
      <c r="B4598">
        <v>9</v>
      </c>
      <c r="C4598" s="1">
        <f>1.07224579845112*(10.3/7.3)</f>
        <v>1.5128947567187083</v>
      </c>
      <c r="D4598" s="1">
        <f>1.56028865100742*(10.3/7.3)</f>
        <v>2.2015031651200641</v>
      </c>
      <c r="E4598" s="1">
        <f>5.41330222900169*(10.3/7.3)</f>
        <v>7.6379469806462224</v>
      </c>
      <c r="F4598" s="1">
        <f>14.2946268360583*(38.9/42.5)</f>
        <v>13.083787857003935</v>
      </c>
      <c r="G4598" s="1">
        <v>0.7023526840653509</v>
      </c>
      <c r="H4598" s="1">
        <v>3.7228750172988132</v>
      </c>
      <c r="I4598" s="1">
        <v>10.772499627339416</v>
      </c>
      <c r="J4598" s="1">
        <v>2.0931252667274081E-2</v>
      </c>
      <c r="K4598" s="1">
        <v>2.3017143083712543</v>
      </c>
      <c r="L4598" s="1">
        <v>0.99827862200031836</v>
      </c>
      <c r="M4598" s="1">
        <v>5.6530387749518046E-2</v>
      </c>
      <c r="N4598" s="1">
        <v>0.75955613098911079</v>
      </c>
      <c r="O4598" s="1">
        <v>5.4790518518518516E-2</v>
      </c>
      <c r="P4598" s="1">
        <v>4.9547062071031552E-2</v>
      </c>
      <c r="Q4598" s="1">
        <v>1.122481458551932</v>
      </c>
      <c r="R4598" s="2">
        <f t="shared" si="287"/>
        <v>40.756341546744437</v>
      </c>
      <c r="S4598" s="2">
        <f t="shared" si="286"/>
        <v>2.37219262310956</v>
      </c>
      <c r="T4598" s="2">
        <f t="shared" si="288"/>
        <v>1.8691556592574656</v>
      </c>
      <c r="U4598" s="2">
        <f t="shared" si="289"/>
        <v>44.997689829111465</v>
      </c>
    </row>
    <row r="4599" spans="1:21" x14ac:dyDescent="0.25">
      <c r="A4599">
        <v>527005</v>
      </c>
      <c r="B4599">
        <v>22</v>
      </c>
      <c r="C4599" s="1">
        <f>4.48927368323673*(10.3/7.3)</f>
        <v>6.3341806763477129</v>
      </c>
      <c r="D4599" s="1">
        <f>4.14579089934414*(10.3/7.3)</f>
        <v>5.8495405840061165</v>
      </c>
      <c r="E4599" s="1">
        <f>14.8147584365846*(10.3/7.3)</f>
        <v>20.903015328331751</v>
      </c>
      <c r="F4599" s="1">
        <f>33.5840639922367*(38.9/42.5)</f>
        <v>30.739296218776605</v>
      </c>
      <c r="G4599" s="1">
        <v>1.3368852113061818</v>
      </c>
      <c r="H4599" s="1">
        <v>5.1877266175573205</v>
      </c>
      <c r="I4599" s="1">
        <v>28.263172947392704</v>
      </c>
      <c r="J4599" s="1">
        <v>3.0323091286470812E-2</v>
      </c>
      <c r="K4599" s="1">
        <v>2.6811377648014441</v>
      </c>
      <c r="L4599" s="1">
        <v>1.1951168788415105</v>
      </c>
      <c r="M4599" s="1">
        <v>6.4003018610536533E-2</v>
      </c>
      <c r="N4599" s="1">
        <v>0.89669691082322589</v>
      </c>
      <c r="O4599" s="1">
        <v>6.4404848484848468E-2</v>
      </c>
      <c r="P4599" s="1">
        <v>5.5803970870802952E-2</v>
      </c>
      <c r="Q4599" s="1">
        <v>2.1365745386171882</v>
      </c>
      <c r="R4599" s="2">
        <f t="shared" si="287"/>
        <v>100.75039212233557</v>
      </c>
      <c r="S4599" s="2">
        <f t="shared" si="286"/>
        <v>2.7672648269587179</v>
      </c>
      <c r="T4599" s="2">
        <f t="shared" si="288"/>
        <v>2.2202216567601214</v>
      </c>
      <c r="U4599" s="2">
        <f t="shared" si="289"/>
        <v>105.73787860605441</v>
      </c>
    </row>
    <row r="4600" spans="1:21" x14ac:dyDescent="0.25">
      <c r="A4600">
        <v>5272477</v>
      </c>
      <c r="B4600">
        <v>17</v>
      </c>
      <c r="C4600" s="1">
        <f>0.583867673998749*(10.3/7.3)</f>
        <v>0.82381329345028997</v>
      </c>
      <c r="D4600" s="1">
        <f>0.842080610027646*(10.3/7.3)</f>
        <v>1.1881411346965416</v>
      </c>
      <c r="E4600" s="1">
        <f>2.92178248237595*(10.3/7.3)</f>
        <v>4.1225150093797653</v>
      </c>
      <c r="F4600" s="1">
        <f>7.75485834479523*(38.9/42.5)</f>
        <v>7.0979762261772823</v>
      </c>
      <c r="G4600" s="1">
        <v>0.38202679331600453</v>
      </c>
      <c r="H4600" s="1">
        <v>1.6744055759265721</v>
      </c>
      <c r="I4600" s="1">
        <v>5.8614760423798735</v>
      </c>
      <c r="J4600" s="1">
        <v>3.3024106041767524E-2</v>
      </c>
      <c r="K4600" s="1">
        <v>2.769664401463134</v>
      </c>
      <c r="L4600" s="1">
        <v>1.9938338229864874</v>
      </c>
      <c r="M4600" s="1">
        <v>0.80746638507790747</v>
      </c>
      <c r="N4600" s="1">
        <v>1.1750700275913628</v>
      </c>
      <c r="O4600" s="1">
        <v>0.34549019607843134</v>
      </c>
      <c r="P4600" s="1">
        <v>0.16574003211296426</v>
      </c>
      <c r="Q4600" s="1">
        <v>0.61054510347306745</v>
      </c>
      <c r="R4600" s="2">
        <f t="shared" si="287"/>
        <v>21.760899178799399</v>
      </c>
      <c r="S4600" s="2">
        <f t="shared" si="286"/>
        <v>2.9684285396178658</v>
      </c>
      <c r="T4600" s="2">
        <f t="shared" si="288"/>
        <v>4.3218604317341889</v>
      </c>
      <c r="U4600" s="2">
        <f t="shared" si="289"/>
        <v>29.051188150151454</v>
      </c>
    </row>
    <row r="4601" spans="1:21" x14ac:dyDescent="0.25">
      <c r="A4601">
        <v>5272485</v>
      </c>
      <c r="B4601">
        <v>55</v>
      </c>
      <c r="C4601" s="1">
        <f>0.725318346792232*(10.3/7.3)</f>
        <v>1.0233943797205469</v>
      </c>
      <c r="D4601" s="1">
        <f>1.06196241348267*(10.3/7.3)</f>
        <v>1.4983853231330788</v>
      </c>
      <c r="E4601" s="1">
        <f>3.67846234487715*(10.3/7.3)</f>
        <v>5.1901591989362519</v>
      </c>
      <c r="F4601" s="1">
        <f>9.97187439029818*(38.9/42.5)</f>
        <v>9.1271979713552707</v>
      </c>
      <c r="G4601" s="1">
        <v>0.49930773763619268</v>
      </c>
      <c r="H4601" s="1">
        <v>2.1950955213429824</v>
      </c>
      <c r="I4601" s="1">
        <v>7.5411632870983896</v>
      </c>
      <c r="J4601" s="1">
        <v>3.8779487777970127E-2</v>
      </c>
      <c r="K4601" s="1">
        <v>3.1745097208219328</v>
      </c>
      <c r="L4601" s="1">
        <v>2.2439039849311708</v>
      </c>
      <c r="M4601" s="1">
        <v>0.99646802847491367</v>
      </c>
      <c r="N4601" s="1">
        <v>1.3669730723185547</v>
      </c>
      <c r="O4601" s="1">
        <v>0.39591369696969686</v>
      </c>
      <c r="P4601" s="1">
        <v>0.1746922643093983</v>
      </c>
      <c r="Q4601" s="1">
        <v>0.79798040261492065</v>
      </c>
      <c r="R4601" s="2">
        <f t="shared" si="287"/>
        <v>27.872683821837633</v>
      </c>
      <c r="S4601" s="2">
        <f t="shared" si="286"/>
        <v>3.387981472909301</v>
      </c>
      <c r="T4601" s="2">
        <f t="shared" si="288"/>
        <v>5.0032587826943367</v>
      </c>
      <c r="U4601" s="2">
        <f t="shared" si="289"/>
        <v>36.263924077441274</v>
      </c>
    </row>
    <row r="4602" spans="1:21" x14ac:dyDescent="0.25">
      <c r="A4602">
        <v>5272493</v>
      </c>
      <c r="B4602">
        <v>55</v>
      </c>
      <c r="C4602" s="1">
        <f>0.727527055902463*(10.3/7.3)</f>
        <v>1.026510777506215</v>
      </c>
      <c r="D4602" s="1">
        <f>1.06726729586209*(10.3/7.3)</f>
        <v>1.5058702941615818</v>
      </c>
      <c r="E4602" s="1">
        <f>3.69500047533277*(10.3/7.3)</f>
        <v>5.2134938213599344</v>
      </c>
      <c r="F4602" s="1">
        <f>10.0965015105757*(38.9/42.5)</f>
        <v>9.2412684414445962</v>
      </c>
      <c r="G4602" s="1">
        <v>0.50836343066019429</v>
      </c>
      <c r="H4602" s="1">
        <v>2.3544688836200369</v>
      </c>
      <c r="I4602" s="1">
        <v>7.6432471530264676</v>
      </c>
      <c r="J4602" s="1">
        <v>4.0929017652217722E-2</v>
      </c>
      <c r="K4602" s="1">
        <v>3.2178941763079592</v>
      </c>
      <c r="L4602" s="1">
        <v>2.2786197505274668</v>
      </c>
      <c r="M4602" s="1">
        <v>1.1386687617951576</v>
      </c>
      <c r="N4602" s="1">
        <v>1.4573118081877283</v>
      </c>
      <c r="O4602" s="1">
        <v>0.38243587878787866</v>
      </c>
      <c r="P4602" s="1">
        <v>0.17420484358320754</v>
      </c>
      <c r="Q4602" s="1">
        <v>0.81245297137474093</v>
      </c>
      <c r="R4602" s="2">
        <f t="shared" si="287"/>
        <v>28.305675773153766</v>
      </c>
      <c r="S4602" s="2">
        <f t="shared" si="286"/>
        <v>3.4330280375433846</v>
      </c>
      <c r="T4602" s="2">
        <f t="shared" si="288"/>
        <v>5.2570361992982315</v>
      </c>
      <c r="U4602" s="2">
        <f t="shared" si="289"/>
        <v>36.99574000999538</v>
      </c>
    </row>
    <row r="4603" spans="1:21" x14ac:dyDescent="0.25">
      <c r="A4603">
        <v>5272501</v>
      </c>
      <c r="B4603">
        <v>55</v>
      </c>
      <c r="C4603" s="1">
        <f>0.960136712721254*(10.3/7.3)</f>
        <v>1.3547134439765638</v>
      </c>
      <c r="D4603" s="1">
        <f>1.43426397815323*(10.3/7.3)</f>
        <v>2.0236875308189348</v>
      </c>
      <c r="E4603" s="1">
        <f>4.95385208654451*(10.3/7.3)</f>
        <v>6.989681711151837</v>
      </c>
      <c r="F4603" s="1">
        <f>13.9603153640906*(38.9/42.5)</f>
        <v>12.777794533249956</v>
      </c>
      <c r="G4603" s="1">
        <v>0.71848594156394963</v>
      </c>
      <c r="H4603" s="1">
        <v>3.7826117812931344</v>
      </c>
      <c r="I4603" s="1">
        <v>10.586640873005269</v>
      </c>
      <c r="J4603" s="1">
        <v>5.5547548938268007E-2</v>
      </c>
      <c r="K4603" s="1">
        <v>3.9653317742668395</v>
      </c>
      <c r="L4603" s="1">
        <v>2.925964954970663</v>
      </c>
      <c r="M4603" s="1">
        <v>1.5812556800577111</v>
      </c>
      <c r="N4603" s="1">
        <v>1.8694182562639887</v>
      </c>
      <c r="O4603" s="1">
        <v>0.49596218181818186</v>
      </c>
      <c r="P4603" s="1">
        <v>0.2020232055189016</v>
      </c>
      <c r="Q4603" s="1">
        <v>1.1482652034127061</v>
      </c>
      <c r="R4603" s="2">
        <f t="shared" si="287"/>
        <v>39.381881018472349</v>
      </c>
      <c r="S4603" s="2">
        <f t="shared" si="286"/>
        <v>4.2229025287240098</v>
      </c>
      <c r="T4603" s="2">
        <f t="shared" si="288"/>
        <v>6.8726010731105447</v>
      </c>
      <c r="U4603" s="2">
        <f t="shared" si="289"/>
        <v>50.477384620306907</v>
      </c>
    </row>
    <row r="4604" spans="1:21" x14ac:dyDescent="0.25">
      <c r="A4604">
        <v>5272901</v>
      </c>
      <c r="B4604">
        <v>54</v>
      </c>
      <c r="C4604" s="1">
        <f>5.71936708427752*(10.3/7.3)</f>
        <v>8.0697919134326721</v>
      </c>
      <c r="D4604" s="1">
        <f>12.6225316367013*(10.3/7.3)</f>
        <v>17.809873405208741</v>
      </c>
      <c r="E4604" s="1">
        <f>43.791422178937*(10.3/7.3)</f>
        <v>61.787897046993251</v>
      </c>
      <c r="F4604" s="1">
        <f>85.9773570450431*(38.9/42.5)</f>
        <v>78.694569154168846</v>
      </c>
      <c r="G4604" s="1">
        <v>3.404547957018186</v>
      </c>
      <c r="H4604" s="1">
        <v>6.8111067190678458</v>
      </c>
      <c r="I4604" s="1">
        <v>53.871625120579154</v>
      </c>
      <c r="J4604" s="1">
        <v>6.9940098907451551E-2</v>
      </c>
      <c r="K4604" s="1">
        <v>3.6893438237671705</v>
      </c>
      <c r="L4604" s="1">
        <v>4.9369790039645656</v>
      </c>
      <c r="M4604" s="1">
        <v>0.39093252014438096</v>
      </c>
      <c r="N4604" s="1">
        <v>3.6795803101776752</v>
      </c>
      <c r="O4604" s="1">
        <v>0.28003753086419753</v>
      </c>
      <c r="P4604" s="1">
        <v>0.17917510267812406</v>
      </c>
      <c r="Q4604" s="1">
        <v>5.4410583787961952</v>
      </c>
      <c r="R4604" s="2">
        <f t="shared" si="287"/>
        <v>235.8904696952649</v>
      </c>
      <c r="S4604" s="2">
        <f t="shared" si="286"/>
        <v>3.9384590253527461</v>
      </c>
      <c r="T4604" s="2">
        <f t="shared" si="288"/>
        <v>9.2875293651508191</v>
      </c>
      <c r="U4604" s="2">
        <f t="shared" si="289"/>
        <v>249.11645808576847</v>
      </c>
    </row>
    <row r="4605" spans="1:21" x14ac:dyDescent="0.25">
      <c r="A4605">
        <v>5272909</v>
      </c>
      <c r="B4605">
        <v>64</v>
      </c>
      <c r="C4605" s="1">
        <f>6.24770485383571*(10.3/7.3)</f>
        <v>8.8152547937681938</v>
      </c>
      <c r="D4605" s="1">
        <f>13.1035809530028*(10.3/7.3)</f>
        <v>18.488614221360127</v>
      </c>
      <c r="E4605" s="1">
        <f>45.476302995238*(10.3/7.3)</f>
        <v>64.165194637116684</v>
      </c>
      <c r="F4605" s="1">
        <f>91.6030296115522*(38.9/42.5)</f>
        <v>83.843714162103097</v>
      </c>
      <c r="G4605" s="1">
        <v>3.7075934525641752</v>
      </c>
      <c r="H4605" s="1">
        <v>7.1004254963293345</v>
      </c>
      <c r="I4605" s="1">
        <v>58.72783106287249</v>
      </c>
      <c r="J4605" s="1">
        <v>7.0394352531900475E-2</v>
      </c>
      <c r="K4605" s="1">
        <v>3.8425750712477829</v>
      </c>
      <c r="L4605" s="1">
        <v>5.3322858611051496</v>
      </c>
      <c r="M4605" s="1">
        <v>0.40524873039351983</v>
      </c>
      <c r="N4605" s="1">
        <v>3.147252817304766</v>
      </c>
      <c r="O4605" s="1">
        <v>0.29271249999999993</v>
      </c>
      <c r="P4605" s="1">
        <v>0.18611135893940384</v>
      </c>
      <c r="Q4605" s="1">
        <v>5.9253776639153504</v>
      </c>
      <c r="R4605" s="2">
        <f t="shared" si="287"/>
        <v>250.77400549002948</v>
      </c>
      <c r="S4605" s="2">
        <f t="shared" si="286"/>
        <v>4.0990807827190867</v>
      </c>
      <c r="T4605" s="2">
        <f t="shared" si="288"/>
        <v>9.177499908803437</v>
      </c>
      <c r="U4605" s="2">
        <f t="shared" si="289"/>
        <v>264.05058618155198</v>
      </c>
    </row>
    <row r="4606" spans="1:21" x14ac:dyDescent="0.25">
      <c r="A4606">
        <v>5272917</v>
      </c>
      <c r="B4606">
        <v>62</v>
      </c>
      <c r="C4606" s="1">
        <f>6.41037814862208*(10.3/7.3)</f>
        <v>9.0447801275078739</v>
      </c>
      <c r="D4606" s="1">
        <f>12.668719395244*(10.3/7.3)</f>
        <v>17.875042434385406</v>
      </c>
      <c r="E4606" s="1">
        <f>43.9933595836403*(10.3/7.3)</f>
        <v>62.072822426232243</v>
      </c>
      <c r="F4606" s="1">
        <f>91.0139490540689*(38.9/42.5)</f>
        <v>83.30453219301836</v>
      </c>
      <c r="G4606" s="1">
        <v>3.7611030188014092</v>
      </c>
      <c r="H4606" s="1">
        <v>7.12044964459513</v>
      </c>
      <c r="I4606" s="1">
        <v>59.805170348201884</v>
      </c>
      <c r="J4606" s="1">
        <v>6.6818550830161014E-2</v>
      </c>
      <c r="K4606" s="1">
        <v>3.8520197135249203</v>
      </c>
      <c r="L4606" s="1">
        <v>5.4054615982737699</v>
      </c>
      <c r="M4606" s="1">
        <v>0.39922771791480627</v>
      </c>
      <c r="N4606" s="1">
        <v>3.0304230018216467</v>
      </c>
      <c r="O4606" s="1">
        <v>0.29204559139784936</v>
      </c>
      <c r="P4606" s="1">
        <v>0.18621832643438413</v>
      </c>
      <c r="Q4606" s="1">
        <v>6.0108952355273733</v>
      </c>
      <c r="R4606" s="2">
        <f t="shared" si="287"/>
        <v>248.99479542826967</v>
      </c>
      <c r="S4606" s="2">
        <f t="shared" si="286"/>
        <v>4.1050565907894656</v>
      </c>
      <c r="T4606" s="2">
        <f t="shared" si="288"/>
        <v>9.1271579094080728</v>
      </c>
      <c r="U4606" s="2">
        <f t="shared" si="289"/>
        <v>262.22700992846723</v>
      </c>
    </row>
    <row r="4607" spans="1:21" x14ac:dyDescent="0.25">
      <c r="A4607">
        <v>5272925</v>
      </c>
      <c r="B4607">
        <v>61</v>
      </c>
      <c r="C4607" s="1">
        <f>6.44174968387238*(10.3/7.3)</f>
        <v>9.0890440745048693</v>
      </c>
      <c r="D4607" s="1">
        <f>12.1720383022661*(10.3/7.3)</f>
        <v>17.17424582374537</v>
      </c>
      <c r="E4607" s="1">
        <f>42.2861206127012*(10.3/7.3)</f>
        <v>59.663978398742728</v>
      </c>
      <c r="F4607" s="1">
        <f>89.4405776285694*(38.9/42.5)</f>
        <v>81.864434582384732</v>
      </c>
      <c r="G4607" s="1">
        <v>3.7590518754282249</v>
      </c>
      <c r="H4607" s="1">
        <v>7.1133877480295293</v>
      </c>
      <c r="I4607" s="1">
        <v>59.883045334969175</v>
      </c>
      <c r="J4607" s="1">
        <v>6.4550537104933789E-2</v>
      </c>
      <c r="K4607" s="1">
        <v>3.8191879715508628</v>
      </c>
      <c r="L4607" s="1">
        <v>5.381479209825657</v>
      </c>
      <c r="M4607" s="1">
        <v>0.38823018685690525</v>
      </c>
      <c r="N4607" s="1">
        <v>2.9276226189487202</v>
      </c>
      <c r="O4607" s="1">
        <v>0.28873180327868847</v>
      </c>
      <c r="P4607" s="1">
        <v>0.18406782742166811</v>
      </c>
      <c r="Q4607" s="1">
        <v>6.0076171525108686</v>
      </c>
      <c r="R4607" s="2">
        <f t="shared" si="287"/>
        <v>244.55480499031549</v>
      </c>
      <c r="S4607" s="2">
        <f t="shared" si="286"/>
        <v>4.0678063360774646</v>
      </c>
      <c r="T4607" s="2">
        <f t="shared" si="288"/>
        <v>8.9860638189099706</v>
      </c>
      <c r="U4607" s="2">
        <f t="shared" si="289"/>
        <v>257.60867514530293</v>
      </c>
    </row>
    <row r="4608" spans="1:21" x14ac:dyDescent="0.25">
      <c r="A4608">
        <v>5272933</v>
      </c>
      <c r="B4608">
        <v>58</v>
      </c>
      <c r="C4608" s="1">
        <f>6.41689303295852*(10.3/7.3)</f>
        <v>9.0539723615716117</v>
      </c>
      <c r="D4608" s="1">
        <f>11.7867451626213*(10.3/7.3)</f>
        <v>16.630613037671115</v>
      </c>
      <c r="E4608" s="1">
        <f>40.945889408214*(10.3/7.3)</f>
        <v>57.772967247206118</v>
      </c>
      <c r="F4608" s="1">
        <f>88.494052391012*(38.9/42.5)</f>
        <v>80.998085600243897</v>
      </c>
      <c r="G4608" s="1">
        <v>3.7855505112632359</v>
      </c>
      <c r="H4608" s="1">
        <v>7.0129607607288147</v>
      </c>
      <c r="I4608" s="1">
        <v>60.082513773143468</v>
      </c>
      <c r="J4608" s="1">
        <v>6.2049831715513606E-2</v>
      </c>
      <c r="K4608" s="1">
        <v>3.7577468464745851</v>
      </c>
      <c r="L4608" s="1">
        <v>5.2872728039188095</v>
      </c>
      <c r="M4608" s="1">
        <v>0.37043612418685329</v>
      </c>
      <c r="N4608" s="1">
        <v>2.8085118336008166</v>
      </c>
      <c r="O4608" s="1">
        <v>0.28288643678160919</v>
      </c>
      <c r="P4608" s="1">
        <v>0.18085482049433335</v>
      </c>
      <c r="Q4608" s="1">
        <v>6.0499665705120265</v>
      </c>
      <c r="R4608" s="2">
        <f t="shared" si="287"/>
        <v>241.38662986234027</v>
      </c>
      <c r="S4608" s="2">
        <f t="shared" si="286"/>
        <v>4.0006514986844319</v>
      </c>
      <c r="T4608" s="2">
        <f t="shared" si="288"/>
        <v>8.7491071984880886</v>
      </c>
      <c r="U4608" s="2">
        <f t="shared" si="289"/>
        <v>254.13638855951277</v>
      </c>
    </row>
    <row r="4609" spans="1:21" x14ac:dyDescent="0.25">
      <c r="A4609">
        <v>5272941</v>
      </c>
      <c r="B4609">
        <v>56</v>
      </c>
      <c r="C4609" s="1">
        <f>6.44116087426344*(10.3/7.3)</f>
        <v>9.0882132883443063</v>
      </c>
      <c r="D4609" s="1">
        <f>11.6518966673801*(10.3/7.3)</f>
        <v>16.440347352604778</v>
      </c>
      <c r="E4609" s="1">
        <f>40.4535938022685*(10.3/7.3)</f>
        <v>57.0783583785432</v>
      </c>
      <c r="F4609" s="1">
        <f>89.6204954910373*(38.9/42.5)</f>
        <v>82.029112343561195</v>
      </c>
      <c r="G4609" s="1">
        <v>3.9170892199263605</v>
      </c>
      <c r="H4609" s="1">
        <v>7.0675169506421573</v>
      </c>
      <c r="I4609" s="1">
        <v>61.540571597188773</v>
      </c>
      <c r="J4609" s="1">
        <v>6.1601013631400324E-2</v>
      </c>
      <c r="K4609" s="1">
        <v>3.7264802661387342</v>
      </c>
      <c r="L4609" s="1">
        <v>5.2623688017081784</v>
      </c>
      <c r="M4609" s="1">
        <v>0.36125943299938523</v>
      </c>
      <c r="N4609" s="1">
        <v>2.7715774640249751</v>
      </c>
      <c r="O4609" s="1">
        <v>0.27797523809523805</v>
      </c>
      <c r="P4609" s="1">
        <v>0.17839421094710597</v>
      </c>
      <c r="Q4609" s="1">
        <v>6.2601882510238696</v>
      </c>
      <c r="R4609" s="2">
        <f t="shared" si="287"/>
        <v>243.42139738183462</v>
      </c>
      <c r="S4609" s="2">
        <f t="shared" si="286"/>
        <v>3.9664754907172406</v>
      </c>
      <c r="T4609" s="2">
        <f t="shared" si="288"/>
        <v>8.6731809368277766</v>
      </c>
      <c r="U4609" s="2">
        <f t="shared" si="289"/>
        <v>256.06105380937964</v>
      </c>
    </row>
    <row r="4610" spans="1:21" x14ac:dyDescent="0.25">
      <c r="A4610">
        <v>5272949</v>
      </c>
      <c r="B4610">
        <v>55</v>
      </c>
      <c r="C4610" s="1">
        <f>3.92114662923542*(10.3/7.3)</f>
        <v>5.5325767508390111</v>
      </c>
      <c r="D4610" s="1">
        <f>6.97899015235903*(10.3/7.3)</f>
        <v>9.8470682971641086</v>
      </c>
      <c r="E4610" s="1">
        <f>24.2286897211674*(10.3/7.3)</f>
        <v>34.185685496989556</v>
      </c>
      <c r="F4610" s="1">
        <f>54.3770910081224*(38.9/42.5)</f>
        <v>49.771031534493247</v>
      </c>
      <c r="G4610" s="1">
        <v>2.4003634046645281</v>
      </c>
      <c r="H4610" s="1">
        <v>5.0036945103025481</v>
      </c>
      <c r="I4610" s="1">
        <v>37.629379080655568</v>
      </c>
      <c r="J4610" s="1">
        <v>4.2111251368137981E-2</v>
      </c>
      <c r="K4610" s="1">
        <v>2.790118197627347</v>
      </c>
      <c r="L4610" s="1">
        <v>3.4872276650710532</v>
      </c>
      <c r="M4610" s="1">
        <v>0.25390335783626888</v>
      </c>
      <c r="N4610" s="1">
        <v>1.9746382775539373</v>
      </c>
      <c r="O4610" s="1">
        <v>0.20008727272727272</v>
      </c>
      <c r="P4610" s="1">
        <v>0.13848601911322603</v>
      </c>
      <c r="Q4610" s="1">
        <v>3.8361972220666045</v>
      </c>
      <c r="R4610" s="2">
        <f t="shared" si="287"/>
        <v>148.20599629717518</v>
      </c>
      <c r="S4610" s="2">
        <f t="shared" si="286"/>
        <v>2.9707154681087111</v>
      </c>
      <c r="T4610" s="2">
        <f t="shared" si="288"/>
        <v>5.915856573188532</v>
      </c>
      <c r="U4610" s="2">
        <f t="shared" si="289"/>
        <v>157.09256833847243</v>
      </c>
    </row>
    <row r="4611" spans="1:21" x14ac:dyDescent="0.25">
      <c r="A4611">
        <v>5272957</v>
      </c>
      <c r="B4611">
        <v>55</v>
      </c>
      <c r="C4611" s="1">
        <f>3.65958477889956*(10.3/7.3)</f>
        <v>5.1635237291322609</v>
      </c>
      <c r="D4611" s="1">
        <f>6.37172806673551*(10.3/7.3)</f>
        <v>8.9902464503254489</v>
      </c>
      <c r="E4611" s="1">
        <f>22.1416626211411*(10.3/7.3)</f>
        <v>31.240976027089481</v>
      </c>
      <c r="F4611" s="1">
        <f>49.420202606876*(38.9/42.5)</f>
        <v>45.234020738999455</v>
      </c>
      <c r="G4611" s="1">
        <v>2.1647827304770111</v>
      </c>
      <c r="H4611" s="1">
        <v>4.6735268933377041</v>
      </c>
      <c r="I4611" s="1">
        <v>34.326929208407449</v>
      </c>
      <c r="J4611" s="1">
        <v>4.0002456249959691E-2</v>
      </c>
      <c r="K4611" s="1">
        <v>2.6671511221548068</v>
      </c>
      <c r="L4611" s="1">
        <v>3.2897641842030092</v>
      </c>
      <c r="M4611" s="1">
        <v>0.23570961045850811</v>
      </c>
      <c r="N4611" s="1">
        <v>1.9199588693596046</v>
      </c>
      <c r="O4611" s="1">
        <v>0.18878545454545456</v>
      </c>
      <c r="P4611" s="1">
        <v>0.13267984506876193</v>
      </c>
      <c r="Q4611" s="1">
        <v>3.4596984277029921</v>
      </c>
      <c r="R4611" s="2">
        <f t="shared" si="287"/>
        <v>135.25370420547179</v>
      </c>
      <c r="S4611" s="2">
        <f t="shared" si="286"/>
        <v>2.8398334234735287</v>
      </c>
      <c r="T4611" s="2">
        <f t="shared" si="288"/>
        <v>5.6342181185665767</v>
      </c>
      <c r="U4611" s="2">
        <f t="shared" si="289"/>
        <v>143.72775574751188</v>
      </c>
    </row>
    <row r="4612" spans="1:21" x14ac:dyDescent="0.25">
      <c r="A4612">
        <v>5272965</v>
      </c>
      <c r="B4612">
        <v>36</v>
      </c>
      <c r="C4612" s="1">
        <f>3.97387905634849*(10.3/7.3)</f>
        <v>5.6069800384095076</v>
      </c>
      <c r="D4612" s="1">
        <f>6.84566215631222*(10.3/7.3)</f>
        <v>9.6589479739747759</v>
      </c>
      <c r="E4612" s="1">
        <f>23.7992743229498*(10.3/7.3)</f>
        <v>33.579798017312676</v>
      </c>
      <c r="F4612" s="1">
        <f>53.0011539453183*(38.9/42.5)</f>
        <v>48.511644434656034</v>
      </c>
      <c r="G4612" s="1">
        <v>2.3137557952847083</v>
      </c>
      <c r="H4612" s="1">
        <v>5.478855887037998</v>
      </c>
      <c r="I4612" s="1">
        <v>36.887100842646376</v>
      </c>
      <c r="J4612" s="1">
        <v>4.1838931980341394E-2</v>
      </c>
      <c r="K4612" s="1">
        <v>2.7140091119897893</v>
      </c>
      <c r="L4612" s="1">
        <v>3.3415558609344207</v>
      </c>
      <c r="M4612" s="1">
        <v>0.23682714614136469</v>
      </c>
      <c r="N4612" s="1">
        <v>1.9002523153844268</v>
      </c>
      <c r="O4612" s="1">
        <v>0.19205777777777777</v>
      </c>
      <c r="P4612" s="1">
        <v>0.13340761356291916</v>
      </c>
      <c r="Q4612" s="1">
        <v>3.6977832344732815</v>
      </c>
      <c r="R4612" s="2">
        <f t="shared" si="287"/>
        <v>145.73486622379536</v>
      </c>
      <c r="S4612" s="2">
        <f t="shared" si="286"/>
        <v>2.8892556575330501</v>
      </c>
      <c r="T4612" s="2">
        <f t="shared" si="288"/>
        <v>5.6706931002379894</v>
      </c>
      <c r="U4612" s="2">
        <f t="shared" si="289"/>
        <v>154.29481498156642</v>
      </c>
    </row>
    <row r="4613" spans="1:21" x14ac:dyDescent="0.25">
      <c r="A4613">
        <v>5272973</v>
      </c>
      <c r="B4613">
        <v>55</v>
      </c>
      <c r="C4613" s="1">
        <f>6.07061888529698*(10.3/7.3)</f>
        <v>8.5653937696656044</v>
      </c>
      <c r="D4613" s="1">
        <f>10.2492227828511*(10.3/7.3)</f>
        <v>14.461232145666665</v>
      </c>
      <c r="E4613" s="1">
        <f>35.6734438214654*(10.3/7.3)</f>
        <v>50.333763200149839</v>
      </c>
      <c r="F4613" s="1">
        <f>78.5571414522653*(38.9/42.5)</f>
        <v>71.902889470426331</v>
      </c>
      <c r="G4613" s="1">
        <v>3.3845896529345376</v>
      </c>
      <c r="H4613" s="1">
        <v>6.4137166658458868</v>
      </c>
      <c r="I4613" s="1">
        <v>54.775130586633118</v>
      </c>
      <c r="J4613" s="1">
        <v>5.6550179411519082E-2</v>
      </c>
      <c r="K4613" s="1">
        <v>3.4421272319877363</v>
      </c>
      <c r="L4613" s="1">
        <v>4.762629517012777</v>
      </c>
      <c r="M4613" s="1">
        <v>0.30593219111618059</v>
      </c>
      <c r="N4613" s="1">
        <v>2.4834353679391756</v>
      </c>
      <c r="O4613" s="1">
        <v>0.2472969696969696</v>
      </c>
      <c r="P4613" s="1">
        <v>0.16152912522930213</v>
      </c>
      <c r="Q4613" s="1">
        <v>5.4091615457857936</v>
      </c>
      <c r="R4613" s="2">
        <f t="shared" si="287"/>
        <v>215.24587703710779</v>
      </c>
      <c r="S4613" s="2">
        <f t="shared" si="286"/>
        <v>3.6602065366285577</v>
      </c>
      <c r="T4613" s="2">
        <f t="shared" si="288"/>
        <v>7.7992940457651025</v>
      </c>
      <c r="U4613" s="2">
        <f t="shared" si="289"/>
        <v>226.70537761950143</v>
      </c>
    </row>
    <row r="4614" spans="1:21" x14ac:dyDescent="0.25">
      <c r="A4614">
        <v>5272981</v>
      </c>
      <c r="B4614">
        <v>55</v>
      </c>
      <c r="C4614" s="1">
        <f>6.59245356884862*(10.3/7.3)</f>
        <v>9.3016810628959927</v>
      </c>
      <c r="D4614" s="1">
        <f>11.0294675659369*(10.3/7.3)</f>
        <v>15.562125469746638</v>
      </c>
      <c r="E4614" s="1">
        <f>38.4220102392224*(10.3/7.3)</f>
        <v>54.211877460820652</v>
      </c>
      <c r="F4614" s="1">
        <f>83.5460614430045*(38.9/42.5)</f>
        <v>76.469218591361738</v>
      </c>
      <c r="G4614" s="1">
        <v>3.5515210730258393</v>
      </c>
      <c r="H4614" s="1">
        <v>6.7349674363296232</v>
      </c>
      <c r="I4614" s="1">
        <v>58.181531369811353</v>
      </c>
      <c r="J4614" s="1">
        <v>5.9300546937788828E-2</v>
      </c>
      <c r="K4614" s="1">
        <v>3.5845263280077493</v>
      </c>
      <c r="L4614" s="1">
        <v>5.0543830213157799</v>
      </c>
      <c r="M4614" s="1">
        <v>0.31655351181100355</v>
      </c>
      <c r="N4614" s="1">
        <v>2.6052333809754935</v>
      </c>
      <c r="O4614" s="1">
        <v>0.25345163636363632</v>
      </c>
      <c r="P4614" s="1">
        <v>0.16542710902165683</v>
      </c>
      <c r="Q4614" s="1">
        <v>5.6759469203609383</v>
      </c>
      <c r="R4614" s="2">
        <f t="shared" si="287"/>
        <v>229.68886938435276</v>
      </c>
      <c r="S4614" s="2">
        <f t="shared" si="286"/>
        <v>3.8092539839671948</v>
      </c>
      <c r="T4614" s="2">
        <f t="shared" si="288"/>
        <v>8.2296215504659127</v>
      </c>
      <c r="U4614" s="2">
        <f t="shared" si="289"/>
        <v>241.72774491878585</v>
      </c>
    </row>
    <row r="4615" spans="1:21" x14ac:dyDescent="0.25">
      <c r="A4615">
        <v>5272989</v>
      </c>
      <c r="B4615">
        <v>55</v>
      </c>
      <c r="C4615" s="1">
        <f>3.60710440210663*(10.3/7.3)</f>
        <v>5.0894760742052449</v>
      </c>
      <c r="D4615" s="1">
        <f>6.18931873263468*(10.3/7.3)</f>
        <v>8.7328743761831849</v>
      </c>
      <c r="E4615" s="1">
        <f>21.5751872012363*(10.3/7.3)</f>
        <v>30.441702489415562</v>
      </c>
      <c r="F4615" s="1">
        <f>45.2648138017037*(38.9/42.5)</f>
        <v>41.430617809088758</v>
      </c>
      <c r="G4615" s="1">
        <v>1.8624060784476548</v>
      </c>
      <c r="H4615" s="1">
        <v>4.5088706048920493</v>
      </c>
      <c r="I4615" s="1">
        <v>30.98567141370933</v>
      </c>
      <c r="J4615" s="1">
        <v>3.8459010170561303E-2</v>
      </c>
      <c r="K4615" s="1">
        <v>2.5718833020275542</v>
      </c>
      <c r="L4615" s="1">
        <v>3.1286826062483577</v>
      </c>
      <c r="M4615" s="1">
        <v>0.21223988782466702</v>
      </c>
      <c r="N4615" s="1">
        <v>1.785444777531668</v>
      </c>
      <c r="O4615" s="1">
        <v>0.17416824242424239</v>
      </c>
      <c r="P4615" s="1">
        <v>0.12467508912687988</v>
      </c>
      <c r="Q4615" s="1">
        <v>2.9764480705784475</v>
      </c>
      <c r="R4615" s="2">
        <f t="shared" si="287"/>
        <v>126.02806691652022</v>
      </c>
      <c r="S4615" s="2">
        <f t="shared" si="286"/>
        <v>2.7350174013249955</v>
      </c>
      <c r="T4615" s="2">
        <f t="shared" si="288"/>
        <v>5.300535514028935</v>
      </c>
      <c r="U4615" s="2">
        <f t="shared" si="289"/>
        <v>134.06361983187412</v>
      </c>
    </row>
    <row r="4616" spans="1:21" x14ac:dyDescent="0.25">
      <c r="A4616">
        <v>5272997</v>
      </c>
      <c r="B4616">
        <v>55</v>
      </c>
      <c r="C4616" s="1">
        <f>6.01172238958056*(10.3/7.3)</f>
        <v>8.4822932346136621</v>
      </c>
      <c r="D4616" s="1">
        <f>14.4535129719913*(10.3/7.3)</f>
        <v>20.39331282349459</v>
      </c>
      <c r="E4616" s="1">
        <f>50.226552842527*(10.3/7.3)</f>
        <v>70.867601955894315</v>
      </c>
      <c r="F4616" s="1">
        <f>89.0240394445133*(38.9/42.5)</f>
        <v>81.483179632742804</v>
      </c>
      <c r="G4616" s="1">
        <v>3.1377917803652839</v>
      </c>
      <c r="H4616" s="1">
        <v>7.3737434455481345</v>
      </c>
      <c r="I4616" s="1">
        <v>51.997118195905472</v>
      </c>
      <c r="J4616" s="1">
        <v>5.5440311606949226E-2</v>
      </c>
      <c r="K4616" s="1">
        <v>3.3285423574936219</v>
      </c>
      <c r="L4616" s="1">
        <v>4.5511184394675253</v>
      </c>
      <c r="M4616" s="1">
        <v>0.27618922118679784</v>
      </c>
      <c r="N4616" s="1">
        <v>2.4291156413428037</v>
      </c>
      <c r="O4616" s="1">
        <v>0.2286021818181819</v>
      </c>
      <c r="P4616" s="1">
        <v>0.15241310470745079</v>
      </c>
      <c r="Q4616" s="1">
        <v>5.0147357220449811</v>
      </c>
      <c r="R4616" s="2">
        <f t="shared" si="287"/>
        <v>248.74977679060925</v>
      </c>
      <c r="S4616" s="2">
        <f t="shared" si="286"/>
        <v>3.5363957738080218</v>
      </c>
      <c r="T4616" s="2">
        <f t="shared" si="288"/>
        <v>7.4850254838153099</v>
      </c>
      <c r="U4616" s="2">
        <f t="shared" si="289"/>
        <v>259.77119804823258</v>
      </c>
    </row>
    <row r="4617" spans="1:21" x14ac:dyDescent="0.25">
      <c r="A4617">
        <v>5273005</v>
      </c>
      <c r="B4617">
        <v>13</v>
      </c>
      <c r="C4617" s="1">
        <f>5.23162415749425*(10.3/7.3)</f>
        <v>7.38160668797134</v>
      </c>
      <c r="D4617" s="1">
        <f>10.8267302223128*(10.3/7.3)</f>
        <v>15.276071409564645</v>
      </c>
      <c r="E4617" s="1">
        <f>37.6540261920453*(10.3/7.3)</f>
        <v>53.128283531242054</v>
      </c>
      <c r="F4617" s="1">
        <f>72.5278332697824*(38.9/42.5)</f>
        <v>66.38429915751847</v>
      </c>
      <c r="G4617" s="1">
        <v>2.7854592040378772</v>
      </c>
      <c r="H4617" s="1">
        <v>10.449599773359152</v>
      </c>
      <c r="I4617" s="1">
        <v>45.825604334457338</v>
      </c>
      <c r="J4617" s="1">
        <v>5.0641004840956169E-2</v>
      </c>
      <c r="K4617" s="1">
        <v>3.0403501830718969</v>
      </c>
      <c r="L4617" s="1">
        <v>4.010797296670308</v>
      </c>
      <c r="M4617" s="1">
        <v>0.2366462584949727</v>
      </c>
      <c r="N4617" s="1">
        <v>2.2106724897791201</v>
      </c>
      <c r="O4617" s="1">
        <v>0.20557948717948715</v>
      </c>
      <c r="P4617" s="1">
        <v>0.1398666775270129</v>
      </c>
      <c r="Q4617" s="1">
        <v>4.4516471297409046</v>
      </c>
      <c r="R4617" s="2">
        <f t="shared" si="287"/>
        <v>205.68257122789177</v>
      </c>
      <c r="S4617" s="2">
        <f t="shared" ref="S4617:S4680" si="290">J4617+K4617+P4617</f>
        <v>3.2308578654398659</v>
      </c>
      <c r="T4617" s="2">
        <f t="shared" si="288"/>
        <v>6.6636955321238878</v>
      </c>
      <c r="U4617" s="2">
        <f t="shared" si="289"/>
        <v>215.57712462545553</v>
      </c>
    </row>
    <row r="4618" spans="1:21" x14ac:dyDescent="0.25">
      <c r="A4618">
        <v>5273069</v>
      </c>
      <c r="B4618">
        <v>13</v>
      </c>
      <c r="C4618" s="1">
        <f>4.17648788571655*(10.3/7.3)</f>
        <v>5.8928527702576003</v>
      </c>
      <c r="D4618" s="1">
        <f>5.90684453130333*(10.3/7.3)</f>
        <v>8.3343148866334644</v>
      </c>
      <c r="E4618" s="1">
        <f>20.5746327194982*(10.3/7.3)</f>
        <v>29.029961234360428</v>
      </c>
      <c r="F4618" s="1">
        <f>51.3554213532233*(38.9/42.5)</f>
        <v>47.005315073891467</v>
      </c>
      <c r="G4618" s="1">
        <v>2.4108347906588756</v>
      </c>
      <c r="H4618" s="1">
        <v>8.7258718712776258</v>
      </c>
      <c r="I4618" s="1">
        <v>38.548469238015599</v>
      </c>
      <c r="J4618" s="1">
        <v>3.474726916757221E-2</v>
      </c>
      <c r="K4618" s="1">
        <v>2.1216544924371741</v>
      </c>
      <c r="L4618" s="1">
        <v>2.826606467227772</v>
      </c>
      <c r="M4618" s="1">
        <v>0.15028464952855045</v>
      </c>
      <c r="N4618" s="1">
        <v>1.9055032501753633</v>
      </c>
      <c r="O4618" s="1">
        <v>0.12594051282051283</v>
      </c>
      <c r="P4618" s="1">
        <v>9.6278368116079427E-2</v>
      </c>
      <c r="Q4618" s="1">
        <v>3.8529323138383891</v>
      </c>
      <c r="R4618" s="2">
        <f t="shared" ref="R4618:R4681" si="291">C4618+D4618+E4618+F4618+G4618+H4618+I4618+Q4618</f>
        <v>143.80055217893346</v>
      </c>
      <c r="S4618" s="2">
        <f t="shared" si="290"/>
        <v>2.2526801297208254</v>
      </c>
      <c r="T4618" s="2">
        <f t="shared" ref="T4618:T4681" si="292">L4618+M4618+N4618+O4618</f>
        <v>5.0083348797521987</v>
      </c>
      <c r="U4618" s="2">
        <f t="shared" ref="U4618:U4681" si="293">R4618+S4618+T4618</f>
        <v>151.06156718840649</v>
      </c>
    </row>
    <row r="4619" spans="1:21" x14ac:dyDescent="0.25">
      <c r="A4619">
        <v>5273181</v>
      </c>
      <c r="B4619">
        <v>50</v>
      </c>
      <c r="C4619" s="1">
        <f>6.39927480089936*(10.3/7.3)</f>
        <v>9.02911376017307</v>
      </c>
      <c r="D4619" s="1">
        <f>7.98471225834205*(10.3/7.3)</f>
        <v>11.266100857660705</v>
      </c>
      <c r="E4619" s="1">
        <f>28.0250460915801*(10.3/7.3)</f>
        <v>39.542188320996637</v>
      </c>
      <c r="F4619" s="1">
        <f>66.6889710268521*(38.9/42.5)</f>
        <v>61.0400228928129</v>
      </c>
      <c r="G4619" s="1">
        <v>2.9545593325039352</v>
      </c>
      <c r="H4619" s="1">
        <v>5.9717159146923064</v>
      </c>
      <c r="I4619" s="1">
        <v>51.301276691509663</v>
      </c>
      <c r="J4619" s="1">
        <v>3.7405368673232513E-2</v>
      </c>
      <c r="K4619" s="1">
        <v>2.3233192179205502</v>
      </c>
      <c r="L4619" s="1">
        <v>2.7562802560337722</v>
      </c>
      <c r="M4619" s="1">
        <v>0.13801096869349549</v>
      </c>
      <c r="N4619" s="1">
        <v>1.7786187093184447</v>
      </c>
      <c r="O4619" s="1">
        <v>0.12314026666666664</v>
      </c>
      <c r="P4619" s="1">
        <v>9.3364129406811894E-2</v>
      </c>
      <c r="Q4619" s="1">
        <v>4.7218984766044683</v>
      </c>
      <c r="R4619" s="2">
        <f t="shared" si="291"/>
        <v>185.82687624695367</v>
      </c>
      <c r="S4619" s="2">
        <f t="shared" si="290"/>
        <v>2.4540887160005944</v>
      </c>
      <c r="T4619" s="2">
        <f t="shared" si="292"/>
        <v>4.7960502007123793</v>
      </c>
      <c r="U4619" s="2">
        <f t="shared" si="293"/>
        <v>193.07701516366666</v>
      </c>
    </row>
    <row r="4620" spans="1:21" x14ac:dyDescent="0.25">
      <c r="A4620">
        <v>5273381</v>
      </c>
      <c r="B4620">
        <v>32</v>
      </c>
      <c r="C4620" s="1">
        <f>5.57932141561159*(10.3/7.3)</f>
        <v>7.872193230246495</v>
      </c>
      <c r="D4620" s="1">
        <f>6.25172947102902*(10.3/7.3)</f>
        <v>8.8209333632327223</v>
      </c>
      <c r="E4620" s="1">
        <f>22.0421057845235*(10.3/7.3)</f>
        <v>31.100505421998889</v>
      </c>
      <c r="F4620" s="1">
        <f>53.1148777818233*(38.9/42.5)</f>
        <v>48.615735193245335</v>
      </c>
      <c r="G4620" s="1">
        <v>2.3381914730034201</v>
      </c>
      <c r="H4620" s="1">
        <v>8.5149681036899931</v>
      </c>
      <c r="I4620" s="1">
        <v>42.231096969954216</v>
      </c>
      <c r="J4620" s="1">
        <v>4.2545808472924121E-2</v>
      </c>
      <c r="K4620" s="1">
        <v>2.1169414615937319</v>
      </c>
      <c r="L4620" s="1">
        <v>2.030721751430157</v>
      </c>
      <c r="M4620" s="1">
        <v>9.812736768743241E-2</v>
      </c>
      <c r="N4620" s="1">
        <v>1.6082622620499014</v>
      </c>
      <c r="O4620" s="1">
        <v>9.4529999999999989E-2</v>
      </c>
      <c r="P4620" s="1">
        <v>7.2518059719409542E-2</v>
      </c>
      <c r="Q4620" s="1">
        <v>3.7368356874483921</v>
      </c>
      <c r="R4620" s="2">
        <f t="shared" si="291"/>
        <v>153.23045944281947</v>
      </c>
      <c r="S4620" s="2">
        <f t="shared" si="290"/>
        <v>2.2320053297860656</v>
      </c>
      <c r="T4620" s="2">
        <f t="shared" si="292"/>
        <v>3.8316413811674908</v>
      </c>
      <c r="U4620" s="2">
        <f t="shared" si="293"/>
        <v>159.29410615377301</v>
      </c>
    </row>
    <row r="4621" spans="1:21" x14ac:dyDescent="0.25">
      <c r="A4621">
        <v>5284713</v>
      </c>
      <c r="B4621">
        <v>65</v>
      </c>
      <c r="C4621" s="1">
        <f>0.682080846647852*(10.3/7.3)</f>
        <v>0.96238804390039345</v>
      </c>
      <c r="D4621" s="1">
        <f>0.994568931970529*(10.3/7.3)</f>
        <v>1.403295890314582</v>
      </c>
      <c r="E4621" s="1">
        <f>3.44770218885561*(10.3/7.3)</f>
        <v>4.8645661020839475</v>
      </c>
      <c r="F4621" s="1">
        <f>9.23725184401761*(38.9/42.5)</f>
        <v>8.4548022760537691</v>
      </c>
      <c r="G4621" s="1">
        <v>0.45861324253580693</v>
      </c>
      <c r="H4621" s="1">
        <v>1.9644813476647098</v>
      </c>
      <c r="I4621" s="1">
        <v>6.9768575190078721</v>
      </c>
      <c r="J4621" s="1">
        <v>3.5051604797051487E-2</v>
      </c>
      <c r="K4621" s="1">
        <v>2.9646775955367768</v>
      </c>
      <c r="L4621" s="1">
        <v>2.0775427255600634</v>
      </c>
      <c r="M4621" s="1">
        <v>0.87079482269900998</v>
      </c>
      <c r="N4621" s="1">
        <v>1.2436960896902707</v>
      </c>
      <c r="O4621" s="1">
        <v>0.36362174358974347</v>
      </c>
      <c r="P4621" s="1">
        <v>0.16612088449385737</v>
      </c>
      <c r="Q4621" s="1">
        <v>0.73294353829923542</v>
      </c>
      <c r="R4621" s="2">
        <f t="shared" si="291"/>
        <v>25.817947959860316</v>
      </c>
      <c r="S4621" s="2">
        <f t="shared" si="290"/>
        <v>3.1658500848276856</v>
      </c>
      <c r="T4621" s="2">
        <f t="shared" si="292"/>
        <v>4.5556553815390872</v>
      </c>
      <c r="U4621" s="2">
        <f t="shared" si="293"/>
        <v>33.539453426227091</v>
      </c>
    </row>
    <row r="4622" spans="1:21" x14ac:dyDescent="0.25">
      <c r="A4622">
        <v>5284721</v>
      </c>
      <c r="B4622">
        <v>70</v>
      </c>
      <c r="C4622" s="1">
        <f>0.697750346619194*(10.3/7.3)</f>
        <v>0.98449706440790408</v>
      </c>
      <c r="D4622" s="1">
        <f>1.02359267804211*(10.3/7.3)</f>
        <v>1.4442472032648983</v>
      </c>
      <c r="E4622" s="1">
        <f>3.54465346680296*(10.3/7.3)</f>
        <v>5.0013603709685661</v>
      </c>
      <c r="F4622" s="1">
        <f>9.64162333483554*(38.9/42.5)</f>
        <v>8.8249211229435858</v>
      </c>
      <c r="G4622" s="1">
        <v>0.48397529056119443</v>
      </c>
      <c r="H4622" s="1">
        <v>2.1794949662054641</v>
      </c>
      <c r="I4622" s="1">
        <v>7.2928134694555578</v>
      </c>
      <c r="J4622" s="1">
        <v>4.0207750162649845E-2</v>
      </c>
      <c r="K4622" s="1">
        <v>3.2237870045436972</v>
      </c>
      <c r="L4622" s="1">
        <v>2.2757711653559203</v>
      </c>
      <c r="M4622" s="1">
        <v>1.081757237911581</v>
      </c>
      <c r="N4622" s="1">
        <v>1.4141062504327797</v>
      </c>
      <c r="O4622" s="1">
        <v>0.39322361904761904</v>
      </c>
      <c r="P4622" s="1">
        <v>0.17333990819682818</v>
      </c>
      <c r="Q4622" s="1">
        <v>0.77347649176446664</v>
      </c>
      <c r="R4622" s="2">
        <f t="shared" si="291"/>
        <v>26.984785979571637</v>
      </c>
      <c r="S4622" s="2">
        <f t="shared" si="290"/>
        <v>3.4373346629031754</v>
      </c>
      <c r="T4622" s="2">
        <f t="shared" si="292"/>
        <v>5.1648582727479004</v>
      </c>
      <c r="U4622" s="2">
        <f t="shared" si="293"/>
        <v>35.586978915222716</v>
      </c>
    </row>
    <row r="4623" spans="1:21" x14ac:dyDescent="0.25">
      <c r="A4623">
        <v>5284729</v>
      </c>
      <c r="B4623">
        <v>69</v>
      </c>
      <c r="C4623" s="1">
        <f>0.880680908203193*(10.3/7.3)</f>
        <v>1.2426045691086143</v>
      </c>
      <c r="D4623" s="1">
        <f>1.30698488193684*(10.3/7.3)</f>
        <v>1.8441019567054076</v>
      </c>
      <c r="E4623" s="1">
        <f>4.51915021385308*(10.3/7.3)</f>
        <v>6.3763352332447516</v>
      </c>
      <c r="F4623" s="1">
        <f>12.5412221294444*(38.9/42.5)</f>
        <v>11.478906843185584</v>
      </c>
      <c r="G4623" s="1">
        <v>0.63870345903986148</v>
      </c>
      <c r="H4623" s="1">
        <v>2.9403394210590266</v>
      </c>
      <c r="I4623" s="1">
        <v>9.4971405136764702</v>
      </c>
      <c r="J4623" s="1">
        <v>4.6457669519358022E-2</v>
      </c>
      <c r="K4623" s="1">
        <v>3.5745087562979583</v>
      </c>
      <c r="L4623" s="1">
        <v>2.5097914997588426</v>
      </c>
      <c r="M4623" s="1">
        <v>1.3238390076624014</v>
      </c>
      <c r="N4623" s="1">
        <v>1.6025216581258266</v>
      </c>
      <c r="O4623" s="1">
        <v>0.43233545893719794</v>
      </c>
      <c r="P4623" s="1">
        <v>0.18563059886652072</v>
      </c>
      <c r="Q4623" s="1">
        <v>1.0207589528034324</v>
      </c>
      <c r="R4623" s="2">
        <f t="shared" si="291"/>
        <v>35.038890948823152</v>
      </c>
      <c r="S4623" s="2">
        <f t="shared" si="290"/>
        <v>3.8065970246838368</v>
      </c>
      <c r="T4623" s="2">
        <f t="shared" si="292"/>
        <v>5.8684876244842687</v>
      </c>
      <c r="U4623" s="2">
        <f t="shared" si="293"/>
        <v>44.713975597991258</v>
      </c>
    </row>
    <row r="4624" spans="1:21" x14ac:dyDescent="0.25">
      <c r="A4624">
        <v>5284737</v>
      </c>
      <c r="B4624">
        <v>63</v>
      </c>
      <c r="C4624" s="1">
        <f>1.03249248288088*(10.3/7.3)</f>
        <v>1.4568044621469893</v>
      </c>
      <c r="D4624" s="1">
        <f>1.55675651808025*(10.3/7.3)</f>
        <v>2.1965194707159692</v>
      </c>
      <c r="E4624" s="1">
        <f>5.36961273362803*(10.3/7.3)</f>
        <v>7.5763028981326954</v>
      </c>
      <c r="F4624" s="1">
        <f>15.4103738583579*(38.9/42.5)</f>
        <v>14.105024543297016</v>
      </c>
      <c r="G4624" s="1">
        <v>0.80289655929384884</v>
      </c>
      <c r="H4624" s="1">
        <v>6.6713047587459817</v>
      </c>
      <c r="I4624" s="1">
        <v>11.702237639609239</v>
      </c>
      <c r="J4624" s="1">
        <v>6.0968910976455966E-2</v>
      </c>
      <c r="K4624" s="1">
        <v>4.1084122398505469</v>
      </c>
      <c r="L4624" s="1">
        <v>3.1997270724207669</v>
      </c>
      <c r="M4624" s="1">
        <v>1.6985203970371923</v>
      </c>
      <c r="N4624" s="1">
        <v>1.9404012800793202</v>
      </c>
      <c r="O4624" s="1">
        <v>0.52167957671957677</v>
      </c>
      <c r="P4624" s="1">
        <v>0.20295752902251624</v>
      </c>
      <c r="Q4624" s="1">
        <v>1.2831680171362896</v>
      </c>
      <c r="R4624" s="2">
        <f t="shared" si="291"/>
        <v>45.794258349078028</v>
      </c>
      <c r="S4624" s="2">
        <f t="shared" si="290"/>
        <v>4.372338679849519</v>
      </c>
      <c r="T4624" s="2">
        <f t="shared" si="292"/>
        <v>7.3603283262568562</v>
      </c>
      <c r="U4624" s="2">
        <f t="shared" si="293"/>
        <v>57.526925355184403</v>
      </c>
    </row>
    <row r="4625" spans="1:21" x14ac:dyDescent="0.25">
      <c r="A4625">
        <v>5285129</v>
      </c>
      <c r="B4625">
        <v>5</v>
      </c>
      <c r="C4625" s="1">
        <f>5.00812117823764*(10.3/7.3)</f>
        <v>7.0662531692942068</v>
      </c>
      <c r="D4625" s="1">
        <f>11.5262977225776*(10.3/7.3)</f>
        <v>16.263132403088953</v>
      </c>
      <c r="E4625" s="1">
        <f>39.9592514053318*(10.3/7.3)</f>
        <v>56.380861571906571</v>
      </c>
      <c r="F4625" s="1">
        <f>77.7572506618826*(38.9/42.5)</f>
        <v>71.170754135228989</v>
      </c>
      <c r="G4625" s="1">
        <v>3.0639143364146291</v>
      </c>
      <c r="H4625" s="1">
        <v>6.4904259752997975</v>
      </c>
      <c r="I4625" s="1">
        <v>48.041133651988233</v>
      </c>
      <c r="J4625" s="1">
        <v>6.3099834432842936E-2</v>
      </c>
      <c r="K4625" s="1">
        <v>3.2303641929484201</v>
      </c>
      <c r="L4625" s="1">
        <v>4.1418470050235054</v>
      </c>
      <c r="M4625" s="1">
        <v>0.33597037027571597</v>
      </c>
      <c r="N4625" s="1">
        <v>3.2926537425540752</v>
      </c>
      <c r="O4625" s="1">
        <v>0.24604799999999996</v>
      </c>
      <c r="P4625" s="1">
        <v>0.15965013451410925</v>
      </c>
      <c r="Q4625" s="1">
        <v>4.8966667476946162</v>
      </c>
      <c r="R4625" s="2">
        <f t="shared" si="291"/>
        <v>213.373141990916</v>
      </c>
      <c r="S4625" s="2">
        <f t="shared" si="290"/>
        <v>3.4531141618953725</v>
      </c>
      <c r="T4625" s="2">
        <f t="shared" si="292"/>
        <v>8.0165191178532957</v>
      </c>
      <c r="U4625" s="2">
        <f t="shared" si="293"/>
        <v>224.84277527066467</v>
      </c>
    </row>
    <row r="4626" spans="1:21" x14ac:dyDescent="0.25">
      <c r="A4626">
        <v>5285137</v>
      </c>
      <c r="B4626">
        <v>61</v>
      </c>
      <c r="C4626" s="1">
        <f>5.82787101029466*(10.3/7.3)</f>
        <v>8.2228864939773949</v>
      </c>
      <c r="D4626" s="1">
        <f>13.5324874479693*(10.3/7.3)</f>
        <v>19.093783659463508</v>
      </c>
      <c r="E4626" s="1">
        <f>46.9037217062792*(10.3/7.3)</f>
        <v>66.179223777352902</v>
      </c>
      <c r="F4626" s="1">
        <f>91.2808156702961*(38.9/42.5)</f>
        <v>83.548793637047496</v>
      </c>
      <c r="G4626" s="1">
        <v>3.6010996507457289</v>
      </c>
      <c r="H4626" s="1">
        <v>6.9304552283166219</v>
      </c>
      <c r="I4626" s="1">
        <v>56.27925161764545</v>
      </c>
      <c r="J4626" s="1">
        <v>7.1086740348266036E-2</v>
      </c>
      <c r="K4626" s="1">
        <v>3.7973427150808527</v>
      </c>
      <c r="L4626" s="1">
        <v>5.178234566052379</v>
      </c>
      <c r="M4626" s="1">
        <v>0.40113736360206026</v>
      </c>
      <c r="N4626" s="1">
        <v>3.2912984281755486</v>
      </c>
      <c r="O4626" s="1">
        <v>0.28953355191256835</v>
      </c>
      <c r="P4626" s="1">
        <v>0.18406148366741956</v>
      </c>
      <c r="Q4626" s="1">
        <v>5.7551820902329069</v>
      </c>
      <c r="R4626" s="2">
        <f t="shared" si="291"/>
        <v>249.61067615478203</v>
      </c>
      <c r="S4626" s="2">
        <f t="shared" si="290"/>
        <v>4.052490939096538</v>
      </c>
      <c r="T4626" s="2">
        <f t="shared" si="292"/>
        <v>9.1602039097425543</v>
      </c>
      <c r="U4626" s="2">
        <f t="shared" si="293"/>
        <v>262.82337100362111</v>
      </c>
    </row>
    <row r="4627" spans="1:21" x14ac:dyDescent="0.25">
      <c r="A4627">
        <v>5285145</v>
      </c>
      <c r="B4627">
        <v>64</v>
      </c>
      <c r="C4627" s="1">
        <f>4.71041049930128*(10.3/7.3)</f>
        <v>6.6461956360004342</v>
      </c>
      <c r="D4627" s="1">
        <f>9.86530439575515*(10.3/7.3)</f>
        <v>13.919539078942195</v>
      </c>
      <c r="E4627" s="1">
        <f>34.2274846659127*(10.3/7.3)</f>
        <v>48.293574254643936</v>
      </c>
      <c r="F4627" s="1">
        <f>69.5318534044257*(38.9/42.5)</f>
        <v>63.642096410168506</v>
      </c>
      <c r="G4627" s="1">
        <v>2.8394264960180919</v>
      </c>
      <c r="H4627" s="1">
        <v>5.8527507347473753</v>
      </c>
      <c r="I4627" s="1">
        <v>44.740607970230208</v>
      </c>
      <c r="J4627" s="1">
        <v>5.4208651799991035E-2</v>
      </c>
      <c r="K4627" s="1">
        <v>3.2297189583064028</v>
      </c>
      <c r="L4627" s="1">
        <v>4.2389059116180041</v>
      </c>
      <c r="M4627" s="1">
        <v>0.32868033890451359</v>
      </c>
      <c r="N4627" s="1">
        <v>2.5134850328145641</v>
      </c>
      <c r="O4627" s="1">
        <v>0.2409391666666667</v>
      </c>
      <c r="P4627" s="1">
        <v>0.15976111008146218</v>
      </c>
      <c r="Q4627" s="1">
        <v>4.5378962265129372</v>
      </c>
      <c r="R4627" s="2">
        <f t="shared" si="291"/>
        <v>190.47208680726368</v>
      </c>
      <c r="S4627" s="2">
        <f t="shared" si="290"/>
        <v>3.4436887201878559</v>
      </c>
      <c r="T4627" s="2">
        <f t="shared" si="292"/>
        <v>7.3220104500037486</v>
      </c>
      <c r="U4627" s="2">
        <f t="shared" si="293"/>
        <v>201.23778597745527</v>
      </c>
    </row>
    <row r="4628" spans="1:21" x14ac:dyDescent="0.25">
      <c r="A4628">
        <v>5285153</v>
      </c>
      <c r="B4628">
        <v>64</v>
      </c>
      <c r="C4628" s="1">
        <f>6.36874822323477*(10.3/7.3)</f>
        <v>8.986042013605223</v>
      </c>
      <c r="D4628" s="1">
        <f>12.4849372570086*(10.3/7.3)</f>
        <v>17.615733390025831</v>
      </c>
      <c r="E4628" s="1">
        <f>43.3460165028405*(10.3/7.3)</f>
        <v>61.159447942364018</v>
      </c>
      <c r="F4628" s="1">
        <f>90.6536370421867*(38.9/42.5)</f>
        <v>82.974740728025026</v>
      </c>
      <c r="G4628" s="1">
        <v>3.7843261002442259</v>
      </c>
      <c r="H4628" s="1">
        <v>7.1771596172139507</v>
      </c>
      <c r="I4628" s="1">
        <v>59.917093312595604</v>
      </c>
      <c r="J4628" s="1">
        <v>6.6182177202156814E-2</v>
      </c>
      <c r="K4628" s="1">
        <v>3.8603539882512439</v>
      </c>
      <c r="L4628" s="1">
        <v>5.4277768174749674</v>
      </c>
      <c r="M4628" s="1">
        <v>0.39779540668902152</v>
      </c>
      <c r="N4628" s="1">
        <v>3.0364171811287011</v>
      </c>
      <c r="O4628" s="1">
        <v>0.29265999999999998</v>
      </c>
      <c r="P4628" s="1">
        <v>0.18608897559645998</v>
      </c>
      <c r="Q4628" s="1">
        <v>6.0480097492487657</v>
      </c>
      <c r="R4628" s="2">
        <f t="shared" si="291"/>
        <v>247.66255285332264</v>
      </c>
      <c r="S4628" s="2">
        <f t="shared" si="290"/>
        <v>4.1126251410498611</v>
      </c>
      <c r="T4628" s="2">
        <f t="shared" si="292"/>
        <v>9.1546494052926892</v>
      </c>
      <c r="U4628" s="2">
        <f t="shared" si="293"/>
        <v>260.92982739966516</v>
      </c>
    </row>
    <row r="4629" spans="1:21" x14ac:dyDescent="0.25">
      <c r="A4629">
        <v>5285161</v>
      </c>
      <c r="B4629">
        <v>66</v>
      </c>
      <c r="C4629" s="1">
        <f>6.43410240203861*(10.3/7.3)</f>
        <v>9.0782540741092674</v>
      </c>
      <c r="D4629" s="1">
        <f>12.0117595484433*(10.3/7.3)</f>
        <v>16.94809908889944</v>
      </c>
      <c r="E4629" s="1">
        <f>41.7254994156032*(10.3/7.3)</f>
        <v>58.872964928864818</v>
      </c>
      <c r="F4629" s="1">
        <f>89.2240057821643*(38.9/42.5)</f>
        <v>81.666207645322118</v>
      </c>
      <c r="G4629" s="1">
        <v>3.7850566406098456</v>
      </c>
      <c r="H4629" s="1">
        <v>7.1168853358400703</v>
      </c>
      <c r="I4629" s="1">
        <v>60.131862206547659</v>
      </c>
      <c r="J4629" s="1">
        <v>6.3798368636826683E-2</v>
      </c>
      <c r="K4629" s="1">
        <v>3.8232535859770787</v>
      </c>
      <c r="L4629" s="1">
        <v>5.3888655707360558</v>
      </c>
      <c r="M4629" s="1">
        <v>0.38343059797042167</v>
      </c>
      <c r="N4629" s="1">
        <v>2.9189248669478212</v>
      </c>
      <c r="O4629" s="1">
        <v>0.28926464646464634</v>
      </c>
      <c r="P4629" s="1">
        <v>0.1840858637696951</v>
      </c>
      <c r="Q4629" s="1">
        <v>6.0491772795134615</v>
      </c>
      <c r="R4629" s="2">
        <f t="shared" si="291"/>
        <v>243.64850719970664</v>
      </c>
      <c r="S4629" s="2">
        <f t="shared" si="290"/>
        <v>4.0711378183836002</v>
      </c>
      <c r="T4629" s="2">
        <f t="shared" si="292"/>
        <v>8.9804856821189443</v>
      </c>
      <c r="U4629" s="2">
        <f t="shared" si="293"/>
        <v>256.70013070020917</v>
      </c>
    </row>
    <row r="4630" spans="1:21" x14ac:dyDescent="0.25">
      <c r="A4630">
        <v>5285169</v>
      </c>
      <c r="B4630">
        <v>68</v>
      </c>
      <c r="C4630" s="1">
        <f>6.38772199561025*(10.3/7.3)</f>
        <v>9.0128132266829564</v>
      </c>
      <c r="D4630" s="1">
        <f>11.6311868351982*(10.3/7.3)</f>
        <v>16.411126630485118</v>
      </c>
      <c r="E4630" s="1">
        <f>40.4015258231066*(10.3/7.3)</f>
        <v>57.00489259972575</v>
      </c>
      <c r="F4630" s="1">
        <f>88.0772794276614*(38.9/42.5)</f>
        <v>80.616615758494746</v>
      </c>
      <c r="G4630" s="1">
        <v>3.7950378433472167</v>
      </c>
      <c r="H4630" s="1">
        <v>7.0560071412489886</v>
      </c>
      <c r="I4630" s="1">
        <v>60.089691836849326</v>
      </c>
      <c r="J4630" s="1">
        <v>6.2059226151418255E-2</v>
      </c>
      <c r="K4630" s="1">
        <v>3.7566837388634355</v>
      </c>
      <c r="L4630" s="1">
        <v>5.2928753401137891</v>
      </c>
      <c r="M4630" s="1">
        <v>0.37045091269441766</v>
      </c>
      <c r="N4630" s="1">
        <v>2.8121704146288611</v>
      </c>
      <c r="O4630" s="1">
        <v>0.281246274509804</v>
      </c>
      <c r="P4630" s="1">
        <v>0.18014454109878439</v>
      </c>
      <c r="Q4630" s="1">
        <v>6.0651289733859706</v>
      </c>
      <c r="R4630" s="2">
        <f t="shared" si="291"/>
        <v>240.05131401022004</v>
      </c>
      <c r="S4630" s="2">
        <f t="shared" si="290"/>
        <v>3.998887506113638</v>
      </c>
      <c r="T4630" s="2">
        <f t="shared" si="292"/>
        <v>8.7567429419468716</v>
      </c>
      <c r="U4630" s="2">
        <f t="shared" si="293"/>
        <v>252.80694445828055</v>
      </c>
    </row>
    <row r="4631" spans="1:21" x14ac:dyDescent="0.25">
      <c r="A4631">
        <v>5285177</v>
      </c>
      <c r="B4631">
        <v>68</v>
      </c>
      <c r="C4631" s="1">
        <f>4.95211432152783*(10.3/7.3)</f>
        <v>6.9872297961283039</v>
      </c>
      <c r="D4631" s="1">
        <f>8.87459914397726*(10.3/7.3)</f>
        <v>12.521694682598058</v>
      </c>
      <c r="E4631" s="1">
        <f>30.817237100474*(10.3/7.3)</f>
        <v>43.481855086970221</v>
      </c>
      <c r="F4631" s="1">
        <f>68.4337586054114*(38.9/42.5)</f>
        <v>62.637016700011834</v>
      </c>
      <c r="G4631" s="1">
        <v>2.9941915591382511</v>
      </c>
      <c r="H4631" s="1">
        <v>5.9289349905426887</v>
      </c>
      <c r="I4631" s="1">
        <v>47.131566622284311</v>
      </c>
      <c r="J4631" s="1">
        <v>5.0259750103367536E-2</v>
      </c>
      <c r="K4631" s="1">
        <v>3.2025550458584249</v>
      </c>
      <c r="L4631" s="1">
        <v>4.2069113987244453</v>
      </c>
      <c r="M4631" s="1">
        <v>0.30017982984357433</v>
      </c>
      <c r="N4631" s="1">
        <v>2.3232595245034</v>
      </c>
      <c r="O4631" s="1">
        <v>0.23478823529411769</v>
      </c>
      <c r="P4631" s="1">
        <v>0.15645820931157572</v>
      </c>
      <c r="Q4631" s="1">
        <v>4.7852376515908164</v>
      </c>
      <c r="R4631" s="2">
        <f t="shared" si="291"/>
        <v>186.46772708926449</v>
      </c>
      <c r="S4631" s="2">
        <f t="shared" si="290"/>
        <v>3.4092730052733682</v>
      </c>
      <c r="T4631" s="2">
        <f t="shared" si="292"/>
        <v>7.0651389883655371</v>
      </c>
      <c r="U4631" s="2">
        <f t="shared" si="293"/>
        <v>196.9421390829034</v>
      </c>
    </row>
    <row r="4632" spans="1:21" x14ac:dyDescent="0.25">
      <c r="A4632">
        <v>5285185</v>
      </c>
      <c r="B4632">
        <v>48</v>
      </c>
      <c r="C4632" s="1">
        <f>5.79212540886666*(10.3/7.3)</f>
        <v>8.1724509193598092</v>
      </c>
      <c r="D4632" s="1">
        <f>10.2425887639438*(10.3/7.3)</f>
        <v>14.451871817619327</v>
      </c>
      <c r="E4632" s="1">
        <f>35.5702437189172*(10.3/7.3)</f>
        <v>50.188152096554475</v>
      </c>
      <c r="F4632" s="1">
        <f>79.6263966662411*(38.9/42.5)</f>
        <v>72.881572478041832</v>
      </c>
      <c r="G4632" s="1">
        <v>3.5040068902138777</v>
      </c>
      <c r="H4632" s="1">
        <v>6.4805866525488831</v>
      </c>
      <c r="I4632" s="1">
        <v>55.146504838062214</v>
      </c>
      <c r="J4632" s="1">
        <v>5.4658475598295321E-2</v>
      </c>
      <c r="K4632" s="1">
        <v>3.3898627213516495</v>
      </c>
      <c r="L4632" s="1">
        <v>4.6190403299215301</v>
      </c>
      <c r="M4632" s="1">
        <v>0.31483043902590169</v>
      </c>
      <c r="N4632" s="1">
        <v>2.6998532981193217</v>
      </c>
      <c r="O4632" s="1">
        <v>0.2490366666666666</v>
      </c>
      <c r="P4632" s="1">
        <v>0.16219571999905755</v>
      </c>
      <c r="Q4632" s="1">
        <v>5.6000110117573456</v>
      </c>
      <c r="R4632" s="2">
        <f t="shared" si="291"/>
        <v>216.42515670415776</v>
      </c>
      <c r="S4632" s="2">
        <f t="shared" si="290"/>
        <v>3.6067169169490021</v>
      </c>
      <c r="T4632" s="2">
        <f t="shared" si="292"/>
        <v>7.88276073373342</v>
      </c>
      <c r="U4632" s="2">
        <f t="shared" si="293"/>
        <v>227.91463435484019</v>
      </c>
    </row>
    <row r="4633" spans="1:21" x14ac:dyDescent="0.25">
      <c r="A4633">
        <v>5285193</v>
      </c>
      <c r="B4633">
        <v>68</v>
      </c>
      <c r="C4633" s="1">
        <f>3.77368600996523*(10.3/7.3)</f>
        <v>5.32451587707423</v>
      </c>
      <c r="D4633" s="1">
        <f>6.51264828261437*(10.3/7.3)</f>
        <v>9.1890790836887657</v>
      </c>
      <c r="E4633" s="1">
        <f>22.6449471721326*(10.3/7.3)</f>
        <v>31.951089845611804</v>
      </c>
      <c r="F4633" s="1">
        <f>50.1882590358487*(38.9/42.5)</f>
        <v>45.937018270459141</v>
      </c>
      <c r="G4633" s="1">
        <v>2.1816690607569931</v>
      </c>
      <c r="H4633" s="1">
        <v>4.8057653073988815</v>
      </c>
      <c r="I4633" s="1">
        <v>34.865806463386491</v>
      </c>
      <c r="J4633" s="1">
        <v>4.0894125810413053E-2</v>
      </c>
      <c r="K4633" s="1">
        <v>2.7003285754438711</v>
      </c>
      <c r="L4633" s="1">
        <v>3.3496929254957264</v>
      </c>
      <c r="M4633" s="1">
        <v>0.23958237374065283</v>
      </c>
      <c r="N4633" s="1">
        <v>1.9014845299958651</v>
      </c>
      <c r="O4633" s="1">
        <v>0.19074823529411766</v>
      </c>
      <c r="P4633" s="1">
        <v>0.1334233276040748</v>
      </c>
      <c r="Q4633" s="1">
        <v>3.4866857135385767</v>
      </c>
      <c r="R4633" s="2">
        <f t="shared" si="291"/>
        <v>137.74162962191488</v>
      </c>
      <c r="S4633" s="2">
        <f t="shared" si="290"/>
        <v>2.8746460288583586</v>
      </c>
      <c r="T4633" s="2">
        <f t="shared" si="292"/>
        <v>5.681508064526362</v>
      </c>
      <c r="U4633" s="2">
        <f t="shared" si="293"/>
        <v>146.2977837152996</v>
      </c>
    </row>
    <row r="4634" spans="1:21" x14ac:dyDescent="0.25">
      <c r="A4634">
        <v>5285201</v>
      </c>
      <c r="B4634">
        <v>27</v>
      </c>
      <c r="C4634" s="1">
        <f>5.23644564435162*(10.3/7.3)</f>
        <v>7.3884096077837889</v>
      </c>
      <c r="D4634" s="1">
        <f>8.93434368729801*(10.3/7.3)</f>
        <v>12.605991777968427</v>
      </c>
      <c r="E4634" s="1">
        <f>31.0796263924938*(10.3/7.3)</f>
        <v>43.852075594888532</v>
      </c>
      <c r="F4634" s="1">
        <f>68.7579155784*(38.9/42.5)</f>
        <v>62.933715670582629</v>
      </c>
      <c r="G4634" s="1">
        <v>2.9794612961539282</v>
      </c>
      <c r="H4634" s="1">
        <v>6.3418299633675543</v>
      </c>
      <c r="I4634" s="1">
        <v>47.877904916826935</v>
      </c>
      <c r="J4634" s="1">
        <v>5.2377792867714129E-2</v>
      </c>
      <c r="K4634" s="1">
        <v>3.1736543027006574</v>
      </c>
      <c r="L4634" s="1">
        <v>4.2415131714793084</v>
      </c>
      <c r="M4634" s="1">
        <v>0.28135048388098532</v>
      </c>
      <c r="N4634" s="1">
        <v>2.2736609184131118</v>
      </c>
      <c r="O4634" s="1">
        <v>0.22771160493827161</v>
      </c>
      <c r="P4634" s="1">
        <v>0.15115030284096687</v>
      </c>
      <c r="Q4634" s="1">
        <v>4.761696135405824</v>
      </c>
      <c r="R4634" s="2">
        <f t="shared" si="291"/>
        <v>188.74108496297762</v>
      </c>
      <c r="S4634" s="2">
        <f t="shared" si="290"/>
        <v>3.3771823984093383</v>
      </c>
      <c r="T4634" s="2">
        <f t="shared" si="292"/>
        <v>7.0242361787116767</v>
      </c>
      <c r="U4634" s="2">
        <f t="shared" si="293"/>
        <v>199.14250354009863</v>
      </c>
    </row>
    <row r="4635" spans="1:21" x14ac:dyDescent="0.25">
      <c r="A4635">
        <v>5285209</v>
      </c>
      <c r="B4635">
        <v>69</v>
      </c>
      <c r="C4635" s="1">
        <f>6.43506795793379*(10.3/7.3)</f>
        <v>9.0796164337969945</v>
      </c>
      <c r="D4635" s="1">
        <f>10.8158153695445*(10.3/7.3)</f>
        <v>15.260671000864169</v>
      </c>
      <c r="E4635" s="1">
        <f>37.6598873773151*(10.3/7.3)</f>
        <v>53.136553422787024</v>
      </c>
      <c r="F4635" s="1">
        <f>82.4941520666757*(38.9/42.5)</f>
        <v>75.50641212691022</v>
      </c>
      <c r="G4635" s="1">
        <v>3.5341554080226172</v>
      </c>
      <c r="H4635" s="1">
        <v>6.7459696600501076</v>
      </c>
      <c r="I4635" s="1">
        <v>57.50045897549699</v>
      </c>
      <c r="J4635" s="1">
        <v>5.9274973668662322E-2</v>
      </c>
      <c r="K4635" s="1">
        <v>3.5774303086676587</v>
      </c>
      <c r="L4635" s="1">
        <v>5.0272437680041895</v>
      </c>
      <c r="M4635" s="1">
        <v>0.3157000184481536</v>
      </c>
      <c r="N4635" s="1">
        <v>2.6080029419013537</v>
      </c>
      <c r="O4635" s="1">
        <v>0.25538009661835759</v>
      </c>
      <c r="P4635" s="1">
        <v>0.16603187345965037</v>
      </c>
      <c r="Q4635" s="1">
        <v>5.6481935744653757</v>
      </c>
      <c r="R4635" s="2">
        <f t="shared" si="291"/>
        <v>226.41203060239354</v>
      </c>
      <c r="S4635" s="2">
        <f t="shared" si="290"/>
        <v>3.8027371557959713</v>
      </c>
      <c r="T4635" s="2">
        <f t="shared" si="292"/>
        <v>8.2063268249720558</v>
      </c>
      <c r="U4635" s="2">
        <f t="shared" si="293"/>
        <v>238.42109458316156</v>
      </c>
    </row>
    <row r="4636" spans="1:21" x14ac:dyDescent="0.25">
      <c r="A4636">
        <v>5285217</v>
      </c>
      <c r="B4636">
        <v>70</v>
      </c>
      <c r="C4636" s="1">
        <f>6.27637332909821*(10.3/7.3)</f>
        <v>8.8557048342070654</v>
      </c>
      <c r="D4636" s="1">
        <f>10.5367657910595*(10.3/7.3)</f>
        <v>14.866943513412693</v>
      </c>
      <c r="E4636" s="1">
        <f>36.7105413643876*(10.3/7.3)</f>
        <v>51.797065212766029</v>
      </c>
      <c r="F4636" s="1">
        <f>79.3593880969525*(38.9/42.5)</f>
        <v>72.637181105210658</v>
      </c>
      <c r="G4636" s="1">
        <v>3.3557872317481454</v>
      </c>
      <c r="H4636" s="1">
        <v>6.6127926797005179</v>
      </c>
      <c r="I4636" s="1">
        <v>55.124712118765444</v>
      </c>
      <c r="J4636" s="1">
        <v>5.6994470398171015E-2</v>
      </c>
      <c r="K4636" s="1">
        <v>3.4743658901502941</v>
      </c>
      <c r="L4636" s="1">
        <v>4.8225120351078532</v>
      </c>
      <c r="M4636" s="1">
        <v>0.30320995864976813</v>
      </c>
      <c r="N4636" s="1">
        <v>2.5123427478467519</v>
      </c>
      <c r="O4636" s="1">
        <v>0.24363733333333337</v>
      </c>
      <c r="P4636" s="1">
        <v>0.16047276597871354</v>
      </c>
      <c r="Q4636" s="1">
        <v>5.3631302790495523</v>
      </c>
      <c r="R4636" s="2">
        <f t="shared" si="291"/>
        <v>218.61331697486008</v>
      </c>
      <c r="S4636" s="2">
        <f t="shared" si="290"/>
        <v>3.6918331265271789</v>
      </c>
      <c r="T4636" s="2">
        <f t="shared" si="292"/>
        <v>7.8817020749377065</v>
      </c>
      <c r="U4636" s="2">
        <f t="shared" si="293"/>
        <v>230.18685217632498</v>
      </c>
    </row>
    <row r="4637" spans="1:21" x14ac:dyDescent="0.25">
      <c r="A4637">
        <v>5285225</v>
      </c>
      <c r="B4637">
        <v>69</v>
      </c>
      <c r="C4637" s="1">
        <f>5.90072775126362*(10.3/7.3)</f>
        <v>8.3256843613719607</v>
      </c>
      <c r="D4637" s="1">
        <f>10.3775325247824*(10.3/7.3)</f>
        <v>14.642271918528627</v>
      </c>
      <c r="E4637" s="1">
        <f>36.1516202633818*(10.3/7.3)</f>
        <v>51.00845050860724</v>
      </c>
      <c r="F4637" s="1">
        <f>75.5353366679759*(38.9/42.5)</f>
        <v>69.137049326688512</v>
      </c>
      <c r="G4637" s="1">
        <v>3.1053488436468486</v>
      </c>
      <c r="H4637" s="1">
        <v>6.38318837170916</v>
      </c>
      <c r="I4637" s="1">
        <v>51.304740929730336</v>
      </c>
      <c r="J4637" s="1">
        <v>5.4299725019763864E-2</v>
      </c>
      <c r="K4637" s="1">
        <v>3.3119999472903365</v>
      </c>
      <c r="L4637" s="1">
        <v>4.5019007903020301</v>
      </c>
      <c r="M4637" s="1">
        <v>0.28228313766050928</v>
      </c>
      <c r="N4637" s="1">
        <v>2.3940744194841646</v>
      </c>
      <c r="O4637" s="1">
        <v>0.22948792270531398</v>
      </c>
      <c r="P4637" s="1">
        <v>0.15278386396544688</v>
      </c>
      <c r="Q4637" s="1">
        <v>4.9628862798009026</v>
      </c>
      <c r="R4637" s="2">
        <f t="shared" si="291"/>
        <v>208.86962054008362</v>
      </c>
      <c r="S4637" s="2">
        <f t="shared" si="290"/>
        <v>3.5190835362755473</v>
      </c>
      <c r="T4637" s="2">
        <f t="shared" si="292"/>
        <v>7.4077462701520176</v>
      </c>
      <c r="U4637" s="2">
        <f t="shared" si="293"/>
        <v>219.79645034651119</v>
      </c>
    </row>
    <row r="4638" spans="1:21" x14ac:dyDescent="0.25">
      <c r="A4638">
        <v>5285233</v>
      </c>
      <c r="B4638">
        <v>67</v>
      </c>
      <c r="C4638" s="1">
        <f>6.29046623501478*(10.3/7.3)</f>
        <v>8.8755893452948236</v>
      </c>
      <c r="D4638" s="1">
        <f>13.3101783096365*(10.3/7.3)</f>
        <v>18.780114601267954</v>
      </c>
      <c r="E4638" s="1">
        <f>46.2928821596023*(10.3/7.3)</f>
        <v>65.317354279986745</v>
      </c>
      <c r="F4638" s="1">
        <f>87.6595721081165*(38.9/42.5)</f>
        <v>80.234290706017262</v>
      </c>
      <c r="G4638" s="1">
        <v>3.3080631740487196</v>
      </c>
      <c r="H4638" s="1">
        <v>7.8870336641884693</v>
      </c>
      <c r="I4638" s="1">
        <v>54.668267953819374</v>
      </c>
      <c r="J4638" s="1">
        <v>5.8293133216665967E-2</v>
      </c>
      <c r="K4638" s="1">
        <v>3.4268386524568824</v>
      </c>
      <c r="L4638" s="1">
        <v>4.7479744706438254</v>
      </c>
      <c r="M4638" s="1">
        <v>0.28416553600282385</v>
      </c>
      <c r="N4638" s="1">
        <v>2.5333915177210589</v>
      </c>
      <c r="O4638" s="1">
        <v>0.23395661691542291</v>
      </c>
      <c r="P4638" s="1">
        <v>0.15533483887445282</v>
      </c>
      <c r="Q4638" s="1">
        <v>5.2868589539591468</v>
      </c>
      <c r="R4638" s="2">
        <f t="shared" si="291"/>
        <v>244.3575726785825</v>
      </c>
      <c r="S4638" s="2">
        <f t="shared" si="290"/>
        <v>3.6404666245480013</v>
      </c>
      <c r="T4638" s="2">
        <f t="shared" si="292"/>
        <v>7.7994881412831312</v>
      </c>
      <c r="U4638" s="2">
        <f t="shared" si="293"/>
        <v>255.79752744441362</v>
      </c>
    </row>
    <row r="4639" spans="1:21" x14ac:dyDescent="0.25">
      <c r="A4639">
        <v>5285297</v>
      </c>
      <c r="B4639">
        <v>28</v>
      </c>
      <c r="C4639" s="1">
        <f>3.7957635925733*(10.3/7.3)</f>
        <v>5.3556664388363009</v>
      </c>
      <c r="D4639" s="1">
        <f>5.8055404293297*(10.3/7.3)</f>
        <v>8.1913789619309476</v>
      </c>
      <c r="E4639" s="1">
        <f>20.0976462005227*(10.3/7.3)</f>
        <v>28.356952858271711</v>
      </c>
      <c r="F4639" s="1">
        <f>53.380805609151*(38.9/42.5)</f>
        <v>48.859137369317018</v>
      </c>
      <c r="G4639" s="1">
        <v>2.6478092272024152</v>
      </c>
      <c r="H4639" s="1">
        <v>7.5429475874461156</v>
      </c>
      <c r="I4639" s="1">
        <v>39.830238971740307</v>
      </c>
      <c r="J4639" s="1">
        <v>3.3835912932024599E-2</v>
      </c>
      <c r="K4639" s="1">
        <v>2.0432594940531494</v>
      </c>
      <c r="L4639" s="1">
        <v>2.8468304112483738</v>
      </c>
      <c r="M4639" s="1">
        <v>0.14581570760369006</v>
      </c>
      <c r="N4639" s="1">
        <v>1.6342628715286673</v>
      </c>
      <c r="O4639" s="1">
        <v>0.12157333333333334</v>
      </c>
      <c r="P4639" s="1">
        <v>9.3456954974305131E-2</v>
      </c>
      <c r="Q4639" s="1">
        <v>4.2316585822869692</v>
      </c>
      <c r="R4639" s="2">
        <f t="shared" si="291"/>
        <v>145.01578999703179</v>
      </c>
      <c r="S4639" s="2">
        <f t="shared" si="290"/>
        <v>2.1705523619594791</v>
      </c>
      <c r="T4639" s="2">
        <f t="shared" si="292"/>
        <v>4.7484823237140645</v>
      </c>
      <c r="U4639" s="2">
        <f t="shared" si="293"/>
        <v>151.93482468270531</v>
      </c>
    </row>
    <row r="4640" spans="1:21" x14ac:dyDescent="0.25">
      <c r="A4640">
        <v>5285401</v>
      </c>
      <c r="B4640">
        <v>1</v>
      </c>
      <c r="C4640" s="1">
        <f>12.5222944046279*(10.3/7.3)</f>
        <v>17.668442790091447</v>
      </c>
      <c r="D4640" s="1">
        <f>14.3604463086444*(10.3/7.3)</f>
        <v>20.261999586169502</v>
      </c>
      <c r="E4640" s="1">
        <f>50.6614466195721*(10.3/7.3)</f>
        <v>71.481219202957931</v>
      </c>
      <c r="F4640" s="1">
        <f>117.600852887051*(38.9/42.5)</f>
        <v>107.63936887779455</v>
      </c>
      <c r="G4640" s="1">
        <v>5.0192573419763393</v>
      </c>
      <c r="H4640" s="1">
        <v>9.183741132631015</v>
      </c>
      <c r="I4640" s="1">
        <v>92.383595544013275</v>
      </c>
      <c r="J4640" s="1">
        <v>5.3803823641528928E-2</v>
      </c>
      <c r="K4640" s="1">
        <v>3.0921645112869531</v>
      </c>
      <c r="L4640" s="1">
        <v>3.9734628195116279</v>
      </c>
      <c r="M4640" s="1">
        <v>0.18568814281409568</v>
      </c>
      <c r="N4640" s="1">
        <v>2.2887307806634567</v>
      </c>
      <c r="O4640" s="1">
        <v>0.16639999999999999</v>
      </c>
      <c r="P4640" s="1">
        <v>0.11988807298072653</v>
      </c>
      <c r="Q4640" s="1">
        <v>8.0216441538434733</v>
      </c>
      <c r="R4640" s="2">
        <f t="shared" si="291"/>
        <v>331.65926862947754</v>
      </c>
      <c r="S4640" s="2">
        <f t="shared" si="290"/>
        <v>3.2658564079092085</v>
      </c>
      <c r="T4640" s="2">
        <f t="shared" si="292"/>
        <v>6.6142817429891805</v>
      </c>
      <c r="U4640" s="2">
        <f t="shared" si="293"/>
        <v>341.53940678037594</v>
      </c>
    </row>
    <row r="4641" spans="1:21" x14ac:dyDescent="0.25">
      <c r="A4641">
        <v>5285409</v>
      </c>
      <c r="B4641">
        <v>45</v>
      </c>
      <c r="C4641" s="1">
        <f>5.78886162878346*(10.3/7.3)</f>
        <v>8.1678458597903685</v>
      </c>
      <c r="D4641" s="1">
        <f>7.12685710269934*(10.3/7.3)</f>
        <v>10.055702487370301</v>
      </c>
      <c r="E4641" s="1">
        <f>25.0246862633422*(10.3/7.3)</f>
        <v>35.308803905811565</v>
      </c>
      <c r="F4641" s="1">
        <f>59.7875530995296*(38.9/42.5)</f>
        <v>54.723195660510591</v>
      </c>
      <c r="G4641" s="1">
        <v>2.6526647490581725</v>
      </c>
      <c r="H4641" s="1">
        <v>5.7897952813968923</v>
      </c>
      <c r="I4641" s="1">
        <v>46.197069894918052</v>
      </c>
      <c r="J4641" s="1">
        <v>3.4685456206172194E-2</v>
      </c>
      <c r="K4641" s="1">
        <v>2.1937227904856247</v>
      </c>
      <c r="L4641" s="1">
        <v>2.5570976548388482</v>
      </c>
      <c r="M4641" s="1">
        <v>0.13150036914479893</v>
      </c>
      <c r="N4641" s="1">
        <v>1.602043178574917</v>
      </c>
      <c r="O4641" s="1">
        <v>0.11648355555555553</v>
      </c>
      <c r="P4641" s="1">
        <v>8.9236981656880113E-2</v>
      </c>
      <c r="Q4641" s="1">
        <v>4.2394185487231084</v>
      </c>
      <c r="R4641" s="2">
        <f t="shared" si="291"/>
        <v>167.13449638757905</v>
      </c>
      <c r="S4641" s="2">
        <f t="shared" si="290"/>
        <v>2.317645228348677</v>
      </c>
      <c r="T4641" s="2">
        <f t="shared" si="292"/>
        <v>4.4071247581141204</v>
      </c>
      <c r="U4641" s="2">
        <f t="shared" si="293"/>
        <v>173.85926637404185</v>
      </c>
    </row>
    <row r="4642" spans="1:21" x14ac:dyDescent="0.25">
      <c r="A4642">
        <v>5285417</v>
      </c>
      <c r="B4642">
        <v>16</v>
      </c>
      <c r="C4642" s="1">
        <f>8.60086263466721*(10.3/7.3)</f>
        <v>12.135463717407159</v>
      </c>
      <c r="D4642" s="1">
        <f>10.6486130556319*(10.3/7.3)</f>
        <v>15.024755407261406</v>
      </c>
      <c r="E4642" s="1">
        <f>37.4231063138169*(10.3/7.3)</f>
        <v>52.802465072919802</v>
      </c>
      <c r="F4642" s="1">
        <f>87.2722215505305*(38.9/42.5)</f>
        <v>79.87975101919146</v>
      </c>
      <c r="G4642" s="1">
        <v>3.7909314450521641</v>
      </c>
      <c r="H4642" s="1">
        <v>7.0414840341176914</v>
      </c>
      <c r="I4642" s="1">
        <v>67.059706723692713</v>
      </c>
      <c r="J4642" s="1">
        <v>4.5201788824707982E-2</v>
      </c>
      <c r="K4642" s="1">
        <v>2.6873877680200966</v>
      </c>
      <c r="L4642" s="1">
        <v>3.3022899010144302</v>
      </c>
      <c r="M4642" s="1">
        <v>0.15804707424323081</v>
      </c>
      <c r="N4642" s="1">
        <v>2.0196895655859315</v>
      </c>
      <c r="O4642" s="1">
        <v>0.14291666666666666</v>
      </c>
      <c r="P4642" s="1">
        <v>0.10554757022588283</v>
      </c>
      <c r="Q4642" s="1">
        <v>6.0585662363847437</v>
      </c>
      <c r="R4642" s="2">
        <f t="shared" si="291"/>
        <v>243.79312365602718</v>
      </c>
      <c r="S4642" s="2">
        <f t="shared" si="290"/>
        <v>2.8381371270706874</v>
      </c>
      <c r="T4642" s="2">
        <f t="shared" si="292"/>
        <v>5.622943207510259</v>
      </c>
      <c r="U4642" s="2">
        <f t="shared" si="293"/>
        <v>252.25420399060812</v>
      </c>
    </row>
    <row r="4643" spans="1:21" x14ac:dyDescent="0.25">
      <c r="A4643">
        <v>5285609</v>
      </c>
      <c r="B4643">
        <v>3</v>
      </c>
      <c r="C4643" s="1">
        <f>5.38888814550305*(10.3/7.3)</f>
        <v>7.6034997121481336</v>
      </c>
      <c r="D4643" s="1">
        <f>6.94864329028723*(10.3/7.3)</f>
        <v>9.8042501219121121</v>
      </c>
      <c r="E4643" s="1">
        <f>24.1523994504269*(10.3/7.3)</f>
        <v>34.078043060191433</v>
      </c>
      <c r="F4643" s="1">
        <f>67.6736161000819*(38.9/42.5)</f>
        <v>61.941262736310215</v>
      </c>
      <c r="G4643" s="1">
        <v>3.4162709227987738</v>
      </c>
      <c r="H4643" s="1">
        <v>6.8592536184464272</v>
      </c>
      <c r="I4643" s="1">
        <v>52.947474887307955</v>
      </c>
      <c r="J4643" s="1">
        <v>4.961153832939718E-2</v>
      </c>
      <c r="K4643" s="1">
        <v>2.187364698432658</v>
      </c>
      <c r="L4643" s="1">
        <v>2.1221467200913002</v>
      </c>
      <c r="M4643" s="1">
        <v>0.10265112089028498</v>
      </c>
      <c r="N4643" s="1">
        <v>1.8174322181848022</v>
      </c>
      <c r="O4643" s="1">
        <v>9.8062222222222231E-2</v>
      </c>
      <c r="P4643" s="1">
        <v>7.6064858957547166E-2</v>
      </c>
      <c r="Q4643" s="1">
        <v>5.4597937122354878</v>
      </c>
      <c r="R4643" s="2">
        <f t="shared" si="291"/>
        <v>182.10984877135056</v>
      </c>
      <c r="S4643" s="2">
        <f t="shared" si="290"/>
        <v>2.3130410957196021</v>
      </c>
      <c r="T4643" s="2">
        <f t="shared" si="292"/>
        <v>4.1402922813886098</v>
      </c>
      <c r="U4643" s="2">
        <f t="shared" si="293"/>
        <v>188.56318214845876</v>
      </c>
    </row>
    <row r="4644" spans="1:21" x14ac:dyDescent="0.25">
      <c r="A4644">
        <v>5285617</v>
      </c>
      <c r="B4644">
        <v>26</v>
      </c>
      <c r="C4644" s="1">
        <f>7.37406642390358*(10.3/7.3)</f>
        <v>10.40450468030231</v>
      </c>
      <c r="D4644" s="1">
        <f>7.59087244372051*(10.3/7.3)</f>
        <v>10.710409064427566</v>
      </c>
      <c r="E4644" s="1">
        <f>26.9083487756419*(10.3/7.3)</f>
        <v>37.966574299878324</v>
      </c>
      <c r="F4644" s="1">
        <f>63.5104266547128*(38.9/42.5)</f>
        <v>58.130719926313581</v>
      </c>
      <c r="G4644" s="1">
        <v>2.6993343802086218</v>
      </c>
      <c r="H4644" s="1">
        <v>8.1608994446697345</v>
      </c>
      <c r="I4644" s="1">
        <v>51.710392532849895</v>
      </c>
      <c r="J4644" s="1">
        <v>4.1420849476809643E-2</v>
      </c>
      <c r="K4644" s="1">
        <v>2.1651872010676794</v>
      </c>
      <c r="L4644" s="1">
        <v>2.1192661363469933</v>
      </c>
      <c r="M4644" s="1">
        <v>9.8545211763354151E-2</v>
      </c>
      <c r="N4644" s="1">
        <v>1.8496638446216356</v>
      </c>
      <c r="O4644" s="1">
        <v>9.8041025641025625E-2</v>
      </c>
      <c r="P4644" s="1">
        <v>7.4964314677626542E-2</v>
      </c>
      <c r="Q4644" s="1">
        <v>4.3140047172283964</v>
      </c>
      <c r="R4644" s="2">
        <f t="shared" si="291"/>
        <v>184.09683904587843</v>
      </c>
      <c r="S4644" s="2">
        <f t="shared" si="290"/>
        <v>2.2815723652221158</v>
      </c>
      <c r="T4644" s="2">
        <f t="shared" si="292"/>
        <v>4.1655162183730088</v>
      </c>
      <c r="U4644" s="2">
        <f t="shared" si="293"/>
        <v>190.54392762947353</v>
      </c>
    </row>
    <row r="4645" spans="1:21" x14ac:dyDescent="0.25">
      <c r="A4645">
        <v>5285641</v>
      </c>
      <c r="B4645">
        <v>2</v>
      </c>
      <c r="C4645" s="1">
        <f>3.52786967840305*(10.3/7.3)</f>
        <v>4.9776791352810115</v>
      </c>
      <c r="D4645" s="1">
        <f>4.99035533100456*(10.3/7.3)</f>
        <v>7.0411862889516446</v>
      </c>
      <c r="E4645" s="1">
        <f>17.1966320606596*(10.3/7.3)</f>
        <v>24.26374112668411</v>
      </c>
      <c r="F4645" s="1">
        <f>52.3824103128075*(38.9/42.5)</f>
        <v>47.945312027487347</v>
      </c>
      <c r="G4645" s="1">
        <v>2.8100545059076594</v>
      </c>
      <c r="H4645" s="1">
        <v>9.1753434176231234</v>
      </c>
      <c r="I4645" s="1">
        <v>40.684896183285687</v>
      </c>
      <c r="J4645" s="1">
        <v>2.9732128726829118E-2</v>
      </c>
      <c r="K4645" s="1">
        <v>1.8453670706559218</v>
      </c>
      <c r="L4645" s="1">
        <v>1.8008359807289336</v>
      </c>
      <c r="M4645" s="1">
        <v>8.6447602438468968E-2</v>
      </c>
      <c r="N4645" s="1">
        <v>1.2748520586833139</v>
      </c>
      <c r="O4645" s="1">
        <v>8.5573333333333335E-2</v>
      </c>
      <c r="P4645" s="1">
        <v>6.6556509221979115E-2</v>
      </c>
      <c r="Q4645" s="1">
        <v>4.4909546898067667</v>
      </c>
      <c r="R4645" s="2">
        <f t="shared" si="291"/>
        <v>141.38916737502734</v>
      </c>
      <c r="S4645" s="2">
        <f t="shared" si="290"/>
        <v>1.9416557086047299</v>
      </c>
      <c r="T4645" s="2">
        <f t="shared" si="292"/>
        <v>3.2477089751840502</v>
      </c>
      <c r="U4645" s="2">
        <f t="shared" si="293"/>
        <v>146.57853205881614</v>
      </c>
    </row>
    <row r="4646" spans="1:21" x14ac:dyDescent="0.25">
      <c r="A4646">
        <v>5296949</v>
      </c>
      <c r="B4646">
        <v>62</v>
      </c>
      <c r="C4646" s="1">
        <f>0.6551129333883*(10.3/7.3)</f>
        <v>0.92433742656157436</v>
      </c>
      <c r="D4646" s="1">
        <f>0.955989649514492*(10.3/7.3)</f>
        <v>1.3488621082190777</v>
      </c>
      <c r="E4646" s="1">
        <f>3.3137249311571*(10.3/7.3)</f>
        <v>4.6755296973860476</v>
      </c>
      <c r="F4646" s="1">
        <f>8.88549101418415*(38.9/42.5)</f>
        <v>8.132837657688551</v>
      </c>
      <c r="G4646" s="1">
        <v>0.44143388477591289</v>
      </c>
      <c r="H4646" s="1">
        <v>1.9155621363454347</v>
      </c>
      <c r="I4646" s="1">
        <v>6.7110167303797477</v>
      </c>
      <c r="J4646" s="1">
        <v>3.5469213961669459E-2</v>
      </c>
      <c r="K4646" s="1">
        <v>2.9802933691275806</v>
      </c>
      <c r="L4646" s="1">
        <v>2.0695820922246617</v>
      </c>
      <c r="M4646" s="1">
        <v>0.90741530638484835</v>
      </c>
      <c r="N4646" s="1">
        <v>1.2570834715749166</v>
      </c>
      <c r="O4646" s="1">
        <v>0.35499354838709674</v>
      </c>
      <c r="P4646" s="1">
        <v>0.16064606798429171</v>
      </c>
      <c r="Q4646" s="1">
        <v>0.70548794370579748</v>
      </c>
      <c r="R4646" s="2">
        <f t="shared" si="291"/>
        <v>24.855067585062145</v>
      </c>
      <c r="S4646" s="2">
        <f t="shared" si="290"/>
        <v>3.1764086510735416</v>
      </c>
      <c r="T4646" s="2">
        <f t="shared" si="292"/>
        <v>4.5890744185715233</v>
      </c>
      <c r="U4646" s="2">
        <f t="shared" si="293"/>
        <v>32.620550654707209</v>
      </c>
    </row>
    <row r="4647" spans="1:21" x14ac:dyDescent="0.25">
      <c r="A4647">
        <v>5296957</v>
      </c>
      <c r="B4647">
        <v>62</v>
      </c>
      <c r="C4647" s="1">
        <f>0.61778271259637*(10.3/7.3)</f>
        <v>0.87166601914282404</v>
      </c>
      <c r="D4647" s="1">
        <f>0.902393624702569*(10.3/7.3)</f>
        <v>1.2732403197858162</v>
      </c>
      <c r="E4647" s="1">
        <f>3.12683038268069*(10.3/7.3)</f>
        <v>4.411829170083716</v>
      </c>
      <c r="F4647" s="1">
        <f>8.43536770713797*(38.9/42.5)</f>
        <v>7.7208424425333373</v>
      </c>
      <c r="G4647" s="1">
        <v>0.42086959793058848</v>
      </c>
      <c r="H4647" s="1">
        <v>1.9356299662739724</v>
      </c>
      <c r="I4647" s="1">
        <v>6.3767974881434508</v>
      </c>
      <c r="J4647" s="1">
        <v>3.7579318126871986E-2</v>
      </c>
      <c r="K4647" s="1">
        <v>3.0061591377382864</v>
      </c>
      <c r="L4647" s="1">
        <v>2.1150051500976694</v>
      </c>
      <c r="M4647" s="1">
        <v>1.0361207476869092</v>
      </c>
      <c r="N4647" s="1">
        <v>1.3357932342039787</v>
      </c>
      <c r="O4647" s="1">
        <v>0.35477505376344076</v>
      </c>
      <c r="P4647" s="1">
        <v>0.16086445049907663</v>
      </c>
      <c r="Q4647" s="1">
        <v>0.67262264509454883</v>
      </c>
      <c r="R4647" s="2">
        <f t="shared" si="291"/>
        <v>23.683497648988258</v>
      </c>
      <c r="S4647" s="2">
        <f t="shared" si="290"/>
        <v>3.2046029063642352</v>
      </c>
      <c r="T4647" s="2">
        <f t="shared" si="292"/>
        <v>4.8416941857519982</v>
      </c>
      <c r="U4647" s="2">
        <f t="shared" si="293"/>
        <v>31.729794741104492</v>
      </c>
    </row>
    <row r="4648" spans="1:21" x14ac:dyDescent="0.25">
      <c r="A4648">
        <v>5296965</v>
      </c>
      <c r="B4648">
        <v>63</v>
      </c>
      <c r="C4648" s="1">
        <f>0.884681967926617*(10.3/7.3)</f>
        <v>1.2482498999512537</v>
      </c>
      <c r="D4648" s="1">
        <f>1.31872966378403*(10.3/7.3)</f>
        <v>1.8606733612295248</v>
      </c>
      <c r="E4648" s="1">
        <f>4.55759690762888*(10.3/7.3)</f>
        <v>6.4305819381612981</v>
      </c>
      <c r="F4648" s="1">
        <f>12.7193954845127*(38.9/42.5)</f>
        <v>11.641987867001028</v>
      </c>
      <c r="G4648" s="1">
        <v>0.65043215116650976</v>
      </c>
      <c r="H4648" s="1">
        <v>3.052572071310121</v>
      </c>
      <c r="I4648" s="1">
        <v>9.6329705777175665</v>
      </c>
      <c r="J4648" s="1">
        <v>4.8560974961062403E-2</v>
      </c>
      <c r="K4648" s="1">
        <v>3.6562907787472994</v>
      </c>
      <c r="L4648" s="1">
        <v>2.5759880515554361</v>
      </c>
      <c r="M4648" s="1">
        <v>1.3839377644983879</v>
      </c>
      <c r="N4648" s="1">
        <v>1.6409851092533181</v>
      </c>
      <c r="O4648" s="1">
        <v>0.43670179894179889</v>
      </c>
      <c r="P4648" s="1">
        <v>0.1857072507263354</v>
      </c>
      <c r="Q4648" s="1">
        <v>1.0395034379373453</v>
      </c>
      <c r="R4648" s="2">
        <f t="shared" si="291"/>
        <v>35.556971304474651</v>
      </c>
      <c r="S4648" s="2">
        <f t="shared" si="290"/>
        <v>3.8905590044346972</v>
      </c>
      <c r="T4648" s="2">
        <f t="shared" si="292"/>
        <v>6.037612724248941</v>
      </c>
      <c r="U4648" s="2">
        <f t="shared" si="293"/>
        <v>45.485143033158295</v>
      </c>
    </row>
    <row r="4649" spans="1:21" x14ac:dyDescent="0.25">
      <c r="A4649">
        <v>5296973</v>
      </c>
      <c r="B4649">
        <v>15</v>
      </c>
      <c r="C4649" s="1">
        <f>0.690956626372408*(10.3/7.3)</f>
        <v>0.97491140433367185</v>
      </c>
      <c r="D4649" s="1">
        <f>1.03252137520755*(10.3/7.3)</f>
        <v>1.4568452280325768</v>
      </c>
      <c r="E4649" s="1">
        <f>3.56718205817345*(10.3/7.3)</f>
        <v>5.0331472875597987</v>
      </c>
      <c r="F4649" s="1">
        <f>10.0028446869533*(38.9/42.5)</f>
        <v>9.155544901705472</v>
      </c>
      <c r="G4649" s="1">
        <v>0.51320600899925384</v>
      </c>
      <c r="H4649" s="1">
        <v>8.0577755043728185</v>
      </c>
      <c r="I4649" s="1">
        <v>7.5782076670977121</v>
      </c>
      <c r="J4649" s="1">
        <v>5.067460231070562E-2</v>
      </c>
      <c r="K4649" s="1">
        <v>3.5749564461631844</v>
      </c>
      <c r="L4649" s="1">
        <v>2.4430055521392302</v>
      </c>
      <c r="M4649" s="1">
        <v>1.5196272965671762</v>
      </c>
      <c r="N4649" s="1">
        <v>1.771607951834707</v>
      </c>
      <c r="O4649" s="1">
        <v>0.41687111111111114</v>
      </c>
      <c r="P4649" s="1">
        <v>0.17914376150528868</v>
      </c>
      <c r="Q4649" s="1">
        <v>0.82019225182529232</v>
      </c>
      <c r="R4649" s="2">
        <f t="shared" si="291"/>
        <v>33.5898302539266</v>
      </c>
      <c r="S4649" s="2">
        <f t="shared" si="290"/>
        <v>3.8047748099791789</v>
      </c>
      <c r="T4649" s="2">
        <f t="shared" si="292"/>
        <v>6.151111911652225</v>
      </c>
      <c r="U4649" s="2">
        <f t="shared" si="293"/>
        <v>43.545716975558001</v>
      </c>
    </row>
    <row r="4650" spans="1:21" x14ac:dyDescent="0.25">
      <c r="A4650">
        <v>5297365</v>
      </c>
      <c r="B4650">
        <v>20</v>
      </c>
      <c r="C4650" s="1">
        <f>4.38244457899369*(10.3/7.3)</f>
        <v>6.1834492004979404</v>
      </c>
      <c r="D4650" s="1">
        <f>10.8932141123454*(10.3/7.3)</f>
        <v>15.369877446185919</v>
      </c>
      <c r="E4650" s="1">
        <f>37.7277708747908*(10.3/7.3)</f>
        <v>53.232334247992441</v>
      </c>
      <c r="F4650" s="1">
        <f>71.7377631568404*(38.9/42.5)</f>
        <v>65.661152630613955</v>
      </c>
      <c r="G4650" s="1">
        <v>2.777651433712772</v>
      </c>
      <c r="H4650" s="1">
        <v>6.2484038287723411</v>
      </c>
      <c r="I4650" s="1">
        <v>43.05269184487419</v>
      </c>
      <c r="J4650" s="1">
        <v>6.0078673357703463E-2</v>
      </c>
      <c r="K4650" s="1">
        <v>3.1236884907730009</v>
      </c>
      <c r="L4650" s="1">
        <v>3.8840789016331243</v>
      </c>
      <c r="M4650" s="1">
        <v>0.31527746924095457</v>
      </c>
      <c r="N4650" s="1">
        <v>3.630320986673099</v>
      </c>
      <c r="O4650" s="1">
        <v>0.23475733333333335</v>
      </c>
      <c r="P4650" s="1">
        <v>0.15497100411173639</v>
      </c>
      <c r="Q4650" s="1">
        <v>4.4391689579884526</v>
      </c>
      <c r="R4650" s="2">
        <f t="shared" si="291"/>
        <v>196.964729590638</v>
      </c>
      <c r="S4650" s="2">
        <f t="shared" si="290"/>
        <v>3.3387381682424411</v>
      </c>
      <c r="T4650" s="2">
        <f t="shared" si="292"/>
        <v>8.0644346908805105</v>
      </c>
      <c r="U4650" s="2">
        <f t="shared" si="293"/>
        <v>208.36790244976095</v>
      </c>
    </row>
    <row r="4651" spans="1:21" x14ac:dyDescent="0.25">
      <c r="A4651">
        <v>5297373</v>
      </c>
      <c r="B4651">
        <v>71</v>
      </c>
      <c r="C4651" s="1">
        <f>3.46333238134805*(10.3/7.3)</f>
        <v>4.8866196613541018</v>
      </c>
      <c r="D4651" s="1">
        <f>9.00043483198929*(10.3/7.3)</f>
        <v>12.699243667053386</v>
      </c>
      <c r="E4651" s="1">
        <f>31.139134142081*(10.3/7.3)</f>
        <v>43.936038584032048</v>
      </c>
      <c r="F4651" s="1">
        <f>59.293280952183*(38.9/42.5)</f>
        <v>54.270791271527543</v>
      </c>
      <c r="G4651" s="1">
        <v>2.3113143736215456</v>
      </c>
      <c r="H4651" s="1">
        <v>4.8694256923172023</v>
      </c>
      <c r="I4651" s="1">
        <v>35.243615157780482</v>
      </c>
      <c r="J4651" s="1">
        <v>4.7452524541604618E-2</v>
      </c>
      <c r="K4651" s="1">
        <v>2.845165982487738</v>
      </c>
      <c r="L4651" s="1">
        <v>3.5126041245940613</v>
      </c>
      <c r="M4651" s="1">
        <v>0.28336502920353102</v>
      </c>
      <c r="N4651" s="1">
        <v>2.3022902456678009</v>
      </c>
      <c r="O4651" s="1">
        <v>0.20918760563380276</v>
      </c>
      <c r="P4651" s="1">
        <v>0.14315495263418107</v>
      </c>
      <c r="Q4651" s="1">
        <v>3.6938814190298714</v>
      </c>
      <c r="R4651" s="2">
        <f t="shared" si="291"/>
        <v>161.9109298267162</v>
      </c>
      <c r="S4651" s="2">
        <f t="shared" si="290"/>
        <v>3.0357734596635235</v>
      </c>
      <c r="T4651" s="2">
        <f t="shared" si="292"/>
        <v>6.3074470050991955</v>
      </c>
      <c r="U4651" s="2">
        <f t="shared" si="293"/>
        <v>171.25415029147891</v>
      </c>
    </row>
    <row r="4652" spans="1:21" x14ac:dyDescent="0.25">
      <c r="A4652">
        <v>5297381</v>
      </c>
      <c r="B4652">
        <v>69</v>
      </c>
      <c r="C4652" s="1">
        <f>5.09694602349081*(10.3/7.3)</f>
        <v>7.1915813756103253</v>
      </c>
      <c r="D4652" s="1">
        <f>10.6873300962149*(10.3/7.3)</f>
        <v>15.079383560412735</v>
      </c>
      <c r="E4652" s="1">
        <f>37.0562622854386*(10.3/7.3)</f>
        <v>52.284863224660015</v>
      </c>
      <c r="F4652" s="1">
        <f>76.3913802944199*(38.9/42.5)</f>
        <v>69.920581022422027</v>
      </c>
      <c r="G4652" s="1">
        <v>3.1681863591183625</v>
      </c>
      <c r="H4652" s="1">
        <v>6.2675773943135509</v>
      </c>
      <c r="I4652" s="1">
        <v>49.417463358339781</v>
      </c>
      <c r="J4652" s="1">
        <v>5.7556291659869016E-2</v>
      </c>
      <c r="K4652" s="1">
        <v>3.4248459474855681</v>
      </c>
      <c r="L4652" s="1">
        <v>4.5828804008173112</v>
      </c>
      <c r="M4652" s="1">
        <v>0.34981368124841555</v>
      </c>
      <c r="N4652" s="1">
        <v>2.7413445769382534</v>
      </c>
      <c r="O4652" s="1">
        <v>0.25704038647342997</v>
      </c>
      <c r="P4652" s="1">
        <v>0.16759450136455534</v>
      </c>
      <c r="Q4652" s="1">
        <v>5.0633115328375711</v>
      </c>
      <c r="R4652" s="2">
        <f t="shared" si="291"/>
        <v>208.39294782771432</v>
      </c>
      <c r="S4652" s="2">
        <f t="shared" si="290"/>
        <v>3.6499967405099927</v>
      </c>
      <c r="T4652" s="2">
        <f t="shared" si="292"/>
        <v>7.9310790454774098</v>
      </c>
      <c r="U4652" s="2">
        <f t="shared" si="293"/>
        <v>219.97402361370175</v>
      </c>
    </row>
    <row r="4653" spans="1:21" x14ac:dyDescent="0.25">
      <c r="A4653">
        <v>5297389</v>
      </c>
      <c r="B4653">
        <v>69</v>
      </c>
      <c r="C4653" s="1">
        <f>6.27188376406149*(10.3/7.3)</f>
        <v>8.8493702424429177</v>
      </c>
      <c r="D4653" s="1">
        <f>12.0787187989889*(10.3/7.3)</f>
        <v>17.042575839669325</v>
      </c>
      <c r="E4653" s="1">
        <f>41.9350806414463*(10.3/7.3)</f>
        <v>59.168675425602316</v>
      </c>
      <c r="F4653" s="1">
        <f>88.8436716253289*(38.9/42.5)</f>
        <v>81.31809002883044</v>
      </c>
      <c r="G4653" s="1">
        <v>3.7489785399797992</v>
      </c>
      <c r="H4653" s="1">
        <v>7.1263739793061696</v>
      </c>
      <c r="I4653" s="1">
        <v>59.238994053710805</v>
      </c>
      <c r="J4653" s="1">
        <v>6.432463212257869E-2</v>
      </c>
      <c r="K4653" s="1">
        <v>3.8283682054998263</v>
      </c>
      <c r="L4653" s="1">
        <v>5.3702492863645608</v>
      </c>
      <c r="M4653" s="1">
        <v>0.38886528712897067</v>
      </c>
      <c r="N4653" s="1">
        <v>3.015185676051809</v>
      </c>
      <c r="O4653" s="1">
        <v>0.29106318840579692</v>
      </c>
      <c r="P4653" s="1">
        <v>0.1850254215011797</v>
      </c>
      <c r="Q4653" s="1">
        <v>5.9915182145795924</v>
      </c>
      <c r="R4653" s="2">
        <f t="shared" si="291"/>
        <v>242.48457632412135</v>
      </c>
      <c r="S4653" s="2">
        <f t="shared" si="290"/>
        <v>4.0777182591235848</v>
      </c>
      <c r="T4653" s="2">
        <f t="shared" si="292"/>
        <v>9.0653634379511381</v>
      </c>
      <c r="U4653" s="2">
        <f t="shared" si="293"/>
        <v>255.62765802119605</v>
      </c>
    </row>
    <row r="4654" spans="1:21" x14ac:dyDescent="0.25">
      <c r="A4654">
        <v>5297397</v>
      </c>
      <c r="B4654">
        <v>67</v>
      </c>
      <c r="C4654" s="1">
        <f>4.99188632862168*(10.3/7.3)</f>
        <v>7.0433464636716803</v>
      </c>
      <c r="D4654" s="1">
        <f>9.18102895579398*(10.3/7.3)</f>
        <v>12.954054554065477</v>
      </c>
      <c r="E4654" s="1">
        <f>31.8947617853874*(10.3/7.3)</f>
        <v>45.002198135546571</v>
      </c>
      <c r="F4654" s="1">
        <f>68.8247234085682*(38.9/42.5)</f>
        <v>62.994864484548266</v>
      </c>
      <c r="G4654" s="1">
        <v>2.9401696396347847</v>
      </c>
      <c r="H4654" s="1">
        <v>6.0646041684458725</v>
      </c>
      <c r="I4654" s="1">
        <v>46.690368375942256</v>
      </c>
      <c r="J4654" s="1">
        <v>5.2236371507332582E-2</v>
      </c>
      <c r="K4654" s="1">
        <v>3.2959677843239623</v>
      </c>
      <c r="L4654" s="1">
        <v>4.3451730880536674</v>
      </c>
      <c r="M4654" s="1">
        <v>0.31937902658747097</v>
      </c>
      <c r="N4654" s="1">
        <v>2.4474420789359428</v>
      </c>
      <c r="O4654" s="1">
        <v>0.24475701492537305</v>
      </c>
      <c r="P4654" s="1">
        <v>0.16171080556197678</v>
      </c>
      <c r="Q4654" s="1">
        <v>4.6989012505578787</v>
      </c>
      <c r="R4654" s="2">
        <f t="shared" si="291"/>
        <v>188.38850707241275</v>
      </c>
      <c r="S4654" s="2">
        <f t="shared" si="290"/>
        <v>3.5099149613932719</v>
      </c>
      <c r="T4654" s="2">
        <f t="shared" si="292"/>
        <v>7.3567512085024536</v>
      </c>
      <c r="U4654" s="2">
        <f t="shared" si="293"/>
        <v>199.25517324230847</v>
      </c>
    </row>
    <row r="4655" spans="1:21" x14ac:dyDescent="0.25">
      <c r="A4655">
        <v>5297405</v>
      </c>
      <c r="B4655">
        <v>65</v>
      </c>
      <c r="C4655" s="1">
        <f>6.07566577168757*(10.3/7.3)</f>
        <v>8.5725147189564375</v>
      </c>
      <c r="D4655" s="1">
        <f>10.9689710462865*(10.3/7.3)</f>
        <v>15.476767366678171</v>
      </c>
      <c r="E4655" s="1">
        <f>38.0994838787407*(10.3/7.3)</f>
        <v>53.756806020688963</v>
      </c>
      <c r="F4655" s="1">
        <f>83.6694763996083*(38.9/42.5)</f>
        <v>76.582179575170926</v>
      </c>
      <c r="G4655" s="1">
        <v>3.6263709242743376</v>
      </c>
      <c r="H4655" s="1">
        <v>6.8586851577382033</v>
      </c>
      <c r="I4655" s="1">
        <v>57.329826810337877</v>
      </c>
      <c r="J4655" s="1">
        <v>5.9673806439207014E-2</v>
      </c>
      <c r="K4655" s="1">
        <v>3.6496172972405683</v>
      </c>
      <c r="L4655" s="1">
        <v>5.0751179114201994</v>
      </c>
      <c r="M4655" s="1">
        <v>0.3538988506972307</v>
      </c>
      <c r="N4655" s="1">
        <v>2.716932927488056</v>
      </c>
      <c r="O4655" s="1">
        <v>0.27179979487179484</v>
      </c>
      <c r="P4655" s="1">
        <v>0.175140072199999</v>
      </c>
      <c r="Q4655" s="1">
        <v>5.7955699703014574</v>
      </c>
      <c r="R4655" s="2">
        <f t="shared" si="291"/>
        <v>227.99872054414635</v>
      </c>
      <c r="S4655" s="2">
        <f t="shared" si="290"/>
        <v>3.8844311758797745</v>
      </c>
      <c r="T4655" s="2">
        <f t="shared" si="292"/>
        <v>8.417749484477282</v>
      </c>
      <c r="U4655" s="2">
        <f t="shared" si="293"/>
        <v>240.30090120450339</v>
      </c>
    </row>
    <row r="4656" spans="1:21" x14ac:dyDescent="0.25">
      <c r="A4656">
        <v>5297413</v>
      </c>
      <c r="B4656">
        <v>57</v>
      </c>
      <c r="C4656" s="1">
        <f>5.08142084583314*(10.3/7.3)</f>
        <v>7.1696759879563547</v>
      </c>
      <c r="D4656" s="1">
        <f>9.04373827142355*(10.3/7.3)</f>
        <v>12.760343040501724</v>
      </c>
      <c r="E4656" s="1">
        <f>31.4118888542831*(10.3/7.3)</f>
        <v>44.320884273851568</v>
      </c>
      <c r="F4656" s="1">
        <f>69.7350304369517*(38.9/42.5)</f>
        <v>63.828063152880496</v>
      </c>
      <c r="G4656" s="1">
        <v>3.0477786831757188</v>
      </c>
      <c r="H4656" s="1">
        <v>6.0617358836969091</v>
      </c>
      <c r="I4656" s="1">
        <v>48.103985651917185</v>
      </c>
      <c r="J4656" s="1">
        <v>5.0432486593162171E-2</v>
      </c>
      <c r="K4656" s="1">
        <v>3.2143822028026725</v>
      </c>
      <c r="L4656" s="1">
        <v>4.2309682160352526</v>
      </c>
      <c r="M4656" s="1">
        <v>0.29837111670599409</v>
      </c>
      <c r="N4656" s="1">
        <v>2.3378799286543934</v>
      </c>
      <c r="O4656" s="1">
        <v>0.23524116959064323</v>
      </c>
      <c r="P4656" s="1">
        <v>0.15598598357460014</v>
      </c>
      <c r="Q4656" s="1">
        <v>4.870879174025128</v>
      </c>
      <c r="R4656" s="2">
        <f t="shared" si="291"/>
        <v>190.16334584800509</v>
      </c>
      <c r="S4656" s="2">
        <f t="shared" si="290"/>
        <v>3.4208006729704348</v>
      </c>
      <c r="T4656" s="2">
        <f t="shared" si="292"/>
        <v>7.1024604309862829</v>
      </c>
      <c r="U4656" s="2">
        <f t="shared" si="293"/>
        <v>200.68660695196181</v>
      </c>
    </row>
    <row r="4657" spans="1:21" x14ac:dyDescent="0.25">
      <c r="A4657">
        <v>5297421</v>
      </c>
      <c r="B4657">
        <v>65</v>
      </c>
      <c r="C4657" s="1">
        <f>5.90637337111453*(10.3/7.3)</f>
        <v>8.333650098969823</v>
      </c>
      <c r="D4657" s="1">
        <f>10.3264895420086*(10.3/7.3)</f>
        <v>14.570252367491591</v>
      </c>
      <c r="E4657" s="1">
        <f>35.8846709788725*(10.3/7.3)</f>
        <v>50.631796038683127</v>
      </c>
      <c r="F4657" s="1">
        <f>79.8331997324463*(38.9/42.5)</f>
        <v>73.070858108050857</v>
      </c>
      <c r="G4657" s="1">
        <v>3.488257574781406</v>
      </c>
      <c r="H4657" s="1">
        <v>6.6010691004191662</v>
      </c>
      <c r="I4657" s="1">
        <v>55.34317278358305</v>
      </c>
      <c r="J4657" s="1">
        <v>5.6916376797593093E-2</v>
      </c>
      <c r="K4657" s="1">
        <v>3.4911465962888899</v>
      </c>
      <c r="L4657" s="1">
        <v>4.7955068981470594</v>
      </c>
      <c r="M4657" s="1">
        <v>0.3232921094887608</v>
      </c>
      <c r="N4657" s="1">
        <v>2.6155914451444624</v>
      </c>
      <c r="O4657" s="1">
        <v>0.25599917948717948</v>
      </c>
      <c r="P4657" s="1">
        <v>0.16579900833434916</v>
      </c>
      <c r="Q4657" s="1">
        <v>5.5748408729383252</v>
      </c>
      <c r="R4657" s="2">
        <f t="shared" si="291"/>
        <v>217.61389694491731</v>
      </c>
      <c r="S4657" s="2">
        <f t="shared" si="290"/>
        <v>3.7138619814208322</v>
      </c>
      <c r="T4657" s="2">
        <f t="shared" si="292"/>
        <v>7.9903896322674619</v>
      </c>
      <c r="U4657" s="2">
        <f t="shared" si="293"/>
        <v>229.3181485586056</v>
      </c>
    </row>
    <row r="4658" spans="1:21" x14ac:dyDescent="0.25">
      <c r="A4658">
        <v>5297429</v>
      </c>
      <c r="B4658">
        <v>44</v>
      </c>
      <c r="C4658" s="1">
        <f>5.48552822116217*(10.3/7.3)</f>
        <v>7.7398548873932</v>
      </c>
      <c r="D4658" s="1">
        <f>9.46439046320495*(10.3/7.3)</f>
        <v>13.353865996028905</v>
      </c>
      <c r="E4658" s="1">
        <f>32.9077367553843*(10.3/7.3)</f>
        <v>46.431464189103849</v>
      </c>
      <c r="F4658" s="1">
        <f>72.9807164695851*(38.9/42.5)</f>
        <v>66.798820486279055</v>
      </c>
      <c r="G4658" s="1">
        <v>3.1742476751059203</v>
      </c>
      <c r="H4658" s="1">
        <v>6.5996115389751395</v>
      </c>
      <c r="I4658" s="1">
        <v>50.712469622777398</v>
      </c>
      <c r="J4658" s="1">
        <v>5.3058562763442937E-2</v>
      </c>
      <c r="K4658" s="1">
        <v>3.203711931990624</v>
      </c>
      <c r="L4658" s="1">
        <v>4.2931548204223642</v>
      </c>
      <c r="M4658" s="1">
        <v>0.29065420698293748</v>
      </c>
      <c r="N4658" s="1">
        <v>2.3850939251081487</v>
      </c>
      <c r="O4658" s="1">
        <v>0.23248484848484849</v>
      </c>
      <c r="P4658" s="1">
        <v>0.15314144952345862</v>
      </c>
      <c r="Q4658" s="1">
        <v>5.0729985675208829</v>
      </c>
      <c r="R4658" s="2">
        <f t="shared" si="291"/>
        <v>199.88333296318439</v>
      </c>
      <c r="S4658" s="2">
        <f t="shared" si="290"/>
        <v>3.4099119442775256</v>
      </c>
      <c r="T4658" s="2">
        <f t="shared" si="292"/>
        <v>7.2013878009982983</v>
      </c>
      <c r="U4658" s="2">
        <f t="shared" si="293"/>
        <v>210.49463270846022</v>
      </c>
    </row>
    <row r="4659" spans="1:21" x14ac:dyDescent="0.25">
      <c r="A4659">
        <v>5297437</v>
      </c>
      <c r="B4659">
        <v>62</v>
      </c>
      <c r="C4659" s="1">
        <f>6.0574016709705*(10.3/7.3)</f>
        <v>8.546744823424131</v>
      </c>
      <c r="D4659" s="1">
        <f>10.2689641548743*(10.3/7.3)</f>
        <v>14.489086410302056</v>
      </c>
      <c r="E4659" s="1">
        <f>35.7369250655181*(10.3/7.3)</f>
        <v>50.423332626689984</v>
      </c>
      <c r="F4659" s="1">
        <f>78.7113158209125*(38.9/42.5)</f>
        <v>72.044004363141113</v>
      </c>
      <c r="G4659" s="1">
        <v>3.3936524570015503</v>
      </c>
      <c r="H4659" s="1">
        <v>8.7756663620539488</v>
      </c>
      <c r="I4659" s="1">
        <v>54.828406532183777</v>
      </c>
      <c r="J4659" s="1">
        <v>5.8373890965593679E-2</v>
      </c>
      <c r="K4659" s="1">
        <v>3.4827736930527147</v>
      </c>
      <c r="L4659" s="1">
        <v>4.8279372319795248</v>
      </c>
      <c r="M4659" s="1">
        <v>0.31202798843854151</v>
      </c>
      <c r="N4659" s="1">
        <v>2.5735921098547037</v>
      </c>
      <c r="O4659" s="1">
        <v>0.24956731182795699</v>
      </c>
      <c r="P4659" s="1">
        <v>0.16314461718846401</v>
      </c>
      <c r="Q4659" s="1">
        <v>5.4236454792262281</v>
      </c>
      <c r="R4659" s="2">
        <f t="shared" si="291"/>
        <v>217.92453905402277</v>
      </c>
      <c r="S4659" s="2">
        <f t="shared" si="290"/>
        <v>3.7042922012067723</v>
      </c>
      <c r="T4659" s="2">
        <f t="shared" si="292"/>
        <v>7.9631246421007269</v>
      </c>
      <c r="U4659" s="2">
        <f t="shared" si="293"/>
        <v>229.59195589733028</v>
      </c>
    </row>
    <row r="4660" spans="1:21" x14ac:dyDescent="0.25">
      <c r="A4660">
        <v>5297445</v>
      </c>
      <c r="B4660">
        <v>62</v>
      </c>
      <c r="C4660" s="1">
        <f>6.13129764924783*(10.3/7.3)</f>
        <v>8.6510090119524161</v>
      </c>
      <c r="D4660" s="1">
        <f>10.2813182499093*(10.3/7.3)</f>
        <v>14.506517530693879</v>
      </c>
      <c r="E4660" s="1">
        <f>35.8080465324819*(10.3/7.3)</f>
        <v>50.523682093775896</v>
      </c>
      <c r="F4660" s="1">
        <f>78.1128740132328*(38.9/42.5)</f>
        <v>71.496254096817793</v>
      </c>
      <c r="G4660" s="1">
        <v>3.332009782808969</v>
      </c>
      <c r="H4660" s="1">
        <v>6.5212320446771379</v>
      </c>
      <c r="I4660" s="1">
        <v>54.415324436957142</v>
      </c>
      <c r="J4660" s="1">
        <v>5.6766674884391813E-2</v>
      </c>
      <c r="K4660" s="1">
        <v>3.4677787722989968</v>
      </c>
      <c r="L4660" s="1">
        <v>4.7997249662235379</v>
      </c>
      <c r="M4660" s="1">
        <v>0.30472937871597788</v>
      </c>
      <c r="N4660" s="1">
        <v>2.5136047600771625</v>
      </c>
      <c r="O4660" s="1">
        <v>0.24554752688172041</v>
      </c>
      <c r="P4660" s="1">
        <v>0.16098715193233576</v>
      </c>
      <c r="Q4660" s="1">
        <v>5.3251297898773551</v>
      </c>
      <c r="R4660" s="2">
        <f t="shared" si="291"/>
        <v>214.77115878756058</v>
      </c>
      <c r="S4660" s="2">
        <f t="shared" si="290"/>
        <v>3.6855325991157244</v>
      </c>
      <c r="T4660" s="2">
        <f t="shared" si="292"/>
        <v>7.8636066318983993</v>
      </c>
      <c r="U4660" s="2">
        <f t="shared" si="293"/>
        <v>226.3202980185747</v>
      </c>
    </row>
    <row r="4661" spans="1:21" x14ac:dyDescent="0.25">
      <c r="A4661">
        <v>5297453</v>
      </c>
      <c r="B4661">
        <v>62</v>
      </c>
      <c r="C4661" s="1">
        <f>6.22253216924215*(10.3/7.3)</f>
        <v>8.7797371703005656</v>
      </c>
      <c r="D4661" s="1">
        <f>10.4889057556901*(10.3/7.3)</f>
        <v>14.7994149703572</v>
      </c>
      <c r="E4661" s="1">
        <f>36.5440604833952*(10.3/7.3)</f>
        <v>51.56216753136578</v>
      </c>
      <c r="F4661" s="1">
        <f>78.731124273236*(38.9/42.5)</f>
        <v>72.062134923032517</v>
      </c>
      <c r="G4661" s="1">
        <v>3.3198612265812351</v>
      </c>
      <c r="H4661" s="1">
        <v>6.8296719900960454</v>
      </c>
      <c r="I4661" s="1">
        <v>54.576873985583035</v>
      </c>
      <c r="J4661" s="1">
        <v>5.6746417008389595E-2</v>
      </c>
      <c r="K4661" s="1">
        <v>3.4519344011028208</v>
      </c>
      <c r="L4661" s="1">
        <v>4.7606325784402559</v>
      </c>
      <c r="M4661" s="1">
        <v>0.29749482317858017</v>
      </c>
      <c r="N4661" s="1">
        <v>2.5001760812616567</v>
      </c>
      <c r="O4661" s="1">
        <v>0.24142967741935487</v>
      </c>
      <c r="P4661" s="1">
        <v>0.1587788172801724</v>
      </c>
      <c r="Q4661" s="1">
        <v>5.305714289056775</v>
      </c>
      <c r="R4661" s="2">
        <f t="shared" si="291"/>
        <v>217.23557608637313</v>
      </c>
      <c r="S4661" s="2">
        <f t="shared" si="290"/>
        <v>3.6674596353913826</v>
      </c>
      <c r="T4661" s="2">
        <f t="shared" si="292"/>
        <v>7.799733160299847</v>
      </c>
      <c r="U4661" s="2">
        <f t="shared" si="293"/>
        <v>228.70276888206436</v>
      </c>
    </row>
    <row r="4662" spans="1:21" x14ac:dyDescent="0.25">
      <c r="A4662">
        <v>5297461</v>
      </c>
      <c r="B4662">
        <v>63</v>
      </c>
      <c r="C4662" s="1">
        <f>4.08674578735146*(10.3/7.3)</f>
        <v>5.7662303574959024</v>
      </c>
      <c r="D4662" s="1">
        <f>7.40918310988747*(10.3/7.3)</f>
        <v>10.454052881074098</v>
      </c>
      <c r="E4662" s="1">
        <f>25.8085566019768*(10.3/7.3)</f>
        <v>36.414812739775478</v>
      </c>
      <c r="F4662" s="1">
        <f>52.7759398621953*(38.9/42.5)</f>
        <v>48.305507309162294</v>
      </c>
      <c r="G4662" s="1">
        <v>2.1295831774378051</v>
      </c>
      <c r="H4662" s="1">
        <v>5.0259391242790077</v>
      </c>
      <c r="I4662" s="1">
        <v>35.310947184857639</v>
      </c>
      <c r="J4662" s="1">
        <v>4.1809701021125016E-2</v>
      </c>
      <c r="K4662" s="1">
        <v>2.7046846364635995</v>
      </c>
      <c r="L4662" s="1">
        <v>3.3590872004753596</v>
      </c>
      <c r="M4662" s="1">
        <v>0.22003417145776397</v>
      </c>
      <c r="N4662" s="1">
        <v>1.9097648877773463</v>
      </c>
      <c r="O4662" s="1">
        <v>0.1831204232804233</v>
      </c>
      <c r="P4662" s="1">
        <v>0.12845283596659066</v>
      </c>
      <c r="Q4662" s="1">
        <v>3.4034434342613369</v>
      </c>
      <c r="R4662" s="2">
        <f t="shared" si="291"/>
        <v>146.81051620834356</v>
      </c>
      <c r="S4662" s="2">
        <f t="shared" si="290"/>
        <v>2.8749471734513152</v>
      </c>
      <c r="T4662" s="2">
        <f t="shared" si="292"/>
        <v>5.6720066829908928</v>
      </c>
      <c r="U4662" s="2">
        <f t="shared" si="293"/>
        <v>155.35747006478576</v>
      </c>
    </row>
    <row r="4663" spans="1:21" x14ac:dyDescent="0.25">
      <c r="A4663">
        <v>5297469</v>
      </c>
      <c r="B4663">
        <v>39</v>
      </c>
      <c r="C4663" s="1">
        <f>3.30879386576777*(10.3/7.3)</f>
        <v>4.6685721667682181</v>
      </c>
      <c r="D4663" s="1">
        <f>6.31813519042316*(10.3/7.3)</f>
        <v>8.9146291042956864</v>
      </c>
      <c r="E4663" s="1">
        <f>21.9988908192293*(10.3/7.3)</f>
        <v>31.039530881926293</v>
      </c>
      <c r="F4663" s="1">
        <f>43.6774704729059*(38.9/42.5)</f>
        <v>39.977731797553901</v>
      </c>
      <c r="G4663" s="1">
        <v>1.7181771674200472</v>
      </c>
      <c r="H4663" s="1">
        <v>5.49899604798855</v>
      </c>
      <c r="I4663" s="1">
        <v>28.525963626407037</v>
      </c>
      <c r="J4663" s="1">
        <v>3.7714465394927579E-2</v>
      </c>
      <c r="K4663" s="1">
        <v>2.4435808599490878</v>
      </c>
      <c r="L4663" s="1">
        <v>2.9213208845279919</v>
      </c>
      <c r="M4663" s="1">
        <v>0.19394087546709149</v>
      </c>
      <c r="N4663" s="1">
        <v>1.7448602532351469</v>
      </c>
      <c r="O4663" s="1">
        <v>0.16158905982905983</v>
      </c>
      <c r="P4663" s="1">
        <v>0.11713719901217892</v>
      </c>
      <c r="Q4663" s="1">
        <v>2.7459452447352386</v>
      </c>
      <c r="R4663" s="2">
        <f t="shared" si="291"/>
        <v>123.08954603709498</v>
      </c>
      <c r="S4663" s="2">
        <f t="shared" si="290"/>
        <v>2.5984325243561943</v>
      </c>
      <c r="T4663" s="2">
        <f t="shared" si="292"/>
        <v>5.02171107305929</v>
      </c>
      <c r="U4663" s="2">
        <f t="shared" si="293"/>
        <v>130.70968963451045</v>
      </c>
    </row>
    <row r="4664" spans="1:21" x14ac:dyDescent="0.25">
      <c r="A4664">
        <v>5297533</v>
      </c>
      <c r="B4664">
        <v>13</v>
      </c>
      <c r="C4664" s="1">
        <f>4.35115416189776*(10.3/7.3)</f>
        <v>6.1392997078831417</v>
      </c>
      <c r="D4664" s="1">
        <f>6.47831911553572*(10.3/7.3)</f>
        <v>9.1406420397284833</v>
      </c>
      <c r="E4664" s="1">
        <f>22.5244201497442*(10.3/7.3)</f>
        <v>31.781031170186967</v>
      </c>
      <c r="F4664" s="1">
        <f>55.9913872419468*(38.9/42.5)</f>
        <v>51.248587381452516</v>
      </c>
      <c r="G4664" s="1">
        <v>2.6366493742686901</v>
      </c>
      <c r="H4664" s="1">
        <v>8.1034073957695476</v>
      </c>
      <c r="I4664" s="1">
        <v>41.473015280571822</v>
      </c>
      <c r="J4664" s="1">
        <v>4.140909906640506E-2</v>
      </c>
      <c r="K4664" s="1">
        <v>2.1604633178576966</v>
      </c>
      <c r="L4664" s="1">
        <v>2.9012838996455441</v>
      </c>
      <c r="M4664" s="1">
        <v>0.15464972240379943</v>
      </c>
      <c r="N4664" s="1">
        <v>2.0352465207288066</v>
      </c>
      <c r="O4664" s="1">
        <v>0.12964102564102561</v>
      </c>
      <c r="P4664" s="1">
        <v>9.7439412887209614E-2</v>
      </c>
      <c r="Q4664" s="1">
        <v>4.2138232008860381</v>
      </c>
      <c r="R4664" s="2">
        <f t="shared" si="291"/>
        <v>154.73645555074719</v>
      </c>
      <c r="S4664" s="2">
        <f t="shared" si="290"/>
        <v>2.2993118298113115</v>
      </c>
      <c r="T4664" s="2">
        <f t="shared" si="292"/>
        <v>5.2208211684191754</v>
      </c>
      <c r="U4664" s="2">
        <f t="shared" si="293"/>
        <v>162.25658854897767</v>
      </c>
    </row>
    <row r="4665" spans="1:21" x14ac:dyDescent="0.25">
      <c r="A4665">
        <v>5297629</v>
      </c>
      <c r="B4665">
        <v>4</v>
      </c>
      <c r="C4665" s="1">
        <f>9.00239056236013*(10.3/7.3)</f>
        <v>12.70200312223416</v>
      </c>
      <c r="D4665" s="1">
        <f>10.4559700573152*(10.3/7.3)</f>
        <v>14.752944053472122</v>
      </c>
      <c r="E4665" s="1">
        <f>36.8344245290886*(10.3/7.3)</f>
        <v>51.971859267070172</v>
      </c>
      <c r="F4665" s="1">
        <f>87.018014265462*(38.9/42.5)</f>
        <v>79.647076586505221</v>
      </c>
      <c r="G4665" s="1">
        <v>3.7848290452803628</v>
      </c>
      <c r="H4665" s="1">
        <v>10.282162255663328</v>
      </c>
      <c r="I4665" s="1">
        <v>68.268017174150799</v>
      </c>
      <c r="J4665" s="1">
        <v>4.1439127892994594E-2</v>
      </c>
      <c r="K4665" s="1">
        <v>2.5025211208045741</v>
      </c>
      <c r="L4665" s="1">
        <v>3.0120647902567788</v>
      </c>
      <c r="M4665" s="1">
        <v>0.15065038543984779</v>
      </c>
      <c r="N4665" s="1">
        <v>1.8385606025855092</v>
      </c>
      <c r="O4665" s="1">
        <v>0.13773333333333335</v>
      </c>
      <c r="P4665" s="1">
        <v>0.10001455406392713</v>
      </c>
      <c r="Q4665" s="1">
        <v>6.048813542685517</v>
      </c>
      <c r="R4665" s="2">
        <f t="shared" si="291"/>
        <v>247.45770504706167</v>
      </c>
      <c r="S4665" s="2">
        <f t="shared" si="290"/>
        <v>2.6439748027614955</v>
      </c>
      <c r="T4665" s="2">
        <f t="shared" si="292"/>
        <v>5.1390091116154686</v>
      </c>
      <c r="U4665" s="2">
        <f t="shared" si="293"/>
        <v>255.24068896143865</v>
      </c>
    </row>
    <row r="4666" spans="1:21" x14ac:dyDescent="0.25">
      <c r="A4666">
        <v>5297637</v>
      </c>
      <c r="B4666">
        <v>29</v>
      </c>
      <c r="C4666" s="1">
        <f>7.36276740301941*(10.3/7.3)</f>
        <v>10.388562226178077</v>
      </c>
      <c r="D4666" s="1">
        <f>8.75738325701036*(10.3/7.3)</f>
        <v>12.356307883179003</v>
      </c>
      <c r="E4666" s="1">
        <f>30.833026038218*(10.3/7.3)</f>
        <v>43.50413262926655</v>
      </c>
      <c r="F4666" s="1">
        <f>71.9517783510812*(38.9/42.5)</f>
        <v>65.857039478989591</v>
      </c>
      <c r="G4666" s="1">
        <v>3.1063735344631027</v>
      </c>
      <c r="H4666" s="1">
        <v>6.5409512620093517</v>
      </c>
      <c r="I4666" s="1">
        <v>55.948498641167525</v>
      </c>
      <c r="J4666" s="1">
        <v>3.8903447854629278E-2</v>
      </c>
      <c r="K4666" s="1">
        <v>2.3932844474184667</v>
      </c>
      <c r="L4666" s="1">
        <v>2.8648140650323501</v>
      </c>
      <c r="M4666" s="1">
        <v>0.14400654356659526</v>
      </c>
      <c r="N4666" s="1">
        <v>1.7407770987877338</v>
      </c>
      <c r="O4666" s="1">
        <v>0.12868413793103448</v>
      </c>
      <c r="P4666" s="1">
        <v>9.622098800370979E-2</v>
      </c>
      <c r="Q4666" s="1">
        <v>4.9645239135255119</v>
      </c>
      <c r="R4666" s="2">
        <f t="shared" si="291"/>
        <v>202.6663895687787</v>
      </c>
      <c r="S4666" s="2">
        <f t="shared" si="290"/>
        <v>2.5284088832768057</v>
      </c>
      <c r="T4666" s="2">
        <f t="shared" si="292"/>
        <v>4.8782818453177139</v>
      </c>
      <c r="U4666" s="2">
        <f t="shared" si="293"/>
        <v>210.0730802973732</v>
      </c>
    </row>
    <row r="4667" spans="1:21" x14ac:dyDescent="0.25">
      <c r="A4667">
        <v>5297645</v>
      </c>
      <c r="B4667">
        <v>56</v>
      </c>
      <c r="C4667" s="1">
        <f>5.69038081851523*(10.3/7.3)</f>
        <v>8.0288934836584822</v>
      </c>
      <c r="D4667" s="1">
        <f>6.99613619057867*(10.3/7.3)</f>
        <v>9.8712606524603199</v>
      </c>
      <c r="E4667" s="1">
        <f>24.5938365347148*(10.3/7.3)</f>
        <v>34.700892644871523</v>
      </c>
      <c r="F4667" s="1">
        <f>57.4037426400286*(38.9/42.5)</f>
        <v>52.541307969343826</v>
      </c>
      <c r="G4667" s="1">
        <v>2.492653078530346</v>
      </c>
      <c r="H4667" s="1">
        <v>5.3537232685672231</v>
      </c>
      <c r="I4667" s="1">
        <v>44.204875488503966</v>
      </c>
      <c r="J4667" s="1">
        <v>3.4690766946112769E-2</v>
      </c>
      <c r="K4667" s="1">
        <v>2.1877407738703214</v>
      </c>
      <c r="L4667" s="1">
        <v>2.5427287664599407</v>
      </c>
      <c r="M4667" s="1">
        <v>0.13065644680929975</v>
      </c>
      <c r="N4667" s="1">
        <v>1.5973309847375889</v>
      </c>
      <c r="O4667" s="1">
        <v>0.11627619047619049</v>
      </c>
      <c r="P4667" s="1">
        <v>8.9062289980107678E-2</v>
      </c>
      <c r="Q4667" s="1">
        <v>3.9836921346375433</v>
      </c>
      <c r="R4667" s="2">
        <f t="shared" si="291"/>
        <v>161.17729872057325</v>
      </c>
      <c r="S4667" s="2">
        <f t="shared" si="290"/>
        <v>2.3114938307965418</v>
      </c>
      <c r="T4667" s="2">
        <f t="shared" si="292"/>
        <v>4.3869923884830202</v>
      </c>
      <c r="U4667" s="2">
        <f t="shared" si="293"/>
        <v>167.87578493985279</v>
      </c>
    </row>
    <row r="4668" spans="1:21" x14ac:dyDescent="0.25">
      <c r="A4668">
        <v>5297845</v>
      </c>
      <c r="B4668">
        <v>30</v>
      </c>
      <c r="C4668" s="1">
        <f>5.58537877017278*(10.3/7.3)</f>
        <v>7.8807399085999492</v>
      </c>
      <c r="D4668" s="1">
        <f>6.72597142207414*(10.3/7.3)</f>
        <v>9.4900692667621431</v>
      </c>
      <c r="E4668" s="1">
        <f>23.5750266262197*(10.3/7.3)</f>
        <v>33.263393732885312</v>
      </c>
      <c r="F4668" s="1">
        <f>59.6904869583228*(38.9/42.5)</f>
        <v>54.634351592441298</v>
      </c>
      <c r="G4668" s="1">
        <v>2.7729304563068937</v>
      </c>
      <c r="H4668" s="1">
        <v>7.7442608107448363</v>
      </c>
      <c r="I4668" s="1">
        <v>46.815051201090078</v>
      </c>
      <c r="J4668" s="1">
        <v>4.5232269171697335E-2</v>
      </c>
      <c r="K4668" s="1">
        <v>2.2215053747494973</v>
      </c>
      <c r="L4668" s="1">
        <v>2.1792956577737055</v>
      </c>
      <c r="M4668" s="1">
        <v>0.10431668264861498</v>
      </c>
      <c r="N4668" s="1">
        <v>1.7290023571690709</v>
      </c>
      <c r="O4668" s="1">
        <v>0.10039466666666667</v>
      </c>
      <c r="P4668" s="1">
        <v>7.7718625053990964E-2</v>
      </c>
      <c r="Q4668" s="1">
        <v>4.4316240169288319</v>
      </c>
      <c r="R4668" s="2">
        <f t="shared" si="291"/>
        <v>167.03242098575933</v>
      </c>
      <c r="S4668" s="2">
        <f t="shared" si="290"/>
        <v>2.3444562689751853</v>
      </c>
      <c r="T4668" s="2">
        <f t="shared" si="292"/>
        <v>4.1130093642580574</v>
      </c>
      <c r="U4668" s="2">
        <f t="shared" si="293"/>
        <v>173.48988661899259</v>
      </c>
    </row>
    <row r="4669" spans="1:21" x14ac:dyDescent="0.25">
      <c r="A4669">
        <v>5297869</v>
      </c>
      <c r="B4669">
        <v>11</v>
      </c>
      <c r="C4669" s="1">
        <f>4.02604220779836*(10.3/7.3)</f>
        <v>5.6805801014141188</v>
      </c>
      <c r="D4669" s="1">
        <f>5.55827485798316*(10.3/7.3)</f>
        <v>7.8424974023598031</v>
      </c>
      <c r="E4669" s="1">
        <f>19.2262055548204*(10.3/7.3)</f>
        <v>27.127385919815051</v>
      </c>
      <c r="F4669" s="1">
        <f>55.8006356749802*(38.9/42.5)</f>
        <v>51.073993594275976</v>
      </c>
      <c r="G4669" s="1">
        <v>2.9023281552043603</v>
      </c>
      <c r="H4669" s="1">
        <v>10.483096672943077</v>
      </c>
      <c r="I4669" s="1">
        <v>43.232408327603295</v>
      </c>
      <c r="J4669" s="1">
        <v>3.1456026689648107E-2</v>
      </c>
      <c r="K4669" s="1">
        <v>1.9317724197185768</v>
      </c>
      <c r="L4669" s="1">
        <v>1.903084376040862</v>
      </c>
      <c r="M4669" s="1">
        <v>9.0394126908942565E-2</v>
      </c>
      <c r="N4669" s="1">
        <v>1.2780585749266655</v>
      </c>
      <c r="O4669" s="1">
        <v>8.957090909090909E-2</v>
      </c>
      <c r="P4669" s="1">
        <v>6.9243585825951345E-2</v>
      </c>
      <c r="Q4669" s="1">
        <v>4.6384239923357402</v>
      </c>
      <c r="R4669" s="2">
        <f t="shared" si="291"/>
        <v>152.98071416595141</v>
      </c>
      <c r="S4669" s="2">
        <f t="shared" si="290"/>
        <v>2.0324720322341765</v>
      </c>
      <c r="T4669" s="2">
        <f t="shared" si="292"/>
        <v>3.361107986967379</v>
      </c>
      <c r="U4669" s="2">
        <f t="shared" si="293"/>
        <v>158.37429418515296</v>
      </c>
    </row>
    <row r="4670" spans="1:21" x14ac:dyDescent="0.25">
      <c r="A4670">
        <v>5309177</v>
      </c>
      <c r="B4670">
        <v>39</v>
      </c>
      <c r="C4670" s="1">
        <f>0.637420079977207*(10.3/7.3)</f>
        <v>0.89937353750208615</v>
      </c>
      <c r="D4670" s="1">
        <f>0.927737173836213*(10.3/7.3)</f>
        <v>1.3089990260976707</v>
      </c>
      <c r="E4670" s="1">
        <f>3.21695461524159*(10.3/7.3)</f>
        <v>4.5389907584915585</v>
      </c>
      <c r="F4670" s="1">
        <f>8.58342380965115*(38.9/42.5)</f>
        <v>7.8563573222454082</v>
      </c>
      <c r="G4670" s="1">
        <v>0.42484119693930794</v>
      </c>
      <c r="H4670" s="1">
        <v>1.8058790874612949</v>
      </c>
      <c r="I4670" s="1">
        <v>6.4807273388431339</v>
      </c>
      <c r="J4670" s="1">
        <v>3.4180638265839051E-2</v>
      </c>
      <c r="K4670" s="1">
        <v>2.9050365214406488</v>
      </c>
      <c r="L4670" s="1">
        <v>2.0277197673475889</v>
      </c>
      <c r="M4670" s="1">
        <v>0.85332559395412655</v>
      </c>
      <c r="N4670" s="1">
        <v>1.2055701355638619</v>
      </c>
      <c r="O4670" s="1">
        <v>0.3476950427350427</v>
      </c>
      <c r="P4670" s="1">
        <v>0.15832921415552567</v>
      </c>
      <c r="Q4670" s="1">
        <v>0.67896994944638323</v>
      </c>
      <c r="R4670" s="2">
        <f t="shared" si="291"/>
        <v>23.994138217026844</v>
      </c>
      <c r="S4670" s="2">
        <f t="shared" si="290"/>
        <v>3.0975463738620133</v>
      </c>
      <c r="T4670" s="2">
        <f t="shared" si="292"/>
        <v>4.4343105396006202</v>
      </c>
      <c r="U4670" s="2">
        <f t="shared" si="293"/>
        <v>31.525995130489477</v>
      </c>
    </row>
    <row r="4671" spans="1:21" x14ac:dyDescent="0.25">
      <c r="A4671">
        <v>5309185</v>
      </c>
      <c r="B4671">
        <v>71</v>
      </c>
      <c r="C4671" s="1">
        <f>0.60558866782371*(10.3/7.3)</f>
        <v>0.85446072309372745</v>
      </c>
      <c r="D4671" s="1">
        <f>0.882746227098065*(10.3/7.3)</f>
        <v>1.24551864919316</v>
      </c>
      <c r="E4671" s="1">
        <f>3.06026118328055*(10.3/7.3)</f>
        <v>4.3179027654506461</v>
      </c>
      <c r="F4671" s="1">
        <f>8.19116960728961*(38.9/42.5)</f>
        <v>7.4973293582015517</v>
      </c>
      <c r="G4671" s="1">
        <v>0.40638638958271917</v>
      </c>
      <c r="H4671" s="1">
        <v>1.8029633911057192</v>
      </c>
      <c r="I4671" s="1">
        <v>6.1860825840511389</v>
      </c>
      <c r="J4671" s="1">
        <v>3.5561991872081151E-2</v>
      </c>
      <c r="K4671" s="1">
        <v>2.9587272558004862</v>
      </c>
      <c r="L4671" s="1">
        <v>2.0441915350853113</v>
      </c>
      <c r="M4671" s="1">
        <v>0.93550467624050515</v>
      </c>
      <c r="N4671" s="1">
        <v>1.2591822206028978</v>
      </c>
      <c r="O4671" s="1">
        <v>0.34899079812206568</v>
      </c>
      <c r="P4671" s="1">
        <v>0.15758109343369617</v>
      </c>
      <c r="Q4671" s="1">
        <v>0.64947596508653782</v>
      </c>
      <c r="R4671" s="2">
        <f t="shared" si="291"/>
        <v>22.960119825765201</v>
      </c>
      <c r="S4671" s="2">
        <f t="shared" si="290"/>
        <v>3.1518703411062639</v>
      </c>
      <c r="T4671" s="2">
        <f t="shared" si="292"/>
        <v>4.5878692300507806</v>
      </c>
      <c r="U4671" s="2">
        <f t="shared" si="293"/>
        <v>30.699859396922246</v>
      </c>
    </row>
    <row r="4672" spans="1:21" x14ac:dyDescent="0.25">
      <c r="A4672">
        <v>5309193</v>
      </c>
      <c r="B4672">
        <v>72</v>
      </c>
      <c r="C4672" s="1">
        <f>0.748683491932052*(10.3/7.3)</f>
        <v>1.0563616393013886</v>
      </c>
      <c r="D4672" s="1">
        <f>1.10725415465828*(10.3/7.3)</f>
        <v>1.562290108627435</v>
      </c>
      <c r="E4672" s="1">
        <f>3.83149177492934*(10.3/7.3)</f>
        <v>5.4060774358592045</v>
      </c>
      <c r="F4672" s="1">
        <f>10.5077935500418*(38.9/42.5)</f>
        <v>9.6177216258029556</v>
      </c>
      <c r="G4672" s="1">
        <v>0.53081042645083043</v>
      </c>
      <c r="H4672" s="1">
        <v>2.374020036539473</v>
      </c>
      <c r="I4672" s="1">
        <v>7.945982385281563</v>
      </c>
      <c r="J4672" s="1">
        <v>4.2552851012493384E-2</v>
      </c>
      <c r="K4672" s="1">
        <v>3.3301612485797869</v>
      </c>
      <c r="L4672" s="1">
        <v>2.3310426025804665</v>
      </c>
      <c r="M4672" s="1">
        <v>1.1895662874822488</v>
      </c>
      <c r="N4672" s="1">
        <v>1.4683081828999414</v>
      </c>
      <c r="O4672" s="1">
        <v>0.3896844444444445</v>
      </c>
      <c r="P4672" s="1">
        <v>0.17113285083404947</v>
      </c>
      <c r="Q4672" s="1">
        <v>0.84832716556068932</v>
      </c>
      <c r="R4672" s="2">
        <f t="shared" si="291"/>
        <v>29.341590823423541</v>
      </c>
      <c r="S4672" s="2">
        <f t="shared" si="290"/>
        <v>3.5438469504263299</v>
      </c>
      <c r="T4672" s="2">
        <f t="shared" si="292"/>
        <v>5.3786015174071018</v>
      </c>
      <c r="U4672" s="2">
        <f t="shared" si="293"/>
        <v>38.264039291256978</v>
      </c>
    </row>
    <row r="4673" spans="1:21" x14ac:dyDescent="0.25">
      <c r="A4673">
        <v>5309201</v>
      </c>
      <c r="B4673">
        <v>71</v>
      </c>
      <c r="C4673" s="1">
        <f>0.972112495689519*(10.3/7.3)</f>
        <v>1.3716107815893215</v>
      </c>
      <c r="D4673" s="1">
        <f>1.46844021577442*(10.3/7.3)</f>
        <v>2.0719087975995296</v>
      </c>
      <c r="E4673" s="1">
        <f>5.06747351164266*(10.3/7.3)</f>
        <v>7.1499968725917009</v>
      </c>
      <c r="F4673" s="1">
        <f>14.397547597726*(38.9/42.5)</f>
        <v>13.177990624742161</v>
      </c>
      <c r="G4673" s="1">
        <v>0.74560161248366519</v>
      </c>
      <c r="H4673" s="1">
        <v>4.6421338475796468</v>
      </c>
      <c r="I4673" s="1">
        <v>10.90930499307707</v>
      </c>
      <c r="J4673" s="1">
        <v>5.6058219868709097E-2</v>
      </c>
      <c r="K4673" s="1">
        <v>3.9974448409034546</v>
      </c>
      <c r="L4673" s="1">
        <v>2.9198804946872872</v>
      </c>
      <c r="M4673" s="1">
        <v>1.5634402447965974</v>
      </c>
      <c r="N4673" s="1">
        <v>1.8073519138642322</v>
      </c>
      <c r="O4673" s="1">
        <v>0.4902820657276995</v>
      </c>
      <c r="P4673" s="1">
        <v>0.19437129540682954</v>
      </c>
      <c r="Q4673" s="1">
        <v>1.1916007505446715</v>
      </c>
      <c r="R4673" s="2">
        <f t="shared" si="291"/>
        <v>41.260148280207765</v>
      </c>
      <c r="S4673" s="2">
        <f t="shared" si="290"/>
        <v>4.2478743561789933</v>
      </c>
      <c r="T4673" s="2">
        <f t="shared" si="292"/>
        <v>6.7809547190758162</v>
      </c>
      <c r="U4673" s="2">
        <f t="shared" si="293"/>
        <v>52.288977355462571</v>
      </c>
    </row>
    <row r="4674" spans="1:21" x14ac:dyDescent="0.25">
      <c r="A4674">
        <v>5309209</v>
      </c>
      <c r="B4674">
        <v>51</v>
      </c>
      <c r="C4674" s="1">
        <f>0.986365754626871*(10.3/7.3)</f>
        <v>1.3917215441995583</v>
      </c>
      <c r="D4674" s="1">
        <f>1.52944814099826*(10.3/7.3)</f>
        <v>2.1579884729153513</v>
      </c>
      <c r="E4674" s="1">
        <f>5.25983440073913*(10.3/7.3)</f>
        <v>7.4214101818648075</v>
      </c>
      <c r="F4674" s="1">
        <f>15.6135884944514*(38.9/42.5)</f>
        <v>14.291025704333181</v>
      </c>
      <c r="G4674" s="1">
        <v>0.83210172129917226</v>
      </c>
      <c r="H4674" s="1">
        <v>8.7521973778725037</v>
      </c>
      <c r="I4674" s="1">
        <v>11.862722712754973</v>
      </c>
      <c r="J4674" s="1">
        <v>6.8852054566246032E-2</v>
      </c>
      <c r="K4674" s="1">
        <v>4.3181098870618104</v>
      </c>
      <c r="L4674" s="1">
        <v>3.2675365235892926</v>
      </c>
      <c r="M4674" s="1">
        <v>1.9301216189009913</v>
      </c>
      <c r="N4674" s="1">
        <v>2.334815375355892</v>
      </c>
      <c r="O4674" s="1">
        <v>0.53864679738562093</v>
      </c>
      <c r="P4674" s="1">
        <v>0.20116511983783636</v>
      </c>
      <c r="Q4674" s="1">
        <v>1.3298429335831536</v>
      </c>
      <c r="R4674" s="2">
        <f t="shared" si="291"/>
        <v>48.039010648822696</v>
      </c>
      <c r="S4674" s="2">
        <f t="shared" si="290"/>
        <v>4.5881270614658929</v>
      </c>
      <c r="T4674" s="2">
        <f t="shared" si="292"/>
        <v>8.0711203152317967</v>
      </c>
      <c r="U4674" s="2">
        <f t="shared" si="293"/>
        <v>60.698258025520381</v>
      </c>
    </row>
    <row r="4675" spans="1:21" x14ac:dyDescent="0.25">
      <c r="A4675">
        <v>5309601</v>
      </c>
      <c r="B4675">
        <v>61</v>
      </c>
      <c r="C4675" s="1">
        <f>3.71986918207139*(10.3/7.3)</f>
        <v>5.2485825445664771</v>
      </c>
      <c r="D4675" s="1">
        <f>15.4168914488492*(10.3/7.3)</f>
        <v>21.752600263444801</v>
      </c>
      <c r="E4675" s="1">
        <f>53.2249541817246*(10.3/7.3)</f>
        <v>75.098223023529286</v>
      </c>
      <c r="F4675" s="1">
        <f>84.7972337576719*(38.9/42.5)</f>
        <v>77.614409251139662</v>
      </c>
      <c r="G4675" s="1">
        <v>2.7218791715720969</v>
      </c>
      <c r="H4675" s="1">
        <v>5.2395133611208911</v>
      </c>
      <c r="I4675" s="1">
        <v>40.367474652588498</v>
      </c>
      <c r="J4675" s="1">
        <v>5.8643997474885794E-2</v>
      </c>
      <c r="K4675" s="1">
        <v>3.1231805231071368</v>
      </c>
      <c r="L4675" s="1">
        <v>3.9062151339578679</v>
      </c>
      <c r="M4675" s="1">
        <v>0.31749483935155237</v>
      </c>
      <c r="N4675" s="1">
        <v>3.3321494429303082</v>
      </c>
      <c r="O4675" s="1">
        <v>0.23181289617486339</v>
      </c>
      <c r="P4675" s="1">
        <v>0.15431746463918719</v>
      </c>
      <c r="Q4675" s="1">
        <v>4.3500352057088367</v>
      </c>
      <c r="R4675" s="2">
        <f t="shared" si="291"/>
        <v>232.39271747367056</v>
      </c>
      <c r="S4675" s="2">
        <f t="shared" si="290"/>
        <v>3.33614198522121</v>
      </c>
      <c r="T4675" s="2">
        <f t="shared" si="292"/>
        <v>7.7876723124145926</v>
      </c>
      <c r="U4675" s="2">
        <f t="shared" si="293"/>
        <v>243.51653177130638</v>
      </c>
    </row>
    <row r="4676" spans="1:21" x14ac:dyDescent="0.25">
      <c r="A4676">
        <v>5309609</v>
      </c>
      <c r="B4676">
        <v>67</v>
      </c>
      <c r="C4676" s="1">
        <f>4.01397293924959*(10.3/7.3)</f>
        <v>5.6635508594891526</v>
      </c>
      <c r="D4676" s="1">
        <f>10.8535334872987*(10.3/7.3)</f>
        <v>15.31388971495568</v>
      </c>
      <c r="E4676" s="1">
        <f>37.4752986431904*(10.3/7.3)</f>
        <v>52.87610630477549</v>
      </c>
      <c r="F4676" s="1">
        <f>73.5054094176127*(38.9/42.5)</f>
        <v>67.279068855179588</v>
      </c>
      <c r="G4676" s="1">
        <v>2.9744559782575251</v>
      </c>
      <c r="H4676" s="1">
        <v>5.3414581282617712</v>
      </c>
      <c r="I4676" s="1">
        <v>43.951504651562942</v>
      </c>
      <c r="J4676" s="1">
        <v>5.063649369666319E-2</v>
      </c>
      <c r="K4676" s="1">
        <v>3.0061419356077503</v>
      </c>
      <c r="L4676" s="1">
        <v>3.8971908995614717</v>
      </c>
      <c r="M4676" s="1">
        <v>0.30505350486686628</v>
      </c>
      <c r="N4676" s="1">
        <v>2.7983771822365759</v>
      </c>
      <c r="O4676" s="1">
        <v>0.2224374129353234</v>
      </c>
      <c r="P4676" s="1">
        <v>0.14886653745949716</v>
      </c>
      <c r="Q4676" s="1">
        <v>4.7536967689047254</v>
      </c>
      <c r="R4676" s="2">
        <f t="shared" si="291"/>
        <v>198.15373126138687</v>
      </c>
      <c r="S4676" s="2">
        <f t="shared" si="290"/>
        <v>3.2056449667639106</v>
      </c>
      <c r="T4676" s="2">
        <f t="shared" si="292"/>
        <v>7.2230589996002381</v>
      </c>
      <c r="U4676" s="2">
        <f t="shared" si="293"/>
        <v>208.58243522775101</v>
      </c>
    </row>
    <row r="4677" spans="1:21" x14ac:dyDescent="0.25">
      <c r="A4677">
        <v>5309617</v>
      </c>
      <c r="B4677">
        <v>67</v>
      </c>
      <c r="C4677" s="1">
        <f>5.59230825498994*(10.3/7.3)</f>
        <v>7.8905171269036201</v>
      </c>
      <c r="D4677" s="1">
        <f>11.4297732261449*(10.3/7.3)</f>
        <v>16.126940305382579</v>
      </c>
      <c r="E4677" s="1">
        <f>39.6302866533037*(10.3/7.3)</f>
        <v>55.916705825894311</v>
      </c>
      <c r="F4677" s="1">
        <f>83.1323119956668*(38.9/42.5)</f>
        <v>76.090516156033843</v>
      </c>
      <c r="G4677" s="1">
        <v>3.4985197014846201</v>
      </c>
      <c r="H4677" s="1">
        <v>6.7326110625662077</v>
      </c>
      <c r="I4677" s="1">
        <v>54.455696840282535</v>
      </c>
      <c r="J4677" s="1">
        <v>6.1327467222872648E-2</v>
      </c>
      <c r="K4677" s="1">
        <v>3.6565595604847161</v>
      </c>
      <c r="L4677" s="1">
        <v>4.9958985625850385</v>
      </c>
      <c r="M4677" s="1">
        <v>0.37390105742563584</v>
      </c>
      <c r="N4677" s="1">
        <v>3.1378641644946779</v>
      </c>
      <c r="O4677" s="1">
        <v>0.27828537313432827</v>
      </c>
      <c r="P4677" s="1">
        <v>0.17829762852349265</v>
      </c>
      <c r="Q4677" s="1">
        <v>5.5912415320530524</v>
      </c>
      <c r="R4677" s="2">
        <f t="shared" si="291"/>
        <v>226.30274855060077</v>
      </c>
      <c r="S4677" s="2">
        <f t="shared" si="290"/>
        <v>3.8961846562310813</v>
      </c>
      <c r="T4677" s="2">
        <f t="shared" si="292"/>
        <v>8.7859491576396813</v>
      </c>
      <c r="U4677" s="2">
        <f t="shared" si="293"/>
        <v>238.98488236447153</v>
      </c>
    </row>
    <row r="4678" spans="1:21" x14ac:dyDescent="0.25">
      <c r="A4678">
        <v>5309625</v>
      </c>
      <c r="B4678">
        <v>69</v>
      </c>
      <c r="C4678" s="1">
        <f>4.25194397989054*(10.3/7.3)</f>
        <v>5.9993182182017275</v>
      </c>
      <c r="D4678" s="1">
        <f>8.00826333672157*(10.3/7.3)</f>
        <v>11.299330461401661</v>
      </c>
      <c r="E4678" s="1">
        <f>27.8106806994909*(10.3/7.3)</f>
        <v>39.239727562295322</v>
      </c>
      <c r="F4678" s="1">
        <f>59.4842135537206*(38.9/42.5)</f>
        <v>54.445550758581888</v>
      </c>
      <c r="G4678" s="1">
        <v>2.5268425115293636</v>
      </c>
      <c r="H4678" s="1">
        <v>5.4828559580514193</v>
      </c>
      <c r="I4678" s="1">
        <v>40.005660079264096</v>
      </c>
      <c r="J4678" s="1">
        <v>4.7279006177059588E-2</v>
      </c>
      <c r="K4678" s="1">
        <v>3.0308764825757075</v>
      </c>
      <c r="L4678" s="1">
        <v>3.8779544798556369</v>
      </c>
      <c r="M4678" s="1">
        <v>0.29459610368808997</v>
      </c>
      <c r="N4678" s="1">
        <v>2.2936961562953111</v>
      </c>
      <c r="O4678" s="1">
        <v>0.22437874396135266</v>
      </c>
      <c r="P4678" s="1">
        <v>0.15072338271210939</v>
      </c>
      <c r="Q4678" s="1">
        <v>4.038332780983005</v>
      </c>
      <c r="R4678" s="2">
        <f t="shared" si="291"/>
        <v>163.0376183303085</v>
      </c>
      <c r="S4678" s="2">
        <f t="shared" si="290"/>
        <v>3.2288788714648762</v>
      </c>
      <c r="T4678" s="2">
        <f t="shared" si="292"/>
        <v>6.6906254838003907</v>
      </c>
      <c r="U4678" s="2">
        <f t="shared" si="293"/>
        <v>172.95712268557378</v>
      </c>
    </row>
    <row r="4679" spans="1:21" x14ac:dyDescent="0.25">
      <c r="A4679">
        <v>5309633</v>
      </c>
      <c r="B4679">
        <v>71</v>
      </c>
      <c r="C4679" s="1">
        <f>5.46630260935275*(10.3/7.3)</f>
        <v>7.7127283392237418</v>
      </c>
      <c r="D4679" s="1">
        <f>9.98296386276045*(10.3/7.3)</f>
        <v>14.085551751566111</v>
      </c>
      <c r="E4679" s="1">
        <f>34.6762451721216*(10.3/7.3)</f>
        <v>48.926756886692182</v>
      </c>
      <c r="F4679" s="1">
        <f>75.4372624788036*(38.9/42.5)</f>
        <v>69.047282598246127</v>
      </c>
      <c r="G4679" s="1">
        <v>3.2450977119268885</v>
      </c>
      <c r="H4679" s="1">
        <v>6.4211531059220182</v>
      </c>
      <c r="I4679" s="1">
        <v>51.395471743904984</v>
      </c>
      <c r="J4679" s="1">
        <v>5.5841039552459344E-2</v>
      </c>
      <c r="K4679" s="1">
        <v>3.4586644610451294</v>
      </c>
      <c r="L4679" s="1">
        <v>4.70054366148924</v>
      </c>
      <c r="M4679" s="1">
        <v>0.33780813501938506</v>
      </c>
      <c r="N4679" s="1">
        <v>2.5946587194585686</v>
      </c>
      <c r="O4679" s="1">
        <v>0.25713201877934289</v>
      </c>
      <c r="P4679" s="1">
        <v>0.16760696002441083</v>
      </c>
      <c r="Q4679" s="1">
        <v>5.1862292199744866</v>
      </c>
      <c r="R4679" s="2">
        <f t="shared" si="291"/>
        <v>206.02027135745652</v>
      </c>
      <c r="S4679" s="2">
        <f t="shared" si="290"/>
        <v>3.6821124606219997</v>
      </c>
      <c r="T4679" s="2">
        <f t="shared" si="292"/>
        <v>7.8901425347465359</v>
      </c>
      <c r="U4679" s="2">
        <f t="shared" si="293"/>
        <v>217.59252635282505</v>
      </c>
    </row>
    <row r="4680" spans="1:21" x14ac:dyDescent="0.25">
      <c r="A4680">
        <v>5309641</v>
      </c>
      <c r="B4680">
        <v>71</v>
      </c>
      <c r="C4680" s="1">
        <f>4.71781693880125*(10.3/7.3)</f>
        <v>6.6566458177606629</v>
      </c>
      <c r="D4680" s="1">
        <f>8.4345112389583*(10.3/7.3)</f>
        <v>11.900748734420622</v>
      </c>
      <c r="E4680" s="1">
        <f>29.3016442539269*(10.3/7.3)</f>
        <v>41.343415865129792</v>
      </c>
      <c r="F4680" s="1">
        <f>64.5418165005528*(38.9/42.5)</f>
        <v>59.074744985211879</v>
      </c>
      <c r="G4680" s="1">
        <v>2.8018335977488968</v>
      </c>
      <c r="H4680" s="1">
        <v>5.7783375914869062</v>
      </c>
      <c r="I4680" s="1">
        <v>44.369352505678776</v>
      </c>
      <c r="J4680" s="1">
        <v>4.9476114389765388E-2</v>
      </c>
      <c r="K4680" s="1">
        <v>3.1603446563024793</v>
      </c>
      <c r="L4680" s="1">
        <v>4.1299342640129506</v>
      </c>
      <c r="M4680" s="1">
        <v>0.29765147392789637</v>
      </c>
      <c r="N4680" s="1">
        <v>2.3022640440806357</v>
      </c>
      <c r="O4680" s="1">
        <v>0.23076882629107986</v>
      </c>
      <c r="P4680" s="1">
        <v>0.15418012693677102</v>
      </c>
      <c r="Q4680" s="1">
        <v>4.4778162521101148</v>
      </c>
      <c r="R4680" s="2">
        <f t="shared" si="291"/>
        <v>176.40289534954763</v>
      </c>
      <c r="S4680" s="2">
        <f t="shared" si="290"/>
        <v>3.3640008976290159</v>
      </c>
      <c r="T4680" s="2">
        <f t="shared" si="292"/>
        <v>6.9606186083125614</v>
      </c>
      <c r="U4680" s="2">
        <f t="shared" si="293"/>
        <v>186.7275148554892</v>
      </c>
    </row>
    <row r="4681" spans="1:21" x14ac:dyDescent="0.25">
      <c r="A4681">
        <v>5309649</v>
      </c>
      <c r="B4681">
        <v>69</v>
      </c>
      <c r="C4681" s="1">
        <f>6.0163940008856*(10.3/7.3)</f>
        <v>8.4888846861810539</v>
      </c>
      <c r="D4681" s="1">
        <f>10.6307142684665*(10.3/7.3)</f>
        <v>14.99950095413773</v>
      </c>
      <c r="E4681" s="1">
        <f>36.9361575715536*(10.3/7.3)</f>
        <v>52.115400409178363</v>
      </c>
      <c r="F4681" s="1">
        <f>81.8174314093528*(38.9/42.5)</f>
        <v>74.887013689972306</v>
      </c>
      <c r="G4681" s="1">
        <v>3.5653175908993595</v>
      </c>
      <c r="H4681" s="1">
        <v>6.69826090232411</v>
      </c>
      <c r="I4681" s="1">
        <v>56.50094288707416</v>
      </c>
      <c r="J4681" s="1">
        <v>5.7522346029811267E-2</v>
      </c>
      <c r="K4681" s="1">
        <v>3.5317324701698363</v>
      </c>
      <c r="L4681" s="1">
        <v>4.8751689114960213</v>
      </c>
      <c r="M4681" s="1">
        <v>0.33314694985721349</v>
      </c>
      <c r="N4681" s="1">
        <v>2.8654798265214496</v>
      </c>
      <c r="O4681" s="1">
        <v>0.2608432850241546</v>
      </c>
      <c r="P4681" s="1">
        <v>0.16825241669033031</v>
      </c>
      <c r="Q4681" s="1">
        <v>5.6979961498391658</v>
      </c>
      <c r="R4681" s="2">
        <f t="shared" si="291"/>
        <v>222.95331726960623</v>
      </c>
      <c r="S4681" s="2">
        <f t="shared" ref="S4681:S4744" si="294">J4681+K4681+P4681</f>
        <v>3.7575072328899779</v>
      </c>
      <c r="T4681" s="2">
        <f t="shared" si="292"/>
        <v>8.3346389728988388</v>
      </c>
      <c r="U4681" s="2">
        <f t="shared" si="293"/>
        <v>235.04546347539505</v>
      </c>
    </row>
    <row r="4682" spans="1:21" x14ac:dyDescent="0.25">
      <c r="A4682">
        <v>5309657</v>
      </c>
      <c r="B4682">
        <v>71</v>
      </c>
      <c r="C4682" s="1">
        <f>6.1979814876076*(10.3/7.3)</f>
        <v>8.745097167446346</v>
      </c>
      <c r="D4682" s="1">
        <f>10.7502353114908*(10.3/7.3)</f>
        <v>15.168140234021301</v>
      </c>
      <c r="E4682" s="1">
        <f>37.3718363775115*(10.3/7.3)</f>
        <v>52.730125299776546</v>
      </c>
      <c r="F4682" s="1">
        <f>82.8948405518914*(38.9/42.5)</f>
        <v>75.87315994043712</v>
      </c>
      <c r="G4682" s="1">
        <v>3.6084346510098517</v>
      </c>
      <c r="H4682" s="1">
        <v>6.8026222670974299</v>
      </c>
      <c r="I4682" s="1">
        <v>57.529097277693324</v>
      </c>
      <c r="J4682" s="1">
        <v>5.9150140848757658E-2</v>
      </c>
      <c r="K4682" s="1">
        <v>3.5915943338238971</v>
      </c>
      <c r="L4682" s="1">
        <v>5.0078948343454526</v>
      </c>
      <c r="M4682" s="1">
        <v>0.33471159218914165</v>
      </c>
      <c r="N4682" s="1">
        <v>2.732951633452982</v>
      </c>
      <c r="O4682" s="1">
        <v>0.26235267605633789</v>
      </c>
      <c r="P4682" s="1">
        <v>0.16933425044303849</v>
      </c>
      <c r="Q4682" s="1">
        <v>5.7669046933947454</v>
      </c>
      <c r="R4682" s="2">
        <f t="shared" ref="R4682:R4745" si="295">C4682+D4682+E4682+F4682+G4682+H4682+I4682+Q4682</f>
        <v>226.22358153087666</v>
      </c>
      <c r="S4682" s="2">
        <f t="shared" si="294"/>
        <v>3.8200787251156934</v>
      </c>
      <c r="T4682" s="2">
        <f t="shared" ref="T4682:T4745" si="296">L4682+M4682+N4682+O4682</f>
        <v>8.3379107360439146</v>
      </c>
      <c r="U4682" s="2">
        <f t="shared" ref="U4682:U4745" si="297">R4682+S4682+T4682</f>
        <v>238.38157099203627</v>
      </c>
    </row>
    <row r="4683" spans="1:21" x14ac:dyDescent="0.25">
      <c r="A4683">
        <v>5309665</v>
      </c>
      <c r="B4683">
        <v>46</v>
      </c>
      <c r="C4683" s="1">
        <f>5.33075485875073*(10.3/7.3)</f>
        <v>7.5214760335797912</v>
      </c>
      <c r="D4683" s="1">
        <f>9.11660934362007*(10.3/7.3)</f>
        <v>12.863161128669416</v>
      </c>
      <c r="E4683" s="1">
        <f>31.714038211973*(10.3/7.3)</f>
        <v>44.747204600455049</v>
      </c>
      <c r="F4683" s="1">
        <f>70.0167230193158*(38.9/42.5)</f>
        <v>64.085894716503134</v>
      </c>
      <c r="G4683" s="1">
        <v>3.029029485583449</v>
      </c>
      <c r="H4683" s="1">
        <v>8.4459105896767213</v>
      </c>
      <c r="I4683" s="1">
        <v>48.697223569886745</v>
      </c>
      <c r="J4683" s="1">
        <v>5.3977610508454989E-2</v>
      </c>
      <c r="K4683" s="1">
        <v>3.2428586756019904</v>
      </c>
      <c r="L4683" s="1">
        <v>4.3492477981227449</v>
      </c>
      <c r="M4683" s="1">
        <v>0.29355878960040643</v>
      </c>
      <c r="N4683" s="1">
        <v>2.5151799221394904</v>
      </c>
      <c r="O4683" s="1">
        <v>0.23317913043478258</v>
      </c>
      <c r="P4683" s="1">
        <v>0.15359255290328572</v>
      </c>
      <c r="Q4683" s="1">
        <v>4.8409147029872512</v>
      </c>
      <c r="R4683" s="2">
        <f t="shared" si="295"/>
        <v>194.23081482734153</v>
      </c>
      <c r="S4683" s="2">
        <f t="shared" si="294"/>
        <v>3.450428839013731</v>
      </c>
      <c r="T4683" s="2">
        <f t="shared" si="296"/>
        <v>7.3911656402974248</v>
      </c>
      <c r="U4683" s="2">
        <f t="shared" si="297"/>
        <v>205.0724093066527</v>
      </c>
    </row>
    <row r="4684" spans="1:21" x14ac:dyDescent="0.25">
      <c r="A4684">
        <v>5309673</v>
      </c>
      <c r="B4684">
        <v>72</v>
      </c>
      <c r="C4684" s="1">
        <f>5.54500193826218*(10.3/7.3)</f>
        <v>7.8237698580959565</v>
      </c>
      <c r="D4684" s="1">
        <f>9.35645025870729*(10.3/7.3)</f>
        <v>13.201566803381521</v>
      </c>
      <c r="E4684" s="1">
        <f>32.5719245559632*(10.3/7.3)</f>
        <v>45.957646976222115</v>
      </c>
      <c r="F4684" s="1">
        <f>71.4619661168474*(38.9/42.5)</f>
        <v>65.408717222243837</v>
      </c>
      <c r="G4684" s="1">
        <v>3.0677858955372526</v>
      </c>
      <c r="H4684" s="1">
        <v>6.2267190624630722</v>
      </c>
      <c r="I4684" s="1">
        <v>49.783084799607941</v>
      </c>
      <c r="J4684" s="1">
        <v>5.3512574850304286E-2</v>
      </c>
      <c r="K4684" s="1">
        <v>3.3117438388297029</v>
      </c>
      <c r="L4684" s="1">
        <v>4.4833129227198869</v>
      </c>
      <c r="M4684" s="1">
        <v>0.29435783123267839</v>
      </c>
      <c r="N4684" s="1">
        <v>2.38889545757957</v>
      </c>
      <c r="O4684" s="1">
        <v>0.23499111111111112</v>
      </c>
      <c r="P4684" s="1">
        <v>0.15566836807202999</v>
      </c>
      <c r="Q4684" s="1">
        <v>4.9028541709499507</v>
      </c>
      <c r="R4684" s="2">
        <f t="shared" si="295"/>
        <v>196.37214478850163</v>
      </c>
      <c r="S4684" s="2">
        <f t="shared" si="294"/>
        <v>3.5209247817520373</v>
      </c>
      <c r="T4684" s="2">
        <f t="shared" si="296"/>
        <v>7.4015573226432467</v>
      </c>
      <c r="U4684" s="2">
        <f t="shared" si="297"/>
        <v>207.2946268928969</v>
      </c>
    </row>
    <row r="4685" spans="1:21" x14ac:dyDescent="0.25">
      <c r="A4685">
        <v>5309681</v>
      </c>
      <c r="B4685">
        <v>71</v>
      </c>
      <c r="C4685" s="1">
        <f>6.54999290837347*(10.3/7.3)</f>
        <v>9.241770815924216</v>
      </c>
      <c r="D4685" s="1">
        <f>10.9635735067376*(10.3/7.3)</f>
        <v>15.469151660191431</v>
      </c>
      <c r="E4685" s="1">
        <f>38.18794612268*(10.3/7.3)</f>
        <v>53.881622611452592</v>
      </c>
      <c r="F4685" s="1">
        <f>83.2349332511569*(38.9/42.5)</f>
        <v>76.184444787529472</v>
      </c>
      <c r="G4685" s="1">
        <v>3.5467476158920777</v>
      </c>
      <c r="H4685" s="1">
        <v>6.8738254281502646</v>
      </c>
      <c r="I4685" s="1">
        <v>57.996858196252042</v>
      </c>
      <c r="J4685" s="1">
        <v>5.9662432998150286E-2</v>
      </c>
      <c r="K4685" s="1">
        <v>3.6029209636570871</v>
      </c>
      <c r="L4685" s="1">
        <v>5.0453028107280815</v>
      </c>
      <c r="M4685" s="1">
        <v>0.30963660774578439</v>
      </c>
      <c r="N4685" s="1">
        <v>2.6261432765015824</v>
      </c>
      <c r="O4685" s="1">
        <v>0.25370591549295768</v>
      </c>
      <c r="P4685" s="1">
        <v>0.16560077840022841</v>
      </c>
      <c r="Q4685" s="1">
        <v>5.6683181075900837</v>
      </c>
      <c r="R4685" s="2">
        <f t="shared" si="295"/>
        <v>228.86273922298221</v>
      </c>
      <c r="S4685" s="2">
        <f t="shared" si="294"/>
        <v>3.8281841750554655</v>
      </c>
      <c r="T4685" s="2">
        <f t="shared" si="296"/>
        <v>8.2347886104684065</v>
      </c>
      <c r="U4685" s="2">
        <f t="shared" si="297"/>
        <v>240.92571200850608</v>
      </c>
    </row>
    <row r="4686" spans="1:21" x14ac:dyDescent="0.25">
      <c r="A4686">
        <v>5309689</v>
      </c>
      <c r="B4686">
        <v>72</v>
      </c>
      <c r="C4686" s="1">
        <f>4.36938282046412*(10.3/7.3)</f>
        <v>6.16501959599732</v>
      </c>
      <c r="D4686" s="1">
        <f>7.4610479151675*(10.3/7.3)</f>
        <v>10.527231989893874</v>
      </c>
      <c r="E4686" s="1">
        <f>25.9963858220459*(10.3/7.3)</f>
        <v>36.679832050283956</v>
      </c>
      <c r="F4686" s="1">
        <f>55.3543005434482*(38.9/42.5)</f>
        <v>50.665465673885485</v>
      </c>
      <c r="G4686" s="1">
        <v>2.3109393030823377</v>
      </c>
      <c r="H4686" s="1">
        <v>5.3162667936907493</v>
      </c>
      <c r="I4686" s="1">
        <v>38.110823593703699</v>
      </c>
      <c r="J4686" s="1">
        <v>4.3693801356100993E-2</v>
      </c>
      <c r="K4686" s="1">
        <v>2.8222246685947625</v>
      </c>
      <c r="L4686" s="1">
        <v>3.5444833355048324</v>
      </c>
      <c r="M4686" s="1">
        <v>0.23534146369713665</v>
      </c>
      <c r="N4686" s="1">
        <v>1.9892625842717142</v>
      </c>
      <c r="O4686" s="1">
        <v>0.1940688888888889</v>
      </c>
      <c r="P4686" s="1">
        <v>0.13368118639059601</v>
      </c>
      <c r="Q4686" s="1">
        <v>3.6932819912274844</v>
      </c>
      <c r="R4686" s="2">
        <f t="shared" si="295"/>
        <v>153.46886099176487</v>
      </c>
      <c r="S4686" s="2">
        <f t="shared" si="294"/>
        <v>2.9995996563414593</v>
      </c>
      <c r="T4686" s="2">
        <f t="shared" si="296"/>
        <v>5.9631562723625731</v>
      </c>
      <c r="U4686" s="2">
        <f t="shared" si="297"/>
        <v>162.43161692046888</v>
      </c>
    </row>
    <row r="4687" spans="1:21" x14ac:dyDescent="0.25">
      <c r="A4687">
        <v>5309697</v>
      </c>
      <c r="B4687">
        <v>71</v>
      </c>
      <c r="C4687" s="1">
        <f>5.66554948812187*(10.3/7.3)</f>
        <v>7.9938574969390741</v>
      </c>
      <c r="D4687" s="1">
        <f>10.1354978852412*(10.3/7.3)</f>
        <v>14.300770988764995</v>
      </c>
      <c r="E4687" s="1">
        <f>35.2949949522909*(10.3/7.3)</f>
        <v>49.799787398437921</v>
      </c>
      <c r="F4687" s="1">
        <f>73.4444865961534*(38.9/42.5)</f>
        <v>67.223306555067495</v>
      </c>
      <c r="G4687" s="1">
        <v>3.0136277665817266</v>
      </c>
      <c r="H4687" s="1">
        <v>6.5425533127403392</v>
      </c>
      <c r="I4687" s="1">
        <v>49.5964227121259</v>
      </c>
      <c r="J4687" s="1">
        <v>5.4045267911657972E-2</v>
      </c>
      <c r="K4687" s="1">
        <v>3.2410723951576212</v>
      </c>
      <c r="L4687" s="1">
        <v>4.3750102398921209</v>
      </c>
      <c r="M4687" s="1">
        <v>0.26630719011377391</v>
      </c>
      <c r="N4687" s="1">
        <v>2.3798557032657222</v>
      </c>
      <c r="O4687" s="1">
        <v>0.22164957746478872</v>
      </c>
      <c r="P4687" s="1">
        <v>0.14838303580159135</v>
      </c>
      <c r="Q4687" s="1">
        <v>4.8163000835781054</v>
      </c>
      <c r="R4687" s="2">
        <f t="shared" si="295"/>
        <v>203.28662631423558</v>
      </c>
      <c r="S4687" s="2">
        <f t="shared" si="294"/>
        <v>3.4435006988708707</v>
      </c>
      <c r="T4687" s="2">
        <f t="shared" si="296"/>
        <v>7.242822710736406</v>
      </c>
      <c r="U4687" s="2">
        <f t="shared" si="297"/>
        <v>213.97294972384287</v>
      </c>
    </row>
    <row r="4688" spans="1:21" x14ac:dyDescent="0.25">
      <c r="A4688">
        <v>5309705</v>
      </c>
      <c r="B4688">
        <v>12</v>
      </c>
      <c r="C4688" s="1">
        <f>2.53539287791751*(10.3/7.3)</f>
        <v>3.5773351565137448</v>
      </c>
      <c r="D4688" s="1">
        <f>4.73968063753222*(10.3/7.3)</f>
        <v>6.6874945981618961</v>
      </c>
      <c r="E4688" s="1">
        <f>16.5057714342441*(10.3/7.3)</f>
        <v>23.288965174344426</v>
      </c>
      <c r="F4688" s="1">
        <f>33.1633213710823*(38.9/42.5)</f>
        <v>30.354192972590614</v>
      </c>
      <c r="G4688" s="1">
        <v>1.3182077631601319</v>
      </c>
      <c r="H4688" s="1">
        <v>6.4379682488838306</v>
      </c>
      <c r="I4688" s="1">
        <v>21.875485698687527</v>
      </c>
      <c r="J4688" s="1">
        <v>3.3821869948161429E-2</v>
      </c>
      <c r="K4688" s="1">
        <v>2.200150671932708</v>
      </c>
      <c r="L4688" s="1">
        <v>2.558639734570415</v>
      </c>
      <c r="M4688" s="1">
        <v>0.17276930237035093</v>
      </c>
      <c r="N4688" s="1">
        <v>1.5916182981634177</v>
      </c>
      <c r="O4688" s="1">
        <v>0.14240888888888889</v>
      </c>
      <c r="P4688" s="1">
        <v>0.1076422187418218</v>
      </c>
      <c r="Q4688" s="1">
        <v>2.1067247356440486</v>
      </c>
      <c r="R4688" s="2">
        <f t="shared" si="295"/>
        <v>95.646374347986225</v>
      </c>
      <c r="S4688" s="2">
        <f t="shared" si="294"/>
        <v>2.3416147606226914</v>
      </c>
      <c r="T4688" s="2">
        <f t="shared" si="296"/>
        <v>4.4654362239930734</v>
      </c>
      <c r="U4688" s="2">
        <f t="shared" si="297"/>
        <v>102.453425332602</v>
      </c>
    </row>
    <row r="4689" spans="1:21" x14ac:dyDescent="0.25">
      <c r="A4689">
        <v>5309761</v>
      </c>
      <c r="B4689">
        <v>3</v>
      </c>
      <c r="C4689" s="1">
        <f>3.52740500462849*(10.3/7.3)</f>
        <v>4.9770234996812945</v>
      </c>
      <c r="D4689" s="1">
        <f>5.41538501228479*(10.3/7.3)</f>
        <v>7.6408857022648373</v>
      </c>
      <c r="E4689" s="1">
        <f>18.8228964934213*(10.3/7.3)</f>
        <v>26.558333408525964</v>
      </c>
      <c r="F4689" s="1">
        <f>45.9812247486801*(38.9/42.5)</f>
        <v>42.086344534674268</v>
      </c>
      <c r="G4689" s="1">
        <v>2.143395272229172</v>
      </c>
      <c r="H4689" s="1">
        <v>6.7562416476829483</v>
      </c>
      <c r="I4689" s="1">
        <v>33.68350174368738</v>
      </c>
      <c r="J4689" s="1">
        <v>3.8842287193576956E-2</v>
      </c>
      <c r="K4689" s="1">
        <v>2.0640660893183842</v>
      </c>
      <c r="L4689" s="1">
        <v>2.8786629970539064</v>
      </c>
      <c r="M4689" s="1">
        <v>0.14808212057228687</v>
      </c>
      <c r="N4689" s="1">
        <v>1.6253419997502256</v>
      </c>
      <c r="O4689" s="1">
        <v>0.12279111111111111</v>
      </c>
      <c r="P4689" s="1">
        <v>9.4266123136631116E-2</v>
      </c>
      <c r="Q4689" s="1">
        <v>3.4255175583571273</v>
      </c>
      <c r="R4689" s="2">
        <f t="shared" si="295"/>
        <v>127.271243367103</v>
      </c>
      <c r="S4689" s="2">
        <f t="shared" si="294"/>
        <v>2.1971744996485922</v>
      </c>
      <c r="T4689" s="2">
        <f t="shared" si="296"/>
        <v>4.7748782284875295</v>
      </c>
      <c r="U4689" s="2">
        <f t="shared" si="297"/>
        <v>134.24329609523912</v>
      </c>
    </row>
    <row r="4690" spans="1:21" x14ac:dyDescent="0.25">
      <c r="A4690">
        <v>5309865</v>
      </c>
      <c r="B4690">
        <v>12</v>
      </c>
      <c r="C4690" s="1">
        <f>12.3467140998132*(10.3/7.3)</f>
        <v>17.420706195626902</v>
      </c>
      <c r="D4690" s="1">
        <f>14.3434647774078*(10.3/7.3)</f>
        <v>20.238039343465786</v>
      </c>
      <c r="E4690" s="1">
        <f>50.5753595170588*(10.3/7.3)</f>
        <v>71.35975383913771</v>
      </c>
      <c r="F4690" s="1">
        <f>117.112850284773*(38.9/42.5)</f>
        <v>107.19270296653323</v>
      </c>
      <c r="G4690" s="1">
        <v>4.9981560035712791</v>
      </c>
      <c r="H4690" s="1">
        <v>9.1227177369069974</v>
      </c>
      <c r="I4690" s="1">
        <v>91.605642147652233</v>
      </c>
      <c r="J4690" s="1">
        <v>5.4049222258821389E-2</v>
      </c>
      <c r="K4690" s="1">
        <v>3.1078280962807074</v>
      </c>
      <c r="L4690" s="1">
        <v>3.9859815904078322</v>
      </c>
      <c r="M4690" s="1">
        <v>0.18744282791319108</v>
      </c>
      <c r="N4690" s="1">
        <v>2.2920922563407382</v>
      </c>
      <c r="O4690" s="1">
        <v>0.16909777777777779</v>
      </c>
      <c r="P4690" s="1">
        <v>0.12054320743513447</v>
      </c>
      <c r="Q4690" s="1">
        <v>7.9879205536527378</v>
      </c>
      <c r="R4690" s="2">
        <f t="shared" si="295"/>
        <v>329.92563878654687</v>
      </c>
      <c r="S4690" s="2">
        <f t="shared" si="294"/>
        <v>3.2824205259746635</v>
      </c>
      <c r="T4690" s="2">
        <f t="shared" si="296"/>
        <v>6.6346144524395392</v>
      </c>
      <c r="U4690" s="2">
        <f t="shared" si="297"/>
        <v>339.84267376496109</v>
      </c>
    </row>
    <row r="4691" spans="1:21" x14ac:dyDescent="0.25">
      <c r="A4691">
        <v>5309873</v>
      </c>
      <c r="B4691">
        <v>69</v>
      </c>
      <c r="C4691" s="1">
        <f>4.65447268790227*(10.3/7.3)</f>
        <v>6.5672696829306041</v>
      </c>
      <c r="D4691" s="1">
        <f>5.64222109158704*(10.3/7.3)</f>
        <v>7.9609420881296575</v>
      </c>
      <c r="E4691" s="1">
        <f>19.8547694888291*(10.3/7.3)</f>
        <v>28.014263799306882</v>
      </c>
      <c r="F4691" s="1">
        <f>45.9626042390861*(38.9/42.5)</f>
        <v>42.069301291775297</v>
      </c>
      <c r="G4691" s="1">
        <v>1.9756886143820349</v>
      </c>
      <c r="H4691" s="1">
        <v>4.574247535400394</v>
      </c>
      <c r="I4691" s="1">
        <v>35.494101139649047</v>
      </c>
      <c r="J4691" s="1">
        <v>3.0777248260943992E-2</v>
      </c>
      <c r="K4691" s="1">
        <v>1.9907531245623236</v>
      </c>
      <c r="L4691" s="1">
        <v>2.2615645090887408</v>
      </c>
      <c r="M4691" s="1">
        <v>0.12080622350575218</v>
      </c>
      <c r="N4691" s="1">
        <v>1.4320572703372239</v>
      </c>
      <c r="O4691" s="1">
        <v>0.10500946859903382</v>
      </c>
      <c r="P4691" s="1">
        <v>8.266755593417871E-2</v>
      </c>
      <c r="Q4691" s="1">
        <v>3.1574932193320215</v>
      </c>
      <c r="R4691" s="2">
        <f t="shared" si="295"/>
        <v>129.81330737090593</v>
      </c>
      <c r="S4691" s="2">
        <f t="shared" si="294"/>
        <v>2.1041979287574462</v>
      </c>
      <c r="T4691" s="2">
        <f t="shared" si="296"/>
        <v>3.9194374715307503</v>
      </c>
      <c r="U4691" s="2">
        <f t="shared" si="297"/>
        <v>135.83694277119415</v>
      </c>
    </row>
    <row r="4692" spans="1:21" x14ac:dyDescent="0.25">
      <c r="A4692">
        <v>5309881</v>
      </c>
      <c r="B4692">
        <v>29</v>
      </c>
      <c r="C4692" s="1">
        <f>6.47237920190067*(10.3/7.3)</f>
        <v>9.132261065695463</v>
      </c>
      <c r="D4692" s="1">
        <f>7.92873224199494*(10.3/7.3)</f>
        <v>11.18711535514355</v>
      </c>
      <c r="E4692" s="1">
        <f>27.8951348295346*(10.3/7.3)</f>
        <v>39.358888869069311</v>
      </c>
      <c r="F4692" s="1">
        <f>64.1817950514206*(38.9/42.5)</f>
        <v>58.745219470594364</v>
      </c>
      <c r="G4692" s="1">
        <v>2.7476384488252479</v>
      </c>
      <c r="H4692" s="1">
        <v>5.7575892399627913</v>
      </c>
      <c r="I4692" s="1">
        <v>49.36026499938982</v>
      </c>
      <c r="J4692" s="1">
        <v>3.7489729416620883E-2</v>
      </c>
      <c r="K4692" s="1">
        <v>2.3131113544620709</v>
      </c>
      <c r="L4692" s="1">
        <v>2.7178993062813812</v>
      </c>
      <c r="M4692" s="1">
        <v>0.13854222891075776</v>
      </c>
      <c r="N4692" s="1">
        <v>1.6989509505631935</v>
      </c>
      <c r="O4692" s="1">
        <v>0.123383908045977</v>
      </c>
      <c r="P4692" s="1">
        <v>9.3362690781805646E-2</v>
      </c>
      <c r="Q4692" s="1">
        <v>4.3912030004056524</v>
      </c>
      <c r="R4692" s="2">
        <f t="shared" si="295"/>
        <v>180.68018044908621</v>
      </c>
      <c r="S4692" s="2">
        <f t="shared" si="294"/>
        <v>2.4439637746604972</v>
      </c>
      <c r="T4692" s="2">
        <f t="shared" si="296"/>
        <v>4.6787763938013089</v>
      </c>
      <c r="U4692" s="2">
        <f t="shared" si="297"/>
        <v>187.80292061754801</v>
      </c>
    </row>
    <row r="4693" spans="1:21" x14ac:dyDescent="0.25">
      <c r="A4693">
        <v>5309889</v>
      </c>
      <c r="B4693">
        <v>16</v>
      </c>
      <c r="C4693" s="1">
        <f>7.54837653529605*(10.3/7.3)</f>
        <v>10.65044908404785</v>
      </c>
      <c r="D4693" s="1">
        <f>9.40246841852416*(10.3/7.3)</f>
        <v>13.266496535725876</v>
      </c>
      <c r="E4693" s="1">
        <f>33.0753357806241*(10.3/7.3)</f>
        <v>46.667939526086123</v>
      </c>
      <c r="F4693" s="1">
        <f>75.0631270868531*(38.9/42.5)</f>
        <v>68.704838674790253</v>
      </c>
      <c r="G4693" s="1">
        <v>3.1799538151522819</v>
      </c>
      <c r="H4693" s="1">
        <v>6.2781317399002798</v>
      </c>
      <c r="I4693" s="1">
        <v>57.309260878184034</v>
      </c>
      <c r="J4693" s="1">
        <v>4.2478712813513092E-2</v>
      </c>
      <c r="K4693" s="1">
        <v>2.5080681808821255</v>
      </c>
      <c r="L4693" s="1">
        <v>2.9825194170355198</v>
      </c>
      <c r="M4693" s="1">
        <v>0.14688685624694642</v>
      </c>
      <c r="N4693" s="1">
        <v>1.8481346148649678</v>
      </c>
      <c r="O4693" s="1">
        <v>0.13322666666666666</v>
      </c>
      <c r="P4693" s="1">
        <v>9.9048820400353316E-2</v>
      </c>
      <c r="Q4693" s="1">
        <v>5.0821179694214607</v>
      </c>
      <c r="R4693" s="2">
        <f t="shared" si="295"/>
        <v>211.1391882233082</v>
      </c>
      <c r="S4693" s="2">
        <f t="shared" si="294"/>
        <v>2.6495957140959918</v>
      </c>
      <c r="T4693" s="2">
        <f t="shared" si="296"/>
        <v>5.1107675548141005</v>
      </c>
      <c r="U4693" s="2">
        <f t="shared" si="297"/>
        <v>218.89955149221828</v>
      </c>
    </row>
    <row r="4694" spans="1:21" x14ac:dyDescent="0.25">
      <c r="A4694">
        <v>5309897</v>
      </c>
      <c r="B4694">
        <v>24</v>
      </c>
      <c r="C4694" s="1">
        <f>5.34325054264479*(10.3/7.3)</f>
        <v>7.539106930033058</v>
      </c>
      <c r="D4694" s="1">
        <f>6.91839278774443*(10.3/7.3)</f>
        <v>9.761567905995566</v>
      </c>
      <c r="E4694" s="1">
        <f>24.2943425799019*(10.3/7.3)</f>
        <v>34.278318982601363</v>
      </c>
      <c r="F4694" s="1">
        <f>55.1788670273698*(38.9/42.5)</f>
        <v>50.504892408580872</v>
      </c>
      <c r="G4694" s="1">
        <v>2.354721599857807</v>
      </c>
      <c r="H4694" s="1">
        <v>5.6450839902219991</v>
      </c>
      <c r="I4694" s="1">
        <v>41.656587838247589</v>
      </c>
      <c r="J4694" s="1">
        <v>3.5668370783177611E-2</v>
      </c>
      <c r="K4694" s="1">
        <v>2.1574211386744406</v>
      </c>
      <c r="L4694" s="1">
        <v>2.4475922878666387</v>
      </c>
      <c r="M4694" s="1">
        <v>0.12505605616807111</v>
      </c>
      <c r="N4694" s="1">
        <v>1.6078467550301176</v>
      </c>
      <c r="O4694" s="1">
        <v>0.11255777777777776</v>
      </c>
      <c r="P4694" s="1">
        <v>8.6256739185880227E-2</v>
      </c>
      <c r="Q4694" s="1">
        <v>3.7632536984028921</v>
      </c>
      <c r="R4694" s="2">
        <f t="shared" si="295"/>
        <v>155.50353335394115</v>
      </c>
      <c r="S4694" s="2">
        <f t="shared" si="294"/>
        <v>2.2793462486434986</v>
      </c>
      <c r="T4694" s="2">
        <f t="shared" si="296"/>
        <v>4.2930528768426051</v>
      </c>
      <c r="U4694" s="2">
        <f t="shared" si="297"/>
        <v>162.07593247942725</v>
      </c>
    </row>
    <row r="4695" spans="1:21" x14ac:dyDescent="0.25">
      <c r="A4695">
        <v>5310073</v>
      </c>
      <c r="B4695">
        <v>3</v>
      </c>
      <c r="C4695" s="1">
        <f>4.80472682891735*(10.3/7.3)</f>
        <v>6.7792721010751649</v>
      </c>
      <c r="D4695" s="1">
        <f>5.94370501855585*(10.3/7.3)</f>
        <v>8.3863235193322332</v>
      </c>
      <c r="E4695" s="1">
        <f>20.7954696424117*(10.3/7.3)</f>
        <v>29.341553057101432</v>
      </c>
      <c r="F4695" s="1">
        <f>53.2547007901654*(38.9/42.5)</f>
        <v>48.743714370292565</v>
      </c>
      <c r="G4695" s="1">
        <v>2.5060521729534138</v>
      </c>
      <c r="H4695" s="1">
        <v>7.4605300130115166</v>
      </c>
      <c r="I4695" s="1">
        <v>41.539052789224819</v>
      </c>
      <c r="J4695" s="1">
        <v>4.1784241798581694E-2</v>
      </c>
      <c r="K4695" s="1">
        <v>2.0706874390044852</v>
      </c>
      <c r="L4695" s="1">
        <v>2.0121693548750121</v>
      </c>
      <c r="M4695" s="1">
        <v>9.8347110517100544E-2</v>
      </c>
      <c r="N4695" s="1">
        <v>1.924157161778985</v>
      </c>
      <c r="O4695" s="1">
        <v>9.409777777777778E-2</v>
      </c>
      <c r="P4695" s="1">
        <v>7.3370574523305199E-2</v>
      </c>
      <c r="Q4695" s="1">
        <v>4.0051062124826293</v>
      </c>
      <c r="R4695" s="2">
        <f t="shared" si="295"/>
        <v>148.76160423547378</v>
      </c>
      <c r="S4695" s="2">
        <f t="shared" si="294"/>
        <v>2.1858422553263721</v>
      </c>
      <c r="T4695" s="2">
        <f t="shared" si="296"/>
        <v>4.1287714049488757</v>
      </c>
      <c r="U4695" s="2">
        <f t="shared" si="297"/>
        <v>155.07621789574904</v>
      </c>
    </row>
    <row r="4696" spans="1:21" x14ac:dyDescent="0.25">
      <c r="A4696">
        <v>5310081</v>
      </c>
      <c r="B4696">
        <v>35</v>
      </c>
      <c r="C4696" s="1">
        <f>6.31656666228355*(10.3/7.3)</f>
        <v>8.912415975550763</v>
      </c>
      <c r="D4696" s="1">
        <f>7.50822977200097*(10.3/7.3)</f>
        <v>10.593803650905475</v>
      </c>
      <c r="E4696" s="1">
        <f>26.3431646341412*(10.3/7.3)</f>
        <v>37.169122702966334</v>
      </c>
      <c r="F4696" s="1">
        <f>66.1806371511207*(38.9/42.5)</f>
        <v>60.574747886555173</v>
      </c>
      <c r="G4696" s="1">
        <v>3.0490463231558582</v>
      </c>
      <c r="H4696" s="1">
        <v>10.150294136567966</v>
      </c>
      <c r="I4696" s="1">
        <v>52.031299610241184</v>
      </c>
      <c r="J4696" s="1">
        <v>4.56736027739124E-2</v>
      </c>
      <c r="K4696" s="1">
        <v>2.3928420406928868</v>
      </c>
      <c r="L4696" s="1">
        <v>2.3841811698781008</v>
      </c>
      <c r="M4696" s="1">
        <v>0.10891633169447228</v>
      </c>
      <c r="N4696" s="1">
        <v>1.7494331984479126</v>
      </c>
      <c r="O4696" s="1">
        <v>0.10894933333333333</v>
      </c>
      <c r="P4696" s="1">
        <v>8.3544125743829925E-2</v>
      </c>
      <c r="Q4696" s="1">
        <v>4.8729050826691847</v>
      </c>
      <c r="R4696" s="2">
        <f t="shared" si="295"/>
        <v>187.35363536861192</v>
      </c>
      <c r="S4696" s="2">
        <f t="shared" si="294"/>
        <v>2.522059769210629</v>
      </c>
      <c r="T4696" s="2">
        <f t="shared" si="296"/>
        <v>4.3514800333538188</v>
      </c>
      <c r="U4696" s="2">
        <f t="shared" si="297"/>
        <v>194.22717517117638</v>
      </c>
    </row>
    <row r="4697" spans="1:21" x14ac:dyDescent="0.25">
      <c r="A4697">
        <v>5310105</v>
      </c>
      <c r="B4697">
        <v>23</v>
      </c>
      <c r="C4697" s="1">
        <f>4.14412234715829*(10.3/7.3)</f>
        <v>5.847186325442518</v>
      </c>
      <c r="D4697" s="1">
        <f>5.50669036688807*(10.3/7.3)</f>
        <v>7.7697138053352273</v>
      </c>
      <c r="E4697" s="1">
        <f>19.1445929191626*(10.3/7.3)</f>
        <v>27.012233844845813</v>
      </c>
      <c r="F4697" s="1">
        <f>52.1539885843105*(38.9/42.5)</f>
        <v>47.736238963051278</v>
      </c>
      <c r="G4697" s="1">
        <v>2.5921058256679301</v>
      </c>
      <c r="H4697" s="1">
        <v>8.0986103063938017</v>
      </c>
      <c r="I4697" s="1">
        <v>40.349253256451263</v>
      </c>
      <c r="J4697" s="1">
        <v>3.2298529051466719E-2</v>
      </c>
      <c r="K4697" s="1">
        <v>2.0025551764853864</v>
      </c>
      <c r="L4697" s="1">
        <v>1.9853611114367495</v>
      </c>
      <c r="M4697" s="1">
        <v>9.3664933357857499E-2</v>
      </c>
      <c r="N4697" s="1">
        <v>1.3147469128853515</v>
      </c>
      <c r="O4697" s="1">
        <v>9.277217391304346E-2</v>
      </c>
      <c r="P4697" s="1">
        <v>7.1613185792374467E-2</v>
      </c>
      <c r="Q4697" s="1">
        <v>4.1426348812044589</v>
      </c>
      <c r="R4697" s="2">
        <f t="shared" si="295"/>
        <v>143.5479772083923</v>
      </c>
      <c r="S4697" s="2">
        <f t="shared" si="294"/>
        <v>2.1064668913292275</v>
      </c>
      <c r="T4697" s="2">
        <f t="shared" si="296"/>
        <v>3.4865451315930023</v>
      </c>
      <c r="U4697" s="2">
        <f t="shared" si="297"/>
        <v>149.14098923131453</v>
      </c>
    </row>
    <row r="4698" spans="1:21" x14ac:dyDescent="0.25">
      <c r="A4698">
        <v>5321413</v>
      </c>
      <c r="B4698">
        <v>55</v>
      </c>
      <c r="C4698" s="1">
        <f>0.682013164893276*(10.3/7.3)</f>
        <v>0.96229254772612938</v>
      </c>
      <c r="D4698" s="1">
        <f>0.999514941687911*(10.3/7.3)</f>
        <v>1.4102745067651346</v>
      </c>
      <c r="E4698" s="1">
        <f>3.46388990767923*(10.3/7.3)</f>
        <v>4.8874063080953549</v>
      </c>
      <c r="F4698" s="1">
        <f>9.29479853419652*(38.9/42.5)</f>
        <v>8.5074744230645756</v>
      </c>
      <c r="G4698" s="1">
        <v>0.46221099947496525</v>
      </c>
      <c r="H4698" s="1">
        <v>1.9455703981702943</v>
      </c>
      <c r="I4698" s="1">
        <v>7.0144194928879786</v>
      </c>
      <c r="J4698" s="1">
        <v>3.5519627204197303E-2</v>
      </c>
      <c r="K4698" s="1">
        <v>3.0421033160810746</v>
      </c>
      <c r="L4698" s="1">
        <v>2.0653381866428369</v>
      </c>
      <c r="M4698" s="1">
        <v>0.8953831752496515</v>
      </c>
      <c r="N4698" s="1">
        <v>1.245485639843263</v>
      </c>
      <c r="O4698" s="1">
        <v>0.35638593939393937</v>
      </c>
      <c r="P4698" s="1">
        <v>0.15939744350747065</v>
      </c>
      <c r="Q4698" s="1">
        <v>0.73869337815633762</v>
      </c>
      <c r="R4698" s="2">
        <f t="shared" si="295"/>
        <v>25.928342054340767</v>
      </c>
      <c r="S4698" s="2">
        <f t="shared" si="294"/>
        <v>3.2370203867927425</v>
      </c>
      <c r="T4698" s="2">
        <f t="shared" si="296"/>
        <v>4.5625929411296902</v>
      </c>
      <c r="U4698" s="2">
        <f t="shared" si="297"/>
        <v>33.727955382263204</v>
      </c>
    </row>
    <row r="4699" spans="1:21" x14ac:dyDescent="0.25">
      <c r="A4699">
        <v>5321421</v>
      </c>
      <c r="B4699">
        <v>55</v>
      </c>
      <c r="C4699" s="1">
        <f>0.699117987576442*(10.3/7.3)</f>
        <v>0.98642674959415833</v>
      </c>
      <c r="D4699" s="1">
        <f>1.0297336285026*(10.3/7.3)</f>
        <v>1.4529118319968142</v>
      </c>
      <c r="E4699" s="1">
        <f>3.56594334744735*(10.3/7.3)</f>
        <v>5.0313995176311934</v>
      </c>
      <c r="F4699" s="1">
        <f>9.6699386620113*(38.9/42.5)</f>
        <v>8.8508379753468098</v>
      </c>
      <c r="G4699" s="1">
        <v>0.48460052744490673</v>
      </c>
      <c r="H4699" s="1">
        <v>2.1245547152766879</v>
      </c>
      <c r="I4699" s="1">
        <v>7.3037123189784463</v>
      </c>
      <c r="J4699" s="1">
        <v>3.9795387906607423E-2</v>
      </c>
      <c r="K4699" s="1">
        <v>3.2379863742725821</v>
      </c>
      <c r="L4699" s="1">
        <v>2.214295053212326</v>
      </c>
      <c r="M4699" s="1">
        <v>1.0801222286813159</v>
      </c>
      <c r="N4699" s="1">
        <v>1.3829350169554095</v>
      </c>
      <c r="O4699" s="1">
        <v>0.37945793939393935</v>
      </c>
      <c r="P4699" s="1">
        <v>0.16667259457585379</v>
      </c>
      <c r="Q4699" s="1">
        <v>0.77447572879323057</v>
      </c>
      <c r="R4699" s="2">
        <f t="shared" si="295"/>
        <v>27.008919365062244</v>
      </c>
      <c r="S4699" s="2">
        <f t="shared" si="294"/>
        <v>3.4444543567550432</v>
      </c>
      <c r="T4699" s="2">
        <f t="shared" si="296"/>
        <v>5.0568102382429903</v>
      </c>
      <c r="U4699" s="2">
        <f t="shared" si="297"/>
        <v>35.510183960060274</v>
      </c>
    </row>
    <row r="4700" spans="1:21" x14ac:dyDescent="0.25">
      <c r="A4700">
        <v>5321429</v>
      </c>
      <c r="B4700">
        <v>55</v>
      </c>
      <c r="C4700" s="1">
        <f>0.833581301539623*(10.3/7.3)</f>
        <v>1.1761489597065908</v>
      </c>
      <c r="D4700" s="1">
        <f>1.24472270239122*(10.3/7.3)</f>
        <v>1.7562525800862454</v>
      </c>
      <c r="E4700" s="1">
        <f>4.30253376451386*(10.3/7.3)</f>
        <v>6.0706983252729829</v>
      </c>
      <c r="F4700" s="1">
        <f>11.9566169142123*(38.9/42.5)</f>
        <v>10.94382112853784</v>
      </c>
      <c r="G4700" s="1">
        <v>0.60985469080101573</v>
      </c>
      <c r="H4700" s="1">
        <v>2.7043268519924744</v>
      </c>
      <c r="I4700" s="1">
        <v>9.0449764041228455</v>
      </c>
      <c r="J4700" s="1">
        <v>4.8647791032394049E-2</v>
      </c>
      <c r="K4700" s="1">
        <v>3.6712749225690984</v>
      </c>
      <c r="L4700" s="1">
        <v>2.5829939092513019</v>
      </c>
      <c r="M4700" s="1">
        <v>1.374317665085163</v>
      </c>
      <c r="N4700" s="1">
        <v>1.6228009795382683</v>
      </c>
      <c r="O4700" s="1">
        <v>0.43878884848484839</v>
      </c>
      <c r="P4700" s="1">
        <v>0.18140847371382446</v>
      </c>
      <c r="Q4700" s="1">
        <v>0.9746536154354144</v>
      </c>
      <c r="R4700" s="2">
        <f t="shared" si="295"/>
        <v>33.28073255595541</v>
      </c>
      <c r="S4700" s="2">
        <f t="shared" si="294"/>
        <v>3.9013311873153169</v>
      </c>
      <c r="T4700" s="2">
        <f t="shared" si="296"/>
        <v>6.0189014023595817</v>
      </c>
      <c r="U4700" s="2">
        <f t="shared" si="297"/>
        <v>43.200965145630306</v>
      </c>
    </row>
    <row r="4701" spans="1:21" x14ac:dyDescent="0.25">
      <c r="A4701">
        <v>5321437</v>
      </c>
      <c r="B4701">
        <v>46</v>
      </c>
      <c r="C4701" s="1">
        <f>0.943960240545788*(10.3/7.3)</f>
        <v>1.3318891065235092</v>
      </c>
      <c r="D4701" s="1">
        <f>1.47417851610066*(10.3/7.3)</f>
        <v>2.0800053035392883</v>
      </c>
      <c r="E4701" s="1">
        <f>5.06606014513498*(10.3/7.3)</f>
        <v>7.1480026705329198</v>
      </c>
      <c r="F4701" s="1">
        <f>15.1606568380433*(38.9/42.5)</f>
        <v>13.876460023526693</v>
      </c>
      <c r="G4701" s="1">
        <v>0.81222270369305016</v>
      </c>
      <c r="H4701" s="1">
        <v>7.0031028253511858</v>
      </c>
      <c r="I4701" s="1">
        <v>11.519615905418833</v>
      </c>
      <c r="J4701" s="1">
        <v>6.3284985706353547E-2</v>
      </c>
      <c r="K4701" s="1">
        <v>4.2830823432469849</v>
      </c>
      <c r="L4701" s="1">
        <v>3.1771505972786622</v>
      </c>
      <c r="M4701" s="1">
        <v>1.767139747400678</v>
      </c>
      <c r="N4701" s="1">
        <v>2.0032165435404834</v>
      </c>
      <c r="O4701" s="1">
        <v>0.53532985507246378</v>
      </c>
      <c r="P4701" s="1">
        <v>0.19986849718830038</v>
      </c>
      <c r="Q4701" s="1">
        <v>1.2980728141213145</v>
      </c>
      <c r="R4701" s="2">
        <f t="shared" si="295"/>
        <v>45.069371352706789</v>
      </c>
      <c r="S4701" s="2">
        <f t="shared" si="294"/>
        <v>4.5462358261416389</v>
      </c>
      <c r="T4701" s="2">
        <f t="shared" si="296"/>
        <v>7.4828367432922871</v>
      </c>
      <c r="U4701" s="2">
        <f t="shared" si="297"/>
        <v>57.098443922140717</v>
      </c>
    </row>
    <row r="4702" spans="1:21" x14ac:dyDescent="0.25">
      <c r="A4702">
        <v>5321445</v>
      </c>
      <c r="B4702">
        <v>9</v>
      </c>
      <c r="C4702" s="1">
        <f>0.901422867995003*(10.3/7.3)</f>
        <v>1.2718706219655522</v>
      </c>
      <c r="D4702" s="1">
        <f>1.42064029846215*(10.3/7.3)</f>
        <v>2.0044650786520681</v>
      </c>
      <c r="E4702" s="1">
        <f>4.87799024027497*(10.3/7.3)</f>
        <v>6.8826437636756461</v>
      </c>
      <c r="F4702" s="1">
        <f>14.7249563602438*(38.9/42.5)</f>
        <v>13.477665939140779</v>
      </c>
      <c r="G4702" s="1">
        <v>0.79336263738977097</v>
      </c>
      <c r="H4702" s="1">
        <v>4.259656960603289</v>
      </c>
      <c r="I4702" s="1">
        <v>11.186790245778516</v>
      </c>
      <c r="J4702" s="1">
        <v>6.8878512189673391E-2</v>
      </c>
      <c r="K4702" s="1">
        <v>4.180991108667147</v>
      </c>
      <c r="L4702" s="1">
        <v>2.9975570179108662</v>
      </c>
      <c r="M4702" s="1">
        <v>1.9047548719420755</v>
      </c>
      <c r="N4702" s="1">
        <v>2.1798441846107237</v>
      </c>
      <c r="O4702" s="1">
        <v>0.50392888888888898</v>
      </c>
      <c r="P4702" s="1">
        <v>0.19255772186449088</v>
      </c>
      <c r="Q4702" s="1">
        <v>1.2679311556457542</v>
      </c>
      <c r="R4702" s="2">
        <f t="shared" si="295"/>
        <v>41.144386402851374</v>
      </c>
      <c r="S4702" s="2">
        <f t="shared" si="294"/>
        <v>4.4424273427213112</v>
      </c>
      <c r="T4702" s="2">
        <f t="shared" si="296"/>
        <v>7.5860849633525538</v>
      </c>
      <c r="U4702" s="2">
        <f t="shared" si="297"/>
        <v>53.172898708925239</v>
      </c>
    </row>
    <row r="4703" spans="1:21" x14ac:dyDescent="0.25">
      <c r="A4703">
        <v>5321829</v>
      </c>
      <c r="B4703">
        <v>2</v>
      </c>
      <c r="C4703" s="1">
        <f>3.57407152798755*(10.3/7.3)</f>
        <v>5.0428680463386018</v>
      </c>
      <c r="D4703" s="1">
        <f>15.9140716295081*(10.3/7.3)</f>
        <v>22.454101066292182</v>
      </c>
      <c r="E4703" s="1">
        <f>54.9525367631846*(10.3/7.3)</f>
        <v>77.535771049424909</v>
      </c>
      <c r="F4703" s="1">
        <f>84.3180650517776*(38.9/42.5)</f>
        <v>77.175828953274078</v>
      </c>
      <c r="G4703" s="1">
        <v>2.5579113944573733</v>
      </c>
      <c r="H4703" s="1">
        <v>5.4652329271363067</v>
      </c>
      <c r="I4703" s="1">
        <v>38.183800689920872</v>
      </c>
      <c r="J4703" s="1">
        <v>6.0516571985448388E-2</v>
      </c>
      <c r="K4703" s="1">
        <v>2.8805826139007205</v>
      </c>
      <c r="L4703" s="1">
        <v>3.3389869922358439</v>
      </c>
      <c r="M4703" s="1">
        <v>0.28472274327034147</v>
      </c>
      <c r="N4703" s="1">
        <v>4.5621992032246235</v>
      </c>
      <c r="O4703" s="1">
        <v>0.21367999999999998</v>
      </c>
      <c r="P4703" s="1">
        <v>0.14385702305702258</v>
      </c>
      <c r="Q4703" s="1">
        <v>4.0879862468496881</v>
      </c>
      <c r="R4703" s="2">
        <f t="shared" si="295"/>
        <v>232.50350037369398</v>
      </c>
      <c r="S4703" s="2">
        <f t="shared" si="294"/>
        <v>3.0849562089431917</v>
      </c>
      <c r="T4703" s="2">
        <f t="shared" si="296"/>
        <v>8.3995889387308083</v>
      </c>
      <c r="U4703" s="2">
        <f t="shared" si="297"/>
        <v>243.98804552136798</v>
      </c>
    </row>
    <row r="4704" spans="1:21" x14ac:dyDescent="0.25">
      <c r="A4704">
        <v>5321837</v>
      </c>
      <c r="B4704">
        <v>34</v>
      </c>
      <c r="C4704" s="1">
        <f>4.07813323837591*(10.3/7.3)</f>
        <v>5.754078404831759</v>
      </c>
      <c r="D4704" s="1">
        <f>17.1600369979248*(10.3/7.3)</f>
        <v>24.212106997072041</v>
      </c>
      <c r="E4704" s="1">
        <f>59.0521758929476*(10.3/7.3)</f>
        <v>83.320193383200078</v>
      </c>
      <c r="F4704" s="1">
        <f>103.005185064873*(38.9/42.5)</f>
        <v>94.280039977025311</v>
      </c>
      <c r="G4704" s="1">
        <v>3.7763716793393511</v>
      </c>
      <c r="H4704" s="1">
        <v>5.6378306697102838</v>
      </c>
      <c r="I4704" s="1">
        <v>52.574934495899129</v>
      </c>
      <c r="J4704" s="1">
        <v>5.4898570210891263E-2</v>
      </c>
      <c r="K4704" s="1">
        <v>3.1325451430778188</v>
      </c>
      <c r="L4704" s="1">
        <v>3.9833729705876046</v>
      </c>
      <c r="M4704" s="1">
        <v>0.31695980986836053</v>
      </c>
      <c r="N4704" s="1">
        <v>3.5503044355049549</v>
      </c>
      <c r="O4704" s="1">
        <v>0.23281098039215684</v>
      </c>
      <c r="P4704" s="1">
        <v>0.15440429397056329</v>
      </c>
      <c r="Q4704" s="1">
        <v>6.0352972044236255</v>
      </c>
      <c r="R4704" s="2">
        <f t="shared" si="295"/>
        <v>275.59085281150158</v>
      </c>
      <c r="S4704" s="2">
        <f t="shared" si="294"/>
        <v>3.3418480072592733</v>
      </c>
      <c r="T4704" s="2">
        <f t="shared" si="296"/>
        <v>8.0834481963530767</v>
      </c>
      <c r="U4704" s="2">
        <f t="shared" si="297"/>
        <v>287.01614901511391</v>
      </c>
    </row>
    <row r="4705" spans="1:21" x14ac:dyDescent="0.25">
      <c r="A4705">
        <v>5321845</v>
      </c>
      <c r="B4705">
        <v>39</v>
      </c>
      <c r="C4705" s="1">
        <f>5.22339279348781*(10.3/7.3)</f>
        <v>7.3699925716334906</v>
      </c>
      <c r="D4705" s="1">
        <f>12.084626309918*(10.3/7.3)</f>
        <v>17.050911094815742</v>
      </c>
      <c r="E4705" s="1">
        <f>41.7945344004865*(10.3/7.3)</f>
        <v>58.970370455481024</v>
      </c>
      <c r="F4705" s="1">
        <f>86.1118236733134*(38.9/42.5)</f>
        <v>78.817645668044491</v>
      </c>
      <c r="G4705" s="1">
        <v>3.6092367475355229</v>
      </c>
      <c r="H4705" s="1">
        <v>6.5407433610188805</v>
      </c>
      <c r="I4705" s="1">
        <v>54.449184503925387</v>
      </c>
      <c r="J4705" s="1">
        <v>5.9484494271577266E-2</v>
      </c>
      <c r="K4705" s="1">
        <v>3.5154035145386149</v>
      </c>
      <c r="L4705" s="1">
        <v>4.7304391785021087</v>
      </c>
      <c r="M4705" s="1">
        <v>0.3607626197467087</v>
      </c>
      <c r="N4705" s="1">
        <v>3.9001209951511671</v>
      </c>
      <c r="O4705" s="1">
        <v>0.26716307692307695</v>
      </c>
      <c r="P4705" s="1">
        <v>0.17188615261975293</v>
      </c>
      <c r="Q4705" s="1">
        <v>5.7681865828193351</v>
      </c>
      <c r="R4705" s="2">
        <f t="shared" si="295"/>
        <v>232.57627098527388</v>
      </c>
      <c r="S4705" s="2">
        <f t="shared" si="294"/>
        <v>3.7467741614299452</v>
      </c>
      <c r="T4705" s="2">
        <f t="shared" si="296"/>
        <v>9.2584858703230619</v>
      </c>
      <c r="U4705" s="2">
        <f t="shared" si="297"/>
        <v>245.58153101702689</v>
      </c>
    </row>
    <row r="4706" spans="1:21" x14ac:dyDescent="0.25">
      <c r="A4706">
        <v>5321853</v>
      </c>
      <c r="B4706">
        <v>61</v>
      </c>
      <c r="C4706" s="1">
        <f>5.15607679038927*(10.3/7.3)</f>
        <v>7.2750124576725259</v>
      </c>
      <c r="D4706" s="1">
        <f>10.2191283035844*(10.3/7.3)</f>
        <v>14.418770072180703</v>
      </c>
      <c r="E4706" s="1">
        <f>35.4375833955414*(10.3/7.3)</f>
        <v>50.000973832065227</v>
      </c>
      <c r="F4706" s="1">
        <f>75.6579990896486*(38.9/42.5)</f>
        <v>69.24932151970188</v>
      </c>
      <c r="G4706" s="1">
        <v>3.2279770959361764</v>
      </c>
      <c r="H4706" s="1">
        <v>6.4720225893611909</v>
      </c>
      <c r="I4706" s="1">
        <v>50.232643196173022</v>
      </c>
      <c r="J4706" s="1">
        <v>5.6162905809107683E-2</v>
      </c>
      <c r="K4706" s="1">
        <v>3.421047855565174</v>
      </c>
      <c r="L4706" s="1">
        <v>4.5724395579008066</v>
      </c>
      <c r="M4706" s="1">
        <v>0.34362037489972536</v>
      </c>
      <c r="N4706" s="1">
        <v>3.3653293014293286</v>
      </c>
      <c r="O4706" s="1">
        <v>0.25821202185792352</v>
      </c>
      <c r="P4706" s="1">
        <v>0.16744984840993546</v>
      </c>
      <c r="Q4706" s="1">
        <v>5.1588675049208383</v>
      </c>
      <c r="R4706" s="2">
        <f t="shared" si="295"/>
        <v>206.03558826801157</v>
      </c>
      <c r="S4706" s="2">
        <f t="shared" si="294"/>
        <v>3.6446606097842174</v>
      </c>
      <c r="T4706" s="2">
        <f t="shared" si="296"/>
        <v>8.5396012560877832</v>
      </c>
      <c r="U4706" s="2">
        <f t="shared" si="297"/>
        <v>218.21985013388357</v>
      </c>
    </row>
    <row r="4707" spans="1:21" x14ac:dyDescent="0.25">
      <c r="A4707">
        <v>5321861</v>
      </c>
      <c r="B4707">
        <v>59</v>
      </c>
      <c r="C4707" s="1">
        <f>3.51092877519844*(10.3/7.3)</f>
        <v>4.9537762170608159</v>
      </c>
      <c r="D4707" s="1">
        <f>6.51592883785854*(10.3/7.3)</f>
        <v>9.1937078123209535</v>
      </c>
      <c r="E4707" s="1">
        <f>22.627581615652*(10.3/7.3)</f>
        <v>31.926587759070678</v>
      </c>
      <c r="F4707" s="1">
        <f>48.9448886923575*(38.9/42.5)</f>
        <v>44.798968709004868</v>
      </c>
      <c r="G4707" s="1">
        <v>2.0981252937146695</v>
      </c>
      <c r="H4707" s="1">
        <v>4.9584094762871036</v>
      </c>
      <c r="I4707" s="1">
        <v>33.155956110674524</v>
      </c>
      <c r="J4707" s="1">
        <v>4.1156487371539215E-2</v>
      </c>
      <c r="K4707" s="1">
        <v>2.7538082515729263</v>
      </c>
      <c r="L4707" s="1">
        <v>3.3242251103979119</v>
      </c>
      <c r="M4707" s="1">
        <v>0.25833791458563748</v>
      </c>
      <c r="N4707" s="1">
        <v>2.0483280163109905</v>
      </c>
      <c r="O4707" s="1">
        <v>0.20054056497175141</v>
      </c>
      <c r="P4707" s="1">
        <v>0.13852344882611148</v>
      </c>
      <c r="Q4707" s="1">
        <v>3.3531682776261871</v>
      </c>
      <c r="R4707" s="2">
        <f t="shared" si="295"/>
        <v>134.43869965575982</v>
      </c>
      <c r="S4707" s="2">
        <f t="shared" si="294"/>
        <v>2.933488187770577</v>
      </c>
      <c r="T4707" s="2">
        <f t="shared" si="296"/>
        <v>5.8314316062662908</v>
      </c>
      <c r="U4707" s="2">
        <f t="shared" si="297"/>
        <v>143.20361944979666</v>
      </c>
    </row>
    <row r="4708" spans="1:21" x14ac:dyDescent="0.25">
      <c r="A4708">
        <v>5321869</v>
      </c>
      <c r="B4708">
        <v>56</v>
      </c>
      <c r="C4708" s="1">
        <f>6.16996682798001*(10.3/7.3)</f>
        <v>8.7055696339991862</v>
      </c>
      <c r="D4708" s="1">
        <f>11.1810784866412*(10.3/7.3)</f>
        <v>15.776042248274535</v>
      </c>
      <c r="E4708" s="1">
        <f>38.8336467509285*(10.3/7.3)</f>
        <v>54.792679662269023</v>
      </c>
      <c r="F4708" s="1">
        <f>85.1785839122978*(38.9/42.5)</f>
        <v>77.963456804432553</v>
      </c>
      <c r="G4708" s="1">
        <v>3.6892790683196806</v>
      </c>
      <c r="H4708" s="1">
        <v>7.0605588439213331</v>
      </c>
      <c r="I4708" s="1">
        <v>58.28918913496873</v>
      </c>
      <c r="J4708" s="1">
        <v>6.1616774102498592E-2</v>
      </c>
      <c r="K4708" s="1">
        <v>3.7365766433525143</v>
      </c>
      <c r="L4708" s="1">
        <v>5.2229174143660932</v>
      </c>
      <c r="M4708" s="1">
        <v>0.36627616002280444</v>
      </c>
      <c r="N4708" s="1">
        <v>2.8514329877197007</v>
      </c>
      <c r="O4708" s="1">
        <v>0.27851809523809523</v>
      </c>
      <c r="P4708" s="1">
        <v>0.17852923407958049</v>
      </c>
      <c r="Q4708" s="1">
        <v>5.8961081000542901</v>
      </c>
      <c r="R4708" s="2">
        <f t="shared" si="295"/>
        <v>232.17288349623931</v>
      </c>
      <c r="S4708" s="2">
        <f t="shared" si="294"/>
        <v>3.976722651534593</v>
      </c>
      <c r="T4708" s="2">
        <f t="shared" si="296"/>
        <v>8.7191446573466926</v>
      </c>
      <c r="U4708" s="2">
        <f t="shared" si="297"/>
        <v>244.86875080512061</v>
      </c>
    </row>
    <row r="4709" spans="1:21" x14ac:dyDescent="0.25">
      <c r="A4709">
        <v>5321877</v>
      </c>
      <c r="B4709">
        <v>55</v>
      </c>
      <c r="C4709" s="1">
        <f>5.11206809813357*(10.3/7.3)</f>
        <v>7.2129180014761269</v>
      </c>
      <c r="D4709" s="1">
        <f>9.0628662166506*(10.3/7.3)</f>
        <v>12.787331785137145</v>
      </c>
      <c r="E4709" s="1">
        <f>31.4904276368444*(10.3/7.3)</f>
        <v>44.431699268424232</v>
      </c>
      <c r="F4709" s="1">
        <f>69.4962112271371*(38.9/42.5)</f>
        <v>63.609473334956029</v>
      </c>
      <c r="G4709" s="1">
        <v>3.019182100085382</v>
      </c>
      <c r="H4709" s="1">
        <v>6.0817778944430181</v>
      </c>
      <c r="I4709" s="1">
        <v>47.900838370639939</v>
      </c>
      <c r="J4709" s="1">
        <v>5.1933265127028595E-2</v>
      </c>
      <c r="K4709" s="1">
        <v>3.2759234168715157</v>
      </c>
      <c r="L4709" s="1">
        <v>4.3635340281138282</v>
      </c>
      <c r="M4709" s="1">
        <v>0.30940757128721419</v>
      </c>
      <c r="N4709" s="1">
        <v>2.4226160357412097</v>
      </c>
      <c r="O4709" s="1">
        <v>0.23925139393939396</v>
      </c>
      <c r="P4709" s="1">
        <v>0.15842239568197986</v>
      </c>
      <c r="Q4709" s="1">
        <v>4.8251768722825803</v>
      </c>
      <c r="R4709" s="2">
        <f t="shared" si="295"/>
        <v>189.86839762744444</v>
      </c>
      <c r="S4709" s="2">
        <f t="shared" si="294"/>
        <v>3.4862790776805244</v>
      </c>
      <c r="T4709" s="2">
        <f t="shared" si="296"/>
        <v>7.3348090290816463</v>
      </c>
      <c r="U4709" s="2">
        <f t="shared" si="297"/>
        <v>200.68948573420661</v>
      </c>
    </row>
    <row r="4710" spans="1:21" x14ac:dyDescent="0.25">
      <c r="A4710">
        <v>5321885</v>
      </c>
      <c r="B4710">
        <v>55</v>
      </c>
      <c r="C4710" s="1">
        <f>6.31864605587211*(10.3/7.3)</f>
        <v>8.9153499144496848</v>
      </c>
      <c r="D4710" s="1">
        <f>10.9954634554072*(10.3/7.3)</f>
        <v>15.514147067218438</v>
      </c>
      <c r="E4710" s="1">
        <f>38.2256616170955*(10.3/7.3)</f>
        <v>53.934837624121059</v>
      </c>
      <c r="F4710" s="1">
        <f>84.5132684069679*(38.9/42.5)</f>
        <v>77.354497436024729</v>
      </c>
      <c r="G4710" s="1">
        <v>3.6692333774352046</v>
      </c>
      <c r="H4710" s="1">
        <v>6.917213120573626</v>
      </c>
      <c r="I4710" s="1">
        <v>58.549852986611725</v>
      </c>
      <c r="J4710" s="1">
        <v>6.0462413275674434E-2</v>
      </c>
      <c r="K4710" s="1">
        <v>3.6614990604690716</v>
      </c>
      <c r="L4710" s="1">
        <v>5.1239565414402719</v>
      </c>
      <c r="M4710" s="1">
        <v>0.34473746259326687</v>
      </c>
      <c r="N4710" s="1">
        <v>2.8565886694093785</v>
      </c>
      <c r="O4710" s="1">
        <v>0.26949527272727275</v>
      </c>
      <c r="P4710" s="1">
        <v>0.17289214467041564</v>
      </c>
      <c r="Q4710" s="1">
        <v>5.8640716077731625</v>
      </c>
      <c r="R4710" s="2">
        <f t="shared" si="295"/>
        <v>230.71920313420765</v>
      </c>
      <c r="S4710" s="2">
        <f t="shared" si="294"/>
        <v>3.8948536184151616</v>
      </c>
      <c r="T4710" s="2">
        <f t="shared" si="296"/>
        <v>8.5947779461701899</v>
      </c>
      <c r="U4710" s="2">
        <f t="shared" si="297"/>
        <v>243.208834698793</v>
      </c>
    </row>
    <row r="4711" spans="1:21" x14ac:dyDescent="0.25">
      <c r="A4711">
        <v>5321893</v>
      </c>
      <c r="B4711">
        <v>51</v>
      </c>
      <c r="C4711" s="1">
        <f>5.89292252213996*(10.3/7.3)</f>
        <v>8.3146715038413088</v>
      </c>
      <c r="D4711" s="1">
        <f>10.1631582949432*(10.3/7.3)</f>
        <v>14.339798690125372</v>
      </c>
      <c r="E4711" s="1">
        <f>35.3410194959987*(10.3/7.3)</f>
        <v>49.864726138189972</v>
      </c>
      <c r="F4711" s="1">
        <f>78.215469943743*(38.9/42.5)</f>
        <v>71.590159548508268</v>
      </c>
      <c r="G4711" s="1">
        <v>3.3951906226174482</v>
      </c>
      <c r="H4711" s="1">
        <v>6.7478110004593379</v>
      </c>
      <c r="I4711" s="1">
        <v>54.323345933299514</v>
      </c>
      <c r="J4711" s="1">
        <v>5.6622808537647999E-2</v>
      </c>
      <c r="K4711" s="1">
        <v>3.4357100466475243</v>
      </c>
      <c r="L4711" s="1">
        <v>4.7194303480486157</v>
      </c>
      <c r="M4711" s="1">
        <v>0.31822165790678542</v>
      </c>
      <c r="N4711" s="1">
        <v>2.5129445314341732</v>
      </c>
      <c r="O4711" s="1">
        <v>0.24969830065359475</v>
      </c>
      <c r="P4711" s="1">
        <v>0.16206344483401999</v>
      </c>
      <c r="Q4711" s="1">
        <v>5.42610373477675</v>
      </c>
      <c r="R4711" s="2">
        <f t="shared" si="295"/>
        <v>214.00180717181794</v>
      </c>
      <c r="S4711" s="2">
        <f t="shared" si="294"/>
        <v>3.6543963000191924</v>
      </c>
      <c r="T4711" s="2">
        <f t="shared" si="296"/>
        <v>7.8002948380431691</v>
      </c>
      <c r="U4711" s="2">
        <f t="shared" si="297"/>
        <v>225.45649830988029</v>
      </c>
    </row>
    <row r="4712" spans="1:21" x14ac:dyDescent="0.25">
      <c r="A4712">
        <v>5321901</v>
      </c>
      <c r="B4712">
        <v>55</v>
      </c>
      <c r="C4712" s="1">
        <f>6.31980472294633*(10.3/7.3)</f>
        <v>8.9169847460749541</v>
      </c>
      <c r="D4712" s="1">
        <f>10.7391700684522*(10.3/7.3)</f>
        <v>15.152527630829873</v>
      </c>
      <c r="E4712" s="1">
        <f>37.3667830529175*(10.3/7.3)</f>
        <v>52.72299526644521</v>
      </c>
      <c r="F4712" s="1">
        <f>82.4800162372489*(38.9/42.5)</f>
        <v>75.493473685387784</v>
      </c>
      <c r="G4712" s="1">
        <v>3.5645720394908489</v>
      </c>
      <c r="H4712" s="1">
        <v>7.5887860240411449</v>
      </c>
      <c r="I4712" s="1">
        <v>57.454580591534274</v>
      </c>
      <c r="J4712" s="1">
        <v>6.0526447077828831E-2</v>
      </c>
      <c r="K4712" s="1">
        <v>3.6244173216632483</v>
      </c>
      <c r="L4712" s="1">
        <v>5.0699569023559699</v>
      </c>
      <c r="M4712" s="1">
        <v>0.33111087478348283</v>
      </c>
      <c r="N4712" s="1">
        <v>2.6713009071937934</v>
      </c>
      <c r="O4712" s="1">
        <v>0.2605924848484848</v>
      </c>
      <c r="P4712" s="1">
        <v>0.16862226834348717</v>
      </c>
      <c r="Q4712" s="1">
        <v>5.6968046293232799</v>
      </c>
      <c r="R4712" s="2">
        <f t="shared" si="295"/>
        <v>226.59072461312738</v>
      </c>
      <c r="S4712" s="2">
        <f t="shared" si="294"/>
        <v>3.8535660370845641</v>
      </c>
      <c r="T4712" s="2">
        <f t="shared" si="296"/>
        <v>8.3329611691817291</v>
      </c>
      <c r="U4712" s="2">
        <f t="shared" si="297"/>
        <v>238.77725181939365</v>
      </c>
    </row>
    <row r="4713" spans="1:21" x14ac:dyDescent="0.25">
      <c r="A4713">
        <v>5321909</v>
      </c>
      <c r="B4713">
        <v>55</v>
      </c>
      <c r="C4713" s="1">
        <f>6.1331651822972*(10.3/7.3)</f>
        <v>8.653644024337142</v>
      </c>
      <c r="D4713" s="1">
        <f>10.2864367402616*(10.3/7.3)</f>
        <v>14.513739510232073</v>
      </c>
      <c r="E4713" s="1">
        <f>35.8163400273274*(10.3/7.3)</f>
        <v>50.535383874174279</v>
      </c>
      <c r="F4713" s="1">
        <f>78.6019393118744*(38.9/42.5)</f>
        <v>71.943892687809722</v>
      </c>
      <c r="G4713" s="1">
        <v>3.3724750786822639</v>
      </c>
      <c r="H4713" s="1">
        <v>6.6457989715185475</v>
      </c>
      <c r="I4713" s="1">
        <v>54.846127993750279</v>
      </c>
      <c r="J4713" s="1">
        <v>5.7299143449247761E-2</v>
      </c>
      <c r="K4713" s="1">
        <v>3.4998084601669892</v>
      </c>
      <c r="L4713" s="1">
        <v>4.8254114431256454</v>
      </c>
      <c r="M4713" s="1">
        <v>0.30936140962320902</v>
      </c>
      <c r="N4713" s="1">
        <v>2.5421459297850406</v>
      </c>
      <c r="O4713" s="1">
        <v>0.24844606060606067</v>
      </c>
      <c r="P4713" s="1">
        <v>0.16253746434556793</v>
      </c>
      <c r="Q4713" s="1">
        <v>5.3898003540584165</v>
      </c>
      <c r="R4713" s="2">
        <f t="shared" si="295"/>
        <v>215.90086249456274</v>
      </c>
      <c r="S4713" s="2">
        <f t="shared" si="294"/>
        <v>3.7196450679618049</v>
      </c>
      <c r="T4713" s="2">
        <f t="shared" si="296"/>
        <v>7.9253648431399562</v>
      </c>
      <c r="U4713" s="2">
        <f t="shared" si="297"/>
        <v>227.54587240566451</v>
      </c>
    </row>
    <row r="4714" spans="1:21" x14ac:dyDescent="0.25">
      <c r="A4714">
        <v>5321917</v>
      </c>
      <c r="B4714">
        <v>55</v>
      </c>
      <c r="C4714" s="1">
        <f>3.70062331833458*(10.3/7.3)</f>
        <v>5.2214274217597465</v>
      </c>
      <c r="D4714" s="1">
        <f>6.22029783953516*(10.3/7.3)</f>
        <v>8.7765846229057676</v>
      </c>
      <c r="E4714" s="1">
        <f>21.6741650788383*(10.3/7.3)</f>
        <v>30.581356207128085</v>
      </c>
      <c r="F4714" s="1">
        <f>46.6875918656968*(38.9/42.5)</f>
        <v>42.732878201778995</v>
      </c>
      <c r="G4714" s="1">
        <v>1.967594137011673</v>
      </c>
      <c r="H4714" s="1">
        <v>4.7515187629019113</v>
      </c>
      <c r="I4714" s="1">
        <v>32.386494348695948</v>
      </c>
      <c r="J4714" s="1">
        <v>3.9650501785588224E-2</v>
      </c>
      <c r="K4714" s="1">
        <v>2.6433121911298927</v>
      </c>
      <c r="L4714" s="1">
        <v>3.214304406930832</v>
      </c>
      <c r="M4714" s="1">
        <v>0.22139773051092551</v>
      </c>
      <c r="N4714" s="1">
        <v>1.8413940742082084</v>
      </c>
      <c r="O4714" s="1">
        <v>0.1811907878787879</v>
      </c>
      <c r="P4714" s="1">
        <v>0.12751568726437348</v>
      </c>
      <c r="Q4714" s="1">
        <v>3.1445568399729975</v>
      </c>
      <c r="R4714" s="2">
        <f t="shared" si="295"/>
        <v>129.56241054215511</v>
      </c>
      <c r="S4714" s="2">
        <f t="shared" si="294"/>
        <v>2.8104783801798545</v>
      </c>
      <c r="T4714" s="2">
        <f t="shared" si="296"/>
        <v>5.4582869995287542</v>
      </c>
      <c r="U4714" s="2">
        <f t="shared" si="297"/>
        <v>137.83117592186372</v>
      </c>
    </row>
    <row r="4715" spans="1:21" x14ac:dyDescent="0.25">
      <c r="A4715">
        <v>5321925</v>
      </c>
      <c r="B4715">
        <v>55</v>
      </c>
      <c r="C4715" s="1">
        <f>3.98231700908499*(10.3/7.3)</f>
        <v>5.6188856429555392</v>
      </c>
      <c r="D4715" s="1">
        <f>6.8486341380066*(10.3/7.3)</f>
        <v>9.6631413180093055</v>
      </c>
      <c r="E4715" s="1">
        <f>23.8615990543378*(10.3/7.3)</f>
        <v>33.667735652010919</v>
      </c>
      <c r="F4715" s="1">
        <f>50.5715237397875*(38.9/42.5)</f>
        <v>46.287818199476042</v>
      </c>
      <c r="G4715" s="1">
        <v>2.1033124833451087</v>
      </c>
      <c r="H4715" s="1">
        <v>4.9445745966469845</v>
      </c>
      <c r="I4715" s="1">
        <v>34.704184755228503</v>
      </c>
      <c r="J4715" s="1">
        <v>4.1528929514329176E-2</v>
      </c>
      <c r="K4715" s="1">
        <v>2.6850691370893669</v>
      </c>
      <c r="L4715" s="1">
        <v>3.3394877852425799</v>
      </c>
      <c r="M4715" s="1">
        <v>0.22384396443841201</v>
      </c>
      <c r="N4715" s="1">
        <v>1.9013906254110844</v>
      </c>
      <c r="O4715" s="1">
        <v>0.18248630303030303</v>
      </c>
      <c r="P4715" s="1">
        <v>0.1277737313689116</v>
      </c>
      <c r="Q4715" s="1">
        <v>3.3614583067159303</v>
      </c>
      <c r="R4715" s="2">
        <f t="shared" si="295"/>
        <v>140.3511109543883</v>
      </c>
      <c r="S4715" s="2">
        <f t="shared" si="294"/>
        <v>2.8543717979726075</v>
      </c>
      <c r="T4715" s="2">
        <f t="shared" si="296"/>
        <v>5.6472086781223796</v>
      </c>
      <c r="U4715" s="2">
        <f t="shared" si="297"/>
        <v>148.8526914304833</v>
      </c>
    </row>
    <row r="4716" spans="1:21" x14ac:dyDescent="0.25">
      <c r="A4716">
        <v>5321933</v>
      </c>
      <c r="B4716">
        <v>32</v>
      </c>
      <c r="C4716" s="1">
        <f>3.72293309076521*(10.3/7.3)</f>
        <v>5.2529055938194125</v>
      </c>
      <c r="D4716" s="1">
        <f>6.75862630820396*(10.3/7.3)</f>
        <v>9.5361439691097001</v>
      </c>
      <c r="E4716" s="1">
        <f>23.533195873532*(10.3/7.3)</f>
        <v>33.204372259915004</v>
      </c>
      <c r="F4716" s="1">
        <f>48.5408889835455*(38.9/42.5)</f>
        <v>44.4291901519981</v>
      </c>
      <c r="G4716" s="1">
        <v>1.977345174409274</v>
      </c>
      <c r="H4716" s="1">
        <v>6.9271701385727553</v>
      </c>
      <c r="I4716" s="1">
        <v>32.559576779007315</v>
      </c>
      <c r="J4716" s="1">
        <v>4.113918642740623E-2</v>
      </c>
      <c r="K4716" s="1">
        <v>2.5943773254469638</v>
      </c>
      <c r="L4716" s="1">
        <v>3.1619753168381766</v>
      </c>
      <c r="M4716" s="1">
        <v>0.21030660114555882</v>
      </c>
      <c r="N4716" s="1">
        <v>1.8712965967279811</v>
      </c>
      <c r="O4716" s="1">
        <v>0.17355999999999999</v>
      </c>
      <c r="P4716" s="1">
        <v>0.12352049313873581</v>
      </c>
      <c r="Q4716" s="1">
        <v>3.16014068969519</v>
      </c>
      <c r="R4716" s="2">
        <f t="shared" si="295"/>
        <v>137.04684475652675</v>
      </c>
      <c r="S4716" s="2">
        <f t="shared" si="294"/>
        <v>2.7590370050131057</v>
      </c>
      <c r="T4716" s="2">
        <f t="shared" si="296"/>
        <v>5.4171385147117164</v>
      </c>
      <c r="U4716" s="2">
        <f t="shared" si="297"/>
        <v>145.22302027625159</v>
      </c>
    </row>
    <row r="4717" spans="1:21" x14ac:dyDescent="0.25">
      <c r="A4717">
        <v>5321997</v>
      </c>
      <c r="B4717">
        <v>3</v>
      </c>
      <c r="C4717" s="1">
        <f>4.3610297561834*(10.3/7.3)</f>
        <v>6.1532337655738329</v>
      </c>
      <c r="D4717" s="1">
        <f>6.56783655854404*(10.3/7.3)</f>
        <v>9.2669474730142003</v>
      </c>
      <c r="E4717" s="1">
        <f>22.8463446846743*(10.3/7.3)</f>
        <v>32.235253459197935</v>
      </c>
      <c r="F4717" s="1">
        <f>55.7416339777398*(38.9/42.5)</f>
        <v>51.019989687860622</v>
      </c>
      <c r="G4717" s="1">
        <v>2.5897422269667003</v>
      </c>
      <c r="H4717" s="1">
        <v>8.3797998825421249</v>
      </c>
      <c r="I4717" s="1">
        <v>41.011784606143785</v>
      </c>
      <c r="J4717" s="1">
        <v>4.210389648162547E-2</v>
      </c>
      <c r="K4717" s="1">
        <v>2.1219644155303583</v>
      </c>
      <c r="L4717" s="1">
        <v>2.8609627207808561</v>
      </c>
      <c r="M4717" s="1">
        <v>0.15179701360089706</v>
      </c>
      <c r="N4717" s="1">
        <v>1.8325007506559723</v>
      </c>
      <c r="O4717" s="1">
        <v>0.12783999999999998</v>
      </c>
      <c r="P4717" s="1">
        <v>9.6000952555335597E-2</v>
      </c>
      <c r="Q4717" s="1">
        <v>4.1388574403577438</v>
      </c>
      <c r="R4717" s="2">
        <f t="shared" si="295"/>
        <v>154.79560854165695</v>
      </c>
      <c r="S4717" s="2">
        <f t="shared" si="294"/>
        <v>2.2600692645673193</v>
      </c>
      <c r="T4717" s="2">
        <f t="shared" si="296"/>
        <v>4.9731004850377252</v>
      </c>
      <c r="U4717" s="2">
        <f t="shared" si="297"/>
        <v>162.02877829126197</v>
      </c>
    </row>
    <row r="4718" spans="1:21" x14ac:dyDescent="0.25">
      <c r="A4718">
        <v>5322101</v>
      </c>
      <c r="B4718">
        <v>50</v>
      </c>
      <c r="C4718" s="1">
        <f>6.16444195163191*(10.3/7.3)</f>
        <v>8.697774260521733</v>
      </c>
      <c r="D4718" s="1">
        <f>7.28061933500897*(10.3/7.3)</f>
        <v>10.27265467816334</v>
      </c>
      <c r="E4718" s="1">
        <f>25.6571764057485*(10.3/7.3)</f>
        <v>36.201221504001353</v>
      </c>
      <c r="F4718" s="1">
        <f>59.1125375590999*(38.9/42.5)</f>
        <v>54.105357907034985</v>
      </c>
      <c r="G4718" s="1">
        <v>2.5178689224602468</v>
      </c>
      <c r="H4718" s="1">
        <v>5.5099759526983556</v>
      </c>
      <c r="I4718" s="1">
        <v>45.971875045718789</v>
      </c>
      <c r="J4718" s="1">
        <v>3.4609436853526201E-2</v>
      </c>
      <c r="K4718" s="1">
        <v>2.1872088399195926</v>
      </c>
      <c r="L4718" s="1">
        <v>2.5377681748225305</v>
      </c>
      <c r="M4718" s="1">
        <v>0.13309998085094096</v>
      </c>
      <c r="N4718" s="1">
        <v>1.5741765362336297</v>
      </c>
      <c r="O4718" s="1">
        <v>0.11832213333333334</v>
      </c>
      <c r="P4718" s="1">
        <v>9.0026440602897342E-2</v>
      </c>
      <c r="Q4718" s="1">
        <v>4.0239914285894391</v>
      </c>
      <c r="R4718" s="2">
        <f t="shared" si="295"/>
        <v>167.30071969918825</v>
      </c>
      <c r="S4718" s="2">
        <f t="shared" si="294"/>
        <v>2.3118447173760162</v>
      </c>
      <c r="T4718" s="2">
        <f t="shared" si="296"/>
        <v>4.3633668252404352</v>
      </c>
      <c r="U4718" s="2">
        <f t="shared" si="297"/>
        <v>173.97593124180469</v>
      </c>
    </row>
    <row r="4719" spans="1:21" x14ac:dyDescent="0.25">
      <c r="A4719">
        <v>5322109</v>
      </c>
      <c r="B4719">
        <v>59</v>
      </c>
      <c r="C4719" s="1">
        <f>4.79853867937725*(10.3/7.3)</f>
        <v>6.7705408763815935</v>
      </c>
      <c r="D4719" s="1">
        <f>5.8436327944601*(10.3/7.3)</f>
        <v>8.2451257236902791</v>
      </c>
      <c r="E4719" s="1">
        <f>20.5647956116919*(10.3/7.3)</f>
        <v>29.016081479510458</v>
      </c>
      <c r="F4719" s="1">
        <f>47.3197362220257*(38.9/42.5)</f>
        <v>43.311476212630588</v>
      </c>
      <c r="G4719" s="1">
        <v>2.0238735573964926</v>
      </c>
      <c r="H4719" s="1">
        <v>4.6577997458350966</v>
      </c>
      <c r="I4719" s="1">
        <v>36.456567948496769</v>
      </c>
      <c r="J4719" s="1">
        <v>3.1702054050794674E-2</v>
      </c>
      <c r="K4719" s="1">
        <v>2.0319568049683414</v>
      </c>
      <c r="L4719" s="1">
        <v>2.3055444131005767</v>
      </c>
      <c r="M4719" s="1">
        <v>0.12297552574769782</v>
      </c>
      <c r="N4719" s="1">
        <v>1.4719262261890287</v>
      </c>
      <c r="O4719" s="1">
        <v>0.10795841807909602</v>
      </c>
      <c r="P4719" s="1">
        <v>8.4124753501834001E-2</v>
      </c>
      <c r="Q4719" s="1">
        <v>3.234501119126818</v>
      </c>
      <c r="R4719" s="2">
        <f t="shared" si="295"/>
        <v>133.71596666306809</v>
      </c>
      <c r="S4719" s="2">
        <f t="shared" si="294"/>
        <v>2.1477836125209699</v>
      </c>
      <c r="T4719" s="2">
        <f t="shared" si="296"/>
        <v>4.0084045831163992</v>
      </c>
      <c r="U4719" s="2">
        <f t="shared" si="297"/>
        <v>139.87215485870547</v>
      </c>
    </row>
    <row r="4720" spans="1:21" x14ac:dyDescent="0.25">
      <c r="A4720">
        <v>5322117</v>
      </c>
      <c r="B4720">
        <v>27</v>
      </c>
      <c r="C4720" s="1">
        <f>5.21570496730314*(10.3/7.3)</f>
        <v>7.3591453648249843</v>
      </c>
      <c r="D4720" s="1">
        <f>6.45567410035481*(10.3/7.3)</f>
        <v>9.1086908539252747</v>
      </c>
      <c r="E4720" s="1">
        <f>22.7139620583929*(10.3/7.3)</f>
        <v>32.048467013896889</v>
      </c>
      <c r="F4720" s="1">
        <f>51.64492985016*(38.9/42.5)</f>
        <v>47.270300498146405</v>
      </c>
      <c r="G4720" s="1">
        <v>2.1894923580104697</v>
      </c>
      <c r="H4720" s="1">
        <v>4.8788858036963596</v>
      </c>
      <c r="I4720" s="1">
        <v>39.517506771726254</v>
      </c>
      <c r="J4720" s="1">
        <v>3.4076383595747169E-2</v>
      </c>
      <c r="K4720" s="1">
        <v>2.121595567130711</v>
      </c>
      <c r="L4720" s="1">
        <v>2.4275876212246468</v>
      </c>
      <c r="M4720" s="1">
        <v>0.12667497602142172</v>
      </c>
      <c r="N4720" s="1">
        <v>1.5591631104393022</v>
      </c>
      <c r="O4720" s="1">
        <v>0.11220148148148149</v>
      </c>
      <c r="P4720" s="1">
        <v>8.6334131532928723E-2</v>
      </c>
      <c r="Q4720" s="1">
        <v>3.4991887000167345</v>
      </c>
      <c r="R4720" s="2">
        <f t="shared" si="295"/>
        <v>145.87167736424337</v>
      </c>
      <c r="S4720" s="2">
        <f t="shared" si="294"/>
        <v>2.2420060822593872</v>
      </c>
      <c r="T4720" s="2">
        <f t="shared" si="296"/>
        <v>4.2256271891668522</v>
      </c>
      <c r="U4720" s="2">
        <f t="shared" si="297"/>
        <v>152.33931063566962</v>
      </c>
    </row>
    <row r="4721" spans="1:21" x14ac:dyDescent="0.25">
      <c r="A4721">
        <v>5322125</v>
      </c>
      <c r="B4721">
        <v>53</v>
      </c>
      <c r="C4721" s="1">
        <f>5.94514398581617*(10.3/7.3)</f>
        <v>8.3883538430008926</v>
      </c>
      <c r="D4721" s="1">
        <f>7.53187627914058*(10.3/7.3)</f>
        <v>10.627167900705208</v>
      </c>
      <c r="E4721" s="1">
        <f>26.4767074945889*(10.3/7.3)</f>
        <v>37.357546190995286</v>
      </c>
      <c r="F4721" s="1">
        <f>59.9995759914191*(38.9/42.5)</f>
        <v>54.917258966263567</v>
      </c>
      <c r="G4721" s="1">
        <v>2.5455016210877197</v>
      </c>
      <c r="H4721" s="1">
        <v>5.3621153247375082</v>
      </c>
      <c r="I4721" s="1">
        <v>45.567093906299057</v>
      </c>
      <c r="J4721" s="1">
        <v>3.7519048104910815E-2</v>
      </c>
      <c r="K4721" s="1">
        <v>2.2520566986451107</v>
      </c>
      <c r="L4721" s="1">
        <v>2.6009204825024064</v>
      </c>
      <c r="M4721" s="1">
        <v>0.13195824344274495</v>
      </c>
      <c r="N4721" s="1">
        <v>1.6633132742862689</v>
      </c>
      <c r="O4721" s="1">
        <v>0.11799547169811317</v>
      </c>
      <c r="P4721" s="1">
        <v>8.9817502851964534E-2</v>
      </c>
      <c r="Q4721" s="1">
        <v>4.068153275710972</v>
      </c>
      <c r="R4721" s="2">
        <f t="shared" si="295"/>
        <v>168.83319102880023</v>
      </c>
      <c r="S4721" s="2">
        <f t="shared" si="294"/>
        <v>2.3793932496019861</v>
      </c>
      <c r="T4721" s="2">
        <f t="shared" si="296"/>
        <v>4.5141874719295334</v>
      </c>
      <c r="U4721" s="2">
        <f t="shared" si="297"/>
        <v>175.72677175033175</v>
      </c>
    </row>
    <row r="4722" spans="1:21" x14ac:dyDescent="0.25">
      <c r="A4722">
        <v>5322309</v>
      </c>
      <c r="B4722">
        <v>31</v>
      </c>
      <c r="C4722" s="1">
        <f>5.46443510756002*(10.3/7.3)</f>
        <v>7.7100933709408537</v>
      </c>
      <c r="D4722" s="1">
        <f>6.70425336018936*(10.3/7.3)</f>
        <v>9.459425973965816</v>
      </c>
      <c r="E4722" s="1">
        <f>23.4777291808757*(10.3/7.3)</f>
        <v>33.126111036030053</v>
      </c>
      <c r="F4722" s="1">
        <f>59.4885103073903*(38.9/42.5)</f>
        <v>54.449483551940801</v>
      </c>
      <c r="G4722" s="1">
        <v>2.772674332899244</v>
      </c>
      <c r="H4722" s="1">
        <v>9.1268533858033596</v>
      </c>
      <c r="I4722" s="1">
        <v>46.429108413039081</v>
      </c>
      <c r="J4722" s="1">
        <v>4.2426014960399251E-2</v>
      </c>
      <c r="K4722" s="1">
        <v>2.2302207414767743</v>
      </c>
      <c r="L4722" s="1">
        <v>2.2075318022108208</v>
      </c>
      <c r="M4722" s="1">
        <v>0.10455183686275356</v>
      </c>
      <c r="N4722" s="1">
        <v>1.935038951804521</v>
      </c>
      <c r="O4722" s="1">
        <v>0.10226924731182799</v>
      </c>
      <c r="P4722" s="1">
        <v>7.8669553436661765E-2</v>
      </c>
      <c r="Q4722" s="1">
        <v>4.4312146872819014</v>
      </c>
      <c r="R4722" s="2">
        <f t="shared" si="295"/>
        <v>167.50496475190113</v>
      </c>
      <c r="S4722" s="2">
        <f t="shared" si="294"/>
        <v>2.3513163098738357</v>
      </c>
      <c r="T4722" s="2">
        <f t="shared" si="296"/>
        <v>4.3493918381899235</v>
      </c>
      <c r="U4722" s="2">
        <f t="shared" si="297"/>
        <v>174.20567289996487</v>
      </c>
    </row>
    <row r="4723" spans="1:21" x14ac:dyDescent="0.25">
      <c r="A4723">
        <v>5322317</v>
      </c>
      <c r="B4723">
        <v>38</v>
      </c>
      <c r="C4723" s="1">
        <f>5.82229251944118*(10.3/7.3)</f>
        <v>8.2150154726361819</v>
      </c>
      <c r="D4723" s="1">
        <f>7.2153576015663*(10.3/7.3)</f>
        <v>10.180573054264784</v>
      </c>
      <c r="E4723" s="1">
        <f>25.1953215756477*(10.3/7.3)</f>
        <v>35.549563319064497</v>
      </c>
      <c r="F4723" s="1">
        <f>66.9348620945328*(38.9/42.5)</f>
        <v>61.265085540642964</v>
      </c>
      <c r="G4723" s="1">
        <v>3.2397142737619724</v>
      </c>
      <c r="H4723" s="1">
        <v>9.1377746925878167</v>
      </c>
      <c r="I4723" s="1">
        <v>52.467027704747409</v>
      </c>
      <c r="J4723" s="1">
        <v>4.1875731226961019E-2</v>
      </c>
      <c r="K4723" s="1">
        <v>2.3122475955337194</v>
      </c>
      <c r="L4723" s="1">
        <v>2.3081387479513054</v>
      </c>
      <c r="M4723" s="1">
        <v>0.1060129297909151</v>
      </c>
      <c r="N4723" s="1">
        <v>1.6121105491531764</v>
      </c>
      <c r="O4723" s="1">
        <v>0.10622456140350878</v>
      </c>
      <c r="P4723" s="1">
        <v>8.1695780779927896E-2</v>
      </c>
      <c r="Q4723" s="1">
        <v>5.1776255516743905</v>
      </c>
      <c r="R4723" s="2">
        <f t="shared" si="295"/>
        <v>185.23237960938002</v>
      </c>
      <c r="S4723" s="2">
        <f t="shared" si="294"/>
        <v>2.4358191075406079</v>
      </c>
      <c r="T4723" s="2">
        <f t="shared" si="296"/>
        <v>4.1324867882989054</v>
      </c>
      <c r="U4723" s="2">
        <f t="shared" si="297"/>
        <v>191.80068550521952</v>
      </c>
    </row>
    <row r="4724" spans="1:21" x14ac:dyDescent="0.25">
      <c r="A4724">
        <v>5322333</v>
      </c>
      <c r="B4724">
        <v>16</v>
      </c>
      <c r="C4724" s="1">
        <f>3.65967937320367*(10.3/7.3)</f>
        <v>5.1636571978079155</v>
      </c>
      <c r="D4724" s="1">
        <f>5.01818468155802*(10.3/7.3)</f>
        <v>7.0804523589106241</v>
      </c>
      <c r="E4724" s="1">
        <f>17.3787955813157*(10.3/7.3)</f>
        <v>24.520766368157698</v>
      </c>
      <c r="F4724" s="1">
        <f>49.6215522069789*(38.9/42.5)</f>
        <v>45.418314843564183</v>
      </c>
      <c r="G4724" s="1">
        <v>2.5529490034341493</v>
      </c>
      <c r="H4724" s="1">
        <v>8.8024848712727053</v>
      </c>
      <c r="I4724" s="1">
        <v>38.402974830530724</v>
      </c>
      <c r="J4724" s="1">
        <v>2.9171495430406643E-2</v>
      </c>
      <c r="K4724" s="1">
        <v>1.8316230481999844</v>
      </c>
      <c r="L4724" s="1">
        <v>1.7852203983590016</v>
      </c>
      <c r="M4724" s="1">
        <v>8.6015322480676365E-2</v>
      </c>
      <c r="N4724" s="1">
        <v>1.2009512055912797</v>
      </c>
      <c r="O4724" s="1">
        <v>8.4846666666666667E-2</v>
      </c>
      <c r="P4724" s="1">
        <v>6.6690087958364952E-2</v>
      </c>
      <c r="Q4724" s="1">
        <v>4.0800554849404254</v>
      </c>
      <c r="R4724" s="2">
        <f t="shared" si="295"/>
        <v>136.02165495861846</v>
      </c>
      <c r="S4724" s="2">
        <f t="shared" si="294"/>
        <v>1.9274846315887559</v>
      </c>
      <c r="T4724" s="2">
        <f t="shared" si="296"/>
        <v>3.1570335930976241</v>
      </c>
      <c r="U4724" s="2">
        <f t="shared" si="297"/>
        <v>141.10617318330483</v>
      </c>
    </row>
    <row r="4725" spans="1:21" x14ac:dyDescent="0.25">
      <c r="A4725">
        <v>5333641</v>
      </c>
      <c r="B4725">
        <v>8</v>
      </c>
      <c r="C4725" s="1">
        <f>0.542622800238708*(10.3/7.3)</f>
        <v>0.76561847156968332</v>
      </c>
      <c r="D4725" s="1">
        <f>0.784827205017359*(10.3/7.3)</f>
        <v>1.1073589331066853</v>
      </c>
      <c r="E4725" s="1">
        <f>2.72349436059144*(10.3/7.3)</f>
        <v>3.8427386183687391</v>
      </c>
      <c r="F4725" s="1">
        <f>7.19433437505972*(38.9/42.5)</f>
        <v>6.5849319338781909</v>
      </c>
      <c r="G4725" s="1">
        <v>0.3533356527211593</v>
      </c>
      <c r="H4725" s="1">
        <v>1.5298957201378185</v>
      </c>
      <c r="I4725" s="1">
        <v>5.429519849942638</v>
      </c>
      <c r="J4725" s="1">
        <v>3.2514609590625063E-2</v>
      </c>
      <c r="K4725" s="1">
        <v>2.7430431140701823</v>
      </c>
      <c r="L4725" s="1">
        <v>1.9407420208745327</v>
      </c>
      <c r="M4725" s="1">
        <v>0.8164976281589631</v>
      </c>
      <c r="N4725" s="1">
        <v>1.1405148122428113</v>
      </c>
      <c r="O4725" s="1">
        <v>0.33032666666666671</v>
      </c>
      <c r="P4725" s="1">
        <v>0.14774667403622965</v>
      </c>
      <c r="Q4725" s="1">
        <v>0.56469168243107704</v>
      </c>
      <c r="R4725" s="2">
        <f t="shared" si="295"/>
        <v>20.178090862155994</v>
      </c>
      <c r="S4725" s="2">
        <f t="shared" si="294"/>
        <v>2.923304397697037</v>
      </c>
      <c r="T4725" s="2">
        <f t="shared" si="296"/>
        <v>4.228081127942974</v>
      </c>
      <c r="U4725" s="2">
        <f t="shared" si="297"/>
        <v>27.329476387796007</v>
      </c>
    </row>
    <row r="4726" spans="1:21" x14ac:dyDescent="0.25">
      <c r="A4726">
        <v>5333649</v>
      </c>
      <c r="B4726">
        <v>67</v>
      </c>
      <c r="C4726" s="1">
        <f>0.626964805729413*(10.3/7.3)</f>
        <v>0.88462157520725349</v>
      </c>
      <c r="D4726" s="1">
        <f>0.918276589886549*(10.3/7.3)</f>
        <v>1.2956505309358159</v>
      </c>
      <c r="E4726" s="1">
        <f>3.18282566003239*(10.3/7.3)</f>
        <v>4.4908362052511848</v>
      </c>
      <c r="F4726" s="1">
        <f>8.52027540792659*(38.9/42.5)</f>
        <v>7.7985579616081022</v>
      </c>
      <c r="G4726" s="1">
        <v>0.42296946892646903</v>
      </c>
      <c r="H4726" s="1">
        <v>1.8280998334583738</v>
      </c>
      <c r="I4726" s="1">
        <v>6.4279428980239768</v>
      </c>
      <c r="J4726" s="1">
        <v>3.596805496495608E-2</v>
      </c>
      <c r="K4726" s="1">
        <v>3.039884226300793</v>
      </c>
      <c r="L4726" s="1">
        <v>2.0512515522663501</v>
      </c>
      <c r="M4726" s="1">
        <v>0.93068647809509775</v>
      </c>
      <c r="N4726" s="1">
        <v>1.2569195150219246</v>
      </c>
      <c r="O4726" s="1">
        <v>0.3526503482587065</v>
      </c>
      <c r="P4726" s="1">
        <v>0.15674849175643343</v>
      </c>
      <c r="Q4726" s="1">
        <v>0.67597860330714277</v>
      </c>
      <c r="R4726" s="2">
        <f t="shared" si="295"/>
        <v>23.824657076718317</v>
      </c>
      <c r="S4726" s="2">
        <f t="shared" si="294"/>
        <v>3.2326007730221824</v>
      </c>
      <c r="T4726" s="2">
        <f t="shared" si="296"/>
        <v>4.5915078936420795</v>
      </c>
      <c r="U4726" s="2">
        <f t="shared" si="297"/>
        <v>31.648765743382576</v>
      </c>
    </row>
    <row r="4727" spans="1:21" x14ac:dyDescent="0.25">
      <c r="A4727">
        <v>5333657</v>
      </c>
      <c r="B4727">
        <v>67</v>
      </c>
      <c r="C4727" s="1">
        <f>0.782720680789065*(10.3/7.3)</f>
        <v>1.1043867139900503</v>
      </c>
      <c r="D4727" s="1">
        <f>1.1617361943776*(10.3/7.3)</f>
        <v>1.639162027683456</v>
      </c>
      <c r="E4727" s="1">
        <f>4.01971206170556*(10.3/7.3)</f>
        <v>5.6716485254201805</v>
      </c>
      <c r="F4727" s="1">
        <f>11.011508642013*(38.9/42.5)</f>
        <v>10.07876908645423</v>
      </c>
      <c r="G4727" s="1">
        <v>0.55604241990890446</v>
      </c>
      <c r="H4727" s="1">
        <v>2.4206776993436452</v>
      </c>
      <c r="I4727" s="1">
        <v>8.3187773909298954</v>
      </c>
      <c r="J4727" s="1">
        <v>4.4231029302445567E-2</v>
      </c>
      <c r="K4727" s="1">
        <v>3.5073346129404892</v>
      </c>
      <c r="L4727" s="1">
        <v>2.3798800909989501</v>
      </c>
      <c r="M4727" s="1">
        <v>1.2164247020869217</v>
      </c>
      <c r="N4727" s="1">
        <v>1.5024368095742797</v>
      </c>
      <c r="O4727" s="1">
        <v>0.40731542288557221</v>
      </c>
      <c r="P4727" s="1">
        <v>0.17404408166652918</v>
      </c>
      <c r="Q4727" s="1">
        <v>0.88865226926080698</v>
      </c>
      <c r="R4727" s="2">
        <f t="shared" si="295"/>
        <v>30.678116132991171</v>
      </c>
      <c r="S4727" s="2">
        <f t="shared" si="294"/>
        <v>3.7256097239094643</v>
      </c>
      <c r="T4727" s="2">
        <f t="shared" si="296"/>
        <v>5.506057025545724</v>
      </c>
      <c r="U4727" s="2">
        <f t="shared" si="297"/>
        <v>39.909782882446358</v>
      </c>
    </row>
    <row r="4728" spans="1:21" x14ac:dyDescent="0.25">
      <c r="A4728">
        <v>5333665</v>
      </c>
      <c r="B4728">
        <v>67</v>
      </c>
      <c r="C4728" s="1">
        <f>1.17546018087269*(10.3/7.3)</f>
        <v>1.6585260086285862</v>
      </c>
      <c r="D4728" s="1">
        <f>1.79812300529057*(10.3/7.3)</f>
        <v>2.5370776649990177</v>
      </c>
      <c r="E4728" s="1">
        <f>6.19553637235335*(10.3/7.3)</f>
        <v>8.7416472103067804</v>
      </c>
      <c r="F4728" s="1">
        <f>17.9476045139733*(38.9/42.5)</f>
        <v>16.427336837495595</v>
      </c>
      <c r="G4728" s="1">
        <v>0.94167645218658325</v>
      </c>
      <c r="H4728" s="1">
        <v>3.8148538110509276</v>
      </c>
      <c r="I4728" s="1">
        <v>13.612471084277177</v>
      </c>
      <c r="J4728" s="1">
        <v>6.8639837255946454E-2</v>
      </c>
      <c r="K4728" s="1">
        <v>4.6369195542493253</v>
      </c>
      <c r="L4728" s="1">
        <v>3.6428369985739946</v>
      </c>
      <c r="M4728" s="1">
        <v>1.8387665110480576</v>
      </c>
      <c r="N4728" s="1">
        <v>2.0827369723642812</v>
      </c>
      <c r="O4728" s="1">
        <v>0.60618109452736313</v>
      </c>
      <c r="P4728" s="1">
        <v>0.21200295464521354</v>
      </c>
      <c r="Q4728" s="1">
        <v>1.5049623665082401</v>
      </c>
      <c r="R4728" s="2">
        <f t="shared" si="295"/>
        <v>49.238551435452905</v>
      </c>
      <c r="S4728" s="2">
        <f t="shared" si="294"/>
        <v>4.9175623461504854</v>
      </c>
      <c r="T4728" s="2">
        <f t="shared" si="296"/>
        <v>8.1705215765136963</v>
      </c>
      <c r="U4728" s="2">
        <f t="shared" si="297"/>
        <v>62.326635358117088</v>
      </c>
    </row>
    <row r="4729" spans="1:21" x14ac:dyDescent="0.25">
      <c r="A4729">
        <v>5333673</v>
      </c>
      <c r="B4729">
        <v>55</v>
      </c>
      <c r="C4729" s="1">
        <f>1.1140004585084*(10.3/7.3)</f>
        <v>1.5718088661145888</v>
      </c>
      <c r="D4729" s="1">
        <f>2.26780627614978*(10.3/7.3)</f>
        <v>3.1997814581291371</v>
      </c>
      <c r="E4729" s="1">
        <f>7.56367399481359*(10.3/7.3)</f>
        <v>10.672033170764387</v>
      </c>
      <c r="F4729" s="1">
        <f>31.0543095453787*(38.9/42.5)</f>
        <v>28.423826854475998</v>
      </c>
      <c r="G4729" s="1">
        <v>1.9453041007143361</v>
      </c>
      <c r="H4729" s="1">
        <v>8.7093771146942913</v>
      </c>
      <c r="I4729" s="1">
        <v>23.955804159572097</v>
      </c>
      <c r="J4729" s="1">
        <v>7.8160893296191483E-2</v>
      </c>
      <c r="K4729" s="1">
        <v>4.7318943514454643</v>
      </c>
      <c r="L4729" s="1">
        <v>3.7513224504479954</v>
      </c>
      <c r="M4729" s="1">
        <v>2.097039503716454</v>
      </c>
      <c r="N4729" s="1">
        <v>2.4388605883526653</v>
      </c>
      <c r="O4729" s="1">
        <v>0.61578472727272715</v>
      </c>
      <c r="P4729" s="1">
        <v>0.21039995817964466</v>
      </c>
      <c r="Q4729" s="1">
        <v>3.1089334942923208</v>
      </c>
      <c r="R4729" s="2">
        <f t="shared" si="295"/>
        <v>81.586869218757144</v>
      </c>
      <c r="S4729" s="2">
        <f t="shared" si="294"/>
        <v>5.0204552029213003</v>
      </c>
      <c r="T4729" s="2">
        <f t="shared" si="296"/>
        <v>8.9030072697898408</v>
      </c>
      <c r="U4729" s="2">
        <f t="shared" si="297"/>
        <v>95.510331691468281</v>
      </c>
    </row>
    <row r="4730" spans="1:21" x14ac:dyDescent="0.25">
      <c r="A4730">
        <v>5334073</v>
      </c>
      <c r="B4730">
        <v>3</v>
      </c>
      <c r="C4730" s="1">
        <f>3.9575601559325*(10.3/7.3)</f>
        <v>5.5839547405622989</v>
      </c>
      <c r="D4730" s="1">
        <f>12.6837026999882*(10.3/7.3)</f>
        <v>17.896183261627129</v>
      </c>
      <c r="E4730" s="1">
        <f>43.6321117996368*(10.3/7.3)</f>
        <v>61.563116648802627</v>
      </c>
      <c r="F4730" s="1">
        <f>86.3946374288208*(38.9/42.5)</f>
        <v>79.076503434850082</v>
      </c>
      <c r="G4730" s="1">
        <v>3.5861545794496759</v>
      </c>
      <c r="H4730" s="1">
        <v>5.7574734094109585</v>
      </c>
      <c r="I4730" s="1">
        <v>50.195575771332265</v>
      </c>
      <c r="J4730" s="1">
        <v>4.8771383985467938E-2</v>
      </c>
      <c r="K4730" s="1">
        <v>2.966218527536943</v>
      </c>
      <c r="L4730" s="1">
        <v>3.6700326800307916</v>
      </c>
      <c r="M4730" s="1">
        <v>0.29581574413599082</v>
      </c>
      <c r="N4730" s="1">
        <v>4.8765822429278485</v>
      </c>
      <c r="O4730" s="1">
        <v>0.22099555555555558</v>
      </c>
      <c r="P4730" s="1">
        <v>0.14732187212319078</v>
      </c>
      <c r="Q4730" s="1">
        <v>5.7312972730930953</v>
      </c>
      <c r="R4730" s="2">
        <f t="shared" si="295"/>
        <v>229.39025911912813</v>
      </c>
      <c r="S4730" s="2">
        <f t="shared" si="294"/>
        <v>3.1623117836456016</v>
      </c>
      <c r="T4730" s="2">
        <f t="shared" si="296"/>
        <v>9.063426222650186</v>
      </c>
      <c r="U4730" s="2">
        <f t="shared" si="297"/>
        <v>241.61599712542392</v>
      </c>
    </row>
    <row r="4731" spans="1:21" x14ac:dyDescent="0.25">
      <c r="A4731">
        <v>5334081</v>
      </c>
      <c r="B4731">
        <v>15</v>
      </c>
      <c r="C4731" s="1">
        <f>4.42905799677851*(10.3/7.3)</f>
        <v>6.2492188173724221</v>
      </c>
      <c r="D4731" s="1">
        <f>9.27936119501168*(10.3/7.3)</f>
        <v>13.092797302550721</v>
      </c>
      <c r="E4731" s="1">
        <f>32.133722871675*(10.3/7.3)</f>
        <v>45.339362407979742</v>
      </c>
      <c r="F4731" s="1">
        <f>68.3353465942051*(38.9/42.5)</f>
        <v>62.546940765048895</v>
      </c>
      <c r="G4731" s="1">
        <v>2.923071843805944</v>
      </c>
      <c r="H4731" s="1">
        <v>6.0107484940489906</v>
      </c>
      <c r="I4731" s="1">
        <v>44.727317529578521</v>
      </c>
      <c r="J4731" s="1">
        <v>5.1193404690088179E-2</v>
      </c>
      <c r="K4731" s="1">
        <v>3.1718543821730232</v>
      </c>
      <c r="L4731" s="1">
        <v>4.0664640170458988</v>
      </c>
      <c r="M4731" s="1">
        <v>0.31327112253872541</v>
      </c>
      <c r="N4731" s="1">
        <v>3.5265002591802714</v>
      </c>
      <c r="O4731" s="1">
        <v>0.23851022222222223</v>
      </c>
      <c r="P4731" s="1">
        <v>0.15659251865103513</v>
      </c>
      <c r="Q4731" s="1">
        <v>4.6715760060825637</v>
      </c>
      <c r="R4731" s="2">
        <f t="shared" si="295"/>
        <v>185.56103316646784</v>
      </c>
      <c r="S4731" s="2">
        <f t="shared" si="294"/>
        <v>3.3796403055141466</v>
      </c>
      <c r="T4731" s="2">
        <f t="shared" si="296"/>
        <v>8.1447456209871181</v>
      </c>
      <c r="U4731" s="2">
        <f t="shared" si="297"/>
        <v>197.08541909296912</v>
      </c>
    </row>
    <row r="4732" spans="1:21" x14ac:dyDescent="0.25">
      <c r="A4732">
        <v>5334089</v>
      </c>
      <c r="B4732">
        <v>56</v>
      </c>
      <c r="C4732" s="1">
        <f>2.87625005783144*(10.3/7.3)</f>
        <v>4.0582706295429851</v>
      </c>
      <c r="D4732" s="1">
        <f>5.46642781160949*(10.3/7.3)</f>
        <v>7.7129049944627059</v>
      </c>
      <c r="E4732" s="1">
        <f>18.9704863918912*(10.3/7.3)</f>
        <v>26.766576689928634</v>
      </c>
      <c r="F4732" s="1">
        <f>40.9730553008786*(38.9/42.5)</f>
        <v>37.502396498921847</v>
      </c>
      <c r="G4732" s="1">
        <v>1.758966439718354</v>
      </c>
      <c r="H4732" s="1">
        <v>4.3920349409669859</v>
      </c>
      <c r="I4732" s="1">
        <v>27.583580366091894</v>
      </c>
      <c r="J4732" s="1">
        <v>3.6177706777035155E-2</v>
      </c>
      <c r="K4732" s="1">
        <v>2.4571354127786686</v>
      </c>
      <c r="L4732" s="1">
        <v>2.9116924060581089</v>
      </c>
      <c r="M4732" s="1">
        <v>0.22962308916651739</v>
      </c>
      <c r="N4732" s="1">
        <v>2.4150798993463884</v>
      </c>
      <c r="O4732" s="1">
        <v>0.1772447619047619</v>
      </c>
      <c r="P4732" s="1">
        <v>0.12519044968132725</v>
      </c>
      <c r="Q4732" s="1">
        <v>2.8111335794585597</v>
      </c>
      <c r="R4732" s="2">
        <f t="shared" si="295"/>
        <v>112.58586413909195</v>
      </c>
      <c r="S4732" s="2">
        <f t="shared" si="294"/>
        <v>2.6185035692370309</v>
      </c>
      <c r="T4732" s="2">
        <f t="shared" si="296"/>
        <v>5.7336401564757757</v>
      </c>
      <c r="U4732" s="2">
        <f t="shared" si="297"/>
        <v>120.93800786480476</v>
      </c>
    </row>
    <row r="4733" spans="1:21" x14ac:dyDescent="0.25">
      <c r="A4733">
        <v>5334097</v>
      </c>
      <c r="B4733">
        <v>63</v>
      </c>
      <c r="C4733" s="1">
        <f>3.81951095129002*(10.3/7.3)</f>
        <v>5.3891729860667423</v>
      </c>
      <c r="D4733" s="1">
        <f>6.98870868872316*(10.3/7.3)</f>
        <v>9.8607807525819968</v>
      </c>
      <c r="E4733" s="1">
        <f>24.2699213356695*(10.3/7.3)</f>
        <v>34.243861610602131</v>
      </c>
      <c r="F4733" s="1">
        <f>53.011923390667*(38.9/42.5)</f>
        <v>48.521501644634</v>
      </c>
      <c r="G4733" s="1">
        <v>2.2897251346797534</v>
      </c>
      <c r="H4733" s="1">
        <v>5.247692119312811</v>
      </c>
      <c r="I4733" s="1">
        <v>36.145608047063021</v>
      </c>
      <c r="J4733" s="1">
        <v>4.4025326906798896E-2</v>
      </c>
      <c r="K4733" s="1">
        <v>2.8925261321483222</v>
      </c>
      <c r="L4733" s="1">
        <v>3.5602811642065495</v>
      </c>
      <c r="M4733" s="1">
        <v>0.27232502104731759</v>
      </c>
      <c r="N4733" s="1">
        <v>2.1968480369040653</v>
      </c>
      <c r="O4733" s="1">
        <v>0.21070560846560851</v>
      </c>
      <c r="P4733" s="1">
        <v>0.14440628090684846</v>
      </c>
      <c r="Q4733" s="1">
        <v>3.6593780691228961</v>
      </c>
      <c r="R4733" s="2">
        <f t="shared" si="295"/>
        <v>145.35772036406337</v>
      </c>
      <c r="S4733" s="2">
        <f t="shared" si="294"/>
        <v>3.0809577399619696</v>
      </c>
      <c r="T4733" s="2">
        <f t="shared" si="296"/>
        <v>6.2401598306235408</v>
      </c>
      <c r="U4733" s="2">
        <f t="shared" si="297"/>
        <v>154.6788379346489</v>
      </c>
    </row>
    <row r="4734" spans="1:21" x14ac:dyDescent="0.25">
      <c r="A4734">
        <v>5334105</v>
      </c>
      <c r="B4734">
        <v>65</v>
      </c>
      <c r="C4734" s="1">
        <f>5.97729995054963*(10.3/7.3)</f>
        <v>8.4337245877618106</v>
      </c>
      <c r="D4734" s="1">
        <f>10.7280615049454*(10.3/7.3)</f>
        <v>15.136853904237963</v>
      </c>
      <c r="E4734" s="1">
        <f>37.2616937208735*(10.3/7.3)</f>
        <v>52.574718537670826</v>
      </c>
      <c r="F4734" s="1">
        <f>82.2341511197842*(38.9/42.5)</f>
        <v>75.26843478963778</v>
      </c>
      <c r="G4734" s="1">
        <v>3.5780716938911268</v>
      </c>
      <c r="H4734" s="1">
        <v>6.9550134086595001</v>
      </c>
      <c r="I4734" s="1">
        <v>56.510977409857325</v>
      </c>
      <c r="J4734" s="1">
        <v>6.0072275912038717E-2</v>
      </c>
      <c r="K4734" s="1">
        <v>3.6659621760231107</v>
      </c>
      <c r="L4734" s="1">
        <v>5.07565361724002</v>
      </c>
      <c r="M4734" s="1">
        <v>0.35671055539202551</v>
      </c>
      <c r="N4734" s="1">
        <v>2.7925985232499593</v>
      </c>
      <c r="O4734" s="1">
        <v>0.27216000000000001</v>
      </c>
      <c r="P4734" s="1">
        <v>0.17484876659932391</v>
      </c>
      <c r="Q4734" s="1">
        <v>5.7183794194607138</v>
      </c>
      <c r="R4734" s="2">
        <f t="shared" si="295"/>
        <v>224.17617375117709</v>
      </c>
      <c r="S4734" s="2">
        <f t="shared" si="294"/>
        <v>3.9008832185344735</v>
      </c>
      <c r="T4734" s="2">
        <f t="shared" si="296"/>
        <v>8.4971226958820036</v>
      </c>
      <c r="U4734" s="2">
        <f t="shared" si="297"/>
        <v>236.57417966559356</v>
      </c>
    </row>
    <row r="4735" spans="1:21" x14ac:dyDescent="0.25">
      <c r="A4735">
        <v>5334113</v>
      </c>
      <c r="B4735">
        <v>65</v>
      </c>
      <c r="C4735" s="1">
        <f>6.07082499434384*(10.3/7.3)</f>
        <v>8.5656845810604825</v>
      </c>
      <c r="D4735" s="1">
        <f>10.6638869020912*(10.3/7.3)</f>
        <v>15.046306176923155</v>
      </c>
      <c r="E4735" s="1">
        <f>37.0638613372233*(10.3/7.3)</f>
        <v>52.295585174438322</v>
      </c>
      <c r="F4735" s="1">
        <f>81.8282657506074*(38.9/42.5)</f>
        <v>74.896930298791219</v>
      </c>
      <c r="G4735" s="1">
        <v>3.5521393319868126</v>
      </c>
      <c r="H4735" s="1">
        <v>6.7916584724136673</v>
      </c>
      <c r="I4735" s="1">
        <v>56.535055347323919</v>
      </c>
      <c r="J4735" s="1">
        <v>5.8400845312041511E-2</v>
      </c>
      <c r="K4735" s="1">
        <v>3.5738061485135901</v>
      </c>
      <c r="L4735" s="1">
        <v>4.9282188291831268</v>
      </c>
      <c r="M4735" s="1">
        <v>0.34003285679386758</v>
      </c>
      <c r="N4735" s="1">
        <v>3.0513532083208226</v>
      </c>
      <c r="O4735" s="1">
        <v>0.26428553846153852</v>
      </c>
      <c r="P4735" s="1">
        <v>0.1696960870176305</v>
      </c>
      <c r="Q4735" s="1">
        <v>5.6769350054583843</v>
      </c>
      <c r="R4735" s="2">
        <f t="shared" si="295"/>
        <v>223.36029438839594</v>
      </c>
      <c r="S4735" s="2">
        <f t="shared" si="294"/>
        <v>3.8019030808432621</v>
      </c>
      <c r="T4735" s="2">
        <f t="shared" si="296"/>
        <v>8.5838904327593557</v>
      </c>
      <c r="U4735" s="2">
        <f t="shared" si="297"/>
        <v>235.74608790199855</v>
      </c>
    </row>
    <row r="4736" spans="1:21" x14ac:dyDescent="0.25">
      <c r="A4736">
        <v>5334121</v>
      </c>
      <c r="B4736">
        <v>64</v>
      </c>
      <c r="C4736" s="1">
        <f>5.50679496692385*(10.3/7.3)</f>
        <v>7.7698613916870762</v>
      </c>
      <c r="D4736" s="1">
        <f>9.53594390704198*(10.3/7.3)</f>
        <v>13.454824964730472</v>
      </c>
      <c r="E4736" s="1">
        <f>33.1563019490385*(10.3/7.3)</f>
        <v>46.782179462341929</v>
      </c>
      <c r="F4736" s="1">
        <f>73.340120080647*(38.9/42.5)</f>
        <v>67.1277804973451</v>
      </c>
      <c r="G4736" s="1">
        <v>3.1835750194124715</v>
      </c>
      <c r="H4736" s="1">
        <v>6.52764884707228</v>
      </c>
      <c r="I4736" s="1">
        <v>50.87779807050849</v>
      </c>
      <c r="J4736" s="1">
        <v>5.512916181507261E-2</v>
      </c>
      <c r="K4736" s="1">
        <v>3.4121754156289925</v>
      </c>
      <c r="L4736" s="1">
        <v>4.6046568449458327</v>
      </c>
      <c r="M4736" s="1">
        <v>0.31678901849237434</v>
      </c>
      <c r="N4736" s="1">
        <v>2.5160833316164011</v>
      </c>
      <c r="O4736" s="1">
        <v>0.24797666666666665</v>
      </c>
      <c r="P4736" s="1">
        <v>0.16199078039753392</v>
      </c>
      <c r="Q4736" s="1">
        <v>5.0879052821660586</v>
      </c>
      <c r="R4736" s="2">
        <f t="shared" si="295"/>
        <v>200.81157353526385</v>
      </c>
      <c r="S4736" s="2">
        <f t="shared" si="294"/>
        <v>3.629295357841599</v>
      </c>
      <c r="T4736" s="2">
        <f t="shared" si="296"/>
        <v>7.6855058617212748</v>
      </c>
      <c r="U4736" s="2">
        <f t="shared" si="297"/>
        <v>212.12637475482674</v>
      </c>
    </row>
    <row r="4737" spans="1:21" x14ac:dyDescent="0.25">
      <c r="A4737">
        <v>5334129</v>
      </c>
      <c r="B4737">
        <v>56</v>
      </c>
      <c r="C4737" s="1">
        <f>5.74619145793789*(10.3/7.3)</f>
        <v>8.1076400022959341</v>
      </c>
      <c r="D4737" s="1">
        <f>9.84711447071614*(10.3/7.3)</f>
        <v>13.893873842243318</v>
      </c>
      <c r="E4737" s="1">
        <f>34.2514935576115*(10.3/7.3)</f>
        <v>48.327449814164162</v>
      </c>
      <c r="F4737" s="1">
        <f>75.6914941768219*(38.9/42.5)</f>
        <v>69.279979375961716</v>
      </c>
      <c r="G4737" s="1">
        <v>3.2783586039371357</v>
      </c>
      <c r="H4737" s="1">
        <v>7.0151511992000861</v>
      </c>
      <c r="I4737" s="1">
        <v>52.63163958853346</v>
      </c>
      <c r="J4737" s="1">
        <v>5.5686896851785912E-2</v>
      </c>
      <c r="K4737" s="1">
        <v>3.4119847748014536</v>
      </c>
      <c r="L4737" s="1">
        <v>4.6523796527398371</v>
      </c>
      <c r="M4737" s="1">
        <v>0.31052217869168647</v>
      </c>
      <c r="N4737" s="1">
        <v>2.4837578204861366</v>
      </c>
      <c r="O4737" s="1">
        <v>0.24622571428571427</v>
      </c>
      <c r="P4737" s="1">
        <v>0.16033766236935348</v>
      </c>
      <c r="Q4737" s="1">
        <v>5.2393858967031894</v>
      </c>
      <c r="R4737" s="2">
        <f t="shared" si="295"/>
        <v>207.773478323039</v>
      </c>
      <c r="S4737" s="2">
        <f t="shared" si="294"/>
        <v>3.6280093340225927</v>
      </c>
      <c r="T4737" s="2">
        <f t="shared" si="296"/>
        <v>7.6928853662033738</v>
      </c>
      <c r="U4737" s="2">
        <f t="shared" si="297"/>
        <v>219.09437302326495</v>
      </c>
    </row>
    <row r="4738" spans="1:21" x14ac:dyDescent="0.25">
      <c r="A4738">
        <v>5334137</v>
      </c>
      <c r="B4738">
        <v>67</v>
      </c>
      <c r="C4738" s="1">
        <f>6.35644000324546*(10.3/7.3)</f>
        <v>8.9686756210175655</v>
      </c>
      <c r="D4738" s="1">
        <f>10.7389961256561*(10.3/7.3)</f>
        <v>15.152282204692868</v>
      </c>
      <c r="E4738" s="1">
        <f>37.3752208289691*(10.3/7.3)</f>
        <v>52.734900621696077</v>
      </c>
      <c r="F4738" s="1">
        <f>82.4100439022528*(38.9/42.5)</f>
        <v>75.429428418767856</v>
      </c>
      <c r="G4738" s="1">
        <v>3.5552258785341899</v>
      </c>
      <c r="H4738" s="1">
        <v>6.9200179801751736</v>
      </c>
      <c r="I4738" s="1">
        <v>57.472537962963592</v>
      </c>
      <c r="J4738" s="1">
        <v>5.9733669226541899E-2</v>
      </c>
      <c r="K4738" s="1">
        <v>3.615713174942361</v>
      </c>
      <c r="L4738" s="1">
        <v>5.0401428754053565</v>
      </c>
      <c r="M4738" s="1">
        <v>0.32668329339043906</v>
      </c>
      <c r="N4738" s="1">
        <v>2.649169343689521</v>
      </c>
      <c r="O4738" s="1">
        <v>0.25872398009950254</v>
      </c>
      <c r="P4738" s="1">
        <v>0.16764604467955976</v>
      </c>
      <c r="Q4738" s="1">
        <v>5.6818678424062439</v>
      </c>
      <c r="R4738" s="2">
        <f t="shared" si="295"/>
        <v>225.91493653025358</v>
      </c>
      <c r="S4738" s="2">
        <f t="shared" si="294"/>
        <v>3.8430928888484623</v>
      </c>
      <c r="T4738" s="2">
        <f t="shared" si="296"/>
        <v>8.2747194925848184</v>
      </c>
      <c r="U4738" s="2">
        <f t="shared" si="297"/>
        <v>238.03274891168687</v>
      </c>
    </row>
    <row r="4739" spans="1:21" x14ac:dyDescent="0.25">
      <c r="A4739">
        <v>5334145</v>
      </c>
      <c r="B4739">
        <v>67</v>
      </c>
      <c r="C4739" s="1">
        <f>5.5040420348882*(10.3/7.3)</f>
        <v>7.7659771177189736</v>
      </c>
      <c r="D4739" s="1">
        <f>9.23692659619241*(10.3/7.3)</f>
        <v>13.032923827504357</v>
      </c>
      <c r="E4739" s="1">
        <f>32.1650691759616*(10.3/7.3)</f>
        <v>45.38359075512394</v>
      </c>
      <c r="F4739" s="1">
        <f>70.4021386334242*(38.9/42.5)</f>
        <v>64.43866336094591</v>
      </c>
      <c r="G4739" s="1">
        <v>3.0132102703953287</v>
      </c>
      <c r="H4739" s="1">
        <v>6.230202094840311</v>
      </c>
      <c r="I4739" s="1">
        <v>49.080244550583942</v>
      </c>
      <c r="J4739" s="1">
        <v>5.2814840509100243E-2</v>
      </c>
      <c r="K4739" s="1">
        <v>3.2836367502408095</v>
      </c>
      <c r="L4739" s="1">
        <v>4.399437023079992</v>
      </c>
      <c r="M4739" s="1">
        <v>0.28309666250963877</v>
      </c>
      <c r="N4739" s="1">
        <v>2.370624468206433</v>
      </c>
      <c r="O4739" s="1">
        <v>0.23066268656716415</v>
      </c>
      <c r="P4739" s="1">
        <v>0.15315646676462866</v>
      </c>
      <c r="Q4739" s="1">
        <v>4.8156328522299807</v>
      </c>
      <c r="R4739" s="2">
        <f t="shared" si="295"/>
        <v>193.76044482934273</v>
      </c>
      <c r="S4739" s="2">
        <f t="shared" si="294"/>
        <v>3.4896080575145385</v>
      </c>
      <c r="T4739" s="2">
        <f t="shared" si="296"/>
        <v>7.2838208403632283</v>
      </c>
      <c r="U4739" s="2">
        <f t="shared" si="297"/>
        <v>204.53387372722051</v>
      </c>
    </row>
    <row r="4740" spans="1:21" x14ac:dyDescent="0.25">
      <c r="A4740">
        <v>5334153</v>
      </c>
      <c r="B4740">
        <v>67</v>
      </c>
      <c r="C4740" s="1">
        <f>5.56271576821284*(10.3/7.3)</f>
        <v>7.848763344190715</v>
      </c>
      <c r="D4740" s="1">
        <f>9.36415469060957*(10.3/7.3)</f>
        <v>13.212437440175153</v>
      </c>
      <c r="E4740" s="1">
        <f>32.6165218518876*(10.3/7.3)</f>
        <v>46.020571928005779</v>
      </c>
      <c r="F4740" s="1">
        <f>70.7914575046949*(38.9/42.5)</f>
        <v>64.795004633709027</v>
      </c>
      <c r="G4740" s="1">
        <v>3.0064042480157553</v>
      </c>
      <c r="H4740" s="1">
        <v>6.2352657916510381</v>
      </c>
      <c r="I4740" s="1">
        <v>49.194710141594278</v>
      </c>
      <c r="J4740" s="1">
        <v>5.2899197933049716E-2</v>
      </c>
      <c r="K4740" s="1">
        <v>3.2518884365219165</v>
      </c>
      <c r="L4740" s="1">
        <v>4.3556223785370083</v>
      </c>
      <c r="M4740" s="1">
        <v>0.2787696240307817</v>
      </c>
      <c r="N4740" s="1">
        <v>2.3578672436867265</v>
      </c>
      <c r="O4740" s="1">
        <v>0.22599562189054731</v>
      </c>
      <c r="P4740" s="1">
        <v>0.15071548616272143</v>
      </c>
      <c r="Q4740" s="1">
        <v>4.804755647513768</v>
      </c>
      <c r="R4740" s="2">
        <f t="shared" si="295"/>
        <v>195.11791317485549</v>
      </c>
      <c r="S4740" s="2">
        <f t="shared" si="294"/>
        <v>3.4555031206176876</v>
      </c>
      <c r="T4740" s="2">
        <f t="shared" si="296"/>
        <v>7.2182548681450633</v>
      </c>
      <c r="U4740" s="2">
        <f t="shared" si="297"/>
        <v>205.79167116361825</v>
      </c>
    </row>
    <row r="4741" spans="1:21" x14ac:dyDescent="0.25">
      <c r="A4741">
        <v>5334161</v>
      </c>
      <c r="B4741">
        <v>55</v>
      </c>
      <c r="C4741" s="1">
        <f>5.50051847643489*(10.3/7.3)</f>
        <v>7.7610055215451137</v>
      </c>
      <c r="D4741" s="1">
        <f>9.46823666362333*(10.3/7.3)</f>
        <v>13.359292826756203</v>
      </c>
      <c r="E4741" s="1">
        <f>32.9705252586354*(10.3/7.3)</f>
        <v>46.520056186841799</v>
      </c>
      <c r="F4741" s="1">
        <f>70.7435247865212*(38.9/42.5)</f>
        <v>64.751132098721769</v>
      </c>
      <c r="G4741" s="1">
        <v>2.9795024800706913</v>
      </c>
      <c r="H4741" s="1">
        <v>8.0657151621984617</v>
      </c>
      <c r="I4741" s="1">
        <v>48.715147089971218</v>
      </c>
      <c r="J4741" s="1">
        <v>5.3142038153721302E-2</v>
      </c>
      <c r="K4741" s="1">
        <v>3.2100898776523747</v>
      </c>
      <c r="L4741" s="1">
        <v>4.2923307090900122</v>
      </c>
      <c r="M4741" s="1">
        <v>0.26740891436901154</v>
      </c>
      <c r="N4741" s="1">
        <v>2.3540570495732456</v>
      </c>
      <c r="O4741" s="1">
        <v>0.22108509090909093</v>
      </c>
      <c r="P4741" s="1">
        <v>0.14745763002570295</v>
      </c>
      <c r="Q4741" s="1">
        <v>4.7617619544508818</v>
      </c>
      <c r="R4741" s="2">
        <f t="shared" si="295"/>
        <v>196.91361332055615</v>
      </c>
      <c r="S4741" s="2">
        <f t="shared" si="294"/>
        <v>3.410689545831799</v>
      </c>
      <c r="T4741" s="2">
        <f t="shared" si="296"/>
        <v>7.1348817639413609</v>
      </c>
      <c r="U4741" s="2">
        <f t="shared" si="297"/>
        <v>207.4591846303293</v>
      </c>
    </row>
    <row r="4742" spans="1:21" x14ac:dyDescent="0.25">
      <c r="A4742">
        <v>5334169</v>
      </c>
      <c r="B4742">
        <v>1</v>
      </c>
      <c r="C4742" s="1">
        <f>3.10627780094444*(10.3/7.3)</f>
        <v>4.3828303218805091</v>
      </c>
      <c r="D4742" s="1">
        <f>5.66301251059954*(10.3/7.3)</f>
        <v>7.9902779259144143</v>
      </c>
      <c r="E4742" s="1">
        <f>19.715669496092*(10.3/7.3)</f>
        <v>27.817999425992792</v>
      </c>
      <c r="F4742" s="1">
        <f>40.6684987051687*(38.9/42.5)</f>
        <v>37.223637638377973</v>
      </c>
      <c r="G4742" s="1">
        <v>1.6577068391093295</v>
      </c>
      <c r="H4742" s="1">
        <v>5.4786692711489335</v>
      </c>
      <c r="I4742" s="1">
        <v>27.249280193026713</v>
      </c>
      <c r="J4742" s="1">
        <v>3.7518407621324829E-2</v>
      </c>
      <c r="K4742" s="1">
        <v>2.3238719356119981</v>
      </c>
      <c r="L4742" s="1">
        <v>2.6862912170307363</v>
      </c>
      <c r="M4742" s="1">
        <v>0.18322887202575713</v>
      </c>
      <c r="N4742" s="1">
        <v>1.7260288780352273</v>
      </c>
      <c r="O4742" s="1">
        <v>0.15477333333333335</v>
      </c>
      <c r="P4742" s="1">
        <v>0.11240192783097844</v>
      </c>
      <c r="Q4742" s="1">
        <v>2.6493031675263286</v>
      </c>
      <c r="R4742" s="2">
        <f t="shared" si="295"/>
        <v>114.44970478297698</v>
      </c>
      <c r="S4742" s="2">
        <f t="shared" si="294"/>
        <v>2.4737922710643012</v>
      </c>
      <c r="T4742" s="2">
        <f t="shared" si="296"/>
        <v>4.7503223004250534</v>
      </c>
      <c r="U4742" s="2">
        <f t="shared" si="297"/>
        <v>121.67381935446633</v>
      </c>
    </row>
    <row r="4743" spans="1:21" x14ac:dyDescent="0.25">
      <c r="A4743">
        <v>5334329</v>
      </c>
      <c r="B4743">
        <v>9</v>
      </c>
      <c r="C4743" s="1">
        <f>8.98811843928446*(10.3/7.3)</f>
        <v>12.681865743099994</v>
      </c>
      <c r="D4743" s="1">
        <f>10.4003817467306*(10.3/7.3)</f>
        <v>14.674511231688415</v>
      </c>
      <c r="E4743" s="1">
        <f>36.6813564088959*(10.3/7.3)</f>
        <v>51.755886439948988</v>
      </c>
      <c r="F4743" s="1">
        <f>84.82076837054*(38.9/42.5)</f>
        <v>77.635950343858966</v>
      </c>
      <c r="G4743" s="1">
        <v>3.6125014483057103</v>
      </c>
      <c r="H4743" s="1">
        <v>7.8061426395585487</v>
      </c>
      <c r="I4743" s="1">
        <v>66.413351050995132</v>
      </c>
      <c r="J4743" s="1">
        <v>4.1787070601086503E-2</v>
      </c>
      <c r="K4743" s="1">
        <v>2.5147655763061154</v>
      </c>
      <c r="L4743" s="1">
        <v>3.0260432472534036</v>
      </c>
      <c r="M4743" s="1">
        <v>0.15254797288965355</v>
      </c>
      <c r="N4743" s="1">
        <v>1.831920116737509</v>
      </c>
      <c r="O4743" s="1">
        <v>0.13861925925925928</v>
      </c>
      <c r="P4743" s="1">
        <v>0.10127283152138762</v>
      </c>
      <c r="Q4743" s="1">
        <v>5.7734041411278536</v>
      </c>
      <c r="R4743" s="2">
        <f t="shared" si="295"/>
        <v>240.3536130385836</v>
      </c>
      <c r="S4743" s="2">
        <f t="shared" si="294"/>
        <v>2.6578254784285895</v>
      </c>
      <c r="T4743" s="2">
        <f t="shared" si="296"/>
        <v>5.1491305961398259</v>
      </c>
      <c r="U4743" s="2">
        <f t="shared" si="297"/>
        <v>248.16056911315201</v>
      </c>
    </row>
    <row r="4744" spans="1:21" x14ac:dyDescent="0.25">
      <c r="A4744">
        <v>5334337</v>
      </c>
      <c r="B4744">
        <v>58</v>
      </c>
      <c r="C4744" s="1">
        <f>5.47115600489995*(10.3/7.3)</f>
        <v>7.7195762808862307</v>
      </c>
      <c r="D4744" s="1">
        <f>6.52663631979367*(10.3/7.3)</f>
        <v>9.2088156292979111</v>
      </c>
      <c r="E4744" s="1">
        <f>22.9944240959344*(10.3/7.3)</f>
        <v>32.444187423030669</v>
      </c>
      <c r="F4744" s="1">
        <f>52.7141115560768*(38.9/42.5)</f>
        <v>48.248916224267951</v>
      </c>
      <c r="G4744" s="1">
        <v>2.2383944596833927</v>
      </c>
      <c r="H4744" s="1">
        <v>4.9760805067455616</v>
      </c>
      <c r="I4744" s="1">
        <v>40.840467324659031</v>
      </c>
      <c r="J4744" s="1">
        <v>3.3098013527899858E-2</v>
      </c>
      <c r="K4744" s="1">
        <v>2.0985856767539319</v>
      </c>
      <c r="L4744" s="1">
        <v>2.4123196077738616</v>
      </c>
      <c r="M4744" s="1">
        <v>0.12771509271934764</v>
      </c>
      <c r="N4744" s="1">
        <v>1.5117891804502077</v>
      </c>
      <c r="O4744" s="1">
        <v>0.11273747126436778</v>
      </c>
      <c r="P4744" s="1">
        <v>8.710282456954993E-2</v>
      </c>
      <c r="Q4744" s="1">
        <v>3.5773427437862493</v>
      </c>
      <c r="R4744" s="2">
        <f t="shared" si="295"/>
        <v>149.253780592357</v>
      </c>
      <c r="S4744" s="2">
        <f t="shared" si="294"/>
        <v>2.2187865148513817</v>
      </c>
      <c r="T4744" s="2">
        <f t="shared" si="296"/>
        <v>4.1645613522077847</v>
      </c>
      <c r="U4744" s="2">
        <f t="shared" si="297"/>
        <v>155.63712845941618</v>
      </c>
    </row>
    <row r="4745" spans="1:21" x14ac:dyDescent="0.25">
      <c r="A4745">
        <v>5334345</v>
      </c>
      <c r="B4745">
        <v>58</v>
      </c>
      <c r="C4745" s="1">
        <f>4.52521296383789*(10.3/7.3)</f>
        <v>6.3848895243192088</v>
      </c>
      <c r="D4745" s="1">
        <f>5.53993992582818*(10.3/7.3)</f>
        <v>7.816627566579486</v>
      </c>
      <c r="E4745" s="1">
        <f>19.4993120091556*(10.3/7.3)</f>
        <v>27.512727903329175</v>
      </c>
      <c r="F4745" s="1">
        <f>44.4612363284709*(38.9/42.5)</f>
        <v>40.695108074765137</v>
      </c>
      <c r="G4745" s="1">
        <v>1.8865780478300154</v>
      </c>
      <c r="H4745" s="1">
        <v>4.4114644818356146</v>
      </c>
      <c r="I4745" s="1">
        <v>34.148834267008446</v>
      </c>
      <c r="J4745" s="1">
        <v>3.107576114415795E-2</v>
      </c>
      <c r="K4745" s="1">
        <v>1.9842548553789114</v>
      </c>
      <c r="L4745" s="1">
        <v>2.2367961076127187</v>
      </c>
      <c r="M4745" s="1">
        <v>0.11957143730269547</v>
      </c>
      <c r="N4745" s="1">
        <v>1.4738042004017979</v>
      </c>
      <c r="O4745" s="1">
        <v>0.10544827586206892</v>
      </c>
      <c r="P4745" s="1">
        <v>8.230835702867538E-2</v>
      </c>
      <c r="Q4745" s="1">
        <v>3.0150790718744549</v>
      </c>
      <c r="R4745" s="2">
        <f t="shared" si="295"/>
        <v>125.87130893754153</v>
      </c>
      <c r="S4745" s="2">
        <f t="shared" ref="S4745:S4808" si="298">J4745+K4745+P4745</f>
        <v>2.0976389735517449</v>
      </c>
      <c r="T4745" s="2">
        <f t="shared" si="296"/>
        <v>3.9356200211792811</v>
      </c>
      <c r="U4745" s="2">
        <f t="shared" si="297"/>
        <v>131.90456793227256</v>
      </c>
    </row>
    <row r="4746" spans="1:21" x14ac:dyDescent="0.25">
      <c r="A4746">
        <v>5334353</v>
      </c>
      <c r="B4746">
        <v>65</v>
      </c>
      <c r="C4746" s="1">
        <f>4.4353162844499*(10.3/7.3)</f>
        <v>6.2580490040868524</v>
      </c>
      <c r="D4746" s="1">
        <f>5.55023184036245*(10.3/7.3)</f>
        <v>7.8311490350319533</v>
      </c>
      <c r="E4746" s="1">
        <f>19.5223379617656*(10.3/7.3)</f>
        <v>27.545216576189812</v>
      </c>
      <c r="F4746" s="1">
        <f>44.1943826930239*(38.9/42.5)</f>
        <v>40.450858511967787</v>
      </c>
      <c r="G4746" s="1">
        <v>1.8691108867914126</v>
      </c>
      <c r="H4746" s="1">
        <v>4.3756487842046061</v>
      </c>
      <c r="I4746" s="1">
        <v>33.680559116200413</v>
      </c>
      <c r="J4746" s="1">
        <v>3.1719188406305575E-2</v>
      </c>
      <c r="K4746" s="1">
        <v>1.9862951249336653</v>
      </c>
      <c r="L4746" s="1">
        <v>2.2244395291558217</v>
      </c>
      <c r="M4746" s="1">
        <v>0.11834734422835484</v>
      </c>
      <c r="N4746" s="1">
        <v>1.4482476171793304</v>
      </c>
      <c r="O4746" s="1">
        <v>0.10381620512820514</v>
      </c>
      <c r="P4746" s="1">
        <v>8.1291591361463439E-2</v>
      </c>
      <c r="Q4746" s="1">
        <v>2.9871635177031739</v>
      </c>
      <c r="R4746" s="2">
        <f t="shared" ref="R4746:R4809" si="299">C4746+D4746+E4746+F4746+G4746+H4746+I4746+Q4746</f>
        <v>124.99775543217601</v>
      </c>
      <c r="S4746" s="2">
        <f t="shared" si="298"/>
        <v>2.0993059047014344</v>
      </c>
      <c r="T4746" s="2">
        <f t="shared" ref="T4746:T4809" si="300">L4746+M4746+N4746+O4746</f>
        <v>3.8948506956917122</v>
      </c>
      <c r="U4746" s="2">
        <f t="shared" ref="U4746:U4809" si="301">R4746+S4746+T4746</f>
        <v>130.99191203256916</v>
      </c>
    </row>
    <row r="4747" spans="1:21" x14ac:dyDescent="0.25">
      <c r="A4747">
        <v>5334361</v>
      </c>
      <c r="B4747">
        <v>18</v>
      </c>
      <c r="C4747" s="1">
        <f>5.98632585564751*(10.3/7.3)</f>
        <v>8.4464597689273067</v>
      </c>
      <c r="D4747" s="1">
        <f>7.7245953944316*(10.3/7.3)</f>
        <v>10.899086652417186</v>
      </c>
      <c r="E4747" s="1">
        <f>27.1122857342053*(10.3/7.3)</f>
        <v>38.254320967440343</v>
      </c>
      <c r="F4747" s="1">
        <f>62.4486569665296*(38.9/42.5)</f>
        <v>57.158888376423576</v>
      </c>
      <c r="G4747" s="1">
        <v>2.6994215000325448</v>
      </c>
      <c r="H4747" s="1">
        <v>6.228118681631055</v>
      </c>
      <c r="I4747" s="1">
        <v>47.313752200803684</v>
      </c>
      <c r="J4747" s="1">
        <v>3.8756008717180185E-2</v>
      </c>
      <c r="K4747" s="1">
        <v>2.2812872309625369</v>
      </c>
      <c r="L4747" s="1">
        <v>2.6172109350931057</v>
      </c>
      <c r="M4747" s="1">
        <v>0.13304133758791448</v>
      </c>
      <c r="N4747" s="1">
        <v>1.700520351901448</v>
      </c>
      <c r="O4747" s="1">
        <v>0.12026666666666665</v>
      </c>
      <c r="P4747" s="1">
        <v>9.085423001124078E-2</v>
      </c>
      <c r="Q4747" s="1">
        <v>4.3141439498237073</v>
      </c>
      <c r="R4747" s="2">
        <f t="shared" si="299"/>
        <v>175.31419209749942</v>
      </c>
      <c r="S4747" s="2">
        <f t="shared" si="298"/>
        <v>2.410897469690958</v>
      </c>
      <c r="T4747" s="2">
        <f t="shared" si="300"/>
        <v>4.5710392912491349</v>
      </c>
      <c r="U4747" s="2">
        <f t="shared" si="301"/>
        <v>182.29612885843949</v>
      </c>
    </row>
    <row r="4748" spans="1:21" x14ac:dyDescent="0.25">
      <c r="A4748">
        <v>5334545</v>
      </c>
      <c r="B4748">
        <v>9</v>
      </c>
      <c r="C4748" s="1">
        <f>5.4291598726313*(10.3/7.3)</f>
        <v>7.6603214641236184</v>
      </c>
      <c r="D4748" s="1">
        <f>6.86788545875842*(10.3/7.3)</f>
        <v>9.6903041404399612</v>
      </c>
      <c r="E4748" s="1">
        <f>23.9445152861761*(10.3/7.3)</f>
        <v>33.784727047618368</v>
      </c>
      <c r="F4748" s="1">
        <f>64.393005515786*(38.9/42.5)</f>
        <v>58.938539166213552</v>
      </c>
      <c r="G4748" s="1">
        <v>3.1526830176372687</v>
      </c>
      <c r="H4748" s="1">
        <v>8.5936616914097854</v>
      </c>
      <c r="I4748" s="1">
        <v>50.307417334209362</v>
      </c>
      <c r="J4748" s="1">
        <v>4.001906903557885E-2</v>
      </c>
      <c r="K4748" s="1">
        <v>2.2058591263725229</v>
      </c>
      <c r="L4748" s="1">
        <v>2.1935002351014434</v>
      </c>
      <c r="M4748" s="1">
        <v>0.1018173793733473</v>
      </c>
      <c r="N4748" s="1">
        <v>1.5714585042656513</v>
      </c>
      <c r="O4748" s="1">
        <v>0.10190222222222221</v>
      </c>
      <c r="P4748" s="1">
        <v>7.8431874208022598E-2</v>
      </c>
      <c r="Q4748" s="1">
        <v>5.0385345030732651</v>
      </c>
      <c r="R4748" s="2">
        <f t="shared" si="299"/>
        <v>177.1661883647252</v>
      </c>
      <c r="S4748" s="2">
        <f t="shared" si="298"/>
        <v>2.3243100696161245</v>
      </c>
      <c r="T4748" s="2">
        <f t="shared" si="300"/>
        <v>3.9686783409626645</v>
      </c>
      <c r="U4748" s="2">
        <f t="shared" si="301"/>
        <v>183.459176775304</v>
      </c>
    </row>
    <row r="4749" spans="1:21" x14ac:dyDescent="0.25">
      <c r="A4749">
        <v>5334553</v>
      </c>
      <c r="B4749">
        <v>1</v>
      </c>
      <c r="C4749" s="1">
        <f>4.07850810125286*(10.3/7.3)</f>
        <v>5.7546073209458157</v>
      </c>
      <c r="D4749" s="1">
        <f>5.1939672504305*(10.3/7.3)</f>
        <v>7.3284743396485155</v>
      </c>
      <c r="E4749" s="1">
        <f>18.0990738983234*(10.3/7.3)</f>
        <v>25.537049472976914</v>
      </c>
      <c r="F4749" s="1">
        <f>48.8790984891046*(38.9/42.5)</f>
        <v>44.738751322968724</v>
      </c>
      <c r="G4749" s="1">
        <v>2.4023337299454943</v>
      </c>
      <c r="H4749" s="1">
        <v>7.8602612473871893</v>
      </c>
      <c r="I4749" s="1">
        <v>38.148723915108349</v>
      </c>
      <c r="J4749" s="1">
        <v>3.1136629170468395E-2</v>
      </c>
      <c r="K4749" s="1">
        <v>1.865204544094659</v>
      </c>
      <c r="L4749" s="1">
        <v>1.8155147224765491</v>
      </c>
      <c r="M4749" s="1">
        <v>8.7051837013292027E-2</v>
      </c>
      <c r="N4749" s="1">
        <v>1.2597696188842258</v>
      </c>
      <c r="O4749" s="1">
        <v>8.7253333333333336E-2</v>
      </c>
      <c r="P4749" s="1">
        <v>6.843180013468414E-2</v>
      </c>
      <c r="Q4749" s="1">
        <v>3.8393461437485112</v>
      </c>
      <c r="R4749" s="2">
        <f t="shared" si="299"/>
        <v>135.60954749272952</v>
      </c>
      <c r="S4749" s="2">
        <f t="shared" si="298"/>
        <v>1.9647729733998116</v>
      </c>
      <c r="T4749" s="2">
        <f t="shared" si="300"/>
        <v>3.2495895117074003</v>
      </c>
      <c r="U4749" s="2">
        <f t="shared" si="301"/>
        <v>140.82390997783673</v>
      </c>
    </row>
    <row r="4750" spans="1:21" x14ac:dyDescent="0.25">
      <c r="A4750">
        <v>5345877</v>
      </c>
      <c r="B4750">
        <v>47</v>
      </c>
      <c r="C4750" s="1">
        <f>0.649885114230761*(10.3/7.3)</f>
        <v>0.91696118857216957</v>
      </c>
      <c r="D4750" s="1">
        <f>0.952774372323191*(10.3/7.3)</f>
        <v>1.3443254842368308</v>
      </c>
      <c r="E4750" s="1">
        <f>3.30255668884678*(10.3/7.3)</f>
        <v>4.6597717664550498</v>
      </c>
      <c r="F4750" s="1">
        <f>8.82629512338218*(38.9/42.5)</f>
        <v>8.0786560070486306</v>
      </c>
      <c r="G4750" s="1">
        <v>0.43770857054804974</v>
      </c>
      <c r="H4750" s="1">
        <v>1.8377273643611656</v>
      </c>
      <c r="I4750" s="1">
        <v>6.655334705805946</v>
      </c>
      <c r="J4750" s="1">
        <v>3.4915969504184893E-2</v>
      </c>
      <c r="K4750" s="1">
        <v>3.0034630680372847</v>
      </c>
      <c r="L4750" s="1">
        <v>2.0253652999643061</v>
      </c>
      <c r="M4750" s="1">
        <v>0.8651169932314392</v>
      </c>
      <c r="N4750" s="1">
        <v>1.2115721467850125</v>
      </c>
      <c r="O4750" s="1">
        <v>0.3488374468085107</v>
      </c>
      <c r="P4750" s="1">
        <v>0.15478064832840346</v>
      </c>
      <c r="Q4750" s="1">
        <v>0.69953424516811713</v>
      </c>
      <c r="R4750" s="2">
        <f t="shared" si="299"/>
        <v>24.630019332195957</v>
      </c>
      <c r="S4750" s="2">
        <f t="shared" si="298"/>
        <v>3.193159685869873</v>
      </c>
      <c r="T4750" s="2">
        <f t="shared" si="300"/>
        <v>4.4508918867892691</v>
      </c>
      <c r="U4750" s="2">
        <f t="shared" si="301"/>
        <v>32.274070904855101</v>
      </c>
    </row>
    <row r="4751" spans="1:21" x14ac:dyDescent="0.25">
      <c r="A4751">
        <v>5345885</v>
      </c>
      <c r="B4751">
        <v>58</v>
      </c>
      <c r="C4751" s="1">
        <f>0.673353501933508*(10.3/7.3)</f>
        <v>0.95007411916645645</v>
      </c>
      <c r="D4751" s="1">
        <f>0.992988653282296*(10.3/7.3)</f>
        <v>1.4010661820284458</v>
      </c>
      <c r="E4751" s="1">
        <f>3.43938430042751*(10.3/7.3)</f>
        <v>4.8528299033429203</v>
      </c>
      <c r="F4751" s="1">
        <f>9.28330753386368*(38.9/42.5)</f>
        <v>8.4969567780540523</v>
      </c>
      <c r="G4751" s="1">
        <v>0.46381013134861199</v>
      </c>
      <c r="H4751" s="1">
        <v>2.0025133292544051</v>
      </c>
      <c r="I4751" s="1">
        <v>7.003769121033053</v>
      </c>
      <c r="J4751" s="1">
        <v>3.935805592613538E-2</v>
      </c>
      <c r="K4751" s="1">
        <v>3.2418176177710518</v>
      </c>
      <c r="L4751" s="1">
        <v>2.1722219500829523</v>
      </c>
      <c r="M4751" s="1">
        <v>1.0535065743692826</v>
      </c>
      <c r="N4751" s="1">
        <v>1.3496954578988147</v>
      </c>
      <c r="O4751" s="1">
        <v>0.37621149425287348</v>
      </c>
      <c r="P4751" s="1">
        <v>0.16343794118830901</v>
      </c>
      <c r="Q4751" s="1">
        <v>0.74124906836536208</v>
      </c>
      <c r="R4751" s="2">
        <f t="shared" si="299"/>
        <v>25.912268632593307</v>
      </c>
      <c r="S4751" s="2">
        <f t="shared" si="298"/>
        <v>3.4446136148854962</v>
      </c>
      <c r="T4751" s="2">
        <f t="shared" si="300"/>
        <v>4.951635476603923</v>
      </c>
      <c r="U4751" s="2">
        <f t="shared" si="301"/>
        <v>34.308517724082726</v>
      </c>
    </row>
    <row r="4752" spans="1:21" x14ac:dyDescent="0.25">
      <c r="A4752">
        <v>5345893</v>
      </c>
      <c r="B4752">
        <v>58</v>
      </c>
      <c r="C4752" s="1">
        <f>1.19631064421329*(10.3/7.3)</f>
        <v>1.6879451555338254</v>
      </c>
      <c r="D4752" s="1">
        <f>1.82029743386979*(10.3/7.3)</f>
        <v>2.5683648724464141</v>
      </c>
      <c r="E4752" s="1">
        <f>6.27850627938218*(10.3/7.3)</f>
        <v>8.8587143394022583</v>
      </c>
      <c r="F4752" s="1">
        <f>17.91458334029*(38.9/42.5)</f>
        <v>16.39711275146546</v>
      </c>
      <c r="G4752" s="1">
        <v>0.93083911092850391</v>
      </c>
      <c r="H4752" s="1">
        <v>3.5241155818809813</v>
      </c>
      <c r="I4752" s="1">
        <v>13.564751193012905</v>
      </c>
      <c r="J4752" s="1">
        <v>6.5674259311032782E-2</v>
      </c>
      <c r="K4752" s="1">
        <v>4.6067900378603559</v>
      </c>
      <c r="L4752" s="1">
        <v>3.5764247759713528</v>
      </c>
      <c r="M4752" s="1">
        <v>1.7081546278049098</v>
      </c>
      <c r="N4752" s="1">
        <v>1.9962053988128041</v>
      </c>
      <c r="O4752" s="1">
        <v>0.60300689655172424</v>
      </c>
      <c r="P4752" s="1">
        <v>0.21008761626528008</v>
      </c>
      <c r="Q4752" s="1">
        <v>1.4876424147259208</v>
      </c>
      <c r="R4752" s="2">
        <f t="shared" si="299"/>
        <v>49.019485419396268</v>
      </c>
      <c r="S4752" s="2">
        <f t="shared" si="298"/>
        <v>4.8825519134366688</v>
      </c>
      <c r="T4752" s="2">
        <f t="shared" si="300"/>
        <v>7.883791699140791</v>
      </c>
      <c r="U4752" s="2">
        <f t="shared" si="301"/>
        <v>61.785829031973734</v>
      </c>
    </row>
    <row r="4753" spans="1:21" x14ac:dyDescent="0.25">
      <c r="A4753">
        <v>5345901</v>
      </c>
      <c r="B4753">
        <v>58</v>
      </c>
      <c r="C4753" s="1">
        <f>1.20835553781782*(10.3/7.3)</f>
        <v>1.7049400054141781</v>
      </c>
      <c r="D4753" s="1">
        <f>1.9287450558262*(10.3/7.3)</f>
        <v>2.7213800102753196</v>
      </c>
      <c r="E4753" s="1">
        <f>6.6114065774975*(10.3/7.3)</f>
        <v>9.3284229792088063</v>
      </c>
      <c r="F4753" s="1">
        <f>20.3806585337159*(38.9/42.5)</f>
        <v>18.654296869683517</v>
      </c>
      <c r="G4753" s="1">
        <v>1.1119973693151777</v>
      </c>
      <c r="H4753" s="1">
        <v>4.3203347951810018</v>
      </c>
      <c r="I4753" s="1">
        <v>15.505081483394337</v>
      </c>
      <c r="J4753" s="1">
        <v>7.4107699937189783E-2</v>
      </c>
      <c r="K4753" s="1">
        <v>4.7819840083260301</v>
      </c>
      <c r="L4753" s="1">
        <v>3.7747912757014892</v>
      </c>
      <c r="M4753" s="1">
        <v>1.9694464643676515</v>
      </c>
      <c r="N4753" s="1">
        <v>2.1851962827191063</v>
      </c>
      <c r="O4753" s="1">
        <v>0.62701793103448256</v>
      </c>
      <c r="P4753" s="1">
        <v>0.21229089580460997</v>
      </c>
      <c r="Q4753" s="1">
        <v>1.7771647454808799</v>
      </c>
      <c r="R4753" s="2">
        <f t="shared" si="299"/>
        <v>55.123618257953218</v>
      </c>
      <c r="S4753" s="2">
        <f t="shared" si="298"/>
        <v>5.0683826040678301</v>
      </c>
      <c r="T4753" s="2">
        <f t="shared" si="300"/>
        <v>8.5564519538227284</v>
      </c>
      <c r="U4753" s="2">
        <f t="shared" si="301"/>
        <v>68.748452815843777</v>
      </c>
    </row>
    <row r="4754" spans="1:21" x14ac:dyDescent="0.25">
      <c r="A4754">
        <v>5345909</v>
      </c>
      <c r="B4754">
        <v>21</v>
      </c>
      <c r="C4754" s="1">
        <f>1.05824236429271*(10.3/7.3)</f>
        <v>1.493136486604784</v>
      </c>
      <c r="D4754" s="1">
        <f>1.72331321079154*(10.3/7.3)</f>
        <v>2.4315241193360118</v>
      </c>
      <c r="E4754" s="1">
        <f>5.89397935428179*(10.3/7.3)</f>
        <v>8.3161626505619708</v>
      </c>
      <c r="F4754" s="1">
        <f>18.6363210994231*(38.9/42.5)</f>
        <v>17.057715076883753</v>
      </c>
      <c r="G4754" s="1">
        <v>1.0321875513963477</v>
      </c>
      <c r="H4754" s="1">
        <v>4.4040816630914019</v>
      </c>
      <c r="I4754" s="1">
        <v>14.191390816861141</v>
      </c>
      <c r="J4754" s="1">
        <v>7.7647799954591354E-2</v>
      </c>
      <c r="K4754" s="1">
        <v>4.5104560117248855</v>
      </c>
      <c r="L4754" s="1">
        <v>3.4808416795333117</v>
      </c>
      <c r="M4754" s="1">
        <v>2.0032992359596995</v>
      </c>
      <c r="N4754" s="1">
        <v>2.2512356918784939</v>
      </c>
      <c r="O4754" s="1">
        <v>0.57533460317460317</v>
      </c>
      <c r="P4754" s="1">
        <v>0.19828327490647332</v>
      </c>
      <c r="Q4754" s="1">
        <v>1.6496148081676805</v>
      </c>
      <c r="R4754" s="2">
        <f t="shared" si="299"/>
        <v>50.575813172903096</v>
      </c>
      <c r="S4754" s="2">
        <f t="shared" si="298"/>
        <v>4.7863870865859504</v>
      </c>
      <c r="T4754" s="2">
        <f t="shared" si="300"/>
        <v>8.3107112105461081</v>
      </c>
      <c r="U4754" s="2">
        <f t="shared" si="301"/>
        <v>63.672911470035153</v>
      </c>
    </row>
    <row r="4755" spans="1:21" x14ac:dyDescent="0.25">
      <c r="A4755">
        <v>5346317</v>
      </c>
      <c r="B4755">
        <v>57</v>
      </c>
      <c r="C4755" s="1">
        <f>4.33733488746878*(10.3/7.3)</f>
        <v>6.1198012795792334</v>
      </c>
      <c r="D4755" s="1">
        <f>8.91723912382164*(10.3/7.3)</f>
        <v>12.581857941830531</v>
      </c>
      <c r="E4755" s="1">
        <f>30.8439158299463*(10.3/7.3)</f>
        <v>43.519497677869467</v>
      </c>
      <c r="F4755" s="1">
        <f>68.2204958032529*(38.9/42.5)</f>
        <v>62.441818511683245</v>
      </c>
      <c r="G4755" s="1">
        <v>3.0208796532195827</v>
      </c>
      <c r="H4755" s="1">
        <v>6.6700251069352552</v>
      </c>
      <c r="I4755" s="1">
        <v>45.463641868438032</v>
      </c>
      <c r="J4755" s="1">
        <v>5.154733254874292E-2</v>
      </c>
      <c r="K4755" s="1">
        <v>3.1766473855403237</v>
      </c>
      <c r="L4755" s="1">
        <v>4.0747822617588989</v>
      </c>
      <c r="M4755" s="1">
        <v>0.31373077758321277</v>
      </c>
      <c r="N4755" s="1">
        <v>2.9030348857287764</v>
      </c>
      <c r="O4755" s="1">
        <v>0.23866385964912284</v>
      </c>
      <c r="P4755" s="1">
        <v>0.15687351253608992</v>
      </c>
      <c r="Q4755" s="1">
        <v>4.8278898567436315</v>
      </c>
      <c r="R4755" s="2">
        <f t="shared" si="299"/>
        <v>184.64541189629898</v>
      </c>
      <c r="S4755" s="2">
        <f t="shared" si="298"/>
        <v>3.3850682306251567</v>
      </c>
      <c r="T4755" s="2">
        <f t="shared" si="300"/>
        <v>7.5302117847200112</v>
      </c>
      <c r="U4755" s="2">
        <f t="shared" si="301"/>
        <v>195.56069191164417</v>
      </c>
    </row>
    <row r="4756" spans="1:21" x14ac:dyDescent="0.25">
      <c r="A4756">
        <v>5346325</v>
      </c>
      <c r="B4756">
        <v>52</v>
      </c>
      <c r="C4756" s="1">
        <f>4.14931978882062*(10.3/7.3)</f>
        <v>5.8545197020345761</v>
      </c>
      <c r="D4756" s="1">
        <f>7.81586824511912*(10.3/7.3)</f>
        <v>11.02786889379821</v>
      </c>
      <c r="E4756" s="1">
        <f>27.1128208538317*(10.3/7.3)</f>
        <v>38.255075999241953</v>
      </c>
      <c r="F4756" s="1">
        <f>59.4909730639744*(38.9/42.5)</f>
        <v>54.451737698555348</v>
      </c>
      <c r="G4756" s="1">
        <v>2.5896046693499786</v>
      </c>
      <c r="H4756" s="1">
        <v>5.6825980904444355</v>
      </c>
      <c r="I4756" s="1">
        <v>40.339461078275221</v>
      </c>
      <c r="J4756" s="1">
        <v>4.6951212773765766E-2</v>
      </c>
      <c r="K4756" s="1">
        <v>2.9809147534263327</v>
      </c>
      <c r="L4756" s="1">
        <v>3.8131356003616625</v>
      </c>
      <c r="M4756" s="1">
        <v>0.2872852783288487</v>
      </c>
      <c r="N4756" s="1">
        <v>2.9447172117112101</v>
      </c>
      <c r="O4756" s="1">
        <v>0.22024615384615384</v>
      </c>
      <c r="P4756" s="1">
        <v>0.14694103714974927</v>
      </c>
      <c r="Q4756" s="1">
        <v>4.1386375994177786</v>
      </c>
      <c r="R4756" s="2">
        <f t="shared" si="299"/>
        <v>162.3395037311175</v>
      </c>
      <c r="S4756" s="2">
        <f t="shared" si="298"/>
        <v>3.1748070033498479</v>
      </c>
      <c r="T4756" s="2">
        <f t="shared" si="300"/>
        <v>7.2653842442478753</v>
      </c>
      <c r="U4756" s="2">
        <f t="shared" si="301"/>
        <v>172.77969497871524</v>
      </c>
    </row>
    <row r="4757" spans="1:21" x14ac:dyDescent="0.25">
      <c r="A4757">
        <v>5346333</v>
      </c>
      <c r="B4757">
        <v>59</v>
      </c>
      <c r="C4757" s="1">
        <f>4.22786752878897*(10.3/7.3)</f>
        <v>5.9653473351406081</v>
      </c>
      <c r="D4757" s="1">
        <f>7.67103559100988*(10.3/7.3)</f>
        <v>10.823515970876956</v>
      </c>
      <c r="E4757" s="1">
        <f>26.6375008550409*(10.3/7.3)</f>
        <v>37.58441901464672</v>
      </c>
      <c r="F4757" s="1">
        <f>58.6393331932011*(38.9/42.5)</f>
        <v>53.672236734482908</v>
      </c>
      <c r="G4757" s="1">
        <v>2.548836788426815</v>
      </c>
      <c r="H4757" s="1">
        <v>5.6348383034651954</v>
      </c>
      <c r="I4757" s="1">
        <v>40.160305092297506</v>
      </c>
      <c r="J4757" s="1">
        <v>4.7063170839002674E-2</v>
      </c>
      <c r="K4757" s="1">
        <v>3.0393949666571181</v>
      </c>
      <c r="L4757" s="1">
        <v>3.8334213163111315</v>
      </c>
      <c r="M4757" s="1">
        <v>0.28736598577559508</v>
      </c>
      <c r="N4757" s="1">
        <v>2.3256974023720081</v>
      </c>
      <c r="O4757" s="1">
        <v>0.22263593220338979</v>
      </c>
      <c r="P4757" s="1">
        <v>0.14947579225951982</v>
      </c>
      <c r="Q4757" s="1">
        <v>4.0734834518236811</v>
      </c>
      <c r="R4757" s="2">
        <f t="shared" si="299"/>
        <v>160.46298269116039</v>
      </c>
      <c r="S4757" s="2">
        <f t="shared" si="298"/>
        <v>3.2359339297556406</v>
      </c>
      <c r="T4757" s="2">
        <f t="shared" si="300"/>
        <v>6.6691206366621243</v>
      </c>
      <c r="U4757" s="2">
        <f t="shared" si="301"/>
        <v>170.36803725757815</v>
      </c>
    </row>
    <row r="4758" spans="1:21" x14ac:dyDescent="0.25">
      <c r="A4758">
        <v>5346341</v>
      </c>
      <c r="B4758">
        <v>58</v>
      </c>
      <c r="C4758" s="1">
        <f>6.2101246484476*(10.3/7.3)</f>
        <v>8.7622306683575726</v>
      </c>
      <c r="D4758" s="1">
        <f>11.0516669164231*(10.3/7.3)</f>
        <v>15.593447840980554</v>
      </c>
      <c r="E4758" s="1">
        <f>38.3905310018389*(10.3/7.3)</f>
        <v>54.167461550539755</v>
      </c>
      <c r="F4758" s="1">
        <f>85.0076167481321*(38.9/42.5)</f>
        <v>77.806971564760872</v>
      </c>
      <c r="G4758" s="1">
        <v>3.7063372461693165</v>
      </c>
      <c r="H4758" s="1">
        <v>7.1332507888073806</v>
      </c>
      <c r="I4758" s="1">
        <v>58.59555449926637</v>
      </c>
      <c r="J4758" s="1">
        <v>6.1834306228121083E-2</v>
      </c>
      <c r="K4758" s="1">
        <v>3.74148088958222</v>
      </c>
      <c r="L4758" s="1">
        <v>5.2092302402443496</v>
      </c>
      <c r="M4758" s="1">
        <v>0.36343889259452977</v>
      </c>
      <c r="N4758" s="1">
        <v>2.8930626951818268</v>
      </c>
      <c r="O4758" s="1">
        <v>0.27687264367816089</v>
      </c>
      <c r="P4758" s="1">
        <v>0.17697640304021273</v>
      </c>
      <c r="Q4758" s="1">
        <v>5.9233700281244817</v>
      </c>
      <c r="R4758" s="2">
        <f t="shared" si="299"/>
        <v>231.68862418700627</v>
      </c>
      <c r="S4758" s="2">
        <f t="shared" si="298"/>
        <v>3.9802915988505538</v>
      </c>
      <c r="T4758" s="2">
        <f t="shared" si="300"/>
        <v>8.7426044716988667</v>
      </c>
      <c r="U4758" s="2">
        <f t="shared" si="301"/>
        <v>244.41152025755568</v>
      </c>
    </row>
    <row r="4759" spans="1:21" x14ac:dyDescent="0.25">
      <c r="A4759">
        <v>5346349</v>
      </c>
      <c r="B4759">
        <v>58</v>
      </c>
      <c r="C4759" s="1">
        <f>5.75461616351309*(10.3/7.3)</f>
        <v>8.1195269156417567</v>
      </c>
      <c r="D4759" s="1">
        <f>9.60260857731616*(10.3/7.3)</f>
        <v>13.548886074843351</v>
      </c>
      <c r="E4759" s="1">
        <f>33.4429598338212*(10.3/7.3)</f>
        <v>47.186641957309348</v>
      </c>
      <c r="F4759" s="1">
        <f>73.2998206786275*(38.9/42.5)</f>
        <v>67.090894691731975</v>
      </c>
      <c r="G4759" s="1">
        <v>3.1389874967145222</v>
      </c>
      <c r="H4759" s="1">
        <v>6.5481327562229961</v>
      </c>
      <c r="I4759" s="1">
        <v>51.194939672248992</v>
      </c>
      <c r="J4759" s="1">
        <v>5.4614714511270451E-2</v>
      </c>
      <c r="K4759" s="1">
        <v>3.3906112849316412</v>
      </c>
      <c r="L4759" s="1">
        <v>4.5441080822991093</v>
      </c>
      <c r="M4759" s="1">
        <v>0.31784609650785156</v>
      </c>
      <c r="N4759" s="1">
        <v>2.5755087137923689</v>
      </c>
      <c r="O4759" s="1">
        <v>0.24773885057471262</v>
      </c>
      <c r="P4759" s="1">
        <v>0.16110260390929762</v>
      </c>
      <c r="Q4759" s="1">
        <v>5.0166466842469593</v>
      </c>
      <c r="R4759" s="2">
        <f t="shared" si="299"/>
        <v>201.84465624895989</v>
      </c>
      <c r="S4759" s="2">
        <f t="shared" si="298"/>
        <v>3.6063286033522095</v>
      </c>
      <c r="T4759" s="2">
        <f t="shared" si="300"/>
        <v>7.6852017431740425</v>
      </c>
      <c r="U4759" s="2">
        <f t="shared" si="301"/>
        <v>213.13618659548615</v>
      </c>
    </row>
    <row r="4760" spans="1:21" x14ac:dyDescent="0.25">
      <c r="A4760">
        <v>5346357</v>
      </c>
      <c r="B4760">
        <v>51</v>
      </c>
      <c r="C4760" s="1">
        <f>5.2886669934209*(10.3/7.3)</f>
        <v>7.4620917852377113</v>
      </c>
      <c r="D4760" s="1">
        <f>9.13006422949643*(10.3/7.3)</f>
        <v>12.882145419700443</v>
      </c>
      <c r="E4760" s="1">
        <f>31.7466956394326*(10.3/7.3)</f>
        <v>44.793282888514462</v>
      </c>
      <c r="F4760" s="1">
        <f>70.303143110769*(38.9/42.5)</f>
        <v>64.348053341386219</v>
      </c>
      <c r="G4760" s="1">
        <v>3.0538454425356041</v>
      </c>
      <c r="H4760" s="1">
        <v>6.6285963795629845</v>
      </c>
      <c r="I4760" s="1">
        <v>48.824420579722968</v>
      </c>
      <c r="J4760" s="1">
        <v>5.139484870846029E-2</v>
      </c>
      <c r="K4760" s="1">
        <v>3.232443319910328</v>
      </c>
      <c r="L4760" s="1">
        <v>4.2810842490899939</v>
      </c>
      <c r="M4760" s="1">
        <v>0.29421431255904723</v>
      </c>
      <c r="N4760" s="1">
        <v>2.3286261921630826</v>
      </c>
      <c r="O4760" s="1">
        <v>0.23408836601307187</v>
      </c>
      <c r="P4760" s="1">
        <v>0.15396353420640754</v>
      </c>
      <c r="Q4760" s="1">
        <v>4.8805749081619307</v>
      </c>
      <c r="R4760" s="2">
        <f t="shared" si="299"/>
        <v>192.87301074482235</v>
      </c>
      <c r="S4760" s="2">
        <f t="shared" si="298"/>
        <v>3.4378017028251957</v>
      </c>
      <c r="T4760" s="2">
        <f t="shared" si="300"/>
        <v>7.1380131198251959</v>
      </c>
      <c r="U4760" s="2">
        <f t="shared" si="301"/>
        <v>203.44882556747274</v>
      </c>
    </row>
    <row r="4761" spans="1:21" x14ac:dyDescent="0.25">
      <c r="A4761">
        <v>5346365</v>
      </c>
      <c r="B4761">
        <v>58</v>
      </c>
      <c r="C4761" s="1">
        <f>5.76885852915493*(10.3/7.3)</f>
        <v>8.139622308259689</v>
      </c>
      <c r="D4761" s="1">
        <f>9.82409750519152*(10.3/7.3)</f>
        <v>13.861397849790771</v>
      </c>
      <c r="E4761" s="1">
        <f>34.1781002395149*(10.3/7.3)</f>
        <v>48.223894858493622</v>
      </c>
      <c r="F4761" s="1">
        <f>75.5546601429616*(38.9/42.5)</f>
        <v>69.154735989675416</v>
      </c>
      <c r="G4761" s="1">
        <v>3.270812281174885</v>
      </c>
      <c r="H4761" s="1">
        <v>6.5800440732529859</v>
      </c>
      <c r="I4761" s="1">
        <v>52.624231966873303</v>
      </c>
      <c r="J4761" s="1">
        <v>5.6158801726785126E-2</v>
      </c>
      <c r="K4761" s="1">
        <v>3.4553204760138567</v>
      </c>
      <c r="L4761" s="1">
        <v>4.6980966323500226</v>
      </c>
      <c r="M4761" s="1">
        <v>0.3128030132198949</v>
      </c>
      <c r="N4761" s="1">
        <v>2.5223660193643469</v>
      </c>
      <c r="O4761" s="1">
        <v>0.24802298850574714</v>
      </c>
      <c r="P4761" s="1">
        <v>0.16192862196621988</v>
      </c>
      <c r="Q4761" s="1">
        <v>5.2273255635215126</v>
      </c>
      <c r="R4761" s="2">
        <f t="shared" si="299"/>
        <v>207.08206489104219</v>
      </c>
      <c r="S4761" s="2">
        <f t="shared" si="298"/>
        <v>3.673407899706862</v>
      </c>
      <c r="T4761" s="2">
        <f t="shared" si="300"/>
        <v>7.7812886534400114</v>
      </c>
      <c r="U4761" s="2">
        <f t="shared" si="301"/>
        <v>218.53676144418907</v>
      </c>
    </row>
    <row r="4762" spans="1:21" x14ac:dyDescent="0.25">
      <c r="A4762">
        <v>5346373</v>
      </c>
      <c r="B4762">
        <v>58</v>
      </c>
      <c r="C4762" s="1">
        <f>6.3684113061353*(10.3/7.3)</f>
        <v>8.9855666374237799</v>
      </c>
      <c r="D4762" s="1">
        <f>10.7161447720496*(10.3/7.3)</f>
        <v>15.120039883850856</v>
      </c>
      <c r="E4762" s="1">
        <f>37.3009057276899*(10.3/7.3)</f>
        <v>52.630045067836498</v>
      </c>
      <c r="F4762" s="1">
        <f>82.2384801171426*(38.9/42.5)</f>
        <v>75.272397095455233</v>
      </c>
      <c r="G4762" s="1">
        <v>3.5456353232662616</v>
      </c>
      <c r="H4762" s="1">
        <v>6.919311759571837</v>
      </c>
      <c r="I4762" s="1">
        <v>57.409772511325357</v>
      </c>
      <c r="J4762" s="1">
        <v>5.962535287906158E-2</v>
      </c>
      <c r="K4762" s="1">
        <v>3.6121956639604353</v>
      </c>
      <c r="L4762" s="1">
        <v>5.0203091446314367</v>
      </c>
      <c r="M4762" s="1">
        <v>0.32295877781161103</v>
      </c>
      <c r="N4762" s="1">
        <v>2.6532919723878274</v>
      </c>
      <c r="O4762" s="1">
        <v>0.25693977011494246</v>
      </c>
      <c r="P4762" s="1">
        <v>0.16669868892450063</v>
      </c>
      <c r="Q4762" s="1">
        <v>5.6665404709734837</v>
      </c>
      <c r="R4762" s="2">
        <f t="shared" si="299"/>
        <v>225.5493087497033</v>
      </c>
      <c r="S4762" s="2">
        <f t="shared" si="298"/>
        <v>3.8385197057639977</v>
      </c>
      <c r="T4762" s="2">
        <f t="shared" si="300"/>
        <v>8.2534996649458172</v>
      </c>
      <c r="U4762" s="2">
        <f t="shared" si="301"/>
        <v>237.64132812041311</v>
      </c>
    </row>
    <row r="4763" spans="1:21" x14ac:dyDescent="0.25">
      <c r="A4763">
        <v>5346381</v>
      </c>
      <c r="B4763">
        <v>57</v>
      </c>
      <c r="C4763" s="1">
        <f>5.56185160327153*(10.3/7.3)</f>
        <v>7.8475440429721646</v>
      </c>
      <c r="D4763" s="1">
        <f>9.32823928301717*(10.3/7.3)</f>
        <v>13.161762276037919</v>
      </c>
      <c r="E4763" s="1">
        <f>32.4840053529019*(10.3/7.3)</f>
        <v>45.833596593820459</v>
      </c>
      <c r="F4763" s="1">
        <f>71.0855463826676*(38.9/42.5)</f>
        <v>65.064182453782848</v>
      </c>
      <c r="G4763" s="1">
        <v>3.0416045181472997</v>
      </c>
      <c r="H4763" s="1">
        <v>6.3233320726094275</v>
      </c>
      <c r="I4763" s="1">
        <v>49.561574560562804</v>
      </c>
      <c r="J4763" s="1">
        <v>5.3199502095895607E-2</v>
      </c>
      <c r="K4763" s="1">
        <v>3.2883174808411932</v>
      </c>
      <c r="L4763" s="1">
        <v>4.4037597970882034</v>
      </c>
      <c r="M4763" s="1">
        <v>0.28472180178082851</v>
      </c>
      <c r="N4763" s="1">
        <v>2.3889338671144777</v>
      </c>
      <c r="O4763" s="1">
        <v>0.23053005847953206</v>
      </c>
      <c r="P4763" s="1">
        <v>0.15266873810027357</v>
      </c>
      <c r="Q4763" s="1">
        <v>4.8610117869934051</v>
      </c>
      <c r="R4763" s="2">
        <f t="shared" si="299"/>
        <v>195.69460830492631</v>
      </c>
      <c r="S4763" s="2">
        <f t="shared" si="298"/>
        <v>3.4941857210373626</v>
      </c>
      <c r="T4763" s="2">
        <f t="shared" si="300"/>
        <v>7.307945524463042</v>
      </c>
      <c r="U4763" s="2">
        <f t="shared" si="301"/>
        <v>206.4967395504267</v>
      </c>
    </row>
    <row r="4764" spans="1:21" x14ac:dyDescent="0.25">
      <c r="A4764">
        <v>5346389</v>
      </c>
      <c r="B4764">
        <v>58</v>
      </c>
      <c r="C4764" s="1">
        <f>6.50747008349651*(10.3/7.3)</f>
        <v>9.1817728575361723</v>
      </c>
      <c r="D4764" s="1">
        <f>10.9667280157618*(10.3/7.3)</f>
        <v>15.473602542787242</v>
      </c>
      <c r="E4764" s="1">
        <f>38.1912759541625*(10.3/7.3)</f>
        <v>53.886320866832015</v>
      </c>
      <c r="F4764" s="1">
        <f>83.1831941183528*(38.9/42.5)</f>
        <v>76.137088263621706</v>
      </c>
      <c r="G4764" s="1">
        <v>3.5453578363497709</v>
      </c>
      <c r="H4764" s="1">
        <v>7.0894668402145102</v>
      </c>
      <c r="I4764" s="1">
        <v>57.847516647138519</v>
      </c>
      <c r="J4764" s="1">
        <v>5.977547450164454E-2</v>
      </c>
      <c r="K4764" s="1">
        <v>3.5540005555156018</v>
      </c>
      <c r="L4764" s="1">
        <v>4.9176927422717895</v>
      </c>
      <c r="M4764" s="1">
        <v>0.30397492351428967</v>
      </c>
      <c r="N4764" s="1">
        <v>2.6284974369053677</v>
      </c>
      <c r="O4764" s="1">
        <v>0.24728275862068969</v>
      </c>
      <c r="P4764" s="1">
        <v>0.1619400748679857</v>
      </c>
      <c r="Q4764" s="1">
        <v>5.6660969987325158</v>
      </c>
      <c r="R4764" s="2">
        <f t="shared" si="299"/>
        <v>228.82722285321245</v>
      </c>
      <c r="S4764" s="2">
        <f t="shared" si="298"/>
        <v>3.7757161048852317</v>
      </c>
      <c r="T4764" s="2">
        <f t="shared" si="300"/>
        <v>8.097447861312137</v>
      </c>
      <c r="U4764" s="2">
        <f t="shared" si="301"/>
        <v>240.7003868194098</v>
      </c>
    </row>
    <row r="4765" spans="1:21" x14ac:dyDescent="0.25">
      <c r="A4765">
        <v>5346397</v>
      </c>
      <c r="B4765">
        <v>36</v>
      </c>
      <c r="C4765" s="1">
        <f>3.83443266933625*(10.3/7.3)</f>
        <v>5.4102269170086803</v>
      </c>
      <c r="D4765" s="1">
        <f>6.72213848569735*(10.3/7.3)</f>
        <v>9.4846611510524319</v>
      </c>
      <c r="E4765" s="1">
        <f>23.4016099471152*(10.3/7.3)</f>
        <v>33.018709925381692</v>
      </c>
      <c r="F4765" s="1">
        <f>49.8230607834838*(38.9/42.5)</f>
        <v>45.602754458294598</v>
      </c>
      <c r="G4765" s="1">
        <v>2.0872740572337949</v>
      </c>
      <c r="H4765" s="1">
        <v>8.0302683223247406</v>
      </c>
      <c r="I4765" s="1">
        <v>34.067156564092748</v>
      </c>
      <c r="J4765" s="1">
        <v>4.2182395751134021E-2</v>
      </c>
      <c r="K4765" s="1">
        <v>2.6477566006428339</v>
      </c>
      <c r="L4765" s="1">
        <v>3.2281289689503279</v>
      </c>
      <c r="M4765" s="1">
        <v>0.21690132541426807</v>
      </c>
      <c r="N4765" s="1">
        <v>1.9310636422277863</v>
      </c>
      <c r="O4765" s="1">
        <v>0.17905333333333334</v>
      </c>
      <c r="P4765" s="1">
        <v>0.12565463168808788</v>
      </c>
      <c r="Q4765" s="1">
        <v>3.3358261188667986</v>
      </c>
      <c r="R4765" s="2">
        <f t="shared" si="299"/>
        <v>141.03687751425551</v>
      </c>
      <c r="S4765" s="2">
        <f t="shared" si="298"/>
        <v>2.8155936280820559</v>
      </c>
      <c r="T4765" s="2">
        <f t="shared" si="300"/>
        <v>5.5551472699257154</v>
      </c>
      <c r="U4765" s="2">
        <f t="shared" si="301"/>
        <v>149.4076184122633</v>
      </c>
    </row>
    <row r="4766" spans="1:21" x14ac:dyDescent="0.25">
      <c r="A4766">
        <v>5346405</v>
      </c>
      <c r="B4766">
        <v>15</v>
      </c>
      <c r="C4766" s="1">
        <f>2.89815705551723*(10.3/7.3)</f>
        <v>4.0891805029900583</v>
      </c>
      <c r="D4766" s="1">
        <f>5.33497450611346*(10.3/7.3)</f>
        <v>7.5274297825984409</v>
      </c>
      <c r="E4766" s="1">
        <f>18.5707625248346*(10.3/7.3)</f>
        <v>26.202582740520043</v>
      </c>
      <c r="F4766" s="1">
        <f>38.1671797782765*(38.9/42.5)</f>
        <v>34.934195138234294</v>
      </c>
      <c r="G4766" s="1">
        <v>1.5517709673198619</v>
      </c>
      <c r="H4766" s="1">
        <v>6.2738768976296155</v>
      </c>
      <c r="I4766" s="1">
        <v>25.477448106907655</v>
      </c>
      <c r="J4766" s="1">
        <v>3.7017143817472099E-2</v>
      </c>
      <c r="K4766" s="1">
        <v>2.2830109324618291</v>
      </c>
      <c r="L4766" s="1">
        <v>2.647212806763549</v>
      </c>
      <c r="M4766" s="1">
        <v>0.17950911986993365</v>
      </c>
      <c r="N4766" s="1">
        <v>1.7324615493383644</v>
      </c>
      <c r="O4766" s="1">
        <v>0.15188266666666667</v>
      </c>
      <c r="P4766" s="1">
        <v>0.11024003347105915</v>
      </c>
      <c r="Q4766" s="1">
        <v>2.4799992628399639</v>
      </c>
      <c r="R4766" s="2">
        <f t="shared" si="299"/>
        <v>108.53648339903995</v>
      </c>
      <c r="S4766" s="2">
        <f t="shared" si="298"/>
        <v>2.4302681097503607</v>
      </c>
      <c r="T4766" s="2">
        <f t="shared" si="300"/>
        <v>4.7110661426385132</v>
      </c>
      <c r="U4766" s="2">
        <f t="shared" si="301"/>
        <v>115.67781765142882</v>
      </c>
    </row>
    <row r="4767" spans="1:21" x14ac:dyDescent="0.25">
      <c r="A4767">
        <v>5346461</v>
      </c>
      <c r="B4767">
        <v>5</v>
      </c>
      <c r="C4767" s="1">
        <f>4.29079763425753*(10.3/7.3)</f>
        <v>6.054139127788015</v>
      </c>
      <c r="D4767" s="1">
        <f>6.35992900976421*(10.3/7.3)</f>
        <v>8.9735984658316941</v>
      </c>
      <c r="E4767" s="1">
        <f>22.1563289812585*(10.3/7.3)</f>
        <v>31.261669658488</v>
      </c>
      <c r="F4767" s="1">
        <f>53.0505571256227*(38.9/42.5)</f>
        <v>48.556862874981746</v>
      </c>
      <c r="G4767" s="1">
        <v>2.4218614092152615</v>
      </c>
      <c r="H4767" s="1">
        <v>10.433992943006022</v>
      </c>
      <c r="I4767" s="1">
        <v>39.026480282510512</v>
      </c>
      <c r="J4767" s="1">
        <v>3.4537981302254647E-2</v>
      </c>
      <c r="K4767" s="1">
        <v>2.0881121732712051</v>
      </c>
      <c r="L4767" s="1">
        <v>2.9699339160528515</v>
      </c>
      <c r="M4767" s="1">
        <v>0.15171393731547539</v>
      </c>
      <c r="N4767" s="1">
        <v>1.6841136951254836</v>
      </c>
      <c r="O4767" s="1">
        <v>0.12599466666666667</v>
      </c>
      <c r="P4767" s="1">
        <v>9.5367482962631159E-2</v>
      </c>
      <c r="Q4767" s="1">
        <v>3.8705547635860382</v>
      </c>
      <c r="R4767" s="2">
        <f t="shared" si="299"/>
        <v>150.59915952540729</v>
      </c>
      <c r="S4767" s="2">
        <f t="shared" si="298"/>
        <v>2.2180176375360912</v>
      </c>
      <c r="T4767" s="2">
        <f t="shared" si="300"/>
        <v>4.931756215160477</v>
      </c>
      <c r="U4767" s="2">
        <f t="shared" si="301"/>
        <v>157.74893337810386</v>
      </c>
    </row>
    <row r="4768" spans="1:21" x14ac:dyDescent="0.25">
      <c r="A4768">
        <v>5346565</v>
      </c>
      <c r="B4768">
        <v>38</v>
      </c>
      <c r="C4768" s="1">
        <f>9.59946142478784*(10.3/7.3)</f>
        <v>13.544445571960924</v>
      </c>
      <c r="D4768" s="1">
        <f>11.1356221088384*(10.3/7.3)</f>
        <v>15.711905167265177</v>
      </c>
      <c r="E4768" s="1">
        <f>39.2847864668066*(10.3/7.3)</f>
        <v>55.429219261384638</v>
      </c>
      <c r="F4768" s="1">
        <f>90.0760068321191*(38.9/42.5)</f>
        <v>82.446039194574908</v>
      </c>
      <c r="G4768" s="1">
        <v>3.8064009755320996</v>
      </c>
      <c r="H4768" s="1">
        <v>7.5431812080891918</v>
      </c>
      <c r="I4768" s="1">
        <v>70.386556205408183</v>
      </c>
      <c r="J4768" s="1">
        <v>4.4146738543126986E-2</v>
      </c>
      <c r="K4768" s="1">
        <v>2.6349197949940701</v>
      </c>
      <c r="L4768" s="1">
        <v>3.2062769940344902</v>
      </c>
      <c r="M4768" s="1">
        <v>0.16007376888218983</v>
      </c>
      <c r="N4768" s="1">
        <v>1.9186162861105165</v>
      </c>
      <c r="O4768" s="1">
        <v>0.14580631578947365</v>
      </c>
      <c r="P4768" s="1">
        <v>0.10587876060946703</v>
      </c>
      <c r="Q4768" s="1">
        <v>6.0832892303024515</v>
      </c>
      <c r="R4768" s="2">
        <f t="shared" si="299"/>
        <v>254.95103681451758</v>
      </c>
      <c r="S4768" s="2">
        <f t="shared" si="298"/>
        <v>2.7849452941466644</v>
      </c>
      <c r="T4768" s="2">
        <f t="shared" si="300"/>
        <v>5.4307733648166705</v>
      </c>
      <c r="U4768" s="2">
        <f t="shared" si="301"/>
        <v>263.16675547348092</v>
      </c>
    </row>
    <row r="4769" spans="1:21" x14ac:dyDescent="0.25">
      <c r="A4769">
        <v>5346573</v>
      </c>
      <c r="B4769">
        <v>62</v>
      </c>
      <c r="C4769" s="1">
        <f>4.56680100822147*(10.3/7.3)</f>
        <v>6.4435685458467287</v>
      </c>
      <c r="D4769" s="1">
        <f>5.50279555748617*(10.3/7.3)</f>
        <v>7.7642183893298009</v>
      </c>
      <c r="E4769" s="1">
        <f>19.3831230638309*(10.3/7.3)</f>
        <v>27.348790076364129</v>
      </c>
      <c r="F4769" s="1">
        <f>44.1816620982679*(38.9/42.5)</f>
        <v>40.439215426414648</v>
      </c>
      <c r="G4769" s="1">
        <v>1.8688875109712266</v>
      </c>
      <c r="H4769" s="1">
        <v>4.3708752145916856</v>
      </c>
      <c r="I4769" s="1">
        <v>34.094870305724257</v>
      </c>
      <c r="J4769" s="1">
        <v>3.0644554412171614E-2</v>
      </c>
      <c r="K4769" s="1">
        <v>1.9649318233559421</v>
      </c>
      <c r="L4769" s="1">
        <v>2.2133542329453082</v>
      </c>
      <c r="M4769" s="1">
        <v>0.11928942979510952</v>
      </c>
      <c r="N4769" s="1">
        <v>1.4163118580488203</v>
      </c>
      <c r="O4769" s="1">
        <v>0.10474322580645166</v>
      </c>
      <c r="P4769" s="1">
        <v>8.2178405033967172E-2</v>
      </c>
      <c r="Q4769" s="1">
        <v>2.9868065243832422</v>
      </c>
      <c r="R4769" s="2">
        <f t="shared" si="299"/>
        <v>125.31723199362571</v>
      </c>
      <c r="S4769" s="2">
        <f t="shared" si="298"/>
        <v>2.077754782802081</v>
      </c>
      <c r="T4769" s="2">
        <f t="shared" si="300"/>
        <v>3.8536987465956898</v>
      </c>
      <c r="U4769" s="2">
        <f t="shared" si="301"/>
        <v>131.24868552302348</v>
      </c>
    </row>
    <row r="4770" spans="1:21" x14ac:dyDescent="0.25">
      <c r="A4770">
        <v>5346581</v>
      </c>
      <c r="B4770">
        <v>61</v>
      </c>
      <c r="C4770" s="1">
        <f>4.44506715095242*(10.3/7.3)</f>
        <v>6.2718070760013642</v>
      </c>
      <c r="D4770" s="1">
        <f>5.47070862133861*(10.3/7.3)</f>
        <v>7.7189450410668039</v>
      </c>
      <c r="E4770" s="1">
        <f>19.255895047001*(10.3/7.3)</f>
        <v>27.169276573165842</v>
      </c>
      <c r="F4770" s="1">
        <f>43.6555058833967*(38.9/42.5)</f>
        <v>39.9576277379796</v>
      </c>
      <c r="G4770" s="1">
        <v>1.8436788738051006</v>
      </c>
      <c r="H4770" s="1">
        <v>4.3348178865985156</v>
      </c>
      <c r="I4770" s="1">
        <v>33.444422107247959</v>
      </c>
      <c r="J4770" s="1">
        <v>3.138050904543245E-2</v>
      </c>
      <c r="K4770" s="1">
        <v>1.9765562074303884</v>
      </c>
      <c r="L4770" s="1">
        <v>2.2146924384565141</v>
      </c>
      <c r="M4770" s="1">
        <v>0.11861194244606878</v>
      </c>
      <c r="N4770" s="1">
        <v>1.48528592464232</v>
      </c>
      <c r="O4770" s="1">
        <v>0.10427016393442624</v>
      </c>
      <c r="P4770" s="1">
        <v>8.1764753430505654E-2</v>
      </c>
      <c r="Q4770" s="1">
        <v>2.9465187480903476</v>
      </c>
      <c r="R4770" s="2">
        <f t="shared" si="299"/>
        <v>123.68709404395554</v>
      </c>
      <c r="S4770" s="2">
        <f t="shared" si="298"/>
        <v>2.0897014699063265</v>
      </c>
      <c r="T4770" s="2">
        <f t="shared" si="300"/>
        <v>3.9228604694793288</v>
      </c>
      <c r="U4770" s="2">
        <f t="shared" si="301"/>
        <v>129.69965598334119</v>
      </c>
    </row>
    <row r="4771" spans="1:21" x14ac:dyDescent="0.25">
      <c r="A4771">
        <v>5346589</v>
      </c>
      <c r="B4771">
        <v>16</v>
      </c>
      <c r="C4771" s="1">
        <f>7.85182510557359*(10.3/7.3)</f>
        <v>11.078602546220271</v>
      </c>
      <c r="D4771" s="1">
        <f>9.82855697277189*(10.3/7.3)</f>
        <v>13.867689975280888</v>
      </c>
      <c r="E4771" s="1">
        <f>34.5676474085381*(10.3/7.3)</f>
        <v>48.773529905197528</v>
      </c>
      <c r="F4771" s="1">
        <f>78.3937211686056*(38.9/42.5)</f>
        <v>71.753311846088437</v>
      </c>
      <c r="G4771" s="1">
        <v>3.3215160779904611</v>
      </c>
      <c r="H4771" s="1">
        <v>6.4334894675462886</v>
      </c>
      <c r="I4771" s="1">
        <v>59.757250567921417</v>
      </c>
      <c r="J4771" s="1">
        <v>4.485861972084295E-2</v>
      </c>
      <c r="K4771" s="1">
        <v>2.5467628195928698</v>
      </c>
      <c r="L4771" s="1">
        <v>3.0202258612339818</v>
      </c>
      <c r="M4771" s="1">
        <v>0.14887869192630793</v>
      </c>
      <c r="N4771" s="1">
        <v>1.8839342474991463</v>
      </c>
      <c r="O4771" s="1">
        <v>0.13479333333333335</v>
      </c>
      <c r="P4771" s="1">
        <v>0.10032430956547267</v>
      </c>
      <c r="Q4771" s="1">
        <v>5.3083590287518838</v>
      </c>
      <c r="R4771" s="2">
        <f t="shared" si="299"/>
        <v>220.29374941499717</v>
      </c>
      <c r="S4771" s="2">
        <f t="shared" si="298"/>
        <v>2.6919457488791858</v>
      </c>
      <c r="T4771" s="2">
        <f t="shared" si="300"/>
        <v>5.18783213399277</v>
      </c>
      <c r="U4771" s="2">
        <f t="shared" si="301"/>
        <v>228.17352729786913</v>
      </c>
    </row>
    <row r="4772" spans="1:21" x14ac:dyDescent="0.25">
      <c r="A4772">
        <v>5346741</v>
      </c>
      <c r="B4772">
        <v>7</v>
      </c>
      <c r="C4772" s="1">
        <f>8.03411473070457*(10.3/7.3)</f>
        <v>11.33580571592563</v>
      </c>
      <c r="D4772" s="1">
        <f>9.04789927594977*(10.3/7.3)</f>
        <v>12.766214046888026</v>
      </c>
      <c r="E4772" s="1">
        <f>31.8166185484622*(10.3/7.3)</f>
        <v>44.891941239611008</v>
      </c>
      <c r="F4772" s="1">
        <f>80.5395379671833*(38.9/42.5)</f>
        <v>73.717365339374879</v>
      </c>
      <c r="G4772" s="1">
        <v>3.7030549723571236</v>
      </c>
      <c r="H4772" s="1">
        <v>9.9457737859186146</v>
      </c>
      <c r="I4772" s="1">
        <v>64.341059196302666</v>
      </c>
      <c r="J4772" s="1">
        <v>4.2742397618425958E-2</v>
      </c>
      <c r="K4772" s="1">
        <v>2.3089675980601152</v>
      </c>
      <c r="L4772" s="1">
        <v>2.3334037350366459</v>
      </c>
      <c r="M4772" s="1">
        <v>0.1128630024932414</v>
      </c>
      <c r="N4772" s="1">
        <v>1.8848448637168662</v>
      </c>
      <c r="O4772" s="1">
        <v>0.10530285714285714</v>
      </c>
      <c r="P4772" s="1">
        <v>8.1785143879773231E-2</v>
      </c>
      <c r="Q4772" s="1">
        <v>5.9181243850456378</v>
      </c>
      <c r="R4772" s="2">
        <f t="shared" si="299"/>
        <v>226.61933868142361</v>
      </c>
      <c r="S4772" s="2">
        <f t="shared" si="298"/>
        <v>2.4334951395583144</v>
      </c>
      <c r="T4772" s="2">
        <f t="shared" si="300"/>
        <v>4.4364144583896108</v>
      </c>
      <c r="U4772" s="2">
        <f t="shared" si="301"/>
        <v>233.48924827937154</v>
      </c>
    </row>
    <row r="4773" spans="1:21" x14ac:dyDescent="0.25">
      <c r="A4773">
        <v>5346773</v>
      </c>
      <c r="B4773">
        <v>3</v>
      </c>
      <c r="C4773" s="1">
        <f>4.91492089545511*(10.3/7.3)</f>
        <v>6.9347514004366566</v>
      </c>
      <c r="D4773" s="1">
        <f>6.09451571283876*(10.3/7.3)</f>
        <v>8.5991112112656527</v>
      </c>
      <c r="E4773" s="1">
        <f>21.3213547756927*(10.3/7.3)</f>
        <v>30.083555368443086</v>
      </c>
      <c r="F4773" s="1">
        <f>54.5734405532399*(38.9/42.5)</f>
        <v>49.950749118141893</v>
      </c>
      <c r="G4773" s="1">
        <v>2.5679255889546897</v>
      </c>
      <c r="H4773" s="1">
        <v>7.9386399207941833</v>
      </c>
      <c r="I4773" s="1">
        <v>42.537913188262458</v>
      </c>
      <c r="J4773" s="1">
        <v>3.6500038719592419E-2</v>
      </c>
      <c r="K4773" s="1">
        <v>2.0011384293175229</v>
      </c>
      <c r="L4773" s="1">
        <v>1.9622830163164646</v>
      </c>
      <c r="M4773" s="1">
        <v>9.6874175949421618E-2</v>
      </c>
      <c r="N4773" s="1">
        <v>2.8094120734965853</v>
      </c>
      <c r="O4773" s="1">
        <v>9.2817777777777777E-2</v>
      </c>
      <c r="P4773" s="1">
        <v>7.2125003584203623E-2</v>
      </c>
      <c r="Q4773" s="1">
        <v>4.1039906672791888</v>
      </c>
      <c r="R4773" s="2">
        <f t="shared" si="299"/>
        <v>152.71663646357783</v>
      </c>
      <c r="S4773" s="2">
        <f t="shared" si="298"/>
        <v>2.1097634716213194</v>
      </c>
      <c r="T4773" s="2">
        <f t="shared" si="300"/>
        <v>4.961387043540249</v>
      </c>
      <c r="U4773" s="2">
        <f t="shared" si="301"/>
        <v>159.78778697873938</v>
      </c>
    </row>
    <row r="4774" spans="1:21" x14ac:dyDescent="0.25">
      <c r="A4774">
        <v>5346781</v>
      </c>
      <c r="B4774">
        <v>12</v>
      </c>
      <c r="C4774" s="1">
        <f>5.37793512081706*(10.3/7.3)</f>
        <v>7.5880454444405148</v>
      </c>
      <c r="D4774" s="1">
        <f>6.78422988200625*(10.3/7.3)</f>
        <v>9.5722695595430665</v>
      </c>
      <c r="E4774" s="1">
        <f>23.6693210146811*(10.3/7.3)</f>
        <v>33.396439239892494</v>
      </c>
      <c r="F4774" s="1">
        <f>62.9604939098774*(38.9/42.5)</f>
        <v>57.627369719864291</v>
      </c>
      <c r="G4774" s="1">
        <v>3.0571905201092879</v>
      </c>
      <c r="H4774" s="1">
        <v>8.840274588808219</v>
      </c>
      <c r="I4774" s="1">
        <v>49.142422061105101</v>
      </c>
      <c r="J4774" s="1">
        <v>3.9808323248970344E-2</v>
      </c>
      <c r="K4774" s="1">
        <v>2.2332194308557574</v>
      </c>
      <c r="L4774" s="1">
        <v>2.2281599485064971</v>
      </c>
      <c r="M4774" s="1">
        <v>0.10389821974213949</v>
      </c>
      <c r="N4774" s="1">
        <v>1.5524444183470276</v>
      </c>
      <c r="O4774" s="1">
        <v>0.10348</v>
      </c>
      <c r="P4774" s="1">
        <v>7.9612014704574421E-2</v>
      </c>
      <c r="Q4774" s="1">
        <v>4.8859209225490945</v>
      </c>
      <c r="R4774" s="2">
        <f t="shared" si="299"/>
        <v>174.10993205631206</v>
      </c>
      <c r="S4774" s="2">
        <f t="shared" si="298"/>
        <v>2.3526397688093024</v>
      </c>
      <c r="T4774" s="2">
        <f t="shared" si="300"/>
        <v>3.9879825865956642</v>
      </c>
      <c r="U4774" s="2">
        <f t="shared" si="301"/>
        <v>180.45055441171704</v>
      </c>
    </row>
    <row r="4775" spans="1:21" x14ac:dyDescent="0.25">
      <c r="A4775">
        <v>5346797</v>
      </c>
      <c r="B4775">
        <v>20</v>
      </c>
      <c r="C4775" s="1">
        <f>3.98307738435245*(10.3/7.3)</f>
        <v>5.6199585012096227</v>
      </c>
      <c r="D4775" s="1">
        <f>5.78221747793705*(10.3/7.3)</f>
        <v>8.1584712359933746</v>
      </c>
      <c r="E4775" s="1">
        <f>19.8762607221458*(10.3/7.3)</f>
        <v>28.044587046315272</v>
      </c>
      <c r="F4775" s="1">
        <f>62.0222083304887*(38.9/42.5)</f>
        <v>56.768562448376692</v>
      </c>
      <c r="G4775" s="1">
        <v>3.3797369953737428</v>
      </c>
      <c r="H4775" s="1">
        <v>10.51897781888589</v>
      </c>
      <c r="I4775" s="1">
        <v>48.109051654032385</v>
      </c>
      <c r="J4775" s="1">
        <v>2.9753769065990927E-2</v>
      </c>
      <c r="K4775" s="1">
        <v>1.8630332750905723</v>
      </c>
      <c r="L4775" s="1">
        <v>1.8268634377257276</v>
      </c>
      <c r="M4775" s="1">
        <v>8.8747186840822112E-2</v>
      </c>
      <c r="N4775" s="1">
        <v>1.1872019675250842</v>
      </c>
      <c r="O4775" s="1">
        <v>8.7314666666666652E-2</v>
      </c>
      <c r="P4775" s="1">
        <v>6.8617191977725159E-2</v>
      </c>
      <c r="Q4775" s="1">
        <v>5.4014061569900047</v>
      </c>
      <c r="R4775" s="2">
        <f t="shared" si="299"/>
        <v>166.00075185717697</v>
      </c>
      <c r="S4775" s="2">
        <f t="shared" si="298"/>
        <v>1.9614042361342885</v>
      </c>
      <c r="T4775" s="2">
        <f t="shared" si="300"/>
        <v>3.1901272587583005</v>
      </c>
      <c r="U4775" s="2">
        <f t="shared" si="301"/>
        <v>171.15228335206956</v>
      </c>
    </row>
    <row r="4776" spans="1:21" x14ac:dyDescent="0.25">
      <c r="A4776">
        <v>5358113</v>
      </c>
      <c r="B4776">
        <v>71</v>
      </c>
      <c r="C4776" s="1">
        <f>0.656009044713648*(10.3/7.3)</f>
        <v>0.92560180281514703</v>
      </c>
      <c r="D4776" s="1">
        <f>0.963807754380458*(10.3/7.3)</f>
        <v>1.3598931328929746</v>
      </c>
      <c r="E4776" s="1">
        <f>3.34025750491466*(10.3/7.3)</f>
        <v>4.7129660685782229</v>
      </c>
      <c r="F4776" s="1">
        <f>8.94075132175805*(38.9/42.5)</f>
        <v>8.1834170921503073</v>
      </c>
      <c r="G4776" s="1">
        <v>0.44395926450024065</v>
      </c>
      <c r="H4776" s="1">
        <v>1.8664926965288049</v>
      </c>
      <c r="I4776" s="1">
        <v>6.7403728685052018</v>
      </c>
      <c r="J4776" s="1">
        <v>3.6332342526032485E-2</v>
      </c>
      <c r="K4776" s="1">
        <v>3.1005410601960994</v>
      </c>
      <c r="L4776" s="1">
        <v>2.039409130532519</v>
      </c>
      <c r="M4776" s="1">
        <v>0.92414086980454413</v>
      </c>
      <c r="N4776" s="1">
        <v>1.2446539374577559</v>
      </c>
      <c r="O4776" s="1">
        <v>0.35405446009389674</v>
      </c>
      <c r="P4776" s="1">
        <v>0.15535776917925243</v>
      </c>
      <c r="Q4776" s="1">
        <v>0.70952393869901531</v>
      </c>
      <c r="R4776" s="2">
        <f t="shared" si="299"/>
        <v>24.942226864669912</v>
      </c>
      <c r="S4776" s="2">
        <f t="shared" si="298"/>
        <v>3.2922311719013844</v>
      </c>
      <c r="T4776" s="2">
        <f t="shared" si="300"/>
        <v>4.5622583978887157</v>
      </c>
      <c r="U4776" s="2">
        <f t="shared" si="301"/>
        <v>32.796716434460009</v>
      </c>
    </row>
    <row r="4777" spans="1:21" x14ac:dyDescent="0.25">
      <c r="A4777">
        <v>5358121</v>
      </c>
      <c r="B4777">
        <v>72</v>
      </c>
      <c r="C4777" s="1">
        <f>0.739937667675215*(10.3/7.3)</f>
        <v>1.0440216406924261</v>
      </c>
      <c r="D4777" s="1">
        <f>1.10019446212897*(10.3/7.3)</f>
        <v>1.5523291725929314</v>
      </c>
      <c r="E4777" s="1">
        <f>3.8075208653334*(10.3/7.3)</f>
        <v>5.3722554675252017</v>
      </c>
      <c r="F4777" s="1">
        <f>10.3786165549591*(38.9/42.5)</f>
        <v>9.4994866820684738</v>
      </c>
      <c r="G4777" s="1">
        <v>0.52244738187956008</v>
      </c>
      <c r="H4777" s="1">
        <v>2.2379350648365781</v>
      </c>
      <c r="I4777" s="1">
        <v>7.8304561276974063</v>
      </c>
      <c r="J4777" s="1">
        <v>4.367918587649279E-2</v>
      </c>
      <c r="K4777" s="1">
        <v>3.4789802817795845</v>
      </c>
      <c r="L4777" s="1">
        <v>2.307969982246266</v>
      </c>
      <c r="M4777" s="1">
        <v>1.1742101125992588</v>
      </c>
      <c r="N4777" s="1">
        <v>1.4544174076268874</v>
      </c>
      <c r="O4777" s="1">
        <v>0.40336518518518538</v>
      </c>
      <c r="P4777" s="1">
        <v>0.16864918266580561</v>
      </c>
      <c r="Q4777" s="1">
        <v>0.83496156921390918</v>
      </c>
      <c r="R4777" s="2">
        <f t="shared" si="299"/>
        <v>28.893893106506486</v>
      </c>
      <c r="S4777" s="2">
        <f t="shared" si="298"/>
        <v>3.6913086503218828</v>
      </c>
      <c r="T4777" s="2">
        <f t="shared" si="300"/>
        <v>5.3399626876575974</v>
      </c>
      <c r="U4777" s="2">
        <f t="shared" si="301"/>
        <v>37.925164444485965</v>
      </c>
    </row>
    <row r="4778" spans="1:21" x14ac:dyDescent="0.25">
      <c r="A4778">
        <v>5358129</v>
      </c>
      <c r="B4778">
        <v>70</v>
      </c>
      <c r="C4778" s="1">
        <f>1.13257689182824*(10.3/7.3)</f>
        <v>1.5980194501138196</v>
      </c>
      <c r="D4778" s="1">
        <f>1.73126883443529*(10.3/7.3)</f>
        <v>2.442749177353909</v>
      </c>
      <c r="E4778" s="1">
        <f>5.96922176390573*(10.3/7.3)</f>
        <v>8.4223265983875404</v>
      </c>
      <c r="F4778" s="1">
        <f>17.0929684195618*(38.9/42.5)</f>
        <v>15.645093447551885</v>
      </c>
      <c r="G4778" s="1">
        <v>0.89048516647444942</v>
      </c>
      <c r="H4778" s="1">
        <v>3.4639758629526378</v>
      </c>
      <c r="I4778" s="1">
        <v>12.939071460025152</v>
      </c>
      <c r="J4778" s="1">
        <v>6.6204162301623931E-2</v>
      </c>
      <c r="K4778" s="1">
        <v>4.5901285850950551</v>
      </c>
      <c r="L4778" s="1">
        <v>3.4036497990852888</v>
      </c>
      <c r="M4778" s="1">
        <v>1.7443189549770541</v>
      </c>
      <c r="N4778" s="1">
        <v>1.9975772169929096</v>
      </c>
      <c r="O4778" s="1">
        <v>0.58472609523809516</v>
      </c>
      <c r="P4778" s="1">
        <v>0.20544294463416107</v>
      </c>
      <c r="Q4778" s="1">
        <v>1.4231498094340533</v>
      </c>
      <c r="R4778" s="2">
        <f t="shared" si="299"/>
        <v>46.824870972293446</v>
      </c>
      <c r="S4778" s="2">
        <f t="shared" si="298"/>
        <v>4.8617756920308395</v>
      </c>
      <c r="T4778" s="2">
        <f t="shared" si="300"/>
        <v>7.730272066293348</v>
      </c>
      <c r="U4778" s="2">
        <f t="shared" si="301"/>
        <v>59.416918730617631</v>
      </c>
    </row>
    <row r="4779" spans="1:21" x14ac:dyDescent="0.25">
      <c r="A4779">
        <v>5358137</v>
      </c>
      <c r="B4779">
        <v>41</v>
      </c>
      <c r="C4779" s="1">
        <f>1.00663882663902*(10.3/7.3)</f>
        <v>1.4203260156687509</v>
      </c>
      <c r="D4779" s="1">
        <f>1.67932551616679*(10.3/7.3)</f>
        <v>2.3694592899339582</v>
      </c>
      <c r="E4779" s="1">
        <f>5.7272305365416*(10.3/7.3)</f>
        <v>8.0808869214217154</v>
      </c>
      <c r="F4779" s="1">
        <f>18.7034738081364*(38.9/42.5)</f>
        <v>17.119179556153092</v>
      </c>
      <c r="G4779" s="1">
        <v>1.0547720772442528</v>
      </c>
      <c r="H4779" s="1">
        <v>5.7841822395824005</v>
      </c>
      <c r="I4779" s="1">
        <v>14.265003970041356</v>
      </c>
      <c r="J4779" s="1">
        <v>7.2553609609705819E-2</v>
      </c>
      <c r="K4779" s="1">
        <v>4.4282943214978774</v>
      </c>
      <c r="L4779" s="1">
        <v>3.3371757686416683</v>
      </c>
      <c r="M4779" s="1">
        <v>1.8669901714820001</v>
      </c>
      <c r="N4779" s="1">
        <v>2.2991868033599148</v>
      </c>
      <c r="O4779" s="1">
        <v>0.56128520325203246</v>
      </c>
      <c r="P4779" s="1">
        <v>0.19508948360660142</v>
      </c>
      <c r="Q4779" s="1">
        <v>1.6857087992488071</v>
      </c>
      <c r="R4779" s="2">
        <f t="shared" si="299"/>
        <v>51.779518869294336</v>
      </c>
      <c r="S4779" s="2">
        <f t="shared" si="298"/>
        <v>4.6959374147141846</v>
      </c>
      <c r="T4779" s="2">
        <f t="shared" si="300"/>
        <v>8.0646379467356155</v>
      </c>
      <c r="U4779" s="2">
        <f t="shared" si="301"/>
        <v>64.540094230744131</v>
      </c>
    </row>
    <row r="4780" spans="1:21" x14ac:dyDescent="0.25">
      <c r="A4780">
        <v>5358545</v>
      </c>
      <c r="B4780">
        <v>12</v>
      </c>
      <c r="C4780" s="1">
        <f>3.99221154312088*(10.3/7.3)</f>
        <v>5.6328464238554901</v>
      </c>
      <c r="D4780" s="1">
        <f>9.24865582065777*(10.3/7.3)</f>
        <v>13.049473281202053</v>
      </c>
      <c r="E4780" s="1">
        <f>31.681340541805*(10.3/7.3)</f>
        <v>44.701069531587919</v>
      </c>
      <c r="F4780" s="1">
        <f>80.6345424042973*(38.9/42.5)</f>
        <v>73.804322341815606</v>
      </c>
      <c r="G4780" s="1">
        <v>4.0290144486033173</v>
      </c>
      <c r="H4780" s="1">
        <v>7.2682223393307828</v>
      </c>
      <c r="I4780" s="1">
        <v>54.955409780092886</v>
      </c>
      <c r="J4780" s="1">
        <v>5.0871769845291036E-2</v>
      </c>
      <c r="K4780" s="1">
        <v>3.0570014828103793</v>
      </c>
      <c r="L4780" s="1">
        <v>3.842087087844956</v>
      </c>
      <c r="M4780" s="1">
        <v>0.29914856531083323</v>
      </c>
      <c r="N4780" s="1">
        <v>2.4205565527506216</v>
      </c>
      <c r="O4780" s="1">
        <v>0.22944888888888892</v>
      </c>
      <c r="P4780" s="1">
        <v>0.15172681196575785</v>
      </c>
      <c r="Q4780" s="1">
        <v>6.4390641872655818</v>
      </c>
      <c r="R4780" s="2">
        <f t="shared" si="299"/>
        <v>209.87942233375361</v>
      </c>
      <c r="S4780" s="2">
        <f t="shared" si="298"/>
        <v>3.259600064621428</v>
      </c>
      <c r="T4780" s="2">
        <f t="shared" si="300"/>
        <v>6.7912410947952999</v>
      </c>
      <c r="U4780" s="2">
        <f t="shared" si="301"/>
        <v>219.93026349317034</v>
      </c>
    </row>
    <row r="4781" spans="1:21" x14ac:dyDescent="0.25">
      <c r="A4781">
        <v>5358561</v>
      </c>
      <c r="B4781">
        <v>70</v>
      </c>
      <c r="C4781" s="1">
        <f>3.64387501206424*(10.3/7.3)</f>
        <v>5.1413578937344777</v>
      </c>
      <c r="D4781" s="1">
        <f>6.76172535973251*(10.3/7.3)</f>
        <v>9.540516603458201</v>
      </c>
      <c r="E4781" s="1">
        <f>23.4557555202649*(10.3/7.3)</f>
        <v>33.095107103935369</v>
      </c>
      <c r="F4781" s="1">
        <f>52.0271477274366*(38.9/42.5)</f>
        <v>47.620142272877224</v>
      </c>
      <c r="G4781" s="1">
        <v>2.2834662631189317</v>
      </c>
      <c r="H4781" s="1">
        <v>5.2786117061894888</v>
      </c>
      <c r="I4781" s="1">
        <v>35.523324254926024</v>
      </c>
      <c r="J4781" s="1">
        <v>4.3536119189811914E-2</v>
      </c>
      <c r="K4781" s="1">
        <v>2.8003060969208633</v>
      </c>
      <c r="L4781" s="1">
        <v>3.4223868280823639</v>
      </c>
      <c r="M4781" s="1">
        <v>0.26381896514659242</v>
      </c>
      <c r="N4781" s="1">
        <v>2.9921832836051392</v>
      </c>
      <c r="O4781" s="1">
        <v>0.20426285714285722</v>
      </c>
      <c r="P4781" s="1">
        <v>0.1394196349452034</v>
      </c>
      <c r="Q4781" s="1">
        <v>3.6493753063544601</v>
      </c>
      <c r="R4781" s="2">
        <f t="shared" si="299"/>
        <v>142.13190140459417</v>
      </c>
      <c r="S4781" s="2">
        <f t="shared" si="298"/>
        <v>2.9832618510558784</v>
      </c>
      <c r="T4781" s="2">
        <f t="shared" si="300"/>
        <v>6.8826519339769527</v>
      </c>
      <c r="U4781" s="2">
        <f t="shared" si="301"/>
        <v>151.997815189627</v>
      </c>
    </row>
    <row r="4782" spans="1:21" x14ac:dyDescent="0.25">
      <c r="A4782">
        <v>5358569</v>
      </c>
      <c r="B4782">
        <v>71</v>
      </c>
      <c r="C4782" s="1">
        <f>5.86157076423058*(10.3/7.3)</f>
        <v>8.2704354618595897</v>
      </c>
      <c r="D4782" s="1">
        <f>10.5621464582967*(10.3/7.3)</f>
        <v>14.902754591843266</v>
      </c>
      <c r="E4782" s="1">
        <f>36.6709769977806*(10.3/7.3)</f>
        <v>51.741241517416476</v>
      </c>
      <c r="F4782" s="1">
        <f>81.4282081824114*(38.9/42.5)</f>
        <v>74.530759959901232</v>
      </c>
      <c r="G4782" s="1">
        <v>3.5649273080152217</v>
      </c>
      <c r="H4782" s="1">
        <v>7.0203951244570266</v>
      </c>
      <c r="I4782" s="1">
        <v>56.006231809408071</v>
      </c>
      <c r="J4782" s="1">
        <v>6.0988344527131234E-2</v>
      </c>
      <c r="K4782" s="1">
        <v>3.6866197977547315</v>
      </c>
      <c r="L4782" s="1">
        <v>5.0642455653881813</v>
      </c>
      <c r="M4782" s="1">
        <v>0.35951998694742593</v>
      </c>
      <c r="N4782" s="1">
        <v>2.957509233831658</v>
      </c>
      <c r="O4782" s="1">
        <v>0.27358046948356801</v>
      </c>
      <c r="P4782" s="1">
        <v>0.17529373249737459</v>
      </c>
      <c r="Q4782" s="1">
        <v>5.6973724100699981</v>
      </c>
      <c r="R4782" s="2">
        <f t="shared" si="299"/>
        <v>221.73411818297086</v>
      </c>
      <c r="S4782" s="2">
        <f t="shared" si="298"/>
        <v>3.9229018747792375</v>
      </c>
      <c r="T4782" s="2">
        <f t="shared" si="300"/>
        <v>8.6548552556508316</v>
      </c>
      <c r="U4782" s="2">
        <f t="shared" si="301"/>
        <v>234.31187531340092</v>
      </c>
    </row>
    <row r="4783" spans="1:21" x14ac:dyDescent="0.25">
      <c r="A4783">
        <v>5358577</v>
      </c>
      <c r="B4783">
        <v>67</v>
      </c>
      <c r="C4783" s="1">
        <f>5.77713348728946*(10.3/7.3)</f>
        <v>8.1512979341207448</v>
      </c>
      <c r="D4783" s="1">
        <f>10.1964563493689*(10.3/7.3)</f>
        <v>14.386780876506814</v>
      </c>
      <c r="E4783" s="1">
        <f>35.4269416042121*(10.3/7.3)</f>
        <v>49.98595870183356</v>
      </c>
      <c r="F4783" s="1">
        <f>78.5599695847532*(38.9/42.5)</f>
        <v>71.905478043456483</v>
      </c>
      <c r="G4783" s="1">
        <v>3.4263598500908463</v>
      </c>
      <c r="H4783" s="1">
        <v>6.7496571706419344</v>
      </c>
      <c r="I4783" s="1">
        <v>54.28370362142158</v>
      </c>
      <c r="J4783" s="1">
        <v>5.8180023337406385E-2</v>
      </c>
      <c r="K4783" s="1">
        <v>3.5532274645454223</v>
      </c>
      <c r="L4783" s="1">
        <v>4.8334036046274447</v>
      </c>
      <c r="M4783" s="1">
        <v>0.33951932531434476</v>
      </c>
      <c r="N4783" s="1">
        <v>3.1378660945483881</v>
      </c>
      <c r="O4783" s="1">
        <v>0.26169233830845773</v>
      </c>
      <c r="P4783" s="1">
        <v>0.16836886323776776</v>
      </c>
      <c r="Q4783" s="1">
        <v>5.4759175686383426</v>
      </c>
      <c r="R4783" s="2">
        <f t="shared" si="299"/>
        <v>214.36515376671031</v>
      </c>
      <c r="S4783" s="2">
        <f t="shared" si="298"/>
        <v>3.7797763511205962</v>
      </c>
      <c r="T4783" s="2">
        <f t="shared" si="300"/>
        <v>8.5724813627986336</v>
      </c>
      <c r="U4783" s="2">
        <f t="shared" si="301"/>
        <v>226.71741148062955</v>
      </c>
    </row>
    <row r="4784" spans="1:21" x14ac:dyDescent="0.25">
      <c r="A4784">
        <v>5358585</v>
      </c>
      <c r="B4784">
        <v>71</v>
      </c>
      <c r="C4784" s="1">
        <f>5.81866183423157*(10.3/7.3)</f>
        <v>8.2098927250116631</v>
      </c>
      <c r="D4784" s="1">
        <f>10.1181564542933*(10.3/7.3)</f>
        <v>14.276302942358997</v>
      </c>
      <c r="E4784" s="1">
        <f>35.1727046122113*(10.3/7.3)</f>
        <v>49.627240754215961</v>
      </c>
      <c r="F4784" s="1">
        <f>77.9577025221957*(38.9/42.5)</f>
        <v>71.354226543845016</v>
      </c>
      <c r="G4784" s="1">
        <v>3.3922126768635699</v>
      </c>
      <c r="H4784" s="1">
        <v>7.7860774888949349</v>
      </c>
      <c r="I4784" s="1">
        <v>54.056755805454785</v>
      </c>
      <c r="J4784" s="1">
        <v>5.805826292418894E-2</v>
      </c>
      <c r="K4784" s="1">
        <v>3.5508395746069286</v>
      </c>
      <c r="L4784" s="1">
        <v>4.8418032677396745</v>
      </c>
      <c r="M4784" s="1">
        <v>0.33130662595332683</v>
      </c>
      <c r="N4784" s="1">
        <v>2.6772619777596445</v>
      </c>
      <c r="O4784" s="1">
        <v>0.25953051643192487</v>
      </c>
      <c r="P4784" s="1">
        <v>0.16714769979390384</v>
      </c>
      <c r="Q4784" s="1">
        <v>5.4213444607408716</v>
      </c>
      <c r="R4784" s="2">
        <f t="shared" si="299"/>
        <v>214.12405339738578</v>
      </c>
      <c r="S4784" s="2">
        <f t="shared" si="298"/>
        <v>3.7760455373250212</v>
      </c>
      <c r="T4784" s="2">
        <f t="shared" si="300"/>
        <v>8.1099023878845706</v>
      </c>
      <c r="U4784" s="2">
        <f t="shared" si="301"/>
        <v>226.01000132259537</v>
      </c>
    </row>
    <row r="4785" spans="1:21" x14ac:dyDescent="0.25">
      <c r="A4785">
        <v>5358593</v>
      </c>
      <c r="B4785">
        <v>68</v>
      </c>
      <c r="C4785" s="1">
        <f>6.21961942422647*(10.3/7.3)</f>
        <v>8.77562740678529</v>
      </c>
      <c r="D4785" s="1">
        <f>10.6754679448537*(10.3/7.3)</f>
        <v>15.062646552327839</v>
      </c>
      <c r="E4785" s="1">
        <f>37.1246265622853*(10.3/7.3)</f>
        <v>52.381322409799843</v>
      </c>
      <c r="F4785" s="1">
        <f>82.3537911486902*(38.9/42.5)</f>
        <v>75.377940604330533</v>
      </c>
      <c r="G4785" s="1">
        <v>3.5804164039262676</v>
      </c>
      <c r="H4785" s="1">
        <v>6.9689178967847827</v>
      </c>
      <c r="I4785" s="1">
        <v>57.303473267557493</v>
      </c>
      <c r="J4785" s="1">
        <v>5.9728084887268815E-2</v>
      </c>
      <c r="K4785" s="1">
        <v>3.6327084916272017</v>
      </c>
      <c r="L4785" s="1">
        <v>5.0185572410809955</v>
      </c>
      <c r="M4785" s="1">
        <v>0.33559325600942785</v>
      </c>
      <c r="N4785" s="1">
        <v>2.6913518785668153</v>
      </c>
      <c r="O4785" s="1">
        <v>0.26258039215686291</v>
      </c>
      <c r="P4785" s="1">
        <v>0.16955377973216199</v>
      </c>
      <c r="Q4785" s="1">
        <v>5.7221266729415241</v>
      </c>
      <c r="R4785" s="2">
        <f t="shared" si="299"/>
        <v>225.17247121445357</v>
      </c>
      <c r="S4785" s="2">
        <f t="shared" si="298"/>
        <v>3.8619903562466327</v>
      </c>
      <c r="T4785" s="2">
        <f t="shared" si="300"/>
        <v>8.3080827678141027</v>
      </c>
      <c r="U4785" s="2">
        <f t="shared" si="301"/>
        <v>237.3425443385143</v>
      </c>
    </row>
    <row r="4786" spans="1:21" x14ac:dyDescent="0.25">
      <c r="A4786">
        <v>5358601</v>
      </c>
      <c r="B4786">
        <v>72</v>
      </c>
      <c r="C4786" s="1">
        <f>6.13684696762001*(10.3/7.3)</f>
        <v>8.6588388721213896</v>
      </c>
      <c r="D4786" s="1">
        <f>10.4019287673674*(10.3/7.3)</f>
        <v>14.676694014230709</v>
      </c>
      <c r="E4786" s="1">
        <f>36.1918264836851*(10.3/7.3)</f>
        <v>51.065179833144782</v>
      </c>
      <c r="F4786" s="1">
        <f>80.1200931878537*(38.9/42.5)</f>
        <v>73.333450000176711</v>
      </c>
      <c r="G4786" s="1">
        <v>3.4709913427305374</v>
      </c>
      <c r="H4786" s="1">
        <v>6.8287419205844175</v>
      </c>
      <c r="I4786" s="1">
        <v>55.892215827203387</v>
      </c>
      <c r="J4786" s="1">
        <v>5.8668067415324633E-2</v>
      </c>
      <c r="K4786" s="1">
        <v>3.579111482386073</v>
      </c>
      <c r="L4786" s="1">
        <v>4.9300043837994876</v>
      </c>
      <c r="M4786" s="1">
        <v>0.32358241963939133</v>
      </c>
      <c r="N4786" s="1">
        <v>2.6336643371555337</v>
      </c>
      <c r="O4786" s="1">
        <v>0.25668444444444444</v>
      </c>
      <c r="P4786" s="1">
        <v>0.16630029583721173</v>
      </c>
      <c r="Q4786" s="1">
        <v>5.5472464381538336</v>
      </c>
      <c r="R4786" s="2">
        <f t="shared" si="299"/>
        <v>219.47335824834573</v>
      </c>
      <c r="S4786" s="2">
        <f t="shared" si="298"/>
        <v>3.8040798456386096</v>
      </c>
      <c r="T4786" s="2">
        <f t="shared" si="300"/>
        <v>8.1439355850388573</v>
      </c>
      <c r="U4786" s="2">
        <f t="shared" si="301"/>
        <v>231.42137367902319</v>
      </c>
    </row>
    <row r="4787" spans="1:21" x14ac:dyDescent="0.25">
      <c r="A4787">
        <v>5358609</v>
      </c>
      <c r="B4787">
        <v>71</v>
      </c>
      <c r="C4787" s="1">
        <f>6.10586949511397*(10.3/7.3)</f>
        <v>8.6151309314621773</v>
      </c>
      <c r="D4787" s="1">
        <f>10.2636896349266*(10.3/7.3)</f>
        <v>14.481644279417038</v>
      </c>
      <c r="E4787" s="1">
        <f>35.7280193960975*(10.3/7.3)</f>
        <v>50.410767093123816</v>
      </c>
      <c r="F4787" s="1">
        <f>78.7318687342706*(38.9/42.5)</f>
        <v>72.062816323838263</v>
      </c>
      <c r="G4787" s="1">
        <v>3.3923940204258973</v>
      </c>
      <c r="H4787" s="1">
        <v>6.8072587520031949</v>
      </c>
      <c r="I4787" s="1">
        <v>54.968780680348424</v>
      </c>
      <c r="J4787" s="1">
        <v>5.7601192187073366E-2</v>
      </c>
      <c r="K4787" s="1">
        <v>3.5155168691499239</v>
      </c>
      <c r="L4787" s="1">
        <v>4.8192339599799414</v>
      </c>
      <c r="M4787" s="1">
        <v>0.30926990263874415</v>
      </c>
      <c r="N4787" s="1">
        <v>2.625961528377414</v>
      </c>
      <c r="O4787" s="1">
        <v>0.24894873239436627</v>
      </c>
      <c r="P4787" s="1">
        <v>0.16234340748566042</v>
      </c>
      <c r="Q4787" s="1">
        <v>5.4216342792194734</v>
      </c>
      <c r="R4787" s="2">
        <f t="shared" si="299"/>
        <v>216.16042635983831</v>
      </c>
      <c r="S4787" s="2">
        <f t="shared" si="298"/>
        <v>3.7354614688226575</v>
      </c>
      <c r="T4787" s="2">
        <f t="shared" si="300"/>
        <v>8.0034141233904652</v>
      </c>
      <c r="U4787" s="2">
        <f t="shared" si="301"/>
        <v>227.89930195205142</v>
      </c>
    </row>
    <row r="4788" spans="1:21" x14ac:dyDescent="0.25">
      <c r="A4788">
        <v>5358617</v>
      </c>
      <c r="B4788">
        <v>72</v>
      </c>
      <c r="C4788" s="1">
        <f>6.24322407100963*(10.3/7.3)</f>
        <v>8.8089325933423517</v>
      </c>
      <c r="D4788" s="1">
        <f>10.451765054402*(10.3/7.3)</f>
        <v>14.747010967169938</v>
      </c>
      <c r="E4788" s="1">
        <f>36.3946931857975*(10.3/7.3)</f>
        <v>51.351416412837622</v>
      </c>
      <c r="F4788" s="1">
        <f>79.850121360906*(38.9/42.5)</f>
        <v>73.086346375041018</v>
      </c>
      <c r="G4788" s="1">
        <v>3.424318043376974</v>
      </c>
      <c r="H4788" s="1">
        <v>7.1507476371648222</v>
      </c>
      <c r="I4788" s="1">
        <v>55.739240294512875</v>
      </c>
      <c r="J4788" s="1">
        <v>5.8310577498778958E-2</v>
      </c>
      <c r="K4788" s="1">
        <v>3.5072688348918835</v>
      </c>
      <c r="L4788" s="1">
        <v>4.8180065684014224</v>
      </c>
      <c r="M4788" s="1">
        <v>0.30726058151067104</v>
      </c>
      <c r="N4788" s="1">
        <v>2.6079487502833598</v>
      </c>
      <c r="O4788" s="1">
        <v>0.24595629629629634</v>
      </c>
      <c r="P4788" s="1">
        <v>0.16086362965745546</v>
      </c>
      <c r="Q4788" s="1">
        <v>5.472654407223482</v>
      </c>
      <c r="R4788" s="2">
        <f t="shared" si="299"/>
        <v>219.78066673066908</v>
      </c>
      <c r="S4788" s="2">
        <f t="shared" si="298"/>
        <v>3.726443042048118</v>
      </c>
      <c r="T4788" s="2">
        <f t="shared" si="300"/>
        <v>7.9791721964917501</v>
      </c>
      <c r="U4788" s="2">
        <f t="shared" si="301"/>
        <v>231.48628196920896</v>
      </c>
    </row>
    <row r="4789" spans="1:21" x14ac:dyDescent="0.25">
      <c r="A4789">
        <v>5358625</v>
      </c>
      <c r="B4789">
        <v>54</v>
      </c>
      <c r="C4789" s="1">
        <f>4.97502607940532*(10.3/7.3)</f>
        <v>7.0195573449143538</v>
      </c>
      <c r="D4789" s="1">
        <f>8.50741165402595*(10.3/7.3)</f>
        <v>12.0036082241736</v>
      </c>
      <c r="E4789" s="1">
        <f>29.5800750198188*(10.3/7.3)</f>
        <v>41.736270233442909</v>
      </c>
      <c r="F4789" s="1">
        <f>66.057451438792*(38.9/42.5)</f>
        <v>60.4619967286826</v>
      </c>
      <c r="G4789" s="1">
        <v>2.8884195517358648</v>
      </c>
      <c r="H4789" s="1">
        <v>9.0675416390403303</v>
      </c>
      <c r="I4789" s="1">
        <v>46.093564689587737</v>
      </c>
      <c r="J4789" s="1">
        <v>4.9459254461221444E-2</v>
      </c>
      <c r="K4789" s="1">
        <v>3.0512674739437875</v>
      </c>
      <c r="L4789" s="1">
        <v>3.9723958375737443</v>
      </c>
      <c r="M4789" s="1">
        <v>0.25829676960293063</v>
      </c>
      <c r="N4789" s="1">
        <v>2.2527809532229122</v>
      </c>
      <c r="O4789" s="1">
        <v>0.21021333333333342</v>
      </c>
      <c r="P4789" s="1">
        <v>0.14209780504736069</v>
      </c>
      <c r="Q4789" s="1">
        <v>4.6161956306280993</v>
      </c>
      <c r="R4789" s="2">
        <f t="shared" si="299"/>
        <v>183.88715404220551</v>
      </c>
      <c r="S4789" s="2">
        <f t="shared" si="298"/>
        <v>3.24282453345237</v>
      </c>
      <c r="T4789" s="2">
        <f t="shared" si="300"/>
        <v>6.6936868937329201</v>
      </c>
      <c r="U4789" s="2">
        <f t="shared" si="301"/>
        <v>193.82366546939079</v>
      </c>
    </row>
    <row r="4790" spans="1:21" x14ac:dyDescent="0.25">
      <c r="A4790">
        <v>5358633</v>
      </c>
      <c r="B4790">
        <v>32</v>
      </c>
      <c r="C4790" s="1">
        <f>3.62896111760708*(10.3/7.3)</f>
        <v>5.1203150015551895</v>
      </c>
      <c r="D4790" s="1">
        <f>6.32566972320313*(10.3/7.3)</f>
        <v>8.9252600204098975</v>
      </c>
      <c r="E4790" s="1">
        <f>22.0208997008*(10.3/7.3)</f>
        <v>31.070584509347952</v>
      </c>
      <c r="F4790" s="1">
        <f>47.1165682961419*(38.9/42.5)</f>
        <v>43.125517805174589</v>
      </c>
      <c r="G4790" s="1">
        <v>1.9822069764252699</v>
      </c>
      <c r="H4790" s="1">
        <v>8.5016367311149637</v>
      </c>
      <c r="I4790" s="1">
        <v>32.312841706285994</v>
      </c>
      <c r="J4790" s="1">
        <v>4.0453643820380636E-2</v>
      </c>
      <c r="K4790" s="1">
        <v>2.5126487668083719</v>
      </c>
      <c r="L4790" s="1">
        <v>3.0117536122901161</v>
      </c>
      <c r="M4790" s="1">
        <v>0.19903122726423006</v>
      </c>
      <c r="N4790" s="1">
        <v>2.1454274263116577</v>
      </c>
      <c r="O4790" s="1">
        <v>0.16908333333333334</v>
      </c>
      <c r="P4790" s="1">
        <v>0.11986424555114114</v>
      </c>
      <c r="Q4790" s="1">
        <v>3.1679106929171019</v>
      </c>
      <c r="R4790" s="2">
        <f t="shared" si="299"/>
        <v>134.20627344323097</v>
      </c>
      <c r="S4790" s="2">
        <f t="shared" si="298"/>
        <v>2.6729666561798933</v>
      </c>
      <c r="T4790" s="2">
        <f t="shared" si="300"/>
        <v>5.5252955991993371</v>
      </c>
      <c r="U4790" s="2">
        <f t="shared" si="301"/>
        <v>142.40453569861018</v>
      </c>
    </row>
    <row r="4791" spans="1:21" x14ac:dyDescent="0.25">
      <c r="A4791">
        <v>5358689</v>
      </c>
      <c r="B4791">
        <v>4</v>
      </c>
      <c r="C4791" s="1">
        <f>3.75250625741736*(10.3/7.3)</f>
        <v>5.2946321166299803</v>
      </c>
      <c r="D4791" s="1">
        <f>5.74125724334123*(10.3/7.3)</f>
        <v>8.1006780282759774</v>
      </c>
      <c r="E4791" s="1">
        <f>19.9566312373325*(10.3/7.3)</f>
        <v>28.157986540345789</v>
      </c>
      <c r="F4791" s="1">
        <f>48.8258807243667*(38.9/42.5)</f>
        <v>44.690041415949779</v>
      </c>
      <c r="G4791" s="1">
        <v>2.2778715983359916</v>
      </c>
      <c r="H4791" s="1">
        <v>8.5295591335162051</v>
      </c>
      <c r="I4791" s="1">
        <v>35.808817444738636</v>
      </c>
      <c r="J4791" s="1">
        <v>3.029435322466055E-2</v>
      </c>
      <c r="K4791" s="1">
        <v>1.9083098412814974</v>
      </c>
      <c r="L4791" s="1">
        <v>2.4888589456499357</v>
      </c>
      <c r="M4791" s="1">
        <v>0.14047763953785536</v>
      </c>
      <c r="N4791" s="1">
        <v>1.3521918885390063</v>
      </c>
      <c r="O4791" s="1">
        <v>0.11588000000000001</v>
      </c>
      <c r="P4791" s="1">
        <v>8.9025051833627522E-2</v>
      </c>
      <c r="Q4791" s="1">
        <v>3.6404340612675696</v>
      </c>
      <c r="R4791" s="2">
        <f t="shared" si="299"/>
        <v>136.50002033905992</v>
      </c>
      <c r="S4791" s="2">
        <f t="shared" si="298"/>
        <v>2.0276292463397851</v>
      </c>
      <c r="T4791" s="2">
        <f t="shared" si="300"/>
        <v>4.0974084737267971</v>
      </c>
      <c r="U4791" s="2">
        <f t="shared" si="301"/>
        <v>142.6250580591265</v>
      </c>
    </row>
    <row r="4792" spans="1:21" x14ac:dyDescent="0.25">
      <c r="A4792">
        <v>5358793</v>
      </c>
      <c r="B4792">
        <v>11</v>
      </c>
      <c r="C4792" s="1">
        <f>8.71896973350221*(10.3/7.3)</f>
        <v>12.30210798014695</v>
      </c>
      <c r="D4792" s="1">
        <f>9.99128543237107*(10.3/7.3)</f>
        <v>14.097293144304388</v>
      </c>
      <c r="E4792" s="1">
        <f>35.2553983163837*(10.3/7.3)</f>
        <v>49.743918172431819</v>
      </c>
      <c r="F4792" s="1">
        <f>81.5147982712838*(38.9/42.5)</f>
        <v>74.610015358892667</v>
      </c>
      <c r="G4792" s="1">
        <v>3.4652364322564311</v>
      </c>
      <c r="H4792" s="1">
        <v>8.736677322756309</v>
      </c>
      <c r="I4792" s="1">
        <v>64.01417390911071</v>
      </c>
      <c r="J4792" s="1">
        <v>4.0025755296044768E-2</v>
      </c>
      <c r="K4792" s="1">
        <v>2.4142129109201416</v>
      </c>
      <c r="L4792" s="1">
        <v>2.8664421385970038</v>
      </c>
      <c r="M4792" s="1">
        <v>0.14696071549703379</v>
      </c>
      <c r="N4792" s="1">
        <v>1.7690306477903652</v>
      </c>
      <c r="O4792" s="1">
        <v>0.13405090909090908</v>
      </c>
      <c r="P4792" s="1">
        <v>9.7991515890033382E-2</v>
      </c>
      <c r="Q4792" s="1">
        <v>5.5380490926472694</v>
      </c>
      <c r="R4792" s="2">
        <f t="shared" si="299"/>
        <v>232.50747141254658</v>
      </c>
      <c r="S4792" s="2">
        <f t="shared" si="298"/>
        <v>2.5522301821062197</v>
      </c>
      <c r="T4792" s="2">
        <f t="shared" si="300"/>
        <v>4.9164844109753121</v>
      </c>
      <c r="U4792" s="2">
        <f t="shared" si="301"/>
        <v>239.97618600562811</v>
      </c>
    </row>
    <row r="4793" spans="1:21" x14ac:dyDescent="0.25">
      <c r="A4793">
        <v>5358801</v>
      </c>
      <c r="B4793">
        <v>28</v>
      </c>
      <c r="C4793" s="1">
        <f>8.71291776708776*(10.3/7.3)</f>
        <v>12.293568904247108</v>
      </c>
      <c r="D4793" s="1">
        <f>10.2210406115784*(10.3/7.3)</f>
        <v>14.421468260172249</v>
      </c>
      <c r="E4793" s="1">
        <f>36.0476468886044*(10.3/7.3)</f>
        <v>50.861748349674684</v>
      </c>
      <c r="F4793" s="1">
        <f>82.2059590616134*(38.9/42.5)</f>
        <v>75.242630764629638</v>
      </c>
      <c r="G4793" s="1">
        <v>3.4622544689599208</v>
      </c>
      <c r="H4793" s="1">
        <v>6.6289162925156671</v>
      </c>
      <c r="I4793" s="1">
        <v>63.963685462328726</v>
      </c>
      <c r="J4793" s="1">
        <v>4.3144895803396373E-2</v>
      </c>
      <c r="K4793" s="1">
        <v>2.5635806400837038</v>
      </c>
      <c r="L4793" s="1">
        <v>3.1053979049401899</v>
      </c>
      <c r="M4793" s="1">
        <v>0.15514508878131728</v>
      </c>
      <c r="N4793" s="1">
        <v>1.8765640273047972</v>
      </c>
      <c r="O4793" s="1">
        <v>0.14014095238095237</v>
      </c>
      <c r="P4793" s="1">
        <v>0.10357010043570399</v>
      </c>
      <c r="Q4793" s="1">
        <v>5.5332833978811573</v>
      </c>
      <c r="R4793" s="2">
        <f t="shared" si="299"/>
        <v>232.40755590040914</v>
      </c>
      <c r="S4793" s="2">
        <f t="shared" si="298"/>
        <v>2.7102956363228041</v>
      </c>
      <c r="T4793" s="2">
        <f t="shared" si="300"/>
        <v>5.277247973407257</v>
      </c>
      <c r="U4793" s="2">
        <f t="shared" si="301"/>
        <v>240.3950995101392</v>
      </c>
    </row>
    <row r="4794" spans="1:21" x14ac:dyDescent="0.25">
      <c r="A4794">
        <v>5358809</v>
      </c>
      <c r="B4794">
        <v>69</v>
      </c>
      <c r="C4794" s="1">
        <f>4.48996085467409*(10.3/7.3)</f>
        <v>6.3351502470059078</v>
      </c>
      <c r="D4794" s="1">
        <f>5.43630296112736*(10.3/7.3)</f>
        <v>7.6704000684399682</v>
      </c>
      <c r="E4794" s="1">
        <f>19.1485248726506*(10.3/7.3)</f>
        <v>27.017781669630367</v>
      </c>
      <c r="F4794" s="1">
        <f>43.4484532502374*(38.9/42.5)</f>
        <v>39.768113680805556</v>
      </c>
      <c r="G4794" s="1">
        <v>1.8311669937949879</v>
      </c>
      <c r="H4794" s="1">
        <v>4.3136019345177541</v>
      </c>
      <c r="I4794" s="1">
        <v>33.455309213365055</v>
      </c>
      <c r="J4794" s="1">
        <v>3.0838620976157093E-2</v>
      </c>
      <c r="K4794" s="1">
        <v>1.9570496245941471</v>
      </c>
      <c r="L4794" s="1">
        <v>2.1921542850540088</v>
      </c>
      <c r="M4794" s="1">
        <v>0.11858814164009288</v>
      </c>
      <c r="N4794" s="1">
        <v>1.4252100174809013</v>
      </c>
      <c r="O4794" s="1">
        <v>0.10372714975845408</v>
      </c>
      <c r="P4794" s="1">
        <v>8.1502576414937924E-2</v>
      </c>
      <c r="Q4794" s="1">
        <v>2.9265225928230421</v>
      </c>
      <c r="R4794" s="2">
        <f t="shared" si="299"/>
        <v>123.31804640038264</v>
      </c>
      <c r="S4794" s="2">
        <f t="shared" si="298"/>
        <v>2.0693908219852419</v>
      </c>
      <c r="T4794" s="2">
        <f t="shared" si="300"/>
        <v>3.8396795939334569</v>
      </c>
      <c r="U4794" s="2">
        <f t="shared" si="301"/>
        <v>129.22711681630133</v>
      </c>
    </row>
    <row r="4795" spans="1:21" x14ac:dyDescent="0.25">
      <c r="A4795">
        <v>5358817</v>
      </c>
      <c r="B4795">
        <v>58</v>
      </c>
      <c r="C4795" s="1">
        <f>6.11034568375336*(10.3/7.3)</f>
        <v>8.6214466496793936</v>
      </c>
      <c r="D4795" s="1">
        <f>7.51898069432839*(10.3/7.3)</f>
        <v>10.608972760490742</v>
      </c>
      <c r="E4795" s="1">
        <f>26.4672540789405*(10.3/7.3)</f>
        <v>37.344207810011987</v>
      </c>
      <c r="F4795" s="1">
        <f>59.9226392923128*(38.9/42.5)</f>
        <v>54.84683925814042</v>
      </c>
      <c r="G4795" s="1">
        <v>2.5271843432380825</v>
      </c>
      <c r="H4795" s="1">
        <v>5.4246343187188399</v>
      </c>
      <c r="I4795" s="1">
        <v>45.898263483437582</v>
      </c>
      <c r="J4795" s="1">
        <v>3.8397043433810917E-2</v>
      </c>
      <c r="K4795" s="1">
        <v>2.2564185897586904</v>
      </c>
      <c r="L4795" s="1">
        <v>2.5863871664010678</v>
      </c>
      <c r="M4795" s="1">
        <v>0.13384661709184051</v>
      </c>
      <c r="N4795" s="1">
        <v>1.6709239151534345</v>
      </c>
      <c r="O4795" s="1">
        <v>0.12075862068965518</v>
      </c>
      <c r="P4795" s="1">
        <v>9.1376125723140564E-2</v>
      </c>
      <c r="Q4795" s="1">
        <v>4.0388790873668041</v>
      </c>
      <c r="R4795" s="2">
        <f t="shared" si="299"/>
        <v>169.31042771108386</v>
      </c>
      <c r="S4795" s="2">
        <f t="shared" si="298"/>
        <v>2.3861917589156421</v>
      </c>
      <c r="T4795" s="2">
        <f t="shared" si="300"/>
        <v>4.5119163193359979</v>
      </c>
      <c r="U4795" s="2">
        <f t="shared" si="301"/>
        <v>176.20853578933549</v>
      </c>
    </row>
    <row r="4796" spans="1:21" x14ac:dyDescent="0.25">
      <c r="A4796">
        <v>5358977</v>
      </c>
      <c r="B4796">
        <v>25</v>
      </c>
      <c r="C4796" s="1">
        <f>7.73737595490025*(10.3/7.3)</f>
        <v>10.91711949800994</v>
      </c>
      <c r="D4796" s="1">
        <f>8.86362791195304*(10.3/7.3)</f>
        <v>12.506214725084433</v>
      </c>
      <c r="E4796" s="1">
        <f>31.1156396193823*(10.3/7.3)</f>
        <v>43.902888778032569</v>
      </c>
      <c r="F4796" s="1">
        <f>80.1284909684522*(38.9/42.5)</f>
        <v>73.341136439359758</v>
      </c>
      <c r="G4796" s="1">
        <v>3.7455805558469524</v>
      </c>
      <c r="H4796" s="1">
        <v>9.8100091270595922</v>
      </c>
      <c r="I4796" s="1">
        <v>63.847254289969463</v>
      </c>
      <c r="J4796" s="1">
        <v>4.0784656145481241E-2</v>
      </c>
      <c r="K4796" s="1">
        <v>2.2202711552770364</v>
      </c>
      <c r="L4796" s="1">
        <v>2.2432604699463976</v>
      </c>
      <c r="M4796" s="1">
        <v>0.10849274416739331</v>
      </c>
      <c r="N4796" s="1">
        <v>1.6586927523968731</v>
      </c>
      <c r="O4796" s="1">
        <v>0.10225279999999998</v>
      </c>
      <c r="P4796" s="1">
        <v>7.9382921199171022E-2</v>
      </c>
      <c r="Q4796" s="1">
        <v>5.9860876463307502</v>
      </c>
      <c r="R4796" s="2">
        <f t="shared" si="299"/>
        <v>224.05629105969348</v>
      </c>
      <c r="S4796" s="2">
        <f t="shared" si="298"/>
        <v>2.3404387326216889</v>
      </c>
      <c r="T4796" s="2">
        <f t="shared" si="300"/>
        <v>4.1126987665106638</v>
      </c>
      <c r="U4796" s="2">
        <f t="shared" si="301"/>
        <v>230.50942855882585</v>
      </c>
    </row>
    <row r="4797" spans="1:21" x14ac:dyDescent="0.25">
      <c r="A4797">
        <v>5359033</v>
      </c>
      <c r="B4797">
        <v>12</v>
      </c>
      <c r="C4797" s="1">
        <f>4.20476660399672*(10.3/7.3)</f>
        <v>5.9327528796118152</v>
      </c>
      <c r="D4797" s="1">
        <f>5.81458540168255*(10.3/7.3)</f>
        <v>8.2041410462096245</v>
      </c>
      <c r="E4797" s="1">
        <f>20.1336253223598*(10.3/7.3)</f>
        <v>28.407717920589903</v>
      </c>
      <c r="F4797" s="1">
        <f>57.2941109823718*(38.9/42.5)</f>
        <v>52.440962757982675</v>
      </c>
      <c r="G4797" s="1">
        <v>2.9439943573092653</v>
      </c>
      <c r="H4797" s="1">
        <v>9.3869658358220089</v>
      </c>
      <c r="I4797" s="1">
        <v>44.236255977131641</v>
      </c>
      <c r="J4797" s="1">
        <v>3.1284434101344835E-2</v>
      </c>
      <c r="K4797" s="1">
        <v>1.9571742711382392</v>
      </c>
      <c r="L4797" s="1">
        <v>1.9370889238762181</v>
      </c>
      <c r="M4797" s="1">
        <v>9.2736806492140653E-2</v>
      </c>
      <c r="N4797" s="1">
        <v>1.2624616859822548</v>
      </c>
      <c r="O4797" s="1">
        <v>9.1933333333333311E-2</v>
      </c>
      <c r="P4797" s="1">
        <v>7.1766677552215941E-2</v>
      </c>
      <c r="Q4797" s="1">
        <v>4.7050138130513419</v>
      </c>
      <c r="R4797" s="2">
        <f t="shared" si="299"/>
        <v>156.25780458770828</v>
      </c>
      <c r="S4797" s="2">
        <f t="shared" si="298"/>
        <v>2.0602253827918</v>
      </c>
      <c r="T4797" s="2">
        <f t="shared" si="300"/>
        <v>3.3842207496839469</v>
      </c>
      <c r="U4797" s="2">
        <f t="shared" si="301"/>
        <v>161.70225072018403</v>
      </c>
    </row>
    <row r="4798" spans="1:21" x14ac:dyDescent="0.25">
      <c r="A4798">
        <v>5359041</v>
      </c>
      <c r="B4798">
        <v>4</v>
      </c>
      <c r="C4798" s="1">
        <f>3.03558100524401*(10.3/7.3)</f>
        <v>4.2830800484949743</v>
      </c>
      <c r="D4798" s="1">
        <f>4.01907717447713*(10.3/7.3)</f>
        <v>5.6707527256321217</v>
      </c>
      <c r="E4798" s="1">
        <f>14.0464308178562*(10.3/7.3)</f>
        <v>19.818936633413585</v>
      </c>
      <c r="F4798" s="1">
        <f>34.6036795175128*(38.9/42.5)</f>
        <v>31.672544311323449</v>
      </c>
      <c r="G4798" s="1">
        <v>1.5933298744837243</v>
      </c>
      <c r="H4798" s="1">
        <v>5.2225389634082191</v>
      </c>
      <c r="I4798" s="1">
        <v>26.349293841240495</v>
      </c>
      <c r="J4798" s="1">
        <v>2.6076608689985493E-2</v>
      </c>
      <c r="K4798" s="1">
        <v>1.7599321777317987</v>
      </c>
      <c r="L4798" s="1">
        <v>1.7135532486967253</v>
      </c>
      <c r="M4798" s="1">
        <v>8.4209401859297123E-2</v>
      </c>
      <c r="N4798" s="1">
        <v>1.0865737099666135</v>
      </c>
      <c r="O4798" s="1">
        <v>8.2733333333333325E-2</v>
      </c>
      <c r="P4798" s="1">
        <v>6.6030572867129891E-2</v>
      </c>
      <c r="Q4798" s="1">
        <v>2.5464176076223932</v>
      </c>
      <c r="R4798" s="2">
        <f t="shared" si="299"/>
        <v>97.156894005618952</v>
      </c>
      <c r="S4798" s="2">
        <f t="shared" si="298"/>
        <v>1.8520393592889142</v>
      </c>
      <c r="T4798" s="2">
        <f t="shared" si="300"/>
        <v>2.9670696938559695</v>
      </c>
      <c r="U4798" s="2">
        <f t="shared" si="301"/>
        <v>101.97600305876384</v>
      </c>
    </row>
    <row r="4799" spans="1:21" x14ac:dyDescent="0.25">
      <c r="A4799">
        <v>5370341</v>
      </c>
      <c r="B4799">
        <v>18</v>
      </c>
      <c r="C4799" s="1">
        <f>0.63866091214443*(10.3/7.3)</f>
        <v>0.90112430069693505</v>
      </c>
      <c r="D4799" s="1">
        <f>0.937664631821245*(10.3/7.3)</f>
        <v>1.3230062613368248</v>
      </c>
      <c r="E4799" s="1">
        <f>3.24971798531787*(10.3/7.3)</f>
        <v>4.5852185272293244</v>
      </c>
      <c r="F4799" s="1">
        <f>8.69960149577755*(38.9/42.5)</f>
        <v>7.9626940749587494</v>
      </c>
      <c r="G4799" s="1">
        <v>0.43199327595804149</v>
      </c>
      <c r="H4799" s="1">
        <v>1.8127867463703506</v>
      </c>
      <c r="I4799" s="1">
        <v>6.5597561915258833</v>
      </c>
      <c r="J4799" s="1">
        <v>3.6432618926561057E-2</v>
      </c>
      <c r="K4799" s="1">
        <v>3.073824931759467</v>
      </c>
      <c r="L4799" s="1">
        <v>2.058665850540256</v>
      </c>
      <c r="M4799" s="1">
        <v>0.90844901437316494</v>
      </c>
      <c r="N4799" s="1">
        <v>1.2328657710897351</v>
      </c>
      <c r="O4799" s="1">
        <v>0.35727111111111115</v>
      </c>
      <c r="P4799" s="1">
        <v>0.15442003483586422</v>
      </c>
      <c r="Q4799" s="1">
        <v>0.69040021271833174</v>
      </c>
      <c r="R4799" s="2">
        <f t="shared" si="299"/>
        <v>24.266979590794442</v>
      </c>
      <c r="S4799" s="2">
        <f t="shared" si="298"/>
        <v>3.2646775855218926</v>
      </c>
      <c r="T4799" s="2">
        <f t="shared" si="300"/>
        <v>4.5572517471142673</v>
      </c>
      <c r="U4799" s="2">
        <f t="shared" si="301"/>
        <v>32.088908923430601</v>
      </c>
    </row>
    <row r="4800" spans="1:21" x14ac:dyDescent="0.25">
      <c r="A4800">
        <v>5370349</v>
      </c>
      <c r="B4800">
        <v>62</v>
      </c>
      <c r="C4800" s="1">
        <f>0.621508668208024*(10.3/7.3)</f>
        <v>0.87692318938940372</v>
      </c>
      <c r="D4800" s="1">
        <f>0.914302338210117*(10.3/7.3)</f>
        <v>1.2900430251457815</v>
      </c>
      <c r="E4800" s="1">
        <f>3.16836726971802*(10.3/7.3)</f>
        <v>4.470436010698033</v>
      </c>
      <c r="F4800" s="1">
        <f>8.48892078699835*(38.9/42.5)</f>
        <v>7.7698592615114324</v>
      </c>
      <c r="G4800" s="1">
        <v>0.42186640254414626</v>
      </c>
      <c r="H4800" s="1">
        <v>1.8142586039470023</v>
      </c>
      <c r="I4800" s="1">
        <v>6.3990709669779973</v>
      </c>
      <c r="J4800" s="1">
        <v>3.889005745523081E-2</v>
      </c>
      <c r="K4800" s="1">
        <v>3.189270817878306</v>
      </c>
      <c r="L4800" s="1">
        <v>2.0899717760015375</v>
      </c>
      <c r="M4800" s="1">
        <v>0.99491176454924224</v>
      </c>
      <c r="N4800" s="1">
        <v>1.3047394337299323</v>
      </c>
      <c r="O4800" s="1">
        <v>0.3670030107526881</v>
      </c>
      <c r="P4800" s="1">
        <v>0.15738289707714101</v>
      </c>
      <c r="Q4800" s="1">
        <v>0.67421571182854512</v>
      </c>
      <c r="R4800" s="2">
        <f t="shared" si="299"/>
        <v>23.716673172042345</v>
      </c>
      <c r="S4800" s="2">
        <f t="shared" si="298"/>
        <v>3.3855437724106778</v>
      </c>
      <c r="T4800" s="2">
        <f t="shared" si="300"/>
        <v>4.7566259850334003</v>
      </c>
      <c r="U4800" s="2">
        <f t="shared" si="301"/>
        <v>31.858842929486421</v>
      </c>
    </row>
    <row r="4801" spans="1:21" x14ac:dyDescent="0.25">
      <c r="A4801">
        <v>5370357</v>
      </c>
      <c r="B4801">
        <v>63</v>
      </c>
      <c r="C4801" s="1">
        <f>0.829850462528914*(10.3/7.3)</f>
        <v>1.1708848991846319</v>
      </c>
      <c r="D4801" s="1">
        <f>1.24620921458315*(10.3/7.3)</f>
        <v>1.7583499876995095</v>
      </c>
      <c r="E4801" s="1">
        <f>4.30864704105511*(10.3/7.3)</f>
        <v>6.0793239072421468</v>
      </c>
      <c r="F4801" s="1">
        <f>11.8760750867736*(38.9/42.5)</f>
        <v>10.870101667658666</v>
      </c>
      <c r="G4801" s="1">
        <v>0.60286813349286161</v>
      </c>
      <c r="H4801" s="1">
        <v>2.5370056886509822</v>
      </c>
      <c r="I4801" s="1">
        <v>8.9597950471888179</v>
      </c>
      <c r="J4801" s="1">
        <v>5.0275768098503329E-2</v>
      </c>
      <c r="K4801" s="1">
        <v>3.8487579735574911</v>
      </c>
      <c r="L4801" s="1">
        <v>2.5408376669161736</v>
      </c>
      <c r="M4801" s="1">
        <v>1.328742123614151</v>
      </c>
      <c r="N4801" s="1">
        <v>1.6152996626244873</v>
      </c>
      <c r="O4801" s="1">
        <v>0.45013502645502645</v>
      </c>
      <c r="P4801" s="1">
        <v>0.17873895889714156</v>
      </c>
      <c r="Q4801" s="1">
        <v>0.96348788457763379</v>
      </c>
      <c r="R4801" s="2">
        <f t="shared" si="299"/>
        <v>32.941817215695245</v>
      </c>
      <c r="S4801" s="2">
        <f t="shared" si="298"/>
        <v>4.0777727005531359</v>
      </c>
      <c r="T4801" s="2">
        <f t="shared" si="300"/>
        <v>5.9350144796098379</v>
      </c>
      <c r="U4801" s="2">
        <f t="shared" si="301"/>
        <v>42.954604395858219</v>
      </c>
    </row>
    <row r="4802" spans="1:21" x14ac:dyDescent="0.25">
      <c r="A4802">
        <v>5370365</v>
      </c>
      <c r="B4802">
        <v>61</v>
      </c>
      <c r="C4802" s="1">
        <f>1.21790452196848*(10.3/7.3)</f>
        <v>1.7184132296267609</v>
      </c>
      <c r="D4802" s="1">
        <f>1.89098604659268*(10.3/7.3)</f>
        <v>2.6681035999869342</v>
      </c>
      <c r="E4802" s="1">
        <f>6.50755627398682*(10.3/7.3)</f>
        <v>9.1818944687759299</v>
      </c>
      <c r="F4802" s="1">
        <f>19.0758423755431*(38.9/42.5)</f>
        <v>17.46000631549709</v>
      </c>
      <c r="G4802" s="1">
        <v>1.0093006442534678</v>
      </c>
      <c r="H4802" s="1">
        <v>3.9930556659199454</v>
      </c>
      <c r="I4802" s="1">
        <v>14.457025260811532</v>
      </c>
      <c r="J4802" s="1">
        <v>7.7081343846455597E-2</v>
      </c>
      <c r="K4802" s="1">
        <v>4.8988193360463477</v>
      </c>
      <c r="L4802" s="1">
        <v>3.7727692906712291</v>
      </c>
      <c r="M4802" s="1">
        <v>1.9233857809569224</v>
      </c>
      <c r="N4802" s="1">
        <v>2.1675263158390341</v>
      </c>
      <c r="O4802" s="1">
        <v>0.64266229508196737</v>
      </c>
      <c r="P4802" s="1">
        <v>0.21061033117548617</v>
      </c>
      <c r="Q4802" s="1">
        <v>1.6130375593091972</v>
      </c>
      <c r="R4802" s="2">
        <f t="shared" si="299"/>
        <v>52.10083674418086</v>
      </c>
      <c r="S4802" s="2">
        <f t="shared" si="298"/>
        <v>5.1865110110682897</v>
      </c>
      <c r="T4802" s="2">
        <f t="shared" si="300"/>
        <v>8.5063436825491525</v>
      </c>
      <c r="U4802" s="2">
        <f t="shared" si="301"/>
        <v>65.793691437798302</v>
      </c>
    </row>
    <row r="4803" spans="1:21" x14ac:dyDescent="0.25">
      <c r="A4803">
        <v>5370373</v>
      </c>
      <c r="B4803">
        <v>35</v>
      </c>
      <c r="C4803" s="1">
        <f>1.0071889411763*(10.3/7.3)</f>
        <v>1.4211022046734132</v>
      </c>
      <c r="D4803" s="1">
        <f>1.58639341677332*(10.3/7.3)</f>
        <v>2.2383359168171455</v>
      </c>
      <c r="E4803" s="1">
        <f>5.44954147569937*(10.3/7.3)</f>
        <v>7.6890790684525419</v>
      </c>
      <c r="F4803" s="1">
        <f>16.3320369818974*(38.9/42.5)</f>
        <v>14.948617378724878</v>
      </c>
      <c r="G4803" s="1">
        <v>0.87633602932066468</v>
      </c>
      <c r="H4803" s="1">
        <v>6.1689134578547788</v>
      </c>
      <c r="I4803" s="1">
        <v>12.393168702603287</v>
      </c>
      <c r="J4803" s="1">
        <v>8.4449453520090645E-2</v>
      </c>
      <c r="K4803" s="1">
        <v>4.4684692974542894</v>
      </c>
      <c r="L4803" s="1">
        <v>3.3428649498615264</v>
      </c>
      <c r="M4803" s="1">
        <v>1.896222915691359</v>
      </c>
      <c r="N4803" s="1">
        <v>2.4197755773107734</v>
      </c>
      <c r="O4803" s="1">
        <v>0.56844190476190493</v>
      </c>
      <c r="P4803" s="1">
        <v>0.19120713984215851</v>
      </c>
      <c r="Q4803" s="1">
        <v>1.4005370331608811</v>
      </c>
      <c r="R4803" s="2">
        <f t="shared" si="299"/>
        <v>47.136089791607596</v>
      </c>
      <c r="S4803" s="2">
        <f t="shared" si="298"/>
        <v>4.7441258908165391</v>
      </c>
      <c r="T4803" s="2">
        <f t="shared" si="300"/>
        <v>8.2273053476255633</v>
      </c>
      <c r="U4803" s="2">
        <f t="shared" si="301"/>
        <v>60.107521030049696</v>
      </c>
    </row>
    <row r="4804" spans="1:21" x14ac:dyDescent="0.25">
      <c r="A4804">
        <v>5370781</v>
      </c>
      <c r="B4804">
        <v>17</v>
      </c>
      <c r="C4804" s="1">
        <f>3.57815987623932*(10.3/7.3)</f>
        <v>5.0486365377075408</v>
      </c>
      <c r="D4804" s="1">
        <f>7.68212395630006*(10.3/7.3)</f>
        <v>10.839161198615159</v>
      </c>
      <c r="E4804" s="1">
        <f>26.4345310626263*(10.3/7.3)</f>
        <v>37.298036978774164</v>
      </c>
      <c r="F4804" s="1">
        <f>63.8292339296299*(38.9/42.5)</f>
        <v>58.422522349708281</v>
      </c>
      <c r="G4804" s="1">
        <v>3.0518468112808876</v>
      </c>
      <c r="H4804" s="1">
        <v>6.9349318501646096</v>
      </c>
      <c r="I4804" s="1">
        <v>43.38307796837438</v>
      </c>
      <c r="J4804" s="1">
        <v>4.7291753875303794E-2</v>
      </c>
      <c r="K4804" s="1">
        <v>2.9533578015890374</v>
      </c>
      <c r="L4804" s="1">
        <v>3.6346073709932689</v>
      </c>
      <c r="M4804" s="1">
        <v>0.28586697361398206</v>
      </c>
      <c r="N4804" s="1">
        <v>2.4669439187210953</v>
      </c>
      <c r="O4804" s="1">
        <v>0.21986823529411764</v>
      </c>
      <c r="P4804" s="1">
        <v>0.14720985177401827</v>
      </c>
      <c r="Q4804" s="1">
        <v>4.8773807486224285</v>
      </c>
      <c r="R4804" s="2">
        <f t="shared" si="299"/>
        <v>169.85559444324747</v>
      </c>
      <c r="S4804" s="2">
        <f t="shared" si="298"/>
        <v>3.1478594072383594</v>
      </c>
      <c r="T4804" s="2">
        <f t="shared" si="300"/>
        <v>6.6072864986224635</v>
      </c>
      <c r="U4804" s="2">
        <f t="shared" si="301"/>
        <v>179.61074034910831</v>
      </c>
    </row>
    <row r="4805" spans="1:21" x14ac:dyDescent="0.25">
      <c r="A4805">
        <v>5370789</v>
      </c>
      <c r="B4805">
        <v>6</v>
      </c>
      <c r="C4805" s="1">
        <f>4.79476953374827*(10.3/7.3)</f>
        <v>6.7652227667955112</v>
      </c>
      <c r="D4805" s="1">
        <f>9.14847447546808*(10.3/7.3)</f>
        <v>12.908121520180984</v>
      </c>
      <c r="E4805" s="1">
        <f>31.6917530593727*(10.3/7.3)</f>
        <v>44.71576116596421</v>
      </c>
      <c r="F4805" s="1">
        <f>71.1335556309588*(38.9/42.5)</f>
        <v>65.108125036336446</v>
      </c>
      <c r="G4805" s="1">
        <v>3.1657372354641269</v>
      </c>
      <c r="H4805" s="1">
        <v>6.8648520951183549</v>
      </c>
      <c r="I4805" s="1">
        <v>48.434192674711625</v>
      </c>
      <c r="J4805" s="1">
        <v>5.6588779707516579E-2</v>
      </c>
      <c r="K4805" s="1">
        <v>3.2445956893535239</v>
      </c>
      <c r="L4805" s="1">
        <v>4.2574372381805858</v>
      </c>
      <c r="M4805" s="1">
        <v>0.31704206905888571</v>
      </c>
      <c r="N4805" s="1">
        <v>2.9368888444700794</v>
      </c>
      <c r="O4805" s="1">
        <v>0.24227555555555558</v>
      </c>
      <c r="P4805" s="1">
        <v>0.157302434339645</v>
      </c>
      <c r="Q4805" s="1">
        <v>5.0593974082760074</v>
      </c>
      <c r="R4805" s="2">
        <f t="shared" si="299"/>
        <v>193.02140990284724</v>
      </c>
      <c r="S4805" s="2">
        <f t="shared" si="298"/>
        <v>3.4584869034006855</v>
      </c>
      <c r="T4805" s="2">
        <f t="shared" si="300"/>
        <v>7.7536437072651063</v>
      </c>
      <c r="U4805" s="2">
        <f t="shared" si="301"/>
        <v>204.23354051351302</v>
      </c>
    </row>
    <row r="4806" spans="1:21" x14ac:dyDescent="0.25">
      <c r="A4806">
        <v>5370797</v>
      </c>
      <c r="B4806">
        <v>65</v>
      </c>
      <c r="C4806" s="1">
        <f>4.90531287156273*(10.3/7.3)</f>
        <v>6.9211948735748159</v>
      </c>
      <c r="D4806" s="1">
        <f>8.96713042720721*(10.3/7.3)</f>
        <v>12.65225252058004</v>
      </c>
      <c r="E4806" s="1">
        <f>31.1108304117707*(10.3/7.3)</f>
        <v>43.896103183731313</v>
      </c>
      <c r="F4806" s="1">
        <f>69.5005388513385*(38.9/42.5)</f>
        <v>63.613434383931036</v>
      </c>
      <c r="G4806" s="1">
        <v>3.064855230513003</v>
      </c>
      <c r="H4806" s="1">
        <v>6.3443367411101939</v>
      </c>
      <c r="I4806" s="1">
        <v>47.725227945404413</v>
      </c>
      <c r="J4806" s="1">
        <v>5.3277796935749459E-2</v>
      </c>
      <c r="K4806" s="1">
        <v>3.2717133330950494</v>
      </c>
      <c r="L4806" s="1">
        <v>4.3027054617833436</v>
      </c>
      <c r="M4806" s="1">
        <v>0.31456919060975541</v>
      </c>
      <c r="N4806" s="1">
        <v>3.324022890775554</v>
      </c>
      <c r="O4806" s="1">
        <v>0.24157784615384609</v>
      </c>
      <c r="P4806" s="1">
        <v>0.15760832637066899</v>
      </c>
      <c r="Q4806" s="1">
        <v>4.898170459723981</v>
      </c>
      <c r="R4806" s="2">
        <f t="shared" si="299"/>
        <v>189.11557533856879</v>
      </c>
      <c r="S4806" s="2">
        <f t="shared" si="298"/>
        <v>3.4825994564014677</v>
      </c>
      <c r="T4806" s="2">
        <f t="shared" si="300"/>
        <v>8.1828753893224988</v>
      </c>
      <c r="U4806" s="2">
        <f t="shared" si="301"/>
        <v>200.78105018429275</v>
      </c>
    </row>
    <row r="4807" spans="1:21" x14ac:dyDescent="0.25">
      <c r="A4807">
        <v>5370805</v>
      </c>
      <c r="B4807">
        <v>65</v>
      </c>
      <c r="C4807" s="1">
        <f>4.78865013757873*(10.3/7.3)</f>
        <v>6.7565885502823138</v>
      </c>
      <c r="D4807" s="1">
        <f>8.53000251480791*(10.3/7.3)</f>
        <v>12.035483000345412</v>
      </c>
      <c r="E4807" s="1">
        <f>29.6210072974996*(10.3/7.3)</f>
        <v>41.794023995102144</v>
      </c>
      <c r="F4807" s="1">
        <f>66.0476936928811*(38.9/42.5)</f>
        <v>60.453065521248817</v>
      </c>
      <c r="G4807" s="1">
        <v>2.8985810857248708</v>
      </c>
      <c r="H4807" s="1">
        <v>6.1568945743094199</v>
      </c>
      <c r="I4807" s="1">
        <v>45.609661594850735</v>
      </c>
      <c r="J4807" s="1">
        <v>5.2145187932861152E-2</v>
      </c>
      <c r="K4807" s="1">
        <v>3.2642104522860387</v>
      </c>
      <c r="L4807" s="1">
        <v>4.2057787747378041</v>
      </c>
      <c r="M4807" s="1">
        <v>0.30554144782291115</v>
      </c>
      <c r="N4807" s="1">
        <v>2.723802204730545</v>
      </c>
      <c r="O4807" s="1">
        <v>0.23791261538461536</v>
      </c>
      <c r="P4807" s="1">
        <v>0.15662936901687663</v>
      </c>
      <c r="Q4807" s="1">
        <v>4.6324355251310738</v>
      </c>
      <c r="R4807" s="2">
        <f t="shared" si="299"/>
        <v>180.3367338469948</v>
      </c>
      <c r="S4807" s="2">
        <f t="shared" si="298"/>
        <v>3.4729850092357766</v>
      </c>
      <c r="T4807" s="2">
        <f t="shared" si="300"/>
        <v>7.4730350426758756</v>
      </c>
      <c r="U4807" s="2">
        <f t="shared" si="301"/>
        <v>191.28275389890646</v>
      </c>
    </row>
    <row r="4808" spans="1:21" x14ac:dyDescent="0.25">
      <c r="A4808">
        <v>5370813</v>
      </c>
      <c r="B4808">
        <v>65</v>
      </c>
      <c r="C4808" s="1">
        <f>5.88203467793818*(10.3/7.3)</f>
        <v>8.2993092031182609</v>
      </c>
      <c r="D4808" s="1">
        <f>10.3278379390977*(10.3/7.3)</f>
        <v>14.572154900370748</v>
      </c>
      <c r="E4808" s="1">
        <f>35.8853792940601*(10.3/7.3)</f>
        <v>50.632795442303923</v>
      </c>
      <c r="F4808" s="1">
        <f>79.7837303083226*(38.9/42.5)</f>
        <v>73.025579035147004</v>
      </c>
      <c r="G4808" s="1">
        <v>3.4858805791644598</v>
      </c>
      <c r="H4808" s="1">
        <v>6.9118620730804823</v>
      </c>
      <c r="I4808" s="1">
        <v>55.241088426886222</v>
      </c>
      <c r="J4808" s="1">
        <v>5.9776035009727085E-2</v>
      </c>
      <c r="K4808" s="1">
        <v>3.6217772898945477</v>
      </c>
      <c r="L4808" s="1">
        <v>4.9363545762889842</v>
      </c>
      <c r="M4808" s="1">
        <v>0.34348919806415296</v>
      </c>
      <c r="N4808" s="1">
        <v>2.8959818931822472</v>
      </c>
      <c r="O4808" s="1">
        <v>0.26604225641025642</v>
      </c>
      <c r="P4808" s="1">
        <v>0.17022351278122505</v>
      </c>
      <c r="Q4808" s="1">
        <v>5.5710420214957166</v>
      </c>
      <c r="R4808" s="2">
        <f t="shared" si="299"/>
        <v>217.73971168156683</v>
      </c>
      <c r="S4808" s="2">
        <f t="shared" si="298"/>
        <v>3.8517768376854997</v>
      </c>
      <c r="T4808" s="2">
        <f t="shared" si="300"/>
        <v>8.441867923945642</v>
      </c>
      <c r="U4808" s="2">
        <f t="shared" si="301"/>
        <v>230.03335644319796</v>
      </c>
    </row>
    <row r="4809" spans="1:21" x14ac:dyDescent="0.25">
      <c r="A4809">
        <v>5370821</v>
      </c>
      <c r="B4809">
        <v>65</v>
      </c>
      <c r="C4809" s="1">
        <f>5.96322493085526*(10.3/7.3)</f>
        <v>8.413865313398512</v>
      </c>
      <c r="D4809" s="1">
        <f>10.3169433820083*(10.3/7.3)</f>
        <v>14.556783128039108</v>
      </c>
      <c r="E4809" s="1">
        <f>35.8649829221198*(10.3/7.3)</f>
        <v>50.60401699970329</v>
      </c>
      <c r="F4809" s="1">
        <f>79.7328074742273*(38.9/42.5)</f>
        <v>72.978969664645732</v>
      </c>
      <c r="G4809" s="1">
        <v>3.4769998594289291</v>
      </c>
      <c r="H4809" s="1">
        <v>7.1087561911116826</v>
      </c>
      <c r="I4809" s="1">
        <v>55.405121386034111</v>
      </c>
      <c r="J4809" s="1">
        <v>5.9103258734005661E-2</v>
      </c>
      <c r="K4809" s="1">
        <v>3.6003301814994155</v>
      </c>
      <c r="L4809" s="1">
        <v>4.9215287058945227</v>
      </c>
      <c r="M4809" s="1">
        <v>0.33181770725304405</v>
      </c>
      <c r="N4809" s="1">
        <v>2.7234798698858333</v>
      </c>
      <c r="O4809" s="1">
        <v>0.26193476923076925</v>
      </c>
      <c r="P4809" s="1">
        <v>0.16837268158588725</v>
      </c>
      <c r="Q4809" s="1">
        <v>5.556849090411534</v>
      </c>
      <c r="R4809" s="2">
        <f t="shared" si="299"/>
        <v>218.10136163277289</v>
      </c>
      <c r="S4809" s="2">
        <f t="shared" ref="S4809:S4872" si="302">J4809+K4809+P4809</f>
        <v>3.8278061218193082</v>
      </c>
      <c r="T4809" s="2">
        <f t="shared" si="300"/>
        <v>8.2387610522641701</v>
      </c>
      <c r="U4809" s="2">
        <f t="shared" si="301"/>
        <v>230.16792880685639</v>
      </c>
    </row>
    <row r="4810" spans="1:21" x14ac:dyDescent="0.25">
      <c r="A4810">
        <v>5370829</v>
      </c>
      <c r="B4810">
        <v>63</v>
      </c>
      <c r="C4810" s="1">
        <f>6.17162637717485*(10.3/7.3)</f>
        <v>8.7079111897124655</v>
      </c>
      <c r="D4810" s="1">
        <f>10.5413547360375*(10.3/7.3)</f>
        <v>14.873418326189844</v>
      </c>
      <c r="E4810" s="1">
        <f>36.6620599877366*(10.3/7.3)</f>
        <v>51.728659982696918</v>
      </c>
      <c r="F4810" s="1">
        <f>81.4373312835334*(38.9/42.5)</f>
        <v>74.539110280692924</v>
      </c>
      <c r="G4810" s="1">
        <v>3.5428108294570397</v>
      </c>
      <c r="H4810" s="1">
        <v>6.9535213018366075</v>
      </c>
      <c r="I4810" s="1">
        <v>56.756531505390257</v>
      </c>
      <c r="J4810" s="1">
        <v>5.9768151665603786E-2</v>
      </c>
      <c r="K4810" s="1">
        <v>3.6349931356353022</v>
      </c>
      <c r="L4810" s="1">
        <v>5.0047242444434712</v>
      </c>
      <c r="M4810" s="1">
        <v>0.33207540554192644</v>
      </c>
      <c r="N4810" s="1">
        <v>2.7035741939200211</v>
      </c>
      <c r="O4810" s="1">
        <v>0.26090412698412696</v>
      </c>
      <c r="P4810" s="1">
        <v>0.16905321645827009</v>
      </c>
      <c r="Q4810" s="1">
        <v>5.6620264397715303</v>
      </c>
      <c r="R4810" s="2">
        <f t="shared" ref="R4810:R4873" si="303">C4810+D4810+E4810+F4810+G4810+H4810+I4810+Q4810</f>
        <v>222.76398985574758</v>
      </c>
      <c r="S4810" s="2">
        <f t="shared" si="302"/>
        <v>3.8638145037591762</v>
      </c>
      <c r="T4810" s="2">
        <f t="shared" ref="T4810:T4873" si="304">L4810+M4810+N4810+O4810</f>
        <v>8.3012779708895454</v>
      </c>
      <c r="U4810" s="2">
        <f t="shared" ref="U4810:U4873" si="305">R4810+S4810+T4810</f>
        <v>234.92908233039631</v>
      </c>
    </row>
    <row r="4811" spans="1:21" x14ac:dyDescent="0.25">
      <c r="A4811">
        <v>5370837</v>
      </c>
      <c r="B4811">
        <v>62</v>
      </c>
      <c r="C4811" s="1">
        <f>5.77609844635205*(10.3/7.3)</f>
        <v>8.1498375338939884</v>
      </c>
      <c r="D4811" s="1">
        <f>9.78032974817711*(10.3/7.3)</f>
        <v>13.79964334331839</v>
      </c>
      <c r="E4811" s="1">
        <f>34.0302622987214*(10.3/7.3)</f>
        <v>48.015301599565866</v>
      </c>
      <c r="F4811" s="1">
        <f>75.3347951427258*(38.9/42.5)</f>
        <v>68.953494848283157</v>
      </c>
      <c r="G4811" s="1">
        <v>3.263237186727745</v>
      </c>
      <c r="H4811" s="1">
        <v>6.9338036561939109</v>
      </c>
      <c r="I4811" s="1">
        <v>52.567635756647249</v>
      </c>
      <c r="J4811" s="1">
        <v>5.6002761330551917E-2</v>
      </c>
      <c r="K4811" s="1">
        <v>3.4476814249109196</v>
      </c>
      <c r="L4811" s="1">
        <v>4.6805325347663871</v>
      </c>
      <c r="M4811" s="1">
        <v>0.30798672049339199</v>
      </c>
      <c r="N4811" s="1">
        <v>2.6995815007187351</v>
      </c>
      <c r="O4811" s="1">
        <v>0.24537376344086023</v>
      </c>
      <c r="P4811" s="1">
        <v>0.16047324286270598</v>
      </c>
      <c r="Q4811" s="1">
        <v>5.2152192481950337</v>
      </c>
      <c r="R4811" s="2">
        <f t="shared" si="303"/>
        <v>206.89817317282532</v>
      </c>
      <c r="S4811" s="2">
        <f t="shared" si="302"/>
        <v>3.6641574291041774</v>
      </c>
      <c r="T4811" s="2">
        <f t="shared" si="304"/>
        <v>7.9334745194193745</v>
      </c>
      <c r="U4811" s="2">
        <f t="shared" si="305"/>
        <v>218.49580512134887</v>
      </c>
    </row>
    <row r="4812" spans="1:21" x14ac:dyDescent="0.25">
      <c r="A4812">
        <v>5370845</v>
      </c>
      <c r="B4812">
        <v>62</v>
      </c>
      <c r="C4812" s="1">
        <f>6.01163665756115*(10.3/7.3)</f>
        <v>8.482172270257518</v>
      </c>
      <c r="D4812" s="1">
        <f>10.0849731467529*(10.3/7.3)</f>
        <v>14.229482659117133</v>
      </c>
      <c r="E4812" s="1">
        <f>35.1058996054953*(10.3/7.3)</f>
        <v>49.532981635150861</v>
      </c>
      <c r="F4812" s="1">
        <f>77.4828453388685*(38.9/42.5)</f>
        <v>70.919592557223183</v>
      </c>
      <c r="G4812" s="1">
        <v>3.342687360006281</v>
      </c>
      <c r="H4812" s="1">
        <v>7.0657832288340758</v>
      </c>
      <c r="I4812" s="1">
        <v>54.148250109399001</v>
      </c>
      <c r="J4812" s="1">
        <v>5.701716078360821E-2</v>
      </c>
      <c r="K4812" s="1">
        <v>3.4628726392576388</v>
      </c>
      <c r="L4812" s="1">
        <v>4.7287014655231348</v>
      </c>
      <c r="M4812" s="1">
        <v>0.30614622570566224</v>
      </c>
      <c r="N4812" s="1">
        <v>2.8369289698372788</v>
      </c>
      <c r="O4812" s="1">
        <v>0.24510365591397845</v>
      </c>
      <c r="P4812" s="1">
        <v>0.15964666490496082</v>
      </c>
      <c r="Q4812" s="1">
        <v>5.3421944109689479</v>
      </c>
      <c r="R4812" s="2">
        <f t="shared" si="303"/>
        <v>213.06314423095699</v>
      </c>
      <c r="S4812" s="2">
        <f t="shared" si="302"/>
        <v>3.6795364649462079</v>
      </c>
      <c r="T4812" s="2">
        <f t="shared" si="304"/>
        <v>8.116880316980053</v>
      </c>
      <c r="U4812" s="2">
        <f t="shared" si="305"/>
        <v>224.85956101288326</v>
      </c>
    </row>
    <row r="4813" spans="1:21" x14ac:dyDescent="0.25">
      <c r="A4813">
        <v>5370853</v>
      </c>
      <c r="B4813">
        <v>63</v>
      </c>
      <c r="C4813" s="1">
        <f>6.17074128427093*(10.3/7.3)</f>
        <v>8.7066623599987167</v>
      </c>
      <c r="D4813" s="1">
        <f>10.3371102234532*(10.3/7.3)</f>
        <v>14.585237712543559</v>
      </c>
      <c r="E4813" s="1">
        <f>35.9887581419367*(10.3/7.3)</f>
        <v>50.77865874821201</v>
      </c>
      <c r="F4813" s="1">
        <f>79.2581920888309*(38.9/42.5)</f>
        <v>72.5445569942476</v>
      </c>
      <c r="G4813" s="1">
        <v>3.4115363206384788</v>
      </c>
      <c r="H4813" s="1">
        <v>6.8967900715610702</v>
      </c>
      <c r="I4813" s="1">
        <v>55.375344427606429</v>
      </c>
      <c r="J4813" s="1">
        <v>5.8112898085645043E-2</v>
      </c>
      <c r="K4813" s="1">
        <v>3.4541563324030338</v>
      </c>
      <c r="L4813" s="1">
        <v>4.721424434809002</v>
      </c>
      <c r="M4813" s="1">
        <v>0.30132143479845791</v>
      </c>
      <c r="N4813" s="1">
        <v>2.7443550870677935</v>
      </c>
      <c r="O4813" s="1">
        <v>0.24150433862433862</v>
      </c>
      <c r="P4813" s="1">
        <v>0.15821734024501544</v>
      </c>
      <c r="Q4813" s="1">
        <v>5.4522269964541934</v>
      </c>
      <c r="R4813" s="2">
        <f t="shared" si="303"/>
        <v>217.75101363126205</v>
      </c>
      <c r="S4813" s="2">
        <f t="shared" si="302"/>
        <v>3.670486570733694</v>
      </c>
      <c r="T4813" s="2">
        <f t="shared" si="304"/>
        <v>8.0086052952995921</v>
      </c>
      <c r="U4813" s="2">
        <f t="shared" si="305"/>
        <v>229.43010549729533</v>
      </c>
    </row>
    <row r="4814" spans="1:21" x14ac:dyDescent="0.25">
      <c r="A4814">
        <v>5370861</v>
      </c>
      <c r="B4814">
        <v>47</v>
      </c>
      <c r="C4814" s="1">
        <f>4.360464803266*(10.3/7.3)</f>
        <v>6.1524366402246313</v>
      </c>
      <c r="D4814" s="1">
        <f>7.78785927354621*(10.3/7.3)</f>
        <v>10.988349385962465</v>
      </c>
      <c r="E4814" s="1">
        <f>26.9196463269814*(10.3/7.3)</f>
        <v>37.982514680535424</v>
      </c>
      <c r="F4814" s="1">
        <f>66.2061707074699*(38.9/42.5)</f>
        <v>60.598118600484185</v>
      </c>
      <c r="G4814" s="1">
        <v>3.1550419844261506</v>
      </c>
      <c r="H4814" s="1">
        <v>10.673745919733472</v>
      </c>
      <c r="I4814" s="1">
        <v>46.945641802964424</v>
      </c>
      <c r="J4814" s="1">
        <v>4.5162855173212252E-2</v>
      </c>
      <c r="K4814" s="1">
        <v>2.8155418731789572</v>
      </c>
      <c r="L4814" s="1">
        <v>3.5380698441459812</v>
      </c>
      <c r="M4814" s="1">
        <v>0.22739625557209164</v>
      </c>
      <c r="N4814" s="1">
        <v>2.4767711094309024</v>
      </c>
      <c r="O4814" s="1">
        <v>0.19240510638297872</v>
      </c>
      <c r="P4814" s="1">
        <v>0.13243036464492738</v>
      </c>
      <c r="Q4814" s="1">
        <v>5.0423045413203367</v>
      </c>
      <c r="R4814" s="2">
        <f t="shared" si="303"/>
        <v>181.53815355565106</v>
      </c>
      <c r="S4814" s="2">
        <f t="shared" si="302"/>
        <v>2.9931350929970968</v>
      </c>
      <c r="T4814" s="2">
        <f t="shared" si="304"/>
        <v>6.4346423155319536</v>
      </c>
      <c r="U4814" s="2">
        <f t="shared" si="305"/>
        <v>190.96593096418013</v>
      </c>
    </row>
    <row r="4815" spans="1:21" x14ac:dyDescent="0.25">
      <c r="A4815">
        <v>5370869</v>
      </c>
      <c r="B4815">
        <v>20</v>
      </c>
      <c r="C4815" s="1">
        <f>5.47603439282278*(10.3/7.3)</f>
        <v>7.7264594857636553</v>
      </c>
      <c r="D4815" s="1">
        <f>9.29515208359304*(10.3/7.3)</f>
        <v>13.115077597398397</v>
      </c>
      <c r="E4815" s="1">
        <f>32.3736519025347*(10.3/7.3)</f>
        <v>45.677892410425699</v>
      </c>
      <c r="F4815" s="1">
        <f>69.9324173184669*(38.9/42.5)</f>
        <v>64.008730204432027</v>
      </c>
      <c r="G4815" s="1">
        <v>2.9594627113095848</v>
      </c>
      <c r="H4815" s="1">
        <v>9.2119574550575347</v>
      </c>
      <c r="I4815" s="1">
        <v>48.427142893375461</v>
      </c>
      <c r="J4815" s="1">
        <v>5.4650342791094E-2</v>
      </c>
      <c r="K4815" s="1">
        <v>3.125437580506806</v>
      </c>
      <c r="L4815" s="1">
        <v>4.122857402668588</v>
      </c>
      <c r="M4815" s="1">
        <v>0.25742151101085464</v>
      </c>
      <c r="N4815" s="1">
        <v>2.5169019197315272</v>
      </c>
      <c r="O4815" s="1">
        <v>0.21295466666666663</v>
      </c>
      <c r="P4815" s="1">
        <v>0.14233900033470409</v>
      </c>
      <c r="Q4815" s="1">
        <v>4.7297349267504822</v>
      </c>
      <c r="R4815" s="2">
        <f t="shared" si="303"/>
        <v>195.85645768451286</v>
      </c>
      <c r="S4815" s="2">
        <f t="shared" si="302"/>
        <v>3.3224269236326038</v>
      </c>
      <c r="T4815" s="2">
        <f t="shared" si="304"/>
        <v>7.1101355000776367</v>
      </c>
      <c r="U4815" s="2">
        <f t="shared" si="305"/>
        <v>206.2890201082231</v>
      </c>
    </row>
    <row r="4816" spans="1:21" x14ac:dyDescent="0.25">
      <c r="A4816">
        <v>5370885</v>
      </c>
      <c r="B4816">
        <v>1</v>
      </c>
      <c r="C4816" s="1">
        <f>6.93824327381102*(10.3/7.3)</f>
        <v>9.7895761260621192</v>
      </c>
      <c r="D4816" s="1">
        <f>11.1913428064413*(10.3/7.3)</f>
        <v>15.790524781691207</v>
      </c>
      <c r="E4816" s="1">
        <f>39.0018816925651*(10.3/7.3)</f>
        <v>55.03005225115345</v>
      </c>
      <c r="F4816" s="1">
        <f>86.5043935432234*(38.9/42.5)</f>
        <v>79.176962560738588</v>
      </c>
      <c r="G4816" s="1">
        <v>3.729572150643385</v>
      </c>
      <c r="H4816" s="1">
        <v>7.9207247954440145</v>
      </c>
      <c r="I4816" s="1">
        <v>61.146826727932989</v>
      </c>
      <c r="J4816" s="1">
        <v>7.8355000580794421E-2</v>
      </c>
      <c r="K4816" s="1">
        <v>3.0706809848578849</v>
      </c>
      <c r="L4816" s="1">
        <v>4.0758691546863357</v>
      </c>
      <c r="M4816" s="1">
        <v>0.2470703351857034</v>
      </c>
      <c r="N4816" s="1">
        <v>2.5372581138051262</v>
      </c>
      <c r="O4816" s="1">
        <v>0.20501333333333335</v>
      </c>
      <c r="P4816" s="1">
        <v>0.13680121572645371</v>
      </c>
      <c r="Q4816" s="1">
        <v>5.9605034371013064</v>
      </c>
      <c r="R4816" s="2">
        <f t="shared" si="303"/>
        <v>238.54474283076704</v>
      </c>
      <c r="S4816" s="2">
        <f t="shared" si="302"/>
        <v>3.2858372011651329</v>
      </c>
      <c r="T4816" s="2">
        <f t="shared" si="304"/>
        <v>7.0652109370104981</v>
      </c>
      <c r="U4816" s="2">
        <f t="shared" si="305"/>
        <v>248.89579096894266</v>
      </c>
    </row>
    <row r="4817" spans="1:21" x14ac:dyDescent="0.25">
      <c r="A4817">
        <v>5370917</v>
      </c>
      <c r="B4817">
        <v>21</v>
      </c>
      <c r="C4817" s="1">
        <f>4.19158504182052*(10.3/7.3)</f>
        <v>5.9141542370892255</v>
      </c>
      <c r="D4817" s="1">
        <f>6.93897525286064*(10.3/7.3)</f>
        <v>9.7906089184198102</v>
      </c>
      <c r="E4817" s="1">
        <f>23.9306513472822*(10.3/7.3)</f>
        <v>33.765165599589913</v>
      </c>
      <c r="F4817" s="1">
        <f>64.7259434868174*(38.9/42.5)</f>
        <v>59.243275332639953</v>
      </c>
      <c r="G4817" s="1">
        <v>3.2759700141782084</v>
      </c>
      <c r="H4817" s="1">
        <v>9.0461785629779214</v>
      </c>
      <c r="I4817" s="1">
        <v>47.680229853762974</v>
      </c>
      <c r="J4817" s="1">
        <v>3.5219399414199555E-2</v>
      </c>
      <c r="K4817" s="1">
        <v>2.1795564650278325</v>
      </c>
      <c r="L4817" s="1">
        <v>2.6871445923797821</v>
      </c>
      <c r="M4817" s="1">
        <v>0.16155946546504393</v>
      </c>
      <c r="N4817" s="1">
        <v>1.6390905994076403</v>
      </c>
      <c r="O4817" s="1">
        <v>0.13459301587301586</v>
      </c>
      <c r="P4817" s="1">
        <v>0.1001024353318187</v>
      </c>
      <c r="Q4817" s="1">
        <v>5.2355685158099288</v>
      </c>
      <c r="R4817" s="2">
        <f t="shared" si="303"/>
        <v>173.95115103446793</v>
      </c>
      <c r="S4817" s="2">
        <f t="shared" si="302"/>
        <v>2.3148782997738508</v>
      </c>
      <c r="T4817" s="2">
        <f t="shared" si="304"/>
        <v>4.6223876731254823</v>
      </c>
      <c r="U4817" s="2">
        <f t="shared" si="305"/>
        <v>180.88841700736725</v>
      </c>
    </row>
    <row r="4818" spans="1:21" x14ac:dyDescent="0.25">
      <c r="A4818">
        <v>5370925</v>
      </c>
      <c r="B4818">
        <v>11</v>
      </c>
      <c r="C4818" s="1">
        <f>4.14125716499106*(10.3/7.3)</f>
        <v>5.8431436711517746</v>
      </c>
      <c r="D4818" s="1">
        <f>6.19559632966786*(10.3/7.3)</f>
        <v>8.7417318076135633</v>
      </c>
      <c r="E4818" s="1">
        <f>21.5646468781341*(10.3/7.3)</f>
        <v>30.426830526682377</v>
      </c>
      <c r="F4818" s="1">
        <f>52.2208202162748*(38.9/42.5)</f>
        <v>47.797409562660917</v>
      </c>
      <c r="G4818" s="1">
        <v>2.4093566715410151</v>
      </c>
      <c r="H4818" s="1">
        <v>9.5828616240970241</v>
      </c>
      <c r="I4818" s="1">
        <v>38.421307777961552</v>
      </c>
      <c r="J4818" s="1">
        <v>3.3165652058011003E-2</v>
      </c>
      <c r="K4818" s="1">
        <v>2.0392573643772511</v>
      </c>
      <c r="L4818" s="1">
        <v>2.859569496094962</v>
      </c>
      <c r="M4818" s="1">
        <v>0.14913750761056851</v>
      </c>
      <c r="N4818" s="1">
        <v>1.505840000716862</v>
      </c>
      <c r="O4818" s="1">
        <v>0.12341333333333336</v>
      </c>
      <c r="P4818" s="1">
        <v>9.3968555168397611E-2</v>
      </c>
      <c r="Q4818" s="1">
        <v>3.8505700230107589</v>
      </c>
      <c r="R4818" s="2">
        <f t="shared" si="303"/>
        <v>147.073211664719</v>
      </c>
      <c r="S4818" s="2">
        <f t="shared" si="302"/>
        <v>2.1663915716036599</v>
      </c>
      <c r="T4818" s="2">
        <f t="shared" si="304"/>
        <v>4.6379603377557261</v>
      </c>
      <c r="U4818" s="2">
        <f t="shared" si="305"/>
        <v>153.87756357407838</v>
      </c>
    </row>
    <row r="4819" spans="1:21" x14ac:dyDescent="0.25">
      <c r="A4819">
        <v>5371029</v>
      </c>
      <c r="B4819">
        <v>14</v>
      </c>
      <c r="C4819" s="1">
        <f>11.65458725418*(10.3/7.3)</f>
        <v>16.444143660007413</v>
      </c>
      <c r="D4819" s="1">
        <f>13.3276183792386*(10.3/7.3)</f>
        <v>18.804721822761312</v>
      </c>
      <c r="E4819" s="1">
        <f>47.0446177075563*(10.3/7.3)</f>
        <v>66.378022244908223</v>
      </c>
      <c r="F4819" s="1">
        <f>108.173583618934*(38.9/42.5)</f>
        <v>99.010644771212782</v>
      </c>
      <c r="G4819" s="1">
        <v>4.5719140770719857</v>
      </c>
      <c r="H4819" s="1">
        <v>9.8433216628223281</v>
      </c>
      <c r="I4819" s="1">
        <v>84.936849086207872</v>
      </c>
      <c r="J4819" s="1">
        <v>5.0026159953673946E-2</v>
      </c>
      <c r="K4819" s="1">
        <v>2.8552330868272646</v>
      </c>
      <c r="L4819" s="1">
        <v>3.5439821817776633</v>
      </c>
      <c r="M4819" s="1">
        <v>0.17461546422039356</v>
      </c>
      <c r="N4819" s="1">
        <v>2.1131021505457843</v>
      </c>
      <c r="O4819" s="1">
        <v>0.1592304761904762</v>
      </c>
      <c r="P4819" s="1">
        <v>0.11385344244160725</v>
      </c>
      <c r="Q4819" s="1">
        <v>7.3067119953205326</v>
      </c>
      <c r="R4819" s="2">
        <f t="shared" si="303"/>
        <v>307.29632932031245</v>
      </c>
      <c r="S4819" s="2">
        <f t="shared" si="302"/>
        <v>3.0191126892225455</v>
      </c>
      <c r="T4819" s="2">
        <f t="shared" si="304"/>
        <v>5.9909302727343174</v>
      </c>
      <c r="U4819" s="2">
        <f t="shared" si="305"/>
        <v>316.30637228226931</v>
      </c>
    </row>
    <row r="4820" spans="1:21" x14ac:dyDescent="0.25">
      <c r="A4820">
        <v>5371037</v>
      </c>
      <c r="B4820">
        <v>44</v>
      </c>
      <c r="C4820" s="1">
        <f>4.85336670713719*(10.3/7.3)</f>
        <v>6.8479009703442557</v>
      </c>
      <c r="D4820" s="1">
        <f>5.78198948542451*(10.3/7.3)</f>
        <v>8.1581495479277297</v>
      </c>
      <c r="E4820" s="1">
        <f>20.3802794177483*(10.3/7.3)</f>
        <v>28.755736712713354</v>
      </c>
      <c r="F4820" s="1">
        <f>46.3103443686529*(38.9/42.5)</f>
        <v>42.387585786837619</v>
      </c>
      <c r="G4820" s="1">
        <v>1.948939448398572</v>
      </c>
      <c r="H4820" s="1">
        <v>4.5162911312444773</v>
      </c>
      <c r="I4820" s="1">
        <v>35.843502128828085</v>
      </c>
      <c r="J4820" s="1">
        <v>3.1257174731753018E-2</v>
      </c>
      <c r="K4820" s="1">
        <v>1.985576731470365</v>
      </c>
      <c r="L4820" s="1">
        <v>2.2342798087658959</v>
      </c>
      <c r="M4820" s="1">
        <v>0.12151691039257249</v>
      </c>
      <c r="N4820" s="1">
        <v>1.4396426029360605</v>
      </c>
      <c r="O4820" s="1">
        <v>0.10669333333333332</v>
      </c>
      <c r="P4820" s="1">
        <v>8.2932451211930602E-2</v>
      </c>
      <c r="Q4820" s="1">
        <v>3.1147434106826535</v>
      </c>
      <c r="R4820" s="2">
        <f t="shared" si="303"/>
        <v>131.57284913697674</v>
      </c>
      <c r="S4820" s="2">
        <f t="shared" si="302"/>
        <v>2.0997663574140484</v>
      </c>
      <c r="T4820" s="2">
        <f t="shared" si="304"/>
        <v>3.9021326554278621</v>
      </c>
      <c r="U4820" s="2">
        <f t="shared" si="305"/>
        <v>137.57474814981865</v>
      </c>
    </row>
    <row r="4821" spans="1:21" x14ac:dyDescent="0.25">
      <c r="A4821">
        <v>5371045</v>
      </c>
      <c r="B4821">
        <v>61</v>
      </c>
      <c r="C4821" s="1">
        <f>6.07936943345689*(10.3/7.3)</f>
        <v>8.5777404335076675</v>
      </c>
      <c r="D4821" s="1">
        <f>7.36152219665048*(10.3/7.3)</f>
        <v>10.38680529116437</v>
      </c>
      <c r="E4821" s="1">
        <f>25.933073562797*(10.3/7.3)</f>
        <v>36.590501054357404</v>
      </c>
      <c r="F4821" s="1">
        <f>58.6702834464043*(38.9/42.5)</f>
        <v>53.700565319179461</v>
      </c>
      <c r="G4821" s="1">
        <v>2.4655322091530896</v>
      </c>
      <c r="H4821" s="1">
        <v>5.2811990677502347</v>
      </c>
      <c r="I4821" s="1">
        <v>45.152756685899568</v>
      </c>
      <c r="J4821" s="1">
        <v>3.7096034945688264E-2</v>
      </c>
      <c r="K4821" s="1">
        <v>2.2174751105484685</v>
      </c>
      <c r="L4821" s="1">
        <v>2.5495527357175924</v>
      </c>
      <c r="M4821" s="1">
        <v>0.13357992865445581</v>
      </c>
      <c r="N4821" s="1">
        <v>1.6913491274987837</v>
      </c>
      <c r="O4821" s="1">
        <v>0.11898229508196721</v>
      </c>
      <c r="P4821" s="1">
        <v>9.045436790720128E-2</v>
      </c>
      <c r="Q4821" s="1">
        <v>3.9403482794684117</v>
      </c>
      <c r="R4821" s="2">
        <f t="shared" si="303"/>
        <v>166.09544834048023</v>
      </c>
      <c r="S4821" s="2">
        <f t="shared" si="302"/>
        <v>2.345025513401358</v>
      </c>
      <c r="T4821" s="2">
        <f t="shared" si="304"/>
        <v>4.4934640869527982</v>
      </c>
      <c r="U4821" s="2">
        <f t="shared" si="305"/>
        <v>172.9339379408344</v>
      </c>
    </row>
    <row r="4822" spans="1:21" x14ac:dyDescent="0.25">
      <c r="A4822">
        <v>5371053</v>
      </c>
      <c r="B4822">
        <v>1</v>
      </c>
      <c r="C4822" s="1">
        <f>8.80224892946174*(10.3/7.3)</f>
        <v>12.419611503213137</v>
      </c>
      <c r="D4822" s="1">
        <f>10.8081658963235*(10.3/7.3)</f>
        <v>15.249877908511211</v>
      </c>
      <c r="E4822" s="1">
        <f>38.0529370942708*(10.3/7.3)</f>
        <v>53.691130420683443</v>
      </c>
      <c r="F4822" s="1">
        <f>85.9599779355694*(38.9/42.5)</f>
        <v>78.678662157497612</v>
      </c>
      <c r="G4822" s="1">
        <v>3.6158395131381491</v>
      </c>
      <c r="H4822" s="1">
        <v>6.8223036724117012</v>
      </c>
      <c r="I4822" s="1">
        <v>65.859406342056303</v>
      </c>
      <c r="J4822" s="1">
        <v>4.9730348034599296E-2</v>
      </c>
      <c r="K4822" s="1">
        <v>2.6150289040220382</v>
      </c>
      <c r="L4822" s="1">
        <v>3.1019281868206789</v>
      </c>
      <c r="M4822" s="1">
        <v>0.15168533007328255</v>
      </c>
      <c r="N4822" s="1">
        <v>1.9554780694955598</v>
      </c>
      <c r="O4822" s="1">
        <v>0.13983999999999999</v>
      </c>
      <c r="P4822" s="1">
        <v>0.10275542906548514</v>
      </c>
      <c r="Q4822" s="1">
        <v>5.7787389479376872</v>
      </c>
      <c r="R4822" s="2">
        <f t="shared" si="303"/>
        <v>242.11557046544925</v>
      </c>
      <c r="S4822" s="2">
        <f t="shared" si="302"/>
        <v>2.7675146811221225</v>
      </c>
      <c r="T4822" s="2">
        <f t="shared" si="304"/>
        <v>5.3489315863895213</v>
      </c>
      <c r="U4822" s="2">
        <f t="shared" si="305"/>
        <v>250.23201673296089</v>
      </c>
    </row>
    <row r="4823" spans="1:21" x14ac:dyDescent="0.25">
      <c r="A4823">
        <v>5371205</v>
      </c>
      <c r="B4823">
        <v>16</v>
      </c>
      <c r="C4823" s="1">
        <f>7.97405090377398*(10.3/7.3)</f>
        <v>11.251058124503009</v>
      </c>
      <c r="D4823" s="1">
        <f>8.87230519555599*(10.3/7.3)</f>
        <v>12.518458015647496</v>
      </c>
      <c r="E4823" s="1">
        <f>31.2210129097954*(10.3/7.3)</f>
        <v>44.051566160396298</v>
      </c>
      <c r="F4823" s="1">
        <f>78.8812746389745*(38.9/42.5)</f>
        <v>72.19956666955548</v>
      </c>
      <c r="G4823" s="1">
        <v>3.6141630296843572</v>
      </c>
      <c r="H4823" s="1">
        <v>8.5816249665651352</v>
      </c>
      <c r="I4823" s="1">
        <v>63.217359960706368</v>
      </c>
      <c r="J4823" s="1">
        <v>4.115801564407888E-2</v>
      </c>
      <c r="K4823" s="1">
        <v>2.2329845432643647</v>
      </c>
      <c r="L4823" s="1">
        <v>2.2516914578906202</v>
      </c>
      <c r="M4823" s="1">
        <v>0.10893669775959444</v>
      </c>
      <c r="N4823" s="1">
        <v>1.7167814308926392</v>
      </c>
      <c r="O4823" s="1">
        <v>0.10262666666666666</v>
      </c>
      <c r="P4823" s="1">
        <v>7.9505273837059409E-2</v>
      </c>
      <c r="Q4823" s="1">
        <v>5.7760596364818557</v>
      </c>
      <c r="R4823" s="2">
        <f t="shared" si="303"/>
        <v>221.20985656354</v>
      </c>
      <c r="S4823" s="2">
        <f t="shared" si="302"/>
        <v>2.3536478327455028</v>
      </c>
      <c r="T4823" s="2">
        <f t="shared" si="304"/>
        <v>4.1800362532095203</v>
      </c>
      <c r="U4823" s="2">
        <f t="shared" si="305"/>
        <v>227.74354064949503</v>
      </c>
    </row>
    <row r="4824" spans="1:21" x14ac:dyDescent="0.25">
      <c r="A4824">
        <v>5371261</v>
      </c>
      <c r="B4824">
        <v>28</v>
      </c>
      <c r="C4824" s="1">
        <f>4.68628717366577*(10.3/7.3)</f>
        <v>6.6121586148982843</v>
      </c>
      <c r="D4824" s="1">
        <f>6.42329321389961*(10.3/7.3)</f>
        <v>9.0630027538583526</v>
      </c>
      <c r="E4824" s="1">
        <f>22.2725807115993*(10.3/7.3)</f>
        <v>31.425696072530553</v>
      </c>
      <c r="F4824" s="1">
        <f>62.1937844185446*(38.9/42.5)</f>
        <v>56.925605032503135</v>
      </c>
      <c r="G4824" s="1">
        <v>3.1539731115712342</v>
      </c>
      <c r="H4824" s="1">
        <v>10.759032500754358</v>
      </c>
      <c r="I4824" s="1">
        <v>47.966904000329187</v>
      </c>
      <c r="J4824" s="1">
        <v>3.4289329562081645E-2</v>
      </c>
      <c r="K4824" s="1">
        <v>2.0844478348529578</v>
      </c>
      <c r="L4824" s="1">
        <v>2.0836074863361609</v>
      </c>
      <c r="M4824" s="1">
        <v>9.8384298306505302E-2</v>
      </c>
      <c r="N4824" s="1">
        <v>1.3412218144819748</v>
      </c>
      <c r="O4824" s="1">
        <v>9.8140952380952398E-2</v>
      </c>
      <c r="P4824" s="1">
        <v>7.5845803048080765E-2</v>
      </c>
      <c r="Q4824" s="1">
        <v>5.0405962970316569</v>
      </c>
      <c r="R4824" s="2">
        <f t="shared" si="303"/>
        <v>170.94696838347679</v>
      </c>
      <c r="S4824" s="2">
        <f t="shared" si="302"/>
        <v>2.1945829674631203</v>
      </c>
      <c r="T4824" s="2">
        <f t="shared" si="304"/>
        <v>3.6213545515055934</v>
      </c>
      <c r="U4824" s="2">
        <f t="shared" si="305"/>
        <v>176.76290590244551</v>
      </c>
    </row>
    <row r="4825" spans="1:21" x14ac:dyDescent="0.25">
      <c r="A4825">
        <v>5371277</v>
      </c>
      <c r="B4825">
        <v>30</v>
      </c>
      <c r="C4825" s="1">
        <f>3.25696486783643*(10.3/7.3)</f>
        <v>4.5954435806459237</v>
      </c>
      <c r="D4825" s="1">
        <f>4.47469606268194*(10.3/7.3)</f>
        <v>6.3136122528252052</v>
      </c>
      <c r="E4825" s="1">
        <f>15.5768279414511*(10.3/7.3)</f>
        <v>21.978264081773418</v>
      </c>
      <c r="F4825" s="1">
        <f>40.2948124573255*(38.9/42.5)</f>
        <v>36.881604813881495</v>
      </c>
      <c r="G4825" s="1">
        <v>1.9372816904861936</v>
      </c>
      <c r="H4825" s="1">
        <v>4.9514047381867359</v>
      </c>
      <c r="I4825" s="1">
        <v>30.662322298402486</v>
      </c>
      <c r="J4825" s="1">
        <v>2.7785063962766851E-2</v>
      </c>
      <c r="K4825" s="1">
        <v>1.8480304513103241</v>
      </c>
      <c r="L4825" s="1">
        <v>1.8089620951903893</v>
      </c>
      <c r="M4825" s="1">
        <v>8.8082263699916494E-2</v>
      </c>
      <c r="N4825" s="1">
        <v>1.1403010145261065</v>
      </c>
      <c r="O4825" s="1">
        <v>8.64302222222222E-2</v>
      </c>
      <c r="P4825" s="1">
        <v>6.8777167895875055E-2</v>
      </c>
      <c r="Q4825" s="1">
        <v>3.0961122907313623</v>
      </c>
      <c r="R4825" s="2">
        <f t="shared" si="303"/>
        <v>110.41604574693281</v>
      </c>
      <c r="S4825" s="2">
        <f t="shared" si="302"/>
        <v>1.9445926831689659</v>
      </c>
      <c r="T4825" s="2">
        <f t="shared" si="304"/>
        <v>3.123775595638635</v>
      </c>
      <c r="U4825" s="2">
        <f t="shared" si="305"/>
        <v>115.48441402574041</v>
      </c>
    </row>
    <row r="4826" spans="1:21" x14ac:dyDescent="0.25">
      <c r="A4826">
        <v>5382577</v>
      </c>
      <c r="B4826">
        <v>66</v>
      </c>
      <c r="C4826" s="1">
        <f>0.641153253298871*(10.3/7.3)</f>
        <v>0.90464089164087247</v>
      </c>
      <c r="D4826" s="1">
        <f>0.9434691909201*(10.3/7.3)</f>
        <v>1.3311962556817853</v>
      </c>
      <c r="E4826" s="1">
        <f>3.26959874810042*(10.3/7.3)</f>
        <v>4.6132694664978553</v>
      </c>
      <c r="F4826" s="1">
        <f>8.75021128617255*(38.9/42.5)</f>
        <v>8.0090169184026347</v>
      </c>
      <c r="G4826" s="1">
        <v>0.43452337737081048</v>
      </c>
      <c r="H4826" s="1">
        <v>1.8058548143456536</v>
      </c>
      <c r="I4826" s="1">
        <v>6.5942201356761165</v>
      </c>
      <c r="J4826" s="1">
        <v>3.8037621462889894E-2</v>
      </c>
      <c r="K4826" s="1">
        <v>3.115237176136477</v>
      </c>
      <c r="L4826" s="1">
        <v>2.008674981665016</v>
      </c>
      <c r="M4826" s="1">
        <v>0.89649711041816904</v>
      </c>
      <c r="N4826" s="1">
        <v>1.2264194216329105</v>
      </c>
      <c r="O4826" s="1">
        <v>0.3550989898989898</v>
      </c>
      <c r="P4826" s="1">
        <v>0.15204420671845731</v>
      </c>
      <c r="Q4826" s="1">
        <v>0.69444375378896728</v>
      </c>
      <c r="R4826" s="2">
        <f t="shared" si="303"/>
        <v>24.387165613404697</v>
      </c>
      <c r="S4826" s="2">
        <f t="shared" si="302"/>
        <v>3.3053190043178242</v>
      </c>
      <c r="T4826" s="2">
        <f t="shared" si="304"/>
        <v>4.486690503615085</v>
      </c>
      <c r="U4826" s="2">
        <f t="shared" si="305"/>
        <v>32.179175121337607</v>
      </c>
    </row>
    <row r="4827" spans="1:21" x14ac:dyDescent="0.25">
      <c r="A4827">
        <v>5382585</v>
      </c>
      <c r="B4827">
        <v>69</v>
      </c>
      <c r="C4827" s="1">
        <f>0.657117985363627*(10.3/7.3)</f>
        <v>0.92716647249936401</v>
      </c>
      <c r="D4827" s="1">
        <f>0.975523160330373*(10.3/7.3)</f>
        <v>1.3764230892332658</v>
      </c>
      <c r="E4827" s="1">
        <f>3.37761117174299*(10.3/7.3)</f>
        <v>4.7656705573907923</v>
      </c>
      <c r="F4827" s="1">
        <f>9.13779600521525*(38.9/42.5)</f>
        <v>8.363770931832315</v>
      </c>
      <c r="G4827" s="1">
        <v>0.45758493356238933</v>
      </c>
      <c r="H4827" s="1">
        <v>1.9839346123514874</v>
      </c>
      <c r="I4827" s="1">
        <v>6.886956470936755</v>
      </c>
      <c r="J4827" s="1">
        <v>4.4886085240814944E-2</v>
      </c>
      <c r="K4827" s="1">
        <v>3.4267966112939403</v>
      </c>
      <c r="L4827" s="1">
        <v>2.2437146870482514</v>
      </c>
      <c r="M4827" s="1">
        <v>1.1144667836175055</v>
      </c>
      <c r="N4827" s="1">
        <v>1.4335492031190751</v>
      </c>
      <c r="O4827" s="1">
        <v>0.40110995169082131</v>
      </c>
      <c r="P4827" s="1">
        <v>0.16293876586479702</v>
      </c>
      <c r="Q4827" s="1">
        <v>0.73130012213167295</v>
      </c>
      <c r="R4827" s="2">
        <f t="shared" si="303"/>
        <v>25.492807189938045</v>
      </c>
      <c r="S4827" s="2">
        <f t="shared" si="302"/>
        <v>3.6346214623995521</v>
      </c>
      <c r="T4827" s="2">
        <f t="shared" si="304"/>
        <v>5.1928406254756529</v>
      </c>
      <c r="U4827" s="2">
        <f t="shared" si="305"/>
        <v>34.320269277813246</v>
      </c>
    </row>
    <row r="4828" spans="1:21" x14ac:dyDescent="0.25">
      <c r="A4828">
        <v>5382593</v>
      </c>
      <c r="B4828">
        <v>68</v>
      </c>
      <c r="C4828" s="1">
        <f>1.08531588726684*(10.3/7.3)</f>
        <v>1.5313361149107512</v>
      </c>
      <c r="D4828" s="1">
        <f>1.66060396868044*(10.3/7.3)</f>
        <v>2.3430439558093865</v>
      </c>
      <c r="E4828" s="1">
        <f>5.72707222815645*(10.3/7.3)</f>
        <v>8.080663554796093</v>
      </c>
      <c r="F4828" s="1">
        <f>16.312426688582*(38.9/42.5)</f>
        <v>14.93066819260795</v>
      </c>
      <c r="G4828" s="1">
        <v>0.84711091606649969</v>
      </c>
      <c r="H4828" s="1">
        <v>3.1992182085684373</v>
      </c>
      <c r="I4828" s="1">
        <v>12.333878340410068</v>
      </c>
      <c r="J4828" s="1">
        <v>6.8013564223790166E-2</v>
      </c>
      <c r="K4828" s="1">
        <v>4.5708231935251948</v>
      </c>
      <c r="L4828" s="1">
        <v>3.3224245836712925</v>
      </c>
      <c r="M4828" s="1">
        <v>1.6470214662021523</v>
      </c>
      <c r="N4828" s="1">
        <v>1.9544938114152339</v>
      </c>
      <c r="O4828" s="1">
        <v>0.58141882352941177</v>
      </c>
      <c r="P4828" s="1">
        <v>0.1983210053267184</v>
      </c>
      <c r="Q4828" s="1">
        <v>1.353830231156508</v>
      </c>
      <c r="R4828" s="2">
        <f t="shared" si="303"/>
        <v>44.61974951432569</v>
      </c>
      <c r="S4828" s="2">
        <f t="shared" si="302"/>
        <v>4.8371577630757034</v>
      </c>
      <c r="T4828" s="2">
        <f t="shared" si="304"/>
        <v>7.5053586848180904</v>
      </c>
      <c r="U4828" s="2">
        <f t="shared" si="305"/>
        <v>56.962265962219483</v>
      </c>
    </row>
    <row r="4829" spans="1:21" x14ac:dyDescent="0.25">
      <c r="A4829">
        <v>5382601</v>
      </c>
      <c r="B4829">
        <v>23</v>
      </c>
      <c r="C4829" s="1">
        <f>1.17499546402093*(10.3/7.3)</f>
        <v>1.6578703122487073</v>
      </c>
      <c r="D4829" s="1">
        <f>1.83430261866635*(10.3/7.3)</f>
        <v>2.5881256126388252</v>
      </c>
      <c r="E4829" s="1">
        <f>6.30889697293202*(10.3/7.3)</f>
        <v>8.9015943590684721</v>
      </c>
      <c r="F4829" s="1">
        <f>18.6136968653976*(38.9/42.5)</f>
        <v>17.037007248563903</v>
      </c>
      <c r="G4829" s="1">
        <v>0.98906342652112522</v>
      </c>
      <c r="H4829" s="1">
        <v>3.7823162348329369</v>
      </c>
      <c r="I4829" s="1">
        <v>14.108561692310062</v>
      </c>
      <c r="J4829" s="1">
        <v>8.620714137708696E-2</v>
      </c>
      <c r="K4829" s="1">
        <v>4.918398789054649</v>
      </c>
      <c r="L4829" s="1">
        <v>3.770353893518767</v>
      </c>
      <c r="M4829" s="1">
        <v>1.9589041128987013</v>
      </c>
      <c r="N4829" s="1">
        <v>2.2661238179156511</v>
      </c>
      <c r="O4829" s="1">
        <v>0.64496695652173908</v>
      </c>
      <c r="P4829" s="1">
        <v>0.20603499753974636</v>
      </c>
      <c r="Q4829" s="1">
        <v>1.5806949738922109</v>
      </c>
      <c r="R4829" s="2">
        <f t="shared" si="303"/>
        <v>50.645233860076246</v>
      </c>
      <c r="S4829" s="2">
        <f t="shared" si="302"/>
        <v>5.2106409279714825</v>
      </c>
      <c r="T4829" s="2">
        <f t="shared" si="304"/>
        <v>8.6403487808548576</v>
      </c>
      <c r="U4829" s="2">
        <f t="shared" si="305"/>
        <v>64.496223568902593</v>
      </c>
    </row>
    <row r="4830" spans="1:21" x14ac:dyDescent="0.25">
      <c r="A4830">
        <v>5383025</v>
      </c>
      <c r="B4830">
        <v>44</v>
      </c>
      <c r="C4830" s="1">
        <f>5.34561917195016*(10.3/7.3)</f>
        <v>7.5424489686420069</v>
      </c>
      <c r="D4830" s="1">
        <f>9.97596786779186*(10.3/7.3)</f>
        <v>14.075680690172071</v>
      </c>
      <c r="E4830" s="1">
        <f>34.5602596928206*(10.3/7.3)</f>
        <v>48.763106141924943</v>
      </c>
      <c r="F4830" s="1">
        <f>78.652640631507*(38.9/42.5)</f>
        <v>71.990299307426383</v>
      </c>
      <c r="G4830" s="1">
        <v>3.5345392100844504</v>
      </c>
      <c r="H4830" s="1">
        <v>7.4748824713886419</v>
      </c>
      <c r="I4830" s="1">
        <v>54.052178599456845</v>
      </c>
      <c r="J4830" s="1">
        <v>6.2018087496809531E-2</v>
      </c>
      <c r="K4830" s="1">
        <v>3.5302200938656778</v>
      </c>
      <c r="L4830" s="1">
        <v>4.7533802690664766</v>
      </c>
      <c r="M4830" s="1">
        <v>0.34837687345719598</v>
      </c>
      <c r="N4830" s="1">
        <v>2.9922321074383764</v>
      </c>
      <c r="O4830" s="1">
        <v>0.26400969696969689</v>
      </c>
      <c r="P4830" s="1">
        <v>0.16924866103644398</v>
      </c>
      <c r="Q4830" s="1">
        <v>5.6488069567559762</v>
      </c>
      <c r="R4830" s="2">
        <f t="shared" si="303"/>
        <v>213.08194234585133</v>
      </c>
      <c r="S4830" s="2">
        <f t="shared" si="302"/>
        <v>3.7614868423989312</v>
      </c>
      <c r="T4830" s="2">
        <f t="shared" si="304"/>
        <v>8.3579989469317475</v>
      </c>
      <c r="U4830" s="2">
        <f t="shared" si="305"/>
        <v>225.20142813518203</v>
      </c>
    </row>
    <row r="4831" spans="1:21" x14ac:dyDescent="0.25">
      <c r="A4831">
        <v>5383033</v>
      </c>
      <c r="B4831">
        <v>61</v>
      </c>
      <c r="C4831" s="1">
        <f>5.37465411044168*(10.3/7.3)</f>
        <v>7.5834160736368919</v>
      </c>
      <c r="D4831" s="1">
        <f>9.71544163273473*(10.3/7.3)</f>
        <v>13.708088879064073</v>
      </c>
      <c r="E4831" s="1">
        <f>33.7075952085714*(10.3/7.3)</f>
        <v>47.560031595655609</v>
      </c>
      <c r="F4831" s="1">
        <f>75.8773548439689*(38.9/42.5)</f>
        <v>69.450096551303318</v>
      </c>
      <c r="G4831" s="1">
        <v>3.3646814044253035</v>
      </c>
      <c r="H4831" s="1">
        <v>6.7892084152330572</v>
      </c>
      <c r="I4831" s="1">
        <v>52.360679285036376</v>
      </c>
      <c r="J4831" s="1">
        <v>5.836046799104281E-2</v>
      </c>
      <c r="K4831" s="1">
        <v>3.5117725334037564</v>
      </c>
      <c r="L4831" s="1">
        <v>4.6424740372866058</v>
      </c>
      <c r="M4831" s="1">
        <v>0.33577411777366256</v>
      </c>
      <c r="N4831" s="1">
        <v>3.4231988479883873</v>
      </c>
      <c r="O4831" s="1">
        <v>0.25775387978142072</v>
      </c>
      <c r="P4831" s="1">
        <v>0.16538731201510692</v>
      </c>
      <c r="Q4831" s="1">
        <v>5.3773447102687566</v>
      </c>
      <c r="R4831" s="2">
        <f t="shared" si="303"/>
        <v>206.1935469146234</v>
      </c>
      <c r="S4831" s="2">
        <f t="shared" si="302"/>
        <v>3.7355203134099062</v>
      </c>
      <c r="T4831" s="2">
        <f t="shared" si="304"/>
        <v>8.6592008828300759</v>
      </c>
      <c r="U4831" s="2">
        <f t="shared" si="305"/>
        <v>218.58826811086337</v>
      </c>
    </row>
    <row r="4832" spans="1:21" x14ac:dyDescent="0.25">
      <c r="A4832">
        <v>5383041</v>
      </c>
      <c r="B4832">
        <v>65</v>
      </c>
      <c r="C4832" s="1">
        <f>5.1513775497809*(10.3/7.3)</f>
        <v>7.2683820222935926</v>
      </c>
      <c r="D4832" s="1">
        <f>9.15054358606608*(10.3/7.3)</f>
        <v>12.911040950202832</v>
      </c>
      <c r="E4832" s="1">
        <f>31.7734961966793*(10.3/7.3)</f>
        <v>44.831097373396787</v>
      </c>
      <c r="F4832" s="1">
        <f>71.1125130234731*(38.9/42.5)</f>
        <v>65.088864861484794</v>
      </c>
      <c r="G4832" s="1">
        <v>3.1304702136891014</v>
      </c>
      <c r="H4832" s="1">
        <v>6.4306859226898077</v>
      </c>
      <c r="I4832" s="1">
        <v>49.193929698633347</v>
      </c>
      <c r="J4832" s="1">
        <v>5.5202383599908103E-2</v>
      </c>
      <c r="K4832" s="1">
        <v>3.3563551340502813</v>
      </c>
      <c r="L4832" s="1">
        <v>4.4025208117359309</v>
      </c>
      <c r="M4832" s="1">
        <v>0.31529386343649429</v>
      </c>
      <c r="N4832" s="1">
        <v>3.6601542632191428</v>
      </c>
      <c r="O4832" s="1">
        <v>0.24518482051282051</v>
      </c>
      <c r="P4832" s="1">
        <v>0.15881833776484189</v>
      </c>
      <c r="Q4832" s="1">
        <v>5.0030345880876093</v>
      </c>
      <c r="R4832" s="2">
        <f t="shared" si="303"/>
        <v>193.8575056304779</v>
      </c>
      <c r="S4832" s="2">
        <f t="shared" si="302"/>
        <v>3.5703758554150316</v>
      </c>
      <c r="T4832" s="2">
        <f t="shared" si="304"/>
        <v>8.6231537589043885</v>
      </c>
      <c r="U4832" s="2">
        <f t="shared" si="305"/>
        <v>206.0510352447973</v>
      </c>
    </row>
    <row r="4833" spans="1:21" x14ac:dyDescent="0.25">
      <c r="A4833">
        <v>5383049</v>
      </c>
      <c r="B4833">
        <v>68</v>
      </c>
      <c r="C4833" s="1">
        <f>5.82823915175732*(10.3/7.3)</f>
        <v>8.2234059264521093</v>
      </c>
      <c r="D4833" s="1">
        <f>10.1956251222359*(10.3/7.3)</f>
        <v>14.385608049182165</v>
      </c>
      <c r="E4833" s="1">
        <f>35.4256356738096*(10.3/7.3)</f>
        <v>49.984116087703924</v>
      </c>
      <c r="F4833" s="1">
        <f>78.9959025262507*(38.9/42.5)</f>
        <v>72.304484900497684</v>
      </c>
      <c r="G4833" s="1">
        <v>3.459346685893848</v>
      </c>
      <c r="H4833" s="1">
        <v>6.9022301599574085</v>
      </c>
      <c r="I4833" s="1">
        <v>54.792012075326916</v>
      </c>
      <c r="J4833" s="1">
        <v>6.0166507675477876E-2</v>
      </c>
      <c r="K4833" s="1">
        <v>3.6339620371467478</v>
      </c>
      <c r="L4833" s="1">
        <v>4.9329349246992678</v>
      </c>
      <c r="M4833" s="1">
        <v>0.34096299272875868</v>
      </c>
      <c r="N4833" s="1">
        <v>2.9816996768358379</v>
      </c>
      <c r="O4833" s="1">
        <v>0.26556862745098025</v>
      </c>
      <c r="P4833" s="1">
        <v>0.17007212307944994</v>
      </c>
      <c r="Q4833" s="1">
        <v>5.5286362559947406</v>
      </c>
      <c r="R4833" s="2">
        <f t="shared" si="303"/>
        <v>215.57984014100882</v>
      </c>
      <c r="S4833" s="2">
        <f t="shared" si="302"/>
        <v>3.8642006679016756</v>
      </c>
      <c r="T4833" s="2">
        <f t="shared" si="304"/>
        <v>8.5211662217148447</v>
      </c>
      <c r="U4833" s="2">
        <f t="shared" si="305"/>
        <v>227.96520703062535</v>
      </c>
    </row>
    <row r="4834" spans="1:21" x14ac:dyDescent="0.25">
      <c r="A4834">
        <v>5383057</v>
      </c>
      <c r="B4834">
        <v>68</v>
      </c>
      <c r="C4834" s="1">
        <f>5.93177159258588*(10.3/7.3)</f>
        <v>8.3694859457033726</v>
      </c>
      <c r="D4834" s="1">
        <f>10.2320837679918*(10.3/7.3)</f>
        <v>14.437049700043213</v>
      </c>
      <c r="E4834" s="1">
        <f>35.5704461213658*(10.3/7.3)</f>
        <v>50.188437678091503</v>
      </c>
      <c r="F4834" s="1">
        <f>79.2316469271497*(38.9/42.5)</f>
        <v>72.520260363908747</v>
      </c>
      <c r="G4834" s="1">
        <v>3.4600725046126666</v>
      </c>
      <c r="H4834" s="1">
        <v>6.9070217973442638</v>
      </c>
      <c r="I4834" s="1">
        <v>55.127712945991327</v>
      </c>
      <c r="J4834" s="1">
        <v>5.9060029895727929E-2</v>
      </c>
      <c r="K4834" s="1">
        <v>3.6017872622243625</v>
      </c>
      <c r="L4834" s="1">
        <v>4.9011748943028204</v>
      </c>
      <c r="M4834" s="1">
        <v>0.33152210702285312</v>
      </c>
      <c r="N4834" s="1">
        <v>2.7219071654581732</v>
      </c>
      <c r="O4834" s="1">
        <v>0.26012078431372548</v>
      </c>
      <c r="P4834" s="1">
        <v>0.16770203677580406</v>
      </c>
      <c r="Q4834" s="1">
        <v>5.529796240248559</v>
      </c>
      <c r="R4834" s="2">
        <f t="shared" si="303"/>
        <v>216.53983717594369</v>
      </c>
      <c r="S4834" s="2">
        <f t="shared" si="302"/>
        <v>3.8285493288958943</v>
      </c>
      <c r="T4834" s="2">
        <f t="shared" si="304"/>
        <v>8.2147249510975726</v>
      </c>
      <c r="U4834" s="2">
        <f t="shared" si="305"/>
        <v>228.58311145593714</v>
      </c>
    </row>
    <row r="4835" spans="1:21" x14ac:dyDescent="0.25">
      <c r="A4835">
        <v>5383065</v>
      </c>
      <c r="B4835">
        <v>69</v>
      </c>
      <c r="C4835" s="1">
        <f>6.07816386500401*(10.3/7.3)</f>
        <v>8.5760394259645665</v>
      </c>
      <c r="D4835" s="1">
        <f>10.3694216000122*(10.3/7.3)</f>
        <v>14.630827737003493</v>
      </c>
      <c r="E4835" s="1">
        <f>36.0633365327557*(10.3/7.3)</f>
        <v>50.88388579279227</v>
      </c>
      <c r="F4835" s="1">
        <f>80.2179837094747*(38.9/42.5)</f>
        <v>73.423048618789821</v>
      </c>
      <c r="G4835" s="1">
        <v>3.4937254302384213</v>
      </c>
      <c r="H4835" s="1">
        <v>6.9034572429517373</v>
      </c>
      <c r="I4835" s="1">
        <v>55.944965230070963</v>
      </c>
      <c r="J4835" s="1">
        <v>5.8810189117980347E-2</v>
      </c>
      <c r="K4835" s="1">
        <v>3.5869106558035591</v>
      </c>
      <c r="L4835" s="1">
        <v>4.9122798204321363</v>
      </c>
      <c r="M4835" s="1">
        <v>0.32472611159600151</v>
      </c>
      <c r="N4835" s="1">
        <v>2.8427315124386867</v>
      </c>
      <c r="O4835" s="1">
        <v>0.25699014492753613</v>
      </c>
      <c r="P4835" s="1">
        <v>0.16639243351460134</v>
      </c>
      <c r="Q4835" s="1">
        <v>5.5835794547189437</v>
      </c>
      <c r="R4835" s="2">
        <f t="shared" si="303"/>
        <v>219.43952893253018</v>
      </c>
      <c r="S4835" s="2">
        <f t="shared" si="302"/>
        <v>3.8121132784361405</v>
      </c>
      <c r="T4835" s="2">
        <f t="shared" si="304"/>
        <v>8.3367275893943624</v>
      </c>
      <c r="U4835" s="2">
        <f t="shared" si="305"/>
        <v>231.58836980036068</v>
      </c>
    </row>
    <row r="4836" spans="1:21" x14ac:dyDescent="0.25">
      <c r="A4836">
        <v>5383073</v>
      </c>
      <c r="B4836">
        <v>69</v>
      </c>
      <c r="C4836" s="1">
        <f>4.83826992586082*(10.3/7.3)</f>
        <v>6.8266000323789671</v>
      </c>
      <c r="D4836" s="1">
        <f>8.17685612072326*(10.3/7.3)</f>
        <v>11.537207951157482</v>
      </c>
      <c r="E4836" s="1">
        <f>28.4540232536946*(10.3/7.3)</f>
        <v>40.147457467541678</v>
      </c>
      <c r="F4836" s="1">
        <f>62.931306148764*(38.9/42.5)</f>
        <v>57.600654333809885</v>
      </c>
      <c r="G4836" s="1">
        <v>2.7228812538083504</v>
      </c>
      <c r="H4836" s="1">
        <v>7.3824921164454214</v>
      </c>
      <c r="I4836" s="1">
        <v>43.922051504612426</v>
      </c>
      <c r="J4836" s="1">
        <v>4.873510151855838E-2</v>
      </c>
      <c r="K4836" s="1">
        <v>3.1020093903006192</v>
      </c>
      <c r="L4836" s="1">
        <v>4.0005086848476088</v>
      </c>
      <c r="M4836" s="1">
        <v>0.27193425309917796</v>
      </c>
      <c r="N4836" s="1">
        <v>2.463191851171366</v>
      </c>
      <c r="O4836" s="1">
        <v>0.21840927536231886</v>
      </c>
      <c r="P4836" s="1">
        <v>0.14598276070210012</v>
      </c>
      <c r="Q4836" s="1">
        <v>4.3516367069996518</v>
      </c>
      <c r="R4836" s="2">
        <f t="shared" si="303"/>
        <v>174.49098136675386</v>
      </c>
      <c r="S4836" s="2">
        <f t="shared" si="302"/>
        <v>3.2967272525212774</v>
      </c>
      <c r="T4836" s="2">
        <f t="shared" si="304"/>
        <v>6.9540440644804722</v>
      </c>
      <c r="U4836" s="2">
        <f t="shared" si="305"/>
        <v>184.74175268375561</v>
      </c>
    </row>
    <row r="4837" spans="1:21" x14ac:dyDescent="0.25">
      <c r="A4837">
        <v>5383081</v>
      </c>
      <c r="B4837">
        <v>65</v>
      </c>
      <c r="C4837" s="1">
        <f>5.8915936813005*(10.3/7.3)</f>
        <v>8.3127965640267334</v>
      </c>
      <c r="D4837" s="1">
        <f>9.86446587554657*(10.3/7.3)</f>
        <v>13.918355961387631</v>
      </c>
      <c r="E4837" s="1">
        <f>34.3379323746338*(10.3/7.3)</f>
        <v>48.449411432702497</v>
      </c>
      <c r="F4837" s="1">
        <f>75.921792934764*(38.9/42.5)</f>
        <v>69.490770474407555</v>
      </c>
      <c r="G4837" s="1">
        <v>3.2799898407605692</v>
      </c>
      <c r="H4837" s="1">
        <v>6.8283500272173852</v>
      </c>
      <c r="I4837" s="1">
        <v>53.109526813686017</v>
      </c>
      <c r="J4837" s="1">
        <v>5.6197512801062527E-2</v>
      </c>
      <c r="K4837" s="1">
        <v>3.3784101919796772</v>
      </c>
      <c r="L4837" s="1">
        <v>4.5773751757767247</v>
      </c>
      <c r="M4837" s="1">
        <v>0.29696159114837151</v>
      </c>
      <c r="N4837" s="1">
        <v>2.7625711153985559</v>
      </c>
      <c r="O4837" s="1">
        <v>0.23853046153846155</v>
      </c>
      <c r="P4837" s="1">
        <v>0.1556337046914773</v>
      </c>
      <c r="Q4837" s="1">
        <v>5.2419928961926958</v>
      </c>
      <c r="R4837" s="2">
        <f t="shared" si="303"/>
        <v>208.63119401038111</v>
      </c>
      <c r="S4837" s="2">
        <f t="shared" si="302"/>
        <v>3.5902414094722168</v>
      </c>
      <c r="T4837" s="2">
        <f t="shared" si="304"/>
        <v>7.8754383438621138</v>
      </c>
      <c r="U4837" s="2">
        <f t="shared" si="305"/>
        <v>220.09687376371542</v>
      </c>
    </row>
    <row r="4838" spans="1:21" x14ac:dyDescent="0.25">
      <c r="A4838">
        <v>5383089</v>
      </c>
      <c r="B4838">
        <v>69</v>
      </c>
      <c r="C4838" s="1">
        <f>5.57164636135699*(10.3/7.3)</f>
        <v>7.8613640441064447</v>
      </c>
      <c r="D4838" s="1">
        <f>9.37392313614492*(10.3/7.3)</f>
        <v>13.226220315382561</v>
      </c>
      <c r="E4838" s="1">
        <f>32.6165559988223*(10.3/7.3)</f>
        <v>46.02062010792735</v>
      </c>
      <c r="F4838" s="1">
        <f>72.5443786032512*(38.9/42.5)</f>
        <v>66.399443003916971</v>
      </c>
      <c r="G4838" s="1">
        <v>3.1535849171416857</v>
      </c>
      <c r="H4838" s="1">
        <v>7.4401320849633601</v>
      </c>
      <c r="I4838" s="1">
        <v>50.768406963673769</v>
      </c>
      <c r="J4838" s="1">
        <v>5.4598225179728163E-2</v>
      </c>
      <c r="K4838" s="1">
        <v>3.2129234066519556</v>
      </c>
      <c r="L4838" s="1">
        <v>4.2789396152431829</v>
      </c>
      <c r="M4838" s="1">
        <v>0.27408908173636765</v>
      </c>
      <c r="N4838" s="1">
        <v>2.752555722179451</v>
      </c>
      <c r="O4838" s="1">
        <v>0.22348367149758452</v>
      </c>
      <c r="P4838" s="1">
        <v>0.14838806548432387</v>
      </c>
      <c r="Q4838" s="1">
        <v>5.039975894975302</v>
      </c>
      <c r="R4838" s="2">
        <f t="shared" si="303"/>
        <v>199.90974733208745</v>
      </c>
      <c r="S4838" s="2">
        <f t="shared" si="302"/>
        <v>3.4159096973160077</v>
      </c>
      <c r="T4838" s="2">
        <f t="shared" si="304"/>
        <v>7.5290680906565868</v>
      </c>
      <c r="U4838" s="2">
        <f t="shared" si="305"/>
        <v>210.85472512006004</v>
      </c>
    </row>
    <row r="4839" spans="1:21" x14ac:dyDescent="0.25">
      <c r="A4839">
        <v>5383097</v>
      </c>
      <c r="B4839">
        <v>68</v>
      </c>
      <c r="C4839" s="1">
        <f>5.87314655296985*(10.3/7.3)</f>
        <v>8.2867684240533457</v>
      </c>
      <c r="D4839" s="1">
        <f>9.8836972325289*(10.3/7.3)</f>
        <v>13.94549061575996</v>
      </c>
      <c r="E4839" s="1">
        <f>34.3908691748856*(10.3/7.3)</f>
        <v>48.524103082372861</v>
      </c>
      <c r="F4839" s="1">
        <f>76.4475351899249*(38.9/42.5)</f>
        <v>69.971979267954794</v>
      </c>
      <c r="G4839" s="1">
        <v>3.3216146946642136</v>
      </c>
      <c r="H4839" s="1">
        <v>9.8439497272220784</v>
      </c>
      <c r="I4839" s="1">
        <v>53.488131419065084</v>
      </c>
      <c r="J4839" s="1">
        <v>5.6323537872653609E-2</v>
      </c>
      <c r="K4839" s="1">
        <v>3.2842648290773266</v>
      </c>
      <c r="L4839" s="1">
        <v>4.3969322032260303</v>
      </c>
      <c r="M4839" s="1">
        <v>0.27132309544796435</v>
      </c>
      <c r="N4839" s="1">
        <v>2.6793956982932046</v>
      </c>
      <c r="O4839" s="1">
        <v>0.22512078431372548</v>
      </c>
      <c r="P4839" s="1">
        <v>0.15001928096630113</v>
      </c>
      <c r="Q4839" s="1">
        <v>5.308516635308111</v>
      </c>
      <c r="R4839" s="2">
        <f t="shared" si="303"/>
        <v>212.69055386640045</v>
      </c>
      <c r="S4839" s="2">
        <f t="shared" si="302"/>
        <v>3.4906076479162813</v>
      </c>
      <c r="T4839" s="2">
        <f t="shared" si="304"/>
        <v>7.5727717812809239</v>
      </c>
      <c r="U4839" s="2">
        <f t="shared" si="305"/>
        <v>223.75393329559765</v>
      </c>
    </row>
    <row r="4840" spans="1:21" x14ac:dyDescent="0.25">
      <c r="A4840">
        <v>5383105</v>
      </c>
      <c r="B4840">
        <v>27</v>
      </c>
      <c r="C4840" s="1">
        <f>6.72257563622307*(10.3/7.3)</f>
        <v>9.4852779524791195</v>
      </c>
      <c r="D4840" s="1">
        <f>10.5343332247122*(10.3/7.3)</f>
        <v>14.863511262265193</v>
      </c>
      <c r="E4840" s="1">
        <f>36.797228773182*(10.3/7.3)</f>
        <v>51.919377584078781</v>
      </c>
      <c r="F4840" s="1">
        <f>79.2331302019043*(38.9/42.5)</f>
        <v>72.521617996566519</v>
      </c>
      <c r="G4840" s="1">
        <v>3.3044457509120746</v>
      </c>
      <c r="H4840" s="1">
        <v>12.537477480301423</v>
      </c>
      <c r="I4840" s="1">
        <v>55.999579056380149</v>
      </c>
      <c r="J4840" s="1">
        <v>6.0430136353356909E-2</v>
      </c>
      <c r="K4840" s="1">
        <v>3.2260488748860885</v>
      </c>
      <c r="L4840" s="1">
        <v>4.2988413414948052</v>
      </c>
      <c r="M4840" s="1">
        <v>0.26531952843697226</v>
      </c>
      <c r="N4840" s="1">
        <v>2.4782865335677662</v>
      </c>
      <c r="O4840" s="1">
        <v>0.21845925925925924</v>
      </c>
      <c r="P4840" s="1">
        <v>0.14593939535230832</v>
      </c>
      <c r="Q4840" s="1">
        <v>5.2810776841060605</v>
      </c>
      <c r="R4840" s="2">
        <f t="shared" si="303"/>
        <v>225.91236476708931</v>
      </c>
      <c r="S4840" s="2">
        <f t="shared" si="302"/>
        <v>3.4324184065917538</v>
      </c>
      <c r="T4840" s="2">
        <f t="shared" si="304"/>
        <v>7.2609066627588037</v>
      </c>
      <c r="U4840" s="2">
        <f t="shared" si="305"/>
        <v>236.60568983643986</v>
      </c>
    </row>
    <row r="4841" spans="1:21" x14ac:dyDescent="0.25">
      <c r="A4841">
        <v>5383113</v>
      </c>
      <c r="B4841">
        <v>22</v>
      </c>
      <c r="C4841" s="1">
        <f>7.07601603060494*(10.3/7.3)</f>
        <v>9.9839678240042282</v>
      </c>
      <c r="D4841" s="1">
        <f>11.4430329506326*(10.3/7.3)</f>
        <v>16.145649231714547</v>
      </c>
      <c r="E4841" s="1">
        <f>39.879905465575*(10.3/7.3)</f>
        <v>56.268907711701708</v>
      </c>
      <c r="F4841" s="1">
        <f>88.223260387449*(38.9/42.5)</f>
        <v>80.750231272276892</v>
      </c>
      <c r="G4841" s="1">
        <v>3.7956560802401227</v>
      </c>
      <c r="H4841" s="1">
        <v>7.5358040766277128</v>
      </c>
      <c r="I4841" s="1">
        <v>62.277290518451423</v>
      </c>
      <c r="J4841" s="1">
        <v>8.343372973238869E-2</v>
      </c>
      <c r="K4841" s="1">
        <v>3.1836266525146546</v>
      </c>
      <c r="L4841" s="1">
        <v>4.2626693789268737</v>
      </c>
      <c r="M4841" s="1">
        <v>0.25281097936274871</v>
      </c>
      <c r="N4841" s="1">
        <v>2.5524577052692012</v>
      </c>
      <c r="O4841" s="1">
        <v>0.21311515151515151</v>
      </c>
      <c r="P4841" s="1">
        <v>0.14191197094427679</v>
      </c>
      <c r="Q4841" s="1">
        <v>6.0661170232148152</v>
      </c>
      <c r="R4841" s="2">
        <f t="shared" si="303"/>
        <v>242.82362373823145</v>
      </c>
      <c r="S4841" s="2">
        <f t="shared" si="302"/>
        <v>3.4089723531913201</v>
      </c>
      <c r="T4841" s="2">
        <f t="shared" si="304"/>
        <v>7.2810532150739755</v>
      </c>
      <c r="U4841" s="2">
        <f t="shared" si="305"/>
        <v>253.51364930649675</v>
      </c>
    </row>
    <row r="4842" spans="1:21" x14ac:dyDescent="0.25">
      <c r="A4842">
        <v>5383145</v>
      </c>
      <c r="B4842">
        <v>13</v>
      </c>
      <c r="C4842" s="1">
        <f>4.24196093118213*(10.3/7.3)</f>
        <v>5.985232546736424</v>
      </c>
      <c r="D4842" s="1">
        <f>6.98037603921612*(10.3/7.3)</f>
        <v>9.8490237265652176</v>
      </c>
      <c r="E4842" s="1">
        <f>24.2267563226409*(10.3/7.3)</f>
        <v>34.182957551123494</v>
      </c>
      <c r="F4842" s="1">
        <f>57.9354040050307*(38.9/42.5)</f>
        <v>53.027934489310454</v>
      </c>
      <c r="G4842" s="1">
        <v>2.6762659678844472</v>
      </c>
      <c r="H4842" s="1">
        <v>11.018577264047732</v>
      </c>
      <c r="I4842" s="1">
        <v>41.542971490765133</v>
      </c>
      <c r="J4842" s="1">
        <v>3.4369297632890761E-2</v>
      </c>
      <c r="K4842" s="1">
        <v>2.138306146648294</v>
      </c>
      <c r="L4842" s="1">
        <v>2.6530721086018305</v>
      </c>
      <c r="M4842" s="1">
        <v>0.15965135993054702</v>
      </c>
      <c r="N4842" s="1">
        <v>1.6448430781583956</v>
      </c>
      <c r="O4842" s="1">
        <v>0.13254974358974361</v>
      </c>
      <c r="P4842" s="1">
        <v>9.8599125543954794E-2</v>
      </c>
      <c r="Q4842" s="1">
        <v>4.2771373915961535</v>
      </c>
      <c r="R4842" s="2">
        <f t="shared" si="303"/>
        <v>162.56010042802905</v>
      </c>
      <c r="S4842" s="2">
        <f t="shared" si="302"/>
        <v>2.2712745698251395</v>
      </c>
      <c r="T4842" s="2">
        <f t="shared" si="304"/>
        <v>4.5901162902805162</v>
      </c>
      <c r="U4842" s="2">
        <f t="shared" si="305"/>
        <v>169.42149128813472</v>
      </c>
    </row>
    <row r="4843" spans="1:21" x14ac:dyDescent="0.25">
      <c r="A4843">
        <v>5383153</v>
      </c>
      <c r="B4843">
        <v>10</v>
      </c>
      <c r="C4843" s="1">
        <f>3.97327940590608*(10.3/7.3)</f>
        <v>5.6061339562784438</v>
      </c>
      <c r="D4843" s="1">
        <f>6.05392741376294*(10.3/7.3)</f>
        <v>8.5418427892819633</v>
      </c>
      <c r="E4843" s="1">
        <f>21.0301707929029*(10.3/7.3)</f>
        <v>29.672706735191795</v>
      </c>
      <c r="F4843" s="1">
        <f>52.2949254979972*(38.9/42.5)</f>
        <v>47.865237691108049</v>
      </c>
      <c r="G4843" s="1">
        <v>2.4700368377434225</v>
      </c>
      <c r="H4843" s="1">
        <v>7.0043661337828071</v>
      </c>
      <c r="I4843" s="1">
        <v>38.526151580372357</v>
      </c>
      <c r="J4843" s="1">
        <v>3.1189244897057905E-2</v>
      </c>
      <c r="K4843" s="1">
        <v>1.9630512837165692</v>
      </c>
      <c r="L4843" s="1">
        <v>2.6328746376782317</v>
      </c>
      <c r="M4843" s="1">
        <v>0.14247619581817919</v>
      </c>
      <c r="N4843" s="1">
        <v>1.3944053780264787</v>
      </c>
      <c r="O4843" s="1">
        <v>0.12011733333333337</v>
      </c>
      <c r="P4843" s="1">
        <v>9.1307866595931347E-2</v>
      </c>
      <c r="Q4843" s="1">
        <v>3.9475474575808156</v>
      </c>
      <c r="R4843" s="2">
        <f t="shared" si="303"/>
        <v>143.63402318133967</v>
      </c>
      <c r="S4843" s="2">
        <f t="shared" si="302"/>
        <v>2.0855483952095586</v>
      </c>
      <c r="T4843" s="2">
        <f t="shared" si="304"/>
        <v>4.2898735448562224</v>
      </c>
      <c r="U4843" s="2">
        <f t="shared" si="305"/>
        <v>150.00944512140546</v>
      </c>
    </row>
    <row r="4844" spans="1:21" x14ac:dyDescent="0.25">
      <c r="A4844">
        <v>5383233</v>
      </c>
      <c r="B4844">
        <v>1</v>
      </c>
      <c r="C4844" s="1">
        <f>8.37209377815772*(10.3/7.3)</f>
        <v>11.812680262332133</v>
      </c>
      <c r="D4844" s="1">
        <f>8.73002000293207*(10.3/7.3)</f>
        <v>12.317699456191821</v>
      </c>
      <c r="E4844" s="1">
        <f>30.9796876199143*(10.3/7.3)</f>
        <v>43.71106609385167</v>
      </c>
      <c r="F4844" s="1">
        <f>70.3366647418155*(38.9/42.5)</f>
        <v>64.378735493097039</v>
      </c>
      <c r="G4844" s="1">
        <v>2.8819421164062522</v>
      </c>
      <c r="H4844" s="1">
        <v>9.7144767211298078</v>
      </c>
      <c r="I4844" s="1">
        <v>56.790382374541771</v>
      </c>
      <c r="J4844" s="1">
        <v>3.4412382471040975E-2</v>
      </c>
      <c r="K4844" s="1">
        <v>2.1661489043350608</v>
      </c>
      <c r="L4844" s="1">
        <v>2.4671699262456817</v>
      </c>
      <c r="M4844" s="1">
        <v>0.13831489451455811</v>
      </c>
      <c r="N4844" s="1">
        <v>1.5936582348326156</v>
      </c>
      <c r="O4844" s="1">
        <v>0.1208</v>
      </c>
      <c r="P4844" s="1">
        <v>9.1474218445420974E-2</v>
      </c>
      <c r="Q4844" s="1">
        <v>4.6058435650328278</v>
      </c>
      <c r="R4844" s="2">
        <f t="shared" si="303"/>
        <v>206.21282608258332</v>
      </c>
      <c r="S4844" s="2">
        <f t="shared" si="302"/>
        <v>2.2920355052515231</v>
      </c>
      <c r="T4844" s="2">
        <f t="shared" si="304"/>
        <v>4.319943055592856</v>
      </c>
      <c r="U4844" s="2">
        <f t="shared" si="305"/>
        <v>212.82480464342771</v>
      </c>
    </row>
    <row r="4845" spans="1:21" x14ac:dyDescent="0.25">
      <c r="A4845">
        <v>5383241</v>
      </c>
      <c r="B4845">
        <v>23</v>
      </c>
      <c r="C4845" s="1">
        <f>12.7347744250184*(10.3/7.3)</f>
        <v>17.968243366806824</v>
      </c>
      <c r="D4845" s="1">
        <f>13.1080895275827*(10.3/7.3)</f>
        <v>18.494975634808423</v>
      </c>
      <c r="E4845" s="1">
        <f>46.5405849310311*(10.3/7.3)</f>
        <v>65.666852710906852</v>
      </c>
      <c r="F4845" s="1">
        <f>106.063937350214*(38.9/42.5)</f>
        <v>97.079697951137121</v>
      </c>
      <c r="G4845" s="1">
        <v>4.3510897591266726</v>
      </c>
      <c r="H4845" s="1">
        <v>10.585648373687675</v>
      </c>
      <c r="I4845" s="1">
        <v>86.041155286952048</v>
      </c>
      <c r="J4845" s="1">
        <v>4.2109554086635095E-2</v>
      </c>
      <c r="K4845" s="1">
        <v>2.5215369231936249</v>
      </c>
      <c r="L4845" s="1">
        <v>3.0424419461124441</v>
      </c>
      <c r="M4845" s="1">
        <v>0.15869571861187728</v>
      </c>
      <c r="N4845" s="1">
        <v>1.8462595718601731</v>
      </c>
      <c r="O4845" s="1">
        <v>0.14287304347826088</v>
      </c>
      <c r="P4845" s="1">
        <v>0.10239679278508626</v>
      </c>
      <c r="Q4845" s="1">
        <v>6.9537964186956005</v>
      </c>
      <c r="R4845" s="2">
        <f t="shared" si="303"/>
        <v>307.14145950212122</v>
      </c>
      <c r="S4845" s="2">
        <f t="shared" si="302"/>
        <v>2.6660432700653462</v>
      </c>
      <c r="T4845" s="2">
        <f t="shared" si="304"/>
        <v>5.1902702800627551</v>
      </c>
      <c r="U4845" s="2">
        <f t="shared" si="305"/>
        <v>314.99777305224933</v>
      </c>
    </row>
    <row r="4846" spans="1:21" x14ac:dyDescent="0.25">
      <c r="A4846">
        <v>5383265</v>
      </c>
      <c r="B4846">
        <v>10</v>
      </c>
      <c r="C4846" s="1">
        <f>10.9769221943876*(10.3/7.3)</f>
        <v>15.487986109889325</v>
      </c>
      <c r="D4846" s="1">
        <f>12.6471231021677*(10.3/7.3)</f>
        <v>17.844570952373612</v>
      </c>
      <c r="E4846" s="1">
        <f>44.5748449559064*(10.3/7.3)</f>
        <v>62.893274389840478</v>
      </c>
      <c r="F4846" s="1">
        <f>105.101741081494*(38.9/42.5)</f>
        <v>96.199005366356005</v>
      </c>
      <c r="G4846" s="1">
        <v>4.5568161460824097</v>
      </c>
      <c r="H4846" s="1">
        <v>8.65401326993317</v>
      </c>
      <c r="I4846" s="1">
        <v>82.630895347220672</v>
      </c>
      <c r="J4846" s="1">
        <v>4.8390344288069723E-2</v>
      </c>
      <c r="K4846" s="1">
        <v>2.7658800933628145</v>
      </c>
      <c r="L4846" s="1">
        <v>3.3973497544806817</v>
      </c>
      <c r="M4846" s="1">
        <v>0.16928919230957862</v>
      </c>
      <c r="N4846" s="1">
        <v>2.0897727155790071</v>
      </c>
      <c r="O4846" s="1">
        <v>0.15415466666666666</v>
      </c>
      <c r="P4846" s="1">
        <v>0.11142514762664017</v>
      </c>
      <c r="Q4846" s="1">
        <v>7.2825828818668707</v>
      </c>
      <c r="R4846" s="2">
        <f t="shared" si="303"/>
        <v>295.54914446356253</v>
      </c>
      <c r="S4846" s="2">
        <f t="shared" si="302"/>
        <v>2.9256955852775244</v>
      </c>
      <c r="T4846" s="2">
        <f t="shared" si="304"/>
        <v>5.8105663290359342</v>
      </c>
      <c r="U4846" s="2">
        <f t="shared" si="305"/>
        <v>304.28540637787597</v>
      </c>
    </row>
    <row r="4847" spans="1:21" x14ac:dyDescent="0.25">
      <c r="A4847">
        <v>5383273</v>
      </c>
      <c r="B4847">
        <v>53</v>
      </c>
      <c r="C4847" s="1">
        <f>5.70842338368345*(10.3/7.3)</f>
        <v>8.0543508016355592</v>
      </c>
      <c r="D4847" s="1">
        <f>6.78109769441402*(10.3/7.3)</f>
        <v>9.5678501715704698</v>
      </c>
      <c r="E4847" s="1">
        <f>23.9079505706773*(10.3/7.3)</f>
        <v>33.733135736709052</v>
      </c>
      <c r="F4847" s="1">
        <f>54.185581738036*(38.9/42.5)</f>
        <v>49.595744226108202</v>
      </c>
      <c r="G4847" s="1">
        <v>2.2732761357668059</v>
      </c>
      <c r="H4847" s="1">
        <v>5.0213265428700611</v>
      </c>
      <c r="I4847" s="1">
        <v>41.95859194621503</v>
      </c>
      <c r="J4847" s="1">
        <v>3.4558732970440875E-2</v>
      </c>
      <c r="K4847" s="1">
        <v>2.1172682727682073</v>
      </c>
      <c r="L4847" s="1">
        <v>2.4119130972868499</v>
      </c>
      <c r="M4847" s="1">
        <v>0.12889303976996427</v>
      </c>
      <c r="N4847" s="1">
        <v>1.5678616373063645</v>
      </c>
      <c r="O4847" s="1">
        <v>0.1144120754716981</v>
      </c>
      <c r="P4847" s="1">
        <v>8.7383481194188428E-2</v>
      </c>
      <c r="Q4847" s="1">
        <v>3.6330897146958105</v>
      </c>
      <c r="R4847" s="2">
        <f t="shared" si="303"/>
        <v>153.83736527557099</v>
      </c>
      <c r="S4847" s="2">
        <f t="shared" si="302"/>
        <v>2.2392104869328366</v>
      </c>
      <c r="T4847" s="2">
        <f t="shared" si="304"/>
        <v>4.2230798498348765</v>
      </c>
      <c r="U4847" s="2">
        <f t="shared" si="305"/>
        <v>160.29965561233871</v>
      </c>
    </row>
    <row r="4848" spans="1:21" x14ac:dyDescent="0.25">
      <c r="A4848">
        <v>5383281</v>
      </c>
      <c r="B4848">
        <v>5</v>
      </c>
      <c r="C4848" s="1">
        <f>9.26665717614737*(10.3/7.3)</f>
        <v>13.074872454016147</v>
      </c>
      <c r="D4848" s="1">
        <f>11.2483014505472*(10.3/7.3)</f>
        <v>15.870891087758418</v>
      </c>
      <c r="E4848" s="1">
        <f>39.6237542153586*(10.3/7.3)</f>
        <v>55.907488824410116</v>
      </c>
      <c r="F4848" s="1">
        <f>89.4988487210254*(38.9/42.5)</f>
        <v>81.917769770538499</v>
      </c>
      <c r="G4848" s="1">
        <v>3.7566104757861387</v>
      </c>
      <c r="H4848" s="1">
        <v>7.0110843057891206</v>
      </c>
      <c r="I4848" s="1">
        <v>68.809146003502136</v>
      </c>
      <c r="J4848" s="1">
        <v>5.0256505300494372E-2</v>
      </c>
      <c r="K4848" s="1">
        <v>2.7264985208825614</v>
      </c>
      <c r="L4848" s="1">
        <v>3.2725102360551075</v>
      </c>
      <c r="M4848" s="1">
        <v>0.16135726166930106</v>
      </c>
      <c r="N4848" s="1">
        <v>2.0636845261594501</v>
      </c>
      <c r="O4848" s="1">
        <v>0.14746666666666669</v>
      </c>
      <c r="P4848" s="1">
        <v>0.10752322552119661</v>
      </c>
      <c r="Q4848" s="1">
        <v>6.0037153722609586</v>
      </c>
      <c r="R4848" s="2">
        <f t="shared" si="303"/>
        <v>252.35157829406154</v>
      </c>
      <c r="S4848" s="2">
        <f t="shared" si="302"/>
        <v>2.8842782517042522</v>
      </c>
      <c r="T4848" s="2">
        <f t="shared" si="304"/>
        <v>5.6450186905505255</v>
      </c>
      <c r="U4848" s="2">
        <f t="shared" si="305"/>
        <v>260.88087523631629</v>
      </c>
    </row>
    <row r="4849" spans="1:21" x14ac:dyDescent="0.25">
      <c r="A4849">
        <v>5383489</v>
      </c>
      <c r="B4849">
        <v>4</v>
      </c>
      <c r="C4849" s="1">
        <f>5.06826324105885*(10.3/7.3)</f>
        <v>7.1511111483433112</v>
      </c>
      <c r="D4849" s="1">
        <f>7.12218102898697*(10.3/7.3)</f>
        <v>10.049104739529559</v>
      </c>
      <c r="E4849" s="1">
        <f>24.6718097646842*(10.3/7.3)</f>
        <v>34.810909667979146</v>
      </c>
      <c r="F4849" s="1">
        <f>68.8438541826909*(38.9/42.5)</f>
        <v>63.012374769568886</v>
      </c>
      <c r="G4849" s="1">
        <v>3.4988880274016334</v>
      </c>
      <c r="H4849" s="1">
        <v>11.047194092882316</v>
      </c>
      <c r="I4849" s="1">
        <v>52.79893916344092</v>
      </c>
      <c r="J4849" s="1">
        <v>3.6839495020169886E-2</v>
      </c>
      <c r="K4849" s="1">
        <v>2.1879240470819017</v>
      </c>
      <c r="L4849" s="1">
        <v>2.2113643342674862</v>
      </c>
      <c r="M4849" s="1">
        <v>0.10329217805389</v>
      </c>
      <c r="N4849" s="1">
        <v>1.4299276904592217</v>
      </c>
      <c r="O4849" s="1">
        <v>0.10314666666666666</v>
      </c>
      <c r="P4849" s="1">
        <v>7.9284688880520704E-2</v>
      </c>
      <c r="Q4849" s="1">
        <v>5.5918301807788726</v>
      </c>
      <c r="R4849" s="2">
        <f t="shared" si="303"/>
        <v>187.96035178992466</v>
      </c>
      <c r="S4849" s="2">
        <f t="shared" si="302"/>
        <v>2.304048230982592</v>
      </c>
      <c r="T4849" s="2">
        <f t="shared" si="304"/>
        <v>3.8477308694472647</v>
      </c>
      <c r="U4849" s="2">
        <f t="shared" si="305"/>
        <v>194.11213089035454</v>
      </c>
    </row>
    <row r="4850" spans="1:21" x14ac:dyDescent="0.25">
      <c r="A4850">
        <v>5383505</v>
      </c>
      <c r="B4850">
        <v>9</v>
      </c>
      <c r="C4850" s="1">
        <f>3.0410907085709*(10.3/7.3)</f>
        <v>4.2908540134630488</v>
      </c>
      <c r="D4850" s="1">
        <f>4.51004427852806*(10.3/7.3)</f>
        <v>6.3634871327176743</v>
      </c>
      <c r="E4850" s="1">
        <f>15.6805745890862*(10.3/7.3)</f>
        <v>22.124646338025695</v>
      </c>
      <c r="F4850" s="1">
        <f>39.1175220602127*(38.9/42.5)</f>
        <v>35.804037838641776</v>
      </c>
      <c r="G4850" s="1">
        <v>1.8463075021421207</v>
      </c>
      <c r="H4850" s="1">
        <v>6.4905006216554231</v>
      </c>
      <c r="I4850" s="1">
        <v>29.023018408204873</v>
      </c>
      <c r="J4850" s="1">
        <v>2.6254116047162455E-2</v>
      </c>
      <c r="K4850" s="1">
        <v>1.7589279600252867</v>
      </c>
      <c r="L4850" s="1">
        <v>1.7086275848227717</v>
      </c>
      <c r="M4850" s="1">
        <v>8.4186964214436472E-2</v>
      </c>
      <c r="N4850" s="1">
        <v>1.0845525492927448</v>
      </c>
      <c r="O4850" s="1">
        <v>8.2536296296296288E-2</v>
      </c>
      <c r="P4850" s="1">
        <v>6.6023064900226455E-2</v>
      </c>
      <c r="Q4850" s="1">
        <v>2.9507197522819308</v>
      </c>
      <c r="R4850" s="2">
        <f t="shared" si="303"/>
        <v>108.89357160713254</v>
      </c>
      <c r="S4850" s="2">
        <f t="shared" si="302"/>
        <v>1.8512051409726757</v>
      </c>
      <c r="T4850" s="2">
        <f t="shared" si="304"/>
        <v>2.9599033946262487</v>
      </c>
      <c r="U4850" s="2">
        <f t="shared" si="305"/>
        <v>113.70468014273148</v>
      </c>
    </row>
    <row r="4851" spans="1:21" x14ac:dyDescent="0.25">
      <c r="A4851">
        <v>5383513</v>
      </c>
      <c r="B4851">
        <v>1</v>
      </c>
      <c r="C4851" s="1">
        <f>2.64465759690615*(10.3/7.3)</f>
        <v>3.7315031846758027</v>
      </c>
      <c r="D4851" s="1">
        <f>3.48794110656232*(10.3/7.3)</f>
        <v>4.9213415613139526</v>
      </c>
      <c r="E4851" s="1">
        <f>12.1924927920332*(10.3/7.3)</f>
        <v>17.203106268211233</v>
      </c>
      <c r="F4851" s="1">
        <f>30.019796598606*(38.9/42.5)</f>
        <v>27.476943239665232</v>
      </c>
      <c r="G4851" s="1">
        <v>1.3808858912192279</v>
      </c>
      <c r="H4851" s="1">
        <v>3.5337584753210782</v>
      </c>
      <c r="I4851" s="1">
        <v>22.879850602383883</v>
      </c>
      <c r="J4851" s="1">
        <v>2.3201838144470046E-2</v>
      </c>
      <c r="K4851" s="1">
        <v>1.6136724990689568</v>
      </c>
      <c r="L4851" s="1">
        <v>1.5323444018319545</v>
      </c>
      <c r="M4851" s="1">
        <v>7.7735618799490439E-2</v>
      </c>
      <c r="N4851" s="1">
        <v>0.97690022462449477</v>
      </c>
      <c r="O4851" s="1">
        <v>7.5039999999999996E-2</v>
      </c>
      <c r="P4851" s="1">
        <v>6.1490364466125269E-2</v>
      </c>
      <c r="Q4851" s="1">
        <v>2.2068952599394076</v>
      </c>
      <c r="R4851" s="2">
        <f t="shared" si="303"/>
        <v>83.334284482729814</v>
      </c>
      <c r="S4851" s="2">
        <f t="shared" si="302"/>
        <v>1.6983647016795522</v>
      </c>
      <c r="T4851" s="2">
        <f t="shared" si="304"/>
        <v>2.6620202452559396</v>
      </c>
      <c r="U4851" s="2">
        <f t="shared" si="305"/>
        <v>87.694669429665311</v>
      </c>
    </row>
    <row r="4852" spans="1:21" x14ac:dyDescent="0.25">
      <c r="A4852">
        <v>539137</v>
      </c>
      <c r="B4852">
        <v>34</v>
      </c>
      <c r="C4852" s="1">
        <f>0.887862724064099*(10.3/7.3)</f>
        <v>1.2527378161452354</v>
      </c>
      <c r="D4852" s="1">
        <f>1.08790993236871*(10.3/7.3)</f>
        <v>1.5349962059448861</v>
      </c>
      <c r="E4852" s="1">
        <f>3.85236690741285*(10.3/7.3)</f>
        <v>5.4355313899112874</v>
      </c>
      <c r="F4852" s="1">
        <f>7.59994013093437*(38.9/42.5)</f>
        <v>6.9561804963140457</v>
      </c>
      <c r="G4852" s="1">
        <v>0.27331492790485429</v>
      </c>
      <c r="H4852" s="1">
        <v>1.1729236746493898</v>
      </c>
      <c r="I4852" s="1">
        <v>5.6833191032479498</v>
      </c>
      <c r="J4852" s="1">
        <v>3.2681904138758926E-2</v>
      </c>
      <c r="K4852" s="1">
        <v>3.9133127414703477</v>
      </c>
      <c r="L4852" s="1">
        <v>1.5634642137558359</v>
      </c>
      <c r="M4852" s="1">
        <v>7.3378658533713711E-2</v>
      </c>
      <c r="N4852" s="1">
        <v>0.87632010065735599</v>
      </c>
      <c r="O4852" s="1">
        <v>6.3563921568627446E-2</v>
      </c>
      <c r="P4852" s="1">
        <v>5.6080170383194995E-2</v>
      </c>
      <c r="Q4852" s="1">
        <v>0.43680467929999578</v>
      </c>
      <c r="R4852" s="2">
        <f t="shared" si="303"/>
        <v>22.745808293417646</v>
      </c>
      <c r="S4852" s="2">
        <f t="shared" si="302"/>
        <v>4.0020748159923016</v>
      </c>
      <c r="T4852" s="2">
        <f t="shared" si="304"/>
        <v>2.5767268945155331</v>
      </c>
      <c r="U4852" s="2">
        <f t="shared" si="305"/>
        <v>29.324610003925482</v>
      </c>
    </row>
    <row r="4853" spans="1:21" x14ac:dyDescent="0.25">
      <c r="A4853">
        <v>539161</v>
      </c>
      <c r="B4853">
        <v>6</v>
      </c>
      <c r="C4853" s="1">
        <f>1.05341544692027*(10.3/7.3)</f>
        <v>1.4863259045587425</v>
      </c>
      <c r="D4853" s="1">
        <f>1.4048283026718*(10.3/7.3)</f>
        <v>1.9821550023999328</v>
      </c>
      <c r="E4853" s="1">
        <f>4.92771985605618*(10.3/7.3)</f>
        <v>6.9528102078600877</v>
      </c>
      <c r="F4853" s="1">
        <f>11.1493555588512*(38.9/42.5)</f>
        <v>10.20493955857205</v>
      </c>
      <c r="G4853" s="1">
        <v>0.47631800826878207</v>
      </c>
      <c r="H4853" s="1">
        <v>3.899898849665183</v>
      </c>
      <c r="I4853" s="1">
        <v>8.3394647903305348</v>
      </c>
      <c r="J4853" s="1">
        <v>3.2287951789926987E-2</v>
      </c>
      <c r="K4853" s="1">
        <v>4.2411816615663795</v>
      </c>
      <c r="L4853" s="1">
        <v>1.3477601665018082</v>
      </c>
      <c r="M4853" s="1">
        <v>7.8276551350019555E-2</v>
      </c>
      <c r="N4853" s="1">
        <v>0.96302333351060476</v>
      </c>
      <c r="O4853" s="1">
        <v>6.744E-2</v>
      </c>
      <c r="P4853" s="1">
        <v>5.851631520136872E-2</v>
      </c>
      <c r="Q4853" s="1">
        <v>0.76123882600033754</v>
      </c>
      <c r="R4853" s="2">
        <f t="shared" si="303"/>
        <v>34.103151147655652</v>
      </c>
      <c r="S4853" s="2">
        <f t="shared" si="302"/>
        <v>4.3319859285576756</v>
      </c>
      <c r="T4853" s="2">
        <f t="shared" si="304"/>
        <v>2.4565000513624327</v>
      </c>
      <c r="U4853" s="2">
        <f t="shared" si="305"/>
        <v>40.891637127575763</v>
      </c>
    </row>
    <row r="4854" spans="1:21" x14ac:dyDescent="0.25">
      <c r="A4854">
        <v>539169</v>
      </c>
      <c r="B4854">
        <v>9</v>
      </c>
      <c r="C4854" s="1">
        <f>1.30887538631353*(10.3/7.3)</f>
        <v>1.8467693806889478</v>
      </c>
      <c r="D4854" s="1">
        <f>2.02089245054274*(10.3/7.3)</f>
        <v>2.851396197341125</v>
      </c>
      <c r="E4854" s="1">
        <f>6.98932408642103*(10.3/7.3)</f>
        <v>9.8616490534433687</v>
      </c>
      <c r="F4854" s="1">
        <f>18.7771603023839*(38.9/42.5)</f>
        <v>17.186624370887834</v>
      </c>
      <c r="G4854" s="1">
        <v>0.93964140701128485</v>
      </c>
      <c r="H4854" s="1">
        <v>4.6000816654343355</v>
      </c>
      <c r="I4854" s="1">
        <v>14.013877171037446</v>
      </c>
      <c r="J4854" s="1">
        <v>3.9568346503145432E-2</v>
      </c>
      <c r="K4854" s="1">
        <v>4.1794944924299138</v>
      </c>
      <c r="L4854" s="1">
        <v>1.5120388968041887</v>
      </c>
      <c r="M4854" s="1">
        <v>8.6287681062440447E-2</v>
      </c>
      <c r="N4854" s="1">
        <v>1.1036870833001418</v>
      </c>
      <c r="O4854" s="1">
        <v>7.5075555555555548E-2</v>
      </c>
      <c r="P4854" s="1">
        <v>6.4569285549147537E-2</v>
      </c>
      <c r="Q4854" s="1">
        <v>1.501710011205251</v>
      </c>
      <c r="R4854" s="2">
        <f t="shared" si="303"/>
        <v>52.801749257049593</v>
      </c>
      <c r="S4854" s="2">
        <f t="shared" si="302"/>
        <v>4.2836321244822066</v>
      </c>
      <c r="T4854" s="2">
        <f t="shared" si="304"/>
        <v>2.7770892167223264</v>
      </c>
      <c r="U4854" s="2">
        <f t="shared" si="305"/>
        <v>59.862470598254127</v>
      </c>
    </row>
    <row r="4855" spans="1:21" x14ac:dyDescent="0.25">
      <c r="A4855">
        <v>539177</v>
      </c>
      <c r="B4855">
        <v>4</v>
      </c>
      <c r="C4855" s="1">
        <f>1.12228673850637*(10.3/7.3)</f>
        <v>1.583500466659675</v>
      </c>
      <c r="D4855" s="1">
        <f>1.81147324417805*(10.3/7.3)</f>
        <v>2.5559143034293093</v>
      </c>
      <c r="E4855" s="1">
        <f>6.20851878193191*(10.3/7.3)</f>
        <v>8.7599648566984456</v>
      </c>
      <c r="F4855" s="1">
        <f>19.0583264685858*(38.9/42.5)</f>
        <v>17.443974108893862</v>
      </c>
      <c r="G4855" s="1">
        <v>1.0384004394110091</v>
      </c>
      <c r="H4855" s="1">
        <v>3.9544839972164825</v>
      </c>
      <c r="I4855" s="1">
        <v>14.459573774214075</v>
      </c>
      <c r="J4855" s="1">
        <v>2.6360903341719123E-2</v>
      </c>
      <c r="K4855" s="1">
        <v>3.4079933649764951</v>
      </c>
      <c r="L4855" s="1">
        <v>1.3000795095486635</v>
      </c>
      <c r="M4855" s="1">
        <v>7.539522203819285E-2</v>
      </c>
      <c r="N4855" s="1">
        <v>0.97021542095835611</v>
      </c>
      <c r="O4855" s="1">
        <v>6.7333333333333328E-2</v>
      </c>
      <c r="P4855" s="1">
        <v>5.817647487434318E-2</v>
      </c>
      <c r="Q4855" s="1">
        <v>1.6595440812504729</v>
      </c>
      <c r="R4855" s="2">
        <f t="shared" si="303"/>
        <v>51.455356027773334</v>
      </c>
      <c r="S4855" s="2">
        <f t="shared" si="302"/>
        <v>3.4925307431925572</v>
      </c>
      <c r="T4855" s="2">
        <f t="shared" si="304"/>
        <v>2.4130234858785458</v>
      </c>
      <c r="U4855" s="2">
        <f t="shared" si="305"/>
        <v>57.360910256844441</v>
      </c>
    </row>
    <row r="4856" spans="1:21" x14ac:dyDescent="0.25">
      <c r="A4856">
        <v>539193</v>
      </c>
      <c r="B4856">
        <v>6</v>
      </c>
      <c r="C4856" s="1">
        <f>1.00701445143239*(10.3/7.3)</f>
        <v>1.4208560068155602</v>
      </c>
      <c r="D4856" s="1">
        <f>1.99360394964944*(10.3/7.3)</f>
        <v>2.8128932440259167</v>
      </c>
      <c r="E4856" s="1">
        <f>6.68329404186743*(10.3/7.3)</f>
        <v>9.429853237155422</v>
      </c>
      <c r="F4856" s="1">
        <f>25.923014146383*(38.9/42.5)</f>
        <v>23.727182359865818</v>
      </c>
      <c r="G4856" s="1">
        <v>1.589216901743755</v>
      </c>
      <c r="H4856" s="1">
        <v>4.7704619721500174</v>
      </c>
      <c r="I4856" s="1">
        <v>19.877864929537058</v>
      </c>
      <c r="J4856" s="1">
        <v>2.6952830265851085E-2</v>
      </c>
      <c r="K4856" s="1">
        <v>2.9768495419676326</v>
      </c>
      <c r="L4856" s="1">
        <v>1.1656909349615034</v>
      </c>
      <c r="M4856" s="1">
        <v>6.8909167502862398E-2</v>
      </c>
      <c r="N4856" s="1">
        <v>0.83543472071868885</v>
      </c>
      <c r="O4856" s="1">
        <v>6.2462222222222225E-2</v>
      </c>
      <c r="P4856" s="1">
        <v>5.5079486229668545E-2</v>
      </c>
      <c r="Q4856" s="1">
        <v>2.5398443635174197</v>
      </c>
      <c r="R4856" s="2">
        <f t="shared" si="303"/>
        <v>66.168173014810961</v>
      </c>
      <c r="S4856" s="2">
        <f t="shared" si="302"/>
        <v>3.0588818584631525</v>
      </c>
      <c r="T4856" s="2">
        <f t="shared" si="304"/>
        <v>2.1324970454052772</v>
      </c>
      <c r="U4856" s="2">
        <f t="shared" si="305"/>
        <v>71.359551918679387</v>
      </c>
    </row>
    <row r="4857" spans="1:21" x14ac:dyDescent="0.25">
      <c r="A4857">
        <v>539201</v>
      </c>
      <c r="B4857">
        <v>27</v>
      </c>
      <c r="C4857" s="1">
        <f>1.18317744240881*(10.3/7.3)</f>
        <v>1.6694147475083223</v>
      </c>
      <c r="D4857" s="1">
        <f>2.08756377628402*(10.3/7.3)</f>
        <v>2.9454666980445725</v>
      </c>
      <c r="E4857" s="1">
        <f>7.15169059802367*(10.3/7.3)</f>
        <v>10.090741528718334</v>
      </c>
      <c r="F4857" s="1">
        <f>21.0038761491256*(38.9/42.5)</f>
        <v>19.224724287082008</v>
      </c>
      <c r="G4857" s="1">
        <v>1.1243754782798339</v>
      </c>
      <c r="H4857" s="1">
        <v>5.6899184575696902</v>
      </c>
      <c r="I4857" s="1">
        <v>15.555265776939869</v>
      </c>
      <c r="J4857" s="1">
        <v>2.6721497083235329E-2</v>
      </c>
      <c r="K4857" s="1">
        <v>3.2154592968434264</v>
      </c>
      <c r="L4857" s="1">
        <v>1.2996296810768035</v>
      </c>
      <c r="M4857" s="1">
        <v>7.4100982248337458E-2</v>
      </c>
      <c r="N4857" s="1">
        <v>0.886434463879892</v>
      </c>
      <c r="O4857" s="1">
        <v>6.8938271604938275E-2</v>
      </c>
      <c r="P4857" s="1">
        <v>5.9361801915037489E-2</v>
      </c>
      <c r="Q4857" s="1">
        <v>1.7969471114061297</v>
      </c>
      <c r="R4857" s="2">
        <f t="shared" si="303"/>
        <v>58.096854085548749</v>
      </c>
      <c r="S4857" s="2">
        <f t="shared" si="302"/>
        <v>3.3015425958416991</v>
      </c>
      <c r="T4857" s="2">
        <f t="shared" si="304"/>
        <v>2.3291033988099712</v>
      </c>
      <c r="U4857" s="2">
        <f t="shared" si="305"/>
        <v>63.727500080200421</v>
      </c>
    </row>
    <row r="4858" spans="1:21" x14ac:dyDescent="0.25">
      <c r="A4858">
        <v>539209</v>
      </c>
      <c r="B4858">
        <v>44</v>
      </c>
      <c r="C4858" s="1">
        <f>1.24481578160509*(10.3/7.3)</f>
        <v>1.7563839110318393</v>
      </c>
      <c r="D4858" s="1">
        <f>2.43774337441661*(10.3/7.3)</f>
        <v>3.4395557200672662</v>
      </c>
      <c r="E4858" s="1">
        <f>8.29920573501862*(10.3/7.3)</f>
        <v>11.709838228861893</v>
      </c>
      <c r="F4858" s="1">
        <f>25.6779862418134*(38.9/42.5)</f>
        <v>23.502909760153948</v>
      </c>
      <c r="G4858" s="1">
        <v>1.4245281084883363</v>
      </c>
      <c r="H4858" s="1">
        <v>6.3318007730870827</v>
      </c>
      <c r="I4858" s="1">
        <v>18.90219164004716</v>
      </c>
      <c r="J4858" s="1">
        <v>2.8098495280300041E-2</v>
      </c>
      <c r="K4858" s="1">
        <v>3.2293266245429182</v>
      </c>
      <c r="L4858" s="1">
        <v>1.3403052867916743</v>
      </c>
      <c r="M4858" s="1">
        <v>7.5667154654591354E-2</v>
      </c>
      <c r="N4858" s="1">
        <v>0.91590109974564515</v>
      </c>
      <c r="O4858" s="1">
        <v>7.0181818181818165E-2</v>
      </c>
      <c r="P4858" s="1">
        <v>6.0780464732484746E-2</v>
      </c>
      <c r="Q4858" s="1">
        <v>2.276643095757616</v>
      </c>
      <c r="R4858" s="2">
        <f t="shared" si="303"/>
        <v>69.343851237495144</v>
      </c>
      <c r="S4858" s="2">
        <f t="shared" si="302"/>
        <v>3.3182055845557028</v>
      </c>
      <c r="T4858" s="2">
        <f t="shared" si="304"/>
        <v>2.4020553593737288</v>
      </c>
      <c r="U4858" s="2">
        <f t="shared" si="305"/>
        <v>75.064112181424576</v>
      </c>
    </row>
    <row r="4859" spans="1:21" x14ac:dyDescent="0.25">
      <c r="A4859">
        <v>539225</v>
      </c>
      <c r="B4859">
        <v>52</v>
      </c>
      <c r="C4859" s="1">
        <f>1.3976136093891*(10.3/7.3)</f>
        <v>1.9719753666722926</v>
      </c>
      <c r="D4859" s="1">
        <f>2.09196456514229*(10.3/7.3)</f>
        <v>2.951676030269264</v>
      </c>
      <c r="E4859" s="1">
        <f>7.25724709681695*(10.3/7.3)</f>
        <v>10.239677410577345</v>
      </c>
      <c r="F4859" s="1">
        <f>18.7952000010566*(38.9/42.5)</f>
        <v>17.203136000967131</v>
      </c>
      <c r="G4859" s="1">
        <v>0.91353388840834515</v>
      </c>
      <c r="H4859" s="1">
        <v>5.0512966348357446</v>
      </c>
      <c r="I4859" s="1">
        <v>14.020947200145629</v>
      </c>
      <c r="J4859" s="1">
        <v>2.692165903824998E-2</v>
      </c>
      <c r="K4859" s="1">
        <v>2.9687940556141914</v>
      </c>
      <c r="L4859" s="1">
        <v>1.2920367498756411</v>
      </c>
      <c r="M4859" s="1">
        <v>7.0583851809235737E-2</v>
      </c>
      <c r="N4859" s="1">
        <v>0.907161357721887</v>
      </c>
      <c r="O4859" s="1">
        <v>6.8045948717948723E-2</v>
      </c>
      <c r="P4859" s="1">
        <v>5.9618794609228004E-2</v>
      </c>
      <c r="Q4859" s="1">
        <v>1.459985666406032</v>
      </c>
      <c r="R4859" s="2">
        <f t="shared" si="303"/>
        <v>53.81222819828178</v>
      </c>
      <c r="S4859" s="2">
        <f t="shared" si="302"/>
        <v>3.0553345092616695</v>
      </c>
      <c r="T4859" s="2">
        <f t="shared" si="304"/>
        <v>2.3378279081247126</v>
      </c>
      <c r="U4859" s="2">
        <f t="shared" si="305"/>
        <v>59.205390615668165</v>
      </c>
    </row>
    <row r="4860" spans="1:21" x14ac:dyDescent="0.25">
      <c r="A4860">
        <v>5394813</v>
      </c>
      <c r="B4860">
        <v>55</v>
      </c>
      <c r="C4860" s="1">
        <f>0.616541233530657*(10.3/7.3)</f>
        <v>0.86991434320079031</v>
      </c>
      <c r="D4860" s="1">
        <f>0.909060439562846*(10.3/7.3)</f>
        <v>1.2826469215749743</v>
      </c>
      <c r="E4860" s="1">
        <f>3.15006937479298*(10.3/7.3)</f>
        <v>4.4446184329270784</v>
      </c>
      <c r="F4860" s="1">
        <f>8.43256523022343*(38.9/42.5)</f>
        <v>7.7182773518986236</v>
      </c>
      <c r="G4860" s="1">
        <v>0.41891651535569085</v>
      </c>
      <c r="H4860" s="1">
        <v>1.7728950553207385</v>
      </c>
      <c r="I4860" s="1">
        <v>6.352356048190452</v>
      </c>
      <c r="J4860" s="1">
        <v>4.3604704792360394E-2</v>
      </c>
      <c r="K4860" s="1">
        <v>3.2585067556461511</v>
      </c>
      <c r="L4860" s="1">
        <v>2.0436181883833475</v>
      </c>
      <c r="M4860" s="1">
        <v>0.970160752386513</v>
      </c>
      <c r="N4860" s="1">
        <v>1.2981865018349468</v>
      </c>
      <c r="O4860" s="1">
        <v>0.36881454545454528</v>
      </c>
      <c r="P4860" s="1">
        <v>0.15472679522367622</v>
      </c>
      <c r="Q4860" s="1">
        <v>0.66950128024882194</v>
      </c>
      <c r="R4860" s="2">
        <f t="shared" si="303"/>
        <v>23.529125948717169</v>
      </c>
      <c r="S4860" s="2">
        <f t="shared" si="302"/>
        <v>3.4568382556621877</v>
      </c>
      <c r="T4860" s="2">
        <f t="shared" si="304"/>
        <v>4.6807799880593519</v>
      </c>
      <c r="U4860" s="2">
        <f t="shared" si="305"/>
        <v>31.66674419243871</v>
      </c>
    </row>
    <row r="4861" spans="1:21" x14ac:dyDescent="0.25">
      <c r="A4861">
        <v>5394821</v>
      </c>
      <c r="B4861">
        <v>55</v>
      </c>
      <c r="C4861" s="1">
        <f>0.862062786557782*(10.3/7.3)</f>
        <v>1.2163351645952269</v>
      </c>
      <c r="D4861" s="1">
        <f>1.3049281662297*(10.3/7.3)</f>
        <v>1.8412000153651871</v>
      </c>
      <c r="E4861" s="1">
        <f>4.50881586805105*(10.3/7.3)</f>
        <v>6.361753896017234</v>
      </c>
      <c r="F4861" s="1">
        <f>12.5042943088661*(38.9/42.5)</f>
        <v>11.445107026232703</v>
      </c>
      <c r="G4861" s="1">
        <v>0.63780989998540716</v>
      </c>
      <c r="H4861" s="1">
        <v>2.5820316917611756</v>
      </c>
      <c r="I4861" s="1">
        <v>9.4287599291800994</v>
      </c>
      <c r="J4861" s="1">
        <v>5.7255785621764914E-2</v>
      </c>
      <c r="K4861" s="1">
        <v>4.0486079054539861</v>
      </c>
      <c r="L4861" s="1">
        <v>2.7120322260087808</v>
      </c>
      <c r="M4861" s="1">
        <v>1.3311328070712261</v>
      </c>
      <c r="N4861" s="1">
        <v>1.8595577576136058</v>
      </c>
      <c r="O4861" s="1">
        <v>0.4921173333333333</v>
      </c>
      <c r="P4861" s="1">
        <v>0.17965015465928011</v>
      </c>
      <c r="Q4861" s="1">
        <v>1.0193308903876384</v>
      </c>
      <c r="R4861" s="2">
        <f t="shared" si="303"/>
        <v>34.532328513524668</v>
      </c>
      <c r="S4861" s="2">
        <f t="shared" si="302"/>
        <v>4.2855138457350304</v>
      </c>
      <c r="T4861" s="2">
        <f t="shared" si="304"/>
        <v>6.3948401240269455</v>
      </c>
      <c r="U4861" s="2">
        <f t="shared" si="305"/>
        <v>45.212682483286642</v>
      </c>
    </row>
    <row r="4862" spans="1:21" x14ac:dyDescent="0.25">
      <c r="A4862">
        <v>5394829</v>
      </c>
      <c r="B4862">
        <v>17</v>
      </c>
      <c r="C4862" s="1">
        <f>1.26668509015531*(10.3/7.3)</f>
        <v>1.7872406066574882</v>
      </c>
      <c r="D4862" s="1">
        <f>1.96924318237137*(10.3/7.3)</f>
        <v>2.7785212025239945</v>
      </c>
      <c r="E4862" s="1">
        <f>6.77489596725158*(10.3/7.3)</f>
        <v>9.5590997894097658</v>
      </c>
      <c r="F4862" s="1">
        <f>19.9445022170057*(38.9/42.5)</f>
        <v>18.255085558624021</v>
      </c>
      <c r="G4862" s="1">
        <v>1.0580291021546986</v>
      </c>
      <c r="H4862" s="1">
        <v>3.6784560447394199</v>
      </c>
      <c r="I4862" s="1">
        <v>15.12325284296297</v>
      </c>
      <c r="J4862" s="1">
        <v>8.8980481989311244E-2</v>
      </c>
      <c r="K4862" s="1">
        <v>5.0334744628181065</v>
      </c>
      <c r="L4862" s="1">
        <v>3.9894125513551244</v>
      </c>
      <c r="M4862" s="1">
        <v>1.9571342071284723</v>
      </c>
      <c r="N4862" s="1">
        <v>2.2535633903512595</v>
      </c>
      <c r="O4862" s="1">
        <v>0.68116078431372562</v>
      </c>
      <c r="P4862" s="1">
        <v>0.20970890260441766</v>
      </c>
      <c r="Q4862" s="1">
        <v>1.6909140902015749</v>
      </c>
      <c r="R4862" s="2">
        <f t="shared" si="303"/>
        <v>53.930599237273931</v>
      </c>
      <c r="S4862" s="2">
        <f t="shared" si="302"/>
        <v>5.3321638474118354</v>
      </c>
      <c r="T4862" s="2">
        <f t="shared" si="304"/>
        <v>8.8812709331485813</v>
      </c>
      <c r="U4862" s="2">
        <f t="shared" si="305"/>
        <v>68.144034017834343</v>
      </c>
    </row>
    <row r="4863" spans="1:21" x14ac:dyDescent="0.25">
      <c r="A4863">
        <v>5395261</v>
      </c>
      <c r="B4863">
        <v>50</v>
      </c>
      <c r="C4863" s="1">
        <f>5.23504395222278*(10.3/7.3)</f>
        <v>7.3864318777937834</v>
      </c>
      <c r="D4863" s="1">
        <f>9.52534530662017*(10.3/7.3)</f>
        <v>13.439870775094217</v>
      </c>
      <c r="E4863" s="1">
        <f>33.0051804913158*(10.3/7.3)</f>
        <v>46.568953295966182</v>
      </c>
      <c r="F4863" s="1">
        <f>76.1244498498906*(38.9/42.5)</f>
        <v>69.676261156723371</v>
      </c>
      <c r="G4863" s="1">
        <v>3.4508842707791403</v>
      </c>
      <c r="H4863" s="1">
        <v>7.6334557604540354</v>
      </c>
      <c r="I4863" s="1">
        <v>52.823404384764117</v>
      </c>
      <c r="J4863" s="1">
        <v>6.0966521311863815E-2</v>
      </c>
      <c r="K4863" s="1">
        <v>3.5135851212238531</v>
      </c>
      <c r="L4863" s="1">
        <v>4.6394533901393089</v>
      </c>
      <c r="M4863" s="1">
        <v>0.33894059949595523</v>
      </c>
      <c r="N4863" s="1">
        <v>2.8282912989222915</v>
      </c>
      <c r="O4863" s="1">
        <v>0.25891733333333333</v>
      </c>
      <c r="P4863" s="1">
        <v>0.16654836137744927</v>
      </c>
      <c r="Q4863" s="1">
        <v>5.5151118482771695</v>
      </c>
      <c r="R4863" s="2">
        <f t="shared" si="303"/>
        <v>206.49437336985204</v>
      </c>
      <c r="S4863" s="2">
        <f t="shared" si="302"/>
        <v>3.7411000039131665</v>
      </c>
      <c r="T4863" s="2">
        <f t="shared" si="304"/>
        <v>8.0656026218908892</v>
      </c>
      <c r="U4863" s="2">
        <f t="shared" si="305"/>
        <v>218.30107599565611</v>
      </c>
    </row>
    <row r="4864" spans="1:21" x14ac:dyDescent="0.25">
      <c r="A4864">
        <v>5395269</v>
      </c>
      <c r="B4864">
        <v>55</v>
      </c>
      <c r="C4864" s="1">
        <f>5.56362962363378*(10.3/7.3)</f>
        <v>7.8500527566339704</v>
      </c>
      <c r="D4864" s="1">
        <f>9.9696878799935*(10.3/7.3)</f>
        <v>14.066819885470281</v>
      </c>
      <c r="E4864" s="1">
        <f>34.5914379962926*(10.3/7.3)</f>
        <v>48.807097446823832</v>
      </c>
      <c r="F4864" s="1">
        <f>78.2650272840459*(38.9/42.5)</f>
        <v>71.635519090573752</v>
      </c>
      <c r="G4864" s="1">
        <v>3.4828328025874291</v>
      </c>
      <c r="H4864" s="1">
        <v>6.9294890530578899</v>
      </c>
      <c r="I4864" s="1">
        <v>54.200105844165407</v>
      </c>
      <c r="J4864" s="1">
        <v>6.3425095288123512E-2</v>
      </c>
      <c r="K4864" s="1">
        <v>3.6952526099215413</v>
      </c>
      <c r="L4864" s="1">
        <v>4.8235948055028031</v>
      </c>
      <c r="M4864" s="1">
        <v>0.34504692740619641</v>
      </c>
      <c r="N4864" s="1">
        <v>3.5215360838830772</v>
      </c>
      <c r="O4864" s="1">
        <v>0.26536630303030306</v>
      </c>
      <c r="P4864" s="1">
        <v>0.16928381724696395</v>
      </c>
      <c r="Q4864" s="1">
        <v>5.5661711456876768</v>
      </c>
      <c r="R4864" s="2">
        <f t="shared" si="303"/>
        <v>212.53808802500026</v>
      </c>
      <c r="S4864" s="2">
        <f t="shared" si="302"/>
        <v>3.9279615224566289</v>
      </c>
      <c r="T4864" s="2">
        <f t="shared" si="304"/>
        <v>8.9555441198223793</v>
      </c>
      <c r="U4864" s="2">
        <f t="shared" si="305"/>
        <v>225.42159366727927</v>
      </c>
    </row>
    <row r="4865" spans="1:21" x14ac:dyDescent="0.25">
      <c r="A4865">
        <v>5395277</v>
      </c>
      <c r="B4865">
        <v>48</v>
      </c>
      <c r="C4865" s="1">
        <f>5.06578221501256*(10.3/7.3)</f>
        <v>7.1476105225519637</v>
      </c>
      <c r="D4865" s="1">
        <f>8.95394779042236*(10.3/7.3)</f>
        <v>12.63365236182881</v>
      </c>
      <c r="E4865" s="1">
        <f>31.0941626653188*(10.3/7.3)</f>
        <v>43.872585678463537</v>
      </c>
      <c r="F4865" s="1">
        <f>69.6767557255741*(38.9/42.5)</f>
        <v>63.774724652348958</v>
      </c>
      <c r="G4865" s="1">
        <v>3.0688141387222445</v>
      </c>
      <c r="H4865" s="1">
        <v>6.3166212670197872</v>
      </c>
      <c r="I4865" s="1">
        <v>48.275301308980808</v>
      </c>
      <c r="J4865" s="1">
        <v>5.5249518521644551E-2</v>
      </c>
      <c r="K4865" s="1">
        <v>3.3490661342665327</v>
      </c>
      <c r="L4865" s="1">
        <v>4.3673985084007327</v>
      </c>
      <c r="M4865" s="1">
        <v>0.31304322884393188</v>
      </c>
      <c r="N4865" s="1">
        <v>3.770639311789703</v>
      </c>
      <c r="O4865" s="1">
        <v>0.24417555555555559</v>
      </c>
      <c r="P4865" s="1">
        <v>0.15832111435686594</v>
      </c>
      <c r="Q4865" s="1">
        <v>4.9044974819761959</v>
      </c>
      <c r="R4865" s="2">
        <f t="shared" si="303"/>
        <v>189.99380741189231</v>
      </c>
      <c r="S4865" s="2">
        <f t="shared" si="302"/>
        <v>3.5626367671450434</v>
      </c>
      <c r="T4865" s="2">
        <f t="shared" si="304"/>
        <v>8.6952566045899236</v>
      </c>
      <c r="U4865" s="2">
        <f t="shared" si="305"/>
        <v>202.25170078362729</v>
      </c>
    </row>
    <row r="4866" spans="1:21" x14ac:dyDescent="0.25">
      <c r="A4866">
        <v>5395285</v>
      </c>
      <c r="B4866">
        <v>55</v>
      </c>
      <c r="C4866" s="1">
        <f>5.71758751112071*(10.3/7.3)</f>
        <v>8.067281008841551</v>
      </c>
      <c r="D4866" s="1">
        <f>9.9649491230255*(10.3/7.3)</f>
        <v>14.060133694131872</v>
      </c>
      <c r="E4866" s="1">
        <f>34.6237062868894*(10.3/7.3)</f>
        <v>48.852626678761773</v>
      </c>
      <c r="F4866" s="1">
        <f>77.4426574607663*(38.9/42.5)</f>
        <v>70.882808828795504</v>
      </c>
      <c r="G4866" s="1">
        <v>3.3992402894296361</v>
      </c>
      <c r="H4866" s="1">
        <v>6.8612079957573524</v>
      </c>
      <c r="I4866" s="1">
        <v>53.810255393330074</v>
      </c>
      <c r="J4866" s="1">
        <v>5.9177879774625589E-2</v>
      </c>
      <c r="K4866" s="1">
        <v>3.5897197281495408</v>
      </c>
      <c r="L4866" s="1">
        <v>4.835805122513781</v>
      </c>
      <c r="M4866" s="1">
        <v>0.33464041626756524</v>
      </c>
      <c r="N4866" s="1">
        <v>2.8946183491626418</v>
      </c>
      <c r="O4866" s="1">
        <v>0.26010569696969693</v>
      </c>
      <c r="P4866" s="1">
        <v>0.16753589561623869</v>
      </c>
      <c r="Q4866" s="1">
        <v>5.4325758050245403</v>
      </c>
      <c r="R4866" s="2">
        <f t="shared" si="303"/>
        <v>211.36612969407227</v>
      </c>
      <c r="S4866" s="2">
        <f t="shared" si="302"/>
        <v>3.8164335035404049</v>
      </c>
      <c r="T4866" s="2">
        <f t="shared" si="304"/>
        <v>8.3251695849136862</v>
      </c>
      <c r="U4866" s="2">
        <f t="shared" si="305"/>
        <v>223.50773278252635</v>
      </c>
    </row>
    <row r="4867" spans="1:21" x14ac:dyDescent="0.25">
      <c r="A4867">
        <v>5395293</v>
      </c>
      <c r="B4867">
        <v>55</v>
      </c>
      <c r="C4867" s="1">
        <f>5.78587645180752*(10.3/7.3)</f>
        <v>8.1636338977558207</v>
      </c>
      <c r="D4867" s="1">
        <f>9.95299081356668*(10.3/7.3)</f>
        <v>14.04326101092285</v>
      </c>
      <c r="E4867" s="1">
        <f>34.6006966685079*(10.3/7.3)</f>
        <v>48.820161052826279</v>
      </c>
      <c r="F4867" s="1">
        <f>77.2072948637867*(38.9/42.5)</f>
        <v>70.667382828265971</v>
      </c>
      <c r="G4867" s="1">
        <v>3.3759865494800243</v>
      </c>
      <c r="H4867" s="1">
        <v>6.7923772698381217</v>
      </c>
      <c r="I4867" s="1">
        <v>53.782489192482956</v>
      </c>
      <c r="J4867" s="1">
        <v>5.7538614439473328E-2</v>
      </c>
      <c r="K4867" s="1">
        <v>3.5343124344954648</v>
      </c>
      <c r="L4867" s="1">
        <v>4.7674166413335346</v>
      </c>
      <c r="M4867" s="1">
        <v>0.3241604600145721</v>
      </c>
      <c r="N4867" s="1">
        <v>2.7482364464382343</v>
      </c>
      <c r="O4867" s="1">
        <v>0.25331393939393937</v>
      </c>
      <c r="P4867" s="1">
        <v>0.16429326501803393</v>
      </c>
      <c r="Q4867" s="1">
        <v>5.3954122936895423</v>
      </c>
      <c r="R4867" s="2">
        <f t="shared" si="303"/>
        <v>211.04070409526153</v>
      </c>
      <c r="S4867" s="2">
        <f t="shared" si="302"/>
        <v>3.756144313952972</v>
      </c>
      <c r="T4867" s="2">
        <f t="shared" si="304"/>
        <v>8.093127487180281</v>
      </c>
      <c r="U4867" s="2">
        <f t="shared" si="305"/>
        <v>222.88997589639479</v>
      </c>
    </row>
    <row r="4868" spans="1:21" x14ac:dyDescent="0.25">
      <c r="A4868">
        <v>5395301</v>
      </c>
      <c r="B4868">
        <v>55</v>
      </c>
      <c r="C4868" s="1">
        <f>4.38833567689917*(10.3/7.3)</f>
        <v>6.1917612975426639</v>
      </c>
      <c r="D4868" s="1">
        <f>7.47256110762672*(10.3/7.3)</f>
        <v>10.543476631308932</v>
      </c>
      <c r="E4868" s="1">
        <f>25.9935935164954*(10.3/7.3)</f>
        <v>36.675892221904455</v>
      </c>
      <c r="F4868" s="1">
        <f>57.6424160752339*(38.9/42.5)</f>
        <v>52.759764360625837</v>
      </c>
      <c r="G4868" s="1">
        <v>2.5027227784192405</v>
      </c>
      <c r="H4868" s="1">
        <v>5.7133166970421874</v>
      </c>
      <c r="I4868" s="1">
        <v>40.184609026733838</v>
      </c>
      <c r="J4868" s="1">
        <v>4.5705476397979616E-2</v>
      </c>
      <c r="K4868" s="1">
        <v>2.9662663494041603</v>
      </c>
      <c r="L4868" s="1">
        <v>3.7243539069031506</v>
      </c>
      <c r="M4868" s="1">
        <v>0.26004455478141925</v>
      </c>
      <c r="N4868" s="1">
        <v>2.2623965055282333</v>
      </c>
      <c r="O4868" s="1">
        <v>0.20898133333333335</v>
      </c>
      <c r="P4868" s="1">
        <v>0.1410117524853039</v>
      </c>
      <c r="Q4868" s="1">
        <v>3.9997852623138606</v>
      </c>
      <c r="R4868" s="2">
        <f t="shared" si="303"/>
        <v>158.57132827589101</v>
      </c>
      <c r="S4868" s="2">
        <f t="shared" si="302"/>
        <v>3.152983578287444</v>
      </c>
      <c r="T4868" s="2">
        <f t="shared" si="304"/>
        <v>6.4557763005461366</v>
      </c>
      <c r="U4868" s="2">
        <f t="shared" si="305"/>
        <v>168.18008815472459</v>
      </c>
    </row>
    <row r="4869" spans="1:21" x14ac:dyDescent="0.25">
      <c r="A4869">
        <v>5395309</v>
      </c>
      <c r="B4869">
        <v>55</v>
      </c>
      <c r="C4869" s="1">
        <f>5.1603193401056*(10.3/7.3)</f>
        <v>7.2809985209709103</v>
      </c>
      <c r="D4869" s="1">
        <f>8.67011975509517*(10.3/7.3)</f>
        <v>12.233182668147975</v>
      </c>
      <c r="E4869" s="1">
        <f>30.1728678975474*(10.3/7.3)</f>
        <v>42.572676622566931</v>
      </c>
      <c r="F4869" s="1">
        <f>66.9162788020635*(38.9/42.5)</f>
        <v>61.248076362359328</v>
      </c>
      <c r="G4869" s="1">
        <v>2.9005724198054805</v>
      </c>
      <c r="H4869" s="1">
        <v>6.2334864332037796</v>
      </c>
      <c r="I4869" s="1">
        <v>46.808338141406182</v>
      </c>
      <c r="J4869" s="1">
        <v>5.1317614836435856E-2</v>
      </c>
      <c r="K4869" s="1">
        <v>3.2057450221758397</v>
      </c>
      <c r="L4869" s="1">
        <v>4.1996076492938963</v>
      </c>
      <c r="M4869" s="1">
        <v>0.28105148500405835</v>
      </c>
      <c r="N4869" s="1">
        <v>2.3656617607187713</v>
      </c>
      <c r="O4869" s="1">
        <v>0.22519660606060607</v>
      </c>
      <c r="P4869" s="1">
        <v>0.14975220608601847</v>
      </c>
      <c r="Q4869" s="1">
        <v>4.6356180225201777</v>
      </c>
      <c r="R4869" s="2">
        <f t="shared" si="303"/>
        <v>183.91294919098078</v>
      </c>
      <c r="S4869" s="2">
        <f t="shared" si="302"/>
        <v>3.4068148430982941</v>
      </c>
      <c r="T4869" s="2">
        <f t="shared" si="304"/>
        <v>7.0715175010773317</v>
      </c>
      <c r="U4869" s="2">
        <f t="shared" si="305"/>
        <v>194.39128153515639</v>
      </c>
    </row>
    <row r="4870" spans="1:21" x14ac:dyDescent="0.25">
      <c r="A4870">
        <v>5395317</v>
      </c>
      <c r="B4870">
        <v>55</v>
      </c>
      <c r="C4870" s="1">
        <f>5.60432780461575*(10.3/7.3)</f>
        <v>7.9074762174715314</v>
      </c>
      <c r="D4870" s="1">
        <f>9.37409075600903*(10.3/7.3)</f>
        <v>13.226456820122332</v>
      </c>
      <c r="E4870" s="1">
        <f>32.6291960018186*(10.3/7.3)</f>
        <v>46.038454632702908</v>
      </c>
      <c r="F4870" s="1">
        <f>72.2891347049565*(38.9/42.5)</f>
        <v>66.165819765242546</v>
      </c>
      <c r="G4870" s="1">
        <v>3.1285839236067137</v>
      </c>
      <c r="H4870" s="1">
        <v>6.4325275474635646</v>
      </c>
      <c r="I4870" s="1">
        <v>50.609459438374316</v>
      </c>
      <c r="J4870" s="1">
        <v>5.498914332381806E-2</v>
      </c>
      <c r="K4870" s="1">
        <v>3.26946139143184</v>
      </c>
      <c r="L4870" s="1">
        <v>4.3658996904998517</v>
      </c>
      <c r="M4870" s="1">
        <v>0.28374398125462846</v>
      </c>
      <c r="N4870" s="1">
        <v>2.5049027010285423</v>
      </c>
      <c r="O4870" s="1">
        <v>0.22893284848484852</v>
      </c>
      <c r="P4870" s="1">
        <v>0.15086798482831698</v>
      </c>
      <c r="Q4870" s="1">
        <v>5.0000199692344784</v>
      </c>
      <c r="R4870" s="2">
        <f t="shared" si="303"/>
        <v>198.50879831421838</v>
      </c>
      <c r="S4870" s="2">
        <f t="shared" si="302"/>
        <v>3.4753185195839751</v>
      </c>
      <c r="T4870" s="2">
        <f t="shared" si="304"/>
        <v>7.383479221267871</v>
      </c>
      <c r="U4870" s="2">
        <f t="shared" si="305"/>
        <v>209.36759605507021</v>
      </c>
    </row>
    <row r="4871" spans="1:21" x14ac:dyDescent="0.25">
      <c r="A4871">
        <v>5395325</v>
      </c>
      <c r="B4871">
        <v>55</v>
      </c>
      <c r="C4871" s="1">
        <f>6.04940079450033*(10.3/7.3)</f>
        <v>8.5354559155278675</v>
      </c>
      <c r="D4871" s="1">
        <f>10.1347620364275*(10.3/7.3)</f>
        <v>14.299732736329162</v>
      </c>
      <c r="E4871" s="1">
        <f>35.2496265872048*(10.3/7.3)</f>
        <v>49.735774499754712</v>
      </c>
      <c r="F4871" s="1">
        <f>79.3809638405759*(38.9/42.5)</f>
        <v>72.656929256432974</v>
      </c>
      <c r="G4871" s="1">
        <v>3.4887242702592274</v>
      </c>
      <c r="H4871" s="1">
        <v>7.8300905476497418</v>
      </c>
      <c r="I4871" s="1">
        <v>55.801306916785464</v>
      </c>
      <c r="J4871" s="1">
        <v>5.8196388171001388E-2</v>
      </c>
      <c r="K4871" s="1">
        <v>3.3844902884545371</v>
      </c>
      <c r="L4871" s="1">
        <v>4.5769350842610974</v>
      </c>
      <c r="M4871" s="1">
        <v>0.28782190530986257</v>
      </c>
      <c r="N4871" s="1">
        <v>2.7641603977311782</v>
      </c>
      <c r="O4871" s="1">
        <v>0.23426327272727268</v>
      </c>
      <c r="P4871" s="1">
        <v>0.15469381669581173</v>
      </c>
      <c r="Q4871" s="1">
        <v>5.5755867332910087</v>
      </c>
      <c r="R4871" s="2">
        <f t="shared" si="303"/>
        <v>217.92360087603021</v>
      </c>
      <c r="S4871" s="2">
        <f t="shared" si="302"/>
        <v>3.5973804933213502</v>
      </c>
      <c r="T4871" s="2">
        <f t="shared" si="304"/>
        <v>7.8631806600294114</v>
      </c>
      <c r="U4871" s="2">
        <f t="shared" si="305"/>
        <v>229.38416202938095</v>
      </c>
    </row>
    <row r="4872" spans="1:21" x14ac:dyDescent="0.25">
      <c r="A4872">
        <v>5395333</v>
      </c>
      <c r="B4872">
        <v>36</v>
      </c>
      <c r="C4872" s="1">
        <f>5.85721292828851*(10.3/7.3)</f>
        <v>8.2642867344344744</v>
      </c>
      <c r="D4872" s="1">
        <f>9.70568821839*(10.3/7.3)</f>
        <v>13.694327212248904</v>
      </c>
      <c r="E4872" s="1">
        <f>33.8060289700219*(10.3/7.3)</f>
        <v>47.698917587839148</v>
      </c>
      <c r="F4872" s="1">
        <f>74.299993477962*(38.9/42.5)</f>
        <v>68.006346971593473</v>
      </c>
      <c r="G4872" s="1">
        <v>3.1872558319732418</v>
      </c>
      <c r="H4872" s="1">
        <v>9.8260730227902435</v>
      </c>
      <c r="I4872" s="1">
        <v>52.026871940492931</v>
      </c>
      <c r="J4872" s="1">
        <v>5.5781628059476826E-2</v>
      </c>
      <c r="K4872" s="1">
        <v>3.2290953854206652</v>
      </c>
      <c r="L4872" s="1">
        <v>4.2937509706739307</v>
      </c>
      <c r="M4872" s="1">
        <v>0.26880133095025038</v>
      </c>
      <c r="N4872" s="1">
        <v>2.4547113330300863</v>
      </c>
      <c r="O4872" s="1">
        <v>0.22099407407407412</v>
      </c>
      <c r="P4872" s="1">
        <v>0.14715339069517627</v>
      </c>
      <c r="Q4872" s="1">
        <v>5.0937878593179713</v>
      </c>
      <c r="R4872" s="2">
        <f t="shared" si="303"/>
        <v>207.79786716069037</v>
      </c>
      <c r="S4872" s="2">
        <f t="shared" si="302"/>
        <v>3.4320304041753182</v>
      </c>
      <c r="T4872" s="2">
        <f t="shared" si="304"/>
        <v>7.2382577087283408</v>
      </c>
      <c r="U4872" s="2">
        <f t="shared" si="305"/>
        <v>218.46815527359405</v>
      </c>
    </row>
    <row r="4873" spans="1:21" x14ac:dyDescent="0.25">
      <c r="A4873">
        <v>5395341</v>
      </c>
      <c r="B4873">
        <v>18</v>
      </c>
      <c r="C4873" s="1">
        <f>7.28121677407913*(10.3/7.3)</f>
        <v>10.273497640139052</v>
      </c>
      <c r="D4873" s="1">
        <f>11.7304262137183*(10.3/7.3)</f>
        <v>16.551149315246398</v>
      </c>
      <c r="E4873" s="1">
        <f>40.9023558308418*(10.3/7.3)</f>
        <v>57.711543158585037</v>
      </c>
      <c r="F4873" s="1">
        <f>89.7043972202919*(38.9/42.5)</f>
        <v>82.105907102808345</v>
      </c>
      <c r="G4873" s="1">
        <v>3.8253030813736819</v>
      </c>
      <c r="H4873" s="1">
        <v>8.1274952005272283</v>
      </c>
      <c r="I4873" s="1">
        <v>63.238836386319157</v>
      </c>
      <c r="J4873" s="1">
        <v>6.6691376386369391E-2</v>
      </c>
      <c r="K4873" s="1">
        <v>3.3402808498510979</v>
      </c>
      <c r="L4873" s="1">
        <v>4.5349381597781724</v>
      </c>
      <c r="M4873" s="1">
        <v>0.27473013490758702</v>
      </c>
      <c r="N4873" s="1">
        <v>2.5834107821586372</v>
      </c>
      <c r="O4873" s="1">
        <v>0.22666962962962967</v>
      </c>
      <c r="P4873" s="1">
        <v>0.1501975261378149</v>
      </c>
      <c r="Q4873" s="1">
        <v>6.1134980752547499</v>
      </c>
      <c r="R4873" s="2">
        <f t="shared" si="303"/>
        <v>247.94722996025362</v>
      </c>
      <c r="S4873" s="2">
        <f t="shared" ref="S4873:S4936" si="306">J4873+K4873+P4873</f>
        <v>3.5571697523752821</v>
      </c>
      <c r="T4873" s="2">
        <f t="shared" si="304"/>
        <v>7.6197487064740264</v>
      </c>
      <c r="U4873" s="2">
        <f t="shared" si="305"/>
        <v>259.12414841910294</v>
      </c>
    </row>
    <row r="4874" spans="1:21" x14ac:dyDescent="0.25">
      <c r="A4874">
        <v>5395349</v>
      </c>
      <c r="B4874">
        <v>27</v>
      </c>
      <c r="C4874" s="1">
        <f>5.87141129362219*(10.3/7.3)</f>
        <v>8.2843200444258294</v>
      </c>
      <c r="D4874" s="1">
        <f>9.42111106006605*(10.3/7.3)</f>
        <v>13.292800536805528</v>
      </c>
      <c r="E4874" s="1">
        <f>32.8412343819033*(10.3/7.3)</f>
        <v>46.337632073096465</v>
      </c>
      <c r="F4874" s="1">
        <f>72.7119214186419*(38.9/42.5)</f>
        <v>66.552793957298121</v>
      </c>
      <c r="G4874" s="1">
        <v>3.1274090981916607</v>
      </c>
      <c r="H4874" s="1">
        <v>7.0800824205058195</v>
      </c>
      <c r="I4874" s="1">
        <v>51.443473862775733</v>
      </c>
      <c r="J4874" s="1">
        <v>6.5169637794475113E-2</v>
      </c>
      <c r="K4874" s="1">
        <v>3.0272425630369302</v>
      </c>
      <c r="L4874" s="1">
        <v>3.9262316877033507</v>
      </c>
      <c r="M4874" s="1">
        <v>0.23814561994259645</v>
      </c>
      <c r="N4874" s="1">
        <v>2.4102366024942663</v>
      </c>
      <c r="O4874" s="1">
        <v>0.20043456790123459</v>
      </c>
      <c r="P4874" s="1">
        <v>0.13561535252848017</v>
      </c>
      <c r="Q4874" s="1">
        <v>4.9981423943702401</v>
      </c>
      <c r="R4874" s="2">
        <f t="shared" ref="R4874:R4937" si="307">C4874+D4874+E4874+F4874+G4874+H4874+I4874+Q4874</f>
        <v>201.1166543874694</v>
      </c>
      <c r="S4874" s="2">
        <f t="shared" si="306"/>
        <v>3.2280275533598854</v>
      </c>
      <c r="T4874" s="2">
        <f t="shared" ref="T4874:T4937" si="308">L4874+M4874+N4874+O4874</f>
        <v>6.7750484780414482</v>
      </c>
      <c r="U4874" s="2">
        <f t="shared" ref="U4874:U4937" si="309">R4874+S4874+T4874</f>
        <v>211.11973041887072</v>
      </c>
    </row>
    <row r="4875" spans="1:21" x14ac:dyDescent="0.25">
      <c r="A4875">
        <v>5395381</v>
      </c>
      <c r="B4875">
        <v>23</v>
      </c>
      <c r="C4875" s="1">
        <f>4.90151751030578*(10.3/7.3)</f>
        <v>6.9158397748150042</v>
      </c>
      <c r="D4875" s="1">
        <f>7.7913684834956*(10.3/7.3)</f>
        <v>10.993300736986937</v>
      </c>
      <c r="E4875" s="1">
        <f>27.0710228486688*(10.3/7.3)</f>
        <v>38.196100731683423</v>
      </c>
      <c r="F4875" s="1">
        <f>64.9113640627383*(38.9/42.5)</f>
        <v>59.412989695071083</v>
      </c>
      <c r="G4875" s="1">
        <v>2.992875755449504</v>
      </c>
      <c r="H4875" s="1">
        <v>9.2744364547162519</v>
      </c>
      <c r="I4875" s="1">
        <v>46.957416490096669</v>
      </c>
      <c r="J4875" s="1">
        <v>3.8442319117679147E-2</v>
      </c>
      <c r="K4875" s="1">
        <v>2.3311110099473553</v>
      </c>
      <c r="L4875" s="1">
        <v>3.3487475573398293</v>
      </c>
      <c r="M4875" s="1">
        <v>0.17529243761252539</v>
      </c>
      <c r="N4875" s="1">
        <v>1.7281931248670801</v>
      </c>
      <c r="O4875" s="1">
        <v>0.14549333333333336</v>
      </c>
      <c r="P4875" s="1">
        <v>0.10570714266308577</v>
      </c>
      <c r="Q4875" s="1">
        <v>4.7831347689832322</v>
      </c>
      <c r="R4875" s="2">
        <f t="shared" si="307"/>
        <v>179.52609440780213</v>
      </c>
      <c r="S4875" s="2">
        <f t="shared" si="306"/>
        <v>2.4752604717281201</v>
      </c>
      <c r="T4875" s="2">
        <f t="shared" si="308"/>
        <v>5.3977264531527682</v>
      </c>
      <c r="U4875" s="2">
        <f t="shared" si="309"/>
        <v>187.39908133268301</v>
      </c>
    </row>
    <row r="4876" spans="1:21" x14ac:dyDescent="0.25">
      <c r="A4876">
        <v>5395389</v>
      </c>
      <c r="B4876">
        <v>3</v>
      </c>
      <c r="C4876" s="1">
        <f>4.11063697366507*(10.3/7.3)</f>
        <v>5.7999398395548285</v>
      </c>
      <c r="D4876" s="1">
        <f>6.27332692703716*(10.3/7.3)</f>
        <v>8.8514064860935253</v>
      </c>
      <c r="E4876" s="1">
        <f>21.7702836526613*(10.3/7.3)</f>
        <v>30.716975564713884</v>
      </c>
      <c r="F4876" s="1">
        <f>55.1916009602499*(38.9/42.5)</f>
        <v>50.516547702440462</v>
      </c>
      <c r="G4876" s="1">
        <v>2.6462508959158426</v>
      </c>
      <c r="H4876" s="1">
        <v>8.7548978195613145</v>
      </c>
      <c r="I4876" s="1">
        <v>40.811666045155881</v>
      </c>
      <c r="J4876" s="1">
        <v>3.49017653043735E-2</v>
      </c>
      <c r="K4876" s="1">
        <v>2.1615608621161928</v>
      </c>
      <c r="L4876" s="1">
        <v>2.7007185794572481</v>
      </c>
      <c r="M4876" s="1">
        <v>0.15866393198282683</v>
      </c>
      <c r="N4876" s="1">
        <v>1.6092745217795512</v>
      </c>
      <c r="O4876" s="1">
        <v>0.13189333333333333</v>
      </c>
      <c r="P4876" s="1">
        <v>9.8442423629416298E-2</v>
      </c>
      <c r="Q4876" s="1">
        <v>4.2291680984956423</v>
      </c>
      <c r="R4876" s="2">
        <f t="shared" si="307"/>
        <v>152.32685245193139</v>
      </c>
      <c r="S4876" s="2">
        <f t="shared" si="306"/>
        <v>2.2949050510499829</v>
      </c>
      <c r="T4876" s="2">
        <f t="shared" si="308"/>
        <v>4.6005503665529597</v>
      </c>
      <c r="U4876" s="2">
        <f t="shared" si="309"/>
        <v>159.22230786953435</v>
      </c>
    </row>
    <row r="4877" spans="1:21" x14ac:dyDescent="0.25">
      <c r="A4877">
        <v>5395469</v>
      </c>
      <c r="B4877">
        <v>40</v>
      </c>
      <c r="C4877" s="1">
        <f>12.1731916360002*(10.3/7.3)</f>
        <v>17.175873130246821</v>
      </c>
      <c r="D4877" s="1">
        <f>12.8050408323496*(10.3/7.3)</f>
        <v>18.067386379890465</v>
      </c>
      <c r="E4877" s="1">
        <f>45.3767427642339*(10.3/7.3)</f>
        <v>64.024719242686245</v>
      </c>
      <c r="F4877" s="1">
        <f>105.182084787994*(38.9/42.5)</f>
        <v>96.272543488305544</v>
      </c>
      <c r="G4877" s="1">
        <v>4.4101171379418123</v>
      </c>
      <c r="H4877" s="1">
        <v>10.857741642304269</v>
      </c>
      <c r="I4877" s="1">
        <v>84.881365724749202</v>
      </c>
      <c r="J4877" s="1">
        <v>4.2635711352530185E-2</v>
      </c>
      <c r="K4877" s="1">
        <v>2.5446846521390976</v>
      </c>
      <c r="L4877" s="1">
        <v>3.071260128076585</v>
      </c>
      <c r="M4877" s="1">
        <v>0.16111335755355294</v>
      </c>
      <c r="N4877" s="1">
        <v>1.8778502917828999</v>
      </c>
      <c r="O4877" s="1">
        <v>0.14497733333333329</v>
      </c>
      <c r="P4877" s="1">
        <v>0.10361812671395901</v>
      </c>
      <c r="Q4877" s="1">
        <v>7.0481324122357805</v>
      </c>
      <c r="R4877" s="2">
        <f t="shared" si="307"/>
        <v>302.7378791583601</v>
      </c>
      <c r="S4877" s="2">
        <f t="shared" si="306"/>
        <v>2.6909384902055864</v>
      </c>
      <c r="T4877" s="2">
        <f t="shared" si="308"/>
        <v>5.2552011107463708</v>
      </c>
      <c r="U4877" s="2">
        <f t="shared" si="309"/>
        <v>310.6840187593121</v>
      </c>
    </row>
    <row r="4878" spans="1:21" x14ac:dyDescent="0.25">
      <c r="A4878">
        <v>5395477</v>
      </c>
      <c r="B4878">
        <v>3</v>
      </c>
      <c r="C4878" s="1">
        <f>12.5581406672366*(10.3/7.3)</f>
        <v>17.719020393498202</v>
      </c>
      <c r="D4878" s="1">
        <f>12.3480768933749*(10.3/7.3)</f>
        <v>17.422629041337242</v>
      </c>
      <c r="E4878" s="1">
        <f>44.0157177891585*(10.3/7.3)</f>
        <v>62.104368935388052</v>
      </c>
      <c r="F4878" s="1">
        <f>97.1535378604162*(38.9/42.5)</f>
        <v>88.924061712239734</v>
      </c>
      <c r="G4878" s="1">
        <v>3.8096857066219152</v>
      </c>
      <c r="H4878" s="1">
        <v>9.5308466862905643</v>
      </c>
      <c r="I4878" s="1">
        <v>79.796685147944302</v>
      </c>
      <c r="J4878" s="1">
        <v>3.7651361339050997E-2</v>
      </c>
      <c r="K4878" s="1">
        <v>2.3258546812594418</v>
      </c>
      <c r="L4878" s="1">
        <v>2.715607575935747</v>
      </c>
      <c r="M4878" s="1">
        <v>0.14674202598209282</v>
      </c>
      <c r="N4878" s="1">
        <v>1.6966042242188937</v>
      </c>
      <c r="O4878" s="1">
        <v>0.13210666666666665</v>
      </c>
      <c r="P4878" s="1">
        <v>9.6555487602033876E-2</v>
      </c>
      <c r="Q4878" s="1">
        <v>6.0885388005373144</v>
      </c>
      <c r="R4878" s="2">
        <f t="shared" si="307"/>
        <v>285.39583642385736</v>
      </c>
      <c r="S4878" s="2">
        <f t="shared" si="306"/>
        <v>2.4600615302005266</v>
      </c>
      <c r="T4878" s="2">
        <f t="shared" si="308"/>
        <v>4.6910604928034001</v>
      </c>
      <c r="U4878" s="2">
        <f t="shared" si="309"/>
        <v>292.54695844686125</v>
      </c>
    </row>
    <row r="4879" spans="1:21" x14ac:dyDescent="0.25">
      <c r="A4879">
        <v>5395493</v>
      </c>
      <c r="B4879">
        <v>2</v>
      </c>
      <c r="C4879" s="1">
        <f>8.6907272235681*(10.3/7.3)</f>
        <v>12.262258959281024</v>
      </c>
      <c r="D4879" s="1">
        <f>9.94267874626136*(10.3/7.3)</f>
        <v>14.028711107738628</v>
      </c>
      <c r="E4879" s="1">
        <f>35.0137475853595*(10.3/7.3)</f>
        <v>49.402958921808668</v>
      </c>
      <c r="F4879" s="1">
        <f>84.6605467400114*(38.9/42.5)</f>
        <v>77.489300427916319</v>
      </c>
      <c r="G4879" s="1">
        <v>3.7515676135571332</v>
      </c>
      <c r="H4879" s="1">
        <v>8.4111513519049232</v>
      </c>
      <c r="I4879" s="1">
        <v>66.931154762647949</v>
      </c>
      <c r="J4879" s="1">
        <v>4.085356577449846E-2</v>
      </c>
      <c r="K4879" s="1">
        <v>2.390771458242182</v>
      </c>
      <c r="L4879" s="1">
        <v>2.8163780156150384</v>
      </c>
      <c r="M4879" s="1">
        <v>0.14647690105744371</v>
      </c>
      <c r="N4879" s="1">
        <v>1.8022991699221176</v>
      </c>
      <c r="O4879" s="1">
        <v>0.13370666666666667</v>
      </c>
      <c r="P4879" s="1">
        <v>9.8215220664480518E-2</v>
      </c>
      <c r="Q4879" s="1">
        <v>5.9956560034018178</v>
      </c>
      <c r="R4879" s="2">
        <f t="shared" si="307"/>
        <v>238.27275914825648</v>
      </c>
      <c r="S4879" s="2">
        <f t="shared" si="306"/>
        <v>2.5298402446811612</v>
      </c>
      <c r="T4879" s="2">
        <f t="shared" si="308"/>
        <v>4.8988607532612667</v>
      </c>
      <c r="U4879" s="2">
        <f t="shared" si="309"/>
        <v>245.70146014619891</v>
      </c>
    </row>
    <row r="4880" spans="1:21" x14ac:dyDescent="0.25">
      <c r="A4880">
        <v>5395501</v>
      </c>
      <c r="B4880">
        <v>10</v>
      </c>
      <c r="C4880" s="1">
        <f>8.52145320569384*(10.3/7.3)</f>
        <v>12.023420276526926</v>
      </c>
      <c r="D4880" s="1">
        <f>9.90632305299593*(10.3/7.3)</f>
        <v>13.977414718610696</v>
      </c>
      <c r="E4880" s="1">
        <f>34.9552414394487*(10.3/7.3)</f>
        <v>49.320409154290665</v>
      </c>
      <c r="F4880" s="1">
        <f>79.5974151979022*(38.9/42.5)</f>
        <v>72.855045910550444</v>
      </c>
      <c r="G4880" s="1">
        <v>3.3419155286561995</v>
      </c>
      <c r="H4880" s="1">
        <v>6.5740672167784053</v>
      </c>
      <c r="I4880" s="1">
        <v>62.093402266301496</v>
      </c>
      <c r="J4880" s="1">
        <v>4.2836839210622334E-2</v>
      </c>
      <c r="K4880" s="1">
        <v>2.5088368576799307</v>
      </c>
      <c r="L4880" s="1">
        <v>2.9912564511449382</v>
      </c>
      <c r="M4880" s="1">
        <v>0.15246099996489229</v>
      </c>
      <c r="N4880" s="1">
        <v>1.9030571053840351</v>
      </c>
      <c r="O4880" s="1">
        <v>0.13792533333333332</v>
      </c>
      <c r="P4880" s="1">
        <v>0.10189764160040986</v>
      </c>
      <c r="Q4880" s="1">
        <v>5.3409608905464427</v>
      </c>
      <c r="R4880" s="2">
        <f t="shared" si="307"/>
        <v>225.52663596226128</v>
      </c>
      <c r="S4880" s="2">
        <f t="shared" si="306"/>
        <v>2.6535713384909627</v>
      </c>
      <c r="T4880" s="2">
        <f t="shared" si="308"/>
        <v>5.1846998898271988</v>
      </c>
      <c r="U4880" s="2">
        <f t="shared" si="309"/>
        <v>233.36490719057943</v>
      </c>
    </row>
    <row r="4881" spans="1:21" x14ac:dyDescent="0.25">
      <c r="A4881">
        <v>5395509</v>
      </c>
      <c r="B4881">
        <v>1</v>
      </c>
      <c r="C4881" s="1">
        <f>10.252031106079*(10.3/7.3)</f>
        <v>14.465194574330592</v>
      </c>
      <c r="D4881" s="1">
        <f>12.2041975681639*(10.3/7.3)</f>
        <v>17.219621226313421</v>
      </c>
      <c r="E4881" s="1">
        <f>43.0286987845097*(10.3/7.3)</f>
        <v>60.711725682253459</v>
      </c>
      <c r="F4881" s="1">
        <f>97.2702644145311*(38.9/42.5)</f>
        <v>89.030900840594327</v>
      </c>
      <c r="G4881" s="1">
        <v>4.0718430125695182</v>
      </c>
      <c r="H4881" s="1">
        <v>7.3866301209420637</v>
      </c>
      <c r="I4881" s="1">
        <v>75.241599325585426</v>
      </c>
      <c r="J4881" s="1">
        <v>5.2284756696444751E-2</v>
      </c>
      <c r="K4881" s="1">
        <v>2.8927696819639426</v>
      </c>
      <c r="L4881" s="1">
        <v>3.5651461671377378</v>
      </c>
      <c r="M4881" s="1">
        <v>0.17418507738532152</v>
      </c>
      <c r="N4881" s="1">
        <v>2.1967138691274588</v>
      </c>
      <c r="O4881" s="1">
        <v>0.15791999999999998</v>
      </c>
      <c r="P4881" s="1">
        <v>0.11424458238558464</v>
      </c>
      <c r="Q4881" s="1">
        <v>6.5075116639238946</v>
      </c>
      <c r="R4881" s="2">
        <f t="shared" si="307"/>
        <v>274.63502644651271</v>
      </c>
      <c r="S4881" s="2">
        <f t="shared" si="306"/>
        <v>3.0592990210459718</v>
      </c>
      <c r="T4881" s="2">
        <f t="shared" si="308"/>
        <v>6.0939651136505182</v>
      </c>
      <c r="U4881" s="2">
        <f t="shared" si="309"/>
        <v>283.7882905812092</v>
      </c>
    </row>
    <row r="4882" spans="1:21" x14ac:dyDescent="0.25">
      <c r="A4882">
        <v>5395725</v>
      </c>
      <c r="B4882">
        <v>18</v>
      </c>
      <c r="C4882" s="1">
        <f>4.83572720787707*(10.3/7.3)</f>
        <v>6.8230123617991518</v>
      </c>
      <c r="D4882" s="1">
        <f>6.92198114463504*(10.3/7.3)</f>
        <v>9.7666309301014884</v>
      </c>
      <c r="E4882" s="1">
        <f>23.9845001392756*(10.3/7.3)</f>
        <v>33.841144032128526</v>
      </c>
      <c r="F4882" s="1">
        <f>65.7018253888959*(38.9/42.5)</f>
        <v>60.136494297130611</v>
      </c>
      <c r="G4882" s="1">
        <v>3.3051014422184459</v>
      </c>
      <c r="H4882" s="1">
        <v>9.7204484295798643</v>
      </c>
      <c r="I4882" s="1">
        <v>50.02730596650062</v>
      </c>
      <c r="J4882" s="1">
        <v>3.5653283836485278E-2</v>
      </c>
      <c r="K4882" s="1">
        <v>2.1253123700619665</v>
      </c>
      <c r="L4882" s="1">
        <v>2.1344148485404588</v>
      </c>
      <c r="M4882" s="1">
        <v>0.10032335800666171</v>
      </c>
      <c r="N4882" s="1">
        <v>1.3859834312281014</v>
      </c>
      <c r="O4882" s="1">
        <v>0.10010370370370368</v>
      </c>
      <c r="P4882" s="1">
        <v>7.713139492300379E-2</v>
      </c>
      <c r="Q4882" s="1">
        <v>5.2821255925865636</v>
      </c>
      <c r="R4882" s="2">
        <f t="shared" si="307"/>
        <v>178.90226305204527</v>
      </c>
      <c r="S4882" s="2">
        <f t="shared" si="306"/>
        <v>2.2380970488214555</v>
      </c>
      <c r="T4882" s="2">
        <f t="shared" si="308"/>
        <v>3.7208253414789252</v>
      </c>
      <c r="U4882" s="2">
        <f t="shared" si="309"/>
        <v>184.86118544234566</v>
      </c>
    </row>
    <row r="4883" spans="1:21" x14ac:dyDescent="0.25">
      <c r="A4883">
        <v>5395741</v>
      </c>
      <c r="B4883">
        <v>42</v>
      </c>
      <c r="C4883" s="1">
        <f>2.64111090319831*(10.3/7.3)</f>
        <v>3.7264989456085722</v>
      </c>
      <c r="D4883" s="1">
        <f>3.62111412279829*(10.3/7.3)</f>
        <v>5.1092432143592275</v>
      </c>
      <c r="E4883" s="1">
        <f>12.6135324616478*(10.3/7.3)</f>
        <v>17.797175939037345</v>
      </c>
      <c r="F4883" s="1">
        <f>32.2702785955332*(38.9/42.5)</f>
        <v>29.536796173323289</v>
      </c>
      <c r="G4883" s="1">
        <v>1.538175165504883</v>
      </c>
      <c r="H4883" s="1">
        <v>4.7013047896040696</v>
      </c>
      <c r="I4883" s="1">
        <v>24.520149007804683</v>
      </c>
      <c r="J4883" s="1">
        <v>2.3795482555837074E-2</v>
      </c>
      <c r="K4883" s="1">
        <v>1.6353368730759026</v>
      </c>
      <c r="L4883" s="1">
        <v>1.5544763339250411</v>
      </c>
      <c r="M4883" s="1">
        <v>7.8484509900684368E-2</v>
      </c>
      <c r="N4883" s="1">
        <v>1.0006729754087775</v>
      </c>
      <c r="O4883" s="1">
        <v>7.6187936507936482E-2</v>
      </c>
      <c r="P4883" s="1">
        <v>6.2067600554828573E-2</v>
      </c>
      <c r="Q4883" s="1">
        <v>2.4582708124507286</v>
      </c>
      <c r="R4883" s="2">
        <f t="shared" si="307"/>
        <v>89.387614047692807</v>
      </c>
      <c r="S4883" s="2">
        <f t="shared" si="306"/>
        <v>1.7211999561865683</v>
      </c>
      <c r="T4883" s="2">
        <f t="shared" si="308"/>
        <v>2.7098217557424396</v>
      </c>
      <c r="U4883" s="2">
        <f t="shared" si="309"/>
        <v>93.818635759621813</v>
      </c>
    </row>
    <row r="4884" spans="1:21" x14ac:dyDescent="0.25">
      <c r="A4884">
        <v>5407041</v>
      </c>
      <c r="B4884">
        <v>19</v>
      </c>
      <c r="C4884" s="1">
        <f>0.672190793455871*(10.3/7.3)</f>
        <v>0.94843358528705057</v>
      </c>
      <c r="D4884" s="1">
        <f>0.996403920586432*(10.3/7.3)</f>
        <v>1.40588498384113</v>
      </c>
      <c r="E4884" s="1">
        <f>3.44953694624998*(10.3/7.3)</f>
        <v>4.867154869366412</v>
      </c>
      <c r="F4884" s="1">
        <f>9.36150413058416*(38.9/42.5)</f>
        <v>8.5685296630523293</v>
      </c>
      <c r="G4884" s="1">
        <v>0.46970336927187056</v>
      </c>
      <c r="H4884" s="1">
        <v>1.9008890897864834</v>
      </c>
      <c r="I4884" s="1">
        <v>7.061963659248792</v>
      </c>
      <c r="J4884" s="1">
        <v>4.5848486576285097E-2</v>
      </c>
      <c r="K4884" s="1">
        <v>3.1927419447743279</v>
      </c>
      <c r="L4884" s="1">
        <v>2.0770607115633681</v>
      </c>
      <c r="M4884" s="1">
        <v>0.91579207482346936</v>
      </c>
      <c r="N4884" s="1">
        <v>1.2453127863452027</v>
      </c>
      <c r="O4884" s="1">
        <v>0.37572771929824561</v>
      </c>
      <c r="P4884" s="1">
        <v>0.15072646720627264</v>
      </c>
      <c r="Q4884" s="1">
        <v>0.75066748513769332</v>
      </c>
      <c r="R4884" s="2">
        <f t="shared" si="307"/>
        <v>25.97322670499176</v>
      </c>
      <c r="S4884" s="2">
        <f t="shared" si="306"/>
        <v>3.3893168985568853</v>
      </c>
      <c r="T4884" s="2">
        <f t="shared" si="308"/>
        <v>4.6138932920302853</v>
      </c>
      <c r="U4884" s="2">
        <f t="shared" si="309"/>
        <v>33.976436895578928</v>
      </c>
    </row>
    <row r="4885" spans="1:21" x14ac:dyDescent="0.25">
      <c r="A4885">
        <v>5407049</v>
      </c>
      <c r="B4885">
        <v>48</v>
      </c>
      <c r="C4885" s="1">
        <f>0.704893520510723*(10.3/7.3)</f>
        <v>0.99457578921375933</v>
      </c>
      <c r="D4885" s="1">
        <f>1.05665639894521*(10.3/7.3)</f>
        <v>1.4908987546761185</v>
      </c>
      <c r="E4885" s="1">
        <f>3.65355820993357*(10.3/7.3)</f>
        <v>5.1550204879884607</v>
      </c>
      <c r="F4885" s="1">
        <f>10.0692607199923*(38.9/42.5)</f>
        <v>9.2163351060635339</v>
      </c>
      <c r="G4885" s="1">
        <v>0.51101674513972895</v>
      </c>
      <c r="H4885" s="1">
        <v>2.0219738272169474</v>
      </c>
      <c r="I4885" s="1">
        <v>7.5993844580417047</v>
      </c>
      <c r="J4885" s="1">
        <v>5.5580842015020691E-2</v>
      </c>
      <c r="K4885" s="1">
        <v>3.4568326842798789</v>
      </c>
      <c r="L4885" s="1">
        <v>2.2512835739763077</v>
      </c>
      <c r="M4885" s="1">
        <v>1.0664313372215639</v>
      </c>
      <c r="N4885" s="1">
        <v>1.6010133909841493</v>
      </c>
      <c r="O4885" s="1">
        <v>0.40858555555555554</v>
      </c>
      <c r="P4885" s="1">
        <v>0.15901283149714243</v>
      </c>
      <c r="Q4885" s="1">
        <v>0.81669342830550373</v>
      </c>
      <c r="R4885" s="2">
        <f t="shared" si="307"/>
        <v>27.805898596645754</v>
      </c>
      <c r="S4885" s="2">
        <f t="shared" si="306"/>
        <v>3.6714263577920421</v>
      </c>
      <c r="T4885" s="2">
        <f t="shared" si="308"/>
        <v>5.3273138577375763</v>
      </c>
      <c r="U4885" s="2">
        <f t="shared" si="309"/>
        <v>36.804638812175376</v>
      </c>
    </row>
    <row r="4886" spans="1:21" x14ac:dyDescent="0.25">
      <c r="A4886">
        <v>5407057</v>
      </c>
      <c r="B4886">
        <v>59</v>
      </c>
      <c r="C4886" s="1">
        <f>0.924394779245329*(10.3/7.3)</f>
        <v>1.3042830446886149</v>
      </c>
      <c r="D4886" s="1">
        <f>1.40858289385501*(10.3/7.3)</f>
        <v>1.9874525762611839</v>
      </c>
      <c r="E4886" s="1">
        <f>4.860979413081*(10.3/7.3)</f>
        <v>6.8586421855800479</v>
      </c>
      <c r="F4886" s="1">
        <f>13.7258972039837*(38.9/42.5)</f>
        <v>12.563232970234536</v>
      </c>
      <c r="G4886" s="1">
        <v>0.70866853712028699</v>
      </c>
      <c r="H4886" s="1">
        <v>2.7140503966930782</v>
      </c>
      <c r="I4886" s="1">
        <v>10.370296955573313</v>
      </c>
      <c r="J4886" s="1">
        <v>6.5583676458644616E-2</v>
      </c>
      <c r="K4886" s="1">
        <v>4.1520594274141072</v>
      </c>
      <c r="L4886" s="1">
        <v>2.8197104794716159</v>
      </c>
      <c r="M4886" s="1">
        <v>1.4083159243085288</v>
      </c>
      <c r="N4886" s="1">
        <v>2.0551141490887814</v>
      </c>
      <c r="O4886" s="1">
        <v>0.50782011299435026</v>
      </c>
      <c r="P4886" s="1">
        <v>0.17952659977395979</v>
      </c>
      <c r="Q4886" s="1">
        <v>1.1325752876351625</v>
      </c>
      <c r="R4886" s="2">
        <f t="shared" si="307"/>
        <v>37.639201953786227</v>
      </c>
      <c r="S4886" s="2">
        <f t="shared" si="306"/>
        <v>4.3971697036467114</v>
      </c>
      <c r="T4886" s="2">
        <f t="shared" si="308"/>
        <v>6.7909606658632775</v>
      </c>
      <c r="U4886" s="2">
        <f t="shared" si="309"/>
        <v>48.827332323296218</v>
      </c>
    </row>
    <row r="4887" spans="1:21" x14ac:dyDescent="0.25">
      <c r="A4887">
        <v>5407065</v>
      </c>
      <c r="B4887">
        <v>14</v>
      </c>
      <c r="C4887" s="1">
        <f>1.20813284757118*(10.3/7.3)</f>
        <v>1.7046257986278248</v>
      </c>
      <c r="D4887" s="1">
        <f>1.88978569121671*(10.3/7.3)</f>
        <v>2.6664099478811156</v>
      </c>
      <c r="E4887" s="1">
        <f>6.5014555637229*(10.3/7.3)</f>
        <v>9.1732866173076513</v>
      </c>
      <c r="F4887" s="1">
        <f>19.0686624781483*(38.9/42.5)</f>
        <v>17.453434597646343</v>
      </c>
      <c r="G4887" s="1">
        <v>1.0099136325641791</v>
      </c>
      <c r="H4887" s="1">
        <v>3.5659577140084822</v>
      </c>
      <c r="I4887" s="1">
        <v>14.432496573372017</v>
      </c>
      <c r="J4887" s="1">
        <v>9.4304597332212942E-2</v>
      </c>
      <c r="K4887" s="1">
        <v>5.1642311373349647</v>
      </c>
      <c r="L4887" s="1">
        <v>3.7549838122157047</v>
      </c>
      <c r="M4887" s="1">
        <v>1.9041679335967892</v>
      </c>
      <c r="N4887" s="1">
        <v>2.2641762120579836</v>
      </c>
      <c r="O4887" s="1">
        <v>0.66160000000000008</v>
      </c>
      <c r="P4887" s="1">
        <v>0.20264166716049345</v>
      </c>
      <c r="Q4887" s="1">
        <v>1.6140172209929815</v>
      </c>
      <c r="R4887" s="2">
        <f t="shared" si="307"/>
        <v>51.6201421024006</v>
      </c>
      <c r="S4887" s="2">
        <f t="shared" si="306"/>
        <v>5.4611774018276718</v>
      </c>
      <c r="T4887" s="2">
        <f t="shared" si="308"/>
        <v>8.5849279578704785</v>
      </c>
      <c r="U4887" s="2">
        <f t="shared" si="309"/>
        <v>65.666247462098752</v>
      </c>
    </row>
    <row r="4888" spans="1:21" x14ac:dyDescent="0.25">
      <c r="A4888">
        <v>5407497</v>
      </c>
      <c r="B4888">
        <v>20</v>
      </c>
      <c r="C4888" s="1">
        <f>5.37707879343253*(10.3/7.3)</f>
        <v>7.5868372016924672</v>
      </c>
      <c r="D4888" s="1">
        <f>9.67060370173311*(10.3/7.3)</f>
        <v>13.644824401075486</v>
      </c>
      <c r="E4888" s="1">
        <f>33.5228440185377*(10.3/7.3)</f>
        <v>47.299355259032673</v>
      </c>
      <c r="F4888" s="1">
        <f>77.2159249127508*(38.9/42.5)</f>
        <v>70.675281861317771</v>
      </c>
      <c r="G4888" s="1">
        <v>3.4918065612928166</v>
      </c>
      <c r="H4888" s="1">
        <v>7.4853872494348765</v>
      </c>
      <c r="I4888" s="1">
        <v>53.703176912236835</v>
      </c>
      <c r="J4888" s="1">
        <v>5.7076606699471441E-2</v>
      </c>
      <c r="K4888" s="1">
        <v>3.3100722238411935</v>
      </c>
      <c r="L4888" s="1">
        <v>4.0851441568594122</v>
      </c>
      <c r="M4888" s="1">
        <v>0.29968431649007454</v>
      </c>
      <c r="N4888" s="1">
        <v>2.4930734541760828</v>
      </c>
      <c r="O4888" s="1">
        <v>0.23417333333333329</v>
      </c>
      <c r="P4888" s="1">
        <v>0.15129551305878247</v>
      </c>
      <c r="Q4888" s="1">
        <v>5.5805127691894389</v>
      </c>
      <c r="R4888" s="2">
        <f t="shared" si="307"/>
        <v>209.46718221527232</v>
      </c>
      <c r="S4888" s="2">
        <f t="shared" si="306"/>
        <v>3.5184443435994472</v>
      </c>
      <c r="T4888" s="2">
        <f t="shared" si="308"/>
        <v>7.1120752608589024</v>
      </c>
      <c r="U4888" s="2">
        <f t="shared" si="309"/>
        <v>220.09770181973067</v>
      </c>
    </row>
    <row r="4889" spans="1:21" x14ac:dyDescent="0.25">
      <c r="A4889">
        <v>5407505</v>
      </c>
      <c r="B4889">
        <v>38</v>
      </c>
      <c r="C4889" s="1">
        <f>5.36494871164392*(10.3/7.3)</f>
        <v>7.5697221547852624</v>
      </c>
      <c r="D4889" s="1">
        <f>9.58500151692007*(10.3/7.3)</f>
        <v>13.524043236202289</v>
      </c>
      <c r="E4889" s="1">
        <f>33.2587305204393*(10.3/7.3)</f>
        <v>46.926701967195243</v>
      </c>
      <c r="F4889" s="1">
        <f>75.3079866436847*(38.9/42.5)</f>
        <v>68.92895718680785</v>
      </c>
      <c r="G4889" s="1">
        <v>3.3523739618567809</v>
      </c>
      <c r="H4889" s="1">
        <v>6.6664597612652381</v>
      </c>
      <c r="I4889" s="1">
        <v>52.200696091438012</v>
      </c>
      <c r="J4889" s="1">
        <v>6.1579606189888371E-2</v>
      </c>
      <c r="K4889" s="1">
        <v>3.4485309274148004</v>
      </c>
      <c r="L4889" s="1">
        <v>4.4793337462546576</v>
      </c>
      <c r="M4889" s="1">
        <v>0.31973056161315633</v>
      </c>
      <c r="N4889" s="1">
        <v>3.5278409486610123</v>
      </c>
      <c r="O4889" s="1">
        <v>0.24962526315789471</v>
      </c>
      <c r="P4889" s="1">
        <v>0.15996177841355391</v>
      </c>
      <c r="Q4889" s="1">
        <v>5.3576752815062756</v>
      </c>
      <c r="R4889" s="2">
        <f t="shared" si="307"/>
        <v>204.52662964105696</v>
      </c>
      <c r="S4889" s="2">
        <f t="shared" si="306"/>
        <v>3.670072312018243</v>
      </c>
      <c r="T4889" s="2">
        <f t="shared" si="308"/>
        <v>8.5765305196867221</v>
      </c>
      <c r="U4889" s="2">
        <f t="shared" si="309"/>
        <v>216.77323247276192</v>
      </c>
    </row>
    <row r="4890" spans="1:21" x14ac:dyDescent="0.25">
      <c r="A4890">
        <v>5407513</v>
      </c>
      <c r="B4890">
        <v>49</v>
      </c>
      <c r="C4890" s="1">
        <f>4.80804863677511*(10.3/7.3)</f>
        <v>6.7839590354498185</v>
      </c>
      <c r="D4890" s="1">
        <f>8.45266739648083*(10.3/7.3)</f>
        <v>11.926366326541441</v>
      </c>
      <c r="E4890" s="1">
        <f>29.3543982062584*(10.3/7.3)</f>
        <v>41.417849523898873</v>
      </c>
      <c r="F4890" s="1">
        <f>65.9868467159245*(38.9/42.5)</f>
        <v>60.397372641163834</v>
      </c>
      <c r="G4890" s="1">
        <v>2.9127510923342204</v>
      </c>
      <c r="H4890" s="1">
        <v>6.200598550725374</v>
      </c>
      <c r="I4890" s="1">
        <v>45.819917785605895</v>
      </c>
      <c r="J4890" s="1">
        <v>5.3000559191488966E-2</v>
      </c>
      <c r="K4890" s="1">
        <v>3.252651924326325</v>
      </c>
      <c r="L4890" s="1">
        <v>4.1639036271557668</v>
      </c>
      <c r="M4890" s="1">
        <v>0.29815532690001451</v>
      </c>
      <c r="N4890" s="1">
        <v>3.9667531762379626</v>
      </c>
      <c r="O4890" s="1">
        <v>0.23373170068027208</v>
      </c>
      <c r="P4890" s="1">
        <v>0.15292983582925831</v>
      </c>
      <c r="Q4890" s="1">
        <v>4.6550816544154241</v>
      </c>
      <c r="R4890" s="2">
        <f t="shared" si="307"/>
        <v>180.11389661013487</v>
      </c>
      <c r="S4890" s="2">
        <f t="shared" si="306"/>
        <v>3.4585823193470722</v>
      </c>
      <c r="T4890" s="2">
        <f t="shared" si="308"/>
        <v>8.6625438309740144</v>
      </c>
      <c r="U4890" s="2">
        <f t="shared" si="309"/>
        <v>192.23502276045596</v>
      </c>
    </row>
    <row r="4891" spans="1:21" x14ac:dyDescent="0.25">
      <c r="A4891">
        <v>5407521</v>
      </c>
      <c r="B4891">
        <v>67</v>
      </c>
      <c r="C4891" s="1">
        <f>4.98733866843998*(10.3/7.3)</f>
        <v>7.0369299020454505</v>
      </c>
      <c r="D4891" s="1">
        <f>8.66049505546498*(10.3/7.3)</f>
        <v>12.219602612505378</v>
      </c>
      <c r="E4891" s="1">
        <f>30.0929108371633*(10.3/7.3)</f>
        <v>42.459860496271439</v>
      </c>
      <c r="F4891" s="1">
        <f>67.4110267847626*(38.9/42.5)</f>
        <v>61.700916280641557</v>
      </c>
      <c r="G4891" s="1">
        <v>2.9616926845245399</v>
      </c>
      <c r="H4891" s="1">
        <v>6.2940247289002897</v>
      </c>
      <c r="I4891" s="1">
        <v>46.90194945043698</v>
      </c>
      <c r="J4891" s="1">
        <v>5.2674371465316512E-2</v>
      </c>
      <c r="K4891" s="1">
        <v>3.3006953688866281</v>
      </c>
      <c r="L4891" s="1">
        <v>4.2638332594302808</v>
      </c>
      <c r="M4891" s="1">
        <v>0.2992323225962864</v>
      </c>
      <c r="N4891" s="1">
        <v>2.6248754992076901</v>
      </c>
      <c r="O4891" s="1">
        <v>0.23627860696517416</v>
      </c>
      <c r="P4891" s="1">
        <v>0.15485798922300992</v>
      </c>
      <c r="Q4891" s="1">
        <v>4.7332988108839702</v>
      </c>
      <c r="R4891" s="2">
        <f t="shared" si="307"/>
        <v>184.30827496620961</v>
      </c>
      <c r="S4891" s="2">
        <f t="shared" si="306"/>
        <v>3.5082277295749544</v>
      </c>
      <c r="T4891" s="2">
        <f t="shared" si="308"/>
        <v>7.4242196881994316</v>
      </c>
      <c r="U4891" s="2">
        <f t="shared" si="309"/>
        <v>195.24072238398398</v>
      </c>
    </row>
    <row r="4892" spans="1:21" x14ac:dyDescent="0.25">
      <c r="A4892">
        <v>5407529</v>
      </c>
      <c r="B4892">
        <v>67</v>
      </c>
      <c r="C4892" s="1">
        <f>4.63061782592616*(10.3/7.3)</f>
        <v>6.5336114530191045</v>
      </c>
      <c r="D4892" s="1">
        <f>7.94435215309365*(10.3/7.3)</f>
        <v>11.209154407789667</v>
      </c>
      <c r="E4892" s="1">
        <f>27.6216362264679*(10.3/7.3)</f>
        <v>38.972993579810897</v>
      </c>
      <c r="F4892" s="1">
        <f>61.5667592337996*(38.9/42.5)</f>
        <v>56.351692569289547</v>
      </c>
      <c r="G4892" s="1">
        <v>2.6884428966124245</v>
      </c>
      <c r="H4892" s="1">
        <v>5.8557893445182838</v>
      </c>
      <c r="I4892" s="1">
        <v>42.902428393516637</v>
      </c>
      <c r="J4892" s="1">
        <v>4.8547064168929621E-2</v>
      </c>
      <c r="K4892" s="1">
        <v>3.1036003299115515</v>
      </c>
      <c r="L4892" s="1">
        <v>3.9654261599580871</v>
      </c>
      <c r="M4892" s="1">
        <v>0.27625904943626284</v>
      </c>
      <c r="N4892" s="1">
        <v>2.4673374541591406</v>
      </c>
      <c r="O4892" s="1">
        <v>0.21959721393034834</v>
      </c>
      <c r="P4892" s="1">
        <v>0.1465681549388449</v>
      </c>
      <c r="Q4892" s="1">
        <v>4.2965982365952042</v>
      </c>
      <c r="R4892" s="2">
        <f t="shared" si="307"/>
        <v>168.81071088115175</v>
      </c>
      <c r="S4892" s="2">
        <f t="shared" si="306"/>
        <v>3.2987155490193265</v>
      </c>
      <c r="T4892" s="2">
        <f t="shared" si="308"/>
        <v>6.9286198774838388</v>
      </c>
      <c r="U4892" s="2">
        <f t="shared" si="309"/>
        <v>179.03804630765492</v>
      </c>
    </row>
    <row r="4893" spans="1:21" x14ac:dyDescent="0.25">
      <c r="A4893">
        <v>5407537</v>
      </c>
      <c r="B4893">
        <v>67</v>
      </c>
      <c r="C4893" s="1">
        <f>3.56482461895144*(10.3/7.3)</f>
        <v>5.0298210376986034</v>
      </c>
      <c r="D4893" s="1">
        <f>6.03319187683895*(10.3/7.3)</f>
        <v>8.5125857988275619</v>
      </c>
      <c r="E4893" s="1">
        <f>20.9933692507619*(10.3/7.3)</f>
        <v>29.620781271622999</v>
      </c>
      <c r="F4893" s="1">
        <f>46.4347345116057*(38.9/42.5)</f>
        <v>42.501439352975545</v>
      </c>
      <c r="G4893" s="1">
        <v>2.0096502598996082</v>
      </c>
      <c r="H4893" s="1">
        <v>4.8956422393472634</v>
      </c>
      <c r="I4893" s="1">
        <v>32.397756620140676</v>
      </c>
      <c r="J4893" s="1">
        <v>3.9986938905636128E-2</v>
      </c>
      <c r="K4893" s="1">
        <v>2.6734259721301856</v>
      </c>
      <c r="L4893" s="1">
        <v>3.2184091731342805</v>
      </c>
      <c r="M4893" s="1">
        <v>0.23024211201709874</v>
      </c>
      <c r="N4893" s="1">
        <v>1.8961506699960429</v>
      </c>
      <c r="O4893" s="1">
        <v>0.18473870646766172</v>
      </c>
      <c r="P4893" s="1">
        <v>0.12906677431955901</v>
      </c>
      <c r="Q4893" s="1">
        <v>3.2117698217573669</v>
      </c>
      <c r="R4893" s="2">
        <f t="shared" si="307"/>
        <v>128.17944640226963</v>
      </c>
      <c r="S4893" s="2">
        <f t="shared" si="306"/>
        <v>2.8424796853553809</v>
      </c>
      <c r="T4893" s="2">
        <f t="shared" si="308"/>
        <v>5.5295406616150835</v>
      </c>
      <c r="U4893" s="2">
        <f t="shared" si="309"/>
        <v>136.55146674924009</v>
      </c>
    </row>
    <row r="4894" spans="1:21" x14ac:dyDescent="0.25">
      <c r="A4894">
        <v>5407545</v>
      </c>
      <c r="B4894">
        <v>67</v>
      </c>
      <c r="C4894" s="1">
        <f>5.93448847423*(10.3/7.3)</f>
        <v>8.3733193540505475</v>
      </c>
      <c r="D4894" s="1">
        <f>9.95554347124516*(10.3/7.3)</f>
        <v>14.046862706003447</v>
      </c>
      <c r="E4894" s="1">
        <f>34.6433677119434*(10.3/7.3)</f>
        <v>48.880368141509138</v>
      </c>
      <c r="F4894" s="1">
        <f>77.0694625603469*(38.9/42.5)</f>
        <v>70.541225731705751</v>
      </c>
      <c r="G4894" s="1">
        <v>3.3497320451820114</v>
      </c>
      <c r="H4894" s="1">
        <v>6.7734715863359582</v>
      </c>
      <c r="I4894" s="1">
        <v>53.977747538582904</v>
      </c>
      <c r="J4894" s="1">
        <v>5.7734423611499094E-2</v>
      </c>
      <c r="K4894" s="1">
        <v>3.4772938376996061</v>
      </c>
      <c r="L4894" s="1">
        <v>4.7102375507523453</v>
      </c>
      <c r="M4894" s="1">
        <v>0.30748670199729233</v>
      </c>
      <c r="N4894" s="1">
        <v>2.5912577855044998</v>
      </c>
      <c r="O4894" s="1">
        <v>0.24472597014925376</v>
      </c>
      <c r="P4894" s="1">
        <v>0.16000997324768898</v>
      </c>
      <c r="Q4894" s="1">
        <v>5.3534530402452267</v>
      </c>
      <c r="R4894" s="2">
        <f t="shared" si="307"/>
        <v>211.29618014361498</v>
      </c>
      <c r="S4894" s="2">
        <f t="shared" si="306"/>
        <v>3.6950382345587944</v>
      </c>
      <c r="T4894" s="2">
        <f t="shared" si="308"/>
        <v>7.853708008403391</v>
      </c>
      <c r="U4894" s="2">
        <f t="shared" si="309"/>
        <v>222.84492638657719</v>
      </c>
    </row>
    <row r="4895" spans="1:21" x14ac:dyDescent="0.25">
      <c r="A4895">
        <v>5407553</v>
      </c>
      <c r="B4895">
        <v>67</v>
      </c>
      <c r="C4895" s="1">
        <f>5.56640145358885*(10.3/7.3)</f>
        <v>7.853963694789754</v>
      </c>
      <c r="D4895" s="1">
        <f>9.27850313535081*(10.3/7.3)</f>
        <v>13.091586615631966</v>
      </c>
      <c r="E4895" s="1">
        <f>32.2949344453252*(10.3/7.3)</f>
        <v>45.566825313267088</v>
      </c>
      <c r="F4895" s="1">
        <f>71.8201509884908*(38.9/42.5)</f>
        <v>65.736561728289203</v>
      </c>
      <c r="G4895" s="1">
        <v>3.1179589583595271</v>
      </c>
      <c r="H4895" s="1">
        <v>6.5055970114871897</v>
      </c>
      <c r="I4895" s="1">
        <v>50.377714019871284</v>
      </c>
      <c r="J4895" s="1">
        <v>5.5353922972300226E-2</v>
      </c>
      <c r="K4895" s="1">
        <v>3.2560396794980386</v>
      </c>
      <c r="L4895" s="1">
        <v>4.3266598186860818</v>
      </c>
      <c r="M4895" s="1">
        <v>0.27950297416639375</v>
      </c>
      <c r="N4895" s="1">
        <v>2.6269283057950257</v>
      </c>
      <c r="O4895" s="1">
        <v>0.22646686567164179</v>
      </c>
      <c r="P4895" s="1">
        <v>0.15012491964556943</v>
      </c>
      <c r="Q4895" s="1">
        <v>4.9830394311681987</v>
      </c>
      <c r="R4895" s="2">
        <f t="shared" si="307"/>
        <v>197.23324677286425</v>
      </c>
      <c r="S4895" s="2">
        <f t="shared" si="306"/>
        <v>3.4615185221159082</v>
      </c>
      <c r="T4895" s="2">
        <f t="shared" si="308"/>
        <v>7.459557964319143</v>
      </c>
      <c r="U4895" s="2">
        <f t="shared" si="309"/>
        <v>208.1543232592993</v>
      </c>
    </row>
    <row r="4896" spans="1:21" x14ac:dyDescent="0.25">
      <c r="A4896">
        <v>5407561</v>
      </c>
      <c r="B4896">
        <v>67</v>
      </c>
      <c r="C4896" s="1">
        <f>6.23337972426337*(10.3/7.3)</f>
        <v>8.7950426246455713</v>
      </c>
      <c r="D4896" s="1">
        <f>10.3177504416727*(10.3/7.3)</f>
        <v>14.557921856058723</v>
      </c>
      <c r="E4896" s="1">
        <f>35.9215368200701*(10.3/7.3)</f>
        <v>50.683812225578336</v>
      </c>
      <c r="F4896" s="1">
        <f>79.8476726449*(38.9/42.5)</f>
        <v>73.084105079684917</v>
      </c>
      <c r="G4896" s="1">
        <v>3.4617351522943189</v>
      </c>
      <c r="H4896" s="1">
        <v>7.2628954305571227</v>
      </c>
      <c r="I4896" s="1">
        <v>56.100924584968787</v>
      </c>
      <c r="J4896" s="1">
        <v>5.8913274279213453E-2</v>
      </c>
      <c r="K4896" s="1">
        <v>3.4297698441322186</v>
      </c>
      <c r="L4896" s="1">
        <v>4.6353765010912236</v>
      </c>
      <c r="M4896" s="1">
        <v>0.29044019468655841</v>
      </c>
      <c r="N4896" s="1">
        <v>2.6234873372069138</v>
      </c>
      <c r="O4896" s="1">
        <v>0.2359052736318408</v>
      </c>
      <c r="P4896" s="1">
        <v>0.15576168484902575</v>
      </c>
      <c r="Q4896" s="1">
        <v>5.5324534397397862</v>
      </c>
      <c r="R4896" s="2">
        <f t="shared" si="307"/>
        <v>219.47889039352759</v>
      </c>
      <c r="S4896" s="2">
        <f t="shared" si="306"/>
        <v>3.6444448032604582</v>
      </c>
      <c r="T4896" s="2">
        <f t="shared" si="308"/>
        <v>7.7852093066165367</v>
      </c>
      <c r="U4896" s="2">
        <f t="shared" si="309"/>
        <v>230.90854450340458</v>
      </c>
    </row>
    <row r="4897" spans="1:21" x14ac:dyDescent="0.25">
      <c r="A4897">
        <v>5407569</v>
      </c>
      <c r="B4897">
        <v>56</v>
      </c>
      <c r="C4897" s="1">
        <f>6.50040678051943*(10.3/7.3)</f>
        <v>9.1718068273082398</v>
      </c>
      <c r="D4897" s="1">
        <f>10.5888826617829*(10.3/7.3)</f>
        <v>14.940478276214208</v>
      </c>
      <c r="E4897" s="1">
        <f>36.8996490454515*(10.3/7.3)</f>
        <v>52.06388837919868</v>
      </c>
      <c r="F4897" s="1">
        <f>81.3289954907111*(38.9/42.5)</f>
        <v>74.439951166792042</v>
      </c>
      <c r="G4897" s="1">
        <v>3.4901511536310155</v>
      </c>
      <c r="H4897" s="1">
        <v>7.8446654909439619</v>
      </c>
      <c r="I4897" s="1">
        <v>57.245463862797983</v>
      </c>
      <c r="J4897" s="1">
        <v>6.08858822553177E-2</v>
      </c>
      <c r="K4897" s="1">
        <v>3.3782734754402135</v>
      </c>
      <c r="L4897" s="1">
        <v>4.5607297463803134</v>
      </c>
      <c r="M4897" s="1">
        <v>0.28212992038079415</v>
      </c>
      <c r="N4897" s="1">
        <v>2.5684794265129369</v>
      </c>
      <c r="O4897" s="1">
        <v>0.22966761904761906</v>
      </c>
      <c r="P4897" s="1">
        <v>0.15229347995335424</v>
      </c>
      <c r="Q4897" s="1">
        <v>5.5778671405061946</v>
      </c>
      <c r="R4897" s="2">
        <f t="shared" si="307"/>
        <v>224.77427229739229</v>
      </c>
      <c r="S4897" s="2">
        <f t="shared" si="306"/>
        <v>3.5914528376488852</v>
      </c>
      <c r="T4897" s="2">
        <f t="shared" si="308"/>
        <v>7.6410067123216638</v>
      </c>
      <c r="U4897" s="2">
        <f t="shared" si="309"/>
        <v>236.00673184736283</v>
      </c>
    </row>
    <row r="4898" spans="1:21" x14ac:dyDescent="0.25">
      <c r="A4898">
        <v>5407577</v>
      </c>
      <c r="B4898">
        <v>28</v>
      </c>
      <c r="C4898" s="1">
        <f>7.12131525784814*(10.3/7.3)</f>
        <v>10.047883172032313</v>
      </c>
      <c r="D4898" s="1">
        <f>11.4586204205391*(10.3/7.3)</f>
        <v>16.167642511171671</v>
      </c>
      <c r="E4898" s="1">
        <f>39.9324692105106*(10.3/7.3)</f>
        <v>56.343072995652008</v>
      </c>
      <c r="F4898" s="1">
        <f>88.7875987332061*(38.9/42.5)</f>
        <v>81.266766840510982</v>
      </c>
      <c r="G4898" s="1">
        <v>3.8357175030320323</v>
      </c>
      <c r="H4898" s="1">
        <v>7.6263249007387612</v>
      </c>
      <c r="I4898" s="1">
        <v>62.841482351113868</v>
      </c>
      <c r="J4898" s="1">
        <v>7.1402208138609438E-2</v>
      </c>
      <c r="K4898" s="1">
        <v>3.2664617416487962</v>
      </c>
      <c r="L4898" s="1">
        <v>4.4029095760772243</v>
      </c>
      <c r="M4898" s="1">
        <v>0.25931133657151112</v>
      </c>
      <c r="N4898" s="1">
        <v>2.5234303213387497</v>
      </c>
      <c r="O4898" s="1">
        <v>0.22011238095238092</v>
      </c>
      <c r="P4898" s="1">
        <v>0.14629525896443005</v>
      </c>
      <c r="Q4898" s="1">
        <v>6.1301421281333912</v>
      </c>
      <c r="R4898" s="2">
        <f t="shared" si="307"/>
        <v>244.25903240238506</v>
      </c>
      <c r="S4898" s="2">
        <f t="shared" si="306"/>
        <v>3.4841592087518358</v>
      </c>
      <c r="T4898" s="2">
        <f t="shared" si="308"/>
        <v>7.4057636149398665</v>
      </c>
      <c r="U4898" s="2">
        <f t="shared" si="309"/>
        <v>255.14895522607677</v>
      </c>
    </row>
    <row r="4899" spans="1:21" x14ac:dyDescent="0.25">
      <c r="A4899">
        <v>5407585</v>
      </c>
      <c r="B4899">
        <v>6</v>
      </c>
      <c r="C4899" s="1">
        <f>6.37134126885172*(10.3/7.3)</f>
        <v>8.9897006944072171</v>
      </c>
      <c r="D4899" s="1">
        <f>10.1054153999335*(10.3/7.3)</f>
        <v>14.258325838262392</v>
      </c>
      <c r="E4899" s="1">
        <f>35.2237206375228*(10.3/7.3)</f>
        <v>49.699222269381451</v>
      </c>
      <c r="F4899" s="1">
        <f>78.8752783753399*(38.9/42.5)</f>
        <v>72.194078324722838</v>
      </c>
      <c r="G4899" s="1">
        <v>3.4236027437700227</v>
      </c>
      <c r="H4899" s="1">
        <v>7.6424805048491828</v>
      </c>
      <c r="I4899" s="1">
        <v>56.137715067240357</v>
      </c>
      <c r="J4899" s="1">
        <v>6.0103566819745803E-2</v>
      </c>
      <c r="K4899" s="1">
        <v>3.1472224489082681</v>
      </c>
      <c r="L4899" s="1">
        <v>4.1450418733806522</v>
      </c>
      <c r="M4899" s="1">
        <v>0.24126185636041517</v>
      </c>
      <c r="N4899" s="1">
        <v>2.5699003582183018</v>
      </c>
      <c r="O4899" s="1">
        <v>0.20850666666666665</v>
      </c>
      <c r="P4899" s="1">
        <v>0.14041913412572754</v>
      </c>
      <c r="Q4899" s="1">
        <v>5.4715112343356589</v>
      </c>
      <c r="R4899" s="2">
        <f t="shared" si="307"/>
        <v>217.8166366769691</v>
      </c>
      <c r="S4899" s="2">
        <f t="shared" si="306"/>
        <v>3.3477451498537412</v>
      </c>
      <c r="T4899" s="2">
        <f t="shared" si="308"/>
        <v>7.1647107546260358</v>
      </c>
      <c r="U4899" s="2">
        <f t="shared" si="309"/>
        <v>228.32909258144889</v>
      </c>
    </row>
    <row r="4900" spans="1:21" x14ac:dyDescent="0.25">
      <c r="A4900">
        <v>5407609</v>
      </c>
      <c r="B4900">
        <v>19</v>
      </c>
      <c r="C4900" s="1">
        <f>3.87462462164356*(10.3/7.3)</f>
        <v>5.4669361099902289</v>
      </c>
      <c r="D4900" s="1">
        <f>6.69102871009786*(10.3/7.3)</f>
        <v>9.4407665361654729</v>
      </c>
      <c r="E4900" s="1">
        <f>23.1580986273957*(10.3/7.3)</f>
        <v>32.675125460572048</v>
      </c>
      <c r="F4900" s="1">
        <f>56.7294310041421*(38.9/42.5)</f>
        <v>51.924114495555955</v>
      </c>
      <c r="G4900" s="1">
        <v>2.68576178736296</v>
      </c>
      <c r="H4900" s="1">
        <v>8.4744436039644064</v>
      </c>
      <c r="I4900" s="1">
        <v>40.478640386335087</v>
      </c>
      <c r="J4900" s="1">
        <v>3.3462351482451143E-2</v>
      </c>
      <c r="K4900" s="1">
        <v>2.0991697785788217</v>
      </c>
      <c r="L4900" s="1">
        <v>2.7349093916438649</v>
      </c>
      <c r="M4900" s="1">
        <v>0.1571998943106179</v>
      </c>
      <c r="N4900" s="1">
        <v>1.5976824427862655</v>
      </c>
      <c r="O4900" s="1">
        <v>0.129959298245614</v>
      </c>
      <c r="P4900" s="1">
        <v>9.7557629210658831E-2</v>
      </c>
      <c r="Q4900" s="1">
        <v>4.2923133587992561</v>
      </c>
      <c r="R4900" s="2">
        <f t="shared" si="307"/>
        <v>155.43810173874542</v>
      </c>
      <c r="S4900" s="2">
        <f t="shared" si="306"/>
        <v>2.2301897592719317</v>
      </c>
      <c r="T4900" s="2">
        <f t="shared" si="308"/>
        <v>4.6197510269863624</v>
      </c>
      <c r="U4900" s="2">
        <f t="shared" si="309"/>
        <v>162.2880425250037</v>
      </c>
    </row>
    <row r="4901" spans="1:21" x14ac:dyDescent="0.25">
      <c r="A4901">
        <v>5407617</v>
      </c>
      <c r="B4901">
        <v>12</v>
      </c>
      <c r="C4901" s="1">
        <f>3.89695341933674*(10.3/7.3)</f>
        <v>5.4984411259134793</v>
      </c>
      <c r="D4901" s="1">
        <f>5.93777916126458*(10.3/7.3)</f>
        <v>8.3779623782226249</v>
      </c>
      <c r="E4901" s="1">
        <f>20.6545987264426*(10.3/7.3)</f>
        <v>29.142789983884708</v>
      </c>
      <c r="F4901" s="1">
        <f>49.9380564250332*(38.9/42.5)</f>
        <v>45.708009292559773</v>
      </c>
      <c r="G4901" s="1">
        <v>2.3063047577123008</v>
      </c>
      <c r="H4901" s="1">
        <v>8.2437568994142723</v>
      </c>
      <c r="I4901" s="1">
        <v>36.565098401026482</v>
      </c>
      <c r="J4901" s="1">
        <v>3.4753960373497053E-2</v>
      </c>
      <c r="K4901" s="1">
        <v>2.1477423917247074</v>
      </c>
      <c r="L4901" s="1">
        <v>2.7490459907700777</v>
      </c>
      <c r="M4901" s="1">
        <v>0.15866510489248975</v>
      </c>
      <c r="N4901" s="1">
        <v>1.5902484508892358</v>
      </c>
      <c r="O4901" s="1">
        <v>0.13172888888888892</v>
      </c>
      <c r="P4901" s="1">
        <v>9.8659517025136853E-2</v>
      </c>
      <c r="Q4901" s="1">
        <v>3.6858751835584749</v>
      </c>
      <c r="R4901" s="2">
        <f t="shared" si="307"/>
        <v>139.5282380222921</v>
      </c>
      <c r="S4901" s="2">
        <f t="shared" si="306"/>
        <v>2.2811558691233413</v>
      </c>
      <c r="T4901" s="2">
        <f t="shared" si="308"/>
        <v>4.6296884354406922</v>
      </c>
      <c r="U4901" s="2">
        <f t="shared" si="309"/>
        <v>146.43908232685615</v>
      </c>
    </row>
    <row r="4902" spans="1:21" x14ac:dyDescent="0.25">
      <c r="A4902">
        <v>5407625</v>
      </c>
      <c r="B4902">
        <v>6</v>
      </c>
      <c r="C4902" s="1">
        <f>5.39486252260449*(10.3/7.3)</f>
        <v>7.611929312715926</v>
      </c>
      <c r="D4902" s="1">
        <f>7.98702841686447*(10.3/7.3)</f>
        <v>11.269368862151239</v>
      </c>
      <c r="E4902" s="1">
        <f>27.7203999062856*(10.3/7.3)</f>
        <v>39.112345073252314</v>
      </c>
      <c r="F4902" s="1">
        <f>71.7429584570985*(38.9/42.5)</f>
        <v>65.665907858379555</v>
      </c>
      <c r="G4902" s="1">
        <v>3.4810055372278543</v>
      </c>
      <c r="H4902" s="1">
        <v>10.699248767721977</v>
      </c>
      <c r="I4902" s="1">
        <v>53.646120301338719</v>
      </c>
      <c r="J4902" s="1">
        <v>3.8607496585677546E-2</v>
      </c>
      <c r="K4902" s="1">
        <v>2.3345852833563812</v>
      </c>
      <c r="L4902" s="1">
        <v>2.9169829744347093</v>
      </c>
      <c r="M4902" s="1">
        <v>0.17178641835666383</v>
      </c>
      <c r="N4902" s="1">
        <v>2.1016471432615913</v>
      </c>
      <c r="O4902" s="1">
        <v>0.14446222222222219</v>
      </c>
      <c r="P4902" s="1">
        <v>0.10489267536951685</v>
      </c>
      <c r="Q4902" s="1">
        <v>5.5632508585833342</v>
      </c>
      <c r="R4902" s="2">
        <f t="shared" si="307"/>
        <v>197.04917657137094</v>
      </c>
      <c r="S4902" s="2">
        <f t="shared" si="306"/>
        <v>2.4780854553115756</v>
      </c>
      <c r="T4902" s="2">
        <f t="shared" si="308"/>
        <v>5.3348787582751864</v>
      </c>
      <c r="U4902" s="2">
        <f t="shared" si="309"/>
        <v>204.86214078495769</v>
      </c>
    </row>
    <row r="4903" spans="1:21" x14ac:dyDescent="0.25">
      <c r="A4903">
        <v>5407697</v>
      </c>
      <c r="B4903">
        <v>27</v>
      </c>
      <c r="C4903" s="1">
        <f>11.521254330297*(10.3/7.3)</f>
        <v>16.256016383843686</v>
      </c>
      <c r="D4903" s="1">
        <f>11.1957516663931*(10.3/7.3)</f>
        <v>15.796745501897146</v>
      </c>
      <c r="E4903" s="1">
        <f>39.9477387260554*(10.3/7.3)</f>
        <v>56.364617654571362</v>
      </c>
      <c r="F4903" s="1">
        <f>87.5277037626186*(38.9/42.5)</f>
        <v>80.113592385079116</v>
      </c>
      <c r="G4903" s="1">
        <v>3.3936197685786538</v>
      </c>
      <c r="H4903" s="1">
        <v>8.9291970599473487</v>
      </c>
      <c r="I4903" s="1">
        <v>72.142245524635356</v>
      </c>
      <c r="J4903" s="1">
        <v>3.6468293269260633E-2</v>
      </c>
      <c r="K4903" s="1">
        <v>2.2503142019270945</v>
      </c>
      <c r="L4903" s="1">
        <v>2.598247340883471</v>
      </c>
      <c r="M4903" s="1">
        <v>0.14435406806498546</v>
      </c>
      <c r="N4903" s="1">
        <v>1.6600759775391976</v>
      </c>
      <c r="O4903" s="1">
        <v>0.12784592592592589</v>
      </c>
      <c r="P4903" s="1">
        <v>9.428024459247529E-2</v>
      </c>
      <c r="Q4903" s="1">
        <v>5.423593237454476</v>
      </c>
      <c r="R4903" s="2">
        <f t="shared" si="307"/>
        <v>258.41962751600715</v>
      </c>
      <c r="S4903" s="2">
        <f t="shared" si="306"/>
        <v>2.3810627397888302</v>
      </c>
      <c r="T4903" s="2">
        <f t="shared" si="308"/>
        <v>4.53052331241358</v>
      </c>
      <c r="U4903" s="2">
        <f t="shared" si="309"/>
        <v>265.33121356820959</v>
      </c>
    </row>
    <row r="4904" spans="1:21" x14ac:dyDescent="0.25">
      <c r="A4904">
        <v>5407705</v>
      </c>
      <c r="B4904">
        <v>30</v>
      </c>
      <c r="C4904" s="1">
        <f>10.514107114929*(10.3/7.3)</f>
        <v>14.834973052571057</v>
      </c>
      <c r="D4904" s="1">
        <f>10.7128413029982*(10.3/7.3)</f>
        <v>15.115378824778258</v>
      </c>
      <c r="E4904" s="1">
        <f>38.0849753790763*(10.3/7.3)</f>
        <v>53.736335123902236</v>
      </c>
      <c r="F4904" s="1">
        <f>85.3888838386606*(38.9/42.5)</f>
        <v>78.155943089974016</v>
      </c>
      <c r="G4904" s="1">
        <v>3.4349760075205471</v>
      </c>
      <c r="H4904" s="1">
        <v>7.518306292265815</v>
      </c>
      <c r="I4904" s="1">
        <v>69.384977862019269</v>
      </c>
      <c r="J4904" s="1">
        <v>3.6560009332694425E-2</v>
      </c>
      <c r="K4904" s="1">
        <v>2.2685746163938791</v>
      </c>
      <c r="L4904" s="1">
        <v>2.6290013013055624</v>
      </c>
      <c r="M4904" s="1">
        <v>0.14391089320435743</v>
      </c>
      <c r="N4904" s="1">
        <v>1.6645516452060929</v>
      </c>
      <c r="O4904" s="1">
        <v>0.12816888888888892</v>
      </c>
      <c r="P4904" s="1">
        <v>9.4444999260745496E-2</v>
      </c>
      <c r="Q4904" s="1">
        <v>5.4896876832520203</v>
      </c>
      <c r="R4904" s="2">
        <f t="shared" si="307"/>
        <v>247.67057793628322</v>
      </c>
      <c r="S4904" s="2">
        <f t="shared" si="306"/>
        <v>2.3995796249873189</v>
      </c>
      <c r="T4904" s="2">
        <f t="shared" si="308"/>
        <v>4.5656327286049025</v>
      </c>
      <c r="U4904" s="2">
        <f t="shared" si="309"/>
        <v>254.63579028987544</v>
      </c>
    </row>
    <row r="4905" spans="1:21" x14ac:dyDescent="0.25">
      <c r="A4905">
        <v>5407729</v>
      </c>
      <c r="B4905">
        <v>4</v>
      </c>
      <c r="C4905" s="1">
        <f>6.82672156791738*(10.3/7.3)</f>
        <v>9.632223582130008</v>
      </c>
      <c r="D4905" s="1">
        <f>7.87240234943772*(10.3/7.3)</f>
        <v>11.107636191672398</v>
      </c>
      <c r="E4905" s="1">
        <f>27.6995206661253*(10.3/7.3)</f>
        <v>39.082885323437026</v>
      </c>
      <c r="F4905" s="1">
        <f>67.6299140143651*(38.9/42.5)</f>
        <v>61.90126247432476</v>
      </c>
      <c r="G4905" s="1">
        <v>3.026790286813863</v>
      </c>
      <c r="H4905" s="1">
        <v>7.4059448654602162</v>
      </c>
      <c r="I4905" s="1">
        <v>53.414220523915347</v>
      </c>
      <c r="J4905" s="1">
        <v>3.3943508455868347E-2</v>
      </c>
      <c r="K4905" s="1">
        <v>2.0895067084651311</v>
      </c>
      <c r="L4905" s="1">
        <v>2.3662268650462668</v>
      </c>
      <c r="M4905" s="1">
        <v>0.12865386779514298</v>
      </c>
      <c r="N4905" s="1">
        <v>1.5908730667222091</v>
      </c>
      <c r="O4905" s="1">
        <v>0.11496000000000001</v>
      </c>
      <c r="P4905" s="1">
        <v>8.7442338650845233E-2</v>
      </c>
      <c r="Q4905" s="1">
        <v>4.8373360748166814</v>
      </c>
      <c r="R4905" s="2">
        <f t="shared" si="307"/>
        <v>190.40829932257031</v>
      </c>
      <c r="S4905" s="2">
        <f t="shared" si="306"/>
        <v>2.2108925555718448</v>
      </c>
      <c r="T4905" s="2">
        <f t="shared" si="308"/>
        <v>4.2007137995636192</v>
      </c>
      <c r="U4905" s="2">
        <f t="shared" si="309"/>
        <v>196.81990567770578</v>
      </c>
    </row>
    <row r="4906" spans="1:21" x14ac:dyDescent="0.25">
      <c r="A4906">
        <v>5407737</v>
      </c>
      <c r="B4906">
        <v>5</v>
      </c>
      <c r="C4906" s="1">
        <f>5.67167532830476*(10.3/7.3)</f>
        <v>8.0025008056902749</v>
      </c>
      <c r="D4906" s="1">
        <f>6.64645383499931*(10.3/7.3)</f>
        <v>9.3778732192456005</v>
      </c>
      <c r="E4906" s="1">
        <f>23.4447294093835*(10.3/7.3)</f>
        <v>33.079549714609591</v>
      </c>
      <c r="F4906" s="1">
        <f>53.3235800471279*(38.9/42.5)</f>
        <v>48.806759149018227</v>
      </c>
      <c r="G4906" s="1">
        <v>2.239460009442714</v>
      </c>
      <c r="H4906" s="1">
        <v>5.0513935315473741</v>
      </c>
      <c r="I4906" s="1">
        <v>41.487073189938791</v>
      </c>
      <c r="J4906" s="1">
        <v>3.3784388314972658E-2</v>
      </c>
      <c r="K4906" s="1">
        <v>2.0879046790107503</v>
      </c>
      <c r="L4906" s="1">
        <v>2.3546651321393837</v>
      </c>
      <c r="M4906" s="1">
        <v>0.1277769873083372</v>
      </c>
      <c r="N4906" s="1">
        <v>1.5841318881519029</v>
      </c>
      <c r="O4906" s="1">
        <v>0.11307733333333334</v>
      </c>
      <c r="P4906" s="1">
        <v>8.6979071323979001E-2</v>
      </c>
      <c r="Q4906" s="1">
        <v>3.5790456771915551</v>
      </c>
      <c r="R4906" s="2">
        <f t="shared" si="307"/>
        <v>151.62365529668412</v>
      </c>
      <c r="S4906" s="2">
        <f t="shared" si="306"/>
        <v>2.2086681386497018</v>
      </c>
      <c r="T4906" s="2">
        <f t="shared" si="308"/>
        <v>4.1796513409329563</v>
      </c>
      <c r="U4906" s="2">
        <f t="shared" si="309"/>
        <v>158.01197477626678</v>
      </c>
    </row>
    <row r="4907" spans="1:21" x14ac:dyDescent="0.25">
      <c r="A4907">
        <v>5407769</v>
      </c>
      <c r="B4907">
        <v>35</v>
      </c>
      <c r="C4907" s="1">
        <f>6.00476107641768*(10.3/7.3)</f>
        <v>8.472471107822205</v>
      </c>
      <c r="D4907" s="1">
        <f>8.30449929344879*(10.3/7.3)</f>
        <v>11.717307222263367</v>
      </c>
      <c r="E4907" s="1">
        <f>29.0974657770058*(10.3/7.3)</f>
        <v>41.055328425090352</v>
      </c>
      <c r="F4907" s="1">
        <f>65.2333755618343*(38.9/42.5)</f>
        <v>59.707724926008318</v>
      </c>
      <c r="G4907" s="1">
        <v>2.7782032362667048</v>
      </c>
      <c r="H4907" s="1">
        <v>6.2808190087028075</v>
      </c>
      <c r="I4907" s="1">
        <v>48.199379058483643</v>
      </c>
      <c r="J4907" s="1">
        <v>3.8777305558894998E-2</v>
      </c>
      <c r="K4907" s="1">
        <v>2.2958717109768947</v>
      </c>
      <c r="L4907" s="1">
        <v>2.4091055228026326</v>
      </c>
      <c r="M4907" s="1">
        <v>0.12549153592521867</v>
      </c>
      <c r="N4907" s="1">
        <v>2.2340364315892907</v>
      </c>
      <c r="O4907" s="1">
        <v>0.1143024761904762</v>
      </c>
      <c r="P4907" s="1">
        <v>8.6929064996640298E-2</v>
      </c>
      <c r="Q4907" s="1">
        <v>4.4400508342162004</v>
      </c>
      <c r="R4907" s="2">
        <f t="shared" si="307"/>
        <v>182.65128381885364</v>
      </c>
      <c r="S4907" s="2">
        <f t="shared" si="306"/>
        <v>2.4215780815324299</v>
      </c>
      <c r="T4907" s="2">
        <f t="shared" si="308"/>
        <v>4.8829359665076177</v>
      </c>
      <c r="U4907" s="2">
        <f t="shared" si="309"/>
        <v>189.9557978668937</v>
      </c>
    </row>
    <row r="4908" spans="1:21" x14ac:dyDescent="0.25">
      <c r="A4908">
        <v>5407953</v>
      </c>
      <c r="B4908">
        <v>21</v>
      </c>
      <c r="C4908" s="1">
        <f>4.65853476955882*(10.3/7.3)</f>
        <v>6.5730011132131363</v>
      </c>
      <c r="D4908" s="1">
        <f>6.92463782249098*(10.3/7.3)</f>
        <v>9.7703793933776897</v>
      </c>
      <c r="E4908" s="1">
        <f>23.8795782398835*(10.3/7.3)</f>
        <v>33.693103543945163</v>
      </c>
      <c r="F4908" s="1">
        <f>69.4572421565543*(38.9/42.5)</f>
        <v>63.573805173881482</v>
      </c>
      <c r="G4908" s="1">
        <v>3.6435318264929726</v>
      </c>
      <c r="H4908" s="1">
        <v>9.2002166496941182</v>
      </c>
      <c r="I4908" s="1">
        <v>53.019327033466801</v>
      </c>
      <c r="J4908" s="1">
        <v>3.4455622737900246E-2</v>
      </c>
      <c r="K4908" s="1">
        <v>2.0443129277628187</v>
      </c>
      <c r="L4908" s="1">
        <v>2.0426088351613583</v>
      </c>
      <c r="M4908" s="1">
        <v>9.6786356160329906E-2</v>
      </c>
      <c r="N4908" s="1">
        <v>1.3490318740689939</v>
      </c>
      <c r="O4908" s="1">
        <v>9.6561269841269837E-2</v>
      </c>
      <c r="P4908" s="1">
        <v>7.4643985802470933E-2</v>
      </c>
      <c r="Q4908" s="1">
        <v>5.8229960697376351</v>
      </c>
      <c r="R4908" s="2">
        <f t="shared" si="307"/>
        <v>185.29636080380899</v>
      </c>
      <c r="S4908" s="2">
        <f t="shared" si="306"/>
        <v>2.1534125363031897</v>
      </c>
      <c r="T4908" s="2">
        <f t="shared" si="308"/>
        <v>3.5849883352319516</v>
      </c>
      <c r="U4908" s="2">
        <f t="shared" si="309"/>
        <v>191.03476167534413</v>
      </c>
    </row>
    <row r="4909" spans="1:21" x14ac:dyDescent="0.25">
      <c r="A4909">
        <v>5407969</v>
      </c>
      <c r="B4909">
        <v>3</v>
      </c>
      <c r="C4909" s="1">
        <f>2.65567700355993*(10.3/7.3)</f>
        <v>3.7470511146119514</v>
      </c>
      <c r="D4909" s="1">
        <f>3.68926382243883*(10.3/7.3)</f>
        <v>5.2053996398794462</v>
      </c>
      <c r="E4909" s="1">
        <f>12.8279847491738*(10.3/7.3)</f>
        <v>18.09975930362878</v>
      </c>
      <c r="F4909" s="1">
        <f>33.6357258945537*(38.9/42.5)</f>
        <v>30.78658205407384</v>
      </c>
      <c r="G4909" s="1">
        <v>1.6355325512938432</v>
      </c>
      <c r="H4909" s="1">
        <v>5.5671252025653999</v>
      </c>
      <c r="I4909" s="1">
        <v>25.588559486269769</v>
      </c>
      <c r="J4909" s="1">
        <v>2.4183432613639894E-2</v>
      </c>
      <c r="K4909" s="1">
        <v>1.6515355406472263</v>
      </c>
      <c r="L4909" s="1">
        <v>1.5726569357873788</v>
      </c>
      <c r="M4909" s="1">
        <v>7.9334257940149366E-2</v>
      </c>
      <c r="N4909" s="1">
        <v>1.0194948632769727</v>
      </c>
      <c r="O4909" s="1">
        <v>7.6888888888888896E-2</v>
      </c>
      <c r="P4909" s="1">
        <v>6.2507194006655623E-2</v>
      </c>
      <c r="Q4909" s="1">
        <v>2.613864808003862</v>
      </c>
      <c r="R4909" s="2">
        <f t="shared" si="307"/>
        <v>93.243874160326897</v>
      </c>
      <c r="S4909" s="2">
        <f t="shared" si="306"/>
        <v>1.7382261672675219</v>
      </c>
      <c r="T4909" s="2">
        <f t="shared" si="308"/>
        <v>2.7483749458933895</v>
      </c>
      <c r="U4909" s="2">
        <f t="shared" si="309"/>
        <v>97.730475273487812</v>
      </c>
    </row>
    <row r="4910" spans="1:21" x14ac:dyDescent="0.25">
      <c r="A4910">
        <v>5407977</v>
      </c>
      <c r="B4910">
        <v>3</v>
      </c>
      <c r="C4910" s="1">
        <f>2.93076387809755*(10.3/7.3)</f>
        <v>4.1351873896444946</v>
      </c>
      <c r="D4910" s="1">
        <f>3.95810235919616*(10.3/7.3)</f>
        <v>5.5847197670849953</v>
      </c>
      <c r="E4910" s="1">
        <f>13.7846103058516*(10.3/7.3)</f>
        <v>19.449518650722183</v>
      </c>
      <c r="F4910" s="1">
        <f>35.8487810168472*(38.9/42.5)</f>
        <v>32.812178389537792</v>
      </c>
      <c r="G4910" s="1">
        <v>1.726733251180117</v>
      </c>
      <c r="H4910" s="1">
        <v>4.0902470565107407</v>
      </c>
      <c r="I4910" s="1">
        <v>27.417878531801239</v>
      </c>
      <c r="J4910" s="1">
        <v>2.4375791183967127E-2</v>
      </c>
      <c r="K4910" s="1">
        <v>1.6813786667098352</v>
      </c>
      <c r="L4910" s="1">
        <v>1.6257560943586675</v>
      </c>
      <c r="M4910" s="1">
        <v>8.1153072711693405E-2</v>
      </c>
      <c r="N4910" s="1">
        <v>1.018474825473507</v>
      </c>
      <c r="O4910" s="1">
        <v>7.9982222222222218E-2</v>
      </c>
      <c r="P4910" s="1">
        <v>6.3810341642879839E-2</v>
      </c>
      <c r="Q4910" s="1">
        <v>2.7596193512011031</v>
      </c>
      <c r="R4910" s="2">
        <f t="shared" si="307"/>
        <v>97.976082387682666</v>
      </c>
      <c r="S4910" s="2">
        <f t="shared" si="306"/>
        <v>1.7695647995366821</v>
      </c>
      <c r="T4910" s="2">
        <f t="shared" si="308"/>
        <v>2.80536621476609</v>
      </c>
      <c r="U4910" s="2">
        <f t="shared" si="309"/>
        <v>102.55101340198544</v>
      </c>
    </row>
    <row r="4911" spans="1:21" x14ac:dyDescent="0.25">
      <c r="A4911">
        <v>5419277</v>
      </c>
      <c r="B4911">
        <v>17</v>
      </c>
      <c r="C4911" s="1">
        <f>0.818442805038293*(10.3/7.3)</f>
        <v>1.1547891632732086</v>
      </c>
      <c r="D4911" s="1">
        <f>1.23287987206162*(10.3/7.3)</f>
        <v>1.7395428331828393</v>
      </c>
      <c r="E4911" s="1">
        <f>4.25788736951285*(10.3/7.3)</f>
        <v>6.0077040967099169</v>
      </c>
      <c r="F4911" s="1">
        <f>11.9501694993458*(38.9/42.5)</f>
        <v>10.937919847636548</v>
      </c>
      <c r="G4911" s="1">
        <v>0.61394165264618661</v>
      </c>
      <c r="H4911" s="1">
        <v>2.2114443905136421</v>
      </c>
      <c r="I4911" s="1">
        <v>9.0399177327856943</v>
      </c>
      <c r="J4911" s="1">
        <v>6.4682898874594788E-2</v>
      </c>
      <c r="K4911" s="1">
        <v>3.386568346998557</v>
      </c>
      <c r="L4911" s="1">
        <v>2.3703355230778191</v>
      </c>
      <c r="M4911" s="1">
        <v>0.98935186747706494</v>
      </c>
      <c r="N4911" s="1">
        <v>1.3446111123528386</v>
      </c>
      <c r="O4911" s="1">
        <v>0.42182274509803919</v>
      </c>
      <c r="P4911" s="1">
        <v>0.1560989685498046</v>
      </c>
      <c r="Q4911" s="1">
        <v>0.9811852896171942</v>
      </c>
      <c r="R4911" s="2">
        <f t="shared" si="307"/>
        <v>32.686445006365226</v>
      </c>
      <c r="S4911" s="2">
        <f t="shared" si="306"/>
        <v>3.6073502144229561</v>
      </c>
      <c r="T4911" s="2">
        <f t="shared" si="308"/>
        <v>5.1261212480057612</v>
      </c>
      <c r="U4911" s="2">
        <f t="shared" si="309"/>
        <v>41.419916468793943</v>
      </c>
    </row>
    <row r="4912" spans="1:21" x14ac:dyDescent="0.25">
      <c r="A4912">
        <v>5419285</v>
      </c>
      <c r="B4912">
        <v>11</v>
      </c>
      <c r="C4912" s="1">
        <f>0.830402208754733*(10.3/7.3)</f>
        <v>1.17166339043476</v>
      </c>
      <c r="D4912" s="1">
        <f>1.25684899162184*(10.3/7.3)</f>
        <v>1.7733622758499894</v>
      </c>
      <c r="E4912" s="1">
        <f>4.34159335546318*(10.3/7.3)</f>
        <v>6.1258098029138015</v>
      </c>
      <c r="F4912" s="1">
        <f>12.0978416833081*(38.9/42.5)</f>
        <v>11.073083328957296</v>
      </c>
      <c r="G4912" s="1">
        <v>0.61896500670409371</v>
      </c>
      <c r="H4912" s="1">
        <v>2.4422387471679792</v>
      </c>
      <c r="I4912" s="1">
        <v>9.1305606222583098</v>
      </c>
      <c r="J4912" s="1">
        <v>5.3879429817566639E-2</v>
      </c>
      <c r="K4912" s="1">
        <v>3.7269899767652217</v>
      </c>
      <c r="L4912" s="1">
        <v>2.4306508116410286</v>
      </c>
      <c r="M4912" s="1">
        <v>1.2008203762274909</v>
      </c>
      <c r="N4912" s="1">
        <v>1.758791868057856</v>
      </c>
      <c r="O4912" s="1">
        <v>0.44209939393939396</v>
      </c>
      <c r="P4912" s="1">
        <v>0.16500239095753969</v>
      </c>
      <c r="Q4912" s="1">
        <v>0.98921348103394091</v>
      </c>
      <c r="R4912" s="2">
        <f t="shared" si="307"/>
        <v>33.324896655320174</v>
      </c>
      <c r="S4912" s="2">
        <f t="shared" si="306"/>
        <v>3.9458717975403279</v>
      </c>
      <c r="T4912" s="2">
        <f t="shared" si="308"/>
        <v>5.8323624498657693</v>
      </c>
      <c r="U4912" s="2">
        <f t="shared" si="309"/>
        <v>43.103130902726271</v>
      </c>
    </row>
    <row r="4913" spans="1:21" x14ac:dyDescent="0.25">
      <c r="A4913">
        <v>5419293</v>
      </c>
      <c r="B4913">
        <v>40</v>
      </c>
      <c r="C4913" s="1">
        <f>0.908105319419582*(10.3/7.3)</f>
        <v>1.2812992863043418</v>
      </c>
      <c r="D4913" s="1">
        <f>1.38723106473533*(10.3/7.3)</f>
        <v>1.9573260228457452</v>
      </c>
      <c r="E4913" s="1">
        <f>4.78855070433022*(10.3/7.3)</f>
        <v>6.7564482540549706</v>
      </c>
      <c r="F4913" s="1">
        <f>13.4340460231574*(38.9/42.5)</f>
        <v>12.296103301195856</v>
      </c>
      <c r="G4913" s="1">
        <v>0.69093381996488423</v>
      </c>
      <c r="H4913" s="1">
        <v>2.7676265374360556</v>
      </c>
      <c r="I4913" s="1">
        <v>10.132463413493776</v>
      </c>
      <c r="J4913" s="1">
        <v>6.8184041174741999E-2</v>
      </c>
      <c r="K4913" s="1">
        <v>4.5476793808172413</v>
      </c>
      <c r="L4913" s="1">
        <v>2.8163763260680938</v>
      </c>
      <c r="M4913" s="1">
        <v>1.5058914057830195</v>
      </c>
      <c r="N4913" s="1">
        <v>1.8690829415930721</v>
      </c>
      <c r="O4913" s="1">
        <v>0.52643066666666649</v>
      </c>
      <c r="P4913" s="1">
        <v>0.18479240209848402</v>
      </c>
      <c r="Q4913" s="1">
        <v>1.1042321323639712</v>
      </c>
      <c r="R4913" s="2">
        <f t="shared" si="307"/>
        <v>36.986432767659593</v>
      </c>
      <c r="S4913" s="2">
        <f t="shared" si="306"/>
        <v>4.8006558240904678</v>
      </c>
      <c r="T4913" s="2">
        <f t="shared" si="308"/>
        <v>6.7177813401108519</v>
      </c>
      <c r="U4913" s="2">
        <f t="shared" si="309"/>
        <v>48.504869931860917</v>
      </c>
    </row>
    <row r="4914" spans="1:21" x14ac:dyDescent="0.25">
      <c r="A4914">
        <v>5419301</v>
      </c>
      <c r="B4914">
        <v>20</v>
      </c>
      <c r="C4914" s="1">
        <f>1.27630618018161*(10.3/7.3)</f>
        <v>1.8008155692973453</v>
      </c>
      <c r="D4914" s="1">
        <f>2.01345038379261*(10.3/7.3)</f>
        <v>2.8408957469950527</v>
      </c>
      <c r="E4914" s="1">
        <f>6.91920758056443*(10.3/7.3)</f>
        <v>9.7627175451799459</v>
      </c>
      <c r="F4914" s="1">
        <f>20.579860494437*(38.9/42.5)</f>
        <v>18.836625252555283</v>
      </c>
      <c r="G4914" s="1">
        <v>1.0996443917581684</v>
      </c>
      <c r="H4914" s="1">
        <v>3.700268368497567</v>
      </c>
      <c r="I4914" s="1">
        <v>15.59070126776434</v>
      </c>
      <c r="J4914" s="1">
        <v>9.7309391764288877E-2</v>
      </c>
      <c r="K4914" s="1">
        <v>5.1196037989280416</v>
      </c>
      <c r="L4914" s="1">
        <v>3.8123990145764366</v>
      </c>
      <c r="M4914" s="1">
        <v>1.934314066499264</v>
      </c>
      <c r="N4914" s="1">
        <v>2.2179104386284769</v>
      </c>
      <c r="O4914" s="1">
        <v>0.66136000000000006</v>
      </c>
      <c r="P4914" s="1">
        <v>0.1976570505440072</v>
      </c>
      <c r="Q4914" s="1">
        <v>1.75742254390575</v>
      </c>
      <c r="R4914" s="2">
        <f t="shared" si="307"/>
        <v>55.389090685953448</v>
      </c>
      <c r="S4914" s="2">
        <f t="shared" si="306"/>
        <v>5.4145702412363379</v>
      </c>
      <c r="T4914" s="2">
        <f t="shared" si="308"/>
        <v>8.6259835197041781</v>
      </c>
      <c r="U4914" s="2">
        <f t="shared" si="309"/>
        <v>69.429644446893974</v>
      </c>
    </row>
    <row r="4915" spans="1:21" x14ac:dyDescent="0.25">
      <c r="A4915">
        <v>5419733</v>
      </c>
      <c r="B4915">
        <v>11</v>
      </c>
      <c r="C4915" s="1">
        <f>5.81614662912151*(10.3/7.3)</f>
        <v>8.2063438739659649</v>
      </c>
      <c r="D4915" s="1">
        <f>10.4704323886661*(10.3/7.3)</f>
        <v>14.773349808665929</v>
      </c>
      <c r="E4915" s="1">
        <f>36.308754105532*(10.3/7.3)</f>
        <v>51.230159902326029</v>
      </c>
      <c r="F4915" s="1">
        <f>82.8992384958092*(38.9/42.5)</f>
        <v>75.877185352634811</v>
      </c>
      <c r="G4915" s="1">
        <v>3.720695932793491</v>
      </c>
      <c r="H4915" s="1">
        <v>6.9765162571020873</v>
      </c>
      <c r="I4915" s="1">
        <v>57.497859660736431</v>
      </c>
      <c r="J4915" s="1">
        <v>6.2802501573200761E-2</v>
      </c>
      <c r="K4915" s="1">
        <v>3.4674632178405291</v>
      </c>
      <c r="L4915" s="1">
        <v>4.3272632898292516</v>
      </c>
      <c r="M4915" s="1">
        <v>0.30992385580194437</v>
      </c>
      <c r="N4915" s="1">
        <v>2.8746096651919886</v>
      </c>
      <c r="O4915" s="1">
        <v>0.24359757575757576</v>
      </c>
      <c r="P4915" s="1">
        <v>0.15494681815482203</v>
      </c>
      <c r="Q4915" s="1">
        <v>5.9463177008115204</v>
      </c>
      <c r="R4915" s="2">
        <f t="shared" si="307"/>
        <v>224.22842848903628</v>
      </c>
      <c r="S4915" s="2">
        <f t="shared" si="306"/>
        <v>3.6852125375685518</v>
      </c>
      <c r="T4915" s="2">
        <f t="shared" si="308"/>
        <v>7.7553943865807611</v>
      </c>
      <c r="U4915" s="2">
        <f t="shared" si="309"/>
        <v>235.66903541318561</v>
      </c>
    </row>
    <row r="4916" spans="1:21" x14ac:dyDescent="0.25">
      <c r="A4916">
        <v>5419741</v>
      </c>
      <c r="B4916">
        <v>48</v>
      </c>
      <c r="C4916" s="1">
        <f>5.06826324105885*(10.3/7.3)</f>
        <v>7.1511111483433112</v>
      </c>
      <c r="D4916" s="1">
        <f>9.02010830360422*(10.3/7.3)</f>
        <v>12.727002127003217</v>
      </c>
      <c r="E4916" s="1">
        <f>31.2973403994287*(10.3/7.3)</f>
        <v>44.159261111522632</v>
      </c>
      <c r="F4916" s="1">
        <f>71.1281006312419*(38.9/42.5)</f>
        <v>65.103132107183782</v>
      </c>
      <c r="G4916" s="1">
        <v>3.1752149552562314</v>
      </c>
      <c r="H4916" s="1">
        <v>6.4364986487574507</v>
      </c>
      <c r="I4916" s="1">
        <v>49.400371905914177</v>
      </c>
      <c r="J4916" s="1">
        <v>6.0569965632726715E-2</v>
      </c>
      <c r="K4916" s="1">
        <v>3.2854924418227043</v>
      </c>
      <c r="L4916" s="1">
        <v>4.1522128422155413</v>
      </c>
      <c r="M4916" s="1">
        <v>0.29970543478161044</v>
      </c>
      <c r="N4916" s="1">
        <v>2.5406054473127631</v>
      </c>
      <c r="O4916" s="1">
        <v>0.23504888888888895</v>
      </c>
      <c r="P4916" s="1">
        <v>0.15187507321239049</v>
      </c>
      <c r="Q4916" s="1">
        <v>5.0745444490396432</v>
      </c>
      <c r="R4916" s="2">
        <f t="shared" si="307"/>
        <v>193.22713645302045</v>
      </c>
      <c r="S4916" s="2">
        <f t="shared" si="306"/>
        <v>3.4979374806678214</v>
      </c>
      <c r="T4916" s="2">
        <f t="shared" si="308"/>
        <v>7.2275726131988032</v>
      </c>
      <c r="U4916" s="2">
        <f t="shared" si="309"/>
        <v>203.95264654688708</v>
      </c>
    </row>
    <row r="4917" spans="1:21" x14ac:dyDescent="0.25">
      <c r="A4917">
        <v>5419749</v>
      </c>
      <c r="B4917">
        <v>48</v>
      </c>
      <c r="C4917" s="1">
        <f>5.15748890351973*(10.3/7.3)</f>
        <v>7.2770048912675662</v>
      </c>
      <c r="D4917" s="1">
        <f>9.03963226577299*(10.3/7.3)</f>
        <v>12.754549635268733</v>
      </c>
      <c r="E4917" s="1">
        <f>31.3923680062224*(10.3/7.3)</f>
        <v>44.293341159464504</v>
      </c>
      <c r="F4917" s="1">
        <f>70.7470056447234*(38.9/42.5)</f>
        <v>64.754318107758635</v>
      </c>
      <c r="G4917" s="1">
        <v>3.1288769525934246</v>
      </c>
      <c r="H4917" s="1">
        <v>6.5373412098105561</v>
      </c>
      <c r="I4917" s="1">
        <v>49.196566479393262</v>
      </c>
      <c r="J4917" s="1">
        <v>5.5735365351846033E-2</v>
      </c>
      <c r="K4917" s="1">
        <v>3.4009350465174681</v>
      </c>
      <c r="L4917" s="1">
        <v>4.4222308180003225</v>
      </c>
      <c r="M4917" s="1">
        <v>0.31351660767466644</v>
      </c>
      <c r="N4917" s="1">
        <v>3.3800646915610084</v>
      </c>
      <c r="O4917" s="1">
        <v>0.24329333333333344</v>
      </c>
      <c r="P4917" s="1">
        <v>0.15798476311164314</v>
      </c>
      <c r="Q4917" s="1">
        <v>5.0004882804004547</v>
      </c>
      <c r="R4917" s="2">
        <f t="shared" si="307"/>
        <v>192.94248671595713</v>
      </c>
      <c r="S4917" s="2">
        <f t="shared" si="306"/>
        <v>3.6146551749809572</v>
      </c>
      <c r="T4917" s="2">
        <f t="shared" si="308"/>
        <v>8.3591054505693307</v>
      </c>
      <c r="U4917" s="2">
        <f t="shared" si="309"/>
        <v>204.91624734150741</v>
      </c>
    </row>
    <row r="4918" spans="1:21" x14ac:dyDescent="0.25">
      <c r="A4918">
        <v>5419757</v>
      </c>
      <c r="B4918">
        <v>58</v>
      </c>
      <c r="C4918" s="1">
        <f>5.80449877876009*(10.3/7.3)</f>
        <v>8.1899092357847891</v>
      </c>
      <c r="D4918" s="1">
        <f>10.0593428783204*(10.3/7.3)</f>
        <v>14.193319403657574</v>
      </c>
      <c r="E4918" s="1">
        <f>34.9519979162265*(10.3/7.3)</f>
        <v>49.31583267631963</v>
      </c>
      <c r="F4918" s="1">
        <f>78.4905072964488*(38.9/42.5)</f>
        <v>71.841899619573098</v>
      </c>
      <c r="G4918" s="1">
        <v>3.4554335762793489</v>
      </c>
      <c r="H4918" s="1">
        <v>6.9891575823271346</v>
      </c>
      <c r="I4918" s="1">
        <v>54.67569451432864</v>
      </c>
      <c r="J4918" s="1">
        <v>5.8579329994221781E-2</v>
      </c>
      <c r="K4918" s="1">
        <v>3.5863903426049282</v>
      </c>
      <c r="L4918" s="1">
        <v>4.8002682894722737</v>
      </c>
      <c r="M4918" s="1">
        <v>0.32963651289848028</v>
      </c>
      <c r="N4918" s="1">
        <v>2.9590170984823265</v>
      </c>
      <c r="O4918" s="1">
        <v>0.25726896551724138</v>
      </c>
      <c r="P4918" s="1">
        <v>0.16580056722319747</v>
      </c>
      <c r="Q4918" s="1">
        <v>5.5223824278437137</v>
      </c>
      <c r="R4918" s="2">
        <f t="shared" si="307"/>
        <v>214.1836290361139</v>
      </c>
      <c r="S4918" s="2">
        <f t="shared" si="306"/>
        <v>3.8107702398223475</v>
      </c>
      <c r="T4918" s="2">
        <f t="shared" si="308"/>
        <v>8.3461908663703213</v>
      </c>
      <c r="U4918" s="2">
        <f t="shared" si="309"/>
        <v>226.34059014230655</v>
      </c>
    </row>
    <row r="4919" spans="1:21" x14ac:dyDescent="0.25">
      <c r="A4919">
        <v>5419765</v>
      </c>
      <c r="B4919">
        <v>58</v>
      </c>
      <c r="C4919" s="1">
        <f>3.04474171679956*(10.3/7.3)</f>
        <v>4.2960054360322548</v>
      </c>
      <c r="D4919" s="1">
        <f>5.19119018871299*(10.3/7.3)</f>
        <v>7.3245560196909274</v>
      </c>
      <c r="E4919" s="1">
        <f>18.0568543011399*(10.3/7.3)</f>
        <v>25.477479356402839</v>
      </c>
      <c r="F4919" s="1">
        <f>40.0493201506993*(38.9/42.5)</f>
        <v>36.656907149698888</v>
      </c>
      <c r="G4919" s="1">
        <v>1.7394359855794219</v>
      </c>
      <c r="H4919" s="1">
        <v>4.494572902775789</v>
      </c>
      <c r="I4919" s="1">
        <v>27.912437016950957</v>
      </c>
      <c r="J4919" s="1">
        <v>3.6510280935558116E-2</v>
      </c>
      <c r="K4919" s="1">
        <v>2.5136964049813555</v>
      </c>
      <c r="L4919" s="1">
        <v>2.8998331769613817</v>
      </c>
      <c r="M4919" s="1">
        <v>0.21456376853934755</v>
      </c>
      <c r="N4919" s="1">
        <v>1.7683304013630441</v>
      </c>
      <c r="O4919" s="1">
        <v>0.17366528735632183</v>
      </c>
      <c r="P4919" s="1">
        <v>0.12298708331184204</v>
      </c>
      <c r="Q4919" s="1">
        <v>2.7799205248986225</v>
      </c>
      <c r="R4919" s="2">
        <f t="shared" si="307"/>
        <v>110.68131439202971</v>
      </c>
      <c r="S4919" s="2">
        <f t="shared" si="306"/>
        <v>2.6731937692287557</v>
      </c>
      <c r="T4919" s="2">
        <f t="shared" si="308"/>
        <v>5.0563926342200949</v>
      </c>
      <c r="U4919" s="2">
        <f t="shared" si="309"/>
        <v>118.41090079547855</v>
      </c>
    </row>
    <row r="4920" spans="1:21" x14ac:dyDescent="0.25">
      <c r="A4920">
        <v>5419773</v>
      </c>
      <c r="B4920">
        <v>58</v>
      </c>
      <c r="C4920" s="1">
        <f>4.71995018894451*(10.3/7.3)</f>
        <v>6.6596557460449981</v>
      </c>
      <c r="D4920" s="1">
        <f>8.00583772636631*(10.3/7.3)</f>
        <v>11.295908024873009</v>
      </c>
      <c r="E4920" s="1">
        <f>27.8477553798507*(10.3/7.3)</f>
        <v>39.292038412666059</v>
      </c>
      <c r="F4920" s="1">
        <f>61.9833973109582*(38.9/42.5)</f>
        <v>56.733038950500585</v>
      </c>
      <c r="G4920" s="1">
        <v>2.6991707340783844</v>
      </c>
      <c r="H4920" s="1">
        <v>5.9896557505602042</v>
      </c>
      <c r="I4920" s="1">
        <v>43.29815240743887</v>
      </c>
      <c r="J4920" s="1">
        <v>4.8382911365626058E-2</v>
      </c>
      <c r="K4920" s="1">
        <v>3.0696977486147681</v>
      </c>
      <c r="L4920" s="1">
        <v>3.9236541152933677</v>
      </c>
      <c r="M4920" s="1">
        <v>0.26800354153171618</v>
      </c>
      <c r="N4920" s="1">
        <v>2.2230582332782141</v>
      </c>
      <c r="O4920" s="1">
        <v>0.21530022988505751</v>
      </c>
      <c r="P4920" s="1">
        <v>0.14406676449146016</v>
      </c>
      <c r="Q4920" s="1">
        <v>4.3137431823170571</v>
      </c>
      <c r="R4920" s="2">
        <f t="shared" si="307"/>
        <v>170.28136320847918</v>
      </c>
      <c r="S4920" s="2">
        <f t="shared" si="306"/>
        <v>3.2621474244718547</v>
      </c>
      <c r="T4920" s="2">
        <f t="shared" si="308"/>
        <v>6.6300161199883565</v>
      </c>
      <c r="U4920" s="2">
        <f t="shared" si="309"/>
        <v>180.17352675293941</v>
      </c>
    </row>
    <row r="4921" spans="1:21" x14ac:dyDescent="0.25">
      <c r="A4921">
        <v>5419781</v>
      </c>
      <c r="B4921">
        <v>58</v>
      </c>
      <c r="C4921" s="1">
        <f>5.59263500596266*(10.3/7.3)</f>
        <v>7.8909781590979957</v>
      </c>
      <c r="D4921" s="1">
        <f>9.36361010904314*(10.3/7.3)</f>
        <v>13.211669057964974</v>
      </c>
      <c r="E4921" s="1">
        <f>32.5835017810793*(10.3/7.3)</f>
        <v>45.973981965084505</v>
      </c>
      <c r="F4921" s="1">
        <f>72.6002912287893*(38.9/42.5)</f>
        <v>66.450619501174188</v>
      </c>
      <c r="G4921" s="1">
        <v>3.1592810398738012</v>
      </c>
      <c r="H4921" s="1">
        <v>6.5323218858977947</v>
      </c>
      <c r="I4921" s="1">
        <v>50.894726321341658</v>
      </c>
      <c r="J4921" s="1">
        <v>5.5287335465475027E-2</v>
      </c>
      <c r="K4921" s="1">
        <v>3.3441724269697732</v>
      </c>
      <c r="L4921" s="1">
        <v>4.449394131490334</v>
      </c>
      <c r="M4921" s="1">
        <v>0.29011872173184367</v>
      </c>
      <c r="N4921" s="1">
        <v>2.4940399221453142</v>
      </c>
      <c r="O4921" s="1">
        <v>0.23367724137931042</v>
      </c>
      <c r="P4921" s="1">
        <v>0.15458110993079721</v>
      </c>
      <c r="Q4921" s="1">
        <v>5.0490792874695485</v>
      </c>
      <c r="R4921" s="2">
        <f t="shared" si="307"/>
        <v>199.16265721790447</v>
      </c>
      <c r="S4921" s="2">
        <f t="shared" si="306"/>
        <v>3.5540408723660453</v>
      </c>
      <c r="T4921" s="2">
        <f t="shared" si="308"/>
        <v>7.4672300167468029</v>
      </c>
      <c r="U4921" s="2">
        <f t="shared" si="309"/>
        <v>210.18392810701732</v>
      </c>
    </row>
    <row r="4922" spans="1:21" x14ac:dyDescent="0.25">
      <c r="A4922">
        <v>5419789</v>
      </c>
      <c r="B4922">
        <v>58</v>
      </c>
      <c r="C4922" s="1">
        <f>6.12909286707168*(10.3/7.3)</f>
        <v>8.6478981549093632</v>
      </c>
      <c r="D4922" s="1">
        <f>10.1539369042752*(10.3/7.3)</f>
        <v>14.326787686854003</v>
      </c>
      <c r="E4922" s="1">
        <f>35.344934674348*(10.3/7.3)</f>
        <v>49.870250293943045</v>
      </c>
      <c r="F4922" s="1">
        <f>78.8308434307948*(38.9/42.5)</f>
        <v>72.153407281362789</v>
      </c>
      <c r="G4922" s="1">
        <v>3.4288318305518728</v>
      </c>
      <c r="H4922" s="1">
        <v>7.1478454383383419</v>
      </c>
      <c r="I4922" s="1">
        <v>55.424969292984549</v>
      </c>
      <c r="J4922" s="1">
        <v>5.8625712600809322E-2</v>
      </c>
      <c r="K4922" s="1">
        <v>3.4512702705258311</v>
      </c>
      <c r="L4922" s="1">
        <v>4.6577609632111541</v>
      </c>
      <c r="M4922" s="1">
        <v>0.29581171231355641</v>
      </c>
      <c r="N4922" s="1">
        <v>2.6333064148854737</v>
      </c>
      <c r="O4922" s="1">
        <v>0.23912367816091962</v>
      </c>
      <c r="P4922" s="1">
        <v>0.15747605498430606</v>
      </c>
      <c r="Q4922" s="1">
        <v>5.4798682223431818</v>
      </c>
      <c r="R4922" s="2">
        <f t="shared" si="307"/>
        <v>216.47985820128713</v>
      </c>
      <c r="S4922" s="2">
        <f t="shared" si="306"/>
        <v>3.6673720381109463</v>
      </c>
      <c r="T4922" s="2">
        <f t="shared" si="308"/>
        <v>7.8260027685711036</v>
      </c>
      <c r="U4922" s="2">
        <f t="shared" si="309"/>
        <v>227.97323300796918</v>
      </c>
    </row>
    <row r="4923" spans="1:21" x14ac:dyDescent="0.25">
      <c r="A4923">
        <v>5419797</v>
      </c>
      <c r="B4923">
        <v>58</v>
      </c>
      <c r="C4923" s="1">
        <f>6.51358180260029*(10.3/7.3)</f>
        <v>9.1903962420250629</v>
      </c>
      <c r="D4923" s="1">
        <f>10.692835054663*(10.3/7.3)</f>
        <v>15.087150830551888</v>
      </c>
      <c r="E4923" s="1">
        <f>37.2385814475373*(10.3/7.3)</f>
        <v>52.542108069812933</v>
      </c>
      <c r="F4923" s="1">
        <f>82.7479919544129*(38.9/42.5)</f>
        <v>75.738750282980234</v>
      </c>
      <c r="G4923" s="1">
        <v>3.5824300883927909</v>
      </c>
      <c r="H4923" s="1">
        <v>7.3839660182499021</v>
      </c>
      <c r="I4923" s="1">
        <v>58.25614247364495</v>
      </c>
      <c r="J4923" s="1">
        <v>6.0772188432478065E-2</v>
      </c>
      <c r="K4923" s="1">
        <v>3.4971050759337459</v>
      </c>
      <c r="L4923" s="1">
        <v>4.7427994890394887</v>
      </c>
      <c r="M4923" s="1">
        <v>0.2938904992044466</v>
      </c>
      <c r="N4923" s="1">
        <v>2.6558621732659127</v>
      </c>
      <c r="O4923" s="1">
        <v>0.23986666666666678</v>
      </c>
      <c r="P4923" s="1">
        <v>0.157338518180722</v>
      </c>
      <c r="Q4923" s="1">
        <v>5.7253448901254735</v>
      </c>
      <c r="R4923" s="2">
        <f t="shared" si="307"/>
        <v>227.50628889578323</v>
      </c>
      <c r="S4923" s="2">
        <f t="shared" si="306"/>
        <v>3.7152157825469461</v>
      </c>
      <c r="T4923" s="2">
        <f t="shared" si="308"/>
        <v>7.9324188281765151</v>
      </c>
      <c r="U4923" s="2">
        <f t="shared" si="309"/>
        <v>239.15392350650669</v>
      </c>
    </row>
    <row r="4924" spans="1:21" x14ac:dyDescent="0.25">
      <c r="A4924">
        <v>5419805</v>
      </c>
      <c r="B4924">
        <v>58</v>
      </c>
      <c r="C4924" s="1">
        <f>6.59797846303334*(10.3/7.3)</f>
        <v>9.3094764615401875</v>
      </c>
      <c r="D4924" s="1">
        <f>10.6713114151792*(10.3/7.3)</f>
        <v>15.05678185977346</v>
      </c>
      <c r="E4924" s="1">
        <f>37.1851815004416*(10.3/7.3)</f>
        <v>52.466762938979258</v>
      </c>
      <c r="F4924" s="1">
        <f>82.5177196798483*(38.9/42.5)</f>
        <v>75.527983424614092</v>
      </c>
      <c r="G4924" s="1">
        <v>3.560749110651066</v>
      </c>
      <c r="H4924" s="1">
        <v>7.3431936640046889</v>
      </c>
      <c r="I4924" s="1">
        <v>58.295933379123852</v>
      </c>
      <c r="J4924" s="1">
        <v>6.2663340451858993E-2</v>
      </c>
      <c r="K4924" s="1">
        <v>3.3491426370543631</v>
      </c>
      <c r="L4924" s="1">
        <v>4.5116765526245972</v>
      </c>
      <c r="M4924" s="1">
        <v>0.27840898414896131</v>
      </c>
      <c r="N4924" s="1">
        <v>2.61020617334525</v>
      </c>
      <c r="O4924" s="1">
        <v>0.22682298850574714</v>
      </c>
      <c r="P4924" s="1">
        <v>0.15043986781158658</v>
      </c>
      <c r="Q4924" s="1">
        <v>5.6906949256980557</v>
      </c>
      <c r="R4924" s="2">
        <f t="shared" si="307"/>
        <v>227.25157576438471</v>
      </c>
      <c r="S4924" s="2">
        <f t="shared" si="306"/>
        <v>3.5622458453178085</v>
      </c>
      <c r="T4924" s="2">
        <f t="shared" si="308"/>
        <v>7.6271146986245553</v>
      </c>
      <c r="U4924" s="2">
        <f t="shared" si="309"/>
        <v>238.44093630832708</v>
      </c>
    </row>
    <row r="4925" spans="1:21" x14ac:dyDescent="0.25">
      <c r="A4925">
        <v>5419813</v>
      </c>
      <c r="B4925">
        <v>57</v>
      </c>
      <c r="C4925" s="1">
        <f>6.36814794682206*(10.3/7.3)</f>
        <v>8.9851950482557772</v>
      </c>
      <c r="D4925" s="1">
        <f>10.1428460615135*(10.3/7.3)</f>
        <v>14.311138963505339</v>
      </c>
      <c r="E4925" s="1">
        <f>35.3490227131349*(10.3/7.3)</f>
        <v>49.876018348669753</v>
      </c>
      <c r="F4925" s="1">
        <f>79.1482818589872*(38.9/42.5)</f>
        <v>72.443956807402387</v>
      </c>
      <c r="G4925" s="1">
        <v>3.4371087297696929</v>
      </c>
      <c r="H4925" s="1">
        <v>7.6296040085037449</v>
      </c>
      <c r="I4925" s="1">
        <v>56.269408730910449</v>
      </c>
      <c r="J4925" s="1">
        <v>6.2619563321262742E-2</v>
      </c>
      <c r="K4925" s="1">
        <v>3.2364080494003233</v>
      </c>
      <c r="L4925" s="1">
        <v>4.2838799729441526</v>
      </c>
      <c r="M4925" s="1">
        <v>0.25583491409070325</v>
      </c>
      <c r="N4925" s="1">
        <v>2.5812565719992921</v>
      </c>
      <c r="O4925" s="1">
        <v>0.21534035087719294</v>
      </c>
      <c r="P4925" s="1">
        <v>0.14424631942715216</v>
      </c>
      <c r="Q4925" s="1">
        <v>5.4930961434675512</v>
      </c>
      <c r="R4925" s="2">
        <f t="shared" si="307"/>
        <v>218.4455267804847</v>
      </c>
      <c r="S4925" s="2">
        <f t="shared" si="306"/>
        <v>3.4432739321487382</v>
      </c>
      <c r="T4925" s="2">
        <f t="shared" si="308"/>
        <v>7.3363118099113418</v>
      </c>
      <c r="U4925" s="2">
        <f t="shared" si="309"/>
        <v>229.22511252254478</v>
      </c>
    </row>
    <row r="4926" spans="1:21" x14ac:dyDescent="0.25">
      <c r="A4926">
        <v>5419845</v>
      </c>
      <c r="B4926">
        <v>44</v>
      </c>
      <c r="C4926" s="1">
        <f>5.09611651127271*(10.3/7.3)</f>
        <v>7.1904109679601218</v>
      </c>
      <c r="D4926" s="1">
        <f>8.01707378475785*(10.3/7.3)</f>
        <v>11.311761641507649</v>
      </c>
      <c r="E4926" s="1">
        <f>27.8833887672487*(10.3/7.3)</f>
        <v>39.34231565789878</v>
      </c>
      <c r="F4926" s="1">
        <f>65.9564165925334*(38.9/42.5)</f>
        <v>60.369520128224714</v>
      </c>
      <c r="G4926" s="1">
        <v>3.0029171624318676</v>
      </c>
      <c r="H4926" s="1">
        <v>9.4054408088393764</v>
      </c>
      <c r="I4926" s="1">
        <v>47.679508185335187</v>
      </c>
      <c r="J4926" s="1">
        <v>3.9780999588412497E-2</v>
      </c>
      <c r="K4926" s="1">
        <v>2.3786359942710074</v>
      </c>
      <c r="L4926" s="1">
        <v>3.5421617255340148</v>
      </c>
      <c r="M4926" s="1">
        <v>0.17825084718921641</v>
      </c>
      <c r="N4926" s="1">
        <v>1.7799715996776309</v>
      </c>
      <c r="O4926" s="1">
        <v>0.14869696969696974</v>
      </c>
      <c r="P4926" s="1">
        <v>0.10775472534405424</v>
      </c>
      <c r="Q4926" s="1">
        <v>4.7991826796856367</v>
      </c>
      <c r="R4926" s="2">
        <f t="shared" si="307"/>
        <v>183.10105723188332</v>
      </c>
      <c r="S4926" s="2">
        <f t="shared" si="306"/>
        <v>2.5261717192034738</v>
      </c>
      <c r="T4926" s="2">
        <f t="shared" si="308"/>
        <v>5.649081142097832</v>
      </c>
      <c r="U4926" s="2">
        <f t="shared" si="309"/>
        <v>191.27631009318461</v>
      </c>
    </row>
    <row r="4927" spans="1:21" x14ac:dyDescent="0.25">
      <c r="A4927">
        <v>5419853</v>
      </c>
      <c r="B4927">
        <v>51</v>
      </c>
      <c r="C4927" s="1">
        <f>5.19771588790009*(10.3/7.3)</f>
        <v>7.3337635130645076</v>
      </c>
      <c r="D4927" s="1">
        <f>7.73044814435451*(10.3/7.3)</f>
        <v>10.907344642034447</v>
      </c>
      <c r="E4927" s="1">
        <f>26.8824138249369*(10.3/7.3)</f>
        <v>37.929981150253376</v>
      </c>
      <c r="F4927" s="1">
        <f>66.6525251177525*(38.9/42.5)</f>
        <v>61.006664166601688</v>
      </c>
      <c r="G4927" s="1">
        <v>3.1319182908119503</v>
      </c>
      <c r="H4927" s="1">
        <v>9.1044403571839343</v>
      </c>
      <c r="I4927" s="1">
        <v>49.3559741982966</v>
      </c>
      <c r="J4927" s="1">
        <v>3.8212129835593175E-2</v>
      </c>
      <c r="K4927" s="1">
        <v>2.3090842066793162</v>
      </c>
      <c r="L4927" s="1">
        <v>3.0297694769377852</v>
      </c>
      <c r="M4927" s="1">
        <v>0.17115345251245725</v>
      </c>
      <c r="N4927" s="1">
        <v>1.7148266805798811</v>
      </c>
      <c r="O4927" s="1">
        <v>0.14293228758169935</v>
      </c>
      <c r="P4927" s="1">
        <v>0.10417323978606677</v>
      </c>
      <c r="Q4927" s="1">
        <v>5.0053488665944483</v>
      </c>
      <c r="R4927" s="2">
        <f t="shared" si="307"/>
        <v>183.77543518484097</v>
      </c>
      <c r="S4927" s="2">
        <f t="shared" si="306"/>
        <v>2.4514695763009762</v>
      </c>
      <c r="T4927" s="2">
        <f t="shared" si="308"/>
        <v>5.0586818976118222</v>
      </c>
      <c r="U4927" s="2">
        <f t="shared" si="309"/>
        <v>191.28558665875377</v>
      </c>
    </row>
    <row r="4928" spans="1:21" x14ac:dyDescent="0.25">
      <c r="A4928">
        <v>5419933</v>
      </c>
      <c r="B4928">
        <v>13</v>
      </c>
      <c r="C4928" s="1">
        <f>14.9270577825376*(10.3/7.3)</f>
        <v>21.06146509042977</v>
      </c>
      <c r="D4928" s="1">
        <f>14.7852082715966*(10.3/7.3)</f>
        <v>20.861321259923983</v>
      </c>
      <c r="E4928" s="1">
        <f>52.7451235822533*(10.3/7.3)</f>
        <v>74.421201766740978</v>
      </c>
      <c r="F4928" s="1">
        <f>113.186534079433*(38.9/42.5)</f>
        <v>103.5989688397631</v>
      </c>
      <c r="G4928" s="1">
        <v>4.3016192555409081</v>
      </c>
      <c r="H4928" s="1">
        <v>9.0077767043117944</v>
      </c>
      <c r="I4928" s="1">
        <v>92.468753270387509</v>
      </c>
      <c r="J4928" s="1">
        <v>4.387668525137204E-2</v>
      </c>
      <c r="K4928" s="1">
        <v>2.576139172351418</v>
      </c>
      <c r="L4928" s="1">
        <v>3.114218258191614</v>
      </c>
      <c r="M4928" s="1">
        <v>0.16481665442596902</v>
      </c>
      <c r="N4928" s="1">
        <v>1.9290291287467647</v>
      </c>
      <c r="O4928" s="1">
        <v>0.14729846153846154</v>
      </c>
      <c r="P4928" s="1">
        <v>0.10502064647679249</v>
      </c>
      <c r="Q4928" s="1">
        <v>6.8747339700425547</v>
      </c>
      <c r="R4928" s="2">
        <f t="shared" si="307"/>
        <v>332.59584015714057</v>
      </c>
      <c r="S4928" s="2">
        <f t="shared" si="306"/>
        <v>2.7250365040795828</v>
      </c>
      <c r="T4928" s="2">
        <f t="shared" si="308"/>
        <v>5.3553625029028096</v>
      </c>
      <c r="U4928" s="2">
        <f t="shared" si="309"/>
        <v>340.67623916412299</v>
      </c>
    </row>
    <row r="4929" spans="1:21" x14ac:dyDescent="0.25">
      <c r="A4929">
        <v>5419997</v>
      </c>
      <c r="B4929">
        <v>33</v>
      </c>
      <c r="C4929" s="1">
        <f>5.79828384506062*(10.3/7.3)</f>
        <v>8.1811402197430745</v>
      </c>
      <c r="D4929" s="1">
        <f>7.67352516011509*(10.3/7.3)</f>
        <v>10.827028650573348</v>
      </c>
      <c r="E4929" s="1">
        <f>26.9210867162326*(10.3/7.3)</f>
        <v>37.984547010574815</v>
      </c>
      <c r="F4929" s="1">
        <f>61.1209746945261*(38.9/42.5)</f>
        <v>55.943668602754499</v>
      </c>
      <c r="G4929" s="1">
        <v>2.6166309894643649</v>
      </c>
      <c r="H4929" s="1">
        <v>6.5348473429294263</v>
      </c>
      <c r="I4929" s="1">
        <v>45.848573100149082</v>
      </c>
      <c r="J4929" s="1">
        <v>4.1940340264074505E-2</v>
      </c>
      <c r="K4929" s="1">
        <v>2.2794982426439887</v>
      </c>
      <c r="L4929" s="1">
        <v>2.4225907906993598</v>
      </c>
      <c r="M4929" s="1">
        <v>0.12711071350708239</v>
      </c>
      <c r="N4929" s="1">
        <v>2.0568630238970385</v>
      </c>
      <c r="O4929" s="1">
        <v>0.1163038383838384</v>
      </c>
      <c r="P4929" s="1">
        <v>8.7433406887446913E-2</v>
      </c>
      <c r="Q4929" s="1">
        <v>4.1818303484590338</v>
      </c>
      <c r="R4929" s="2">
        <f t="shared" si="307"/>
        <v>172.11826626464764</v>
      </c>
      <c r="S4929" s="2">
        <f t="shared" si="306"/>
        <v>2.40887198979551</v>
      </c>
      <c r="T4929" s="2">
        <f t="shared" si="308"/>
        <v>4.7228683664873188</v>
      </c>
      <c r="U4929" s="2">
        <f t="shared" si="309"/>
        <v>179.25000662093046</v>
      </c>
    </row>
    <row r="4930" spans="1:21" x14ac:dyDescent="0.25">
      <c r="A4930">
        <v>5420005</v>
      </c>
      <c r="B4930">
        <v>32</v>
      </c>
      <c r="C4930" s="1">
        <f>5.07822053622793*(10.3/7.3)</f>
        <v>7.1651604826229658</v>
      </c>
      <c r="D4930" s="1">
        <f>7.66261831151143*(10.3/7.3)</f>
        <v>10.811639535420234</v>
      </c>
      <c r="E4930" s="1">
        <f>26.7359392662277*(10.3/7.3)</f>
        <v>37.723311567417142</v>
      </c>
      <c r="F4930" s="1">
        <f>60.9906327767262*(38.9/42.5)</f>
        <v>55.82436741210941</v>
      </c>
      <c r="G4930" s="1">
        <v>2.6748293505248126</v>
      </c>
      <c r="H4930" s="1">
        <v>6.7294039501368941</v>
      </c>
      <c r="I4930" s="1">
        <v>44.177876327109999</v>
      </c>
      <c r="J4930" s="1">
        <v>3.4268113543295557E-2</v>
      </c>
      <c r="K4930" s="1">
        <v>2.0555341676606358</v>
      </c>
      <c r="L4930" s="1">
        <v>2.1789532348118783</v>
      </c>
      <c r="M4930" s="1">
        <v>0.11637882533430829</v>
      </c>
      <c r="N4930" s="1">
        <v>1.6831931183210198</v>
      </c>
      <c r="O4930" s="1">
        <v>0.104325</v>
      </c>
      <c r="P4930" s="1">
        <v>8.0989614032711627E-2</v>
      </c>
      <c r="Q4930" s="1">
        <v>4.2748414277793874</v>
      </c>
      <c r="R4930" s="2">
        <f t="shared" si="307"/>
        <v>169.38143005312088</v>
      </c>
      <c r="S4930" s="2">
        <f t="shared" si="306"/>
        <v>2.170791895236643</v>
      </c>
      <c r="T4930" s="2">
        <f t="shared" si="308"/>
        <v>4.082850178467206</v>
      </c>
      <c r="U4930" s="2">
        <f t="shared" si="309"/>
        <v>175.63507212682472</v>
      </c>
    </row>
    <row r="4931" spans="1:21" x14ac:dyDescent="0.25">
      <c r="A4931">
        <v>5420205</v>
      </c>
      <c r="B4931">
        <v>30</v>
      </c>
      <c r="C4931" s="1">
        <f>2.66629811840694*(10.3/7.3)</f>
        <v>3.7620370711769149</v>
      </c>
      <c r="D4931" s="1">
        <f>3.61005644275909*(10.3/7.3)</f>
        <v>5.0936412822491306</v>
      </c>
      <c r="E4931" s="1">
        <f>12.5754357753869*(10.3/7.3)</f>
        <v>17.743423080340353</v>
      </c>
      <c r="F4931" s="1">
        <f>32.4859606621484*(38.9/42.5)</f>
        <v>29.734208700178197</v>
      </c>
      <c r="G4931" s="1">
        <v>1.5574218342147763</v>
      </c>
      <c r="H4931" s="1">
        <v>4.6522221448388938</v>
      </c>
      <c r="I4931" s="1">
        <v>24.802053779206965</v>
      </c>
      <c r="J4931" s="1">
        <v>2.3533656678284522E-2</v>
      </c>
      <c r="K4931" s="1">
        <v>1.6262336101190265</v>
      </c>
      <c r="L4931" s="1">
        <v>1.5475485663624109</v>
      </c>
      <c r="M4931" s="1">
        <v>7.8411801301805639E-2</v>
      </c>
      <c r="N4931" s="1">
        <v>0.99020052819253934</v>
      </c>
      <c r="O4931" s="1">
        <v>7.6193777777777777E-2</v>
      </c>
      <c r="P4931" s="1">
        <v>6.1781857975797543E-2</v>
      </c>
      <c r="Q4931" s="1">
        <v>2.4890303286537541</v>
      </c>
      <c r="R4931" s="2">
        <f t="shared" si="307"/>
        <v>89.834038220858986</v>
      </c>
      <c r="S4931" s="2">
        <f t="shared" si="306"/>
        <v>1.7115491247731085</v>
      </c>
      <c r="T4931" s="2">
        <f t="shared" si="308"/>
        <v>2.6923546736345334</v>
      </c>
      <c r="U4931" s="2">
        <f t="shared" si="309"/>
        <v>94.23794201926664</v>
      </c>
    </row>
    <row r="4932" spans="1:21" x14ac:dyDescent="0.25">
      <c r="A4932">
        <v>5431513</v>
      </c>
      <c r="B4932">
        <v>15</v>
      </c>
      <c r="C4932" s="1">
        <f>0.734954594626158*(10.3/7.3)</f>
        <v>1.0369907294040317</v>
      </c>
      <c r="D4932" s="1">
        <f>1.1106615191741*(10.3/7.3)</f>
        <v>1.56709775993058</v>
      </c>
      <c r="E4932" s="1">
        <f>3.83691227908446*(10.3/7.3)</f>
        <v>5.4137255444616423</v>
      </c>
      <c r="F4932" s="1">
        <f>10.6875647242544*(38.9/42.5)</f>
        <v>9.7822651240822598</v>
      </c>
      <c r="G4932" s="1">
        <v>0.54659619465173415</v>
      </c>
      <c r="H4932" s="1">
        <v>2.1103569784366782</v>
      </c>
      <c r="I4932" s="1">
        <v>8.0682280026914519</v>
      </c>
      <c r="J4932" s="1">
        <v>6.7740202061736948E-2</v>
      </c>
      <c r="K4932" s="1">
        <v>3.7364712595827116</v>
      </c>
      <c r="L4932" s="1">
        <v>2.3798042923731559</v>
      </c>
      <c r="M4932" s="1">
        <v>1.1242008713131326</v>
      </c>
      <c r="N4932" s="1">
        <v>1.5615402888572583</v>
      </c>
      <c r="O4932" s="1">
        <v>0.44681599999999999</v>
      </c>
      <c r="P4932" s="1">
        <v>0.16176658674068234</v>
      </c>
      <c r="Q4932" s="1">
        <v>0.87355556222879993</v>
      </c>
      <c r="R4932" s="2">
        <f t="shared" si="307"/>
        <v>29.398815895887175</v>
      </c>
      <c r="S4932" s="2">
        <f t="shared" si="306"/>
        <v>3.9659780483851308</v>
      </c>
      <c r="T4932" s="2">
        <f t="shared" si="308"/>
        <v>5.5123614525435469</v>
      </c>
      <c r="U4932" s="2">
        <f t="shared" si="309"/>
        <v>38.877155396815851</v>
      </c>
    </row>
    <row r="4933" spans="1:21" x14ac:dyDescent="0.25">
      <c r="A4933">
        <v>5431521</v>
      </c>
      <c r="B4933">
        <v>42</v>
      </c>
      <c r="C4933" s="1">
        <f>0.738157998729123*(10.3/7.3)</f>
        <v>1.0415106009465709</v>
      </c>
      <c r="D4933" s="1">
        <f>1.11277662504969*(10.3/7.3)</f>
        <v>1.5700820873988768</v>
      </c>
      <c r="E4933" s="1">
        <f>3.84712662324329*(10.3/7.3)</f>
        <v>5.428137564302177</v>
      </c>
      <c r="F4933" s="1">
        <f>10.5851385551847*(38.9/42.5)</f>
        <v>9.6885150540395983</v>
      </c>
      <c r="G4933" s="1">
        <v>0.53691665818481316</v>
      </c>
      <c r="H4933" s="1">
        <v>2.2200359351340411</v>
      </c>
      <c r="I4933" s="1">
        <v>7.9767440077905025</v>
      </c>
      <c r="J4933" s="1">
        <v>5.2545814756174557E-2</v>
      </c>
      <c r="K4933" s="1">
        <v>3.9157440567771169</v>
      </c>
      <c r="L4933" s="1">
        <v>2.3111313206616351</v>
      </c>
      <c r="M4933" s="1">
        <v>1.2526698987364968</v>
      </c>
      <c r="N4933" s="1">
        <v>1.5601966360023414</v>
      </c>
      <c r="O4933" s="1">
        <v>0.4301409523809524</v>
      </c>
      <c r="P4933" s="1">
        <v>0.16511728015269561</v>
      </c>
      <c r="Q4933" s="1">
        <v>0.858085983400387</v>
      </c>
      <c r="R4933" s="2">
        <f t="shared" si="307"/>
        <v>29.320027891196965</v>
      </c>
      <c r="S4933" s="2">
        <f t="shared" si="306"/>
        <v>4.1334071516859865</v>
      </c>
      <c r="T4933" s="2">
        <f t="shared" si="308"/>
        <v>5.5541388077814258</v>
      </c>
      <c r="U4933" s="2">
        <f t="shared" si="309"/>
        <v>39.007573850664379</v>
      </c>
    </row>
    <row r="4934" spans="1:21" x14ac:dyDescent="0.25">
      <c r="A4934">
        <v>5431529</v>
      </c>
      <c r="B4934">
        <v>67</v>
      </c>
      <c r="C4934" s="1">
        <f>1.25700299749012*(10.3/7.3)</f>
        <v>1.7735795718011214</v>
      </c>
      <c r="D4934" s="1">
        <f>1.97096243595291*(10.3/7.3)</f>
        <v>2.7809469986732807</v>
      </c>
      <c r="E4934" s="1">
        <f>6.78226280966536*(10.3/7.3)</f>
        <v>9.5694941013086599</v>
      </c>
      <c r="F4934" s="1">
        <f>19.7829716188697*(38.9/42.5)</f>
        <v>18.107237552330194</v>
      </c>
      <c r="G4934" s="1">
        <v>1.0445658949783867</v>
      </c>
      <c r="H4934" s="1">
        <v>3.6609174280047645</v>
      </c>
      <c r="I4934" s="1">
        <v>14.951207974845904</v>
      </c>
      <c r="J4934" s="1">
        <v>9.1696013181885125E-2</v>
      </c>
      <c r="K4934" s="1">
        <v>5.7363769666328839</v>
      </c>
      <c r="L4934" s="1">
        <v>4.0169748146392168</v>
      </c>
      <c r="M4934" s="1">
        <v>2.0369317369815292</v>
      </c>
      <c r="N4934" s="1">
        <v>2.3520362158385146</v>
      </c>
      <c r="O4934" s="1">
        <v>0.73182885572139311</v>
      </c>
      <c r="P4934" s="1">
        <v>0.21357541326098653</v>
      </c>
      <c r="Q4934" s="1">
        <v>1.6693975490522182</v>
      </c>
      <c r="R4934" s="2">
        <f t="shared" si="307"/>
        <v>53.557347070994524</v>
      </c>
      <c r="S4934" s="2">
        <f t="shared" si="306"/>
        <v>6.0416483930757554</v>
      </c>
      <c r="T4934" s="2">
        <f t="shared" si="308"/>
        <v>9.1377716231806527</v>
      </c>
      <c r="U4934" s="2">
        <f t="shared" si="309"/>
        <v>68.736767087250925</v>
      </c>
    </row>
    <row r="4935" spans="1:21" x14ac:dyDescent="0.25">
      <c r="A4935">
        <v>5431537</v>
      </c>
      <c r="B4935">
        <v>15</v>
      </c>
      <c r="C4935" s="1">
        <f>0.951253598485571*(10.3/7.3)</f>
        <v>1.3421797348495044</v>
      </c>
      <c r="D4935" s="1">
        <f>1.4912955771317*(10.3/7.3)</f>
        <v>2.1041567732132171</v>
      </c>
      <c r="E4935" s="1">
        <f>5.13108468992769*(10.3/7.3)</f>
        <v>7.2397496309938614</v>
      </c>
      <c r="F4935" s="1">
        <f>14.999199660521*(38.9/42.5)</f>
        <v>13.728679218688592</v>
      </c>
      <c r="G4935" s="1">
        <v>0.79298114426606381</v>
      </c>
      <c r="H4935" s="1">
        <v>3.7949162151131848</v>
      </c>
      <c r="I4935" s="1">
        <v>11.340691159117464</v>
      </c>
      <c r="J4935" s="1">
        <v>9.4068998495026437E-2</v>
      </c>
      <c r="K4935" s="1">
        <v>4.8631245353707788</v>
      </c>
      <c r="L4935" s="1">
        <v>3.1785953708331474</v>
      </c>
      <c r="M4935" s="1">
        <v>1.8232870165047488</v>
      </c>
      <c r="N4935" s="1">
        <v>2.3249465050327052</v>
      </c>
      <c r="O4935" s="1">
        <v>0.58071822222222225</v>
      </c>
      <c r="P4935" s="1">
        <v>0.18355265390926601</v>
      </c>
      <c r="Q4935" s="1">
        <v>1.2673214634389161</v>
      </c>
      <c r="R4935" s="2">
        <f t="shared" si="307"/>
        <v>41.610675339680803</v>
      </c>
      <c r="S4935" s="2">
        <f t="shared" si="306"/>
        <v>5.1407461877750711</v>
      </c>
      <c r="T4935" s="2">
        <f t="shared" si="308"/>
        <v>7.9075471145928233</v>
      </c>
      <c r="U4935" s="2">
        <f t="shared" si="309"/>
        <v>54.658968642048698</v>
      </c>
    </row>
    <row r="4936" spans="1:21" x14ac:dyDescent="0.25">
      <c r="A4936">
        <v>5431977</v>
      </c>
      <c r="B4936">
        <v>62</v>
      </c>
      <c r="C4936" s="1">
        <f>5.2377492529593*(10.3/7.3)</f>
        <v>7.3902489459562677</v>
      </c>
      <c r="D4936" s="1">
        <f>9.24789632204568*(10.3/7.3)</f>
        <v>13.048401659872672</v>
      </c>
      <c r="E4936" s="1">
        <f>32.0903952297455*(10.3/7.3)</f>
        <v>45.278228885805312</v>
      </c>
      <c r="F4936" s="1">
        <f>73.2114171969264*(38.9/42.5)</f>
        <v>67.009979504951488</v>
      </c>
      <c r="G4936" s="1">
        <v>3.2762510247380829</v>
      </c>
      <c r="H4936" s="1">
        <v>6.7423899328204682</v>
      </c>
      <c r="I4936" s="1">
        <v>50.998328019675697</v>
      </c>
      <c r="J4936" s="1">
        <v>6.3417417702439624E-2</v>
      </c>
      <c r="K4936" s="1">
        <v>3.5001289047073176</v>
      </c>
      <c r="L4936" s="1">
        <v>4.4387093326095641</v>
      </c>
      <c r="M4936" s="1">
        <v>0.31623303324571972</v>
      </c>
      <c r="N4936" s="1">
        <v>3.0720395044077664</v>
      </c>
      <c r="O4936" s="1">
        <v>0.2463329032258065</v>
      </c>
      <c r="P4936" s="1">
        <v>0.15871909665786058</v>
      </c>
      <c r="Q4936" s="1">
        <v>5.2360176194444303</v>
      </c>
      <c r="R4936" s="2">
        <f t="shared" si="307"/>
        <v>198.9798455932644</v>
      </c>
      <c r="S4936" s="2">
        <f t="shared" si="306"/>
        <v>3.7222654190676177</v>
      </c>
      <c r="T4936" s="2">
        <f t="shared" si="308"/>
        <v>8.0733147734888568</v>
      </c>
      <c r="U4936" s="2">
        <f t="shared" si="309"/>
        <v>210.77542578582086</v>
      </c>
    </row>
    <row r="4937" spans="1:21" x14ac:dyDescent="0.25">
      <c r="A4937">
        <v>5431985</v>
      </c>
      <c r="B4937">
        <v>71</v>
      </c>
      <c r="C4937" s="1">
        <f>5.56503409947991*(10.3/7.3)</f>
        <v>7.8520344143346712</v>
      </c>
      <c r="D4937" s="1">
        <f>9.73321540876669*(10.3/7.3)</f>
        <v>13.73316694661602</v>
      </c>
      <c r="E4937" s="1">
        <f>33.7980996648392*(10.3/7.3)</f>
        <v>47.687729664088238</v>
      </c>
      <c r="F4937" s="1">
        <f>76.4351824008479*(38.9/42.5)</f>
        <v>69.960672832776055</v>
      </c>
      <c r="G4937" s="1">
        <v>3.3902027857144623</v>
      </c>
      <c r="H4937" s="1">
        <v>6.9280439149054427</v>
      </c>
      <c r="I4937" s="1">
        <v>53.231941253836212</v>
      </c>
      <c r="J4937" s="1">
        <v>5.8748530577651926E-2</v>
      </c>
      <c r="K4937" s="1">
        <v>3.5849900317883021</v>
      </c>
      <c r="L4937" s="1">
        <v>4.6983232286635337</v>
      </c>
      <c r="M4937" s="1">
        <v>0.32678937233314365</v>
      </c>
      <c r="N4937" s="1">
        <v>3.1398235668825958</v>
      </c>
      <c r="O4937" s="1">
        <v>0.25512713615023458</v>
      </c>
      <c r="P4937" s="1">
        <v>0.16422031130076933</v>
      </c>
      <c r="Q4937" s="1">
        <v>5.4181323059363615</v>
      </c>
      <c r="R4937" s="2">
        <f t="shared" si="307"/>
        <v>208.20192411820744</v>
      </c>
      <c r="S4937" s="2">
        <f t="shared" ref="S4937:S5000" si="310">J4937+K4937+P4937</f>
        <v>3.8079588736667236</v>
      </c>
      <c r="T4937" s="2">
        <f t="shared" si="308"/>
        <v>8.4200633040295063</v>
      </c>
      <c r="U4937" s="2">
        <f t="shared" si="309"/>
        <v>220.42994629590368</v>
      </c>
    </row>
    <row r="4938" spans="1:21" x14ac:dyDescent="0.25">
      <c r="A4938">
        <v>5431993</v>
      </c>
      <c r="B4938">
        <v>71</v>
      </c>
      <c r="C4938" s="1">
        <f>3.57105068097429*(10.3/7.3)</f>
        <v>5.0386057553472812</v>
      </c>
      <c r="D4938" s="1">
        <f>6.16072607563915*(10.3/7.3)</f>
        <v>8.6925313122031866</v>
      </c>
      <c r="E4938" s="1">
        <f>21.4123461462302*(10.3/7.3)</f>
        <v>30.211940452900109</v>
      </c>
      <c r="F4938" s="1">
        <f>47.9226004847124*(38.9/42.5)</f>
        <v>43.863274326007343</v>
      </c>
      <c r="G4938" s="1">
        <v>2.1020287907342214</v>
      </c>
      <c r="H4938" s="1">
        <v>5.0875486515982526</v>
      </c>
      <c r="I4938" s="1">
        <v>33.387460710621255</v>
      </c>
      <c r="J4938" s="1">
        <v>4.0905559961382683E-2</v>
      </c>
      <c r="K4938" s="1">
        <v>2.739963973853992</v>
      </c>
      <c r="L4938" s="1">
        <v>3.2604281848120706</v>
      </c>
      <c r="M4938" s="1">
        <v>0.23873840169565202</v>
      </c>
      <c r="N4938" s="1">
        <v>1.9726544055956292</v>
      </c>
      <c r="O4938" s="1">
        <v>0.19110159624413151</v>
      </c>
      <c r="P4938" s="1">
        <v>0.13199814336633359</v>
      </c>
      <c r="Q4938" s="1">
        <v>3.3594067431825492</v>
      </c>
      <c r="R4938" s="2">
        <f t="shared" ref="R4938:R5001" si="311">C4938+D4938+E4938+F4938+G4938+H4938+I4938+Q4938</f>
        <v>131.74279674259418</v>
      </c>
      <c r="S4938" s="2">
        <f t="shared" si="310"/>
        <v>2.9128676771817084</v>
      </c>
      <c r="T4938" s="2">
        <f t="shared" ref="T4938:T5001" si="312">L4938+M4938+N4938+O4938</f>
        <v>5.6629225883474827</v>
      </c>
      <c r="U4938" s="2">
        <f t="shared" ref="U4938:U5001" si="313">R4938+S4938+T4938</f>
        <v>140.31858700812336</v>
      </c>
    </row>
    <row r="4939" spans="1:21" x14ac:dyDescent="0.25">
      <c r="A4939">
        <v>5432001</v>
      </c>
      <c r="B4939">
        <v>70</v>
      </c>
      <c r="C4939" s="1">
        <f>3.39528402581461*(10.3/7.3)</f>
        <v>4.7906062282041715</v>
      </c>
      <c r="D4939" s="1">
        <f>5.79927312357962*(10.3/7.3)</f>
        <v>8.1825360510780953</v>
      </c>
      <c r="E4939" s="1">
        <f>20.1680450282527*(10.3/7.3)</f>
        <v>28.456282711096215</v>
      </c>
      <c r="F4939" s="1">
        <f>44.8702584414418*(38.9/42.5)</f>
        <v>41.069483608754993</v>
      </c>
      <c r="G4939" s="1">
        <v>1.9548984979488193</v>
      </c>
      <c r="H4939" s="1">
        <v>4.8820476100453627</v>
      </c>
      <c r="I4939" s="1">
        <v>31.28561277517775</v>
      </c>
      <c r="J4939" s="1">
        <v>3.9032261487507269E-2</v>
      </c>
      <c r="K4939" s="1">
        <v>2.6377297456878992</v>
      </c>
      <c r="L4939" s="1">
        <v>3.1091578988042339</v>
      </c>
      <c r="M4939" s="1">
        <v>0.22787021656790743</v>
      </c>
      <c r="N4939" s="1">
        <v>1.8583227013888026</v>
      </c>
      <c r="O4939" s="1">
        <v>0.18284495238095239</v>
      </c>
      <c r="P4939" s="1">
        <v>0.12742331765392167</v>
      </c>
      <c r="Q4939" s="1">
        <v>3.1242670058542803</v>
      </c>
      <c r="R4939" s="2">
        <f t="shared" si="311"/>
        <v>123.74573448815968</v>
      </c>
      <c r="S4939" s="2">
        <f t="shared" si="310"/>
        <v>2.8041853248293283</v>
      </c>
      <c r="T4939" s="2">
        <f t="shared" si="312"/>
        <v>5.3781957691418958</v>
      </c>
      <c r="U4939" s="2">
        <f t="shared" si="313"/>
        <v>131.92811558213091</v>
      </c>
    </row>
    <row r="4940" spans="1:21" x14ac:dyDescent="0.25">
      <c r="A4940">
        <v>5432009</v>
      </c>
      <c r="B4940">
        <v>71</v>
      </c>
      <c r="C4940" s="1">
        <f>5.02746918445631*(10.3/7.3)</f>
        <v>7.0935524109452075</v>
      </c>
      <c r="D4940" s="1">
        <f>8.50660573192921*(10.3/7.3)</f>
        <v>12.002471101215194</v>
      </c>
      <c r="E4940" s="1">
        <f>29.5884924559239*(10.3/7.3)</f>
        <v>41.748146889865232</v>
      </c>
      <c r="F4940" s="1">
        <f>66.0398425309057*(38.9/42.5)</f>
        <v>60.445879398876066</v>
      </c>
      <c r="G4940" s="1">
        <v>2.8822896915673768</v>
      </c>
      <c r="H4940" s="1">
        <v>6.2260895623865826</v>
      </c>
      <c r="I4940" s="1">
        <v>46.195385997289399</v>
      </c>
      <c r="J4940" s="1">
        <v>5.0974981294427901E-2</v>
      </c>
      <c r="K4940" s="1">
        <v>3.1836040402039014</v>
      </c>
      <c r="L4940" s="1">
        <v>4.1300561002818075</v>
      </c>
      <c r="M4940" s="1">
        <v>0.27855277726680733</v>
      </c>
      <c r="N4940" s="1">
        <v>2.329988639324267</v>
      </c>
      <c r="O4940" s="1">
        <v>0.22401802816901409</v>
      </c>
      <c r="P4940" s="1">
        <v>0.1484559293901207</v>
      </c>
      <c r="Q4940" s="1">
        <v>4.6063990504501486</v>
      </c>
      <c r="R4940" s="2">
        <f t="shared" si="311"/>
        <v>181.2002141025952</v>
      </c>
      <c r="S4940" s="2">
        <f t="shared" si="310"/>
        <v>3.3830349508884501</v>
      </c>
      <c r="T4940" s="2">
        <f t="shared" si="312"/>
        <v>6.9626155450418965</v>
      </c>
      <c r="U4940" s="2">
        <f t="shared" si="313"/>
        <v>191.54586459852555</v>
      </c>
    </row>
    <row r="4941" spans="1:21" x14ac:dyDescent="0.25">
      <c r="A4941">
        <v>5432017</v>
      </c>
      <c r="B4941">
        <v>71</v>
      </c>
      <c r="C4941" s="1">
        <f>5.7750516862629*(10.3/7.3)</f>
        <v>8.1483605984257341</v>
      </c>
      <c r="D4941" s="1">
        <f>9.62247454462225*(10.3/7.3)</f>
        <v>13.576916138302627</v>
      </c>
      <c r="E4941" s="1">
        <f>33.4849684225268*(10.3/7.3)</f>
        <v>47.245914349592681</v>
      </c>
      <c r="F4941" s="1">
        <f>74.8547097235492*(38.9/42.5)</f>
        <v>68.514075488142652</v>
      </c>
      <c r="G4941" s="1">
        <v>3.2653175191261981</v>
      </c>
      <c r="H4941" s="1">
        <v>6.784170949615298</v>
      </c>
      <c r="I4941" s="1">
        <v>52.586162211022206</v>
      </c>
      <c r="J4941" s="1">
        <v>5.6174758563449598E-2</v>
      </c>
      <c r="K4941" s="1">
        <v>3.37843236901195</v>
      </c>
      <c r="L4941" s="1">
        <v>4.5112513423974931</v>
      </c>
      <c r="M4941" s="1">
        <v>0.29175449413844812</v>
      </c>
      <c r="N4941" s="1">
        <v>2.7499604170372001</v>
      </c>
      <c r="O4941" s="1">
        <v>0.23571455399061023</v>
      </c>
      <c r="P4941" s="1">
        <v>0.15525444604108357</v>
      </c>
      <c r="Q4941" s="1">
        <v>5.2185439803386782</v>
      </c>
      <c r="R4941" s="2">
        <f t="shared" si="311"/>
        <v>205.33946123456607</v>
      </c>
      <c r="S4941" s="2">
        <f t="shared" si="310"/>
        <v>3.5898615736164832</v>
      </c>
      <c r="T4941" s="2">
        <f t="shared" si="312"/>
        <v>7.7886808075637521</v>
      </c>
      <c r="U4941" s="2">
        <f t="shared" si="313"/>
        <v>216.71800361574631</v>
      </c>
    </row>
    <row r="4942" spans="1:21" x14ac:dyDescent="0.25">
      <c r="A4942">
        <v>5432025</v>
      </c>
      <c r="B4942">
        <v>71</v>
      </c>
      <c r="C4942" s="1">
        <f>6.25396673030471*(10.3/7.3)</f>
        <v>8.8240900441285639</v>
      </c>
      <c r="D4942" s="1">
        <f>10.3094503817365*(10.3/7.3)</f>
        <v>14.546210812587178</v>
      </c>
      <c r="E4942" s="1">
        <f>35.8902694984227*(10.3/7.3)</f>
        <v>50.639695319692272</v>
      </c>
      <c r="F4942" s="1">
        <f>80.1559718308671*(38.9/42.5)</f>
        <v>73.366289511076033</v>
      </c>
      <c r="G4942" s="1">
        <v>3.4886118922031804</v>
      </c>
      <c r="H4942" s="1">
        <v>7.0645363532027341</v>
      </c>
      <c r="I4942" s="1">
        <v>56.448367686752498</v>
      </c>
      <c r="J4942" s="1">
        <v>5.882741830947627E-2</v>
      </c>
      <c r="K4942" s="1">
        <v>3.4664998721787574</v>
      </c>
      <c r="L4942" s="1">
        <v>4.6739640078577853</v>
      </c>
      <c r="M4942" s="1">
        <v>0.29382736891203304</v>
      </c>
      <c r="N4942" s="1">
        <v>2.6163255684537767</v>
      </c>
      <c r="O4942" s="1">
        <v>0.23906178403755873</v>
      </c>
      <c r="P4942" s="1">
        <v>0.157440346403766</v>
      </c>
      <c r="Q4942" s="1">
        <v>5.5754071336580555</v>
      </c>
      <c r="R4942" s="2">
        <f t="shared" si="311"/>
        <v>219.95320875330049</v>
      </c>
      <c r="S4942" s="2">
        <f t="shared" si="310"/>
        <v>3.6827676368919997</v>
      </c>
      <c r="T4942" s="2">
        <f t="shared" si="312"/>
        <v>7.8231787292611541</v>
      </c>
      <c r="U4942" s="2">
        <f t="shared" si="313"/>
        <v>231.45915511945364</v>
      </c>
    </row>
    <row r="4943" spans="1:21" x14ac:dyDescent="0.25">
      <c r="A4943">
        <v>5432033</v>
      </c>
      <c r="B4943">
        <v>71</v>
      </c>
      <c r="C4943" s="1">
        <f>6.49159547586076*(10.3/7.3)</f>
        <v>9.1593744385432654</v>
      </c>
      <c r="D4943" s="1">
        <f>10.566739292147*(10.3/7.3)</f>
        <v>14.90923489165942</v>
      </c>
      <c r="E4943" s="1">
        <f>36.80567955714*(10.3/7.3)</f>
        <v>51.931301292950948</v>
      </c>
      <c r="F4943" s="1">
        <f>82.0216362423698*(38.9/42.5)</f>
        <v>75.073921172427845</v>
      </c>
      <c r="G4943" s="1">
        <v>3.5565703921847165</v>
      </c>
      <c r="H4943" s="1">
        <v>7.2626278052480622</v>
      </c>
      <c r="I4943" s="1">
        <v>57.914944079822853</v>
      </c>
      <c r="J4943" s="1">
        <v>6.0273215285456941E-2</v>
      </c>
      <c r="K4943" s="1">
        <v>3.4489150150533656</v>
      </c>
      <c r="L4943" s="1">
        <v>4.6598494684840919</v>
      </c>
      <c r="M4943" s="1">
        <v>0.28940288906979333</v>
      </c>
      <c r="N4943" s="1">
        <v>2.6140975501375441</v>
      </c>
      <c r="O4943" s="1">
        <v>0.23555906103286392</v>
      </c>
      <c r="P4943" s="1">
        <v>0.15521921870680033</v>
      </c>
      <c r="Q4943" s="1">
        <v>5.6840166085143933</v>
      </c>
      <c r="R4943" s="2">
        <f t="shared" si="311"/>
        <v>225.49199068135147</v>
      </c>
      <c r="S4943" s="2">
        <f t="shared" si="310"/>
        <v>3.6644074490456231</v>
      </c>
      <c r="T4943" s="2">
        <f t="shared" si="312"/>
        <v>7.7989089687242936</v>
      </c>
      <c r="U4943" s="2">
        <f t="shared" si="313"/>
        <v>236.9553070991214</v>
      </c>
    </row>
    <row r="4944" spans="1:21" x14ac:dyDescent="0.25">
      <c r="A4944">
        <v>5432041</v>
      </c>
      <c r="B4944">
        <v>67</v>
      </c>
      <c r="C4944" s="1">
        <f>5.82281815199056*(10.3/7.3)</f>
        <v>8.2157571185620171</v>
      </c>
      <c r="D4944" s="1">
        <f>9.35944312388727*(10.3/7.3)</f>
        <v>13.205789613156018</v>
      </c>
      <c r="E4944" s="1">
        <f>32.6101859735805*(10.3/7.3)</f>
        <v>46.011632264093059</v>
      </c>
      <c r="F4944" s="1">
        <f>72.9131045582401*(38.9/42.5)</f>
        <v>66.736935701542151</v>
      </c>
      <c r="G4944" s="1">
        <v>3.1660815401256821</v>
      </c>
      <c r="H4944" s="1">
        <v>6.633843906951002</v>
      </c>
      <c r="I4944" s="1">
        <v>51.695549657342383</v>
      </c>
      <c r="J4944" s="1">
        <v>5.8238921538812528E-2</v>
      </c>
      <c r="K4944" s="1">
        <v>3.1185605135322838</v>
      </c>
      <c r="L4944" s="1">
        <v>4.0880159311859412</v>
      </c>
      <c r="M4944" s="1">
        <v>0.25628240941546165</v>
      </c>
      <c r="N4944" s="1">
        <v>2.4017031663090544</v>
      </c>
      <c r="O4944" s="1">
        <v>0.20961990049751239</v>
      </c>
      <c r="P4944" s="1">
        <v>0.14113709707551694</v>
      </c>
      <c r="Q4944" s="1">
        <v>5.0599476668675356</v>
      </c>
      <c r="R4944" s="2">
        <f t="shared" si="311"/>
        <v>200.72553746863986</v>
      </c>
      <c r="S4944" s="2">
        <f t="shared" si="310"/>
        <v>3.3179365321466134</v>
      </c>
      <c r="T4944" s="2">
        <f t="shared" si="312"/>
        <v>6.9556214074079703</v>
      </c>
      <c r="U4944" s="2">
        <f t="shared" si="313"/>
        <v>210.99909540819442</v>
      </c>
    </row>
    <row r="4945" spans="1:21" x14ac:dyDescent="0.25">
      <c r="A4945">
        <v>5432049</v>
      </c>
      <c r="B4945">
        <v>27</v>
      </c>
      <c r="C4945" s="1">
        <f>6.27604626619657*(10.3/7.3)</f>
        <v>8.8552433618937965</v>
      </c>
      <c r="D4945" s="1">
        <f>9.94275366072577*(10.3/7.3)</f>
        <v>14.028816808969244</v>
      </c>
      <c r="E4945" s="1">
        <f>34.6437234202999*(10.3/7.3)</f>
        <v>48.880870031382024</v>
      </c>
      <c r="F4945" s="1">
        <f>78.3097882650454*(38.9/42.5)</f>
        <v>71.676488553182693</v>
      </c>
      <c r="G4945" s="1">
        <v>3.428351538382838</v>
      </c>
      <c r="H4945" s="1">
        <v>7.3734425981148553</v>
      </c>
      <c r="I4945" s="1">
        <v>55.885600921997984</v>
      </c>
      <c r="J4945" s="1">
        <v>5.8360395854002607E-2</v>
      </c>
      <c r="K4945" s="1">
        <v>3.1497827562114691</v>
      </c>
      <c r="L4945" s="1">
        <v>4.1415479246086946</v>
      </c>
      <c r="M4945" s="1">
        <v>0.24964749223756363</v>
      </c>
      <c r="N4945" s="1">
        <v>2.5195816091133429</v>
      </c>
      <c r="O4945" s="1">
        <v>0.20896395061728401</v>
      </c>
      <c r="P4945" s="1">
        <v>0.14057252821787344</v>
      </c>
      <c r="Q4945" s="1">
        <v>5.4791006321186968</v>
      </c>
      <c r="R4945" s="2">
        <f t="shared" si="311"/>
        <v>215.60791444604214</v>
      </c>
      <c r="S4945" s="2">
        <f t="shared" si="310"/>
        <v>3.3487156802833451</v>
      </c>
      <c r="T4945" s="2">
        <f t="shared" si="312"/>
        <v>7.1197409765768862</v>
      </c>
      <c r="U4945" s="2">
        <f t="shared" si="313"/>
        <v>226.07637110290236</v>
      </c>
    </row>
    <row r="4946" spans="1:21" x14ac:dyDescent="0.25">
      <c r="A4946">
        <v>5432073</v>
      </c>
      <c r="B4946">
        <v>6</v>
      </c>
      <c r="C4946" s="1">
        <f>4.14276584607729*(10.3/7.3)</f>
        <v>5.8452723581638431</v>
      </c>
      <c r="D4946" s="1">
        <f>6.61934268222014*(10.3/7.3)</f>
        <v>9.3396204968311558</v>
      </c>
      <c r="E4946" s="1">
        <f>23.0259191211918*(10.3/7.3)</f>
        <v>32.488625609352802</v>
      </c>
      <c r="F4946" s="1">
        <f>53.6183303980502*(38.9/42.5)</f>
        <v>49.076542411391834</v>
      </c>
      <c r="G4946" s="1">
        <v>2.4132420489514996</v>
      </c>
      <c r="H4946" s="1">
        <v>8.4559391652803502</v>
      </c>
      <c r="I4946" s="1">
        <v>38.466885039389162</v>
      </c>
      <c r="J4946" s="1">
        <v>3.5348716100133834E-2</v>
      </c>
      <c r="K4946" s="1">
        <v>2.1842343800539292</v>
      </c>
      <c r="L4946" s="1">
        <v>2.7622424401738859</v>
      </c>
      <c r="M4946" s="1">
        <v>0.16376302818770341</v>
      </c>
      <c r="N4946" s="1">
        <v>1.8084450805307337</v>
      </c>
      <c r="O4946" s="1">
        <v>0.13527999999999998</v>
      </c>
      <c r="P4946" s="1">
        <v>0.10057582096118607</v>
      </c>
      <c r="Q4946" s="1">
        <v>3.8567795302877896</v>
      </c>
      <c r="R4946" s="2">
        <f t="shared" si="311"/>
        <v>149.94290665964843</v>
      </c>
      <c r="S4946" s="2">
        <f t="shared" si="310"/>
        <v>2.3201589171152492</v>
      </c>
      <c r="T4946" s="2">
        <f t="shared" si="312"/>
        <v>4.8697305488923233</v>
      </c>
      <c r="U4946" s="2">
        <f t="shared" si="313"/>
        <v>157.132796125656</v>
      </c>
    </row>
    <row r="4947" spans="1:21" x14ac:dyDescent="0.25">
      <c r="A4947">
        <v>5432081</v>
      </c>
      <c r="B4947">
        <v>34</v>
      </c>
      <c r="C4947" s="1">
        <f>4.04778105980759*(10.3/7.3)</f>
        <v>5.7112527282216643</v>
      </c>
      <c r="D4947" s="1">
        <f>6.19875540426824*(10.3/7.3)</f>
        <v>8.7461891320497109</v>
      </c>
      <c r="E4947" s="1">
        <f>21.5613330533692*(10.3/7.3)</f>
        <v>30.422154856123623</v>
      </c>
      <c r="F4947" s="1">
        <f>51.9791388380431*(38.9/42.5)</f>
        <v>47.57620001882065</v>
      </c>
      <c r="G4947" s="1">
        <v>2.3963378361813445</v>
      </c>
      <c r="H4947" s="1">
        <v>7.5211911543626444</v>
      </c>
      <c r="I4947" s="1">
        <v>37.988397348811922</v>
      </c>
      <c r="J4947" s="1">
        <v>3.3406493580359214E-2</v>
      </c>
      <c r="K4947" s="1">
        <v>2.0317419237393777</v>
      </c>
      <c r="L4947" s="1">
        <v>2.8385658941116065</v>
      </c>
      <c r="M4947" s="1">
        <v>0.15167061879297847</v>
      </c>
      <c r="N4947" s="1">
        <v>1.4502846178655018</v>
      </c>
      <c r="O4947" s="1">
        <v>0.12544627450980392</v>
      </c>
      <c r="P4947" s="1">
        <v>9.4097195750121682E-2</v>
      </c>
      <c r="Q4947" s="1">
        <v>3.8297636651300073</v>
      </c>
      <c r="R4947" s="2">
        <f t="shared" si="311"/>
        <v>144.19148673970156</v>
      </c>
      <c r="S4947" s="2">
        <f t="shared" si="310"/>
        <v>2.1592456130698583</v>
      </c>
      <c r="T4947" s="2">
        <f t="shared" si="312"/>
        <v>4.5659674052798902</v>
      </c>
      <c r="U4947" s="2">
        <f t="shared" si="313"/>
        <v>150.91669975805129</v>
      </c>
    </row>
    <row r="4948" spans="1:21" x14ac:dyDescent="0.25">
      <c r="A4948">
        <v>5432089</v>
      </c>
      <c r="B4948">
        <v>41</v>
      </c>
      <c r="C4948" s="1">
        <f>5.16086122891409*(10.3/7.3)</f>
        <v>7.2817631038102855</v>
      </c>
      <c r="D4948" s="1">
        <f>7.75810640409288*(10.3/7.3)</f>
        <v>10.946369309884476</v>
      </c>
      <c r="E4948" s="1">
        <f>26.9276199108407*(10.3/7.3)</f>
        <v>37.993765079679378</v>
      </c>
      <c r="F4948" s="1">
        <f>68.8038382823725*(38.9/42.5)</f>
        <v>62.975748451395049</v>
      </c>
      <c r="G4948" s="1">
        <v>3.312665880948054</v>
      </c>
      <c r="H4948" s="1">
        <v>9.3376036573609849</v>
      </c>
      <c r="I4948" s="1">
        <v>51.137036652982758</v>
      </c>
      <c r="J4948" s="1">
        <v>3.5328500511501881E-2</v>
      </c>
      <c r="K4948" s="1">
        <v>2.1636918636550879</v>
      </c>
      <c r="L4948" s="1">
        <v>2.8454652203817354</v>
      </c>
      <c r="M4948" s="1">
        <v>0.16048857246250792</v>
      </c>
      <c r="N4948" s="1">
        <v>1.7782649750855688</v>
      </c>
      <c r="O4948" s="1">
        <v>0.13382634146341463</v>
      </c>
      <c r="P4948" s="1">
        <v>9.8364419187916496E-2</v>
      </c>
      <c r="Q4948" s="1">
        <v>5.2942148782274892</v>
      </c>
      <c r="R4948" s="2">
        <f t="shared" si="311"/>
        <v>188.27916701428848</v>
      </c>
      <c r="S4948" s="2">
        <f t="shared" si="310"/>
        <v>2.2973847833545062</v>
      </c>
      <c r="T4948" s="2">
        <f t="shared" si="312"/>
        <v>4.9180451093932271</v>
      </c>
      <c r="U4948" s="2">
        <f t="shared" si="313"/>
        <v>195.49459690703623</v>
      </c>
    </row>
    <row r="4949" spans="1:21" x14ac:dyDescent="0.25">
      <c r="A4949">
        <v>5432161</v>
      </c>
      <c r="B4949">
        <v>3</v>
      </c>
      <c r="C4949" s="1">
        <f>14.382317142211*(10.3/7.3)</f>
        <v>20.292858433530604</v>
      </c>
      <c r="D4949" s="1">
        <f>12.8728803850513*(10.3/7.3)</f>
        <v>18.163105200825871</v>
      </c>
      <c r="E4949" s="1">
        <f>46.2712308199388*(10.3/7.3)</f>
        <v>65.28680512950271</v>
      </c>
      <c r="F4949" s="1">
        <f>95.6161243946727*(38.9/42.5)</f>
        <v>87.516876210653336</v>
      </c>
      <c r="G4949" s="1">
        <v>3.3654846507052412</v>
      </c>
      <c r="H4949" s="1">
        <v>7.9184854047752422</v>
      </c>
      <c r="I4949" s="1">
        <v>80.91313328524474</v>
      </c>
      <c r="J4949" s="1">
        <v>3.6143609603986077E-2</v>
      </c>
      <c r="K4949" s="1">
        <v>2.2130783820704427</v>
      </c>
      <c r="L4949" s="1">
        <v>2.5265088501160791</v>
      </c>
      <c r="M4949" s="1">
        <v>0.14215293407934684</v>
      </c>
      <c r="N4949" s="1">
        <v>1.6582908792616704</v>
      </c>
      <c r="O4949" s="1">
        <v>0.12606222222222221</v>
      </c>
      <c r="P4949" s="1">
        <v>9.3020359652644005E-2</v>
      </c>
      <c r="Q4949" s="1">
        <v>5.3786284372001631</v>
      </c>
      <c r="R4949" s="2">
        <f t="shared" si="311"/>
        <v>288.83537675243792</v>
      </c>
      <c r="S4949" s="2">
        <f t="shared" si="310"/>
        <v>2.3422423513270729</v>
      </c>
      <c r="T4949" s="2">
        <f t="shared" si="312"/>
        <v>4.4530148856793188</v>
      </c>
      <c r="U4949" s="2">
        <f t="shared" si="313"/>
        <v>295.63063398944428</v>
      </c>
    </row>
    <row r="4950" spans="1:21" x14ac:dyDescent="0.25">
      <c r="A4950">
        <v>5432233</v>
      </c>
      <c r="B4950">
        <v>71</v>
      </c>
      <c r="C4950" s="1">
        <f>4.84227471379904*(10.3/7.3)</f>
        <v>6.8322506235794727</v>
      </c>
      <c r="D4950" s="1">
        <f>6.49914721852338*(10.3/7.3)</f>
        <v>9.1700296370946344</v>
      </c>
      <c r="E4950" s="1">
        <f>22.800024956805*(10.3/7.3)</f>
        <v>32.169898226724918</v>
      </c>
      <c r="F4950" s="1">
        <f>51.1239102738905*(38.9/42.5)</f>
        <v>46.793414344808028</v>
      </c>
      <c r="G4950" s="1">
        <v>2.1672369133538187</v>
      </c>
      <c r="H4950" s="1">
        <v>4.9198782178632117</v>
      </c>
      <c r="I4950" s="1">
        <v>38.100476540740566</v>
      </c>
      <c r="J4950" s="1">
        <v>3.4736061225253578E-2</v>
      </c>
      <c r="K4950" s="1">
        <v>2.033706747441733</v>
      </c>
      <c r="L4950" s="1">
        <v>2.1502079660114992</v>
      </c>
      <c r="M4950" s="1">
        <v>0.11636718865962521</v>
      </c>
      <c r="N4950" s="1">
        <v>1.5914713475242039</v>
      </c>
      <c r="O4950" s="1">
        <v>0.10339380281690137</v>
      </c>
      <c r="P4950" s="1">
        <v>8.0227270347049531E-2</v>
      </c>
      <c r="Q4950" s="1">
        <v>3.46362063778008</v>
      </c>
      <c r="R4950" s="2">
        <f t="shared" si="311"/>
        <v>143.61680514194472</v>
      </c>
      <c r="S4950" s="2">
        <f t="shared" si="310"/>
        <v>2.1486700790140358</v>
      </c>
      <c r="T4950" s="2">
        <f t="shared" si="312"/>
        <v>3.9614403050122298</v>
      </c>
      <c r="U4950" s="2">
        <f t="shared" si="313"/>
        <v>149.72691552597098</v>
      </c>
    </row>
    <row r="4951" spans="1:21" x14ac:dyDescent="0.25">
      <c r="A4951">
        <v>5432241</v>
      </c>
      <c r="B4951">
        <v>20</v>
      </c>
      <c r="C4951" s="1">
        <f>4.94260217602513*(10.3/7.3)</f>
        <v>6.973808549734092</v>
      </c>
      <c r="D4951" s="1">
        <f>7.64849101208499*(10.3/7.3)</f>
        <v>10.791706496503476</v>
      </c>
      <c r="E4951" s="1">
        <f>26.5802026991491*(10.3/7.3)</f>
        <v>37.503573671402137</v>
      </c>
      <c r="F4951" s="1">
        <f>64.7672482319369*(38.9/42.5)</f>
        <v>59.281081322878677</v>
      </c>
      <c r="G4951" s="1">
        <v>3.0158462028275106</v>
      </c>
      <c r="H4951" s="1">
        <v>7.2831702720448304</v>
      </c>
      <c r="I4951" s="1">
        <v>47.328797726961476</v>
      </c>
      <c r="J4951" s="1">
        <v>3.235824753217157E-2</v>
      </c>
      <c r="K4951" s="1">
        <v>1.9509513121357778</v>
      </c>
      <c r="L4951" s="1">
        <v>2.0738663564325384</v>
      </c>
      <c r="M4951" s="1">
        <v>0.1126054737881869</v>
      </c>
      <c r="N4951" s="1">
        <v>1.4918580130678987</v>
      </c>
      <c r="O4951" s="1">
        <v>0.10044</v>
      </c>
      <c r="P4951" s="1">
        <v>7.8157435136951198E-2</v>
      </c>
      <c r="Q4951" s="1">
        <v>4.8198455296330138</v>
      </c>
      <c r="R4951" s="2">
        <f t="shared" si="311"/>
        <v>176.99782977198521</v>
      </c>
      <c r="S4951" s="2">
        <f t="shared" si="310"/>
        <v>2.0614669948049005</v>
      </c>
      <c r="T4951" s="2">
        <f t="shared" si="312"/>
        <v>3.7787698432886234</v>
      </c>
      <c r="U4951" s="2">
        <f t="shared" si="313"/>
        <v>182.83806661007873</v>
      </c>
    </row>
    <row r="4952" spans="1:21" x14ac:dyDescent="0.25">
      <c r="A4952">
        <v>5432385</v>
      </c>
      <c r="B4952">
        <v>6</v>
      </c>
      <c r="C4952" s="1">
        <f>5.47783998234678*(10.3/7.3)</f>
        <v>7.7290070983796992</v>
      </c>
      <c r="D4952" s="1">
        <f>7.27388903781015*(10.3/7.3)</f>
        <v>10.263158505403359</v>
      </c>
      <c r="E4952" s="1">
        <f>25.1560182733762*(10.3/7.3)</f>
        <v>35.4941079747637</v>
      </c>
      <c r="F4952" s="1">
        <f>75.3484178002535*(38.9/42.5)</f>
        <v>68.965963586584976</v>
      </c>
      <c r="G4952" s="1">
        <v>3.978675238764128</v>
      </c>
      <c r="H4952" s="1">
        <v>8.7638553822364003</v>
      </c>
      <c r="I4952" s="1">
        <v>59.134596091433643</v>
      </c>
      <c r="J4952" s="1">
        <v>3.2981008403605981E-2</v>
      </c>
      <c r="K4952" s="1">
        <v>1.9474938376588027</v>
      </c>
      <c r="L4952" s="1">
        <v>1.9400090680403566</v>
      </c>
      <c r="M4952" s="1">
        <v>9.7639069764111255E-2</v>
      </c>
      <c r="N4952" s="1">
        <v>1.3797825556086674</v>
      </c>
      <c r="O4952" s="1">
        <v>9.3013333333333337E-2</v>
      </c>
      <c r="P4952" s="1">
        <v>7.2018526262500673E-2</v>
      </c>
      <c r="Q4952" s="1">
        <v>6.3586133952851434</v>
      </c>
      <c r="R4952" s="2">
        <f t="shared" si="311"/>
        <v>200.68797727285107</v>
      </c>
      <c r="S4952" s="2">
        <f t="shared" si="310"/>
        <v>2.0524933723249092</v>
      </c>
      <c r="T4952" s="2">
        <f t="shared" si="312"/>
        <v>3.5104440267464687</v>
      </c>
      <c r="U4952" s="2">
        <f t="shared" si="313"/>
        <v>206.25091467192243</v>
      </c>
    </row>
    <row r="4953" spans="1:21" x14ac:dyDescent="0.25">
      <c r="A4953">
        <v>5432433</v>
      </c>
      <c r="B4953">
        <v>12</v>
      </c>
      <c r="C4953" s="1">
        <f>2.88144207602674*(10.3/7.3)</f>
        <v>4.0655963538459474</v>
      </c>
      <c r="D4953" s="1">
        <f>4.59816598001405*(10.3/7.3)</f>
        <v>6.487823232074617</v>
      </c>
      <c r="E4953" s="1">
        <f>15.6709601743302*(10.3/7.3)</f>
        <v>22.111080793918021</v>
      </c>
      <c r="F4953" s="1">
        <f>52.9943845324359*(38.9/42.5)</f>
        <v>48.505448430864817</v>
      </c>
      <c r="G4953" s="1">
        <v>3.0297408976925375</v>
      </c>
      <c r="H4953" s="1">
        <v>7.206639095939571</v>
      </c>
      <c r="I4953" s="1">
        <v>40.943164951777412</v>
      </c>
      <c r="J4953" s="1">
        <v>2.4670693845093804E-2</v>
      </c>
      <c r="K4953" s="1">
        <v>1.6492817901192609</v>
      </c>
      <c r="L4953" s="1">
        <v>1.5708983016365619</v>
      </c>
      <c r="M4953" s="1">
        <v>7.9939012855898078E-2</v>
      </c>
      <c r="N4953" s="1">
        <v>1.0178398834612106</v>
      </c>
      <c r="O4953" s="1">
        <v>7.7377777777777781E-2</v>
      </c>
      <c r="P4953" s="1">
        <v>6.2621373605142347E-2</v>
      </c>
      <c r="Q4953" s="1">
        <v>4.8420516629789452</v>
      </c>
      <c r="R4953" s="2">
        <f t="shared" si="311"/>
        <v>137.19154541909185</v>
      </c>
      <c r="S4953" s="2">
        <f t="shared" si="310"/>
        <v>1.7365738575694971</v>
      </c>
      <c r="T4953" s="2">
        <f t="shared" si="312"/>
        <v>2.7460549757314485</v>
      </c>
      <c r="U4953" s="2">
        <f t="shared" si="313"/>
        <v>141.67417425239282</v>
      </c>
    </row>
    <row r="4954" spans="1:21" x14ac:dyDescent="0.25">
      <c r="A4954">
        <v>5443749</v>
      </c>
      <c r="B4954">
        <v>24</v>
      </c>
      <c r="C4954" s="1">
        <f>0.810955309553313*(10.3/7.3)</f>
        <v>1.1442246148491955</v>
      </c>
      <c r="D4954" s="1">
        <f>1.23740453608906*(10.3/7.3)</f>
        <v>1.7459269481804542</v>
      </c>
      <c r="E4954" s="1">
        <f>4.26995104218998*(10.3/7.3)</f>
        <v>6.0247254430899702</v>
      </c>
      <c r="F4954" s="1">
        <f>12.0611464692882*(38.9/42.5)</f>
        <v>11.039496415419059</v>
      </c>
      <c r="G4954" s="1">
        <v>0.62293207458105415</v>
      </c>
      <c r="H4954" s="1">
        <v>2.3173494564278787</v>
      </c>
      <c r="I4954" s="1">
        <v>9.110590340786457</v>
      </c>
      <c r="J4954" s="1">
        <v>6.1312526290239942E-2</v>
      </c>
      <c r="K4954" s="1">
        <v>3.7142644078209823</v>
      </c>
      <c r="L4954" s="1">
        <v>2.4053656937227283</v>
      </c>
      <c r="M4954" s="1">
        <v>1.1044876778045598</v>
      </c>
      <c r="N4954" s="1">
        <v>1.4465982080214601</v>
      </c>
      <c r="O4954" s="1">
        <v>0.44401999999999991</v>
      </c>
      <c r="P4954" s="1">
        <v>0.15749449569684001</v>
      </c>
      <c r="Q4954" s="1">
        <v>0.9955535438510007</v>
      </c>
      <c r="R4954" s="2">
        <f t="shared" si="311"/>
        <v>33.000798837185073</v>
      </c>
      <c r="S4954" s="2">
        <f t="shared" si="310"/>
        <v>3.933071429808062</v>
      </c>
      <c r="T4954" s="2">
        <f t="shared" si="312"/>
        <v>5.4004715795487481</v>
      </c>
      <c r="U4954" s="2">
        <f t="shared" si="313"/>
        <v>42.334341846541882</v>
      </c>
    </row>
    <row r="4955" spans="1:21" x14ac:dyDescent="0.25">
      <c r="A4955">
        <v>5443757</v>
      </c>
      <c r="B4955">
        <v>64</v>
      </c>
      <c r="C4955" s="1">
        <f>0.90984784607417*(10.3/7.3)</f>
        <v>1.2837579198032811</v>
      </c>
      <c r="D4955" s="1">
        <f>1.39644517988717*(10.3/7.3)</f>
        <v>1.9703267606627191</v>
      </c>
      <c r="E4955" s="1">
        <f>4.81885713864826*(10.3/7.3)</f>
        <v>6.7992093874078172</v>
      </c>
      <c r="F4955" s="1">
        <f>13.5527999897535*(38.9/42.5)</f>
        <v>12.404798108268473</v>
      </c>
      <c r="G4955" s="1">
        <v>0.69845653651873862</v>
      </c>
      <c r="H4955" s="1">
        <v>2.6947270231669203</v>
      </c>
      <c r="I4955" s="1">
        <v>10.216973759712491</v>
      </c>
      <c r="J4955" s="1">
        <v>6.2356133414319954E-2</v>
      </c>
      <c r="K4955" s="1">
        <v>4.6803951821036511</v>
      </c>
      <c r="L4955" s="1">
        <v>2.8442355031479383</v>
      </c>
      <c r="M4955" s="1">
        <v>1.5076710517893595</v>
      </c>
      <c r="N4955" s="1">
        <v>1.8027461896697372</v>
      </c>
      <c r="O4955" s="1">
        <v>0.53964666666666661</v>
      </c>
      <c r="P4955" s="1">
        <v>0.18288021516921155</v>
      </c>
      <c r="Q4955" s="1">
        <v>1.1162547387285793</v>
      </c>
      <c r="R4955" s="2">
        <f t="shared" si="311"/>
        <v>37.184504234269021</v>
      </c>
      <c r="S4955" s="2">
        <f t="shared" si="310"/>
        <v>4.9256315306871823</v>
      </c>
      <c r="T4955" s="2">
        <f t="shared" si="312"/>
        <v>6.6942994112737004</v>
      </c>
      <c r="U4955" s="2">
        <f t="shared" si="313"/>
        <v>48.804435176229902</v>
      </c>
    </row>
    <row r="4956" spans="1:21" x14ac:dyDescent="0.25">
      <c r="A4956">
        <v>5443765</v>
      </c>
      <c r="B4956">
        <v>57</v>
      </c>
      <c r="C4956" s="1">
        <f>0.965668966860168*(10.3/7.3)</f>
        <v>1.3625192272136615</v>
      </c>
      <c r="D4956" s="1">
        <f>1.51118893312698*(10.3/7.3)</f>
        <v>2.132225480987382</v>
      </c>
      <c r="E4956" s="1">
        <f>5.20319274825536*(10.3/7.3)</f>
        <v>7.3414911379493475</v>
      </c>
      <c r="F4956" s="1">
        <f>15.0391859935331*(38.9/42.5)</f>
        <v>13.765278474080848</v>
      </c>
      <c r="G4956" s="1">
        <v>0.7896380597872602</v>
      </c>
      <c r="H4956" s="1">
        <v>3.3832596361129701</v>
      </c>
      <c r="I4956" s="1">
        <v>11.35126905125953</v>
      </c>
      <c r="J4956" s="1">
        <v>8.3054088194314604E-2</v>
      </c>
      <c r="K4956" s="1">
        <v>5.0848055745371434</v>
      </c>
      <c r="L4956" s="1">
        <v>3.2596837142337316</v>
      </c>
      <c r="M4956" s="1">
        <v>1.8042378272268205</v>
      </c>
      <c r="N4956" s="1">
        <v>2.1731469114495017</v>
      </c>
      <c r="O4956" s="1">
        <v>0.61071438596491212</v>
      </c>
      <c r="P4956" s="1">
        <v>0.18855130122451103</v>
      </c>
      <c r="Q4956" s="1">
        <v>1.2619786343632027</v>
      </c>
      <c r="R4956" s="2">
        <f t="shared" si="311"/>
        <v>41.387659701754203</v>
      </c>
      <c r="S4956" s="2">
        <f t="shared" si="310"/>
        <v>5.3564109639559696</v>
      </c>
      <c r="T4956" s="2">
        <f t="shared" si="312"/>
        <v>7.8477828388749655</v>
      </c>
      <c r="U4956" s="2">
        <f t="shared" si="313"/>
        <v>54.591853504585131</v>
      </c>
    </row>
    <row r="4957" spans="1:21" x14ac:dyDescent="0.25">
      <c r="A4957">
        <v>5444205</v>
      </c>
      <c r="B4957">
        <v>18</v>
      </c>
      <c r="C4957" s="1">
        <f>5.53818119107137*(10.3/7.3)</f>
        <v>7.8141460641143947</v>
      </c>
      <c r="D4957" s="1">
        <f>9.85251025704754*(10.3/7.3)</f>
        <v>13.901487075012286</v>
      </c>
      <c r="E4957" s="1">
        <f>34.1641243203922*(10.3/7.3)</f>
        <v>48.204175410964339</v>
      </c>
      <c r="F4957" s="1">
        <f>78.7527581503081*(38.9/42.5)</f>
        <v>72.081936283458504</v>
      </c>
      <c r="G4957" s="1">
        <v>3.5592116275878487</v>
      </c>
      <c r="H4957" s="1">
        <v>7.0617318580811643</v>
      </c>
      <c r="I4957" s="1">
        <v>54.92144099558935</v>
      </c>
      <c r="J4957" s="1">
        <v>7.4708674152091425E-2</v>
      </c>
      <c r="K4957" s="1">
        <v>3.5908019980583794</v>
      </c>
      <c r="L4957" s="1">
        <v>4.4500221619487981</v>
      </c>
      <c r="M4957" s="1">
        <v>0.31699524191253681</v>
      </c>
      <c r="N4957" s="1">
        <v>2.9506047355652965</v>
      </c>
      <c r="O4957" s="1">
        <v>0.248317037037037</v>
      </c>
      <c r="P4957" s="1">
        <v>0.15873496796714548</v>
      </c>
      <c r="Q4957" s="1">
        <v>5.6882377609851522</v>
      </c>
      <c r="R4957" s="2">
        <f t="shared" si="311"/>
        <v>213.23236707579304</v>
      </c>
      <c r="S4957" s="2">
        <f t="shared" si="310"/>
        <v>3.8242456401776161</v>
      </c>
      <c r="T4957" s="2">
        <f t="shared" si="312"/>
        <v>7.9659391764636673</v>
      </c>
      <c r="U4957" s="2">
        <f t="shared" si="313"/>
        <v>225.02255189243434</v>
      </c>
    </row>
    <row r="4958" spans="1:21" x14ac:dyDescent="0.25">
      <c r="A4958">
        <v>5444213</v>
      </c>
      <c r="B4958">
        <v>59</v>
      </c>
      <c r="C4958" s="1">
        <f>5.39455874071798*(10.3/7.3)</f>
        <v>7.6115006889582402</v>
      </c>
      <c r="D4958" s="1">
        <f>9.45538875899531*(10.3/7.3)</f>
        <v>13.341164961322148</v>
      </c>
      <c r="E4958" s="1">
        <f>32.8160256487173*(10.3/7.3)</f>
        <v>46.302063586546353</v>
      </c>
      <c r="F4958" s="1">
        <f>74.9766730620939*(38.9/42.5)</f>
        <v>68.625707814481203</v>
      </c>
      <c r="G4958" s="1">
        <v>3.3566767665620207</v>
      </c>
      <c r="H4958" s="1">
        <v>6.9477854614109855</v>
      </c>
      <c r="I4958" s="1">
        <v>52.339705567185156</v>
      </c>
      <c r="J4958" s="1">
        <v>6.0490249738412098E-2</v>
      </c>
      <c r="K4958" s="1">
        <v>3.6510289009999677</v>
      </c>
      <c r="L4958" s="1">
        <v>4.531660579260854</v>
      </c>
      <c r="M4958" s="1">
        <v>0.3191818988419397</v>
      </c>
      <c r="N4958" s="1">
        <v>3.3100297056064485</v>
      </c>
      <c r="O4958" s="1">
        <v>0.24948338983050844</v>
      </c>
      <c r="P4958" s="1">
        <v>0.16052075412329087</v>
      </c>
      <c r="Q4958" s="1">
        <v>5.36455191003063</v>
      </c>
      <c r="R4958" s="2">
        <f t="shared" si="311"/>
        <v>203.8891567564967</v>
      </c>
      <c r="S4958" s="2">
        <f t="shared" si="310"/>
        <v>3.8720399048616705</v>
      </c>
      <c r="T4958" s="2">
        <f t="shared" si="312"/>
        <v>8.4103555735397517</v>
      </c>
      <c r="U4958" s="2">
        <f t="shared" si="313"/>
        <v>216.17155223489814</v>
      </c>
    </row>
    <row r="4959" spans="1:21" x14ac:dyDescent="0.25">
      <c r="A4959">
        <v>5444221</v>
      </c>
      <c r="B4959">
        <v>64</v>
      </c>
      <c r="C4959" s="1">
        <f>5.33590288858461*(10.3/7.3)</f>
        <v>7.5287396921125325</v>
      </c>
      <c r="D4959" s="1">
        <f>9.33673414519657*(10.3/7.3)</f>
        <v>13.173748177469138</v>
      </c>
      <c r="E4959" s="1">
        <f>32.4181845386473*(10.3/7.3)</f>
        <v>45.740726129872257</v>
      </c>
      <c r="F4959" s="1">
        <f>73.4499263877098*(38.9/42.5)</f>
        <v>67.228285564280213</v>
      </c>
      <c r="G4959" s="1">
        <v>3.263358866978423</v>
      </c>
      <c r="H4959" s="1">
        <v>6.8520105892521226</v>
      </c>
      <c r="I4959" s="1">
        <v>51.17399545854704</v>
      </c>
      <c r="J4959" s="1">
        <v>5.6305059656291762E-2</v>
      </c>
      <c r="K4959" s="1">
        <v>3.4921521362569674</v>
      </c>
      <c r="L4959" s="1">
        <v>4.5337811878271221</v>
      </c>
      <c r="M4959" s="1">
        <v>0.31737893045365745</v>
      </c>
      <c r="N4959" s="1">
        <v>2.7293613429043142</v>
      </c>
      <c r="O4959" s="1">
        <v>0.2482866666666666</v>
      </c>
      <c r="P4959" s="1">
        <v>0.16073550718182028</v>
      </c>
      <c r="Q4959" s="1">
        <v>5.2154137143490837</v>
      </c>
      <c r="R4959" s="2">
        <f t="shared" si="311"/>
        <v>200.17627819286082</v>
      </c>
      <c r="S4959" s="2">
        <f t="shared" si="310"/>
        <v>3.7091927030950798</v>
      </c>
      <c r="T4959" s="2">
        <f t="shared" si="312"/>
        <v>7.8288081278517616</v>
      </c>
      <c r="U4959" s="2">
        <f t="shared" si="313"/>
        <v>211.71427902380768</v>
      </c>
    </row>
    <row r="4960" spans="1:21" x14ac:dyDescent="0.25">
      <c r="A4960">
        <v>5444229</v>
      </c>
      <c r="B4960">
        <v>62</v>
      </c>
      <c r="C4960" s="1">
        <f>2.56433113316802*(10.3/7.3)</f>
        <v>3.6181658454288463</v>
      </c>
      <c r="D4960" s="1">
        <f>4.39432158651286*(10.3/7.3)</f>
        <v>6.2002071700112911</v>
      </c>
      <c r="E4960" s="1">
        <f>15.2807544751161*(10.3/7.3)</f>
        <v>21.560516588177446</v>
      </c>
      <c r="F4960" s="1">
        <f>33.9788888277951*(38.9/42.5)</f>
        <v>31.100677068264204</v>
      </c>
      <c r="G4960" s="1">
        <v>1.4802721567689185</v>
      </c>
      <c r="H4960" s="1">
        <v>3.9820880991295224</v>
      </c>
      <c r="I4960" s="1">
        <v>23.66886310095914</v>
      </c>
      <c r="J4960" s="1">
        <v>3.3555255312082873E-2</v>
      </c>
      <c r="K4960" s="1">
        <v>2.3490487955813162</v>
      </c>
      <c r="L4960" s="1">
        <v>2.6447825428110976</v>
      </c>
      <c r="M4960" s="1">
        <v>0.20073499945735235</v>
      </c>
      <c r="N4960" s="1">
        <v>1.6422867488765798</v>
      </c>
      <c r="O4960" s="1">
        <v>0.16015397849462365</v>
      </c>
      <c r="P4960" s="1">
        <v>0.11602201937878619</v>
      </c>
      <c r="Q4960" s="1">
        <v>2.3657317573932515</v>
      </c>
      <c r="R4960" s="2">
        <f t="shared" si="311"/>
        <v>93.976521786132622</v>
      </c>
      <c r="S4960" s="2">
        <f t="shared" si="310"/>
        <v>2.4986260702721852</v>
      </c>
      <c r="T4960" s="2">
        <f t="shared" si="312"/>
        <v>4.6479582696396529</v>
      </c>
      <c r="U4960" s="2">
        <f t="shared" si="313"/>
        <v>101.12310612604446</v>
      </c>
    </row>
    <row r="4961" spans="1:21" x14ac:dyDescent="0.25">
      <c r="A4961">
        <v>5444237</v>
      </c>
      <c r="B4961">
        <v>62</v>
      </c>
      <c r="C4961" s="1">
        <f>3.25230314061426*(10.3/7.3)</f>
        <v>4.5888660751132759</v>
      </c>
      <c r="D4961" s="1">
        <f>5.55375019113083*(10.3/7.3)</f>
        <v>7.836113283376382</v>
      </c>
      <c r="E4961" s="1">
        <f>19.3146619547551*(10.3/7.3)</f>
        <v>27.252194264928413</v>
      </c>
      <c r="F4961" s="1">
        <f>42.9555873619567*(38.9/42.5)</f>
        <v>39.316996432473324</v>
      </c>
      <c r="G4961" s="1">
        <v>1.8707738252572998</v>
      </c>
      <c r="H4961" s="1">
        <v>4.7264507216677947</v>
      </c>
      <c r="I4961" s="1">
        <v>29.949217354209562</v>
      </c>
      <c r="J4961" s="1">
        <v>3.8121079432390376E-2</v>
      </c>
      <c r="K4961" s="1">
        <v>2.5766291681363618</v>
      </c>
      <c r="L4961" s="1">
        <v>3.0239842128669832</v>
      </c>
      <c r="M4961" s="1">
        <v>0.22123835728741825</v>
      </c>
      <c r="N4961" s="1">
        <v>1.8177058171116238</v>
      </c>
      <c r="O4961" s="1">
        <v>0.17757591397849468</v>
      </c>
      <c r="P4961" s="1">
        <v>0.1247081545963829</v>
      </c>
      <c r="Q4961" s="1">
        <v>2.9898211819180616</v>
      </c>
      <c r="R4961" s="2">
        <f t="shared" si="311"/>
        <v>118.53043313894412</v>
      </c>
      <c r="S4961" s="2">
        <f t="shared" si="310"/>
        <v>2.7394584021651349</v>
      </c>
      <c r="T4961" s="2">
        <f t="shared" si="312"/>
        <v>5.2405043012445196</v>
      </c>
      <c r="U4961" s="2">
        <f t="shared" si="313"/>
        <v>126.51039584235377</v>
      </c>
    </row>
    <row r="4962" spans="1:21" x14ac:dyDescent="0.25">
      <c r="A4962">
        <v>5444245</v>
      </c>
      <c r="B4962">
        <v>63</v>
      </c>
      <c r="C4962" s="1">
        <f>5.49074969455963*(10.3/7.3)</f>
        <v>7.747222171775924</v>
      </c>
      <c r="D4962" s="1">
        <f>9.24782798471377*(10.3/7.3)</f>
        <v>13.048305238705732</v>
      </c>
      <c r="E4962" s="1">
        <f>32.1659063218692*(10.3/7.3)</f>
        <v>45.384771933596284</v>
      </c>
      <c r="F4962" s="1">
        <f>72.0855751184877*(38.9/42.5)</f>
        <v>65.97950287315696</v>
      </c>
      <c r="G4962" s="1">
        <v>3.1561573300138894</v>
      </c>
      <c r="H4962" s="1">
        <v>6.5591752688310763</v>
      </c>
      <c r="I4962" s="1">
        <v>50.539067115669226</v>
      </c>
      <c r="J4962" s="1">
        <v>5.4226662263557761E-2</v>
      </c>
      <c r="K4962" s="1">
        <v>3.3184874002664437</v>
      </c>
      <c r="L4962" s="1">
        <v>4.3866671692009218</v>
      </c>
      <c r="M4962" s="1">
        <v>0.29040334987272087</v>
      </c>
      <c r="N4962" s="1">
        <v>2.5389308787391567</v>
      </c>
      <c r="O4962" s="1">
        <v>0.23351534391534387</v>
      </c>
      <c r="P4962" s="1">
        <v>0.15362789729158616</v>
      </c>
      <c r="Q4962" s="1">
        <v>5.0440870570998273</v>
      </c>
      <c r="R4962" s="2">
        <f t="shared" si="311"/>
        <v>197.45828898884889</v>
      </c>
      <c r="S4962" s="2">
        <f t="shared" si="310"/>
        <v>3.5263419598215875</v>
      </c>
      <c r="T4962" s="2">
        <f t="shared" si="312"/>
        <v>7.4495167417281429</v>
      </c>
      <c r="U4962" s="2">
        <f t="shared" si="313"/>
        <v>208.43414769039862</v>
      </c>
    </row>
    <row r="4963" spans="1:21" x14ac:dyDescent="0.25">
      <c r="A4963">
        <v>5444253</v>
      </c>
      <c r="B4963">
        <v>64</v>
      </c>
      <c r="C4963" s="1">
        <f>6.00617821289085*(10.3/7.3)</f>
        <v>8.4744706291473619</v>
      </c>
      <c r="D4963" s="1">
        <f>9.96658697110384*(10.3/7.3)</f>
        <v>14.062444630461586</v>
      </c>
      <c r="E4963" s="1">
        <f>34.6831644450369*(10.3/7.3)</f>
        <v>48.936519696421939</v>
      </c>
      <c r="F4963" s="1">
        <f>77.7438511208894*(38.9/42.5)</f>
        <v>71.158489614178734</v>
      </c>
      <c r="G4963" s="1">
        <v>3.3980643124905936</v>
      </c>
      <c r="H4963" s="1">
        <v>6.8985654218271248</v>
      </c>
      <c r="I4963" s="1">
        <v>54.712411065421591</v>
      </c>
      <c r="J4963" s="1">
        <v>5.7606529808701075E-2</v>
      </c>
      <c r="K4963" s="1">
        <v>3.4410907517830021</v>
      </c>
      <c r="L4963" s="1">
        <v>4.6160555184796728</v>
      </c>
      <c r="M4963" s="1">
        <v>0.29739287347958132</v>
      </c>
      <c r="N4963" s="1">
        <v>2.5945459143055665</v>
      </c>
      <c r="O4963" s="1">
        <v>0.23897499999999994</v>
      </c>
      <c r="P4963" s="1">
        <v>0.15725291218619125</v>
      </c>
      <c r="Q4963" s="1">
        <v>5.4306963898251555</v>
      </c>
      <c r="R4963" s="2">
        <f t="shared" si="311"/>
        <v>213.07166175977406</v>
      </c>
      <c r="S4963" s="2">
        <f t="shared" si="310"/>
        <v>3.6559501937778944</v>
      </c>
      <c r="T4963" s="2">
        <f t="shared" si="312"/>
        <v>7.7469693062648206</v>
      </c>
      <c r="U4963" s="2">
        <f t="shared" si="313"/>
        <v>224.47458125981677</v>
      </c>
    </row>
    <row r="4964" spans="1:21" x14ac:dyDescent="0.25">
      <c r="A4964">
        <v>5444261</v>
      </c>
      <c r="B4964">
        <v>65</v>
      </c>
      <c r="C4964" s="1">
        <f>6.05734434857647*(10.3/7.3)</f>
        <v>8.5466639438818763</v>
      </c>
      <c r="D4964" s="1">
        <f>9.93628196389408*(10.3/7.3)</f>
        <v>14.019685510699867</v>
      </c>
      <c r="E4964" s="1">
        <f>34.5939495626688*(10.3/7.3)</f>
        <v>48.810641163765553</v>
      </c>
      <c r="F4964" s="1">
        <f>77.4187114966305*(38.9/42.5)</f>
        <v>70.8608912286806</v>
      </c>
      <c r="G4964" s="1">
        <v>3.3736995915758414</v>
      </c>
      <c r="H4964" s="1">
        <v>6.9060224312596104</v>
      </c>
      <c r="I4964" s="1">
        <v>54.618719798592402</v>
      </c>
      <c r="J4964" s="1">
        <v>5.7015602485454224E-2</v>
      </c>
      <c r="K4964" s="1">
        <v>3.3690169936410479</v>
      </c>
      <c r="L4964" s="1">
        <v>4.502387700765409</v>
      </c>
      <c r="M4964" s="1">
        <v>0.28436069515880757</v>
      </c>
      <c r="N4964" s="1">
        <v>2.5266471541099014</v>
      </c>
      <c r="O4964" s="1">
        <v>0.23172184615384617</v>
      </c>
      <c r="P4964" s="1">
        <v>0.15296734427180547</v>
      </c>
      <c r="Q4964" s="1">
        <v>5.3917573381349113</v>
      </c>
      <c r="R4964" s="2">
        <f t="shared" si="311"/>
        <v>212.52808100659064</v>
      </c>
      <c r="S4964" s="2">
        <f t="shared" si="310"/>
        <v>3.5789999403983077</v>
      </c>
      <c r="T4964" s="2">
        <f t="shared" si="312"/>
        <v>7.5451173961879636</v>
      </c>
      <c r="U4964" s="2">
        <f t="shared" si="313"/>
        <v>223.65219834317693</v>
      </c>
    </row>
    <row r="4965" spans="1:21" x14ac:dyDescent="0.25">
      <c r="A4965">
        <v>5444269</v>
      </c>
      <c r="B4965">
        <v>65</v>
      </c>
      <c r="C4965" s="1">
        <f>6.0935460100281*(10.3/7.3)</f>
        <v>8.5977430004506079</v>
      </c>
      <c r="D4965" s="1">
        <f>9.86323357108883*(10.3/7.3)</f>
        <v>13.91661723044041</v>
      </c>
      <c r="E4965" s="1">
        <f>34.3552352231434*(10.3/7.3)</f>
        <v>48.4738250408735</v>
      </c>
      <c r="F4965" s="1">
        <f>76.9053669814372*(38.9/42.5)</f>
        <v>70.391030013597842</v>
      </c>
      <c r="G4965" s="1">
        <v>3.3462485935829238</v>
      </c>
      <c r="H4965" s="1">
        <v>6.9539281654892493</v>
      </c>
      <c r="I4965" s="1">
        <v>54.445202303872023</v>
      </c>
      <c r="J4965" s="1">
        <v>5.7270455831118505E-2</v>
      </c>
      <c r="K4965" s="1">
        <v>3.2796483633561135</v>
      </c>
      <c r="L4965" s="1">
        <v>4.3554409371085923</v>
      </c>
      <c r="M4965" s="1">
        <v>0.27229332912216481</v>
      </c>
      <c r="N4965" s="1">
        <v>2.4916185406793114</v>
      </c>
      <c r="O4965" s="1">
        <v>0.22260266666666664</v>
      </c>
      <c r="P4965" s="1">
        <v>0.14803105543030073</v>
      </c>
      <c r="Q4965" s="1">
        <v>5.3478858801553617</v>
      </c>
      <c r="R4965" s="2">
        <f t="shared" si="311"/>
        <v>211.47248022846193</v>
      </c>
      <c r="S4965" s="2">
        <f t="shared" si="310"/>
        <v>3.4849498746175329</v>
      </c>
      <c r="T4965" s="2">
        <f t="shared" si="312"/>
        <v>7.3419554735767356</v>
      </c>
      <c r="U4965" s="2">
        <f t="shared" si="313"/>
        <v>222.29938557665622</v>
      </c>
    </row>
    <row r="4966" spans="1:21" x14ac:dyDescent="0.25">
      <c r="A4966">
        <v>5444277</v>
      </c>
      <c r="B4966">
        <v>65</v>
      </c>
      <c r="C4966" s="1">
        <f>4.3020784837383*(10.3/7.3)</f>
        <v>6.0700559428088399</v>
      </c>
      <c r="D4966" s="1">
        <f>6.86536859674054*(10.3/7.3)</f>
        <v>9.6867529515654258</v>
      </c>
      <c r="E4966" s="1">
        <f>23.9221149788911*(10.3/7.3)</f>
        <v>33.753121134599731</v>
      </c>
      <c r="F4966" s="1">
        <f>53.7078369159129*(38.9/42.5)</f>
        <v>49.158467200682622</v>
      </c>
      <c r="G4966" s="1">
        <v>2.3388316317622371</v>
      </c>
      <c r="H4966" s="1">
        <v>5.4048727355718871</v>
      </c>
      <c r="I4966" s="1">
        <v>38.190415047981233</v>
      </c>
      <c r="J4966" s="1">
        <v>4.5754661954259104E-2</v>
      </c>
      <c r="K4966" s="1">
        <v>2.6630070415527856</v>
      </c>
      <c r="L4966" s="1">
        <v>3.2796011540504941</v>
      </c>
      <c r="M4966" s="1">
        <v>0.21370834257162094</v>
      </c>
      <c r="N4966" s="1">
        <v>2.0336277944055019</v>
      </c>
      <c r="O4966" s="1">
        <v>0.17621579487179492</v>
      </c>
      <c r="P4966" s="1">
        <v>0.12316050732169852</v>
      </c>
      <c r="Q4966" s="1">
        <v>3.7378587722227579</v>
      </c>
      <c r="R4966" s="2">
        <f t="shared" si="311"/>
        <v>148.34037541719471</v>
      </c>
      <c r="S4966" s="2">
        <f t="shared" si="310"/>
        <v>2.831922210828743</v>
      </c>
      <c r="T4966" s="2">
        <f t="shared" si="312"/>
        <v>5.7031530858994115</v>
      </c>
      <c r="U4966" s="2">
        <f t="shared" si="313"/>
        <v>156.87545071392285</v>
      </c>
    </row>
    <row r="4967" spans="1:21" x14ac:dyDescent="0.25">
      <c r="A4967">
        <v>5444309</v>
      </c>
      <c r="B4967">
        <v>7</v>
      </c>
      <c r="C4967" s="1">
        <f>4.53085379607652*(10.3/7.3)</f>
        <v>6.3928485067929035</v>
      </c>
      <c r="D4967" s="1">
        <f>7.07858424839478*(10.3/7.3)</f>
        <v>9.9875914737624925</v>
      </c>
      <c r="E4967" s="1">
        <f>24.6047044673647*(10.3/7.3)</f>
        <v>34.716226851213193</v>
      </c>
      <c r="F4967" s="1">
        <f>59.2589200259019*(38.9/42.5)</f>
        <v>54.239340917825544</v>
      </c>
      <c r="G4967" s="1">
        <v>2.7364808320498253</v>
      </c>
      <c r="H4967" s="1">
        <v>8.8204799748610458</v>
      </c>
      <c r="I4967" s="1">
        <v>43.090688506984954</v>
      </c>
      <c r="J4967" s="1">
        <v>3.6475791840979745E-2</v>
      </c>
      <c r="K4967" s="1">
        <v>2.1703522182210837</v>
      </c>
      <c r="L4967" s="1">
        <v>2.8571178723602437</v>
      </c>
      <c r="M4967" s="1">
        <v>0.16279801422639242</v>
      </c>
      <c r="N4967" s="1">
        <v>1.7465606930537203</v>
      </c>
      <c r="O4967" s="1">
        <v>0.13497142857142858</v>
      </c>
      <c r="P4967" s="1">
        <v>9.9742652560239869E-2</v>
      </c>
      <c r="Q4967" s="1">
        <v>4.373371192773698</v>
      </c>
      <c r="R4967" s="2">
        <f t="shared" si="311"/>
        <v>164.35702825626365</v>
      </c>
      <c r="S4967" s="2">
        <f t="shared" si="310"/>
        <v>2.3065706626223035</v>
      </c>
      <c r="T4967" s="2">
        <f t="shared" si="312"/>
        <v>4.9014480082117844</v>
      </c>
      <c r="U4967" s="2">
        <f t="shared" si="313"/>
        <v>171.56504692709774</v>
      </c>
    </row>
    <row r="4968" spans="1:21" x14ac:dyDescent="0.25">
      <c r="A4968">
        <v>5444317</v>
      </c>
      <c r="B4968">
        <v>24</v>
      </c>
      <c r="C4968" s="1">
        <f>3.99090049925695*(10.3/7.3)</f>
        <v>5.630996594842002</v>
      </c>
      <c r="D4968" s="1">
        <f>6.10654080061558*(10.3/7.3)</f>
        <v>8.6160781159370572</v>
      </c>
      <c r="E4968" s="1">
        <f>21.2112685338311*(10.3/7.3)</f>
        <v>29.92822820526861</v>
      </c>
      <c r="F4968" s="1">
        <f>52.6602381613065*(38.9/42.5)</f>
        <v>48.199606222937028</v>
      </c>
      <c r="G4968" s="1">
        <v>2.4853978968026991</v>
      </c>
      <c r="H4968" s="1">
        <v>7.0978886865873649</v>
      </c>
      <c r="I4968" s="1">
        <v>38.743281472187768</v>
      </c>
      <c r="J4968" s="1">
        <v>3.3164526966105681E-2</v>
      </c>
      <c r="K4968" s="1">
        <v>2.0461565237582562</v>
      </c>
      <c r="L4968" s="1">
        <v>2.9561178117100293</v>
      </c>
      <c r="M4968" s="1">
        <v>0.15225672317754288</v>
      </c>
      <c r="N4968" s="1">
        <v>1.4865784847502128</v>
      </c>
      <c r="O4968" s="1">
        <v>0.12560000000000002</v>
      </c>
      <c r="P4968" s="1">
        <v>9.4273586417075714E-2</v>
      </c>
      <c r="Q4968" s="1">
        <v>3.9720970953467822</v>
      </c>
      <c r="R4968" s="2">
        <f t="shared" si="311"/>
        <v>144.67357428990931</v>
      </c>
      <c r="S4968" s="2">
        <f t="shared" si="310"/>
        <v>2.1735946371414374</v>
      </c>
      <c r="T4968" s="2">
        <f t="shared" si="312"/>
        <v>4.7205530196377854</v>
      </c>
      <c r="U4968" s="2">
        <f t="shared" si="313"/>
        <v>151.56772194668852</v>
      </c>
    </row>
    <row r="4969" spans="1:21" x14ac:dyDescent="0.25">
      <c r="A4969">
        <v>5444325</v>
      </c>
      <c r="B4969">
        <v>17</v>
      </c>
      <c r="C4969" s="1">
        <f>4.21978454800467*(10.3/7.3)</f>
        <v>5.9539425814312432</v>
      </c>
      <c r="D4969" s="1">
        <f>6.36848425210064*(10.3/7.3)</f>
        <v>8.9856695611830997</v>
      </c>
      <c r="E4969" s="1">
        <f>22.1408396339958*(10.3/7.3)</f>
        <v>31.239814826048889</v>
      </c>
      <c r="F4969" s="1">
        <f>54.5446971620691*(38.9/42.5)</f>
        <v>49.92444046128206</v>
      </c>
      <c r="G4969" s="1">
        <v>2.5545032022124889</v>
      </c>
      <c r="H4969" s="1">
        <v>8.4769499189079394</v>
      </c>
      <c r="I4969" s="1">
        <v>40.194188605395027</v>
      </c>
      <c r="J4969" s="1">
        <v>3.1734671300015178E-2</v>
      </c>
      <c r="K4969" s="1">
        <v>1.9532437936229674</v>
      </c>
      <c r="L4969" s="1">
        <v>2.6118642003295314</v>
      </c>
      <c r="M4969" s="1">
        <v>0.14422162522972656</v>
      </c>
      <c r="N4969" s="1">
        <v>1.6897633917425758</v>
      </c>
      <c r="O4969" s="1">
        <v>0.1184407843137255</v>
      </c>
      <c r="P4969" s="1">
        <v>8.9967276998398002E-2</v>
      </c>
      <c r="Q4969" s="1">
        <v>4.0825393642665384</v>
      </c>
      <c r="R4969" s="2">
        <f t="shared" si="311"/>
        <v>151.4120485207273</v>
      </c>
      <c r="S4969" s="2">
        <f t="shared" si="310"/>
        <v>2.0749457419213808</v>
      </c>
      <c r="T4969" s="2">
        <f t="shared" si="312"/>
        <v>4.5642900016155599</v>
      </c>
      <c r="U4969" s="2">
        <f t="shared" si="313"/>
        <v>158.05128426426421</v>
      </c>
    </row>
    <row r="4970" spans="1:21" x14ac:dyDescent="0.25">
      <c r="A4970">
        <v>5444461</v>
      </c>
      <c r="B4970">
        <v>40</v>
      </c>
      <c r="C4970" s="1">
        <f>4.98780829609273*(10.3/7.3)</f>
        <v>7.0375925273637145</v>
      </c>
      <c r="D4970" s="1">
        <f>6.42310176241415*(10.3/7.3)</f>
        <v>9.0627326236802332</v>
      </c>
      <c r="E4970" s="1">
        <f>22.5643996917173*(10.3/7.3)</f>
        <v>31.837440660916226</v>
      </c>
      <c r="F4970" s="1">
        <f>51.0503109624629*(38.9/42.5)</f>
        <v>46.726049327995419</v>
      </c>
      <c r="G4970" s="1">
        <v>2.1683234635314199</v>
      </c>
      <c r="H4970" s="1">
        <v>5.3476649170258144</v>
      </c>
      <c r="I4970" s="1">
        <v>38.573060814128134</v>
      </c>
      <c r="J4970" s="1">
        <v>3.9307342325368082E-2</v>
      </c>
      <c r="K4970" s="1">
        <v>2.0719906179508065</v>
      </c>
      <c r="L4970" s="1">
        <v>2.1994588469813965</v>
      </c>
      <c r="M4970" s="1">
        <v>0.11954943066430364</v>
      </c>
      <c r="N4970" s="1">
        <v>1.6008577086254534</v>
      </c>
      <c r="O4970" s="1">
        <v>0.10669999999999998</v>
      </c>
      <c r="P4970" s="1">
        <v>8.1932422459829263E-2</v>
      </c>
      <c r="Q4970" s="1">
        <v>3.4653571334977067</v>
      </c>
      <c r="R4970" s="2">
        <f t="shared" si="311"/>
        <v>144.21822146813869</v>
      </c>
      <c r="S4970" s="2">
        <f t="shared" si="310"/>
        <v>2.193230382736004</v>
      </c>
      <c r="T4970" s="2">
        <f t="shared" si="312"/>
        <v>4.0265659862711534</v>
      </c>
      <c r="U4970" s="2">
        <f t="shared" si="313"/>
        <v>150.43801783714585</v>
      </c>
    </row>
    <row r="4971" spans="1:21" x14ac:dyDescent="0.25">
      <c r="A4971">
        <v>5444469</v>
      </c>
      <c r="B4971">
        <v>60</v>
      </c>
      <c r="C4971" s="1">
        <f>5.25194214594437*(10.3/7.3)</f>
        <v>7.4102745346886385</v>
      </c>
      <c r="D4971" s="1">
        <f>7.17851694791272*(10.3/7.3)</f>
        <v>10.128592405959044</v>
      </c>
      <c r="E4971" s="1">
        <f>25.154434767895*(10.3/7.3)</f>
        <v>35.491873713605287</v>
      </c>
      <c r="F4971" s="1">
        <f>56.8989249480956*(38.9/42.5)</f>
        <v>52.079251305433367</v>
      </c>
      <c r="G4971" s="1">
        <v>2.4397260168988661</v>
      </c>
      <c r="H4971" s="1">
        <v>5.6489189467422696</v>
      </c>
      <c r="I4971" s="1">
        <v>42.259790723248678</v>
      </c>
      <c r="J4971" s="1">
        <v>3.4434447130578506E-2</v>
      </c>
      <c r="K4971" s="1">
        <v>2.0455510715197618</v>
      </c>
      <c r="L4971" s="1">
        <v>2.1937855720353325</v>
      </c>
      <c r="M4971" s="1">
        <v>0.11692617604528875</v>
      </c>
      <c r="N4971" s="1">
        <v>1.5483347603927753</v>
      </c>
      <c r="O4971" s="1">
        <v>0.10551822222222222</v>
      </c>
      <c r="P4971" s="1">
        <v>8.1307373577012773E-2</v>
      </c>
      <c r="Q4971" s="1">
        <v>3.8991055064593803</v>
      </c>
      <c r="R4971" s="2">
        <f t="shared" si="311"/>
        <v>159.35753315303555</v>
      </c>
      <c r="S4971" s="2">
        <f t="shared" si="310"/>
        <v>2.1612928922273529</v>
      </c>
      <c r="T4971" s="2">
        <f t="shared" si="312"/>
        <v>3.9645647306956193</v>
      </c>
      <c r="U4971" s="2">
        <f t="shared" si="313"/>
        <v>165.48339077595853</v>
      </c>
    </row>
    <row r="4972" spans="1:21" x14ac:dyDescent="0.25">
      <c r="A4972">
        <v>5444613</v>
      </c>
      <c r="B4972">
        <v>24</v>
      </c>
      <c r="C4972" s="1">
        <f>6.73876546059056*(10.3/7.3)</f>
        <v>9.5081211293264083</v>
      </c>
      <c r="D4972" s="1">
        <f>8.59366146816392*(10.3/7.3)</f>
        <v>12.125303167409374</v>
      </c>
      <c r="E4972" s="1">
        <f>29.8846016850176*(10.3/7.3)</f>
        <v>42.165944843244048</v>
      </c>
      <c r="F4972" s="1">
        <f>83.7436361629113*(38.9/42.5)</f>
        <v>76.650057570288226</v>
      </c>
      <c r="G4972" s="1">
        <v>4.2224135798327396</v>
      </c>
      <c r="H4972" s="1">
        <v>10.189367504826114</v>
      </c>
      <c r="I4972" s="1">
        <v>65.68954454121166</v>
      </c>
      <c r="J4972" s="1">
        <v>3.7295993024383967E-2</v>
      </c>
      <c r="K4972" s="1">
        <v>2.1611564186648411</v>
      </c>
      <c r="L4972" s="1">
        <v>2.202845324524096</v>
      </c>
      <c r="M4972" s="1">
        <v>0.10901283537019214</v>
      </c>
      <c r="N4972" s="1">
        <v>1.529365370748075</v>
      </c>
      <c r="O4972" s="1">
        <v>0.10368888888888889</v>
      </c>
      <c r="P4972" s="1">
        <v>7.8968433665342133E-2</v>
      </c>
      <c r="Q4972" s="1">
        <v>6.7481495568103194</v>
      </c>
      <c r="R4972" s="2">
        <f t="shared" si="311"/>
        <v>227.29890189294889</v>
      </c>
      <c r="S4972" s="2">
        <f t="shared" si="310"/>
        <v>2.277420845354567</v>
      </c>
      <c r="T4972" s="2">
        <f t="shared" si="312"/>
        <v>3.9449124195312519</v>
      </c>
      <c r="U4972" s="2">
        <f t="shared" si="313"/>
        <v>233.5212351578347</v>
      </c>
    </row>
    <row r="4973" spans="1:21" x14ac:dyDescent="0.25">
      <c r="A4973">
        <v>5444661</v>
      </c>
      <c r="B4973">
        <v>26</v>
      </c>
      <c r="C4973" s="1">
        <f>3.00838992997462*(10.3/7.3)</f>
        <v>4.2447145587313067</v>
      </c>
      <c r="D4973" s="1">
        <f>4.49672348306652*(10.3/7.3)</f>
        <v>6.3446920377513933</v>
      </c>
      <c r="E4973" s="1">
        <f>15.4529049115513*(10.3/7.3)</f>
        <v>21.803413779312105</v>
      </c>
      <c r="F4973" s="1">
        <f>47.5540172103412*(38.9/42.5)</f>
        <v>43.525912223112314</v>
      </c>
      <c r="G4973" s="1">
        <v>2.578173631400432</v>
      </c>
      <c r="H4973" s="1">
        <v>7.0045986858907172</v>
      </c>
      <c r="I4973" s="1">
        <v>36.603988587628479</v>
      </c>
      <c r="J4973" s="1">
        <v>2.4929474874235951E-2</v>
      </c>
      <c r="K4973" s="1">
        <v>1.6457638051318577</v>
      </c>
      <c r="L4973" s="1">
        <v>1.5674533169010632</v>
      </c>
      <c r="M4973" s="1">
        <v>7.9765825595949982E-2</v>
      </c>
      <c r="N4973" s="1">
        <v>1.0177722870941195</v>
      </c>
      <c r="O4973" s="1">
        <v>7.735794871794871E-2</v>
      </c>
      <c r="P4973" s="1">
        <v>6.2569164059676219E-2</v>
      </c>
      <c r="Q4973" s="1">
        <v>4.1203688173066313</v>
      </c>
      <c r="R4973" s="2">
        <f t="shared" si="311"/>
        <v>126.22586232113338</v>
      </c>
      <c r="S4973" s="2">
        <f t="shared" si="310"/>
        <v>1.7332624440657698</v>
      </c>
      <c r="T4973" s="2">
        <f t="shared" si="312"/>
        <v>2.7423493783090813</v>
      </c>
      <c r="U4973" s="2">
        <f t="shared" si="313"/>
        <v>130.70147414350822</v>
      </c>
    </row>
    <row r="4974" spans="1:21" x14ac:dyDescent="0.25">
      <c r="A4974">
        <v>5455985</v>
      </c>
      <c r="B4974">
        <v>69</v>
      </c>
      <c r="C4974" s="1">
        <f>0.616428725278523*(10.3/7.3)</f>
        <v>0.86975559868065511</v>
      </c>
      <c r="D4974" s="1">
        <f>0.925719544447032*(10.3/7.3)</f>
        <v>1.3061522339458127</v>
      </c>
      <c r="E4974" s="1">
        <f>3.2030286597703*(10.3/7.3)</f>
        <v>4.5193418076211076</v>
      </c>
      <c r="F4974" s="1">
        <f>8.70336793098292*(38.9/42.5)</f>
        <v>7.966141470946722</v>
      </c>
      <c r="G4974" s="1">
        <v>0.43764051452161612</v>
      </c>
      <c r="H4974" s="1">
        <v>1.818448510169874</v>
      </c>
      <c r="I4974" s="1">
        <v>6.5486015165722895</v>
      </c>
      <c r="J4974" s="1">
        <v>4.7983009026518093E-2</v>
      </c>
      <c r="K4974" s="1">
        <v>3.6714083359500553</v>
      </c>
      <c r="L4974" s="1">
        <v>2.0511049714600613</v>
      </c>
      <c r="M4974" s="1">
        <v>1.0654437930026075</v>
      </c>
      <c r="N4974" s="1">
        <v>1.3797897251308631</v>
      </c>
      <c r="O4974" s="1">
        <v>0.39394705314009654</v>
      </c>
      <c r="P4974" s="1">
        <v>0.15176396241312537</v>
      </c>
      <c r="Q4974" s="1">
        <v>0.69942547982906755</v>
      </c>
      <c r="R4974" s="2">
        <f t="shared" si="311"/>
        <v>24.165507132287146</v>
      </c>
      <c r="S4974" s="2">
        <f t="shared" si="310"/>
        <v>3.8711553073896989</v>
      </c>
      <c r="T4974" s="2">
        <f t="shared" si="312"/>
        <v>4.8902855427336283</v>
      </c>
      <c r="U4974" s="2">
        <f t="shared" si="313"/>
        <v>32.926947982410475</v>
      </c>
    </row>
    <row r="4975" spans="1:21" x14ac:dyDescent="0.25">
      <c r="A4975">
        <v>5455993</v>
      </c>
      <c r="B4975">
        <v>66</v>
      </c>
      <c r="C4975" s="1">
        <f>1.19471851745596*(10.3/7.3)</f>
        <v>1.6856987301090898</v>
      </c>
      <c r="D4975" s="1">
        <f>1.87724358030014*(10.3/7.3)</f>
        <v>2.6487135448070509</v>
      </c>
      <c r="E4975" s="1">
        <f>6.46033361719374*(10.3/7.3)</f>
        <v>9.1152652406980224</v>
      </c>
      <c r="F4975" s="1">
        <f>18.7895587791479*(38.9/42.5)</f>
        <v>17.197972623737698</v>
      </c>
      <c r="G4975" s="1">
        <v>0.99059566613372274</v>
      </c>
      <c r="H4975" s="1">
        <v>3.4545858361315189</v>
      </c>
      <c r="I4975" s="1">
        <v>14.187149796430091</v>
      </c>
      <c r="J4975" s="1">
        <v>8.2532884716538052E-2</v>
      </c>
      <c r="K4975" s="1">
        <v>5.7351525529565848</v>
      </c>
      <c r="L4975" s="1">
        <v>3.8216056128265143</v>
      </c>
      <c r="M4975" s="1">
        <v>1.9247430695563625</v>
      </c>
      <c r="N4975" s="1">
        <v>2.2089930596674732</v>
      </c>
      <c r="O4975" s="1">
        <v>0.72388767676767685</v>
      </c>
      <c r="P4975" s="1">
        <v>0.20591353924039266</v>
      </c>
      <c r="Q4975" s="1">
        <v>1.5831437586612025</v>
      </c>
      <c r="R4975" s="2">
        <f t="shared" si="311"/>
        <v>50.863125196708395</v>
      </c>
      <c r="S4975" s="2">
        <f t="shared" si="310"/>
        <v>6.0235989769135152</v>
      </c>
      <c r="T4975" s="2">
        <f t="shared" si="312"/>
        <v>8.6792294188180268</v>
      </c>
      <c r="U4975" s="2">
        <f t="shared" si="313"/>
        <v>65.565953592439939</v>
      </c>
    </row>
    <row r="4976" spans="1:21" x14ac:dyDescent="0.25">
      <c r="A4976">
        <v>5456001</v>
      </c>
      <c r="B4976">
        <v>2</v>
      </c>
      <c r="C4976" s="1">
        <f>0.946341332868827*(10.3/7.3)</f>
        <v>1.3352487299382088</v>
      </c>
      <c r="D4976" s="1">
        <f>1.49500475364772*(10.3/7.3)</f>
        <v>2.1093902688454169</v>
      </c>
      <c r="E4976" s="1">
        <f>5.14009046746114*(10.3/7.3)</f>
        <v>7.2524564129931193</v>
      </c>
      <c r="F4976" s="1">
        <f>15.145341994587*(38.9/42.5)</f>
        <v>13.862442437398448</v>
      </c>
      <c r="G4976" s="1">
        <v>0.80498029517266967</v>
      </c>
      <c r="H4976" s="1">
        <v>5.1091698108016725</v>
      </c>
      <c r="I4976" s="1">
        <v>11.451115963338152</v>
      </c>
      <c r="J4976" s="1">
        <v>8.0900922835125441E-2</v>
      </c>
      <c r="K4976" s="1">
        <v>4.5021500549307651</v>
      </c>
      <c r="L4976" s="1">
        <v>3.0296681061851833</v>
      </c>
      <c r="M4976" s="1">
        <v>1.5833393788944889</v>
      </c>
      <c r="N4976" s="1">
        <v>2.0868743110443773</v>
      </c>
      <c r="O4976" s="1">
        <v>0.55653333333333332</v>
      </c>
      <c r="P4976" s="1">
        <v>0.17031269033005209</v>
      </c>
      <c r="Q4976" s="1">
        <v>1.2864981886321218</v>
      </c>
      <c r="R4976" s="2">
        <f t="shared" si="311"/>
        <v>43.211302107119813</v>
      </c>
      <c r="S4976" s="2">
        <f t="shared" si="310"/>
        <v>4.7533636680959424</v>
      </c>
      <c r="T4976" s="2">
        <f t="shared" si="312"/>
        <v>7.2564151294573831</v>
      </c>
      <c r="U4976" s="2">
        <f t="shared" si="313"/>
        <v>55.221080904673137</v>
      </c>
    </row>
    <row r="4977" spans="1:21" x14ac:dyDescent="0.25">
      <c r="A4977">
        <v>5456441</v>
      </c>
      <c r="B4977">
        <v>5</v>
      </c>
      <c r="C4977" s="1">
        <f>5.60157597031447*(10.3/7.3)</f>
        <v>7.9035934923615176</v>
      </c>
      <c r="D4977" s="1">
        <f>9.55079646760887*(10.3/7.3)</f>
        <v>13.475781317311142</v>
      </c>
      <c r="E4977" s="1">
        <f>33.1572755740142*(10.3/7.3)</f>
        <v>46.783553207170755</v>
      </c>
      <c r="F4977" s="1">
        <f>76.7778504218622*(38.9/42.5)</f>
        <v>70.274314856716231</v>
      </c>
      <c r="G4977" s="1">
        <v>3.46627036532466</v>
      </c>
      <c r="H4977" s="1">
        <v>7.9314738706541164</v>
      </c>
      <c r="I4977" s="1">
        <v>54.146446899734407</v>
      </c>
      <c r="J4977" s="1">
        <v>6.5801906585439593E-2</v>
      </c>
      <c r="K4977" s="1">
        <v>4.0157727759618798</v>
      </c>
      <c r="L4977" s="1">
        <v>4.3074453013154743</v>
      </c>
      <c r="M4977" s="1">
        <v>0.30815723151091856</v>
      </c>
      <c r="N4977" s="1">
        <v>2.7510297015116771</v>
      </c>
      <c r="O4977" s="1">
        <v>0.24195200000000003</v>
      </c>
      <c r="P4977" s="1">
        <v>0.15588972943372878</v>
      </c>
      <c r="Q4977" s="1">
        <v>5.5397014970942111</v>
      </c>
      <c r="R4977" s="2">
        <f t="shared" si="311"/>
        <v>209.52113550636699</v>
      </c>
      <c r="S4977" s="2">
        <f t="shared" si="310"/>
        <v>4.2374644119810476</v>
      </c>
      <c r="T4977" s="2">
        <f t="shared" si="312"/>
        <v>7.6085842343380703</v>
      </c>
      <c r="U4977" s="2">
        <f t="shared" si="313"/>
        <v>221.36718415268612</v>
      </c>
    </row>
    <row r="4978" spans="1:21" x14ac:dyDescent="0.25">
      <c r="A4978">
        <v>5456449</v>
      </c>
      <c r="B4978">
        <v>56</v>
      </c>
      <c r="C4978" s="1">
        <f>5.43853237427457*(10.3/7.3)</f>
        <v>7.6735456787709744</v>
      </c>
      <c r="D4978" s="1">
        <f>9.54333648116519*(10.3/7.3)</f>
        <v>13.465255583013896</v>
      </c>
      <c r="E4978" s="1">
        <f>33.1174968458615*(10.3/7.3)</f>
        <v>46.727427056489582</v>
      </c>
      <c r="F4978" s="1">
        <f>75.7939673464154*(38.9/42.5)</f>
        <v>69.373772465307312</v>
      </c>
      <c r="G4978" s="1">
        <v>3.3987780154466378</v>
      </c>
      <c r="H4978" s="1">
        <v>7.0684766895002022</v>
      </c>
      <c r="I4978" s="1">
        <v>52.921114953476447</v>
      </c>
      <c r="J4978" s="1">
        <v>5.8862328692098523E-2</v>
      </c>
      <c r="K4978" s="1">
        <v>3.6679719953864196</v>
      </c>
      <c r="L4978" s="1">
        <v>4.6010449982480734</v>
      </c>
      <c r="M4978" s="1">
        <v>0.32229307382679739</v>
      </c>
      <c r="N4978" s="1">
        <v>3.3903048875806414</v>
      </c>
      <c r="O4978" s="1">
        <v>0.25286761904761906</v>
      </c>
      <c r="P4978" s="1">
        <v>0.16220620661241833</v>
      </c>
      <c r="Q4978" s="1">
        <v>5.4318370109877829</v>
      </c>
      <c r="R4978" s="2">
        <f t="shared" si="311"/>
        <v>206.06020745299284</v>
      </c>
      <c r="S4978" s="2">
        <f t="shared" si="310"/>
        <v>3.8890405306909361</v>
      </c>
      <c r="T4978" s="2">
        <f t="shared" si="312"/>
        <v>8.5665105787031308</v>
      </c>
      <c r="U4978" s="2">
        <f t="shared" si="313"/>
        <v>218.51575856238691</v>
      </c>
    </row>
    <row r="4979" spans="1:21" x14ac:dyDescent="0.25">
      <c r="A4979">
        <v>5456457</v>
      </c>
      <c r="B4979">
        <v>69</v>
      </c>
      <c r="C4979" s="1">
        <f>3.31321637011042*(10.3/7.3)</f>
        <v>4.6748121386489467</v>
      </c>
      <c r="D4979" s="1">
        <f>5.77635654562493*(10.3/7.3)</f>
        <v>8.1502017013611976</v>
      </c>
      <c r="E4979" s="1">
        <f>20.0611176680859*(10.3/7.3)</f>
        <v>28.305412600175995</v>
      </c>
      <c r="F4979" s="1">
        <f>45.3220351017585*(38.9/42.5)</f>
        <v>41.482992128433118</v>
      </c>
      <c r="G4979" s="1">
        <v>2.007581646857183</v>
      </c>
      <c r="H4979" s="1">
        <v>4.9930135904606239</v>
      </c>
      <c r="I4979" s="1">
        <v>31.578724956056458</v>
      </c>
      <c r="J4979" s="1">
        <v>3.9788214152903525E-2</v>
      </c>
      <c r="K4979" s="1">
        <v>2.6825832194022801</v>
      </c>
      <c r="L4979" s="1">
        <v>3.136061283951018</v>
      </c>
      <c r="M4979" s="1">
        <v>0.2330155577459978</v>
      </c>
      <c r="N4979" s="1">
        <v>2.0125600822390424</v>
      </c>
      <c r="O4979" s="1">
        <v>0.1864850241545894</v>
      </c>
      <c r="P4979" s="1">
        <v>0.12914663540829746</v>
      </c>
      <c r="Q4979" s="1">
        <v>3.2084638191781512</v>
      </c>
      <c r="R4979" s="2">
        <f t="shared" si="311"/>
        <v>124.40120258117167</v>
      </c>
      <c r="S4979" s="2">
        <f t="shared" si="310"/>
        <v>2.8515180689634811</v>
      </c>
      <c r="T4979" s="2">
        <f t="shared" si="312"/>
        <v>5.5681219480906483</v>
      </c>
      <c r="U4979" s="2">
        <f t="shared" si="313"/>
        <v>132.82084259822579</v>
      </c>
    </row>
    <row r="4980" spans="1:21" x14ac:dyDescent="0.25">
      <c r="A4980">
        <v>5456465</v>
      </c>
      <c r="B4980">
        <v>70</v>
      </c>
      <c r="C4980" s="1">
        <f>3.12305726577507*(10.3/7.3)</f>
        <v>4.4065054571894784</v>
      </c>
      <c r="D4980" s="1">
        <f>5.38713919972605*(10.3/7.3)</f>
        <v>7.6010320215312728</v>
      </c>
      <c r="E4980" s="1">
        <f>18.724059017777*(10.3/7.3)</f>
        <v>26.418877792205919</v>
      </c>
      <c r="F4980" s="1">
        <f>41.8895072260579*(38.9/42.5)</f>
        <v>38.341219555144768</v>
      </c>
      <c r="G4980" s="1">
        <v>1.8367054564659522</v>
      </c>
      <c r="H4980" s="1">
        <v>4.6622194246101927</v>
      </c>
      <c r="I4980" s="1">
        <v>29.181937444306914</v>
      </c>
      <c r="J4980" s="1">
        <v>3.7466398066700643E-2</v>
      </c>
      <c r="K4980" s="1">
        <v>2.5455751328864467</v>
      </c>
      <c r="L4980" s="1">
        <v>2.9617857822907534</v>
      </c>
      <c r="M4980" s="1">
        <v>0.21912195528430739</v>
      </c>
      <c r="N4980" s="1">
        <v>1.8067919109503197</v>
      </c>
      <c r="O4980" s="1">
        <v>0.17577676190476194</v>
      </c>
      <c r="P4980" s="1">
        <v>0.12364476164224562</v>
      </c>
      <c r="Q4980" s="1">
        <v>2.9353740171830318</v>
      </c>
      <c r="R4980" s="2">
        <f t="shared" si="311"/>
        <v>115.38387116863751</v>
      </c>
      <c r="S4980" s="2">
        <f t="shared" si="310"/>
        <v>2.7066862925953932</v>
      </c>
      <c r="T4980" s="2">
        <f t="shared" si="312"/>
        <v>5.1634764104301425</v>
      </c>
      <c r="U4980" s="2">
        <f t="shared" si="313"/>
        <v>123.25403387166304</v>
      </c>
    </row>
    <row r="4981" spans="1:21" x14ac:dyDescent="0.25">
      <c r="A4981">
        <v>5456473</v>
      </c>
      <c r="B4981">
        <v>70</v>
      </c>
      <c r="C4981" s="1">
        <f>3.47041324033601*(10.3/7.3)</f>
        <v>4.8966104623919078</v>
      </c>
      <c r="D4981" s="1">
        <f>5.92100792893905*(10.3/7.3)</f>
        <v>8.3542988586400302</v>
      </c>
      <c r="E4981" s="1">
        <f>20.5895930209356*(10.3/7.3)</f>
        <v>29.051069604881686</v>
      </c>
      <c r="F4981" s="1">
        <f>45.938570561299*(38.9/42.5)</f>
        <v>42.047303407871347</v>
      </c>
      <c r="G4981" s="1">
        <v>2.0064460531954644</v>
      </c>
      <c r="H4981" s="1">
        <v>4.9255237803147951</v>
      </c>
      <c r="I4981" s="1">
        <v>32.064936041634681</v>
      </c>
      <c r="J4981" s="1">
        <v>3.9767184378257471E-2</v>
      </c>
      <c r="K4981" s="1">
        <v>2.6430114967556988</v>
      </c>
      <c r="L4981" s="1">
        <v>3.1498702686432933</v>
      </c>
      <c r="M4981" s="1">
        <v>0.2253519662987635</v>
      </c>
      <c r="N4981" s="1">
        <v>1.8960752795187776</v>
      </c>
      <c r="O4981" s="1">
        <v>0.18293180952380947</v>
      </c>
      <c r="P4981" s="1">
        <v>0.12764768688076419</v>
      </c>
      <c r="Q4981" s="1">
        <v>3.2066489434630734</v>
      </c>
      <c r="R4981" s="2">
        <f t="shared" si="311"/>
        <v>126.55283715239298</v>
      </c>
      <c r="S4981" s="2">
        <f t="shared" si="310"/>
        <v>2.8104263680147206</v>
      </c>
      <c r="T4981" s="2">
        <f t="shared" si="312"/>
        <v>5.4542293239846442</v>
      </c>
      <c r="U4981" s="2">
        <f t="shared" si="313"/>
        <v>134.81749284439235</v>
      </c>
    </row>
    <row r="4982" spans="1:21" x14ac:dyDescent="0.25">
      <c r="A4982">
        <v>5456481</v>
      </c>
      <c r="B4982">
        <v>67</v>
      </c>
      <c r="C4982" s="1">
        <f>5.53889554030688*(10.3/7.3)</f>
        <v>7.815153981528888</v>
      </c>
      <c r="D4982" s="1">
        <f>9.29539170827498*(10.3/7.3)</f>
        <v>13.115415697977021</v>
      </c>
      <c r="E4982" s="1">
        <f>32.331510340991*(10.3/7.3)</f>
        <v>45.618432398932512</v>
      </c>
      <c r="F4982" s="1">
        <f>72.6485328270119*(38.9/42.5)</f>
        <v>66.494774752253278</v>
      </c>
      <c r="G4982" s="1">
        <v>3.1870761173953754</v>
      </c>
      <c r="H4982" s="1">
        <v>6.6087259653453065</v>
      </c>
      <c r="I4982" s="1">
        <v>51.016281811036166</v>
      </c>
      <c r="J4982" s="1">
        <v>5.4199391561940667E-2</v>
      </c>
      <c r="K4982" s="1">
        <v>3.3093561985403501</v>
      </c>
      <c r="L4982" s="1">
        <v>4.3585333484358388</v>
      </c>
      <c r="M4982" s="1">
        <v>0.28727563463860556</v>
      </c>
      <c r="N4982" s="1">
        <v>2.5909112382254564</v>
      </c>
      <c r="O4982" s="1">
        <v>0.23197532338308449</v>
      </c>
      <c r="P4982" s="1">
        <v>0.15265780381805527</v>
      </c>
      <c r="Q4982" s="1">
        <v>5.0935006442391915</v>
      </c>
      <c r="R4982" s="2">
        <f t="shared" si="311"/>
        <v>198.94936136870771</v>
      </c>
      <c r="S4982" s="2">
        <f t="shared" si="310"/>
        <v>3.5162133939203462</v>
      </c>
      <c r="T4982" s="2">
        <f t="shared" si="312"/>
        <v>7.4686955446829852</v>
      </c>
      <c r="U4982" s="2">
        <f t="shared" si="313"/>
        <v>209.93427030731104</v>
      </c>
    </row>
    <row r="4983" spans="1:21" x14ac:dyDescent="0.25">
      <c r="A4983">
        <v>5456489</v>
      </c>
      <c r="B4983">
        <v>68</v>
      </c>
      <c r="C4983" s="1">
        <f>5.79067086280765*(10.3/7.3)</f>
        <v>8.1703986146464089</v>
      </c>
      <c r="D4983" s="1">
        <f>9.57504932398411*(10.3/7.3)</f>
        <v>13.51000110096388</v>
      </c>
      <c r="E4983" s="1">
        <f>33.3219651011684*(10.3/7.3)</f>
        <v>47.015923361922503</v>
      </c>
      <c r="F4983" s="1">
        <f>74.8309738280906*(38.9/42.5)</f>
        <v>68.492350162652329</v>
      </c>
      <c r="G4983" s="1">
        <v>3.2748309446360477</v>
      </c>
      <c r="H4983" s="1">
        <v>6.7430193630724817</v>
      </c>
      <c r="I4983" s="1">
        <v>52.735548157180801</v>
      </c>
      <c r="J4983" s="1">
        <v>5.5615921246082202E-2</v>
      </c>
      <c r="K4983" s="1">
        <v>3.3428829437196521</v>
      </c>
      <c r="L4983" s="1">
        <v>4.4308656467492247</v>
      </c>
      <c r="M4983" s="1">
        <v>0.2863664854183951</v>
      </c>
      <c r="N4983" s="1">
        <v>2.4999720957454752</v>
      </c>
      <c r="O4983" s="1">
        <v>0.23136156862745097</v>
      </c>
      <c r="P4983" s="1">
        <v>0.15290380155964262</v>
      </c>
      <c r="Q4983" s="1">
        <v>5.2337480850347831</v>
      </c>
      <c r="R4983" s="2">
        <f t="shared" si="311"/>
        <v>205.17581979010924</v>
      </c>
      <c r="S4983" s="2">
        <f t="shared" si="310"/>
        <v>3.5514026665253766</v>
      </c>
      <c r="T4983" s="2">
        <f t="shared" si="312"/>
        <v>7.4485657965405458</v>
      </c>
      <c r="U4983" s="2">
        <f t="shared" si="313"/>
        <v>216.17578825317517</v>
      </c>
    </row>
    <row r="4984" spans="1:21" x14ac:dyDescent="0.25">
      <c r="A4984">
        <v>5456497</v>
      </c>
      <c r="B4984">
        <v>68</v>
      </c>
      <c r="C4984" s="1">
        <f>6.38836629118002*(10.3/7.3)</f>
        <v>9.0137223012539973</v>
      </c>
      <c r="D4984" s="1">
        <f>10.4005455441486*(10.3/7.3)</f>
        <v>14.674742343113754</v>
      </c>
      <c r="E4984" s="1">
        <f>36.213126120195*(10.3/7.3)</f>
        <v>51.095232744932673</v>
      </c>
      <c r="F4984" s="1">
        <f>81.3830175751671*(38.9/42.5)</f>
        <v>74.48939726291762</v>
      </c>
      <c r="G4984" s="1">
        <v>3.5567326235578753</v>
      </c>
      <c r="H4984" s="1">
        <v>7.1630039101142495</v>
      </c>
      <c r="I4984" s="1">
        <v>57.589528711294385</v>
      </c>
      <c r="J4984" s="1">
        <v>5.9395367792658679E-2</v>
      </c>
      <c r="K4984" s="1">
        <v>3.453160641637619</v>
      </c>
      <c r="L4984" s="1">
        <v>4.6404176650162174</v>
      </c>
      <c r="M4984" s="1">
        <v>0.29205670331869082</v>
      </c>
      <c r="N4984" s="1">
        <v>2.6154424257702225</v>
      </c>
      <c r="O4984" s="1">
        <v>0.2363545098039215</v>
      </c>
      <c r="P4984" s="1">
        <v>0.15542747013030608</v>
      </c>
      <c r="Q4984" s="1">
        <v>5.6842758823984374</v>
      </c>
      <c r="R4984" s="2">
        <f t="shared" si="311"/>
        <v>223.26663577958297</v>
      </c>
      <c r="S4984" s="2">
        <f t="shared" si="310"/>
        <v>3.6679834795605841</v>
      </c>
      <c r="T4984" s="2">
        <f t="shared" si="312"/>
        <v>7.7842713039090521</v>
      </c>
      <c r="U4984" s="2">
        <f t="shared" si="313"/>
        <v>234.71889056305261</v>
      </c>
    </row>
    <row r="4985" spans="1:21" x14ac:dyDescent="0.25">
      <c r="A4985">
        <v>5456505</v>
      </c>
      <c r="B4985">
        <v>68</v>
      </c>
      <c r="C4985" s="1">
        <f>4.55341250849318*(10.3/7.3)</f>
        <v>6.4246779229424362</v>
      </c>
      <c r="D4985" s="1">
        <f>7.32920445559085*(10.3/7.3)</f>
        <v>10.341206286655577</v>
      </c>
      <c r="E4985" s="1">
        <f>25.5310665800603*(10.3/7.3)</f>
        <v>36.023285722550881</v>
      </c>
      <c r="F4985" s="1">
        <f>57.2929629976193*(38.9/42.5)</f>
        <v>52.439912014291508</v>
      </c>
      <c r="G4985" s="1">
        <v>2.4967374993952482</v>
      </c>
      <c r="H4985" s="1">
        <v>5.5981144175553039</v>
      </c>
      <c r="I4985" s="1">
        <v>40.644868907625202</v>
      </c>
      <c r="J4985" s="1">
        <v>4.6719170968300347E-2</v>
      </c>
      <c r="K4985" s="1">
        <v>2.7878716620630666</v>
      </c>
      <c r="L4985" s="1">
        <v>3.4866208566314718</v>
      </c>
      <c r="M4985" s="1">
        <v>0.22903110030481222</v>
      </c>
      <c r="N4985" s="1">
        <v>2.0893736404127252</v>
      </c>
      <c r="O4985" s="1">
        <v>0.18640784313725492</v>
      </c>
      <c r="P4985" s="1">
        <v>0.12872171992516937</v>
      </c>
      <c r="Q4985" s="1">
        <v>3.9902197478919526</v>
      </c>
      <c r="R4985" s="2">
        <f t="shared" si="311"/>
        <v>157.95902251890811</v>
      </c>
      <c r="S4985" s="2">
        <f t="shared" si="310"/>
        <v>2.9633125529565363</v>
      </c>
      <c r="T4985" s="2">
        <f t="shared" si="312"/>
        <v>5.991433440486265</v>
      </c>
      <c r="U4985" s="2">
        <f t="shared" si="313"/>
        <v>166.91376851235091</v>
      </c>
    </row>
    <row r="4986" spans="1:21" x14ac:dyDescent="0.25">
      <c r="A4986">
        <v>5456513</v>
      </c>
      <c r="B4986">
        <v>39</v>
      </c>
      <c r="C4986" s="1">
        <f>5.73672965674271*(10.3/7.3)</f>
        <v>8.0942897896506754</v>
      </c>
      <c r="D4986" s="1">
        <f>9.09518033212506*(10.3/7.3)</f>
        <v>12.832925674094263</v>
      </c>
      <c r="E4986" s="1">
        <f>31.6720603010094*(10.3/7.3)</f>
        <v>44.687975493205094</v>
      </c>
      <c r="F4986" s="1">
        <f>72.485030743805*(38.9/42.5)</f>
        <v>66.345122257270958</v>
      </c>
      <c r="G4986" s="1">
        <v>3.2096318709599192</v>
      </c>
      <c r="H4986" s="1">
        <v>7.5638003750060054</v>
      </c>
      <c r="I4986" s="1">
        <v>51.880025772257262</v>
      </c>
      <c r="J4986" s="1">
        <v>5.60455408264963E-2</v>
      </c>
      <c r="K4986" s="1">
        <v>3.0735270764611844</v>
      </c>
      <c r="L4986" s="1">
        <v>3.9839975543106303</v>
      </c>
      <c r="M4986" s="1">
        <v>0.25025064699378202</v>
      </c>
      <c r="N4986" s="1">
        <v>2.4779066560004988</v>
      </c>
      <c r="O4986" s="1">
        <v>0.20513094017094013</v>
      </c>
      <c r="P4986" s="1">
        <v>0.13811644599857983</v>
      </c>
      <c r="Q4986" s="1">
        <v>5.1295486522190528</v>
      </c>
      <c r="R4986" s="2">
        <f t="shared" si="311"/>
        <v>199.74331988466324</v>
      </c>
      <c r="S4986" s="2">
        <f t="shared" si="310"/>
        <v>3.2676890632862605</v>
      </c>
      <c r="T4986" s="2">
        <f t="shared" si="312"/>
        <v>6.9172857974758513</v>
      </c>
      <c r="U4986" s="2">
        <f t="shared" si="313"/>
        <v>209.92829474542535</v>
      </c>
    </row>
    <row r="4987" spans="1:21" x14ac:dyDescent="0.25">
      <c r="A4987">
        <v>5456553</v>
      </c>
      <c r="B4987">
        <v>11</v>
      </c>
      <c r="C4987" s="1">
        <f>3.49439506246192*(10.3/7.3)</f>
        <v>4.9304478278572335</v>
      </c>
      <c r="D4987" s="1">
        <f>5.35746782536302*(10.3/7.3)</f>
        <v>7.5591669316765975</v>
      </c>
      <c r="E4987" s="1">
        <f>18.6323478407049*(10.3/7.3)</f>
        <v>26.289477090309624</v>
      </c>
      <c r="F4987" s="1">
        <f>45.0153017816733*(38.9/42.5)</f>
        <v>41.202240924872704</v>
      </c>
      <c r="G4987" s="1">
        <v>2.0792784165515488</v>
      </c>
      <c r="H4987" s="1">
        <v>7.0778995801064601</v>
      </c>
      <c r="I4987" s="1">
        <v>32.905670885320824</v>
      </c>
      <c r="J4987" s="1">
        <v>3.1905806287913258E-2</v>
      </c>
      <c r="K4987" s="1">
        <v>1.9809450284200985</v>
      </c>
      <c r="L4987" s="1">
        <v>2.8471322582396907</v>
      </c>
      <c r="M4987" s="1">
        <v>0.14632805350093755</v>
      </c>
      <c r="N4987" s="1">
        <v>1.4765686247875782</v>
      </c>
      <c r="O4987" s="1">
        <v>0.1199030303030303</v>
      </c>
      <c r="P4987" s="1">
        <v>9.1563496082580367E-2</v>
      </c>
      <c r="Q4987" s="1">
        <v>3.3230476976851278</v>
      </c>
      <c r="R4987" s="2">
        <f t="shared" si="311"/>
        <v>125.3672293543801</v>
      </c>
      <c r="S4987" s="2">
        <f t="shared" si="310"/>
        <v>2.104414330790592</v>
      </c>
      <c r="T4987" s="2">
        <f t="shared" si="312"/>
        <v>4.5899319668312364</v>
      </c>
      <c r="U4987" s="2">
        <f t="shared" si="313"/>
        <v>132.06157565200192</v>
      </c>
    </row>
    <row r="4988" spans="1:21" x14ac:dyDescent="0.25">
      <c r="A4988">
        <v>5456697</v>
      </c>
      <c r="B4988">
        <v>46</v>
      </c>
      <c r="C4988" s="1">
        <f>4.96055128288208*(10.3/7.3)</f>
        <v>6.9991340018747197</v>
      </c>
      <c r="D4988" s="1">
        <f>6.42827425503274*(10.3/7.3)</f>
        <v>9.0700307981968802</v>
      </c>
      <c r="E4988" s="1">
        <f>22.5762679620712*(10.3/7.3)</f>
        <v>31.85418630264839</v>
      </c>
      <c r="F4988" s="1">
        <f>51.0822156849429*(38.9/42.5)</f>
        <v>46.755251532806547</v>
      </c>
      <c r="G4988" s="1">
        <v>2.1721627564217734</v>
      </c>
      <c r="H4988" s="1">
        <v>4.8998111244744793</v>
      </c>
      <c r="I4988" s="1">
        <v>38.526999740158026</v>
      </c>
      <c r="J4988" s="1">
        <v>3.4223098686045055E-2</v>
      </c>
      <c r="K4988" s="1">
        <v>1.9875002768749694</v>
      </c>
      <c r="L4988" s="1">
        <v>2.1196497155563709</v>
      </c>
      <c r="M4988" s="1">
        <v>0.11549377815256819</v>
      </c>
      <c r="N4988" s="1">
        <v>1.4859376245781024</v>
      </c>
      <c r="O4988" s="1">
        <v>0.10270608695652174</v>
      </c>
      <c r="P4988" s="1">
        <v>7.9653558837870855E-2</v>
      </c>
      <c r="Q4988" s="1">
        <v>3.4714929897151667</v>
      </c>
      <c r="R4988" s="2">
        <f t="shared" si="311"/>
        <v>143.74906924629599</v>
      </c>
      <c r="S4988" s="2">
        <f t="shared" si="310"/>
        <v>2.1013769343988855</v>
      </c>
      <c r="T4988" s="2">
        <f t="shared" si="312"/>
        <v>3.8237872052435633</v>
      </c>
      <c r="U4988" s="2">
        <f t="shared" si="313"/>
        <v>149.67423338593844</v>
      </c>
    </row>
    <row r="4989" spans="1:21" x14ac:dyDescent="0.25">
      <c r="A4989">
        <v>5456705</v>
      </c>
      <c r="B4989">
        <v>62</v>
      </c>
      <c r="C4989" s="1">
        <f>4.97286592927772*(10.3/7.3)</f>
        <v>7.0165094618576056</v>
      </c>
      <c r="D4989" s="1">
        <f>6.90025294082247*(10.3/7.3)</f>
        <v>9.7359733274618367</v>
      </c>
      <c r="E4989" s="1">
        <f>24.1300192101745*(10.3/7.3)</f>
        <v>34.046465460931095</v>
      </c>
      <c r="F4989" s="1">
        <f>56.325399035035*(38.9/42.5)</f>
        <v>51.554306410890867</v>
      </c>
      <c r="G4989" s="1">
        <v>2.4924095635143848</v>
      </c>
      <c r="H4989" s="1">
        <v>5.3635393073310551</v>
      </c>
      <c r="I4989" s="1">
        <v>41.928614600686807</v>
      </c>
      <c r="J4989" s="1">
        <v>3.2386184238198924E-2</v>
      </c>
      <c r="K4989" s="1">
        <v>1.9542067045244818</v>
      </c>
      <c r="L4989" s="1">
        <v>2.0792678840266126</v>
      </c>
      <c r="M4989" s="1">
        <v>0.11306110183825832</v>
      </c>
      <c r="N4989" s="1">
        <v>1.4579894394614072</v>
      </c>
      <c r="O4989" s="1">
        <v>0.10096774193548386</v>
      </c>
      <c r="P4989" s="1">
        <v>7.8462630261795355E-2</v>
      </c>
      <c r="Q4989" s="1">
        <v>3.9833029553882899</v>
      </c>
      <c r="R4989" s="2">
        <f t="shared" si="311"/>
        <v>156.12112108806195</v>
      </c>
      <c r="S4989" s="2">
        <f t="shared" si="310"/>
        <v>2.0650555190244759</v>
      </c>
      <c r="T4989" s="2">
        <f t="shared" si="312"/>
        <v>3.7512861672617621</v>
      </c>
      <c r="U4989" s="2">
        <f t="shared" si="313"/>
        <v>161.93746277434818</v>
      </c>
    </row>
    <row r="4990" spans="1:21" x14ac:dyDescent="0.25">
      <c r="A4990">
        <v>5456833</v>
      </c>
      <c r="B4990">
        <v>3</v>
      </c>
      <c r="C4990" s="1">
        <f>7.81581288804544*(10.3/7.3)</f>
        <v>11.027790787242193</v>
      </c>
      <c r="D4990" s="1">
        <f>9.86986073547737*(10.3/7.3)</f>
        <v>13.925967887043409</v>
      </c>
      <c r="E4990" s="1">
        <f>34.4752337163456*(10.3/7.3)</f>
        <v>48.643137983336992</v>
      </c>
      <c r="F4990" s="1">
        <f>89.5496695872563*(38.9/42.5)</f>
        <v>81.964285810453404</v>
      </c>
      <c r="G4990" s="1">
        <v>4.2724845523193204</v>
      </c>
      <c r="H4990" s="1">
        <v>12.279698732207308</v>
      </c>
      <c r="I4990" s="1">
        <v>69.628301885374029</v>
      </c>
      <c r="J4990" s="1">
        <v>3.8531118918047606E-2</v>
      </c>
      <c r="K4990" s="1">
        <v>2.2334436881993232</v>
      </c>
      <c r="L4990" s="1">
        <v>2.2987340612999523</v>
      </c>
      <c r="M4990" s="1">
        <v>0.11322424117898</v>
      </c>
      <c r="N4990" s="1">
        <v>1.5354625516376224</v>
      </c>
      <c r="O4990" s="1">
        <v>0.10691555555555556</v>
      </c>
      <c r="P4990" s="1">
        <v>8.1692944036397097E-2</v>
      </c>
      <c r="Q4990" s="1">
        <v>6.8281716589578254</v>
      </c>
      <c r="R4990" s="2">
        <f t="shared" si="311"/>
        <v>248.56983929693448</v>
      </c>
      <c r="S4990" s="2">
        <f t="shared" si="310"/>
        <v>2.3536677511537678</v>
      </c>
      <c r="T4990" s="2">
        <f t="shared" si="312"/>
        <v>4.0543364096721097</v>
      </c>
      <c r="U4990" s="2">
        <f t="shared" si="313"/>
        <v>254.97784345776037</v>
      </c>
    </row>
    <row r="4991" spans="1:21" x14ac:dyDescent="0.25">
      <c r="A4991">
        <v>5456841</v>
      </c>
      <c r="B4991">
        <v>4</v>
      </c>
      <c r="C4991" s="1">
        <f>6.99898277434237*(10.3/7.3)</f>
        <v>9.8752770651680013</v>
      </c>
      <c r="D4991" s="1">
        <f>8.86247440413954*(10.3/7.3)</f>
        <v>12.504587172964015</v>
      </c>
      <c r="E4991" s="1">
        <f>30.8622219752854*(10.3/7.3)</f>
        <v>43.545326896635565</v>
      </c>
      <c r="F4991" s="1">
        <f>84.7850317211834*(38.9/42.5)</f>
        <v>77.603240798918449</v>
      </c>
      <c r="G4991" s="1">
        <v>4.2142770468036685</v>
      </c>
      <c r="H4991" s="1">
        <v>11.139568957969132</v>
      </c>
      <c r="I4991" s="1">
        <v>66.428703089957651</v>
      </c>
      <c r="J4991" s="1">
        <v>3.6654915656730888E-2</v>
      </c>
      <c r="K4991" s="1">
        <v>2.119694465799415</v>
      </c>
      <c r="L4991" s="1">
        <v>2.1514686581855988</v>
      </c>
      <c r="M4991" s="1">
        <v>0.10594055787524549</v>
      </c>
      <c r="N4991" s="1">
        <v>1.6246204010826752</v>
      </c>
      <c r="O4991" s="1">
        <v>0.10177333333333334</v>
      </c>
      <c r="P4991" s="1">
        <v>7.7553228997313151E-2</v>
      </c>
      <c r="Q4991" s="1">
        <v>6.735145965211351</v>
      </c>
      <c r="R4991" s="2">
        <f t="shared" si="311"/>
        <v>232.04612699362781</v>
      </c>
      <c r="S4991" s="2">
        <f t="shared" si="310"/>
        <v>2.2339026104534589</v>
      </c>
      <c r="T4991" s="2">
        <f t="shared" si="312"/>
        <v>3.9838029504768531</v>
      </c>
      <c r="U4991" s="2">
        <f t="shared" si="313"/>
        <v>238.26383255455812</v>
      </c>
    </row>
    <row r="4992" spans="1:21" x14ac:dyDescent="0.25">
      <c r="A4992">
        <v>5456849</v>
      </c>
      <c r="B4992">
        <v>37</v>
      </c>
      <c r="C4992" s="1">
        <f>6.49140292519666*(10.3/7.3)</f>
        <v>9.1591027574692667</v>
      </c>
      <c r="D4992" s="1">
        <f>8.08912282661476*(10.3/7.3)</f>
        <v>11.413419878648217</v>
      </c>
      <c r="E4992" s="1">
        <f>28.2173905671427*(10.3/7.3)</f>
        <v>39.81357847144789</v>
      </c>
      <c r="F4992" s="1">
        <f>76.0860116637897*(38.9/42.5)</f>
        <v>69.64107891109218</v>
      </c>
      <c r="G4992" s="1">
        <v>3.7252223557362494</v>
      </c>
      <c r="H4992" s="1">
        <v>8.7430653634601043</v>
      </c>
      <c r="I4992" s="1">
        <v>59.685179531084081</v>
      </c>
      <c r="J4992" s="1">
        <v>3.6478478657258437E-2</v>
      </c>
      <c r="K4992" s="1">
        <v>2.1505663146655585</v>
      </c>
      <c r="L4992" s="1">
        <v>2.1880373192293359</v>
      </c>
      <c r="M4992" s="1">
        <v>0.10864340837447793</v>
      </c>
      <c r="N4992" s="1">
        <v>1.4637377542288652</v>
      </c>
      <c r="O4992" s="1">
        <v>0.10312360360360363</v>
      </c>
      <c r="P4992" s="1">
        <v>7.8771991131413782E-2</v>
      </c>
      <c r="Q4992" s="1">
        <v>5.9535517100807693</v>
      </c>
      <c r="R4992" s="2">
        <f t="shared" si="311"/>
        <v>208.13419897901878</v>
      </c>
      <c r="S4992" s="2">
        <f t="shared" si="310"/>
        <v>2.265816784454231</v>
      </c>
      <c r="T4992" s="2">
        <f t="shared" si="312"/>
        <v>3.8635420854362827</v>
      </c>
      <c r="U4992" s="2">
        <f t="shared" si="313"/>
        <v>214.2635578489093</v>
      </c>
    </row>
    <row r="4993" spans="1:21" x14ac:dyDescent="0.25">
      <c r="A4993">
        <v>5456857</v>
      </c>
      <c r="B4993">
        <v>3</v>
      </c>
      <c r="C4993" s="1">
        <f>9.14079696521027*(10.3/7.3)</f>
        <v>12.897288868721335</v>
      </c>
      <c r="D4993" s="1">
        <f>9.51644862129396*(10.3/7.3)</f>
        <v>13.427317917716135</v>
      </c>
      <c r="E4993" s="1">
        <f>33.5272019730498*(10.3/7.3)</f>
        <v>47.30550415375523</v>
      </c>
      <c r="F4993" s="1">
        <f>88.6091409388549*(38.9/42.5)</f>
        <v>81.103425471093047</v>
      </c>
      <c r="G4993" s="1">
        <v>4.1662625606870725</v>
      </c>
      <c r="H4993" s="1">
        <v>11.136489795799569</v>
      </c>
      <c r="I4993" s="1">
        <v>72.711659551093291</v>
      </c>
      <c r="J4993" s="1">
        <v>3.4361464025954358E-2</v>
      </c>
      <c r="K4993" s="1">
        <v>2.0346698425201648</v>
      </c>
      <c r="L4993" s="1">
        <v>2.0468066462551939</v>
      </c>
      <c r="M4993" s="1">
        <v>0.1021401550797459</v>
      </c>
      <c r="N4993" s="1">
        <v>1.3527232130040925</v>
      </c>
      <c r="O4993" s="1">
        <v>9.7191111111111117E-2</v>
      </c>
      <c r="P4993" s="1">
        <v>7.4890333230311704E-2</v>
      </c>
      <c r="Q4993" s="1">
        <v>6.6584104851163319</v>
      </c>
      <c r="R4993" s="2">
        <f t="shared" si="311"/>
        <v>249.40635880398199</v>
      </c>
      <c r="S4993" s="2">
        <f t="shared" si="310"/>
        <v>2.1439216397764307</v>
      </c>
      <c r="T4993" s="2">
        <f t="shared" si="312"/>
        <v>3.598861125450143</v>
      </c>
      <c r="U4993" s="2">
        <f t="shared" si="313"/>
        <v>255.14914156920858</v>
      </c>
    </row>
    <row r="4994" spans="1:21" x14ac:dyDescent="0.25">
      <c r="A4994">
        <v>5456897</v>
      </c>
      <c r="B4994">
        <v>10</v>
      </c>
      <c r="C4994" s="1">
        <f>3.1764169881154*(10.3/7.3)</f>
        <v>4.4817938325463835</v>
      </c>
      <c r="D4994" s="1">
        <f>4.54844165427666*(10.3/7.3)</f>
        <v>6.4176642519246041</v>
      </c>
      <c r="E4994" s="1">
        <f>15.6999860138049*(10.3/7.3)</f>
        <v>22.152035060574047</v>
      </c>
      <c r="F4994" s="1">
        <f>46.0819754402759*(38.9/42.5)</f>
        <v>42.178561050040798</v>
      </c>
      <c r="G4994" s="1">
        <v>2.4219687041563041</v>
      </c>
      <c r="H4994" s="1">
        <v>6.7104461085065763</v>
      </c>
      <c r="I4994" s="1">
        <v>35.496291016068277</v>
      </c>
      <c r="J4994" s="1">
        <v>2.5254700122212297E-2</v>
      </c>
      <c r="K4994" s="1">
        <v>1.6882891727653333</v>
      </c>
      <c r="L4994" s="1">
        <v>1.6264854628268957</v>
      </c>
      <c r="M4994" s="1">
        <v>8.2129622441845823E-2</v>
      </c>
      <c r="N4994" s="1">
        <v>1.034903328937933</v>
      </c>
      <c r="O4994" s="1">
        <v>8.0447999999999992E-2</v>
      </c>
      <c r="P4994" s="1">
        <v>6.4163715998046128E-2</v>
      </c>
      <c r="Q4994" s="1">
        <v>3.8707262395192101</v>
      </c>
      <c r="R4994" s="2">
        <f t="shared" si="311"/>
        <v>123.7294862633362</v>
      </c>
      <c r="S4994" s="2">
        <f t="shared" si="310"/>
        <v>1.7777075888855918</v>
      </c>
      <c r="T4994" s="2">
        <f t="shared" si="312"/>
        <v>2.8239664142066743</v>
      </c>
      <c r="U4994" s="2">
        <f t="shared" si="313"/>
        <v>128.33116026642847</v>
      </c>
    </row>
    <row r="4995" spans="1:21" x14ac:dyDescent="0.25">
      <c r="A4995">
        <v>5468213</v>
      </c>
      <c r="B4995">
        <v>23</v>
      </c>
      <c r="C4995" s="1">
        <f>0.593974303129132*(10.3/7.3)</f>
        <v>0.83807333181233634</v>
      </c>
      <c r="D4995" s="1">
        <f>0.889648764501037*(10.3/7.3)</f>
        <v>1.2552578458028327</v>
      </c>
      <c r="E4995" s="1">
        <f>3.07946435542398*(10.3/7.3)</f>
        <v>4.3449976521735678</v>
      </c>
      <c r="F4995" s="1">
        <f>8.31977891451762*(38.9/42.5)</f>
        <v>7.6150447005820068</v>
      </c>
      <c r="G4995" s="1">
        <v>0.41662159107127061</v>
      </c>
      <c r="H4995" s="1">
        <v>1.7185522133803384</v>
      </c>
      <c r="I4995" s="1">
        <v>6.2567479080500856</v>
      </c>
      <c r="J4995" s="1">
        <v>4.5045851086630215E-2</v>
      </c>
      <c r="K4995" s="1">
        <v>3.5688439244883798</v>
      </c>
      <c r="L4995" s="1">
        <v>1.987754863744754</v>
      </c>
      <c r="M4995" s="1">
        <v>0.97787925134401654</v>
      </c>
      <c r="N4995" s="1">
        <v>1.3154724034089638</v>
      </c>
      <c r="O4995" s="1">
        <v>0.38708637681159425</v>
      </c>
      <c r="P4995" s="1">
        <v>0.14741839311629285</v>
      </c>
      <c r="Q4995" s="1">
        <v>0.66583359303627798</v>
      </c>
      <c r="R4995" s="2">
        <f t="shared" si="311"/>
        <v>23.111128835908719</v>
      </c>
      <c r="S4995" s="2">
        <f t="shared" si="310"/>
        <v>3.7613081686913028</v>
      </c>
      <c r="T4995" s="2">
        <f t="shared" si="312"/>
        <v>4.6681928953093292</v>
      </c>
      <c r="U4995" s="2">
        <f t="shared" si="313"/>
        <v>31.540629899909352</v>
      </c>
    </row>
    <row r="4996" spans="1:21" x14ac:dyDescent="0.25">
      <c r="A4996">
        <v>5468221</v>
      </c>
      <c r="B4996">
        <v>55</v>
      </c>
      <c r="C4996" s="1">
        <f>0.733943174825954*(10.3/7.3)</f>
        <v>1.0355636576311402</v>
      </c>
      <c r="D4996" s="1">
        <f>1.11737580720608*(10.3/7.3)</f>
        <v>1.5765713444140528</v>
      </c>
      <c r="E4996" s="1">
        <f>3.86113781833723*(10.3/7.3)</f>
        <v>5.4479067847771923</v>
      </c>
      <c r="F4996" s="1">
        <f>10.6473474673147*(38.9/42.5)</f>
        <v>9.7454545053774506</v>
      </c>
      <c r="G4996" s="1">
        <v>0.54139271514734955</v>
      </c>
      <c r="H4996" s="1">
        <v>2.2071454789506717</v>
      </c>
      <c r="I4996" s="1">
        <v>8.0103864205022184</v>
      </c>
      <c r="J4996" s="1">
        <v>5.0329797001755432E-2</v>
      </c>
      <c r="K4996" s="1">
        <v>4.2246334432691155</v>
      </c>
      <c r="L4996" s="1">
        <v>2.3270543884993167</v>
      </c>
      <c r="M4996" s="1">
        <v>1.2759101098368912</v>
      </c>
      <c r="N4996" s="1">
        <v>1.55402526795715</v>
      </c>
      <c r="O4996" s="1">
        <v>0.45760872727272733</v>
      </c>
      <c r="P4996" s="1">
        <v>0.16503620852599904</v>
      </c>
      <c r="Q4996" s="1">
        <v>0.86523949909393838</v>
      </c>
      <c r="R4996" s="2">
        <f t="shared" si="311"/>
        <v>29.429660405894012</v>
      </c>
      <c r="S4996" s="2">
        <f t="shared" si="310"/>
        <v>4.4399994487968701</v>
      </c>
      <c r="T4996" s="2">
        <f t="shared" si="312"/>
        <v>5.6145984935660849</v>
      </c>
      <c r="U4996" s="2">
        <f t="shared" si="313"/>
        <v>39.484258348256965</v>
      </c>
    </row>
    <row r="4997" spans="1:21" x14ac:dyDescent="0.25">
      <c r="A4997">
        <v>5468229</v>
      </c>
      <c r="B4997">
        <v>51</v>
      </c>
      <c r="C4997" s="1">
        <f>1.00399992913022*(10.3/7.3)</f>
        <v>1.4166026397316813</v>
      </c>
      <c r="D4997" s="1">
        <f>1.58296564744044*(10.3/7.3)</f>
        <v>2.2334994751556838</v>
      </c>
      <c r="E4997" s="1">
        <f>5.44706990433951*(10.3/7.3)</f>
        <v>7.6855917828352043</v>
      </c>
      <c r="F4997" s="1">
        <f>15.835598846547*(38.9/42.5)</f>
        <v>14.494230473663039</v>
      </c>
      <c r="G4997" s="1">
        <v>0.83489559741102881</v>
      </c>
      <c r="H4997" s="1">
        <v>4.2734094538868019</v>
      </c>
      <c r="I4997" s="1">
        <v>11.947938635958717</v>
      </c>
      <c r="J4997" s="1">
        <v>8.3006716699737138E-2</v>
      </c>
      <c r="K4997" s="1">
        <v>5.4377535381510169</v>
      </c>
      <c r="L4997" s="1">
        <v>3.3983868165797619</v>
      </c>
      <c r="M4997" s="1">
        <v>1.8011011036935325</v>
      </c>
      <c r="N4997" s="1">
        <v>2.1670892334520526</v>
      </c>
      <c r="O4997" s="1">
        <v>0.66379816993464036</v>
      </c>
      <c r="P4997" s="1">
        <v>0.19161172275389454</v>
      </c>
      <c r="Q4997" s="1">
        <v>1.3343080323920566</v>
      </c>
      <c r="R4997" s="2">
        <f t="shared" si="311"/>
        <v>44.220476091034215</v>
      </c>
      <c r="S4997" s="2">
        <f t="shared" si="310"/>
        <v>5.7123719776046489</v>
      </c>
      <c r="T4997" s="2">
        <f t="shared" si="312"/>
        <v>8.0303753236599871</v>
      </c>
      <c r="U4997" s="2">
        <f t="shared" si="313"/>
        <v>57.96322339229885</v>
      </c>
    </row>
    <row r="4998" spans="1:21" x14ac:dyDescent="0.25">
      <c r="A4998">
        <v>5468677</v>
      </c>
      <c r="B4998">
        <v>49</v>
      </c>
      <c r="C4998" s="1">
        <f>5.99876231410357*(10.3/7.3)</f>
        <v>8.4640071007214814</v>
      </c>
      <c r="D4998" s="1">
        <f>9.54555067717002*(10.3/7.3)</f>
        <v>13.468379722582362</v>
      </c>
      <c r="E4998" s="1">
        <f>33.2231204806112*(10.3/7.3)</f>
        <v>46.876457664423988</v>
      </c>
      <c r="F4998" s="1">
        <f>76.6891971842089*(38.9/42.5)</f>
        <v>70.193171069781769</v>
      </c>
      <c r="G4998" s="1">
        <v>3.4234531147706098</v>
      </c>
      <c r="H4998" s="1">
        <v>8.7210098975022561</v>
      </c>
      <c r="I4998" s="1">
        <v>54.955493546932786</v>
      </c>
      <c r="J4998" s="1">
        <v>6.0624990171245063E-2</v>
      </c>
      <c r="K4998" s="1">
        <v>4.4316204194838162</v>
      </c>
      <c r="L4998" s="1">
        <v>4.3822063733179659</v>
      </c>
      <c r="M4998" s="1">
        <v>0.3136301587868604</v>
      </c>
      <c r="N4998" s="1">
        <v>2.653449315039631</v>
      </c>
      <c r="O4998" s="1">
        <v>0.24488925170068032</v>
      </c>
      <c r="P4998" s="1">
        <v>0.15761739953847345</v>
      </c>
      <c r="Q4998" s="1">
        <v>5.471272101231575</v>
      </c>
      <c r="R4998" s="2">
        <f t="shared" si="311"/>
        <v>211.57324421794681</v>
      </c>
      <c r="S4998" s="2">
        <f t="shared" si="310"/>
        <v>4.649862809193535</v>
      </c>
      <c r="T4998" s="2">
        <f t="shared" si="312"/>
        <v>7.5941750988451373</v>
      </c>
      <c r="U4998" s="2">
        <f t="shared" si="313"/>
        <v>223.81728212598549</v>
      </c>
    </row>
    <row r="4999" spans="1:21" x14ac:dyDescent="0.25">
      <c r="A4999">
        <v>5468685</v>
      </c>
      <c r="B4999">
        <v>54</v>
      </c>
      <c r="C4999" s="1">
        <f>4.42782476733239*(10.3/7.3)</f>
        <v>6.2474787813046024</v>
      </c>
      <c r="D4999" s="1">
        <f>7.83729973771078*(10.3/7.3)</f>
        <v>11.05810784909877</v>
      </c>
      <c r="E4999" s="1">
        <f>27.1857685527006*(10.3/7.3)</f>
        <v>38.358002204495392</v>
      </c>
      <c r="F4999" s="1">
        <f>62.4099709720165*(38.9/42.5)</f>
        <v>57.123479313210375</v>
      </c>
      <c r="G4999" s="1">
        <v>2.8089616870637069</v>
      </c>
      <c r="H4999" s="1">
        <v>6.3408968839222313</v>
      </c>
      <c r="I4999" s="1">
        <v>43.525252952755096</v>
      </c>
      <c r="J4999" s="1">
        <v>4.9051121122054946E-2</v>
      </c>
      <c r="K4999" s="1">
        <v>3.1397616503569625</v>
      </c>
      <c r="L4999" s="1">
        <v>3.8586730896811301</v>
      </c>
      <c r="M4999" s="1">
        <v>0.27820993232848612</v>
      </c>
      <c r="N4999" s="1">
        <v>3.2128391893061696</v>
      </c>
      <c r="O4999" s="1">
        <v>0.22084148148148144</v>
      </c>
      <c r="P4999" s="1">
        <v>0.14509915150750949</v>
      </c>
      <c r="Q4999" s="1">
        <v>4.4892081756725943</v>
      </c>
      <c r="R4999" s="2">
        <f t="shared" si="311"/>
        <v>169.95138784752274</v>
      </c>
      <c r="S4999" s="2">
        <f t="shared" si="310"/>
        <v>3.3339119229865268</v>
      </c>
      <c r="T4999" s="2">
        <f t="shared" si="312"/>
        <v>7.5705636927972675</v>
      </c>
      <c r="U4999" s="2">
        <f t="shared" si="313"/>
        <v>180.85586346330652</v>
      </c>
    </row>
    <row r="5000" spans="1:21" x14ac:dyDescent="0.25">
      <c r="A5000">
        <v>5468693</v>
      </c>
      <c r="B5000">
        <v>55</v>
      </c>
      <c r="C5000" s="1">
        <f>3.86784794382131*(10.3/7.3)</f>
        <v>5.4573744960766497</v>
      </c>
      <c r="D5000" s="1">
        <f>6.78946539274355*(10.3/7.3)</f>
        <v>9.5796566500354192</v>
      </c>
      <c r="E5000" s="1">
        <f>23.5714377938251*(10.3/7.3)</f>
        <v>33.258330037862748</v>
      </c>
      <c r="F5000" s="1">
        <f>53.4010193421417*(38.9/42.5)</f>
        <v>48.877638880219152</v>
      </c>
      <c r="G5000" s="1">
        <v>2.3733055713506763</v>
      </c>
      <c r="H5000" s="1">
        <v>5.5515309002719553</v>
      </c>
      <c r="I5000" s="1">
        <v>37.176375777300066</v>
      </c>
      <c r="J5000" s="1">
        <v>4.4316637233662436E-2</v>
      </c>
      <c r="K5000" s="1">
        <v>2.8867159676884602</v>
      </c>
      <c r="L5000" s="1">
        <v>3.5192546442225066</v>
      </c>
      <c r="M5000" s="1">
        <v>0.25494842751386598</v>
      </c>
      <c r="N5000" s="1">
        <v>2.1929294811740263</v>
      </c>
      <c r="O5000" s="1">
        <v>0.20311854545454544</v>
      </c>
      <c r="P5000" s="1">
        <v>0.13726521378741668</v>
      </c>
      <c r="Q5000" s="1">
        <v>3.7929541094645551</v>
      </c>
      <c r="R5000" s="2">
        <f t="shared" si="311"/>
        <v>146.06716642258121</v>
      </c>
      <c r="S5000" s="2">
        <f t="shared" si="310"/>
        <v>3.0682978187095395</v>
      </c>
      <c r="T5000" s="2">
        <f t="shared" si="312"/>
        <v>6.1702510983649441</v>
      </c>
      <c r="U5000" s="2">
        <f t="shared" si="313"/>
        <v>155.30571533965571</v>
      </c>
    </row>
    <row r="5001" spans="1:21" x14ac:dyDescent="0.25">
      <c r="A5001">
        <v>5468701</v>
      </c>
      <c r="B5001">
        <v>55</v>
      </c>
      <c r="C5001" s="1">
        <f>3.47641399780388*(10.3/7.3)</f>
        <v>4.9050772845725952</v>
      </c>
      <c r="D5001" s="1">
        <f>6.01905431523436*(10.3/7.3)</f>
        <v>8.4926382803991718</v>
      </c>
      <c r="E5001" s="1">
        <f>20.916041804*(10.3/7.3)</f>
        <v>29.511675422082138</v>
      </c>
      <c r="F5001" s="1">
        <f>46.8839977613547*(38.9/42.5)</f>
        <v>42.912647362745872</v>
      </c>
      <c r="G5001" s="1">
        <v>2.0602969660725452</v>
      </c>
      <c r="H5001" s="1">
        <v>5.112040302477098</v>
      </c>
      <c r="I5001" s="1">
        <v>32.64938618504813</v>
      </c>
      <c r="J5001" s="1">
        <v>4.0111390862781364E-2</v>
      </c>
      <c r="K5001" s="1">
        <v>2.6765492146103607</v>
      </c>
      <c r="L5001" s="1">
        <v>3.1693640927250466</v>
      </c>
      <c r="M5001" s="1">
        <v>0.23078491783992441</v>
      </c>
      <c r="N5001" s="1">
        <v>1.9225664830153057</v>
      </c>
      <c r="O5001" s="1">
        <v>0.18628363636363632</v>
      </c>
      <c r="P5001" s="1">
        <v>0.1288801648226619</v>
      </c>
      <c r="Q5001" s="1">
        <v>3.2927120462346653</v>
      </c>
      <c r="R5001" s="2">
        <f t="shared" si="311"/>
        <v>128.93647384963222</v>
      </c>
      <c r="S5001" s="2">
        <f t="shared" ref="S5001:S5064" si="314">J5001+K5001+P5001</f>
        <v>2.8455407702958038</v>
      </c>
      <c r="T5001" s="2">
        <f t="shared" si="312"/>
        <v>5.5089991299439127</v>
      </c>
      <c r="U5001" s="2">
        <f t="shared" si="313"/>
        <v>137.29101374987192</v>
      </c>
    </row>
    <row r="5002" spans="1:21" x14ac:dyDescent="0.25">
      <c r="A5002">
        <v>5468709</v>
      </c>
      <c r="B5002">
        <v>51</v>
      </c>
      <c r="C5002" s="1">
        <f>4.33264170289745*(10.3/7.3)</f>
        <v>6.1131793890196864</v>
      </c>
      <c r="D5002" s="1">
        <f>7.38210207166069*(10.3/7.3)</f>
        <v>10.415842649055492</v>
      </c>
      <c r="E5002" s="1">
        <f>25.664231249752*(10.3/7.3)</f>
        <v>36.211175598965134</v>
      </c>
      <c r="F5002" s="1">
        <f>57.6311500521944*(38.9/42.5)</f>
        <v>52.749452636008542</v>
      </c>
      <c r="G5002" s="1">
        <v>2.5316767294612528</v>
      </c>
      <c r="H5002" s="1">
        <v>5.6837711106358082</v>
      </c>
      <c r="I5002" s="1">
        <v>40.312139125761604</v>
      </c>
      <c r="J5002" s="1">
        <v>4.4788762858986995E-2</v>
      </c>
      <c r="K5002" s="1">
        <v>2.8790056515086766</v>
      </c>
      <c r="L5002" s="1">
        <v>3.584818035608881</v>
      </c>
      <c r="M5002" s="1">
        <v>0.24767783229212856</v>
      </c>
      <c r="N5002" s="1">
        <v>2.3125972229245519</v>
      </c>
      <c r="O5002" s="1">
        <v>0.20203816993464044</v>
      </c>
      <c r="P5002" s="1">
        <v>0.13609763360930871</v>
      </c>
      <c r="Q5002" s="1">
        <v>4.0460587000522343</v>
      </c>
      <c r="R5002" s="2">
        <f t="shared" ref="R5002:R5065" si="315">C5002+D5002+E5002+F5002+G5002+H5002+I5002+Q5002</f>
        <v>158.06329593895975</v>
      </c>
      <c r="S5002" s="2">
        <f t="shared" si="314"/>
        <v>3.0598920479769722</v>
      </c>
      <c r="T5002" s="2">
        <f t="shared" ref="T5002:T5065" si="316">L5002+M5002+N5002+O5002</f>
        <v>6.347131260760202</v>
      </c>
      <c r="U5002" s="2">
        <f t="shared" ref="U5002:U5065" si="317">R5002+S5002+T5002</f>
        <v>167.47031924769692</v>
      </c>
    </row>
    <row r="5003" spans="1:21" x14ac:dyDescent="0.25">
      <c r="A5003">
        <v>5468717</v>
      </c>
      <c r="B5003">
        <v>55</v>
      </c>
      <c r="C5003" s="1">
        <f>5.90304665968798*(10.3/7.3)</f>
        <v>8.3289562458611179</v>
      </c>
      <c r="D5003" s="1">
        <f>9.87650840113964*(10.3/7.3)</f>
        <v>13.935347470101142</v>
      </c>
      <c r="E5003" s="1">
        <f>34.3525149851235*(10.3/7.3)</f>
        <v>48.469986896818092</v>
      </c>
      <c r="F5003" s="1">
        <f>77.3824420865958*(38.9/42.5)</f>
        <v>70.827694051025318</v>
      </c>
      <c r="G5003" s="1">
        <v>3.4011911065395042</v>
      </c>
      <c r="H5003" s="1">
        <v>6.9291836816030594</v>
      </c>
      <c r="I5003" s="1">
        <v>54.418432985439168</v>
      </c>
      <c r="J5003" s="1">
        <v>5.70482543834573E-2</v>
      </c>
      <c r="K5003" s="1">
        <v>3.4310225870509874</v>
      </c>
      <c r="L5003" s="1">
        <v>4.5690646760069287</v>
      </c>
      <c r="M5003" s="1">
        <v>0.29659530850024424</v>
      </c>
      <c r="N5003" s="1">
        <v>2.6187608488742455</v>
      </c>
      <c r="O5003" s="1">
        <v>0.23995054545454544</v>
      </c>
      <c r="P5003" s="1">
        <v>0.1568725491759877</v>
      </c>
      <c r="Q5003" s="1">
        <v>5.4356935492640499</v>
      </c>
      <c r="R5003" s="2">
        <f t="shared" si="315"/>
        <v>211.74648598665146</v>
      </c>
      <c r="S5003" s="2">
        <f t="shared" si="314"/>
        <v>3.6449433906104325</v>
      </c>
      <c r="T5003" s="2">
        <f t="shared" si="316"/>
        <v>7.724371378835964</v>
      </c>
      <c r="U5003" s="2">
        <f t="shared" si="317"/>
        <v>223.11580075609785</v>
      </c>
    </row>
    <row r="5004" spans="1:21" x14ac:dyDescent="0.25">
      <c r="A5004">
        <v>5468725</v>
      </c>
      <c r="B5004">
        <v>55</v>
      </c>
      <c r="C5004" s="1">
        <f>4.88340515103634*(10.3/7.3)</f>
        <v>6.8902839802293503</v>
      </c>
      <c r="D5004" s="1">
        <f>8.03666173434472*(10.3/7.3)</f>
        <v>11.339399433390495</v>
      </c>
      <c r="E5004" s="1">
        <f>27.9736975955162*(10.3/7.3)</f>
        <v>39.469737703262545</v>
      </c>
      <c r="F5004" s="1">
        <f>62.7765030011938*(38.9/42.5)</f>
        <v>57.458963923445637</v>
      </c>
      <c r="G5004" s="1">
        <v>2.7438242650276812</v>
      </c>
      <c r="H5004" s="1">
        <v>5.9944416583609383</v>
      </c>
      <c r="I5004" s="1">
        <v>44.284980316228165</v>
      </c>
      <c r="J5004" s="1">
        <v>4.9150803550522489E-2</v>
      </c>
      <c r="K5004" s="1">
        <v>3.0204360945093258</v>
      </c>
      <c r="L5004" s="1">
        <v>3.8551613338637836</v>
      </c>
      <c r="M5004" s="1">
        <v>0.25419262447253299</v>
      </c>
      <c r="N5004" s="1">
        <v>2.2289575348935409</v>
      </c>
      <c r="O5004" s="1">
        <v>0.20669769696969695</v>
      </c>
      <c r="P5004" s="1">
        <v>0.13940781816050682</v>
      </c>
      <c r="Q5004" s="1">
        <v>4.3851072728752936</v>
      </c>
      <c r="R5004" s="2">
        <f t="shared" si="315"/>
        <v>172.56673855282011</v>
      </c>
      <c r="S5004" s="2">
        <f t="shared" si="314"/>
        <v>3.2089947162203551</v>
      </c>
      <c r="T5004" s="2">
        <f t="shared" si="316"/>
        <v>6.5450091901995551</v>
      </c>
      <c r="U5004" s="2">
        <f t="shared" si="317"/>
        <v>182.32074245924002</v>
      </c>
    </row>
    <row r="5005" spans="1:21" x14ac:dyDescent="0.25">
      <c r="A5005">
        <v>5468733</v>
      </c>
      <c r="B5005">
        <v>55</v>
      </c>
      <c r="C5005" s="1">
        <f>5.67017630277749*(10.3/7.3)</f>
        <v>8.0003857422750837</v>
      </c>
      <c r="D5005" s="1">
        <f>9.19419088819463*(10.3/7.3)</f>
        <v>12.972625499781467</v>
      </c>
      <c r="E5005" s="1">
        <f>32.012439314159*(10.3/7.3)</f>
        <v>45.168236292580467</v>
      </c>
      <c r="F5005" s="1">
        <f>72.18941276153*(38.9/42.5)</f>
        <v>66.074544857023895</v>
      </c>
      <c r="G5005" s="1">
        <v>3.1632304354779497</v>
      </c>
      <c r="H5005" s="1">
        <v>6.6211249579680853</v>
      </c>
      <c r="I5005" s="1">
        <v>51.181912461802362</v>
      </c>
      <c r="J5005" s="1">
        <v>5.4235858933172974E-2</v>
      </c>
      <c r="K5005" s="1">
        <v>3.1931727544452735</v>
      </c>
      <c r="L5005" s="1">
        <v>4.1663913726403354</v>
      </c>
      <c r="M5005" s="1">
        <v>0.26562796904912023</v>
      </c>
      <c r="N5005" s="1">
        <v>2.4137492392186011</v>
      </c>
      <c r="O5005" s="1">
        <v>0.21700266666666662</v>
      </c>
      <c r="P5005" s="1">
        <v>0.14485953499487242</v>
      </c>
      <c r="Q5005" s="1">
        <v>5.0553911069282336</v>
      </c>
      <c r="R5005" s="2">
        <f t="shared" si="315"/>
        <v>198.23745135383751</v>
      </c>
      <c r="S5005" s="2">
        <f t="shared" si="314"/>
        <v>3.3922681483733186</v>
      </c>
      <c r="T5005" s="2">
        <f t="shared" si="316"/>
        <v>7.062771247574724</v>
      </c>
      <c r="U5005" s="2">
        <f t="shared" si="317"/>
        <v>208.69249074978555</v>
      </c>
    </row>
    <row r="5006" spans="1:21" x14ac:dyDescent="0.25">
      <c r="A5006">
        <v>5468741</v>
      </c>
      <c r="B5006">
        <v>55</v>
      </c>
      <c r="C5006" s="1">
        <f>4.87970465806804*(10.3/7.3)</f>
        <v>6.8850627367261454</v>
      </c>
      <c r="D5006" s="1">
        <f>7.7958703803616*(10.3/7.3)</f>
        <v>10.999652728455406</v>
      </c>
      <c r="E5006" s="1">
        <f>27.1497956358325*(10.3/7.3)</f>
        <v>38.307245897133534</v>
      </c>
      <c r="F5006" s="1">
        <f>61.6407631695259*(38.9/42.5)</f>
        <v>56.41942793634253</v>
      </c>
      <c r="G5006" s="1">
        <v>2.7125136504143179</v>
      </c>
      <c r="H5006" s="1">
        <v>5.9759361481980928</v>
      </c>
      <c r="I5006" s="1">
        <v>43.944492519938763</v>
      </c>
      <c r="J5006" s="1">
        <v>4.8911641156933812E-2</v>
      </c>
      <c r="K5006" s="1">
        <v>2.8621476065269924</v>
      </c>
      <c r="L5006" s="1">
        <v>3.5965311107944076</v>
      </c>
      <c r="M5006" s="1">
        <v>0.23293677392518949</v>
      </c>
      <c r="N5006" s="1">
        <v>2.1987920522155893</v>
      </c>
      <c r="O5006" s="1">
        <v>0.19066472727272724</v>
      </c>
      <c r="P5006" s="1">
        <v>0.13081166893463467</v>
      </c>
      <c r="Q5006" s="1">
        <v>4.3350674778311067</v>
      </c>
      <c r="R5006" s="2">
        <f t="shared" si="315"/>
        <v>169.57939909503989</v>
      </c>
      <c r="S5006" s="2">
        <f t="shared" si="314"/>
        <v>3.0418709166185609</v>
      </c>
      <c r="T5006" s="2">
        <f t="shared" si="316"/>
        <v>6.218924664207913</v>
      </c>
      <c r="U5006" s="2">
        <f t="shared" si="317"/>
        <v>178.84019467586637</v>
      </c>
    </row>
    <row r="5007" spans="1:21" x14ac:dyDescent="0.25">
      <c r="A5007">
        <v>5468749</v>
      </c>
      <c r="B5007">
        <v>7</v>
      </c>
      <c r="C5007" s="1">
        <f>5.42132047833946*(10.3/7.3)</f>
        <v>7.6492604009447174</v>
      </c>
      <c r="D5007" s="1">
        <f>8.63553798387989*(10.3/7.3)</f>
        <v>12.184389210131906</v>
      </c>
      <c r="E5007" s="1">
        <f>30.0351474400228*(10.3/7.3)</f>
        <v>42.378358716744479</v>
      </c>
      <c r="F5007" s="1">
        <f>70.3250920399968*(38.9/42.5)</f>
        <v>64.368143067197067</v>
      </c>
      <c r="G5007" s="1">
        <v>3.178995824607258</v>
      </c>
      <c r="H5007" s="1">
        <v>8.8300773634414949</v>
      </c>
      <c r="I5007" s="1">
        <v>50.55885986714928</v>
      </c>
      <c r="J5007" s="1">
        <v>5.5759334401641276E-2</v>
      </c>
      <c r="K5007" s="1">
        <v>2.9168800185612263</v>
      </c>
      <c r="L5007" s="1">
        <v>3.7376817687492623</v>
      </c>
      <c r="M5007" s="1">
        <v>0.23402952607107097</v>
      </c>
      <c r="N5007" s="1">
        <v>2.8781257131415159</v>
      </c>
      <c r="O5007" s="1">
        <v>0.19411809523809523</v>
      </c>
      <c r="P5007" s="1">
        <v>0.13146057072985212</v>
      </c>
      <c r="Q5007" s="1">
        <v>5.0805869343038426</v>
      </c>
      <c r="R5007" s="2">
        <f t="shared" si="315"/>
        <v>194.22867138452003</v>
      </c>
      <c r="S5007" s="2">
        <f t="shared" si="314"/>
        <v>3.1040999236927194</v>
      </c>
      <c r="T5007" s="2">
        <f t="shared" si="316"/>
        <v>7.0439551031999441</v>
      </c>
      <c r="U5007" s="2">
        <f t="shared" si="317"/>
        <v>204.3767264114127</v>
      </c>
    </row>
    <row r="5008" spans="1:21" x14ac:dyDescent="0.25">
      <c r="A5008">
        <v>5468789</v>
      </c>
      <c r="B5008">
        <v>12</v>
      </c>
      <c r="C5008" s="1">
        <f>3.70162447910339*(10.3/7.3)</f>
        <v>5.2228400184609542</v>
      </c>
      <c r="D5008" s="1">
        <f>6.92225380655072*(10.3/7.3)</f>
        <v>9.7670156448592351</v>
      </c>
      <c r="E5008" s="1">
        <f>24.0167610707816*(10.3/7.3)</f>
        <v>33.886662880691908</v>
      </c>
      <c r="F5008" s="1">
        <f>52.7718292944899*(38.9/42.5)</f>
        <v>48.301744930721313</v>
      </c>
      <c r="G5008" s="1">
        <v>2.2981682246832311</v>
      </c>
      <c r="H5008" s="1">
        <v>8.8329965691347141</v>
      </c>
      <c r="I5008" s="1">
        <v>35.860694807209889</v>
      </c>
      <c r="J5008" s="1">
        <v>3.3451296820031014E-2</v>
      </c>
      <c r="K5008" s="1">
        <v>1.9760681397258588</v>
      </c>
      <c r="L5008" s="1">
        <v>2.6478583487899643</v>
      </c>
      <c r="M5008" s="1">
        <v>0.14566250098681313</v>
      </c>
      <c r="N5008" s="1">
        <v>1.4883341823751268</v>
      </c>
      <c r="O5008" s="1">
        <v>0.11994666666666665</v>
      </c>
      <c r="P5008" s="1">
        <v>9.1022226065689674E-2</v>
      </c>
      <c r="Q5008" s="1">
        <v>3.6728715919595047</v>
      </c>
      <c r="R5008" s="2">
        <f t="shared" si="315"/>
        <v>147.84299466772075</v>
      </c>
      <c r="S5008" s="2">
        <f t="shared" si="314"/>
        <v>2.1005416626115796</v>
      </c>
      <c r="T5008" s="2">
        <f t="shared" si="316"/>
        <v>4.4018016988185709</v>
      </c>
      <c r="U5008" s="2">
        <f t="shared" si="317"/>
        <v>154.34533802915089</v>
      </c>
    </row>
    <row r="5009" spans="1:21" x14ac:dyDescent="0.25">
      <c r="A5009">
        <v>5468933</v>
      </c>
      <c r="B5009">
        <v>25</v>
      </c>
      <c r="C5009" s="1">
        <f>5.25362824792634*(10.3/7.3)</f>
        <v>7.4126535552933293</v>
      </c>
      <c r="D5009" s="1">
        <f>6.95859030126465*(10.3/7.3)</f>
        <v>9.8182849456199843</v>
      </c>
      <c r="E5009" s="1">
        <f>24.395951634315*(10.3/7.3)</f>
        <v>34.42168518266363</v>
      </c>
      <c r="F5009" s="1">
        <f>56.2020895002196*(38.9/42.5)</f>
        <v>51.441441919024541</v>
      </c>
      <c r="G5009" s="1">
        <v>2.4399298772868478</v>
      </c>
      <c r="H5009" s="1">
        <v>5.3636541664008419</v>
      </c>
      <c r="I5009" s="1">
        <v>42.267274277857425</v>
      </c>
      <c r="J5009" s="1">
        <v>3.4061724112544454E-2</v>
      </c>
      <c r="K5009" s="1">
        <v>2.0263993284519652</v>
      </c>
      <c r="L5009" s="1">
        <v>2.1712064824578263</v>
      </c>
      <c r="M5009" s="1">
        <v>0.11750996219303753</v>
      </c>
      <c r="N5009" s="1">
        <v>1.5035247374559133</v>
      </c>
      <c r="O5009" s="1">
        <v>0.1053824</v>
      </c>
      <c r="P5009" s="1">
        <v>8.1291449903179339E-2</v>
      </c>
      <c r="Q5009" s="1">
        <v>3.8994313107324086</v>
      </c>
      <c r="R5009" s="2">
        <f t="shared" si="315"/>
        <v>157.064355234879</v>
      </c>
      <c r="S5009" s="2">
        <f t="shared" si="314"/>
        <v>2.1417525024676891</v>
      </c>
      <c r="T5009" s="2">
        <f t="shared" si="316"/>
        <v>3.8976235821067768</v>
      </c>
      <c r="U5009" s="2">
        <f t="shared" si="317"/>
        <v>163.10373131945346</v>
      </c>
    </row>
    <row r="5010" spans="1:21" x14ac:dyDescent="0.25">
      <c r="A5010">
        <v>5469069</v>
      </c>
      <c r="B5010">
        <v>13</v>
      </c>
      <c r="C5010" s="1">
        <f>7.89935204136136*(10.3/7.3)</f>
        <v>11.145661099455076</v>
      </c>
      <c r="D5010" s="1">
        <f>10.1454251453224*(10.3/7.3)</f>
        <v>14.314777944769929</v>
      </c>
      <c r="E5010" s="1">
        <f>35.3516538605191*(10.3/7.3)</f>
        <v>49.879730789499483</v>
      </c>
      <c r="F5010" s="1">
        <f>94.8690770290353*(38.9/42.5)</f>
        <v>86.833108151281735</v>
      </c>
      <c r="G5010" s="1">
        <v>4.6465312237080925</v>
      </c>
      <c r="H5010" s="1">
        <v>11.976950339871497</v>
      </c>
      <c r="I5010" s="1">
        <v>73.820515787020867</v>
      </c>
      <c r="J5010" s="1">
        <v>3.9201327511495437E-2</v>
      </c>
      <c r="K5010" s="1">
        <v>2.2655500558766737</v>
      </c>
      <c r="L5010" s="1">
        <v>2.3397397205866151</v>
      </c>
      <c r="M5010" s="1">
        <v>0.11528560533081092</v>
      </c>
      <c r="N5010" s="1">
        <v>1.55913396029754</v>
      </c>
      <c r="O5010" s="1">
        <v>0.10863179487179488</v>
      </c>
      <c r="P5010" s="1">
        <v>8.2827922525257405E-2</v>
      </c>
      <c r="Q5010" s="1">
        <v>7.4259631429124848</v>
      </c>
      <c r="R5010" s="2">
        <f t="shared" si="315"/>
        <v>260.04323847851919</v>
      </c>
      <c r="S5010" s="2">
        <f t="shared" si="314"/>
        <v>2.3875793059134267</v>
      </c>
      <c r="T5010" s="2">
        <f t="shared" si="316"/>
        <v>4.1227910810867607</v>
      </c>
      <c r="U5010" s="2">
        <f t="shared" si="317"/>
        <v>266.55360886551938</v>
      </c>
    </row>
    <row r="5011" spans="1:21" x14ac:dyDescent="0.25">
      <c r="A5011">
        <v>5469077</v>
      </c>
      <c r="B5011">
        <v>35</v>
      </c>
      <c r="C5011" s="1">
        <f>6.8559675662997*(10.3/7.3)</f>
        <v>9.6734884839571063</v>
      </c>
      <c r="D5011" s="1">
        <f>8.54974020246496*(10.3/7.3)</f>
        <v>12.063332066491654</v>
      </c>
      <c r="E5011" s="1">
        <f>29.8549864295462*(10.3/7.3)</f>
        <v>42.124158934839137</v>
      </c>
      <c r="F5011" s="1">
        <f>78.8736660040927*(38.9/42.5)</f>
        <v>72.192602530804876</v>
      </c>
      <c r="G5011" s="1">
        <v>3.8050158220451067</v>
      </c>
      <c r="H5011" s="1">
        <v>9.6551648597026372</v>
      </c>
      <c r="I5011" s="1">
        <v>61.678265108015395</v>
      </c>
      <c r="J5011" s="1">
        <v>3.7282485492423488E-2</v>
      </c>
      <c r="K5011" s="1">
        <v>2.186501553460074</v>
      </c>
      <c r="L5011" s="1">
        <v>2.2338101263357597</v>
      </c>
      <c r="M5011" s="1">
        <v>0.11080340194935745</v>
      </c>
      <c r="N5011" s="1">
        <v>1.5029566141432591</v>
      </c>
      <c r="O5011" s="1">
        <v>0.10509561904761903</v>
      </c>
      <c r="P5011" s="1">
        <v>8.0212328219274376E-2</v>
      </c>
      <c r="Q5011" s="1">
        <v>6.0810755146839659</v>
      </c>
      <c r="R5011" s="2">
        <f t="shared" si="315"/>
        <v>217.27310332053986</v>
      </c>
      <c r="S5011" s="2">
        <f t="shared" si="314"/>
        <v>2.3039963671717718</v>
      </c>
      <c r="T5011" s="2">
        <f t="shared" si="316"/>
        <v>3.9526657614759952</v>
      </c>
      <c r="U5011" s="2">
        <f t="shared" si="317"/>
        <v>223.52976544918764</v>
      </c>
    </row>
    <row r="5012" spans="1:21" x14ac:dyDescent="0.25">
      <c r="A5012">
        <v>5469085</v>
      </c>
      <c r="B5012">
        <v>38</v>
      </c>
      <c r="C5012" s="1">
        <f>7.12439228665603*(10.3/7.3)</f>
        <v>10.052224733227</v>
      </c>
      <c r="D5012" s="1">
        <f>8.58491312465971*(10.3/7.3)</f>
        <v>12.112959614245893</v>
      </c>
      <c r="E5012" s="1">
        <f>30.0055781170783*(10.3/7.3)</f>
        <v>42.336637617247462</v>
      </c>
      <c r="F5012" s="1">
        <f>80.2694162083535*(38.9/42.5)</f>
        <v>73.470124482469473</v>
      </c>
      <c r="G5012" s="1">
        <v>3.8905992687397997</v>
      </c>
      <c r="H5012" s="1">
        <v>9.769017670181066</v>
      </c>
      <c r="I5012" s="1">
        <v>63.427491563473964</v>
      </c>
      <c r="J5012" s="1">
        <v>3.7253319049755457E-2</v>
      </c>
      <c r="K5012" s="1">
        <v>2.1902388023749535</v>
      </c>
      <c r="L5012" s="1">
        <v>2.2322259909266848</v>
      </c>
      <c r="M5012" s="1">
        <v>0.11061637854955422</v>
      </c>
      <c r="N5012" s="1">
        <v>1.462473660336137</v>
      </c>
      <c r="O5012" s="1">
        <v>0.10461052631578949</v>
      </c>
      <c r="P5012" s="1">
        <v>8.0177376575521417E-2</v>
      </c>
      <c r="Q5012" s="1">
        <v>6.2178527125978587</v>
      </c>
      <c r="R5012" s="2">
        <f t="shared" si="315"/>
        <v>221.27690766218251</v>
      </c>
      <c r="S5012" s="2">
        <f t="shared" si="314"/>
        <v>2.3076694980002301</v>
      </c>
      <c r="T5012" s="2">
        <f t="shared" si="316"/>
        <v>3.9099265561281653</v>
      </c>
      <c r="U5012" s="2">
        <f t="shared" si="317"/>
        <v>227.4945037163109</v>
      </c>
    </row>
    <row r="5013" spans="1:21" x14ac:dyDescent="0.25">
      <c r="A5013">
        <v>5480441</v>
      </c>
      <c r="B5013">
        <v>22</v>
      </c>
      <c r="C5013" s="1">
        <f>0.593545312942006*(10.3/7.3)</f>
        <v>0.83746804428803523</v>
      </c>
      <c r="D5013" s="1">
        <f>0.885061984816081*(10.3/7.3)</f>
        <v>1.248786088165156</v>
      </c>
      <c r="E5013" s="1">
        <f>3.06546835008549*(10.3/7.3)</f>
        <v>4.3252498638192556</v>
      </c>
      <c r="F5013" s="1">
        <f>8.21221567658296*(38.9/42.5)</f>
        <v>7.5165927016253438</v>
      </c>
      <c r="G5013" s="1">
        <v>0.40867179930322539</v>
      </c>
      <c r="H5013" s="1">
        <v>1.6599686913236995</v>
      </c>
      <c r="I5013" s="1">
        <v>6.171915684791756</v>
      </c>
      <c r="J5013" s="1">
        <v>3.9356872085588711E-2</v>
      </c>
      <c r="K5013" s="1">
        <v>3.4682635528451424</v>
      </c>
      <c r="L5013" s="1">
        <v>1.9479753369104655</v>
      </c>
      <c r="M5013" s="1">
        <v>0.89275947539317879</v>
      </c>
      <c r="N5013" s="1">
        <v>1.4400519015582176</v>
      </c>
      <c r="O5013" s="1">
        <v>0.38714666666666664</v>
      </c>
      <c r="P5013" s="1">
        <v>0.14508843433276206</v>
      </c>
      <c r="Q5013" s="1">
        <v>0.65312844637501821</v>
      </c>
      <c r="R5013" s="2">
        <f t="shared" si="315"/>
        <v>22.821781319691492</v>
      </c>
      <c r="S5013" s="2">
        <f t="shared" si="314"/>
        <v>3.6527088592634933</v>
      </c>
      <c r="T5013" s="2">
        <f t="shared" si="316"/>
        <v>4.6679333805285284</v>
      </c>
      <c r="U5013" s="2">
        <f t="shared" si="317"/>
        <v>31.142423559483515</v>
      </c>
    </row>
    <row r="5014" spans="1:21" x14ac:dyDescent="0.25">
      <c r="A5014">
        <v>5480449</v>
      </c>
      <c r="B5014">
        <v>67</v>
      </c>
      <c r="C5014" s="1">
        <f>0.675003553348093*(10.3/7.3)</f>
        <v>0.95240227390210397</v>
      </c>
      <c r="D5014" s="1">
        <f>1.02194195617173*(10.3/7.3)</f>
        <v>1.4419181025436771</v>
      </c>
      <c r="E5014" s="1">
        <f>3.5340696514753*(10.3/7.3)</f>
        <v>4.9864270424925508</v>
      </c>
      <c r="F5014" s="1">
        <f>9.64442832237352*(38.9/42.5)</f>
        <v>8.8274885115371742</v>
      </c>
      <c r="G5014" s="1">
        <v>0.4867667205870374</v>
      </c>
      <c r="H5014" s="1">
        <v>1.9682689774527939</v>
      </c>
      <c r="I5014" s="1">
        <v>7.2500420893831787</v>
      </c>
      <c r="J5014" s="1">
        <v>4.4177704264183208E-2</v>
      </c>
      <c r="K5014" s="1">
        <v>3.8950705316512884</v>
      </c>
      <c r="L5014" s="1">
        <v>2.121841876289055</v>
      </c>
      <c r="M5014" s="1">
        <v>1.0745444677316713</v>
      </c>
      <c r="N5014" s="1">
        <v>1.3962401886785927</v>
      </c>
      <c r="O5014" s="1">
        <v>0.42075064676616913</v>
      </c>
      <c r="P5014" s="1">
        <v>0.15430475316457604</v>
      </c>
      <c r="Q5014" s="1">
        <v>0.77793768130348528</v>
      </c>
      <c r="R5014" s="2">
        <f t="shared" si="315"/>
        <v>26.691251399202002</v>
      </c>
      <c r="S5014" s="2">
        <f t="shared" si="314"/>
        <v>4.0935529890800479</v>
      </c>
      <c r="T5014" s="2">
        <f t="shared" si="316"/>
        <v>5.013377179465488</v>
      </c>
      <c r="U5014" s="2">
        <f t="shared" si="317"/>
        <v>35.798181567747541</v>
      </c>
    </row>
    <row r="5015" spans="1:21" x14ac:dyDescent="0.25">
      <c r="A5015">
        <v>5480457</v>
      </c>
      <c r="B5015">
        <v>64</v>
      </c>
      <c r="C5015" s="1">
        <f>1.06689306081891*(10.3/7.3)</f>
        <v>1.5053422638951814</v>
      </c>
      <c r="D5015" s="1">
        <f>1.67649986096325*(10.3/7.3)</f>
        <v>2.3654724065645887</v>
      </c>
      <c r="E5015" s="1">
        <f>5.77267580713202*(10.3/7.3)</f>
        <v>8.1450083306109367</v>
      </c>
      <c r="F5015" s="1">
        <f>16.6254522538923*(38.9/42.5)</f>
        <v>15.217178651209647</v>
      </c>
      <c r="G5015" s="1">
        <v>0.87136233400900931</v>
      </c>
      <c r="H5015" s="1">
        <v>3.1260336659722676</v>
      </c>
      <c r="I5015" s="1">
        <v>12.530138877452783</v>
      </c>
      <c r="J5015" s="1">
        <v>7.1582582184039067E-2</v>
      </c>
      <c r="K5015" s="1">
        <v>5.5569051723345453</v>
      </c>
      <c r="L5015" s="1">
        <v>3.3808857300583237</v>
      </c>
      <c r="M5015" s="1">
        <v>1.70690943917244</v>
      </c>
      <c r="N5015" s="1">
        <v>2.0105920720391</v>
      </c>
      <c r="O5015" s="1">
        <v>0.67413499999999982</v>
      </c>
      <c r="P5015" s="1">
        <v>0.19490232680570996</v>
      </c>
      <c r="Q5015" s="1">
        <v>1.392588205037232</v>
      </c>
      <c r="R5015" s="2">
        <f t="shared" si="315"/>
        <v>45.15312473475165</v>
      </c>
      <c r="S5015" s="2">
        <f t="shared" si="314"/>
        <v>5.8233900813242947</v>
      </c>
      <c r="T5015" s="2">
        <f t="shared" si="316"/>
        <v>7.7725222412698631</v>
      </c>
      <c r="U5015" s="2">
        <f t="shared" si="317"/>
        <v>58.749037057345809</v>
      </c>
    </row>
    <row r="5016" spans="1:21" x14ac:dyDescent="0.25">
      <c r="A5016">
        <v>5480465</v>
      </c>
      <c r="B5016">
        <v>29</v>
      </c>
      <c r="C5016" s="1">
        <f>1.09127834792985*(10.3/7.3)</f>
        <v>1.539748901873625</v>
      </c>
      <c r="D5016" s="1">
        <f>1.74084577013596*(10.3/7.3)</f>
        <v>2.456261840054847</v>
      </c>
      <c r="E5016" s="1">
        <f>5.98141543600604*(10.3/7.3)</f>
        <v>8.4395313686112594</v>
      </c>
      <c r="F5016" s="1">
        <f>17.7183879657023*(38.9/42.5)</f>
        <v>16.217536279195794</v>
      </c>
      <c r="G5016" s="1">
        <v>0.9454312229103079</v>
      </c>
      <c r="H5016" s="1">
        <v>4.0608569844923155</v>
      </c>
      <c r="I5016" s="1">
        <v>13.385135763274535</v>
      </c>
      <c r="J5016" s="1">
        <v>9.8688140350642953E-2</v>
      </c>
      <c r="K5016" s="1">
        <v>5.6682274876335157</v>
      </c>
      <c r="L5016" s="1">
        <v>3.6073774937917542</v>
      </c>
      <c r="M5016" s="1">
        <v>1.8881080154692307</v>
      </c>
      <c r="N5016" s="1">
        <v>2.4974206019363843</v>
      </c>
      <c r="O5016" s="1">
        <v>0.70267586206896526</v>
      </c>
      <c r="P5016" s="1">
        <v>0.19238879059518815</v>
      </c>
      <c r="Q5016" s="1">
        <v>1.5109631416374798</v>
      </c>
      <c r="R5016" s="2">
        <f t="shared" si="315"/>
        <v>48.555465502050168</v>
      </c>
      <c r="S5016" s="2">
        <f t="shared" si="314"/>
        <v>5.9593044185793467</v>
      </c>
      <c r="T5016" s="2">
        <f t="shared" si="316"/>
        <v>8.695581973266334</v>
      </c>
      <c r="U5016" s="2">
        <f t="shared" si="317"/>
        <v>63.210351893895854</v>
      </c>
    </row>
    <row r="5017" spans="1:21" x14ac:dyDescent="0.25">
      <c r="A5017">
        <v>5480913</v>
      </c>
      <c r="B5017">
        <v>63</v>
      </c>
      <c r="C5017" s="1">
        <f>5.4070451942177*(10.3/7.3)</f>
        <v>7.6291185617044288</v>
      </c>
      <c r="D5017" s="1">
        <f>9.43572220367107*(10.3/7.3)</f>
        <v>13.313416259974254</v>
      </c>
      <c r="E5017" s="1">
        <f>32.7154129284904*(10.3/7.3)</f>
        <v>46.160103173075541</v>
      </c>
      <c r="F5017" s="1">
        <f>76.6277400776934*(38.9/42.5)</f>
        <v>70.136919741700581</v>
      </c>
      <c r="G5017" s="1">
        <v>3.5028392061828879</v>
      </c>
      <c r="H5017" s="1">
        <v>8.5155496121300249</v>
      </c>
      <c r="I5017" s="1">
        <v>53.913979001860177</v>
      </c>
      <c r="J5017" s="1">
        <v>5.9535651040684437E-2</v>
      </c>
      <c r="K5017" s="1">
        <v>3.7539043614379755</v>
      </c>
      <c r="L5017" s="1">
        <v>4.5476498521557644</v>
      </c>
      <c r="M5017" s="1">
        <v>0.32217684539570046</v>
      </c>
      <c r="N5017" s="1">
        <v>2.7205990533730673</v>
      </c>
      <c r="O5017" s="1">
        <v>0.25253333333333333</v>
      </c>
      <c r="P5017" s="1">
        <v>0.16178354741450837</v>
      </c>
      <c r="Q5017" s="1">
        <v>5.5981448500639832</v>
      </c>
      <c r="R5017" s="2">
        <f t="shared" si="315"/>
        <v>208.7700704066919</v>
      </c>
      <c r="S5017" s="2">
        <f t="shared" si="314"/>
        <v>3.975223559893168</v>
      </c>
      <c r="T5017" s="2">
        <f t="shared" si="316"/>
        <v>7.842959084257866</v>
      </c>
      <c r="U5017" s="2">
        <f t="shared" si="317"/>
        <v>220.58825305084295</v>
      </c>
    </row>
    <row r="5018" spans="1:21" x14ac:dyDescent="0.25">
      <c r="A5018">
        <v>5480921</v>
      </c>
      <c r="B5018">
        <v>67</v>
      </c>
      <c r="C5018" s="1">
        <f>4.19127223979744*(10.3/7.3)</f>
        <v>5.9137128862895381</v>
      </c>
      <c r="D5018" s="1">
        <f>7.48015521451679*(10.3/7.3)</f>
        <v>10.554191604044238</v>
      </c>
      <c r="E5018" s="1">
        <f>25.9390396738378*(10.3/7.3)</f>
        <v>36.59891899185336</v>
      </c>
      <c r="F5018" s="1">
        <f>59.5978355562442*(38.9/42.5)</f>
        <v>54.549548309127033</v>
      </c>
      <c r="G5018" s="1">
        <v>2.6869055362631569</v>
      </c>
      <c r="H5018" s="1">
        <v>6.163271052837108</v>
      </c>
      <c r="I5018" s="1">
        <v>41.494061609945796</v>
      </c>
      <c r="J5018" s="1">
        <v>4.7019004165136116E-2</v>
      </c>
      <c r="K5018" s="1">
        <v>3.016226713502911</v>
      </c>
      <c r="L5018" s="1">
        <v>3.7082187652482146</v>
      </c>
      <c r="M5018" s="1">
        <v>0.26799673461228923</v>
      </c>
      <c r="N5018" s="1">
        <v>3.2018688456271711</v>
      </c>
      <c r="O5018" s="1">
        <v>0.21390407960199001</v>
      </c>
      <c r="P5018" s="1">
        <v>0.14148531542063114</v>
      </c>
      <c r="Q5018" s="1">
        <v>4.2941412680004847</v>
      </c>
      <c r="R5018" s="2">
        <f t="shared" si="315"/>
        <v>162.2547512583607</v>
      </c>
      <c r="S5018" s="2">
        <f t="shared" si="314"/>
        <v>3.2047310330886782</v>
      </c>
      <c r="T5018" s="2">
        <f t="shared" si="316"/>
        <v>7.3919884250896652</v>
      </c>
      <c r="U5018" s="2">
        <f t="shared" si="317"/>
        <v>172.85147071653904</v>
      </c>
    </row>
    <row r="5019" spans="1:21" x14ac:dyDescent="0.25">
      <c r="A5019">
        <v>5480929</v>
      </c>
      <c r="B5019">
        <v>67</v>
      </c>
      <c r="C5019" s="1">
        <f>4.24831119331819*(10.3/7.3)</f>
        <v>5.9941925056407408</v>
      </c>
      <c r="D5019" s="1">
        <f>7.48981339271*(10.3/7.3)</f>
        <v>10.567818896563432</v>
      </c>
      <c r="E5019" s="1">
        <f>25.9986589979432*(10.3/7.3)</f>
        <v>36.683039408056914</v>
      </c>
      <c r="F5019" s="1">
        <f>58.9278633908734*(38.9/42.5)</f>
        <v>53.936326727175889</v>
      </c>
      <c r="G5019" s="1">
        <v>2.6214075797162089</v>
      </c>
      <c r="H5019" s="1">
        <v>6.0008316699978801</v>
      </c>
      <c r="I5019" s="1">
        <v>40.98708150444299</v>
      </c>
      <c r="J5019" s="1">
        <v>4.7027237247053121E-2</v>
      </c>
      <c r="K5019" s="1">
        <v>3.0121280695056298</v>
      </c>
      <c r="L5019" s="1">
        <v>3.7318448517563358</v>
      </c>
      <c r="M5019" s="1">
        <v>0.26586767343623574</v>
      </c>
      <c r="N5019" s="1">
        <v>2.2891582852904864</v>
      </c>
      <c r="O5019" s="1">
        <v>0.21301810945273633</v>
      </c>
      <c r="P5019" s="1">
        <v>0.14192793866681533</v>
      </c>
      <c r="Q5019" s="1">
        <v>4.1894641684962322</v>
      </c>
      <c r="R5019" s="2">
        <f t="shared" si="315"/>
        <v>160.9801624600903</v>
      </c>
      <c r="S5019" s="2">
        <f t="shared" si="314"/>
        <v>3.2010832454194982</v>
      </c>
      <c r="T5019" s="2">
        <f t="shared" si="316"/>
        <v>6.4998889199357945</v>
      </c>
      <c r="U5019" s="2">
        <f t="shared" si="317"/>
        <v>170.68113462544559</v>
      </c>
    </row>
    <row r="5020" spans="1:21" x14ac:dyDescent="0.25">
      <c r="A5020">
        <v>5480937</v>
      </c>
      <c r="B5020">
        <v>67</v>
      </c>
      <c r="C5020" s="1">
        <f>3.84132830265243*(10.3/7.3)</f>
        <v>5.4199563722356157</v>
      </c>
      <c r="D5020" s="1">
        <f>6.63900492402001*(10.3/7.3)</f>
        <v>9.3673631119734395</v>
      </c>
      <c r="E5020" s="1">
        <f>23.0691432385872*(10.3/7.3)</f>
        <v>32.5496130626642</v>
      </c>
      <c r="F5020" s="1">
        <f>51.8405086324437*(38.9/42.5)</f>
        <v>47.449312607107302</v>
      </c>
      <c r="G5020" s="1">
        <v>2.282835991130503</v>
      </c>
      <c r="H5020" s="1">
        <v>5.4224672501110396</v>
      </c>
      <c r="I5020" s="1">
        <v>36.142408164178946</v>
      </c>
      <c r="J5020" s="1">
        <v>4.3027226063382773E-2</v>
      </c>
      <c r="K5020" s="1">
        <v>2.8010800537378757</v>
      </c>
      <c r="L5020" s="1">
        <v>3.4064781056758191</v>
      </c>
      <c r="M5020" s="1">
        <v>0.24286201462247289</v>
      </c>
      <c r="N5020" s="1">
        <v>2.084040408234999</v>
      </c>
      <c r="O5020" s="1">
        <v>0.19566965174129353</v>
      </c>
      <c r="P5020" s="1">
        <v>0.13366310699701242</v>
      </c>
      <c r="Q5020" s="1">
        <v>3.6483680223546884</v>
      </c>
      <c r="R5020" s="2">
        <f t="shared" si="315"/>
        <v>142.28232458175574</v>
      </c>
      <c r="S5020" s="2">
        <f t="shared" si="314"/>
        <v>2.9777703867982708</v>
      </c>
      <c r="T5020" s="2">
        <f t="shared" si="316"/>
        <v>5.9290501802745839</v>
      </c>
      <c r="U5020" s="2">
        <f t="shared" si="317"/>
        <v>151.1891451488286</v>
      </c>
    </row>
    <row r="5021" spans="1:21" x14ac:dyDescent="0.25">
      <c r="A5021">
        <v>5480945</v>
      </c>
      <c r="B5021">
        <v>52</v>
      </c>
      <c r="C5021" s="1">
        <f>3.65026015494661*(10.3/7.3)</f>
        <v>5.1503670679383751</v>
      </c>
      <c r="D5021" s="1">
        <f>6.19088074100266*(10.3/7.3)</f>
        <v>8.7350783057982699</v>
      </c>
      <c r="E5021" s="1">
        <f>21.5280642344755*(10.3/7.3)</f>
        <v>30.375213919876337</v>
      </c>
      <c r="F5021" s="1">
        <f>48.2494459727926*(38.9/42.5)</f>
        <v>44.162434078626589</v>
      </c>
      <c r="G5021" s="1">
        <v>2.1145563178835354</v>
      </c>
      <c r="H5021" s="1">
        <v>5.0350115275012097</v>
      </c>
      <c r="I5021" s="1">
        <v>33.770003451588202</v>
      </c>
      <c r="J5021" s="1">
        <v>3.9544211015107571E-2</v>
      </c>
      <c r="K5021" s="1">
        <v>2.6123386650610558</v>
      </c>
      <c r="L5021" s="1">
        <v>3.1337531335828106</v>
      </c>
      <c r="M5021" s="1">
        <v>0.22305789681060403</v>
      </c>
      <c r="N5021" s="1">
        <v>1.8823790503945759</v>
      </c>
      <c r="O5021" s="1">
        <v>0.18027487179487184</v>
      </c>
      <c r="P5021" s="1">
        <v>0.12534649787424126</v>
      </c>
      <c r="Q5021" s="1">
        <v>3.379427905293324</v>
      </c>
      <c r="R5021" s="2">
        <f t="shared" si="315"/>
        <v>132.72209257450584</v>
      </c>
      <c r="S5021" s="2">
        <f t="shared" si="314"/>
        <v>2.7772293739504046</v>
      </c>
      <c r="T5021" s="2">
        <f t="shared" si="316"/>
        <v>5.419464952582862</v>
      </c>
      <c r="U5021" s="2">
        <f t="shared" si="317"/>
        <v>140.91878690103911</v>
      </c>
    </row>
    <row r="5022" spans="1:21" x14ac:dyDescent="0.25">
      <c r="A5022">
        <v>5480953</v>
      </c>
      <c r="B5022">
        <v>67</v>
      </c>
      <c r="C5022" s="1">
        <f>5.60565400284342*(10.3/7.3)</f>
        <v>7.9093474286694834</v>
      </c>
      <c r="D5022" s="1">
        <f>9.34488669121281*(10.3/7.3)</f>
        <v>13.18525108486191</v>
      </c>
      <c r="E5022" s="1">
        <f>32.5052219613834*(10.3/7.3)</f>
        <v>45.863532356472447</v>
      </c>
      <c r="F5022" s="1">
        <f>73.3349183657436*(38.9/42.5)</f>
        <v>67.123019398292342</v>
      </c>
      <c r="G5022" s="1">
        <v>3.2263588771532388</v>
      </c>
      <c r="H5022" s="1">
        <v>6.7284999423832437</v>
      </c>
      <c r="I5022" s="1">
        <v>51.640298986663261</v>
      </c>
      <c r="J5022" s="1">
        <v>5.48743776163352E-2</v>
      </c>
      <c r="K5022" s="1">
        <v>3.3157539326439252</v>
      </c>
      <c r="L5022" s="1">
        <v>4.3504812569484272</v>
      </c>
      <c r="M5022" s="1">
        <v>0.28533720101393872</v>
      </c>
      <c r="N5022" s="1">
        <v>2.4759164221605094</v>
      </c>
      <c r="O5022" s="1">
        <v>0.22987144278606969</v>
      </c>
      <c r="P5022" s="1">
        <v>0.1517433305639164</v>
      </c>
      <c r="Q5022" s="1">
        <v>5.1562813105188798</v>
      </c>
      <c r="R5022" s="2">
        <f t="shared" si="315"/>
        <v>200.83258938501484</v>
      </c>
      <c r="S5022" s="2">
        <f t="shared" si="314"/>
        <v>3.522371640824177</v>
      </c>
      <c r="T5022" s="2">
        <f t="shared" si="316"/>
        <v>7.3416063229089454</v>
      </c>
      <c r="U5022" s="2">
        <f t="shared" si="317"/>
        <v>211.69656734874798</v>
      </c>
    </row>
    <row r="5023" spans="1:21" x14ac:dyDescent="0.25">
      <c r="A5023">
        <v>5480961</v>
      </c>
      <c r="B5023">
        <v>66</v>
      </c>
      <c r="C5023" s="1">
        <f>5.60805122953654*(10.3/7.3)</f>
        <v>7.9127298170173148</v>
      </c>
      <c r="D5023" s="1">
        <f>9.18577321024968*(10.3/7.3)</f>
        <v>12.960748502133116</v>
      </c>
      <c r="E5023" s="1">
        <f>31.9691673807969*(10.3/7.3)</f>
        <v>45.107181372905238</v>
      </c>
      <c r="F5023" s="1">
        <f>72.2272098446482*(38.9/42.5)</f>
        <v>66.109140304866273</v>
      </c>
      <c r="G5023" s="1">
        <v>3.1745159124585278</v>
      </c>
      <c r="H5023" s="1">
        <v>6.6144475021557492</v>
      </c>
      <c r="I5023" s="1">
        <v>51.103544332306448</v>
      </c>
      <c r="J5023" s="1">
        <v>5.386091401935332E-2</v>
      </c>
      <c r="K5023" s="1">
        <v>3.2315492066391145</v>
      </c>
      <c r="L5023" s="1">
        <v>4.226730410690049</v>
      </c>
      <c r="M5023" s="1">
        <v>0.27198913584840639</v>
      </c>
      <c r="N5023" s="1">
        <v>2.4078247598874114</v>
      </c>
      <c r="O5023" s="1">
        <v>0.22223353535353535</v>
      </c>
      <c r="P5023" s="1">
        <v>0.14718419754136761</v>
      </c>
      <c r="Q5023" s="1">
        <v>5.0734272573538179</v>
      </c>
      <c r="R5023" s="2">
        <f t="shared" si="315"/>
        <v>198.0557350011965</v>
      </c>
      <c r="S5023" s="2">
        <f t="shared" si="314"/>
        <v>3.4325943181998353</v>
      </c>
      <c r="T5023" s="2">
        <f t="shared" si="316"/>
        <v>7.1287778417794021</v>
      </c>
      <c r="U5023" s="2">
        <f t="shared" si="317"/>
        <v>208.61710716117574</v>
      </c>
    </row>
    <row r="5024" spans="1:21" x14ac:dyDescent="0.25">
      <c r="A5024">
        <v>5480969</v>
      </c>
      <c r="B5024">
        <v>65</v>
      </c>
      <c r="C5024" s="1">
        <f>4.67458549168807*(10.3/7.3)</f>
        <v>6.5956480225187848</v>
      </c>
      <c r="D5024" s="1">
        <f>7.55377799107131*(10.3/7.3)</f>
        <v>10.658070316169113</v>
      </c>
      <c r="E5024" s="1">
        <f>26.2995579391717*(10.3/7.3)</f>
        <v>37.107595448420362</v>
      </c>
      <c r="F5024" s="1">
        <f>59.532940430488*(38.9/42.5)</f>
        <v>54.490150182258404</v>
      </c>
      <c r="G5024" s="1">
        <v>2.6165769668367065</v>
      </c>
      <c r="H5024" s="1">
        <v>5.8723024724727226</v>
      </c>
      <c r="I5024" s="1">
        <v>42.287163492770638</v>
      </c>
      <c r="J5024" s="1">
        <v>4.7116795640383992E-2</v>
      </c>
      <c r="K5024" s="1">
        <v>2.8508181747356813</v>
      </c>
      <c r="L5024" s="1">
        <v>3.5626579734172865</v>
      </c>
      <c r="M5024" s="1">
        <v>0.23310582124057416</v>
      </c>
      <c r="N5024" s="1">
        <v>2.1342755671407896</v>
      </c>
      <c r="O5024" s="1">
        <v>0.19178584615384614</v>
      </c>
      <c r="P5024" s="1">
        <v>0.13120233630017664</v>
      </c>
      <c r="Q5024" s="1">
        <v>4.1817440109262503</v>
      </c>
      <c r="R5024" s="2">
        <f t="shared" si="315"/>
        <v>163.80925091237299</v>
      </c>
      <c r="S5024" s="2">
        <f t="shared" si="314"/>
        <v>3.0291373066762421</v>
      </c>
      <c r="T5024" s="2">
        <f t="shared" si="316"/>
        <v>6.1218252079524964</v>
      </c>
      <c r="U5024" s="2">
        <f t="shared" si="317"/>
        <v>172.96021342700172</v>
      </c>
    </row>
    <row r="5025" spans="1:21" x14ac:dyDescent="0.25">
      <c r="A5025">
        <v>5480977</v>
      </c>
      <c r="B5025">
        <v>38</v>
      </c>
      <c r="C5025" s="1">
        <f>6.75251351549944*(10.3/7.3)</f>
        <v>9.5275190698142804</v>
      </c>
      <c r="D5025" s="1">
        <f>10.711206362882*(10.3/7.3)</f>
        <v>15.113071991463674</v>
      </c>
      <c r="E5025" s="1">
        <f>37.2834507053217*(10.3/7.3)</f>
        <v>52.605416748604611</v>
      </c>
      <c r="F5025" s="1">
        <f>86.1082741704639*(38.9/42.5)</f>
        <v>78.814396828965769</v>
      </c>
      <c r="G5025" s="1">
        <v>3.8442083244942431</v>
      </c>
      <c r="H5025" s="1">
        <v>7.7895436473207296</v>
      </c>
      <c r="I5025" s="1">
        <v>61.761955016612113</v>
      </c>
      <c r="J5025" s="1">
        <v>6.0533768126990802E-2</v>
      </c>
      <c r="K5025" s="1">
        <v>3.2900112677328202</v>
      </c>
      <c r="L5025" s="1">
        <v>4.3670284333742364</v>
      </c>
      <c r="M5025" s="1">
        <v>0.26751435436554771</v>
      </c>
      <c r="N5025" s="1">
        <v>2.6663438929917311</v>
      </c>
      <c r="O5025" s="1">
        <v>0.22055578947368418</v>
      </c>
      <c r="P5025" s="1">
        <v>0.1467524914097901</v>
      </c>
      <c r="Q5025" s="1">
        <v>6.1437119341232238</v>
      </c>
      <c r="R5025" s="2">
        <f t="shared" si="315"/>
        <v>235.59982356139867</v>
      </c>
      <c r="S5025" s="2">
        <f t="shared" si="314"/>
        <v>3.497297527269601</v>
      </c>
      <c r="T5025" s="2">
        <f t="shared" si="316"/>
        <v>7.5214424702051996</v>
      </c>
      <c r="U5025" s="2">
        <f t="shared" si="317"/>
        <v>246.61856355887346</v>
      </c>
    </row>
    <row r="5026" spans="1:21" x14ac:dyDescent="0.25">
      <c r="A5026">
        <v>5481169</v>
      </c>
      <c r="B5026">
        <v>36</v>
      </c>
      <c r="C5026" s="1">
        <f>6.65058808003776*(10.3/7.3)</f>
        <v>9.3837064690943688</v>
      </c>
      <c r="D5026" s="1">
        <f>9.41627114196923*(10.3/7.3)</f>
        <v>13.285971611271655</v>
      </c>
      <c r="E5026" s="1">
        <f>32.7215795399592*(10.3/7.3)</f>
        <v>46.168804008435551</v>
      </c>
      <c r="F5026" s="1">
        <f>85.5280670530676*(38.9/42.5)</f>
        <v>78.283336667395957</v>
      </c>
      <c r="G5026" s="1">
        <v>4.1585432857620575</v>
      </c>
      <c r="H5026" s="1">
        <v>7.5655947585547016</v>
      </c>
      <c r="I5026" s="1">
        <v>64.739484710270361</v>
      </c>
      <c r="J5026" s="1">
        <v>3.788143727610907E-2</v>
      </c>
      <c r="K5026" s="1">
        <v>2.2063937278956836</v>
      </c>
      <c r="L5026" s="1">
        <v>2.4173863816180639</v>
      </c>
      <c r="M5026" s="1">
        <v>0.12653782680485148</v>
      </c>
      <c r="N5026" s="1">
        <v>1.6238592142637567</v>
      </c>
      <c r="O5026" s="1">
        <v>0.11555555555555554</v>
      </c>
      <c r="P5026" s="1">
        <v>8.7368364831270084E-2</v>
      </c>
      <c r="Q5026" s="1">
        <v>6.646073744368592</v>
      </c>
      <c r="R5026" s="2">
        <f t="shared" si="315"/>
        <v>230.23151525515325</v>
      </c>
      <c r="S5026" s="2">
        <f t="shared" si="314"/>
        <v>2.3316435300030629</v>
      </c>
      <c r="T5026" s="2">
        <f t="shared" si="316"/>
        <v>4.2833389782422282</v>
      </c>
      <c r="U5026" s="2">
        <f t="shared" si="317"/>
        <v>236.84649776339853</v>
      </c>
    </row>
    <row r="5027" spans="1:21" x14ac:dyDescent="0.25">
      <c r="A5027">
        <v>5481297</v>
      </c>
      <c r="B5027">
        <v>10</v>
      </c>
      <c r="C5027" s="1">
        <f>6.95616640511535*(10.3/7.3)</f>
        <v>9.8148649277654947</v>
      </c>
      <c r="D5027" s="1">
        <f>9.04799285369713*(10.3/7.3)</f>
        <v>12.766346081243894</v>
      </c>
      <c r="E5027" s="1">
        <f>31.5166839679205*(10.3/7.3)</f>
        <v>44.468745872545362</v>
      </c>
      <c r="F5027" s="1">
        <f>84.2463706471908*(38.9/42.5)</f>
        <v>77.110207486487624</v>
      </c>
      <c r="G5027" s="1">
        <v>4.1210913905081057</v>
      </c>
      <c r="H5027" s="1">
        <v>11.355726142272278</v>
      </c>
      <c r="I5027" s="1">
        <v>65.314574634088814</v>
      </c>
      <c r="J5027" s="1">
        <v>3.641687192595093E-2</v>
      </c>
      <c r="K5027" s="1">
        <v>2.1344154476384825</v>
      </c>
      <c r="L5027" s="1">
        <v>2.1809890434812518</v>
      </c>
      <c r="M5027" s="1">
        <v>0.10914250820590972</v>
      </c>
      <c r="N5027" s="1">
        <v>1.4794324247129385</v>
      </c>
      <c r="O5027" s="1">
        <v>0.10277866666666666</v>
      </c>
      <c r="P5027" s="1">
        <v>7.8696946772682866E-2</v>
      </c>
      <c r="Q5027" s="1">
        <v>6.5862191172504039</v>
      </c>
      <c r="R5027" s="2">
        <f t="shared" si="315"/>
        <v>231.537775652162</v>
      </c>
      <c r="S5027" s="2">
        <f t="shared" si="314"/>
        <v>2.2495292663371163</v>
      </c>
      <c r="T5027" s="2">
        <f t="shared" si="316"/>
        <v>3.8723426430667667</v>
      </c>
      <c r="U5027" s="2">
        <f t="shared" si="317"/>
        <v>237.65964756156586</v>
      </c>
    </row>
    <row r="5028" spans="1:21" x14ac:dyDescent="0.25">
      <c r="A5028">
        <v>5481313</v>
      </c>
      <c r="B5028">
        <v>42</v>
      </c>
      <c r="C5028" s="1">
        <f>8.25753746802209*(10.3/7.3)</f>
        <v>11.651046016524317</v>
      </c>
      <c r="D5028" s="1">
        <f>10.1942932252647*(10.3/7.3)</f>
        <v>14.383728797291267</v>
      </c>
      <c r="E5028" s="1">
        <f>35.6335535396736*(10.3/7.3)</f>
        <v>50.27747965186829</v>
      </c>
      <c r="F5028" s="1">
        <f>93.1372002044312*(38.9/42.5)</f>
        <v>85.247931481232271</v>
      </c>
      <c r="G5028" s="1">
        <v>4.451232814813511</v>
      </c>
      <c r="H5028" s="1">
        <v>9.5912302561092186</v>
      </c>
      <c r="I5028" s="1">
        <v>72.904921839076763</v>
      </c>
      <c r="J5028" s="1">
        <v>4.2884241858310114E-2</v>
      </c>
      <c r="K5028" s="1">
        <v>2.468699758344544</v>
      </c>
      <c r="L5028" s="1">
        <v>2.5637674080391228</v>
      </c>
      <c r="M5028" s="1">
        <v>0.1262831896406367</v>
      </c>
      <c r="N5028" s="1">
        <v>1.6642952681540155</v>
      </c>
      <c r="O5028" s="1">
        <v>0.11833015873015877</v>
      </c>
      <c r="P5028" s="1">
        <v>8.9492661735322956E-2</v>
      </c>
      <c r="Q5028" s="1">
        <v>7.1138423981037917</v>
      </c>
      <c r="R5028" s="2">
        <f t="shared" si="315"/>
        <v>255.62141325501943</v>
      </c>
      <c r="S5028" s="2">
        <f t="shared" si="314"/>
        <v>2.6010766619381771</v>
      </c>
      <c r="T5028" s="2">
        <f t="shared" si="316"/>
        <v>4.4726760245639339</v>
      </c>
      <c r="U5028" s="2">
        <f t="shared" si="317"/>
        <v>262.69516594152157</v>
      </c>
    </row>
    <row r="5029" spans="1:21" x14ac:dyDescent="0.25">
      <c r="A5029">
        <v>5481321</v>
      </c>
      <c r="B5029">
        <v>15</v>
      </c>
      <c r="C5029" s="1">
        <f>6.82167653836505*(10.3/7.3)</f>
        <v>9.6251052527616494</v>
      </c>
      <c r="D5029" s="1">
        <f>8.39278210081016*(10.3/7.3)</f>
        <v>11.841870635389684</v>
      </c>
      <c r="E5029" s="1">
        <f>29.2392884959092*(10.3/7.3)</f>
        <v>41.255434453132182</v>
      </c>
      <c r="F5029" s="1">
        <f>81.6245590840741*(38.9/42.5)</f>
        <v>74.710478785187775</v>
      </c>
      <c r="G5029" s="1">
        <v>4.0876511338831394</v>
      </c>
      <c r="H5029" s="1">
        <v>9.4087998948425291</v>
      </c>
      <c r="I5029" s="1">
        <v>64.537272427565725</v>
      </c>
      <c r="J5029" s="1">
        <v>3.5606137128071744E-2</v>
      </c>
      <c r="K5029" s="1">
        <v>2.1141925595734281</v>
      </c>
      <c r="L5029" s="1">
        <v>2.135796182120631</v>
      </c>
      <c r="M5029" s="1">
        <v>0.10684636980724901</v>
      </c>
      <c r="N5029" s="1">
        <v>1.3972628736901642</v>
      </c>
      <c r="O5029" s="1">
        <v>0.10070755555555556</v>
      </c>
      <c r="P5029" s="1">
        <v>7.7701104239586483E-2</v>
      </c>
      <c r="Q5029" s="1">
        <v>6.5327757847447492</v>
      </c>
      <c r="R5029" s="2">
        <f t="shared" si="315"/>
        <v>221.99938836750741</v>
      </c>
      <c r="S5029" s="2">
        <f t="shared" si="314"/>
        <v>2.2274998009410862</v>
      </c>
      <c r="T5029" s="2">
        <f t="shared" si="316"/>
        <v>3.7406129811735997</v>
      </c>
      <c r="U5029" s="2">
        <f t="shared" si="317"/>
        <v>227.96750114962208</v>
      </c>
    </row>
    <row r="5030" spans="1:21" x14ac:dyDescent="0.25">
      <c r="A5030">
        <v>5492677</v>
      </c>
      <c r="B5030">
        <v>60</v>
      </c>
      <c r="C5030" s="1">
        <f>0.635474577690326*(10.3/7.3)</f>
        <v>0.8966285137274459</v>
      </c>
      <c r="D5030" s="1">
        <f>0.956336843315964*(10.3/7.3)</f>
        <v>1.3493519844047168</v>
      </c>
      <c r="E5030" s="1">
        <f>3.30962830176471*(10.3/7.3)</f>
        <v>4.6697495216680096</v>
      </c>
      <c r="F5030" s="1">
        <f>8.9456066432014*(38.9/42.5)</f>
        <v>8.1878611393066887</v>
      </c>
      <c r="G5030" s="1">
        <v>0.44831760515467867</v>
      </c>
      <c r="H5030" s="1">
        <v>1.8050160607497145</v>
      </c>
      <c r="I5030" s="1">
        <v>6.7210646014103608</v>
      </c>
      <c r="J5030" s="1">
        <v>3.9981445962264842E-2</v>
      </c>
      <c r="K5030" s="1">
        <v>3.7133525659459412</v>
      </c>
      <c r="L5030" s="1">
        <v>2.0003958759445113</v>
      </c>
      <c r="M5030" s="1">
        <v>0.94576106616599698</v>
      </c>
      <c r="N5030" s="1">
        <v>1.331567976732307</v>
      </c>
      <c r="O5030" s="1">
        <v>0.40585333333333334</v>
      </c>
      <c r="P5030" s="1">
        <v>0.14898064265375469</v>
      </c>
      <c r="Q5030" s="1">
        <v>0.7164893233065649</v>
      </c>
      <c r="R5030" s="2">
        <f t="shared" si="315"/>
        <v>24.794478749728182</v>
      </c>
      <c r="S5030" s="2">
        <f t="shared" si="314"/>
        <v>3.9023146545619607</v>
      </c>
      <c r="T5030" s="2">
        <f t="shared" si="316"/>
        <v>4.6835782521761482</v>
      </c>
      <c r="U5030" s="2">
        <f t="shared" si="317"/>
        <v>33.380371656466288</v>
      </c>
    </row>
    <row r="5031" spans="1:21" x14ac:dyDescent="0.25">
      <c r="A5031">
        <v>5492685</v>
      </c>
      <c r="B5031">
        <v>60</v>
      </c>
      <c r="C5031" s="1">
        <f>0.839546023082115*(10.3/7.3)</f>
        <v>1.1845649366775048</v>
      </c>
      <c r="D5031" s="1">
        <f>1.29807285213925*(10.3/7.3)</f>
        <v>1.8315274489088051</v>
      </c>
      <c r="E5031" s="1">
        <f>4.47960826248724*(10.3/7.3)</f>
        <v>6.3205431648792594</v>
      </c>
      <c r="F5031" s="1">
        <f>12.5252013738086*(38.9/42.5)</f>
        <v>11.464243139791838</v>
      </c>
      <c r="G5031" s="1">
        <v>0.64356220937003472</v>
      </c>
      <c r="H5031" s="1">
        <v>2.4899448937467534</v>
      </c>
      <c r="I5031" s="1">
        <v>9.4178067145118014</v>
      </c>
      <c r="J5031" s="1">
        <v>5.3811744288542393E-2</v>
      </c>
      <c r="K5031" s="1">
        <v>4.7698729043568369</v>
      </c>
      <c r="L5031" s="1">
        <v>2.603830076523546</v>
      </c>
      <c r="M5031" s="1">
        <v>1.3375399031638022</v>
      </c>
      <c r="N5031" s="1">
        <v>1.6604501090213013</v>
      </c>
      <c r="O5031" s="1">
        <v>0.53764711111111119</v>
      </c>
      <c r="P5031" s="1">
        <v>0.17390326754812424</v>
      </c>
      <c r="Q5031" s="1">
        <v>1.0285240789018826</v>
      </c>
      <c r="R5031" s="2">
        <f t="shared" si="315"/>
        <v>34.380716586787877</v>
      </c>
      <c r="S5031" s="2">
        <f t="shared" si="314"/>
        <v>4.9975879161935035</v>
      </c>
      <c r="T5031" s="2">
        <f t="shared" si="316"/>
        <v>6.1394671998197605</v>
      </c>
      <c r="U5031" s="2">
        <f t="shared" si="317"/>
        <v>45.517771702801141</v>
      </c>
    </row>
    <row r="5032" spans="1:21" x14ac:dyDescent="0.25">
      <c r="A5032">
        <v>5492693</v>
      </c>
      <c r="B5032">
        <v>45</v>
      </c>
      <c r="C5032" s="1">
        <f>0.994782467500245*(10.3/7.3)</f>
        <v>1.4035971801715783</v>
      </c>
      <c r="D5032" s="1">
        <f>1.57230522419817*(10.3/7.3)</f>
        <v>2.2184580560604301</v>
      </c>
      <c r="E5032" s="1">
        <f>5.41014357722406*(10.3/7.3)</f>
        <v>7.6334902527955872</v>
      </c>
      <c r="F5032" s="1">
        <f>15.7160290213191*(38.9/42.5)</f>
        <v>14.384788915983831</v>
      </c>
      <c r="G5032" s="1">
        <v>0.82838847481014677</v>
      </c>
      <c r="H5032" s="1">
        <v>3.0158695246254701</v>
      </c>
      <c r="I5032" s="1">
        <v>11.850405006422882</v>
      </c>
      <c r="J5032" s="1">
        <v>7.5030214703471737E-2</v>
      </c>
      <c r="K5032" s="1">
        <v>5.5659615145120114</v>
      </c>
      <c r="L5032" s="1">
        <v>3.2859623749084328</v>
      </c>
      <c r="M5032" s="1">
        <v>1.6914109297055098</v>
      </c>
      <c r="N5032" s="1">
        <v>2.2504858561808407</v>
      </c>
      <c r="O5032" s="1">
        <v>0.67758577777777773</v>
      </c>
      <c r="P5032" s="1">
        <v>0.18776913017605146</v>
      </c>
      <c r="Q5032" s="1">
        <v>1.3239085213860804</v>
      </c>
      <c r="R5032" s="2">
        <f t="shared" si="315"/>
        <v>42.658905932256012</v>
      </c>
      <c r="S5032" s="2">
        <f t="shared" si="314"/>
        <v>5.8287608593915348</v>
      </c>
      <c r="T5032" s="2">
        <f t="shared" si="316"/>
        <v>7.905444938572562</v>
      </c>
      <c r="U5032" s="2">
        <f t="shared" si="317"/>
        <v>56.393111730220113</v>
      </c>
    </row>
    <row r="5033" spans="1:21" x14ac:dyDescent="0.25">
      <c r="A5033">
        <v>5493141</v>
      </c>
      <c r="B5033">
        <v>17</v>
      </c>
      <c r="C5033" s="1">
        <f>4.09130029692889*(10.3/7.3)</f>
        <v>5.7726565833380281</v>
      </c>
      <c r="D5033" s="1">
        <f>6.57854142153291*(10.3/7.3)</f>
        <v>9.2820515947656155</v>
      </c>
      <c r="E5033" s="1">
        <f>22.8410856545262*(10.3/7.3)</f>
        <v>32.227833183783488</v>
      </c>
      <c r="F5033" s="1">
        <f>55.1064962844759*(38.9/42.5)</f>
        <v>50.438651893320312</v>
      </c>
      <c r="G5033" s="1">
        <v>2.5570909037317531</v>
      </c>
      <c r="H5033" s="1">
        <v>12.634312831050384</v>
      </c>
      <c r="I5033" s="1">
        <v>39.814210912565535</v>
      </c>
      <c r="J5033" s="1">
        <v>4.665926691525725E-2</v>
      </c>
      <c r="K5033" s="1">
        <v>3.197317293374351</v>
      </c>
      <c r="L5033" s="1">
        <v>3.3574997763922414</v>
      </c>
      <c r="M5033" s="1">
        <v>0.25359982029147704</v>
      </c>
      <c r="N5033" s="1">
        <v>2.0951109614107146</v>
      </c>
      <c r="O5033" s="1">
        <v>0.20217411764705881</v>
      </c>
      <c r="P5033" s="1">
        <v>0.13578559842587035</v>
      </c>
      <c r="Q5033" s="1">
        <v>4.0866749603018926</v>
      </c>
      <c r="R5033" s="2">
        <f t="shared" si="315"/>
        <v>156.81348286285703</v>
      </c>
      <c r="S5033" s="2">
        <f t="shared" si="314"/>
        <v>3.3797621587154789</v>
      </c>
      <c r="T5033" s="2">
        <f t="shared" si="316"/>
        <v>5.908384675741492</v>
      </c>
      <c r="U5033" s="2">
        <f t="shared" si="317"/>
        <v>166.101629697314</v>
      </c>
    </row>
    <row r="5034" spans="1:21" x14ac:dyDescent="0.25">
      <c r="A5034">
        <v>5493149</v>
      </c>
      <c r="B5034">
        <v>60</v>
      </c>
      <c r="C5034" s="1">
        <f>2.90375969359902*(10.3/7.3)</f>
        <v>4.0970855950780765</v>
      </c>
      <c r="D5034" s="1">
        <f>5.18659601332581*(10.3/7.3)</f>
        <v>7.3180738270213421</v>
      </c>
      <c r="E5034" s="1">
        <f>17.9731457486252*(10.3/7.3)</f>
        <v>25.359370028882147</v>
      </c>
      <c r="F5034" s="1">
        <f>41.9052052830781*(38.9/42.5)</f>
        <v>38.355587894393842</v>
      </c>
      <c r="G5034" s="1">
        <v>1.913229741202461</v>
      </c>
      <c r="H5034" s="1">
        <v>5.0180266105826812</v>
      </c>
      <c r="I5034" s="1">
        <v>29.290519206420999</v>
      </c>
      <c r="J5034" s="1">
        <v>3.7563244141026103E-2</v>
      </c>
      <c r="K5034" s="1">
        <v>2.5209640471244286</v>
      </c>
      <c r="L5034" s="1">
        <v>2.8686699233936772</v>
      </c>
      <c r="M5034" s="1">
        <v>0.21707930608935549</v>
      </c>
      <c r="N5034" s="1">
        <v>1.8490491553469939</v>
      </c>
      <c r="O5034" s="1">
        <v>0.17255999999999996</v>
      </c>
      <c r="P5034" s="1">
        <v>0.12056968072026453</v>
      </c>
      <c r="Q5034" s="1">
        <v>3.0576731023783639</v>
      </c>
      <c r="R5034" s="2">
        <f t="shared" si="315"/>
        <v>114.40956600595989</v>
      </c>
      <c r="S5034" s="2">
        <f t="shared" si="314"/>
        <v>2.6790969719857189</v>
      </c>
      <c r="T5034" s="2">
        <f t="shared" si="316"/>
        <v>5.1073583848300261</v>
      </c>
      <c r="U5034" s="2">
        <f t="shared" si="317"/>
        <v>122.19602136277562</v>
      </c>
    </row>
    <row r="5035" spans="1:21" x14ac:dyDescent="0.25">
      <c r="A5035">
        <v>5493157</v>
      </c>
      <c r="B5035">
        <v>60</v>
      </c>
      <c r="C5035" s="1">
        <f>5.27710091173824*(10.3/7.3)</f>
        <v>7.4457725193018938</v>
      </c>
      <c r="D5035" s="1">
        <f>9.48328471673016*(10.3/7.3)</f>
        <v>13.380525011276795</v>
      </c>
      <c r="E5035" s="1">
        <f>32.8780931684566*(10.3/7.3)</f>
        <v>46.389638306178504</v>
      </c>
      <c r="F5035" s="1">
        <f>75.5400568956006*(38.9/42.5)</f>
        <v>69.141369723267402</v>
      </c>
      <c r="G5035" s="1">
        <v>3.4082953321812681</v>
      </c>
      <c r="H5035" s="1">
        <v>7.1303318589011946</v>
      </c>
      <c r="I5035" s="1">
        <v>52.509493131459799</v>
      </c>
      <c r="J5035" s="1">
        <v>5.6123724575725453E-2</v>
      </c>
      <c r="K5035" s="1">
        <v>3.4187846883143886</v>
      </c>
      <c r="L5035" s="1">
        <v>4.4667675009084089</v>
      </c>
      <c r="M5035" s="1">
        <v>0.30987123231615399</v>
      </c>
      <c r="N5035" s="1">
        <v>3.3710269166295239</v>
      </c>
      <c r="O5035" s="1">
        <v>0.24578488888888891</v>
      </c>
      <c r="P5035" s="1">
        <v>0.15770023130298863</v>
      </c>
      <c r="Q5035" s="1">
        <v>5.44704733453628</v>
      </c>
      <c r="R5035" s="2">
        <f t="shared" si="315"/>
        <v>204.85247321710315</v>
      </c>
      <c r="S5035" s="2">
        <f t="shared" si="314"/>
        <v>3.6326086441931027</v>
      </c>
      <c r="T5035" s="2">
        <f t="shared" si="316"/>
        <v>8.3934505387429752</v>
      </c>
      <c r="U5035" s="2">
        <f t="shared" si="317"/>
        <v>216.87853240003923</v>
      </c>
    </row>
    <row r="5036" spans="1:21" x14ac:dyDescent="0.25">
      <c r="A5036">
        <v>5493165</v>
      </c>
      <c r="B5036">
        <v>59</v>
      </c>
      <c r="C5036" s="1">
        <f>2.96116456911093*(10.3/7.3)</f>
        <v>4.1780815153209048</v>
      </c>
      <c r="D5036" s="1">
        <f>5.19811596726628*(10.3/7.3)</f>
        <v>7.3343280086085887</v>
      </c>
      <c r="E5036" s="1">
        <f>18.052913621473*(10.3/7.3)</f>
        <v>25.471919219338563</v>
      </c>
      <c r="F5036" s="1">
        <f>40.5795481489215*(38.9/42.5)</f>
        <v>37.142221717483416</v>
      </c>
      <c r="G5036" s="1">
        <v>1.7908253083351573</v>
      </c>
      <c r="H5036" s="1">
        <v>4.6647456524856921</v>
      </c>
      <c r="I5036" s="1">
        <v>28.187180654986896</v>
      </c>
      <c r="J5036" s="1">
        <v>3.6755206294687516E-2</v>
      </c>
      <c r="K5036" s="1">
        <v>2.4944962088183429</v>
      </c>
      <c r="L5036" s="1">
        <v>2.8523991921579328</v>
      </c>
      <c r="M5036" s="1">
        <v>0.21347366851055216</v>
      </c>
      <c r="N5036" s="1">
        <v>1.8283260089373501</v>
      </c>
      <c r="O5036" s="1">
        <v>0.17205062146892655</v>
      </c>
      <c r="P5036" s="1">
        <v>0.12187180765320621</v>
      </c>
      <c r="Q5036" s="1">
        <v>2.8620495795310763</v>
      </c>
      <c r="R5036" s="2">
        <f t="shared" si="315"/>
        <v>111.6313516560903</v>
      </c>
      <c r="S5036" s="2">
        <f t="shared" si="314"/>
        <v>2.6531232227662365</v>
      </c>
      <c r="T5036" s="2">
        <f t="shared" si="316"/>
        <v>5.0662494910747622</v>
      </c>
      <c r="U5036" s="2">
        <f t="shared" si="317"/>
        <v>119.3507243699313</v>
      </c>
    </row>
    <row r="5037" spans="1:21" x14ac:dyDescent="0.25">
      <c r="A5037">
        <v>5493173</v>
      </c>
      <c r="B5037">
        <v>23</v>
      </c>
      <c r="C5037" s="1">
        <f>3.80041383495692*(10.3/7.3)</f>
        <v>5.3622277397337363</v>
      </c>
      <c r="D5037" s="1">
        <f>6.57737628558134*(10.3/7.3)</f>
        <v>9.280407635820243</v>
      </c>
      <c r="E5037" s="1">
        <f>22.8521986817701*(10.3/7.3)</f>
        <v>32.243513208524931</v>
      </c>
      <c r="F5037" s="1">
        <f>51.4420157732166*(38.9/42.5)</f>
        <v>47.084574437132396</v>
      </c>
      <c r="G5037" s="1">
        <v>2.2692413530782112</v>
      </c>
      <c r="H5037" s="1">
        <v>5.4088587011702813</v>
      </c>
      <c r="I5037" s="1">
        <v>35.870012258884259</v>
      </c>
      <c r="J5037" s="1">
        <v>3.9965813753640431E-2</v>
      </c>
      <c r="K5037" s="1">
        <v>2.6425221379569557</v>
      </c>
      <c r="L5037" s="1">
        <v>3.1767420074794326</v>
      </c>
      <c r="M5037" s="1">
        <v>0.22710895112148075</v>
      </c>
      <c r="N5037" s="1">
        <v>2.1054884539539427</v>
      </c>
      <c r="O5037" s="1">
        <v>0.18528695652173913</v>
      </c>
      <c r="P5037" s="1">
        <v>0.12635406459549853</v>
      </c>
      <c r="Q5037" s="1">
        <v>3.6266414318601581</v>
      </c>
      <c r="R5037" s="2">
        <f t="shared" si="315"/>
        <v>141.14547676620421</v>
      </c>
      <c r="S5037" s="2">
        <f t="shared" si="314"/>
        <v>2.8088420163060945</v>
      </c>
      <c r="T5037" s="2">
        <f t="shared" si="316"/>
        <v>5.6946263690765946</v>
      </c>
      <c r="U5037" s="2">
        <f t="shared" si="317"/>
        <v>149.6489451515869</v>
      </c>
    </row>
    <row r="5038" spans="1:21" x14ac:dyDescent="0.25">
      <c r="A5038">
        <v>5493181</v>
      </c>
      <c r="B5038">
        <v>60</v>
      </c>
      <c r="C5038" s="1">
        <f>3.32004765183091*(10.3/7.3)</f>
        <v>4.6844507964189495</v>
      </c>
      <c r="D5038" s="1">
        <f>5.59406552610591*(10.3/7.3)</f>
        <v>7.8929965642316304</v>
      </c>
      <c r="E5038" s="1">
        <f>19.4580177988701*(10.3/7.3)</f>
        <v>27.454463469638679</v>
      </c>
      <c r="F5038" s="1">
        <f>43.5589426327517*(38.9/42.5)</f>
        <v>39.869243962683313</v>
      </c>
      <c r="G5038" s="1">
        <v>1.9053435630358242</v>
      </c>
      <c r="H5038" s="1">
        <v>4.7125737233622802</v>
      </c>
      <c r="I5038" s="1">
        <v>30.526872448928042</v>
      </c>
      <c r="J5038" s="1">
        <v>3.8464924939435E-2</v>
      </c>
      <c r="K5038" s="1">
        <v>2.5409674784930902</v>
      </c>
      <c r="L5038" s="1">
        <v>3.0100449640786677</v>
      </c>
      <c r="M5038" s="1">
        <v>0.21557642739100977</v>
      </c>
      <c r="N5038" s="1">
        <v>1.8296140039136781</v>
      </c>
      <c r="O5038" s="1">
        <v>0.1727822222222222</v>
      </c>
      <c r="P5038" s="1">
        <v>0.12212361566309196</v>
      </c>
      <c r="Q5038" s="1">
        <v>3.0450696212901329</v>
      </c>
      <c r="R5038" s="2">
        <f t="shared" si="315"/>
        <v>120.09101414958887</v>
      </c>
      <c r="S5038" s="2">
        <f t="shared" si="314"/>
        <v>2.7015560190956172</v>
      </c>
      <c r="T5038" s="2">
        <f t="shared" si="316"/>
        <v>5.2280176176055786</v>
      </c>
      <c r="U5038" s="2">
        <f t="shared" si="317"/>
        <v>128.02058778629006</v>
      </c>
    </row>
    <row r="5039" spans="1:21" x14ac:dyDescent="0.25">
      <c r="A5039">
        <v>5493189</v>
      </c>
      <c r="B5039">
        <v>59</v>
      </c>
      <c r="C5039" s="1">
        <f>6.09690246233865*(10.3/7.3)</f>
        <v>8.6024788167243997</v>
      </c>
      <c r="D5039" s="1">
        <f>10.1114540397969*(10.3/7.3)</f>
        <v>14.26684611094638</v>
      </c>
      <c r="E5039" s="1">
        <f>35.1714516829292*(10.3/7.3)</f>
        <v>49.625472922489088</v>
      </c>
      <c r="F5039" s="1">
        <f>79.676222889629*(38.9/42.5)</f>
        <v>72.927178127213338</v>
      </c>
      <c r="G5039" s="1">
        <v>3.5161097747181445</v>
      </c>
      <c r="H5039" s="1">
        <v>7.0937064347345675</v>
      </c>
      <c r="I5039" s="1">
        <v>56.239380832082958</v>
      </c>
      <c r="J5039" s="1">
        <v>5.7917142212551766E-2</v>
      </c>
      <c r="K5039" s="1">
        <v>3.4428238137513332</v>
      </c>
      <c r="L5039" s="1">
        <v>4.5763508061000193</v>
      </c>
      <c r="M5039" s="1">
        <v>0.29578715492813312</v>
      </c>
      <c r="N5039" s="1">
        <v>2.5833939894419338</v>
      </c>
      <c r="O5039" s="1">
        <v>0.23839005649717521</v>
      </c>
      <c r="P5039" s="1">
        <v>0.15617899808072169</v>
      </c>
      <c r="Q5039" s="1">
        <v>5.6193535212390495</v>
      </c>
      <c r="R5039" s="2">
        <f t="shared" si="315"/>
        <v>217.89052654014793</v>
      </c>
      <c r="S5039" s="2">
        <f t="shared" si="314"/>
        <v>3.6569199540446067</v>
      </c>
      <c r="T5039" s="2">
        <f t="shared" si="316"/>
        <v>7.6939220069672611</v>
      </c>
      <c r="U5039" s="2">
        <f t="shared" si="317"/>
        <v>229.2413685011598</v>
      </c>
    </row>
    <row r="5040" spans="1:21" x14ac:dyDescent="0.25">
      <c r="A5040">
        <v>5493197</v>
      </c>
      <c r="B5040">
        <v>60</v>
      </c>
      <c r="C5040" s="1">
        <f>5.33743548226605*(10.3/7.3)</f>
        <v>7.5309021188137413</v>
      </c>
      <c r="D5040" s="1">
        <f>8.70453284603734*(10.3/7.3)</f>
        <v>12.28173812523077</v>
      </c>
      <c r="E5040" s="1">
        <f>30.2927773929777*(10.3/7.3)</f>
        <v>42.74186399283149</v>
      </c>
      <c r="F5040" s="1">
        <f>68.7509185978127*(38.9/42.5)</f>
        <v>62.927311375409744</v>
      </c>
      <c r="G5040" s="1">
        <v>3.0325126836694731</v>
      </c>
      <c r="H5040" s="1">
        <v>6.4610339727721726</v>
      </c>
      <c r="I5040" s="1">
        <v>48.754967108078674</v>
      </c>
      <c r="J5040" s="1">
        <v>5.2071182107331422E-2</v>
      </c>
      <c r="K5040" s="1">
        <v>3.1274939661739274</v>
      </c>
      <c r="L5040" s="1">
        <v>4.0328958895695566</v>
      </c>
      <c r="M5040" s="1">
        <v>0.26174829648189318</v>
      </c>
      <c r="N5040" s="1">
        <v>2.3377866603765116</v>
      </c>
      <c r="O5040" s="1">
        <v>0.21338577777777776</v>
      </c>
      <c r="P5040" s="1">
        <v>0.14260307545267567</v>
      </c>
      <c r="Q5040" s="1">
        <v>4.8464814579192552</v>
      </c>
      <c r="R5040" s="2">
        <f t="shared" si="315"/>
        <v>188.57681083472534</v>
      </c>
      <c r="S5040" s="2">
        <f t="shared" si="314"/>
        <v>3.3221682237339345</v>
      </c>
      <c r="T5040" s="2">
        <f t="shared" si="316"/>
        <v>6.8458166242057397</v>
      </c>
      <c r="U5040" s="2">
        <f t="shared" si="317"/>
        <v>198.74479568266503</v>
      </c>
    </row>
    <row r="5041" spans="1:21" x14ac:dyDescent="0.25">
      <c r="A5041">
        <v>5493205</v>
      </c>
      <c r="B5041">
        <v>60</v>
      </c>
      <c r="C5041" s="1">
        <f>6.15251311201936*(10.3/7.3)</f>
        <v>8.6809431580547134</v>
      </c>
      <c r="D5041" s="1">
        <f>9.84135103671983*(10.3/7.3)</f>
        <v>13.885741873727978</v>
      </c>
      <c r="E5041" s="1">
        <f>34.2570394065474*(10.3/7.3)</f>
        <v>48.335274779101127</v>
      </c>
      <c r="F5041" s="1">
        <f>78.5293856317516*(38.9/42.5)</f>
        <v>71.877484731179692</v>
      </c>
      <c r="G5041" s="1">
        <v>3.4864060492603346</v>
      </c>
      <c r="H5041" s="1">
        <v>7.3657478029557746</v>
      </c>
      <c r="I5041" s="1">
        <v>56.103714058610663</v>
      </c>
      <c r="J5041" s="1">
        <v>5.8007141283429438E-2</v>
      </c>
      <c r="K5041" s="1">
        <v>3.3138274747282703</v>
      </c>
      <c r="L5041" s="1">
        <v>4.3624777437158224</v>
      </c>
      <c r="M5041" s="1">
        <v>0.27373638486941909</v>
      </c>
      <c r="N5041" s="1">
        <v>2.595439635100862</v>
      </c>
      <c r="O5041" s="1">
        <v>0.22222755555555559</v>
      </c>
      <c r="P5041" s="1">
        <v>0.14807510405706567</v>
      </c>
      <c r="Q5041" s="1">
        <v>5.571881813886387</v>
      </c>
      <c r="R5041" s="2">
        <f t="shared" si="315"/>
        <v>215.30719426677669</v>
      </c>
      <c r="S5041" s="2">
        <f t="shared" si="314"/>
        <v>3.5199097200687652</v>
      </c>
      <c r="T5041" s="2">
        <f t="shared" si="316"/>
        <v>7.4538813192416598</v>
      </c>
      <c r="U5041" s="2">
        <f t="shared" si="317"/>
        <v>226.28098530608713</v>
      </c>
    </row>
    <row r="5042" spans="1:21" x14ac:dyDescent="0.25">
      <c r="A5042">
        <v>5493213</v>
      </c>
      <c r="B5042">
        <v>17</v>
      </c>
      <c r="C5042" s="1">
        <f>4.68552824368944*(10.3/7.3)</f>
        <v>6.6110877958905823</v>
      </c>
      <c r="D5042" s="1">
        <f>7.49232390025038*(10.3/7.3)</f>
        <v>10.571361119531366</v>
      </c>
      <c r="E5042" s="1">
        <f>26.0360926876882*(10.3/7.3)</f>
        <v>36.735856805916249</v>
      </c>
      <c r="F5042" s="1">
        <f>61.9410044453026*(38.9/42.5)</f>
        <v>56.694237009935748</v>
      </c>
      <c r="G5042" s="1">
        <v>2.8394028280163912</v>
      </c>
      <c r="H5042" s="1">
        <v>8.7958654959135405</v>
      </c>
      <c r="I5042" s="1">
        <v>44.661511080424837</v>
      </c>
      <c r="J5042" s="1">
        <v>4.8332087596485336E-2</v>
      </c>
      <c r="K5042" s="1">
        <v>2.7222742816594745</v>
      </c>
      <c r="L5042" s="1">
        <v>3.340873470320191</v>
      </c>
      <c r="M5042" s="1">
        <v>0.21764942151957922</v>
      </c>
      <c r="N5042" s="1">
        <v>2.9080645350450798</v>
      </c>
      <c r="O5042" s="1">
        <v>0.1792972549019608</v>
      </c>
      <c r="P5042" s="1">
        <v>0.12329340053316643</v>
      </c>
      <c r="Q5042" s="1">
        <v>4.5378584009394434</v>
      </c>
      <c r="R5042" s="2">
        <f t="shared" si="315"/>
        <v>171.44718053656817</v>
      </c>
      <c r="S5042" s="2">
        <f t="shared" si="314"/>
        <v>2.8938997697891264</v>
      </c>
      <c r="T5042" s="2">
        <f t="shared" si="316"/>
        <v>6.6458846817868107</v>
      </c>
      <c r="U5042" s="2">
        <f t="shared" si="317"/>
        <v>180.98696498814411</v>
      </c>
    </row>
    <row r="5043" spans="1:21" x14ac:dyDescent="0.25">
      <c r="A5043">
        <v>5493253</v>
      </c>
      <c r="B5043">
        <v>30</v>
      </c>
      <c r="C5043" s="1">
        <f>4.05607099613855*(10.3/7.3)</f>
        <v>5.7229494877023326</v>
      </c>
      <c r="D5043" s="1">
        <f>11.0016376230114*(10.3/7.3)</f>
        <v>15.522858563974937</v>
      </c>
      <c r="E5043" s="1">
        <f>38.0806290250675*(10.3/7.3)</f>
        <v>53.730202597013012</v>
      </c>
      <c r="F5043" s="1">
        <f>69.8267549457584*(38.9/42.5)</f>
        <v>63.912018056235368</v>
      </c>
      <c r="G5043" s="1">
        <v>2.6137762937602589</v>
      </c>
      <c r="H5043" s="1">
        <v>8.6957779059057536</v>
      </c>
      <c r="I5043" s="1">
        <v>40.297770798123516</v>
      </c>
      <c r="J5043" s="1">
        <v>3.6140780801481261E-2</v>
      </c>
      <c r="K5043" s="1">
        <v>2.039762184377337</v>
      </c>
      <c r="L5043" s="1">
        <v>2.8823349141665249</v>
      </c>
      <c r="M5043" s="1">
        <v>0.1508648517676637</v>
      </c>
      <c r="N5043" s="1">
        <v>1.7306006449973048</v>
      </c>
      <c r="O5043" s="1">
        <v>0.12472711111111109</v>
      </c>
      <c r="P5043" s="1">
        <v>9.3560639446196539E-2</v>
      </c>
      <c r="Q5043" s="1">
        <v>4.1772680493885463</v>
      </c>
      <c r="R5043" s="2">
        <f t="shared" si="315"/>
        <v>194.67262175210371</v>
      </c>
      <c r="S5043" s="2">
        <f t="shared" si="314"/>
        <v>2.1694636046250149</v>
      </c>
      <c r="T5043" s="2">
        <f t="shared" si="316"/>
        <v>4.8885275220426045</v>
      </c>
      <c r="U5043" s="2">
        <f t="shared" si="317"/>
        <v>201.73061287877132</v>
      </c>
    </row>
    <row r="5044" spans="1:21" x14ac:dyDescent="0.25">
      <c r="A5044">
        <v>5493541</v>
      </c>
      <c r="B5044">
        <v>38</v>
      </c>
      <c r="C5044" s="1">
        <f>8.21780810985375*(10.3/7.3)</f>
        <v>11.594989524862145</v>
      </c>
      <c r="D5044" s="1">
        <f>10.2663833078092*(10.3/7.3)</f>
        <v>14.485444941155382</v>
      </c>
      <c r="E5044" s="1">
        <f>35.8622887475932*(10.3/7.3)</f>
        <v>50.600215630165735</v>
      </c>
      <c r="F5044" s="1">
        <f>93.9354434446446*(38.9/42.5)</f>
        <v>85.978558823451223</v>
      </c>
      <c r="G5044" s="1">
        <v>4.5037616212878868</v>
      </c>
      <c r="H5044" s="1">
        <v>9.846453442253841</v>
      </c>
      <c r="I5044" s="1">
        <v>73.330577547072551</v>
      </c>
      <c r="J5044" s="1">
        <v>4.2659383962965196E-2</v>
      </c>
      <c r="K5044" s="1">
        <v>2.4562147606528062</v>
      </c>
      <c r="L5044" s="1">
        <v>2.5539858596436975</v>
      </c>
      <c r="M5044" s="1">
        <v>0.12623552009687541</v>
      </c>
      <c r="N5044" s="1">
        <v>1.6733297405744338</v>
      </c>
      <c r="O5044" s="1">
        <v>0.11853894736842101</v>
      </c>
      <c r="P5044" s="1">
        <v>8.9322839144111904E-2</v>
      </c>
      <c r="Q5044" s="1">
        <v>7.1977925454372693</v>
      </c>
      <c r="R5044" s="2">
        <f t="shared" si="315"/>
        <v>257.53779407568601</v>
      </c>
      <c r="S5044" s="2">
        <f t="shared" si="314"/>
        <v>2.5881969837598833</v>
      </c>
      <c r="T5044" s="2">
        <f t="shared" si="316"/>
        <v>4.4720900676834274</v>
      </c>
      <c r="U5044" s="2">
        <f t="shared" si="317"/>
        <v>264.59808112712932</v>
      </c>
    </row>
    <row r="5045" spans="1:21" x14ac:dyDescent="0.25">
      <c r="A5045">
        <v>5493549</v>
      </c>
      <c r="B5045">
        <v>21</v>
      </c>
      <c r="C5045" s="1">
        <f>7.09035281144145*(10.3/7.3)</f>
        <v>10.004196432581768</v>
      </c>
      <c r="D5045" s="1">
        <f>8.76231466714939*(10.3/7.3)</f>
        <v>12.363265900224487</v>
      </c>
      <c r="E5045" s="1">
        <f>30.5908178855584*(10.3/7.3)</f>
        <v>43.162386879623554</v>
      </c>
      <c r="F5045" s="1">
        <f>81.7911775646929*(38.9/42.5)</f>
        <v>74.862983700389492</v>
      </c>
      <c r="G5045" s="1">
        <v>3.9759417724089938</v>
      </c>
      <c r="H5045" s="1">
        <v>8.8033646318925793</v>
      </c>
      <c r="I5045" s="1">
        <v>64.215721532515673</v>
      </c>
      <c r="J5045" s="1">
        <v>3.7701067440206994E-2</v>
      </c>
      <c r="K5045" s="1">
        <v>2.2267238870375894</v>
      </c>
      <c r="L5045" s="1">
        <v>2.2770896290420728</v>
      </c>
      <c r="M5045" s="1">
        <v>0.11398411057003142</v>
      </c>
      <c r="N5045" s="1">
        <v>1.4778732618140762</v>
      </c>
      <c r="O5045" s="1">
        <v>0.10631111111111112</v>
      </c>
      <c r="P5045" s="1">
        <v>8.1640515714449607E-2</v>
      </c>
      <c r="Q5045" s="1">
        <v>6.3542448417495407</v>
      </c>
      <c r="R5045" s="2">
        <f t="shared" si="315"/>
        <v>223.74210569138606</v>
      </c>
      <c r="S5045" s="2">
        <f t="shared" si="314"/>
        <v>2.3460654701922459</v>
      </c>
      <c r="T5045" s="2">
        <f t="shared" si="316"/>
        <v>3.9752581125372917</v>
      </c>
      <c r="U5045" s="2">
        <f t="shared" si="317"/>
        <v>230.06342927411561</v>
      </c>
    </row>
    <row r="5046" spans="1:21" x14ac:dyDescent="0.25">
      <c r="A5046">
        <v>5504905</v>
      </c>
      <c r="B5046">
        <v>37</v>
      </c>
      <c r="C5046" s="1">
        <f>0.616426541147972*(10.3/7.3)</f>
        <v>0.86975251696220746</v>
      </c>
      <c r="D5046" s="1">
        <f>0.92533355667772*(10.3/7.3)</f>
        <v>1.3056076210658241</v>
      </c>
      <c r="E5046" s="1">
        <f>3.20314465242248*(10.3/7.3)</f>
        <v>4.5195054684865097</v>
      </c>
      <c r="F5046" s="1">
        <f>8.63194478100635*(38.9/42.5)</f>
        <v>7.9007682819093397</v>
      </c>
      <c r="G5046" s="1">
        <v>0.43160694972888175</v>
      </c>
      <c r="H5046" s="1">
        <v>1.7268334853364171</v>
      </c>
      <c r="I5046" s="1">
        <v>6.4852421650454071</v>
      </c>
      <c r="J5046" s="1">
        <v>3.7675062116794014E-2</v>
      </c>
      <c r="K5046" s="1">
        <v>3.6023298289943999</v>
      </c>
      <c r="L5046" s="1">
        <v>1.9629306451569322</v>
      </c>
      <c r="M5046" s="1">
        <v>0.88782162612538085</v>
      </c>
      <c r="N5046" s="1">
        <v>1.7791015108956276</v>
      </c>
      <c r="O5046" s="1">
        <v>0.39913945945945944</v>
      </c>
      <c r="P5046" s="1">
        <v>0.14638183229312784</v>
      </c>
      <c r="Q5046" s="1">
        <v>0.68978279637035989</v>
      </c>
      <c r="R5046" s="2">
        <f t="shared" si="315"/>
        <v>23.929099284904947</v>
      </c>
      <c r="S5046" s="2">
        <f t="shared" si="314"/>
        <v>3.7863867234043216</v>
      </c>
      <c r="T5046" s="2">
        <f t="shared" si="316"/>
        <v>5.0289932416374006</v>
      </c>
      <c r="U5046" s="2">
        <f t="shared" si="317"/>
        <v>32.744479249946671</v>
      </c>
    </row>
    <row r="5047" spans="1:21" x14ac:dyDescent="0.25">
      <c r="A5047">
        <v>5504913</v>
      </c>
      <c r="B5047">
        <v>69</v>
      </c>
      <c r="C5047" s="1">
        <f>0.722241581941886*(10.3/7.3)</f>
        <v>1.0190531909590994</v>
      </c>
      <c r="D5047" s="1">
        <f>1.10624771477057*(10.3/7.3)</f>
        <v>1.5608700633064176</v>
      </c>
      <c r="E5047" s="1">
        <f>3.82180815790822*(10.3/7.3)</f>
        <v>5.3924142501992733</v>
      </c>
      <c r="F5047" s="1">
        <f>10.5395756125527*(38.9/42.5)</f>
        <v>9.6468115606658529</v>
      </c>
      <c r="G5047" s="1">
        <v>0.53625700533299892</v>
      </c>
      <c r="H5047" s="1">
        <v>2.1511781493840272</v>
      </c>
      <c r="I5047" s="1">
        <v>7.9193807619307508</v>
      </c>
      <c r="J5047" s="1">
        <v>4.5369810469137857E-2</v>
      </c>
      <c r="K5047" s="1">
        <v>4.3033897948149864</v>
      </c>
      <c r="L5047" s="1">
        <v>2.2784615956910774</v>
      </c>
      <c r="M5047" s="1">
        <v>1.1343879297578727</v>
      </c>
      <c r="N5047" s="1">
        <v>1.6945856975435376</v>
      </c>
      <c r="O5047" s="1">
        <v>0.47342454106280185</v>
      </c>
      <c r="P5047" s="1">
        <v>0.16079523908145976</v>
      </c>
      <c r="Q5047" s="1">
        <v>0.85703174368287571</v>
      </c>
      <c r="R5047" s="2">
        <f t="shared" si="315"/>
        <v>29.082996725461292</v>
      </c>
      <c r="S5047" s="2">
        <f t="shared" si="314"/>
        <v>4.5095548443655842</v>
      </c>
      <c r="T5047" s="2">
        <f t="shared" si="316"/>
        <v>5.5808597640552895</v>
      </c>
      <c r="U5047" s="2">
        <f t="shared" si="317"/>
        <v>39.173411333882164</v>
      </c>
    </row>
    <row r="5048" spans="1:21" x14ac:dyDescent="0.25">
      <c r="A5048">
        <v>5504921</v>
      </c>
      <c r="B5048">
        <v>69</v>
      </c>
      <c r="C5048" s="1">
        <f>0.833482174632775*(10.3/7.3)</f>
        <v>1.1760090957147371</v>
      </c>
      <c r="D5048" s="1">
        <f>1.29688531278505*(10.3/7.3)</f>
        <v>1.8298518796830148</v>
      </c>
      <c r="E5048" s="1">
        <f>4.47176097086351*(10.3/7.3)</f>
        <v>6.3094709588896043</v>
      </c>
      <c r="F5048" s="1">
        <f>12.6421788159922*(38.9/42.5)</f>
        <v>11.57131190451995</v>
      </c>
      <c r="G5048" s="1">
        <v>0.65450225035860898</v>
      </c>
      <c r="H5048" s="1">
        <v>2.5028014303057922</v>
      </c>
      <c r="I5048" s="1">
        <v>9.5134616602223225</v>
      </c>
      <c r="J5048" s="1">
        <v>5.6804814124894965E-2</v>
      </c>
      <c r="K5048" s="1">
        <v>4.9763567785695004</v>
      </c>
      <c r="L5048" s="1">
        <v>2.6889981078595206</v>
      </c>
      <c r="M5048" s="1">
        <v>1.4032960588924499</v>
      </c>
      <c r="N5048" s="1">
        <v>1.727829184885584</v>
      </c>
      <c r="O5048" s="1">
        <v>0.56702067632850228</v>
      </c>
      <c r="P5048" s="1">
        <v>0.17270740522728634</v>
      </c>
      <c r="Q5048" s="1">
        <v>1.0460081626735771</v>
      </c>
      <c r="R5048" s="2">
        <f t="shared" si="315"/>
        <v>34.603417342367614</v>
      </c>
      <c r="S5048" s="2">
        <f t="shared" si="314"/>
        <v>5.2058689979216819</v>
      </c>
      <c r="T5048" s="2">
        <f t="shared" si="316"/>
        <v>6.3871440279660563</v>
      </c>
      <c r="U5048" s="2">
        <f t="shared" si="317"/>
        <v>46.196430368255356</v>
      </c>
    </row>
    <row r="5049" spans="1:21" x14ac:dyDescent="0.25">
      <c r="A5049">
        <v>5504929</v>
      </c>
      <c r="B5049">
        <v>58</v>
      </c>
      <c r="C5049" s="1">
        <f>1.12305928726949*(10.3/7.3)</f>
        <v>1.5845905012158552</v>
      </c>
      <c r="D5049" s="1">
        <f>1.80443504102186*(10.3/7.3)</f>
        <v>2.5459836880171465</v>
      </c>
      <c r="E5049" s="1">
        <f>6.19808767650971*(10.3/7.3)</f>
        <v>8.745246995623285</v>
      </c>
      <c r="F5049" s="1">
        <f>18.3722925205601*(38.9/42.5)</f>
        <v>16.816051271759701</v>
      </c>
      <c r="G5049" s="1">
        <v>0.98128623234632717</v>
      </c>
      <c r="H5049" s="1">
        <v>3.3644663322895623</v>
      </c>
      <c r="I5049" s="1">
        <v>13.862322698637341</v>
      </c>
      <c r="J5049" s="1">
        <v>9.408748325622171E-2</v>
      </c>
      <c r="K5049" s="1">
        <v>6.2971464470054892</v>
      </c>
      <c r="L5049" s="1">
        <v>3.7139773828538361</v>
      </c>
      <c r="M5049" s="1">
        <v>1.9276251785115426</v>
      </c>
      <c r="N5049" s="1">
        <v>2.4033529718966937</v>
      </c>
      <c r="O5049" s="1">
        <v>0.78710804597701189</v>
      </c>
      <c r="P5049" s="1">
        <v>0.19602878625743267</v>
      </c>
      <c r="Q5049" s="1">
        <v>1.5682656681334017</v>
      </c>
      <c r="R5049" s="2">
        <f t="shared" si="315"/>
        <v>49.468213388022619</v>
      </c>
      <c r="S5049" s="2">
        <f t="shared" si="314"/>
        <v>6.5872627165191435</v>
      </c>
      <c r="T5049" s="2">
        <f t="shared" si="316"/>
        <v>8.8320635792390849</v>
      </c>
      <c r="U5049" s="2">
        <f t="shared" si="317"/>
        <v>64.887539683780844</v>
      </c>
    </row>
    <row r="5050" spans="1:21" x14ac:dyDescent="0.25">
      <c r="A5050">
        <v>5505377</v>
      </c>
      <c r="B5050">
        <v>24</v>
      </c>
      <c r="C5050" s="1">
        <f>4.04805537352744*(10.3/7.3)</f>
        <v>5.7116397736072111</v>
      </c>
      <c r="D5050" s="1">
        <f>7.3061587157313*(10.3/7.3)</f>
        <v>10.308689694798963</v>
      </c>
      <c r="E5050" s="1">
        <f>25.2658095078016*(10.3/7.3)</f>
        <v>35.649018894569373</v>
      </c>
      <c r="F5050" s="1">
        <f>61.1376743909401*(38.9/42.5)</f>
        <v>55.95895373664866</v>
      </c>
      <c r="G5050" s="1">
        <v>2.880153867388874</v>
      </c>
      <c r="H5050" s="1">
        <v>9.3062078098294467</v>
      </c>
      <c r="I5050" s="1">
        <v>43.069334938169028</v>
      </c>
      <c r="J5050" s="1">
        <v>4.8500526145632161E-2</v>
      </c>
      <c r="K5050" s="1">
        <v>3.0625955911041713</v>
      </c>
      <c r="L5050" s="1">
        <v>3.5961518887688357</v>
      </c>
      <c r="M5050" s="1">
        <v>0.26606716024186883</v>
      </c>
      <c r="N5050" s="1">
        <v>2.1437512321336198</v>
      </c>
      <c r="O5050" s="1">
        <v>0.21112888888888884</v>
      </c>
      <c r="P5050" s="1">
        <v>0.13984173966885585</v>
      </c>
      <c r="Q5050" s="1">
        <v>4.6029856328132732</v>
      </c>
      <c r="R5050" s="2">
        <f t="shared" si="315"/>
        <v>167.48698434782483</v>
      </c>
      <c r="S5050" s="2">
        <f t="shared" si="314"/>
        <v>3.2509378569186596</v>
      </c>
      <c r="T5050" s="2">
        <f t="shared" si="316"/>
        <v>6.2170991700332134</v>
      </c>
      <c r="U5050" s="2">
        <f t="shared" si="317"/>
        <v>176.95502137477669</v>
      </c>
    </row>
    <row r="5051" spans="1:21" x14ac:dyDescent="0.25">
      <c r="A5051">
        <v>5505385</v>
      </c>
      <c r="B5051">
        <v>68</v>
      </c>
      <c r="C5051" s="1">
        <f>4.73764589805087*(10.3/7.3)</f>
        <v>6.6846236643731434</v>
      </c>
      <c r="D5051" s="1">
        <f>8.77253705126694*(10.3/7.3)</f>
        <v>12.377689264116372</v>
      </c>
      <c r="E5051" s="1">
        <f>30.3453207483899*(10.3/7.3)</f>
        <v>42.816000508002205</v>
      </c>
      <c r="F5051" s="1">
        <f>71.7572725071139*(38.9/42.5)</f>
        <v>65.67900942415838</v>
      </c>
      <c r="G5051" s="1">
        <v>3.3276263670961632</v>
      </c>
      <c r="H5051" s="1">
        <v>7.0944884353145623</v>
      </c>
      <c r="I5051" s="1">
        <v>49.953011772675296</v>
      </c>
      <c r="J5051" s="1">
        <v>5.3640834697207519E-2</v>
      </c>
      <c r="K5051" s="1">
        <v>3.2612945275072511</v>
      </c>
      <c r="L5051" s="1">
        <v>4.1553735060967742</v>
      </c>
      <c r="M5051" s="1">
        <v>0.29514277296901215</v>
      </c>
      <c r="N5051" s="1">
        <v>2.5678357751876852</v>
      </c>
      <c r="O5051" s="1">
        <v>0.23280235294117643</v>
      </c>
      <c r="P5051" s="1">
        <v>0.15152461336102044</v>
      </c>
      <c r="Q5051" s="1">
        <v>5.318124330975607</v>
      </c>
      <c r="R5051" s="2">
        <f t="shared" si="315"/>
        <v>193.25057376671174</v>
      </c>
      <c r="S5051" s="2">
        <f t="shared" si="314"/>
        <v>3.466459975565479</v>
      </c>
      <c r="T5051" s="2">
        <f t="shared" si="316"/>
        <v>7.2511544071946474</v>
      </c>
      <c r="U5051" s="2">
        <f t="shared" si="317"/>
        <v>203.96818814947187</v>
      </c>
    </row>
    <row r="5052" spans="1:21" x14ac:dyDescent="0.25">
      <c r="A5052">
        <v>5505393</v>
      </c>
      <c r="B5052">
        <v>68</v>
      </c>
      <c r="C5052" s="1">
        <f>5.01133094162156*(10.3/7.3)</f>
        <v>7.0707820135208248</v>
      </c>
      <c r="D5052" s="1">
        <f>9.07320494238133*(10.3/7.3)</f>
        <v>12.80191930226407</v>
      </c>
      <c r="E5052" s="1">
        <f>31.4536796372706*(10.3/7.3)</f>
        <v>44.379849351217416</v>
      </c>
      <c r="F5052" s="1">
        <f>72.025621397898*(38.9/42.5)</f>
        <v>65.924627585370118</v>
      </c>
      <c r="G5052" s="1">
        <v>3.2430684863538537</v>
      </c>
      <c r="H5052" s="1">
        <v>6.9013409901330434</v>
      </c>
      <c r="I5052" s="1">
        <v>49.932423516020641</v>
      </c>
      <c r="J5052" s="1">
        <v>5.434495692068475E-2</v>
      </c>
      <c r="K5052" s="1">
        <v>3.3029568767781772</v>
      </c>
      <c r="L5052" s="1">
        <v>4.2753271222624187</v>
      </c>
      <c r="M5052" s="1">
        <v>0.29767194257627594</v>
      </c>
      <c r="N5052" s="1">
        <v>3.3996697842342023</v>
      </c>
      <c r="O5052" s="1">
        <v>0.23707215686274505</v>
      </c>
      <c r="P5052" s="1">
        <v>0.15331621529048067</v>
      </c>
      <c r="Q5052" s="1">
        <v>5.1829861654057092</v>
      </c>
      <c r="R5052" s="2">
        <f t="shared" si="315"/>
        <v>195.43699741028564</v>
      </c>
      <c r="S5052" s="2">
        <f t="shared" si="314"/>
        <v>3.5106180489893428</v>
      </c>
      <c r="T5052" s="2">
        <f t="shared" si="316"/>
        <v>8.2097410059356424</v>
      </c>
      <c r="U5052" s="2">
        <f t="shared" si="317"/>
        <v>207.15735646521063</v>
      </c>
    </row>
    <row r="5053" spans="1:21" x14ac:dyDescent="0.25">
      <c r="A5053">
        <v>5505401</v>
      </c>
      <c r="B5053">
        <v>64</v>
      </c>
      <c r="C5053" s="1">
        <f>4.13850702795601*(10.3/7.3)</f>
        <v>5.8392633408146493</v>
      </c>
      <c r="D5053" s="1">
        <f>7.26902677682394*(10.3/7.3)</f>
        <v>10.25629805497077</v>
      </c>
      <c r="E5053" s="1">
        <f>25.2373470871429*(10.3/7.3)</f>
        <v>35.608859588708498</v>
      </c>
      <c r="F5053" s="1">
        <f>57.0996430519614*(38.9/42.5)</f>
        <v>52.262967405207036</v>
      </c>
      <c r="G5053" s="1">
        <v>2.534876511802274</v>
      </c>
      <c r="H5053" s="1">
        <v>5.7880725834709663</v>
      </c>
      <c r="I5053" s="1">
        <v>39.73055130242485</v>
      </c>
      <c r="J5053" s="1">
        <v>4.5785627141677748E-2</v>
      </c>
      <c r="K5053" s="1">
        <v>2.9037377276353609</v>
      </c>
      <c r="L5053" s="1">
        <v>3.5911407613937816</v>
      </c>
      <c r="M5053" s="1">
        <v>0.25451838492883749</v>
      </c>
      <c r="N5053" s="1">
        <v>2.3981168488938929</v>
      </c>
      <c r="O5053" s="1">
        <v>0.2042008333333333</v>
      </c>
      <c r="P5053" s="1">
        <v>0.13740168455181234</v>
      </c>
      <c r="Q5053" s="1">
        <v>4.0511725074465597</v>
      </c>
      <c r="R5053" s="2">
        <f t="shared" si="315"/>
        <v>156.07206129484558</v>
      </c>
      <c r="S5053" s="2">
        <f t="shared" si="314"/>
        <v>3.0869250393288508</v>
      </c>
      <c r="T5053" s="2">
        <f t="shared" si="316"/>
        <v>6.4479768285498453</v>
      </c>
      <c r="U5053" s="2">
        <f t="shared" si="317"/>
        <v>165.6069631627243</v>
      </c>
    </row>
    <row r="5054" spans="1:21" x14ac:dyDescent="0.25">
      <c r="A5054">
        <v>5505409</v>
      </c>
      <c r="B5054">
        <v>69</v>
      </c>
      <c r="C5054" s="1">
        <f>2.51154154827193*(10.3/7.3)</f>
        <v>3.5436819105754687</v>
      </c>
      <c r="D5054" s="1">
        <f>4.2816189096034*(10.3/7.3)</f>
        <v>6.0411883245089015</v>
      </c>
      <c r="E5054" s="1">
        <f>14.8895002815403*(10.3/7.3)</f>
        <v>21.008472999981585</v>
      </c>
      <c r="F5054" s="1">
        <f>33.2062023418276*(38.9/42.5)</f>
        <v>30.393441672872783</v>
      </c>
      <c r="G5054" s="1">
        <v>1.4496013034609061</v>
      </c>
      <c r="H5054" s="1">
        <v>3.9792998535948785</v>
      </c>
      <c r="I5054" s="1">
        <v>23.179536355753875</v>
      </c>
      <c r="J5054" s="1">
        <v>3.3002531900925211E-2</v>
      </c>
      <c r="K5054" s="1">
        <v>2.2783749400629323</v>
      </c>
      <c r="L5054" s="1">
        <v>2.5496914098728398</v>
      </c>
      <c r="M5054" s="1">
        <v>0.1917211319719026</v>
      </c>
      <c r="N5054" s="1">
        <v>1.6224825078254623</v>
      </c>
      <c r="O5054" s="1">
        <v>0.15357140096618363</v>
      </c>
      <c r="P5054" s="1">
        <v>0.11218234294629659</v>
      </c>
      <c r="Q5054" s="1">
        <v>2.3167144119238259</v>
      </c>
      <c r="R5054" s="2">
        <f t="shared" si="315"/>
        <v>91.911936832672225</v>
      </c>
      <c r="S5054" s="2">
        <f t="shared" si="314"/>
        <v>2.423559814910154</v>
      </c>
      <c r="T5054" s="2">
        <f t="shared" si="316"/>
        <v>4.5174664506363884</v>
      </c>
      <c r="U5054" s="2">
        <f t="shared" si="317"/>
        <v>98.852963098218765</v>
      </c>
    </row>
    <row r="5055" spans="1:21" x14ac:dyDescent="0.25">
      <c r="A5055">
        <v>5505417</v>
      </c>
      <c r="B5055">
        <v>69</v>
      </c>
      <c r="C5055" s="1">
        <f>3.08862596985631*(10.3/7.3)</f>
        <v>4.3579243136328705</v>
      </c>
      <c r="D5055" s="1">
        <f>5.18932444879902*(10.3/7.3)</f>
        <v>7.3219235373465654</v>
      </c>
      <c r="E5055" s="1">
        <f>18.0512379422452*(10.3/7.3)</f>
        <v>25.46955490481173</v>
      </c>
      <c r="F5055" s="1">
        <f>40.4452204090018*(38.9/42.5)</f>
        <v>37.019272327298104</v>
      </c>
      <c r="G5055" s="1">
        <v>1.7699311274433853</v>
      </c>
      <c r="H5055" s="1">
        <v>4.4764445820621006</v>
      </c>
      <c r="I5055" s="1">
        <v>28.371699045265995</v>
      </c>
      <c r="J5055" s="1">
        <v>3.684195484843493E-2</v>
      </c>
      <c r="K5055" s="1">
        <v>2.4500172039188062</v>
      </c>
      <c r="L5055" s="1">
        <v>2.8621212912311704</v>
      </c>
      <c r="M5055" s="1">
        <v>0.20450939502068416</v>
      </c>
      <c r="N5055" s="1">
        <v>1.7581027228831088</v>
      </c>
      <c r="O5055" s="1">
        <v>0.16555362318840583</v>
      </c>
      <c r="P5055" s="1">
        <v>0.11809414048624808</v>
      </c>
      <c r="Q5055" s="1">
        <v>2.8286570529917157</v>
      </c>
      <c r="R5055" s="2">
        <f t="shared" si="315"/>
        <v>111.61540689085247</v>
      </c>
      <c r="S5055" s="2">
        <f t="shared" si="314"/>
        <v>2.6049532992534892</v>
      </c>
      <c r="T5055" s="2">
        <f t="shared" si="316"/>
        <v>4.9902870323233692</v>
      </c>
      <c r="U5055" s="2">
        <f t="shared" si="317"/>
        <v>119.21064722242933</v>
      </c>
    </row>
    <row r="5056" spans="1:21" x14ac:dyDescent="0.25">
      <c r="A5056">
        <v>5505425</v>
      </c>
      <c r="B5056">
        <v>70</v>
      </c>
      <c r="C5056" s="1">
        <f>5.55041254279429*(10.3/7.3)</f>
        <v>7.8314039987371533</v>
      </c>
      <c r="D5056" s="1">
        <f>9.1682941165624*(10.3/7.3)</f>
        <v>12.936086219259277</v>
      </c>
      <c r="E5056" s="1">
        <f>31.8914338225905*(10.3/7.3)</f>
        <v>44.997502516805817</v>
      </c>
      <c r="F5056" s="1">
        <f>72.4363696062886*(38.9/42.5)</f>
        <v>66.300583004344176</v>
      </c>
      <c r="G5056" s="1">
        <v>3.2026007116366468</v>
      </c>
      <c r="H5056" s="1">
        <v>6.6593880012585887</v>
      </c>
      <c r="I5056" s="1">
        <v>51.215785815030763</v>
      </c>
      <c r="J5056" s="1">
        <v>5.3526803053379098E-2</v>
      </c>
      <c r="K5056" s="1">
        <v>3.233349849911114</v>
      </c>
      <c r="L5056" s="1">
        <v>4.1933633907035759</v>
      </c>
      <c r="M5056" s="1">
        <v>0.27390693483122219</v>
      </c>
      <c r="N5056" s="1">
        <v>2.4038524186397039</v>
      </c>
      <c r="O5056" s="1">
        <v>0.22276266666666666</v>
      </c>
      <c r="P5056" s="1">
        <v>0.14737225985444136</v>
      </c>
      <c r="Q5056" s="1">
        <v>5.118311639601953</v>
      </c>
      <c r="R5056" s="2">
        <f t="shared" si="315"/>
        <v>198.26166190667436</v>
      </c>
      <c r="S5056" s="2">
        <f t="shared" si="314"/>
        <v>3.4342489128189344</v>
      </c>
      <c r="T5056" s="2">
        <f t="shared" si="316"/>
        <v>7.0938854108411693</v>
      </c>
      <c r="U5056" s="2">
        <f t="shared" si="317"/>
        <v>208.78979623033447</v>
      </c>
    </row>
    <row r="5057" spans="1:21" x14ac:dyDescent="0.25">
      <c r="A5057">
        <v>5505433</v>
      </c>
      <c r="B5057">
        <v>70</v>
      </c>
      <c r="C5057" s="1">
        <f>6.00601285066751*(10.3/7.3)</f>
        <v>8.4742373098459343</v>
      </c>
      <c r="D5057" s="1">
        <f>9.72988507026614*(10.3/7.3)</f>
        <v>13.72846797585496</v>
      </c>
      <c r="E5057" s="1">
        <f>33.8576877447426*(10.3/7.3)</f>
        <v>47.771805996006705</v>
      </c>
      <c r="F5057" s="1">
        <f>77.4169281691809*(38.9/42.5)</f>
        <v>70.859258959556158</v>
      </c>
      <c r="G5057" s="1">
        <v>3.4348329475991557</v>
      </c>
      <c r="H5057" s="1">
        <v>7.0177065039096309</v>
      </c>
      <c r="I5057" s="1">
        <v>55.097957724384429</v>
      </c>
      <c r="J5057" s="1">
        <v>5.6634889188345021E-2</v>
      </c>
      <c r="K5057" s="1">
        <v>3.31424131650633</v>
      </c>
      <c r="L5057" s="1">
        <v>4.3438733680897741</v>
      </c>
      <c r="M5057" s="1">
        <v>0.27713294432705138</v>
      </c>
      <c r="N5057" s="1">
        <v>2.5315833500203824</v>
      </c>
      <c r="O5057" s="1">
        <v>0.22498742857142864</v>
      </c>
      <c r="P5057" s="1">
        <v>0.14892906843341297</v>
      </c>
      <c r="Q5057" s="1">
        <v>5.4894590486744583</v>
      </c>
      <c r="R5057" s="2">
        <f t="shared" si="315"/>
        <v>211.87372646583145</v>
      </c>
      <c r="S5057" s="2">
        <f t="shared" si="314"/>
        <v>3.5198052741280881</v>
      </c>
      <c r="T5057" s="2">
        <f t="shared" si="316"/>
        <v>7.3775770910086367</v>
      </c>
      <c r="U5057" s="2">
        <f t="shared" si="317"/>
        <v>222.77110883096819</v>
      </c>
    </row>
    <row r="5058" spans="1:21" x14ac:dyDescent="0.25">
      <c r="A5058">
        <v>5505441</v>
      </c>
      <c r="B5058">
        <v>35</v>
      </c>
      <c r="C5058" s="1">
        <f>5.64332833142914*(10.3/7.3)</f>
        <v>7.9625043580438577</v>
      </c>
      <c r="D5058" s="1">
        <f>8.99104949929825*(10.3/7.3)</f>
        <v>12.686001348324924</v>
      </c>
      <c r="E5058" s="1">
        <f>31.2932737181915*(10.3/7.3)</f>
        <v>44.153523191420838</v>
      </c>
      <c r="F5058" s="1">
        <f>72.1601124664201*(38.9/42.5)</f>
        <v>66.047726469264475</v>
      </c>
      <c r="G5058" s="1">
        <v>3.2188482312802522</v>
      </c>
      <c r="H5058" s="1">
        <v>8.7221067419114515</v>
      </c>
      <c r="I5058" s="1">
        <v>51.680821864659976</v>
      </c>
      <c r="J5058" s="1">
        <v>5.2610634744999121E-2</v>
      </c>
      <c r="K5058" s="1">
        <v>3.0683856427552008</v>
      </c>
      <c r="L5058" s="1">
        <v>3.930978432986584</v>
      </c>
      <c r="M5058" s="1">
        <v>0.25170194646879779</v>
      </c>
      <c r="N5058" s="1">
        <v>2.4395052672606967</v>
      </c>
      <c r="O5058" s="1">
        <v>0.20591695238095234</v>
      </c>
      <c r="P5058" s="1">
        <v>0.13807283633818393</v>
      </c>
      <c r="Q5058" s="1">
        <v>5.1442779951967541</v>
      </c>
      <c r="R5058" s="2">
        <f t="shared" si="315"/>
        <v>199.61581020010254</v>
      </c>
      <c r="S5058" s="2">
        <f t="shared" si="314"/>
        <v>3.2590691138383838</v>
      </c>
      <c r="T5058" s="2">
        <f t="shared" si="316"/>
        <v>6.828102599097031</v>
      </c>
      <c r="U5058" s="2">
        <f t="shared" si="317"/>
        <v>209.70298191303797</v>
      </c>
    </row>
    <row r="5059" spans="1:21" x14ac:dyDescent="0.25">
      <c r="A5059">
        <v>5505449</v>
      </c>
      <c r="B5059">
        <v>28</v>
      </c>
      <c r="C5059" s="1">
        <f>4.66853473885005*(10.3/7.3)</f>
        <v>6.5871106589254182</v>
      </c>
      <c r="D5059" s="1">
        <f>7.44066617851333*(10.3/7.3)</f>
        <v>10.498474197080446</v>
      </c>
      <c r="E5059" s="1">
        <f>25.8439329151164*(10.3/7.3)</f>
        <v>36.464727263794387</v>
      </c>
      <c r="F5059" s="1">
        <f>62.2810698505415*(38.9/42.5)</f>
        <v>57.005496874966262</v>
      </c>
      <c r="G5059" s="1">
        <v>2.8843562525797126</v>
      </c>
      <c r="H5059" s="1">
        <v>9.987282491529049</v>
      </c>
      <c r="I5059" s="1">
        <v>45.079672006557004</v>
      </c>
      <c r="J5059" s="1">
        <v>5.0338035429829502E-2</v>
      </c>
      <c r="K5059" s="1">
        <v>2.7383691799112744</v>
      </c>
      <c r="L5059" s="1">
        <v>3.3269736856129493</v>
      </c>
      <c r="M5059" s="1">
        <v>0.21636581892644008</v>
      </c>
      <c r="N5059" s="1">
        <v>2.4633320104158853</v>
      </c>
      <c r="O5059" s="1">
        <v>0.17818095238095236</v>
      </c>
      <c r="P5059" s="1">
        <v>0.12294107802643948</v>
      </c>
      <c r="Q5059" s="1">
        <v>4.6097017735292249</v>
      </c>
      <c r="R5059" s="2">
        <f t="shared" si="315"/>
        <v>173.1168215189615</v>
      </c>
      <c r="S5059" s="2">
        <f t="shared" si="314"/>
        <v>2.9116482933675432</v>
      </c>
      <c r="T5059" s="2">
        <f t="shared" si="316"/>
        <v>6.1848524673362268</v>
      </c>
      <c r="U5059" s="2">
        <f t="shared" si="317"/>
        <v>182.21332227966525</v>
      </c>
    </row>
    <row r="5060" spans="1:21" x14ac:dyDescent="0.25">
      <c r="A5060">
        <v>5505489</v>
      </c>
      <c r="B5060">
        <v>9</v>
      </c>
      <c r="C5060" s="1">
        <f>3.9392829874666*(10.3/7.3)</f>
        <v>5.5581664069734247</v>
      </c>
      <c r="D5060" s="1">
        <f>8.45730740557111*(10.3/7.3)</f>
        <v>11.932913188682523</v>
      </c>
      <c r="E5060" s="1">
        <f>29.2875410163943*(10.3/7.3)</f>
        <v>41.323516776556389</v>
      </c>
      <c r="F5060" s="1">
        <f>61.2757352148037*(38.9/42.5)</f>
        <v>56.085319996608547</v>
      </c>
      <c r="G5060" s="1">
        <v>2.5866425953365786</v>
      </c>
      <c r="H5060" s="1">
        <v>8.4529533110553192</v>
      </c>
      <c r="I5060" s="1">
        <v>39.642782156492927</v>
      </c>
      <c r="J5060" s="1">
        <v>3.2074848667897789E-2</v>
      </c>
      <c r="K5060" s="1">
        <v>1.9574259076163638</v>
      </c>
      <c r="L5060" s="1">
        <v>2.5999051788508019</v>
      </c>
      <c r="M5060" s="1">
        <v>0.14521919418858531</v>
      </c>
      <c r="N5060" s="1">
        <v>1.6302307677189343</v>
      </c>
      <c r="O5060" s="1">
        <v>0.11937777777777778</v>
      </c>
      <c r="P5060" s="1">
        <v>9.0420361239768959E-2</v>
      </c>
      <c r="Q5060" s="1">
        <v>4.1339036911771849</v>
      </c>
      <c r="R5060" s="2">
        <f t="shared" si="315"/>
        <v>169.7161981228829</v>
      </c>
      <c r="S5060" s="2">
        <f t="shared" si="314"/>
        <v>2.0799211175240306</v>
      </c>
      <c r="T5060" s="2">
        <f t="shared" si="316"/>
        <v>4.4947329185360987</v>
      </c>
      <c r="U5060" s="2">
        <f t="shared" si="317"/>
        <v>176.29085215894304</v>
      </c>
    </row>
    <row r="5061" spans="1:21" x14ac:dyDescent="0.25">
      <c r="A5061">
        <v>5505777</v>
      </c>
      <c r="B5061">
        <v>13</v>
      </c>
      <c r="C5061" s="1">
        <f>7.2908847119527*(10.3/7.3)</f>
        <v>10.287138703166134</v>
      </c>
      <c r="D5061" s="1">
        <f>9.08329588021602*(10.3/7.3)</f>
        <v>12.816157200852743</v>
      </c>
      <c r="E5061" s="1">
        <f>31.728919651461*(10.3/7.3)</f>
        <v>44.768201700006564</v>
      </c>
      <c r="F5061" s="1">
        <f>83.3433969785217*(38.9/42.5)</f>
        <v>76.283720999164558</v>
      </c>
      <c r="G5061" s="1">
        <v>4.0029266465921065</v>
      </c>
      <c r="H5061" s="1">
        <v>8.5119239319996307</v>
      </c>
      <c r="I5061" s="1">
        <v>65.134520159330378</v>
      </c>
      <c r="J5061" s="1">
        <v>3.8696712664675462E-2</v>
      </c>
      <c r="K5061" s="1">
        <v>2.2689255055163282</v>
      </c>
      <c r="L5061" s="1">
        <v>2.3315919178972875</v>
      </c>
      <c r="M5061" s="1">
        <v>0.11610676038414633</v>
      </c>
      <c r="N5061" s="1">
        <v>1.5302583963083758</v>
      </c>
      <c r="O5061" s="1">
        <v>0.10965743589743589</v>
      </c>
      <c r="P5061" s="1">
        <v>8.3242039918944438E-2</v>
      </c>
      <c r="Q5061" s="1">
        <v>6.3973713530010912</v>
      </c>
      <c r="R5061" s="2">
        <f t="shared" si="315"/>
        <v>228.20196069411321</v>
      </c>
      <c r="S5061" s="2">
        <f t="shared" si="314"/>
        <v>2.3908642580999482</v>
      </c>
      <c r="T5061" s="2">
        <f t="shared" si="316"/>
        <v>4.0876145104872457</v>
      </c>
      <c r="U5061" s="2">
        <f t="shared" si="317"/>
        <v>234.68043946270041</v>
      </c>
    </row>
    <row r="5062" spans="1:21" x14ac:dyDescent="0.25">
      <c r="A5062">
        <v>551365</v>
      </c>
      <c r="B5062">
        <v>11</v>
      </c>
      <c r="C5062" s="1">
        <f>0.950650126051082*(10.3/7.3)</f>
        <v>1.3413282600446768</v>
      </c>
      <c r="D5062" s="1">
        <f>1.16752033025387*(10.3/7.3)</f>
        <v>1.6473232057006666</v>
      </c>
      <c r="E5062" s="1">
        <f>4.13416765582581*(10.3/7.3)</f>
        <v>5.8331406650692932</v>
      </c>
      <c r="F5062" s="1">
        <f>8.13921248840328*(38.9/42.5)</f>
        <v>7.4497733129150028</v>
      </c>
      <c r="G5062" s="1">
        <v>0.29206658360371079</v>
      </c>
      <c r="H5062" s="1">
        <v>1.2152257045057233</v>
      </c>
      <c r="I5062" s="1">
        <v>6.0791759527157465</v>
      </c>
      <c r="J5062" s="1">
        <v>4.3653308762670366E-2</v>
      </c>
      <c r="K5062" s="1">
        <v>4.1050133161921591</v>
      </c>
      <c r="L5062" s="1">
        <v>1.4311989423826708</v>
      </c>
      <c r="M5062" s="1">
        <v>7.5411052979556581E-2</v>
      </c>
      <c r="N5062" s="1">
        <v>0.9309978737676613</v>
      </c>
      <c r="O5062" s="1">
        <v>6.5599999999999992E-2</v>
      </c>
      <c r="P5062" s="1">
        <v>5.6891237277633538E-2</v>
      </c>
      <c r="Q5062" s="1">
        <v>0.46677307881871655</v>
      </c>
      <c r="R5062" s="2">
        <f t="shared" si="315"/>
        <v>24.324806763373534</v>
      </c>
      <c r="S5062" s="2">
        <f t="shared" si="314"/>
        <v>4.205557862232463</v>
      </c>
      <c r="T5062" s="2">
        <f t="shared" si="316"/>
        <v>2.5032078691298887</v>
      </c>
      <c r="U5062" s="2">
        <f t="shared" si="317"/>
        <v>31.033572494735886</v>
      </c>
    </row>
    <row r="5063" spans="1:21" x14ac:dyDescent="0.25">
      <c r="A5063">
        <v>551405</v>
      </c>
      <c r="B5063">
        <v>7</v>
      </c>
      <c r="C5063" s="1">
        <f>1.63106184752392*(10.3/7.3)</f>
        <v>2.3013612369173093</v>
      </c>
      <c r="D5063" s="1">
        <f>2.51520423216679*(10.3/7.3)</f>
        <v>3.5488498070298573</v>
      </c>
      <c r="E5063" s="1">
        <f>8.68367417476063*(10.3/7.3)</f>
        <v>12.252307397265005</v>
      </c>
      <c r="F5063" s="1">
        <f>24.1294393857414*(38.9/42.5)</f>
        <v>22.085533931890382</v>
      </c>
      <c r="G5063" s="1">
        <v>1.2345662473344599</v>
      </c>
      <c r="H5063" s="1">
        <v>4.4776616422081723</v>
      </c>
      <c r="I5063" s="1">
        <v>18.131551670854069</v>
      </c>
      <c r="J5063" s="1">
        <v>3.8078510517277654E-2</v>
      </c>
      <c r="K5063" s="1">
        <v>4.5401417575525054</v>
      </c>
      <c r="L5063" s="1">
        <v>1.6517660582661169</v>
      </c>
      <c r="M5063" s="1">
        <v>9.552813087449552E-2</v>
      </c>
      <c r="N5063" s="1">
        <v>1.1157887185897155</v>
      </c>
      <c r="O5063" s="1">
        <v>8.0388571428571434E-2</v>
      </c>
      <c r="P5063" s="1">
        <v>6.8513246621267052E-2</v>
      </c>
      <c r="Q5063" s="1">
        <v>1.9730510802148926</v>
      </c>
      <c r="R5063" s="2">
        <f t="shared" si="315"/>
        <v>66.004883013714135</v>
      </c>
      <c r="S5063" s="2">
        <f t="shared" si="314"/>
        <v>4.64673351469105</v>
      </c>
      <c r="T5063" s="2">
        <f t="shared" si="316"/>
        <v>2.943471479158899</v>
      </c>
      <c r="U5063" s="2">
        <f t="shared" si="317"/>
        <v>73.595088007564087</v>
      </c>
    </row>
    <row r="5064" spans="1:21" x14ac:dyDescent="0.25">
      <c r="A5064">
        <v>551429</v>
      </c>
      <c r="B5064">
        <v>24</v>
      </c>
      <c r="C5064" s="1">
        <f>1.14158729564243*(10.3/7.3)</f>
        <v>1.6107327596050691</v>
      </c>
      <c r="D5064" s="1">
        <f>1.95243046687715*(10.3/7.3)</f>
        <v>2.7547991518951633</v>
      </c>
      <c r="E5064" s="1">
        <f>6.65886379053255*(10.3/7.3)</f>
        <v>9.3953831565048258</v>
      </c>
      <c r="F5064" s="1">
        <f>21.4447885469167*(38.9/42.5)</f>
        <v>19.628288811177871</v>
      </c>
      <c r="G5064" s="1">
        <v>1.2031384095144062</v>
      </c>
      <c r="H5064" s="1">
        <v>6.1622572689830468</v>
      </c>
      <c r="I5064" s="1">
        <v>16.25048321701378</v>
      </c>
      <c r="J5064" s="1">
        <v>2.6868673391332924E-2</v>
      </c>
      <c r="K5064" s="1">
        <v>3.2281819521316528</v>
      </c>
      <c r="L5064" s="1">
        <v>1.2663700882263873</v>
      </c>
      <c r="M5064" s="1">
        <v>7.4045011000128225E-2</v>
      </c>
      <c r="N5064" s="1">
        <v>0.87092287403596302</v>
      </c>
      <c r="O5064" s="1">
        <v>6.7162222222222207E-2</v>
      </c>
      <c r="P5064" s="1">
        <v>5.8331472688886159E-2</v>
      </c>
      <c r="Q5064" s="1">
        <v>1.9228239421463138</v>
      </c>
      <c r="R5064" s="2">
        <f t="shared" si="315"/>
        <v>58.927906716840482</v>
      </c>
      <c r="S5064" s="2">
        <f t="shared" si="314"/>
        <v>3.3133820982118718</v>
      </c>
      <c r="T5064" s="2">
        <f t="shared" si="316"/>
        <v>2.2785001954847006</v>
      </c>
      <c r="U5064" s="2">
        <f t="shared" si="317"/>
        <v>64.519789010537053</v>
      </c>
    </row>
    <row r="5065" spans="1:21" x14ac:dyDescent="0.25">
      <c r="A5065">
        <v>551437</v>
      </c>
      <c r="B5065">
        <v>19</v>
      </c>
      <c r="C5065" s="1">
        <f>1.11259671810236*(10.3/7.3)</f>
        <v>1.5698282460896338</v>
      </c>
      <c r="D5065" s="1">
        <f>2.9564544173345*(10.3/7.3)</f>
        <v>4.1714356847322431</v>
      </c>
      <c r="E5065" s="1">
        <f>9.71282888358179*(10.3/7.3)</f>
        <v>13.704402397382532</v>
      </c>
      <c r="F5065" s="1">
        <f>44.2229907927217*(38.9/42.5)</f>
        <v>40.477043337338195</v>
      </c>
      <c r="G5065" s="1">
        <v>2.8887242861005813</v>
      </c>
      <c r="H5065" s="1">
        <v>5.629474553290664</v>
      </c>
      <c r="I5065" s="1">
        <v>33.857267849797132</v>
      </c>
      <c r="J5065" s="1">
        <v>2.4902692871573994E-2</v>
      </c>
      <c r="K5065" s="1">
        <v>2.9795945497271936</v>
      </c>
      <c r="L5065" s="1">
        <v>1.2180059230576403</v>
      </c>
      <c r="M5065" s="1">
        <v>6.9978055376413606E-2</v>
      </c>
      <c r="N5065" s="1">
        <v>0.84215573390201992</v>
      </c>
      <c r="O5065" s="1">
        <v>6.5164912280701745E-2</v>
      </c>
      <c r="P5065" s="1">
        <v>5.6537968621317998E-2</v>
      </c>
      <c r="Q5065" s="1">
        <v>4.6166826490191974</v>
      </c>
      <c r="R5065" s="2">
        <f t="shared" si="315"/>
        <v>106.91485900375019</v>
      </c>
      <c r="S5065" s="2">
        <f t="shared" ref="S5065:S5128" si="318">J5065+K5065+P5065</f>
        <v>3.0610352112200854</v>
      </c>
      <c r="T5065" s="2">
        <f t="shared" si="316"/>
        <v>2.1953046246167758</v>
      </c>
      <c r="U5065" s="2">
        <f t="shared" si="317"/>
        <v>112.17119883958706</v>
      </c>
    </row>
    <row r="5066" spans="1:21" x14ac:dyDescent="0.25">
      <c r="A5066">
        <v>551453</v>
      </c>
      <c r="B5066">
        <v>5</v>
      </c>
      <c r="C5066" s="1">
        <f>1.16245446721842*(10.3/7.3)</f>
        <v>1.6401754811437945</v>
      </c>
      <c r="D5066" s="1">
        <f>1.79872921886403*(10.3/7.3)</f>
        <v>2.5379330074382844</v>
      </c>
      <c r="E5066" s="1">
        <f>6.21989317466626*(10.3/7.3)</f>
        <v>8.7760136574058212</v>
      </c>
      <c r="F5066" s="1">
        <f>16.7394059714987*(38.9/42.5)</f>
        <v>15.321479818618844</v>
      </c>
      <c r="G5066" s="1">
        <v>0.83885330805984215</v>
      </c>
      <c r="H5066" s="1">
        <v>5.4114875510857958</v>
      </c>
      <c r="I5066" s="1">
        <v>12.491614789739335</v>
      </c>
      <c r="J5066" s="1">
        <v>2.4488377523658657E-2</v>
      </c>
      <c r="K5066" s="1">
        <v>2.7191816190898117</v>
      </c>
      <c r="L5066" s="1">
        <v>1.1780418010333331</v>
      </c>
      <c r="M5066" s="1">
        <v>6.5034652651352692E-2</v>
      </c>
      <c r="N5066" s="1">
        <v>0.8420112254591452</v>
      </c>
      <c r="O5066" s="1">
        <v>6.3690666666666659E-2</v>
      </c>
      <c r="P5066" s="1">
        <v>5.5687447052338065E-2</v>
      </c>
      <c r="Q5066" s="1">
        <v>1.340633140734909</v>
      </c>
      <c r="R5066" s="2">
        <f t="shared" ref="R5066:R5129" si="319">C5066+D5066+E5066+F5066+G5066+H5066+I5066+Q5066</f>
        <v>48.358190754226626</v>
      </c>
      <c r="S5066" s="2">
        <f t="shared" si="318"/>
        <v>2.7993574436658086</v>
      </c>
      <c r="T5066" s="2">
        <f t="shared" ref="T5066:T5129" si="320">L5066+M5066+N5066+O5066</f>
        <v>2.1487783458104976</v>
      </c>
      <c r="U5066" s="2">
        <f t="shared" ref="U5066:U5129" si="321">R5066+S5066+T5066</f>
        <v>53.306326543702937</v>
      </c>
    </row>
    <row r="5067" spans="1:21" x14ac:dyDescent="0.25">
      <c r="A5067">
        <v>5517141</v>
      </c>
      <c r="B5067">
        <v>63</v>
      </c>
      <c r="C5067" s="1">
        <f>0.631330446272339*(10.3/7.3)</f>
        <v>0.89078131460343779</v>
      </c>
      <c r="D5067" s="1">
        <f>0.956590311538382*(10.3/7.3)</f>
        <v>1.3497096176500465</v>
      </c>
      <c r="E5067" s="1">
        <f>3.30887174281771*(10.3/7.3)</f>
        <v>4.6686820480852562</v>
      </c>
      <c r="F5067" s="1">
        <f>8.98377072066803*(38.9/42.5)</f>
        <v>8.2227924949173268</v>
      </c>
      <c r="G5067" s="1">
        <v>0.45191096382302692</v>
      </c>
      <c r="H5067" s="1">
        <v>1.8091130792970564</v>
      </c>
      <c r="I5067" s="1">
        <v>6.7456626965968915</v>
      </c>
      <c r="J5067" s="1">
        <v>3.8254165682338373E-2</v>
      </c>
      <c r="K5067" s="1">
        <v>3.8150180731591576</v>
      </c>
      <c r="L5067" s="1">
        <v>2.0034426122310567</v>
      </c>
      <c r="M5067" s="1">
        <v>0.9310746322231328</v>
      </c>
      <c r="N5067" s="1">
        <v>1.6701146433952154</v>
      </c>
      <c r="O5067" s="1">
        <v>0.42336931216931195</v>
      </c>
      <c r="P5067" s="1">
        <v>0.1478885921437503</v>
      </c>
      <c r="Q5067" s="1">
        <v>0.7222321339637422</v>
      </c>
      <c r="R5067" s="2">
        <f t="shared" si="319"/>
        <v>24.860884348936786</v>
      </c>
      <c r="S5067" s="2">
        <f t="shared" si="318"/>
        <v>4.0011608309852464</v>
      </c>
      <c r="T5067" s="2">
        <f t="shared" si="320"/>
        <v>5.0280012000187169</v>
      </c>
      <c r="U5067" s="2">
        <f t="shared" si="321"/>
        <v>33.890046379940749</v>
      </c>
    </row>
    <row r="5068" spans="1:21" x14ac:dyDescent="0.25">
      <c r="A5068">
        <v>5517149</v>
      </c>
      <c r="B5068">
        <v>64</v>
      </c>
      <c r="C5068" s="1">
        <f>0.739609215230402*(10.3/7.3)</f>
        <v>1.0435582077908407</v>
      </c>
      <c r="D5068" s="1">
        <f>1.13816858021983*(10.3/7.3)</f>
        <v>1.6059090926389421</v>
      </c>
      <c r="E5068" s="1">
        <f>3.93043998549489*(10.3/7.3)</f>
        <v>5.5456892946023846</v>
      </c>
      <c r="F5068" s="1">
        <f>10.8885709889634*(38.9/42.5)</f>
        <v>9.9662449757806169</v>
      </c>
      <c r="G5068" s="1">
        <v>0.55590850140972969</v>
      </c>
      <c r="H5068" s="1">
        <v>2.2079429755906821</v>
      </c>
      <c r="I5068" s="1">
        <v>8.1807570630651671</v>
      </c>
      <c r="J5068" s="1">
        <v>4.5982803516271001E-2</v>
      </c>
      <c r="K5068" s="1">
        <v>4.5294888355755338</v>
      </c>
      <c r="L5068" s="1">
        <v>2.2749792538562161</v>
      </c>
      <c r="M5068" s="1">
        <v>1.1704123723848752</v>
      </c>
      <c r="N5068" s="1">
        <v>1.5638748100521516</v>
      </c>
      <c r="O5068" s="1">
        <v>0.49362</v>
      </c>
      <c r="P5068" s="1">
        <v>0.16052295649156725</v>
      </c>
      <c r="Q5068" s="1">
        <v>0.88843824426212614</v>
      </c>
      <c r="R5068" s="2">
        <f t="shared" si="319"/>
        <v>29.994448355140491</v>
      </c>
      <c r="S5068" s="2">
        <f t="shared" si="318"/>
        <v>4.7359945955833718</v>
      </c>
      <c r="T5068" s="2">
        <f t="shared" si="320"/>
        <v>5.5028864362932426</v>
      </c>
      <c r="U5068" s="2">
        <f t="shared" si="321"/>
        <v>40.233329387017108</v>
      </c>
    </row>
    <row r="5069" spans="1:21" x14ac:dyDescent="0.25">
      <c r="A5069">
        <v>5517157</v>
      </c>
      <c r="B5069">
        <v>64</v>
      </c>
      <c r="C5069" s="1">
        <f>0.968613935169203*(10.3/7.3)</f>
        <v>1.3666744564716149</v>
      </c>
      <c r="D5069" s="1">
        <f>1.53450113852374*(10.3/7.3)</f>
        <v>2.1651180447663769</v>
      </c>
      <c r="E5069" s="1">
        <f>5.28158517649672*(10.3/7.3)</f>
        <v>7.4520996325912634</v>
      </c>
      <c r="F5069" s="1">
        <f>15.2417549343096*(38.9/42.5)</f>
        <v>13.950688633991604</v>
      </c>
      <c r="G5069" s="1">
        <v>0.80039175995964151</v>
      </c>
      <c r="H5069" s="1">
        <v>2.91923993390292</v>
      </c>
      <c r="I5069" s="1">
        <v>11.473515094311974</v>
      </c>
      <c r="J5069" s="1">
        <v>7.0993705062607632E-2</v>
      </c>
      <c r="K5069" s="1">
        <v>6.0262522129440557</v>
      </c>
      <c r="L5069" s="1">
        <v>3.197534250155329</v>
      </c>
      <c r="M5069" s="1">
        <v>1.6523241510155973</v>
      </c>
      <c r="N5069" s="1">
        <v>2.0121101343320311</v>
      </c>
      <c r="O5069" s="1">
        <v>0.72572666666666674</v>
      </c>
      <c r="P5069" s="1">
        <v>0.18753441615948274</v>
      </c>
      <c r="Q5069" s="1">
        <v>1.2791649131775107</v>
      </c>
      <c r="R5069" s="2">
        <f t="shared" si="319"/>
        <v>41.406892469172902</v>
      </c>
      <c r="S5069" s="2">
        <f t="shared" si="318"/>
        <v>6.2847803341661468</v>
      </c>
      <c r="T5069" s="2">
        <f t="shared" si="320"/>
        <v>7.5876952021696233</v>
      </c>
      <c r="U5069" s="2">
        <f t="shared" si="321"/>
        <v>55.279368005508672</v>
      </c>
    </row>
    <row r="5070" spans="1:21" x14ac:dyDescent="0.25">
      <c r="A5070">
        <v>5517165</v>
      </c>
      <c r="B5070">
        <v>3</v>
      </c>
      <c r="C5070" s="1">
        <f>1.1209259081666*(10.3/7.3)</f>
        <v>1.5815803909747892</v>
      </c>
      <c r="D5070" s="1">
        <f>1.81983735787796*(10.3/7.3)</f>
        <v>2.5677157241291724</v>
      </c>
      <c r="E5070" s="1">
        <f>6.24267616511252*(10.3/7.3)</f>
        <v>8.808159520638208</v>
      </c>
      <c r="F5070" s="1">
        <f>18.8143322682796*(38.9/42.5)</f>
        <v>17.22064765261355</v>
      </c>
      <c r="G5070" s="1">
        <v>1.015260497126139</v>
      </c>
      <c r="H5070" s="1">
        <v>3.3102672865777039</v>
      </c>
      <c r="I5070" s="1">
        <v>14.212292099869927</v>
      </c>
      <c r="J5070" s="1">
        <v>9.4255699460344067E-2</v>
      </c>
      <c r="K5070" s="1">
        <v>6.1913671324888888</v>
      </c>
      <c r="L5070" s="1">
        <v>3.7261405866081674</v>
      </c>
      <c r="M5070" s="1">
        <v>1.8808939497706039</v>
      </c>
      <c r="N5070" s="1">
        <v>2.3943366178756746</v>
      </c>
      <c r="O5070" s="1">
        <v>0.77688888888888885</v>
      </c>
      <c r="P5070" s="1">
        <v>0.18913491369044752</v>
      </c>
      <c r="Q5070" s="1">
        <v>1.6225624383294475</v>
      </c>
      <c r="R5070" s="2">
        <f t="shared" si="319"/>
        <v>50.338485610258935</v>
      </c>
      <c r="S5070" s="2">
        <f t="shared" si="318"/>
        <v>6.474757745639681</v>
      </c>
      <c r="T5070" s="2">
        <f t="shared" si="320"/>
        <v>8.7782600431433355</v>
      </c>
      <c r="U5070" s="2">
        <f t="shared" si="321"/>
        <v>65.591503399041954</v>
      </c>
    </row>
    <row r="5071" spans="1:21" x14ac:dyDescent="0.25">
      <c r="A5071">
        <v>5517613</v>
      </c>
      <c r="B5071">
        <v>42</v>
      </c>
      <c r="C5071" s="1">
        <f>3.98331635943651*(10.3/7.3)</f>
        <v>5.6202956852323336</v>
      </c>
      <c r="D5071" s="1">
        <f>7.7501877961843*(10.3/7.3)</f>
        <v>10.935196479547717</v>
      </c>
      <c r="E5071" s="1">
        <f>26.6658326857475*(10.3/7.3)</f>
        <v>37.62439406345193</v>
      </c>
      <c r="F5071" s="1">
        <f>68.2939139058464*(38.9/42.5)</f>
        <v>62.509017669115835</v>
      </c>
      <c r="G5071" s="1">
        <v>3.3796118179425259</v>
      </c>
      <c r="H5071" s="1">
        <v>9.1181589773312837</v>
      </c>
      <c r="I5071" s="1">
        <v>48.108494569505616</v>
      </c>
      <c r="J5071" s="1">
        <v>4.9403217230649936E-2</v>
      </c>
      <c r="K5071" s="1">
        <v>2.9978822100903715</v>
      </c>
      <c r="L5071" s="1">
        <v>3.6465808385748333</v>
      </c>
      <c r="M5071" s="1">
        <v>0.26818213053475121</v>
      </c>
      <c r="N5071" s="1">
        <v>2.1723858544504799</v>
      </c>
      <c r="O5071" s="1">
        <v>0.21248888888888892</v>
      </c>
      <c r="P5071" s="1">
        <v>0.14006663849040604</v>
      </c>
      <c r="Q5071" s="1">
        <v>5.4012061017346369</v>
      </c>
      <c r="R5071" s="2">
        <f t="shared" si="319"/>
        <v>182.69637536386188</v>
      </c>
      <c r="S5071" s="2">
        <f t="shared" si="318"/>
        <v>3.1873520658114272</v>
      </c>
      <c r="T5071" s="2">
        <f t="shared" si="320"/>
        <v>6.2996377124489538</v>
      </c>
      <c r="U5071" s="2">
        <f t="shared" si="321"/>
        <v>192.18336514212226</v>
      </c>
    </row>
    <row r="5072" spans="1:21" x14ac:dyDescent="0.25">
      <c r="A5072">
        <v>5517621</v>
      </c>
      <c r="B5072">
        <v>59</v>
      </c>
      <c r="C5072" s="1">
        <f>5.26352748700155*(10.3/7.3)</f>
        <v>7.426620974810402</v>
      </c>
      <c r="D5072" s="1">
        <f>9.92147143181422*(10.3/7.3)</f>
        <v>13.998788458587189</v>
      </c>
      <c r="E5072" s="1">
        <f>34.3114573096315*(10.3/7.3)</f>
        <v>48.412056204000649</v>
      </c>
      <c r="F5072" s="1">
        <f>80.5994389863627*(38.9/42.5)</f>
        <v>73.772192389870767</v>
      </c>
      <c r="G5072" s="1">
        <v>3.7243892594235271</v>
      </c>
      <c r="H5072" s="1">
        <v>7.7671177778759226</v>
      </c>
      <c r="I5072" s="1">
        <v>55.785467089554992</v>
      </c>
      <c r="J5072" s="1">
        <v>5.9775953133044395E-2</v>
      </c>
      <c r="K5072" s="1">
        <v>3.5140992720089099</v>
      </c>
      <c r="L5072" s="1">
        <v>4.5932807819486081</v>
      </c>
      <c r="M5072" s="1">
        <v>0.32136434734478109</v>
      </c>
      <c r="N5072" s="1">
        <v>2.9549342481614587</v>
      </c>
      <c r="O5072" s="1">
        <v>0.25289762711864411</v>
      </c>
      <c r="P5072" s="1">
        <v>0.1620961314438383</v>
      </c>
      <c r="Q5072" s="1">
        <v>5.9522202776175144</v>
      </c>
      <c r="R5072" s="2">
        <f t="shared" si="319"/>
        <v>216.83885243174097</v>
      </c>
      <c r="S5072" s="2">
        <f t="shared" si="318"/>
        <v>3.7359713565857926</v>
      </c>
      <c r="T5072" s="2">
        <f t="shared" si="320"/>
        <v>8.1224770045734918</v>
      </c>
      <c r="U5072" s="2">
        <f t="shared" si="321"/>
        <v>228.69730079290025</v>
      </c>
    </row>
    <row r="5073" spans="1:21" x14ac:dyDescent="0.25">
      <c r="A5073">
        <v>5517629</v>
      </c>
      <c r="B5073">
        <v>62</v>
      </c>
      <c r="C5073" s="1">
        <f>4.68493949735648*(10.3/7.3)</f>
        <v>6.6102570990098339</v>
      </c>
      <c r="D5073" s="1">
        <f>8.47177998541449*(10.3/7.3)</f>
        <v>11.953333404077981</v>
      </c>
      <c r="E5073" s="1">
        <f>29.3759403826066*(10.3/7.3)</f>
        <v>41.448244649431274</v>
      </c>
      <c r="F5073" s="1">
        <f>66.9608812964767*(38.9/42.5)</f>
        <v>61.288900763128062</v>
      </c>
      <c r="G5073" s="1">
        <v>3.0025970081723039</v>
      </c>
      <c r="H5073" s="1">
        <v>6.5747065266951328</v>
      </c>
      <c r="I5073" s="1">
        <v>46.373184317563855</v>
      </c>
      <c r="J5073" s="1">
        <v>5.2547835329392271E-2</v>
      </c>
      <c r="K5073" s="1">
        <v>3.1469920537835838</v>
      </c>
      <c r="L5073" s="1">
        <v>4.0022971122393063</v>
      </c>
      <c r="M5073" s="1">
        <v>0.28057753786708373</v>
      </c>
      <c r="N5073" s="1">
        <v>2.7837033844303898</v>
      </c>
      <c r="O5073" s="1">
        <v>0.22367569892473119</v>
      </c>
      <c r="P5073" s="1">
        <v>0.14670615885834151</v>
      </c>
      <c r="Q5073" s="1">
        <v>4.7986710176269778</v>
      </c>
      <c r="R5073" s="2">
        <f t="shared" si="319"/>
        <v>182.04989478570542</v>
      </c>
      <c r="S5073" s="2">
        <f t="shared" si="318"/>
        <v>3.3462460479713179</v>
      </c>
      <c r="T5073" s="2">
        <f t="shared" si="320"/>
        <v>7.290253733461511</v>
      </c>
      <c r="U5073" s="2">
        <f t="shared" si="321"/>
        <v>192.68639456713822</v>
      </c>
    </row>
    <row r="5074" spans="1:21" x14ac:dyDescent="0.25">
      <c r="A5074">
        <v>5517637</v>
      </c>
      <c r="B5074">
        <v>61</v>
      </c>
      <c r="C5074" s="1">
        <f>4.83520376973758*(10.3/7.3)</f>
        <v>6.8222738120954878</v>
      </c>
      <c r="D5074" s="1">
        <f>8.46021905606712*(10.3/7.3)</f>
        <v>11.937021407875523</v>
      </c>
      <c r="E5074" s="1">
        <f>29.3726149541626*(10.3/7.3)</f>
        <v>41.443552606558235</v>
      </c>
      <c r="F5074" s="1">
        <f>66.6640366664263*(38.9/42.5)</f>
        <v>61.017200619387822</v>
      </c>
      <c r="G5074" s="1">
        <v>2.966388511807216</v>
      </c>
      <c r="H5074" s="1">
        <v>6.4995010142066878</v>
      </c>
      <c r="I5074" s="1">
        <v>46.469161495183648</v>
      </c>
      <c r="J5074" s="1">
        <v>5.0625733588089701E-2</v>
      </c>
      <c r="K5074" s="1">
        <v>3.1302124638813442</v>
      </c>
      <c r="L5074" s="1">
        <v>3.9765670179608246</v>
      </c>
      <c r="M5074" s="1">
        <v>0.27474662943728057</v>
      </c>
      <c r="N5074" s="1">
        <v>2.4041124510714225</v>
      </c>
      <c r="O5074" s="1">
        <v>0.2210229508196721</v>
      </c>
      <c r="P5074" s="1">
        <v>0.14527170771576492</v>
      </c>
      <c r="Q5074" s="1">
        <v>4.7408035576827716</v>
      </c>
      <c r="R5074" s="2">
        <f t="shared" si="319"/>
        <v>181.89590302479738</v>
      </c>
      <c r="S5074" s="2">
        <f t="shared" si="318"/>
        <v>3.3261099051851986</v>
      </c>
      <c r="T5074" s="2">
        <f t="shared" si="320"/>
        <v>6.8764490492892003</v>
      </c>
      <c r="U5074" s="2">
        <f t="shared" si="321"/>
        <v>192.09846197927178</v>
      </c>
    </row>
    <row r="5075" spans="1:21" x14ac:dyDescent="0.25">
      <c r="A5075">
        <v>5517645</v>
      </c>
      <c r="B5075">
        <v>64</v>
      </c>
      <c r="C5075" s="1">
        <f>2.37734156147339*(10.3/7.3)</f>
        <v>3.3543312442706705</v>
      </c>
      <c r="D5075" s="1">
        <f>4.04088387750096*(10.3/7.3)</f>
        <v>5.7015210874328579</v>
      </c>
      <c r="E5075" s="1">
        <f>14.0536680130335*(10.3/7.3)</f>
        <v>19.829148018389763</v>
      </c>
      <c r="F5075" s="1">
        <f>31.3451067015134*(38.9/42.5)</f>
        <v>28.6899917809146</v>
      </c>
      <c r="G5075" s="1">
        <v>1.367960203790493</v>
      </c>
      <c r="H5075" s="1">
        <v>3.7934578119401463</v>
      </c>
      <c r="I5075" s="1">
        <v>21.897043886135808</v>
      </c>
      <c r="J5075" s="1">
        <v>3.2009668343516075E-2</v>
      </c>
      <c r="K5075" s="1">
        <v>2.214537314909621</v>
      </c>
      <c r="L5075" s="1">
        <v>2.4678893242157911</v>
      </c>
      <c r="M5075" s="1">
        <v>0.18537850568206007</v>
      </c>
      <c r="N5075" s="1">
        <v>1.5684950591153572</v>
      </c>
      <c r="O5075" s="1">
        <v>0.1482708333333333</v>
      </c>
      <c r="P5075" s="1">
        <v>0.10903097833254652</v>
      </c>
      <c r="Q5075" s="1">
        <v>2.1862377686149452</v>
      </c>
      <c r="R5075" s="2">
        <f t="shared" si="319"/>
        <v>86.819691801489284</v>
      </c>
      <c r="S5075" s="2">
        <f t="shared" si="318"/>
        <v>2.3555779615856838</v>
      </c>
      <c r="T5075" s="2">
        <f t="shared" si="320"/>
        <v>4.370033722346542</v>
      </c>
      <c r="U5075" s="2">
        <f t="shared" si="321"/>
        <v>93.545303485421513</v>
      </c>
    </row>
    <row r="5076" spans="1:21" x14ac:dyDescent="0.25">
      <c r="A5076">
        <v>5517653</v>
      </c>
      <c r="B5076">
        <v>64</v>
      </c>
      <c r="C5076" s="1">
        <f>3.41535846630199*(10.3/7.3)</f>
        <v>4.8189304387548599</v>
      </c>
      <c r="D5076" s="1">
        <f>5.7209617599403*(10.3/7.3)</f>
        <v>8.0720419352582251</v>
      </c>
      <c r="E5076" s="1">
        <f>19.8979450358041*(10.3/7.3)</f>
        <v>28.07518272175102</v>
      </c>
      <c r="F5076" s="1">
        <f>44.8190568643661*(38.9/42.5)</f>
        <v>41.022619106443301</v>
      </c>
      <c r="G5076" s="1">
        <v>1.9701027658888932</v>
      </c>
      <c r="H5076" s="1">
        <v>4.8150923283690457</v>
      </c>
      <c r="I5076" s="1">
        <v>31.508870672987708</v>
      </c>
      <c r="J5076" s="1">
        <v>3.8639541614052357E-2</v>
      </c>
      <c r="K5076" s="1">
        <v>2.5339661413140084</v>
      </c>
      <c r="L5076" s="1">
        <v>2.9983735913299756</v>
      </c>
      <c r="M5076" s="1">
        <v>0.21047315844981743</v>
      </c>
      <c r="N5076" s="1">
        <v>1.8165367973051694</v>
      </c>
      <c r="O5076" s="1">
        <v>0.17176166666666665</v>
      </c>
      <c r="P5076" s="1">
        <v>0.12100967693387296</v>
      </c>
      <c r="Q5076" s="1">
        <v>3.1485660642059963</v>
      </c>
      <c r="R5076" s="2">
        <f t="shared" si="319"/>
        <v>123.43140603365906</v>
      </c>
      <c r="S5076" s="2">
        <f t="shared" si="318"/>
        <v>2.6936153598619335</v>
      </c>
      <c r="T5076" s="2">
        <f t="shared" si="320"/>
        <v>5.1971452137516296</v>
      </c>
      <c r="U5076" s="2">
        <f t="shared" si="321"/>
        <v>131.32216660727264</v>
      </c>
    </row>
    <row r="5077" spans="1:21" x14ac:dyDescent="0.25">
      <c r="A5077">
        <v>5517661</v>
      </c>
      <c r="B5077">
        <v>65</v>
      </c>
      <c r="C5077" s="1">
        <f>4.67677916040839*(10.3/7.3)</f>
        <v>6.5987431989323921</v>
      </c>
      <c r="D5077" s="1">
        <f>7.70344643083454*(10.3/7.3)</f>
        <v>10.869246333917225</v>
      </c>
      <c r="E5077" s="1">
        <f>26.7962669996754*(10.3/7.3)</f>
        <v>37.808431520089897</v>
      </c>
      <c r="F5077" s="1">
        <f>60.9844204078558*(38.9/42.5)</f>
        <v>55.81868126742566</v>
      </c>
      <c r="G5077" s="1">
        <v>2.7001349655379414</v>
      </c>
      <c r="H5077" s="1">
        <v>5.9991208886534464</v>
      </c>
      <c r="I5077" s="1">
        <v>43.171473907424975</v>
      </c>
      <c r="J5077" s="1">
        <v>4.7305977247898125E-2</v>
      </c>
      <c r="K5077" s="1">
        <v>2.9276805621938871</v>
      </c>
      <c r="L5077" s="1">
        <v>3.6651344314706495</v>
      </c>
      <c r="M5077" s="1">
        <v>0.24443017818249899</v>
      </c>
      <c r="N5077" s="1">
        <v>2.1585526950374336</v>
      </c>
      <c r="O5077" s="1">
        <v>0.2002855384615384</v>
      </c>
      <c r="P5077" s="1">
        <v>0.13487769249765497</v>
      </c>
      <c r="Q5077" s="1">
        <v>4.3152841914989954</v>
      </c>
      <c r="R5077" s="2">
        <f t="shared" si="319"/>
        <v>167.28111627348054</v>
      </c>
      <c r="S5077" s="2">
        <f t="shared" si="318"/>
        <v>3.1098642319394405</v>
      </c>
      <c r="T5077" s="2">
        <f t="shared" si="320"/>
        <v>6.2684028431521206</v>
      </c>
      <c r="U5077" s="2">
        <f t="shared" si="321"/>
        <v>176.65938334857211</v>
      </c>
    </row>
    <row r="5078" spans="1:21" x14ac:dyDescent="0.25">
      <c r="A5078">
        <v>5517669</v>
      </c>
      <c r="B5078">
        <v>64</v>
      </c>
      <c r="C5078" s="1">
        <f>6.1499553318228*(10.3/7.3)</f>
        <v>8.6773342353116281</v>
      </c>
      <c r="D5078" s="1">
        <f>9.88984688899838*(10.3/7.3)</f>
        <v>13.95416752831278</v>
      </c>
      <c r="E5078" s="1">
        <f>34.4136175005254*(10.3/7.3)</f>
        <v>48.55620003498786</v>
      </c>
      <c r="F5078" s="1">
        <f>79.1784595027438*(38.9/42.5)</f>
        <v>72.471578227217279</v>
      </c>
      <c r="G5078" s="1">
        <v>3.5291485537425764</v>
      </c>
      <c r="H5078" s="1">
        <v>7.5145903033748231</v>
      </c>
      <c r="I5078" s="1">
        <v>56.544405109217983</v>
      </c>
      <c r="J5078" s="1">
        <v>5.7810070988930137E-2</v>
      </c>
      <c r="K5078" s="1">
        <v>3.3468451466010363</v>
      </c>
      <c r="L5078" s="1">
        <v>4.3888402484423628</v>
      </c>
      <c r="M5078" s="1">
        <v>0.27774043362561923</v>
      </c>
      <c r="N5078" s="1">
        <v>2.6157402337673901</v>
      </c>
      <c r="O5078" s="1">
        <v>0.22598083333333335</v>
      </c>
      <c r="P5078" s="1">
        <v>0.14941477037603507</v>
      </c>
      <c r="Q5078" s="1">
        <v>5.6401917525566345</v>
      </c>
      <c r="R5078" s="2">
        <f t="shared" si="319"/>
        <v>216.88761574472159</v>
      </c>
      <c r="S5078" s="2">
        <f t="shared" si="318"/>
        <v>3.5540699879660016</v>
      </c>
      <c r="T5078" s="2">
        <f t="shared" si="320"/>
        <v>7.5083017491687061</v>
      </c>
      <c r="U5078" s="2">
        <f t="shared" si="321"/>
        <v>227.94998748185628</v>
      </c>
    </row>
    <row r="5079" spans="1:21" x14ac:dyDescent="0.25">
      <c r="A5079">
        <v>5517677</v>
      </c>
      <c r="B5079">
        <v>54</v>
      </c>
      <c r="C5079" s="1">
        <f>6.00812864418068*(10.3/7.3)</f>
        <v>8.477222607542604</v>
      </c>
      <c r="D5079" s="1">
        <f>9.47435139201339*(10.3/7.3)</f>
        <v>13.36792045722437</v>
      </c>
      <c r="E5079" s="1">
        <f>32.9651929627557*(10.3/7.3)</f>
        <v>46.512532536490895</v>
      </c>
      <c r="F5079" s="1">
        <f>77.1522275593355*(38.9/42.5)</f>
        <v>70.616980048427095</v>
      </c>
      <c r="G5079" s="1">
        <v>3.4818996617365436</v>
      </c>
      <c r="H5079" s="1">
        <v>8.3145465266659837</v>
      </c>
      <c r="I5079" s="1">
        <v>55.598862875516758</v>
      </c>
      <c r="J5079" s="1">
        <v>5.6057436303696008E-2</v>
      </c>
      <c r="K5079" s="1">
        <v>3.1433105688151568</v>
      </c>
      <c r="L5079" s="1">
        <v>4.0616781104990141</v>
      </c>
      <c r="M5079" s="1">
        <v>0.25533696013740093</v>
      </c>
      <c r="N5079" s="1">
        <v>3.5665324762998951</v>
      </c>
      <c r="O5079" s="1">
        <v>0.20932641975308638</v>
      </c>
      <c r="P5079" s="1">
        <v>0.13970382934110401</v>
      </c>
      <c r="Q5079" s="1">
        <v>5.5646798246931102</v>
      </c>
      <c r="R5079" s="2">
        <f t="shared" si="319"/>
        <v>211.93464453829736</v>
      </c>
      <c r="S5079" s="2">
        <f t="shared" si="318"/>
        <v>3.3390718344599568</v>
      </c>
      <c r="T5079" s="2">
        <f t="shared" si="320"/>
        <v>8.0928739666893961</v>
      </c>
      <c r="U5079" s="2">
        <f t="shared" si="321"/>
        <v>223.3665903394467</v>
      </c>
    </row>
    <row r="5080" spans="1:21" x14ac:dyDescent="0.25">
      <c r="A5080">
        <v>5517717</v>
      </c>
      <c r="B5080">
        <v>20</v>
      </c>
      <c r="C5080" s="1">
        <f>3.87456278159988*(10.3/7.3)</f>
        <v>5.4668488562299657</v>
      </c>
      <c r="D5080" s="1">
        <f>12.6341806431135*(10.3/7.3)</f>
        <v>17.826309674529998</v>
      </c>
      <c r="E5080" s="1">
        <f>43.3992023408755*(10.3/7.3)</f>
        <v>61.234490974111949</v>
      </c>
      <c r="F5080" s="1">
        <f>88.4096733906256*(38.9/42.5)</f>
        <v>80.92085399753735</v>
      </c>
      <c r="G5080" s="1">
        <v>3.7805908951091758</v>
      </c>
      <c r="H5080" s="1">
        <v>9.9689274858689441</v>
      </c>
      <c r="I5080" s="1">
        <v>51.974150055251229</v>
      </c>
      <c r="J5080" s="1">
        <v>3.136873241598824E-2</v>
      </c>
      <c r="K5080" s="1">
        <v>1.9545839233528202</v>
      </c>
      <c r="L5080" s="1">
        <v>2.6989132538081586</v>
      </c>
      <c r="M5080" s="1">
        <v>0.14512725570138457</v>
      </c>
      <c r="N5080" s="1">
        <v>1.4238121166309152</v>
      </c>
      <c r="O5080" s="1">
        <v>0.11955733333333332</v>
      </c>
      <c r="P5080" s="1">
        <v>9.02418403930592E-2</v>
      </c>
      <c r="Q5080" s="1">
        <v>6.0420402433251743</v>
      </c>
      <c r="R5080" s="2">
        <f t="shared" si="319"/>
        <v>237.21421218196377</v>
      </c>
      <c r="S5080" s="2">
        <f t="shared" si="318"/>
        <v>2.0761944961618677</v>
      </c>
      <c r="T5080" s="2">
        <f t="shared" si="320"/>
        <v>4.3874099594737919</v>
      </c>
      <c r="U5080" s="2">
        <f t="shared" si="321"/>
        <v>243.67781663759942</v>
      </c>
    </row>
    <row r="5081" spans="1:21" x14ac:dyDescent="0.25">
      <c r="A5081">
        <v>5518005</v>
      </c>
      <c r="B5081">
        <v>3</v>
      </c>
      <c r="C5081" s="1">
        <f>7.44274622904412*(10.3/7.3)</f>
        <v>10.501409062897865</v>
      </c>
      <c r="D5081" s="1">
        <f>9.55265939778038*(10.3/7.3)</f>
        <v>13.47840983522438</v>
      </c>
      <c r="E5081" s="1">
        <f>33.2561600102349*(10.3/7.3)</f>
        <v>46.92307508293419</v>
      </c>
      <c r="F5081" s="1">
        <f>90.830241939747*(38.9/42.5)</f>
        <v>83.136386151909562</v>
      </c>
      <c r="G5081" s="1">
        <v>4.5038839751680229</v>
      </c>
      <c r="H5081" s="1">
        <v>8.9642808470914304</v>
      </c>
      <c r="I5081" s="1">
        <v>70.875799943143093</v>
      </c>
      <c r="J5081" s="1">
        <v>3.8053051294734345E-2</v>
      </c>
      <c r="K5081" s="1">
        <v>2.2208336930006278</v>
      </c>
      <c r="L5081" s="1">
        <v>2.2816806200918411</v>
      </c>
      <c r="M5081" s="1">
        <v>0.11347595885650059</v>
      </c>
      <c r="N5081" s="1">
        <v>1.5008934522695478</v>
      </c>
      <c r="O5081" s="1">
        <v>0.10746666666666665</v>
      </c>
      <c r="P5081" s="1">
        <v>8.1846979944828133E-2</v>
      </c>
      <c r="Q5081" s="1">
        <v>7.1979880881680813</v>
      </c>
      <c r="R5081" s="2">
        <f t="shared" si="319"/>
        <v>245.58123298653663</v>
      </c>
      <c r="S5081" s="2">
        <f t="shared" si="318"/>
        <v>2.3407337242401902</v>
      </c>
      <c r="T5081" s="2">
        <f t="shared" si="320"/>
        <v>4.0035166978845558</v>
      </c>
      <c r="U5081" s="2">
        <f t="shared" si="321"/>
        <v>251.92548340866136</v>
      </c>
    </row>
    <row r="5082" spans="1:21" x14ac:dyDescent="0.25">
      <c r="A5082">
        <v>5529369</v>
      </c>
      <c r="B5082">
        <v>12</v>
      </c>
      <c r="C5082" s="1">
        <f>0.532675462364802*(10.3/7.3)</f>
        <v>0.7515831866243099</v>
      </c>
      <c r="D5082" s="1">
        <f>0.797827185598178*(10.3/7.3)</f>
        <v>1.1257013714604425</v>
      </c>
      <c r="E5082" s="1">
        <f>2.7625026094522*(10.3/7.3)</f>
        <v>3.8977776544325518</v>
      </c>
      <c r="F5082" s="1">
        <f>7.41882916927055*(38.9/42.5)</f>
        <v>6.790410698461752</v>
      </c>
      <c r="G5082" s="1">
        <v>0.36998872169549107</v>
      </c>
      <c r="H5082" s="1">
        <v>1.5196225154448306</v>
      </c>
      <c r="I5082" s="1">
        <v>5.5728553565683141</v>
      </c>
      <c r="J5082" s="1">
        <v>3.4838824448641427E-2</v>
      </c>
      <c r="K5082" s="1">
        <v>3.4372866993915117</v>
      </c>
      <c r="L5082" s="1">
        <v>1.8872255336811552</v>
      </c>
      <c r="M5082" s="1">
        <v>0.84567428656863841</v>
      </c>
      <c r="N5082" s="1">
        <v>1.439148623773181</v>
      </c>
      <c r="O5082" s="1">
        <v>0.39621777777777778</v>
      </c>
      <c r="P5082" s="1">
        <v>0.13771628529497679</v>
      </c>
      <c r="Q5082" s="1">
        <v>0.59130617622567139</v>
      </c>
      <c r="R5082" s="2">
        <f t="shared" si="319"/>
        <v>20.619245680913362</v>
      </c>
      <c r="S5082" s="2">
        <f t="shared" si="318"/>
        <v>3.6098418091351299</v>
      </c>
      <c r="T5082" s="2">
        <f t="shared" si="320"/>
        <v>4.5682662218007533</v>
      </c>
      <c r="U5082" s="2">
        <f t="shared" si="321"/>
        <v>28.797353711849247</v>
      </c>
    </row>
    <row r="5083" spans="1:21" x14ac:dyDescent="0.25">
      <c r="A5083">
        <v>5529377</v>
      </c>
      <c r="B5083">
        <v>69</v>
      </c>
      <c r="C5083" s="1">
        <f>0.576992064063962*(10.3/7.3)</f>
        <v>0.81411209039161825</v>
      </c>
      <c r="D5083" s="1">
        <f>0.874178468594248*(10.3/7.3)</f>
        <v>1.2334298940439383</v>
      </c>
      <c r="E5083" s="1">
        <f>3.02388332322457*(10.3/7.3)</f>
        <v>4.2665750998922007</v>
      </c>
      <c r="F5083" s="1">
        <f>8.20662312058202*(38.9/42.5)</f>
        <v>7.5114738680150683</v>
      </c>
      <c r="G5083" s="1">
        <v>0.4126998832262036</v>
      </c>
      <c r="H5083" s="1">
        <v>1.6933103859508187</v>
      </c>
      <c r="I5083" s="1">
        <v>6.1617556435515111</v>
      </c>
      <c r="J5083" s="1">
        <v>3.7825640171630093E-2</v>
      </c>
      <c r="K5083" s="1">
        <v>3.8603250858298961</v>
      </c>
      <c r="L5083" s="1">
        <v>1.9806912485350727</v>
      </c>
      <c r="M5083" s="1">
        <v>0.94976446086784883</v>
      </c>
      <c r="N5083" s="1">
        <v>1.4532959591654042</v>
      </c>
      <c r="O5083" s="1">
        <v>0.4372251207729469</v>
      </c>
      <c r="P5083" s="1">
        <v>0.14312346873327333</v>
      </c>
      <c r="Q5083" s="1">
        <v>0.659566023420874</v>
      </c>
      <c r="R5083" s="2">
        <f t="shared" si="319"/>
        <v>22.752922888492229</v>
      </c>
      <c r="S5083" s="2">
        <f t="shared" si="318"/>
        <v>4.0412741947347994</v>
      </c>
      <c r="T5083" s="2">
        <f t="shared" si="320"/>
        <v>4.8209767893412732</v>
      </c>
      <c r="U5083" s="2">
        <f t="shared" si="321"/>
        <v>31.615173872568302</v>
      </c>
    </row>
    <row r="5084" spans="1:21" x14ac:dyDescent="0.25">
      <c r="A5084">
        <v>5529385</v>
      </c>
      <c r="B5084">
        <v>69</v>
      </c>
      <c r="C5084" s="1">
        <f>0.851011054771863*(10.3/7.3)</f>
        <v>1.2007416252260537</v>
      </c>
      <c r="D5084" s="1">
        <f>1.32984992127575*(10.3/7.3)</f>
        <v>1.8763635875534559</v>
      </c>
      <c r="E5084" s="1">
        <f>4.58591746764632*(10.3/7.3)</f>
        <v>6.4705410844872686</v>
      </c>
      <c r="F5084" s="1">
        <f>12.9028750687947*(38.9/42.5)</f>
        <v>11.80992565120267</v>
      </c>
      <c r="G5084" s="1">
        <v>0.66626270889637307</v>
      </c>
      <c r="H5084" s="1">
        <v>2.5926594150105324</v>
      </c>
      <c r="I5084" s="1">
        <v>9.692493035835918</v>
      </c>
      <c r="J5084" s="1">
        <v>5.5049357683539094E-2</v>
      </c>
      <c r="K5084" s="1">
        <v>5.4880873896996558</v>
      </c>
      <c r="L5084" s="1">
        <v>2.635206850933403</v>
      </c>
      <c r="M5084" s="1">
        <v>1.3623126952481537</v>
      </c>
      <c r="N5084" s="1">
        <v>1.7063346979565988</v>
      </c>
      <c r="O5084" s="1">
        <v>0.62367458937198061</v>
      </c>
      <c r="P5084" s="1">
        <v>0.17429707187560681</v>
      </c>
      <c r="Q5084" s="1">
        <v>1.0648034160444333</v>
      </c>
      <c r="R5084" s="2">
        <f t="shared" si="319"/>
        <v>35.373790524256705</v>
      </c>
      <c r="S5084" s="2">
        <f t="shared" si="318"/>
        <v>5.7174338192588019</v>
      </c>
      <c r="T5084" s="2">
        <f t="shared" si="320"/>
        <v>6.3275288335101356</v>
      </c>
      <c r="U5084" s="2">
        <f t="shared" si="321"/>
        <v>47.418753177025643</v>
      </c>
    </row>
    <row r="5085" spans="1:21" x14ac:dyDescent="0.25">
      <c r="A5085">
        <v>5529393</v>
      </c>
      <c r="B5085">
        <v>21</v>
      </c>
      <c r="C5085" s="1">
        <f>1.17996792695008*(10.3/7.3)</f>
        <v>1.6648862530939499</v>
      </c>
      <c r="D5085" s="1">
        <f>1.9084691132494*(10.3/7.3)</f>
        <v>2.6927714885573661</v>
      </c>
      <c r="E5085" s="1">
        <f>6.55288647868116*(10.3/7.3)</f>
        <v>9.245853524714521</v>
      </c>
      <c r="F5085" s="1">
        <f>19.4762289996429*(38.9/42.5)</f>
        <v>17.826477837320212</v>
      </c>
      <c r="G5085" s="1">
        <v>1.0424265543415627</v>
      </c>
      <c r="H5085" s="1">
        <v>3.4660488988860152</v>
      </c>
      <c r="I5085" s="1">
        <v>14.68463157155761</v>
      </c>
      <c r="J5085" s="1">
        <v>8.5963266974808702E-2</v>
      </c>
      <c r="K5085" s="1">
        <v>6.7353821846494251</v>
      </c>
      <c r="L5085" s="1">
        <v>3.7580917765539836</v>
      </c>
      <c r="M5085" s="1">
        <v>1.8396835781167882</v>
      </c>
      <c r="N5085" s="1">
        <v>2.1993709213152255</v>
      </c>
      <c r="O5085" s="1">
        <v>0.8528</v>
      </c>
      <c r="P5085" s="1">
        <v>0.19591799714436975</v>
      </c>
      <c r="Q5085" s="1">
        <v>1.6659785115047829</v>
      </c>
      <c r="R5085" s="2">
        <f t="shared" si="319"/>
        <v>52.289074639976015</v>
      </c>
      <c r="S5085" s="2">
        <f t="shared" si="318"/>
        <v>7.0172634487686034</v>
      </c>
      <c r="T5085" s="2">
        <f t="shared" si="320"/>
        <v>8.6499462759859966</v>
      </c>
      <c r="U5085" s="2">
        <f t="shared" si="321"/>
        <v>67.956284364730607</v>
      </c>
    </row>
    <row r="5086" spans="1:21" x14ac:dyDescent="0.25">
      <c r="A5086">
        <v>5529849</v>
      </c>
      <c r="B5086">
        <v>31</v>
      </c>
      <c r="C5086" s="1">
        <f>4.18898910919979*(10.3/7.3)</f>
        <v>5.9104914828435371</v>
      </c>
      <c r="D5086" s="1">
        <f>9.09140619701073*(10.3/7.3)</f>
        <v>12.827600524549391</v>
      </c>
      <c r="E5086" s="1">
        <f>31.0081583740229*(10.3/7.3)</f>
        <v>43.751237157867891</v>
      </c>
      <c r="F5086" s="1">
        <f>88.4474334490057*(38.9/42.5)</f>
        <v>80.955415556854661</v>
      </c>
      <c r="G5086" s="1">
        <v>4.7255460936898412</v>
      </c>
      <c r="H5086" s="1">
        <v>8.3850371671707045</v>
      </c>
      <c r="I5086" s="1">
        <v>62.892552542501413</v>
      </c>
      <c r="J5086" s="1">
        <v>5.2001420187495005E-2</v>
      </c>
      <c r="K5086" s="1">
        <v>3.0546997459237213</v>
      </c>
      <c r="L5086" s="1">
        <v>3.8070684194298781</v>
      </c>
      <c r="M5086" s="1">
        <v>0.27556585830580016</v>
      </c>
      <c r="N5086" s="1">
        <v>2.3005315224993432</v>
      </c>
      <c r="O5086" s="1">
        <v>0.21976946236559142</v>
      </c>
      <c r="P5086" s="1">
        <v>0.14340041217765534</v>
      </c>
      <c r="Q5086" s="1">
        <v>7.5522426154860574</v>
      </c>
      <c r="R5086" s="2">
        <f t="shared" si="319"/>
        <v>227.0001231409635</v>
      </c>
      <c r="S5086" s="2">
        <f t="shared" si="318"/>
        <v>3.2501015782888718</v>
      </c>
      <c r="T5086" s="2">
        <f t="shared" si="320"/>
        <v>6.6029352626006128</v>
      </c>
      <c r="U5086" s="2">
        <f t="shared" si="321"/>
        <v>236.853159981853</v>
      </c>
    </row>
    <row r="5087" spans="1:21" x14ac:dyDescent="0.25">
      <c r="A5087">
        <v>5529857</v>
      </c>
      <c r="B5087">
        <v>65</v>
      </c>
      <c r="C5087" s="1">
        <f>5.0431095815702*(10.3/7.3)</f>
        <v>7.1156203685168649</v>
      </c>
      <c r="D5087" s="1">
        <f>9.59875178173255*(10.3/7.3)</f>
        <v>13.543444294773327</v>
      </c>
      <c r="E5087" s="1">
        <f>33.2134053310642*(10.3/7.3)</f>
        <v>46.86274998766595</v>
      </c>
      <c r="F5087" s="1">
        <f>76.6095418841826*(38.9/42.5)</f>
        <v>70.120263042228302</v>
      </c>
      <c r="G5087" s="1">
        <v>3.4901723768061674</v>
      </c>
      <c r="H5087" s="1">
        <v>7.3976892656293769</v>
      </c>
      <c r="I5087" s="1">
        <v>52.627716415607168</v>
      </c>
      <c r="J5087" s="1">
        <v>6.2771345181976426E-2</v>
      </c>
      <c r="K5087" s="1">
        <v>3.4186992841275741</v>
      </c>
      <c r="L5087" s="1">
        <v>4.4495455390327541</v>
      </c>
      <c r="M5087" s="1">
        <v>0.31002427231450713</v>
      </c>
      <c r="N5087" s="1">
        <v>3.2627555497207119</v>
      </c>
      <c r="O5087" s="1">
        <v>0.24557374358974357</v>
      </c>
      <c r="P5087" s="1">
        <v>0.15833499210169547</v>
      </c>
      <c r="Q5087" s="1">
        <v>5.577901058822647</v>
      </c>
      <c r="R5087" s="2">
        <f t="shared" si="319"/>
        <v>206.73555681004979</v>
      </c>
      <c r="S5087" s="2">
        <f t="shared" si="318"/>
        <v>3.639805621411246</v>
      </c>
      <c r="T5087" s="2">
        <f t="shared" si="320"/>
        <v>8.267899104657717</v>
      </c>
      <c r="U5087" s="2">
        <f t="shared" si="321"/>
        <v>218.64326153611876</v>
      </c>
    </row>
    <row r="5088" spans="1:21" x14ac:dyDescent="0.25">
      <c r="A5088">
        <v>5529865</v>
      </c>
      <c r="B5088">
        <v>12</v>
      </c>
      <c r="C5088" s="1">
        <f>4.34440107325104*(10.3/7.3)</f>
        <v>6.1297713773268132</v>
      </c>
      <c r="D5088" s="1">
        <f>7.84731976324339*(10.3/7.3)</f>
        <v>11.072245693343415</v>
      </c>
      <c r="E5088" s="1">
        <f>27.2144737818965*(10.3/7.3)</f>
        <v>38.398504103223814</v>
      </c>
      <c r="F5088" s="1">
        <f>61.8866347116775*(38.9/42.5)</f>
        <v>56.644472712570717</v>
      </c>
      <c r="G5088" s="1">
        <v>2.7689247785079671</v>
      </c>
      <c r="H5088" s="1">
        <v>6.2803711305690513</v>
      </c>
      <c r="I5088" s="1">
        <v>42.840507434964707</v>
      </c>
      <c r="J5088" s="1">
        <v>4.8299681167790508E-2</v>
      </c>
      <c r="K5088" s="1">
        <v>2.9674760654120065</v>
      </c>
      <c r="L5088" s="1">
        <v>3.6491672138804643</v>
      </c>
      <c r="M5088" s="1">
        <v>0.25782882866362467</v>
      </c>
      <c r="N5088" s="1">
        <v>2.4831819460882163</v>
      </c>
      <c r="O5088" s="1">
        <v>0.20792888888888886</v>
      </c>
      <c r="P5088" s="1">
        <v>0.13745971730954751</v>
      </c>
      <c r="Q5088" s="1">
        <v>4.4252222487570307</v>
      </c>
      <c r="R5088" s="2">
        <f t="shared" si="319"/>
        <v>168.5600194792635</v>
      </c>
      <c r="S5088" s="2">
        <f t="shared" si="318"/>
        <v>3.1532354638893447</v>
      </c>
      <c r="T5088" s="2">
        <f t="shared" si="320"/>
        <v>6.598106877521194</v>
      </c>
      <c r="U5088" s="2">
        <f t="shared" si="321"/>
        <v>178.31136182067402</v>
      </c>
    </row>
    <row r="5089" spans="1:21" x14ac:dyDescent="0.25">
      <c r="A5089">
        <v>5529873</v>
      </c>
      <c r="B5089">
        <v>69</v>
      </c>
      <c r="C5089" s="1">
        <f>3.7380551916459*(10.3/7.3)</f>
        <v>5.2742422567058567</v>
      </c>
      <c r="D5089" s="1">
        <f>6.51651961673104*(10.3/7.3)</f>
        <v>9.1945413770314666</v>
      </c>
      <c r="E5089" s="1">
        <f>22.6298601161198*(10.3/7.3)</f>
        <v>31.929802629593699</v>
      </c>
      <c r="F5089" s="1">
        <f>51.2207419532867*(38.9/42.5)</f>
        <v>46.882043811361228</v>
      </c>
      <c r="G5089" s="1">
        <v>2.2726468012069567</v>
      </c>
      <c r="H5089" s="1">
        <v>5.5514981502898433</v>
      </c>
      <c r="I5089" s="1">
        <v>35.708163675673767</v>
      </c>
      <c r="J5089" s="1">
        <v>4.2641245966126555E-2</v>
      </c>
      <c r="K5089" s="1">
        <v>2.7590459031837606</v>
      </c>
      <c r="L5089" s="1">
        <v>3.3001540650768111</v>
      </c>
      <c r="M5089" s="1">
        <v>0.23765051240033741</v>
      </c>
      <c r="N5089" s="1">
        <v>2.065765635661144</v>
      </c>
      <c r="O5089" s="1">
        <v>0.19178898550724638</v>
      </c>
      <c r="P5089" s="1">
        <v>0.13050273707380322</v>
      </c>
      <c r="Q5089" s="1">
        <v>3.632083928869569</v>
      </c>
      <c r="R5089" s="2">
        <f t="shared" si="319"/>
        <v>140.44502263073241</v>
      </c>
      <c r="S5089" s="2">
        <f t="shared" si="318"/>
        <v>2.9321898862236906</v>
      </c>
      <c r="T5089" s="2">
        <f t="shared" si="320"/>
        <v>5.7953591986455386</v>
      </c>
      <c r="U5089" s="2">
        <f t="shared" si="321"/>
        <v>149.17257171560163</v>
      </c>
    </row>
    <row r="5090" spans="1:21" x14ac:dyDescent="0.25">
      <c r="A5090">
        <v>5529881</v>
      </c>
      <c r="B5090">
        <v>69</v>
      </c>
      <c r="C5090" s="1">
        <f>2.32942983506085*(10.3/7.3)</f>
        <v>3.286729767277631</v>
      </c>
      <c r="D5090" s="1">
        <f>3.95037337594964*(10.3/7.3)</f>
        <v>5.5738144893536035</v>
      </c>
      <c r="E5090" s="1">
        <f>13.7391178210238*(10.3/7.3)</f>
        <v>19.385330624184256</v>
      </c>
      <c r="F5090" s="1">
        <f>30.6854102250296*(38.9/42.5)</f>
        <v>28.086175476556491</v>
      </c>
      <c r="G5090" s="1">
        <v>1.3404714634264874</v>
      </c>
      <c r="H5090" s="1">
        <v>3.7318958671014935</v>
      </c>
      <c r="I5090" s="1">
        <v>21.456586575765222</v>
      </c>
      <c r="J5090" s="1">
        <v>3.1721699323311515E-2</v>
      </c>
      <c r="K5090" s="1">
        <v>2.1876834340295495</v>
      </c>
      <c r="L5090" s="1">
        <v>2.4368279820617569</v>
      </c>
      <c r="M5090" s="1">
        <v>0.18281814341356842</v>
      </c>
      <c r="N5090" s="1">
        <v>1.5538542255584036</v>
      </c>
      <c r="O5090" s="1">
        <v>0.14613565217391297</v>
      </c>
      <c r="P5090" s="1">
        <v>0.10768482953192651</v>
      </c>
      <c r="Q5090" s="1">
        <v>2.1423059917774929</v>
      </c>
      <c r="R5090" s="2">
        <f t="shared" si="319"/>
        <v>85.003310255442685</v>
      </c>
      <c r="S5090" s="2">
        <f t="shared" si="318"/>
        <v>2.3270899628847874</v>
      </c>
      <c r="T5090" s="2">
        <f t="shared" si="320"/>
        <v>4.3196360032076422</v>
      </c>
      <c r="U5090" s="2">
        <f t="shared" si="321"/>
        <v>91.650036221535117</v>
      </c>
    </row>
    <row r="5091" spans="1:21" x14ac:dyDescent="0.25">
      <c r="A5091">
        <v>5529889</v>
      </c>
      <c r="B5091">
        <v>68</v>
      </c>
      <c r="C5091" s="1">
        <f>2.72766043798906*(10.3/7.3)</f>
        <v>3.8486167823681314</v>
      </c>
      <c r="D5091" s="1">
        <f>4.56405896461223*(10.3/7.3)</f>
        <v>6.4396996350008244</v>
      </c>
      <c r="E5091" s="1">
        <f>15.876482940495*(10.3/7.3)</f>
        <v>22.401064970835346</v>
      </c>
      <c r="F5091" s="1">
        <f>35.6723000021111*(38.9/42.5)</f>
        <v>32.650646354873416</v>
      </c>
      <c r="G5091" s="1">
        <v>1.5642655683954001</v>
      </c>
      <c r="H5091" s="1">
        <v>4.1752945036004743</v>
      </c>
      <c r="I5091" s="1">
        <v>25.068361566603894</v>
      </c>
      <c r="J5091" s="1">
        <v>3.4215073496330316E-2</v>
      </c>
      <c r="K5091" s="1">
        <v>2.3053148253188631</v>
      </c>
      <c r="L5091" s="1">
        <v>2.6167627641291906</v>
      </c>
      <c r="M5091" s="1">
        <v>0.19068463563856372</v>
      </c>
      <c r="N5091" s="1">
        <v>1.6381775381823467</v>
      </c>
      <c r="O5091" s="1">
        <v>0.15528</v>
      </c>
      <c r="P5091" s="1">
        <v>0.11157930880250848</v>
      </c>
      <c r="Q5091" s="1">
        <v>2.4999678033716464</v>
      </c>
      <c r="R5091" s="2">
        <f t="shared" si="319"/>
        <v>98.647917185049124</v>
      </c>
      <c r="S5091" s="2">
        <f t="shared" si="318"/>
        <v>2.4511092076177019</v>
      </c>
      <c r="T5091" s="2">
        <f t="shared" si="320"/>
        <v>4.6009049379501015</v>
      </c>
      <c r="U5091" s="2">
        <f t="shared" si="321"/>
        <v>105.69993133061693</v>
      </c>
    </row>
    <row r="5092" spans="1:21" x14ac:dyDescent="0.25">
      <c r="A5092">
        <v>5529897</v>
      </c>
      <c r="B5092">
        <v>68</v>
      </c>
      <c r="C5092" s="1">
        <f>5.2189229741994*(10.3/7.3)</f>
        <v>7.3636858403087384</v>
      </c>
      <c r="D5092" s="1">
        <f>8.52180711713435*(10.3/7.3)</f>
        <v>12.023919631025183</v>
      </c>
      <c r="E5092" s="1">
        <f>29.6425880649264*(10.3/7.3)</f>
        <v>41.824473571060565</v>
      </c>
      <c r="F5092" s="1">
        <f>67.934915425038*(38.9/42.5)</f>
        <v>62.180428471387749</v>
      </c>
      <c r="G5092" s="1">
        <v>3.0233663159011779</v>
      </c>
      <c r="H5092" s="1">
        <v>6.4473703964710989</v>
      </c>
      <c r="I5092" s="1">
        <v>48.283380741782821</v>
      </c>
      <c r="J5092" s="1">
        <v>5.1146579688626188E-2</v>
      </c>
      <c r="K5092" s="1">
        <v>3.0805372974310465</v>
      </c>
      <c r="L5092" s="1">
        <v>3.922376695699096</v>
      </c>
      <c r="M5092" s="1">
        <v>0.25724575855684356</v>
      </c>
      <c r="N5092" s="1">
        <v>2.326914097550278</v>
      </c>
      <c r="O5092" s="1">
        <v>0.20966274509803928</v>
      </c>
      <c r="P5092" s="1">
        <v>0.14035681136706893</v>
      </c>
      <c r="Q5092" s="1">
        <v>4.8318639751845387</v>
      </c>
      <c r="R5092" s="2">
        <f t="shared" si="319"/>
        <v>185.97848894312187</v>
      </c>
      <c r="S5092" s="2">
        <f t="shared" si="318"/>
        <v>3.2720406884867415</v>
      </c>
      <c r="T5092" s="2">
        <f t="shared" si="320"/>
        <v>6.7161992969042563</v>
      </c>
      <c r="U5092" s="2">
        <f t="shared" si="321"/>
        <v>195.96672892851288</v>
      </c>
    </row>
    <row r="5093" spans="1:21" x14ac:dyDescent="0.25">
      <c r="A5093">
        <v>5529905</v>
      </c>
      <c r="B5093">
        <v>65</v>
      </c>
      <c r="C5093" s="1">
        <f>5.69274802866565*(10.3/7.3)</f>
        <v>8.032233519898103</v>
      </c>
      <c r="D5093" s="1">
        <f>9.09934932900219*(10.3/7.3)</f>
        <v>12.838807957359256</v>
      </c>
      <c r="E5093" s="1">
        <f>31.662953059807*(10.3/7.3)</f>
        <v>44.675125550138702</v>
      </c>
      <c r="F5093" s="1">
        <f>73.194349571102*(38.9/42.5)</f>
        <v>66.99435760743215</v>
      </c>
      <c r="G5093" s="1">
        <v>3.273519130469996</v>
      </c>
      <c r="H5093" s="1">
        <v>6.8958418167577378</v>
      </c>
      <c r="I5093" s="1">
        <v>52.411470390596953</v>
      </c>
      <c r="J5093" s="1">
        <v>5.3920936065228166E-2</v>
      </c>
      <c r="K5093" s="1">
        <v>3.1550457231852311</v>
      </c>
      <c r="L5093" s="1">
        <v>4.0520515000674191</v>
      </c>
      <c r="M5093" s="1">
        <v>0.25941557356101913</v>
      </c>
      <c r="N5093" s="1">
        <v>2.6201047973796801</v>
      </c>
      <c r="O5093" s="1">
        <v>0.21218625641025649</v>
      </c>
      <c r="P5093" s="1">
        <v>0.14147694503818511</v>
      </c>
      <c r="Q5093" s="1">
        <v>5.2316515783767112</v>
      </c>
      <c r="R5093" s="2">
        <f t="shared" si="319"/>
        <v>200.35300755102961</v>
      </c>
      <c r="S5093" s="2">
        <f t="shared" si="318"/>
        <v>3.3504436042886443</v>
      </c>
      <c r="T5093" s="2">
        <f t="shared" si="320"/>
        <v>7.1437581274183746</v>
      </c>
      <c r="U5093" s="2">
        <f t="shared" si="321"/>
        <v>210.84720928273663</v>
      </c>
    </row>
    <row r="5094" spans="1:21" x14ac:dyDescent="0.25">
      <c r="A5094">
        <v>5529913</v>
      </c>
      <c r="B5094">
        <v>59</v>
      </c>
      <c r="C5094" s="1">
        <f>5.84206321309624*(10.3/7.3)</f>
        <v>8.2429111088892171</v>
      </c>
      <c r="D5094" s="1">
        <f>9.16297290586497*(10.3/7.3)</f>
        <v>12.928578209645089</v>
      </c>
      <c r="E5094" s="1">
        <f>31.8823471989065*(10.3/7.3)</f>
        <v>44.984681664210484</v>
      </c>
      <c r="F5094" s="1">
        <f>74.9049346407896*(38.9/42.5)</f>
        <v>68.560046059452176</v>
      </c>
      <c r="G5094" s="1">
        <v>3.389356259621966</v>
      </c>
      <c r="H5094" s="1">
        <v>7.9708833508470871</v>
      </c>
      <c r="I5094" s="1">
        <v>54.100919109636052</v>
      </c>
      <c r="J5094" s="1">
        <v>5.6042221501523243E-2</v>
      </c>
      <c r="K5094" s="1">
        <v>3.0870262832905406</v>
      </c>
      <c r="L5094" s="1">
        <v>3.9295611799439731</v>
      </c>
      <c r="M5094" s="1">
        <v>0.24793125461356072</v>
      </c>
      <c r="N5094" s="1">
        <v>2.6688101372945985</v>
      </c>
      <c r="O5094" s="1">
        <v>0.20325514124293786</v>
      </c>
      <c r="P5094" s="1">
        <v>0.1366695342139643</v>
      </c>
      <c r="Q5094" s="1">
        <v>5.4167794103547475</v>
      </c>
      <c r="R5094" s="2">
        <f t="shared" si="319"/>
        <v>205.5941551726568</v>
      </c>
      <c r="S5094" s="2">
        <f t="shared" si="318"/>
        <v>3.2797380390060278</v>
      </c>
      <c r="T5094" s="2">
        <f t="shared" si="320"/>
        <v>7.0495577130950702</v>
      </c>
      <c r="U5094" s="2">
        <f t="shared" si="321"/>
        <v>215.9234509247579</v>
      </c>
    </row>
    <row r="5095" spans="1:21" x14ac:dyDescent="0.25">
      <c r="A5095">
        <v>5529953</v>
      </c>
      <c r="B5095">
        <v>33</v>
      </c>
      <c r="C5095" s="1">
        <f>4.22048102619082*(10.3/7.3)</f>
        <v>5.9549252835295192</v>
      </c>
      <c r="D5095" s="1">
        <f>7.9031643179611*(10.3/7.3)</f>
        <v>11.151040065068397</v>
      </c>
      <c r="E5095" s="1">
        <f>27.227557868708*(10.3/7.3)</f>
        <v>38.416965212012691</v>
      </c>
      <c r="F5095" s="1">
        <f>69.5222305306439*(38.9/42.5)</f>
        <v>63.633288650401155</v>
      </c>
      <c r="G5095" s="1">
        <v>3.4214080745214233</v>
      </c>
      <c r="H5095" s="1">
        <v>9.6571686781062525</v>
      </c>
      <c r="I5095" s="1">
        <v>49.298896806259471</v>
      </c>
      <c r="J5095" s="1">
        <v>3.1307128812349337E-2</v>
      </c>
      <c r="K5095" s="1">
        <v>1.9750287472664685</v>
      </c>
      <c r="L5095" s="1">
        <v>2.6736196117562887</v>
      </c>
      <c r="M5095" s="1">
        <v>0.1483145968029472</v>
      </c>
      <c r="N5095" s="1">
        <v>1.5511933345939894</v>
      </c>
      <c r="O5095" s="1">
        <v>0.12143838383838385</v>
      </c>
      <c r="P5095" s="1">
        <v>9.0991285940512034E-2</v>
      </c>
      <c r="Q5095" s="1">
        <v>5.4680037720662078</v>
      </c>
      <c r="R5095" s="2">
        <f t="shared" si="319"/>
        <v>187.00169654196512</v>
      </c>
      <c r="S5095" s="2">
        <f t="shared" si="318"/>
        <v>2.0973271620193299</v>
      </c>
      <c r="T5095" s="2">
        <f t="shared" si="320"/>
        <v>4.4945659269916094</v>
      </c>
      <c r="U5095" s="2">
        <f t="shared" si="321"/>
        <v>193.59358963097606</v>
      </c>
    </row>
    <row r="5096" spans="1:21" x14ac:dyDescent="0.25">
      <c r="A5096">
        <v>5541605</v>
      </c>
      <c r="B5096">
        <v>43</v>
      </c>
      <c r="C5096" s="1">
        <f>0.589740489413764*(10.3/7.3)</f>
        <v>0.83209959465229655</v>
      </c>
      <c r="D5096" s="1">
        <f>0.892834873941616*(10.3/7.3)</f>
        <v>1.2597533152874856</v>
      </c>
      <c r="E5096" s="1">
        <f>3.08892149229512*(10.3/7.3)</f>
        <v>4.3583412836492741</v>
      </c>
      <c r="F5096" s="1">
        <f>8.36173090856283*(38.9/42.5)</f>
        <v>7.6534431139551549</v>
      </c>
      <c r="G5096" s="1">
        <v>0.41974529505250585</v>
      </c>
      <c r="H5096" s="1">
        <v>1.6851440821930259</v>
      </c>
      <c r="I5096" s="1">
        <v>6.276130438408523</v>
      </c>
      <c r="J5096" s="1">
        <v>3.5972302587183036E-2</v>
      </c>
      <c r="K5096" s="1">
        <v>3.8190409615892924</v>
      </c>
      <c r="L5096" s="1">
        <v>1.95056456123248</v>
      </c>
      <c r="M5096" s="1">
        <v>0.87865905793081822</v>
      </c>
      <c r="N5096" s="1">
        <v>1.3060293160155174</v>
      </c>
      <c r="O5096" s="1">
        <v>0.44304620155038754</v>
      </c>
      <c r="P5096" s="1">
        <v>0.14223796751965156</v>
      </c>
      <c r="Q5096" s="1">
        <v>0.67082581401085506</v>
      </c>
      <c r="R5096" s="2">
        <f t="shared" si="319"/>
        <v>23.155482937209118</v>
      </c>
      <c r="S5096" s="2">
        <f t="shared" si="318"/>
        <v>3.9972512316961271</v>
      </c>
      <c r="T5096" s="2">
        <f t="shared" si="320"/>
        <v>4.5782991367292034</v>
      </c>
      <c r="U5096" s="2">
        <f t="shared" si="321"/>
        <v>31.731033305634448</v>
      </c>
    </row>
    <row r="5097" spans="1:21" x14ac:dyDescent="0.25">
      <c r="A5097">
        <v>5541613</v>
      </c>
      <c r="B5097">
        <v>55</v>
      </c>
      <c r="C5097" s="1">
        <f>0.716461785343667*(10.3/7.3)</f>
        <v>1.0108981354848994</v>
      </c>
      <c r="D5097" s="1">
        <f>1.10701844714777*(10.3/7.3)</f>
        <v>1.5619575350167179</v>
      </c>
      <c r="E5097" s="1">
        <f>3.82258634423633*(10.3/7.3)</f>
        <v>5.3935122391279666</v>
      </c>
      <c r="F5097" s="1">
        <f>10.5750375823161*(38.9/42.5)</f>
        <v>9.6792696929904682</v>
      </c>
      <c r="G5097" s="1">
        <v>0.5396272256629201</v>
      </c>
      <c r="H5097" s="1">
        <v>2.1362443345676736</v>
      </c>
      <c r="I5097" s="1">
        <v>7.9364527111746925</v>
      </c>
      <c r="J5097" s="1">
        <v>4.3084102265929333E-2</v>
      </c>
      <c r="K5097" s="1">
        <v>4.6356114392894172</v>
      </c>
      <c r="L5097" s="1">
        <v>2.1924189065552984</v>
      </c>
      <c r="M5097" s="1">
        <v>1.0849569511817259</v>
      </c>
      <c r="N5097" s="1">
        <v>1.4264761283606882</v>
      </c>
      <c r="O5097" s="1">
        <v>0.51933866666666673</v>
      </c>
      <c r="P5097" s="1">
        <v>0.15431194715042432</v>
      </c>
      <c r="Q5097" s="1">
        <v>0.8624179405571788</v>
      </c>
      <c r="R5097" s="2">
        <f t="shared" si="319"/>
        <v>29.120379814582517</v>
      </c>
      <c r="S5097" s="2">
        <f t="shared" si="318"/>
        <v>4.8330074887057712</v>
      </c>
      <c r="T5097" s="2">
        <f t="shared" si="320"/>
        <v>5.2231906527643792</v>
      </c>
      <c r="U5097" s="2">
        <f t="shared" si="321"/>
        <v>39.176577956052668</v>
      </c>
    </row>
    <row r="5098" spans="1:21" x14ac:dyDescent="0.25">
      <c r="A5098">
        <v>5541621</v>
      </c>
      <c r="B5098">
        <v>55</v>
      </c>
      <c r="C5098" s="1">
        <f>0.922356924432483*(10.3/7.3)</f>
        <v>1.3014077152951469</v>
      </c>
      <c r="D5098" s="1">
        <f>1.46180666805737*(10.3/7.3)</f>
        <v>2.0625491343823179</v>
      </c>
      <c r="E5098" s="1">
        <f>5.03282033967826*(10.3/7.3)</f>
        <v>7.1011026710528862</v>
      </c>
      <c r="F5098" s="1">
        <f>14.4460964684288*(38.9/42.5)</f>
        <v>13.22242712051486</v>
      </c>
      <c r="G5098" s="1">
        <v>0.75618158057790585</v>
      </c>
      <c r="H5098" s="1">
        <v>2.8182914789359441</v>
      </c>
      <c r="I5098" s="1">
        <v>10.862726235991126</v>
      </c>
      <c r="J5098" s="1">
        <v>6.4248122518705458E-2</v>
      </c>
      <c r="K5098" s="1">
        <v>6.2574243201044144</v>
      </c>
      <c r="L5098" s="1">
        <v>2.9621445065261769</v>
      </c>
      <c r="M5098" s="1">
        <v>1.5129613340362296</v>
      </c>
      <c r="N5098" s="1">
        <v>1.8810039327261581</v>
      </c>
      <c r="O5098" s="1">
        <v>0.74092606060606081</v>
      </c>
      <c r="P5098" s="1">
        <v>0.18197980805672892</v>
      </c>
      <c r="Q5098" s="1">
        <v>1.2085093753528191</v>
      </c>
      <c r="R5098" s="2">
        <f t="shared" si="319"/>
        <v>39.333195312103001</v>
      </c>
      <c r="S5098" s="2">
        <f t="shared" si="318"/>
        <v>6.5036522506798491</v>
      </c>
      <c r="T5098" s="2">
        <f t="shared" si="320"/>
        <v>7.0970358338946253</v>
      </c>
      <c r="U5098" s="2">
        <f t="shared" si="321"/>
        <v>52.933883396677473</v>
      </c>
    </row>
    <row r="5099" spans="1:21" x14ac:dyDescent="0.25">
      <c r="A5099">
        <v>5541629</v>
      </c>
      <c r="B5099">
        <v>25</v>
      </c>
      <c r="C5099" s="1">
        <f>1.00675423411864*(10.3/7.3)</f>
        <v>1.4204888508797187</v>
      </c>
      <c r="D5099" s="1">
        <f>1.64845556525331*(10.3/7.3)</f>
        <v>2.3259030578231696</v>
      </c>
      <c r="E5099" s="1">
        <f>5.65116294196727*(10.3/7.3)</f>
        <v>7.9735586715428628</v>
      </c>
      <c r="F5099" s="1">
        <f>17.1310463900267*(38.9/42.5)</f>
        <v>15.679945989930282</v>
      </c>
      <c r="G5099" s="1">
        <v>0.92805403024508037</v>
      </c>
      <c r="H5099" s="1">
        <v>4.0729723968918385</v>
      </c>
      <c r="I5099" s="1">
        <v>12.934830186655422</v>
      </c>
      <c r="J5099" s="1">
        <v>0.10121195112387774</v>
      </c>
      <c r="K5099" s="1">
        <v>6.6518499468271806</v>
      </c>
      <c r="L5099" s="1">
        <v>3.4553742410049249</v>
      </c>
      <c r="M5099" s="1">
        <v>1.8300148583273192</v>
      </c>
      <c r="N5099" s="1">
        <v>2.3246740475681578</v>
      </c>
      <c r="O5099" s="1">
        <v>0.80108800000000002</v>
      </c>
      <c r="P5099" s="1">
        <v>0.18195768901839901</v>
      </c>
      <c r="Q5099" s="1">
        <v>1.4831913725378016</v>
      </c>
      <c r="R5099" s="2">
        <f t="shared" si="319"/>
        <v>46.818944556506167</v>
      </c>
      <c r="S5099" s="2">
        <f t="shared" si="318"/>
        <v>6.9350195869694575</v>
      </c>
      <c r="T5099" s="2">
        <f t="shared" si="320"/>
        <v>8.4111511469004014</v>
      </c>
      <c r="U5099" s="2">
        <f t="shared" si="321"/>
        <v>62.165115290376029</v>
      </c>
    </row>
    <row r="5100" spans="1:21" x14ac:dyDescent="0.25">
      <c r="A5100">
        <v>5542085</v>
      </c>
      <c r="B5100">
        <v>22</v>
      </c>
      <c r="C5100" s="1">
        <f>4.2896389671833*(10.3/7.3)</f>
        <v>6.0525042961627449</v>
      </c>
      <c r="D5100" s="1">
        <f>8.73097206100444*(10.3/7.3)</f>
        <v>12.319042771006261</v>
      </c>
      <c r="E5100" s="1">
        <f>30.1104180130896*(10.3/7.3)</f>
        <v>42.484562402030498</v>
      </c>
      <c r="F5100" s="1">
        <f>71.5517794157644*(38.9/42.5)</f>
        <v>65.490922806429055</v>
      </c>
      <c r="G5100" s="1">
        <v>3.3626722227051826</v>
      </c>
      <c r="H5100" s="1">
        <v>8.323051687185762</v>
      </c>
      <c r="I5100" s="1">
        <v>48.901322170816428</v>
      </c>
      <c r="J5100" s="1">
        <v>5.7698313199063163E-2</v>
      </c>
      <c r="K5100" s="1">
        <v>3.1238748983014699</v>
      </c>
      <c r="L5100" s="1">
        <v>3.9418268448743174</v>
      </c>
      <c r="M5100" s="1">
        <v>0.2823385760981969</v>
      </c>
      <c r="N5100" s="1">
        <v>2.3816609799089785</v>
      </c>
      <c r="O5100" s="1">
        <v>0.22525090909090906</v>
      </c>
      <c r="P5100" s="1">
        <v>0.14644640273615409</v>
      </c>
      <c r="Q5100" s="1">
        <v>5.3741336892548626</v>
      </c>
      <c r="R5100" s="2">
        <f t="shared" si="319"/>
        <v>192.30821204559081</v>
      </c>
      <c r="S5100" s="2">
        <f t="shared" si="318"/>
        <v>3.3280196142366876</v>
      </c>
      <c r="T5100" s="2">
        <f t="shared" si="320"/>
        <v>6.8310773099724029</v>
      </c>
      <c r="U5100" s="2">
        <f t="shared" si="321"/>
        <v>202.46730896979992</v>
      </c>
    </row>
    <row r="5101" spans="1:21" x14ac:dyDescent="0.25">
      <c r="A5101">
        <v>5542093</v>
      </c>
      <c r="B5101">
        <v>16</v>
      </c>
      <c r="C5101" s="1">
        <f>4.27334747447372*(10.3/7.3)</f>
        <v>6.0295176694629227</v>
      </c>
      <c r="D5101" s="1">
        <f>8.02036295380247*(10.3/7.3)</f>
        <v>11.316402523858287</v>
      </c>
      <c r="E5101" s="1">
        <f>27.7786862219274*(10.3/7.3)</f>
        <v>39.194584669294855</v>
      </c>
      <c r="F5101" s="1">
        <f>63.3124210490943*(38.9/42.5)</f>
        <v>57.949486560229886</v>
      </c>
      <c r="G5101" s="1">
        <v>2.8506254054894207</v>
      </c>
      <c r="H5101" s="1">
        <v>6.3262086583204642</v>
      </c>
      <c r="I5101" s="1">
        <v>43.473205136179558</v>
      </c>
      <c r="J5101" s="1">
        <v>5.3152491864795912E-2</v>
      </c>
      <c r="K5101" s="1">
        <v>2.8387704889172971</v>
      </c>
      <c r="L5101" s="1">
        <v>3.494094717857037</v>
      </c>
      <c r="M5101" s="1">
        <v>0.24882631470937205</v>
      </c>
      <c r="N5101" s="1">
        <v>3.2128763387755552</v>
      </c>
      <c r="O5101" s="1">
        <v>0.20097000000000001</v>
      </c>
      <c r="P5101" s="1">
        <v>0.13270614594963906</v>
      </c>
      <c r="Q5101" s="1">
        <v>4.5557940270378925</v>
      </c>
      <c r="R5101" s="2">
        <f t="shared" si="319"/>
        <v>171.69582464987332</v>
      </c>
      <c r="S5101" s="2">
        <f t="shared" si="318"/>
        <v>3.0246291267317322</v>
      </c>
      <c r="T5101" s="2">
        <f t="shared" si="320"/>
        <v>7.1567673713419637</v>
      </c>
      <c r="U5101" s="2">
        <f t="shared" si="321"/>
        <v>181.87722114794701</v>
      </c>
    </row>
    <row r="5102" spans="1:21" x14ac:dyDescent="0.25">
      <c r="A5102">
        <v>5542101</v>
      </c>
      <c r="B5102">
        <v>55</v>
      </c>
      <c r="C5102" s="1">
        <f>5.38483281074328*(10.3/7.3)</f>
        <v>7.5977778014596931</v>
      </c>
      <c r="D5102" s="1">
        <f>9.59967068582983*(10.3/7.3)</f>
        <v>13.544740830691399</v>
      </c>
      <c r="E5102" s="1">
        <f>33.3020413578918*(10.3/7.3)</f>
        <v>46.987811778943161</v>
      </c>
      <c r="F5102" s="1">
        <f>75.9085826511469*(38.9/42.5)</f>
        <v>69.478679179520356</v>
      </c>
      <c r="G5102" s="1">
        <v>3.3981478318481111</v>
      </c>
      <c r="H5102" s="1">
        <v>7.2407236398231216</v>
      </c>
      <c r="I5102" s="1">
        <v>52.744331645642085</v>
      </c>
      <c r="J5102" s="1">
        <v>5.7422582104003202E-2</v>
      </c>
      <c r="K5102" s="1">
        <v>3.4389690875724686</v>
      </c>
      <c r="L5102" s="1">
        <v>4.4282042600289078</v>
      </c>
      <c r="M5102" s="1">
        <v>0.30255518719045232</v>
      </c>
      <c r="N5102" s="1">
        <v>2.9042586528210204</v>
      </c>
      <c r="O5102" s="1">
        <v>0.24192484848484849</v>
      </c>
      <c r="P5102" s="1">
        <v>0.15686162694482692</v>
      </c>
      <c r="Q5102" s="1">
        <v>5.4308298682504113</v>
      </c>
      <c r="R5102" s="2">
        <f t="shared" si="319"/>
        <v>206.42304257617837</v>
      </c>
      <c r="S5102" s="2">
        <f t="shared" si="318"/>
        <v>3.6532532966212985</v>
      </c>
      <c r="T5102" s="2">
        <f t="shared" si="320"/>
        <v>7.8769429485252287</v>
      </c>
      <c r="U5102" s="2">
        <f t="shared" si="321"/>
        <v>217.9532388213249</v>
      </c>
    </row>
    <row r="5103" spans="1:21" x14ac:dyDescent="0.25">
      <c r="A5103">
        <v>5542109</v>
      </c>
      <c r="B5103">
        <v>55</v>
      </c>
      <c r="C5103" s="1">
        <f>3.09130202901015*(10.3/7.3)</f>
        <v>4.3617001231239128</v>
      </c>
      <c r="D5103" s="1">
        <f>5.34976535501501*(10.3/7.3)</f>
        <v>7.5482990625554232</v>
      </c>
      <c r="E5103" s="1">
        <f>18.5856364917162*(10.3/7.3)</f>
        <v>26.223569296531114</v>
      </c>
      <c r="F5103" s="1">
        <f>41.9104693180279*(38.9/42.5)</f>
        <v>38.360406034618507</v>
      </c>
      <c r="G5103" s="1">
        <v>1.8516765843433871</v>
      </c>
      <c r="H5103" s="1">
        <v>4.8192501515837476</v>
      </c>
      <c r="I5103" s="1">
        <v>29.238506398587287</v>
      </c>
      <c r="J5103" s="1">
        <v>3.7298069622586361E-2</v>
      </c>
      <c r="K5103" s="1">
        <v>2.4846247436279598</v>
      </c>
      <c r="L5103" s="1">
        <v>2.871218852896996</v>
      </c>
      <c r="M5103" s="1">
        <v>0.21119831795457047</v>
      </c>
      <c r="N5103" s="1">
        <v>1.8264833683185406</v>
      </c>
      <c r="O5103" s="1">
        <v>0.17037769696969696</v>
      </c>
      <c r="P5103" s="1">
        <v>0.11955703644039074</v>
      </c>
      <c r="Q5103" s="1">
        <v>2.9593004772611233</v>
      </c>
      <c r="R5103" s="2">
        <f t="shared" si="319"/>
        <v>115.3627081286045</v>
      </c>
      <c r="S5103" s="2">
        <f t="shared" si="318"/>
        <v>2.6414798496909366</v>
      </c>
      <c r="T5103" s="2">
        <f t="shared" si="320"/>
        <v>5.0792782361398041</v>
      </c>
      <c r="U5103" s="2">
        <f t="shared" si="321"/>
        <v>123.08346621443523</v>
      </c>
    </row>
    <row r="5104" spans="1:21" x14ac:dyDescent="0.25">
      <c r="A5104">
        <v>5542117</v>
      </c>
      <c r="B5104">
        <v>55</v>
      </c>
      <c r="C5104" s="1">
        <f>2.40755810517476*(10.3/7.3)</f>
        <v>3.3969655456575367</v>
      </c>
      <c r="D5104" s="1">
        <f>4.07615383393266*(10.3/7.3)</f>
        <v>5.7512855465077291</v>
      </c>
      <c r="E5104" s="1">
        <f>14.1753794297184*(10.3/7.3)</f>
        <v>20.000877825493134</v>
      </c>
      <c r="F5104" s="1">
        <f>31.7601474123241*(38.9/42.5)</f>
        <v>29.069876102103663</v>
      </c>
      <c r="G5104" s="1">
        <v>1.3911862055593245</v>
      </c>
      <c r="H5104" s="1">
        <v>3.8511004911829585</v>
      </c>
      <c r="I5104" s="1">
        <v>22.236668890779757</v>
      </c>
      <c r="J5104" s="1">
        <v>3.1963822455648314E-2</v>
      </c>
      <c r="K5104" s="1">
        <v>2.1953367679214479</v>
      </c>
      <c r="L5104" s="1">
        <v>2.4438705810352803</v>
      </c>
      <c r="M5104" s="1">
        <v>0.18280001146470543</v>
      </c>
      <c r="N5104" s="1">
        <v>1.5526232765955237</v>
      </c>
      <c r="O5104" s="1">
        <v>0.14626812121212124</v>
      </c>
      <c r="P5104" s="1">
        <v>0.10773043914127081</v>
      </c>
      <c r="Q5104" s="1">
        <v>2.2233569495240375</v>
      </c>
      <c r="R5104" s="2">
        <f t="shared" si="319"/>
        <v>87.921317556808134</v>
      </c>
      <c r="S5104" s="2">
        <f t="shared" si="318"/>
        <v>2.3350310295183672</v>
      </c>
      <c r="T5104" s="2">
        <f t="shared" si="320"/>
        <v>4.325561990307631</v>
      </c>
      <c r="U5104" s="2">
        <f t="shared" si="321"/>
        <v>94.581910576634129</v>
      </c>
    </row>
    <row r="5105" spans="1:21" x14ac:dyDescent="0.25">
      <c r="A5105">
        <v>5542125</v>
      </c>
      <c r="B5105">
        <v>55</v>
      </c>
      <c r="C5105" s="1">
        <f>2.47260277805376*(10.3/7.3)</f>
        <v>3.4887409060210581</v>
      </c>
      <c r="D5105" s="1">
        <f>4.12203309424286*(10.3/7.3)</f>
        <v>5.8160192973563607</v>
      </c>
      <c r="E5105" s="1">
        <f>14.3398743589343*(10.3/7.3)</f>
        <v>20.232973410551157</v>
      </c>
      <c r="F5105" s="1">
        <f>32.2598608471228*(38.9/42.5)</f>
        <v>29.527260869484138</v>
      </c>
      <c r="G5105" s="1">
        <v>1.4155714194326598</v>
      </c>
      <c r="H5105" s="1">
        <v>3.8969672836987925</v>
      </c>
      <c r="I5105" s="1">
        <v>22.698831075726446</v>
      </c>
      <c r="J5105" s="1">
        <v>3.2377187650760607E-2</v>
      </c>
      <c r="K5105" s="1">
        <v>2.1988245819682093</v>
      </c>
      <c r="L5105" s="1">
        <v>2.4560334242174133</v>
      </c>
      <c r="M5105" s="1">
        <v>0.18078786710718733</v>
      </c>
      <c r="N5105" s="1">
        <v>1.5622181332643801</v>
      </c>
      <c r="O5105" s="1">
        <v>0.14699151515151515</v>
      </c>
      <c r="P5105" s="1">
        <v>0.10697058721666172</v>
      </c>
      <c r="Q5105" s="1">
        <v>2.2623287525179521</v>
      </c>
      <c r="R5105" s="2">
        <f t="shared" si="319"/>
        <v>89.338693014788561</v>
      </c>
      <c r="S5105" s="2">
        <f t="shared" si="318"/>
        <v>2.3381723568356314</v>
      </c>
      <c r="T5105" s="2">
        <f t="shared" si="320"/>
        <v>4.3460309397404959</v>
      </c>
      <c r="U5105" s="2">
        <f t="shared" si="321"/>
        <v>96.02289631136469</v>
      </c>
    </row>
    <row r="5106" spans="1:21" x14ac:dyDescent="0.25">
      <c r="A5106">
        <v>5542133</v>
      </c>
      <c r="B5106">
        <v>55</v>
      </c>
      <c r="C5106" s="1">
        <f>6.09518262727044*(10.3/7.3)</f>
        <v>8.6000522001213007</v>
      </c>
      <c r="D5106" s="1">
        <f>9.86995611474693*(10.3/7.3)</f>
        <v>13.92610246327307</v>
      </c>
      <c r="E5106" s="1">
        <f>34.3303697680233*(10.3/7.3)</f>
        <v>48.438740905567066</v>
      </c>
      <c r="F5106" s="1">
        <f>79.2727539369183*(38.9/42.5)</f>
        <v>72.557885368144085</v>
      </c>
      <c r="G5106" s="1">
        <v>3.5477559960037968</v>
      </c>
      <c r="H5106" s="1">
        <v>7.173541919759983</v>
      </c>
      <c r="I5106" s="1">
        <v>56.566216239631466</v>
      </c>
      <c r="J5106" s="1">
        <v>5.7098555635270158E-2</v>
      </c>
      <c r="K5106" s="1">
        <v>3.3390010215976882</v>
      </c>
      <c r="L5106" s="1">
        <v>4.3570684482384952</v>
      </c>
      <c r="M5106" s="1">
        <v>0.27820101480670628</v>
      </c>
      <c r="N5106" s="1">
        <v>2.6017860541312841</v>
      </c>
      <c r="O5106" s="1">
        <v>0.22637090909090907</v>
      </c>
      <c r="P5106" s="1">
        <v>0.14940845832747815</v>
      </c>
      <c r="Q5106" s="1">
        <v>5.6699296739786771</v>
      </c>
      <c r="R5106" s="2">
        <f t="shared" si="319"/>
        <v>216.48022476647944</v>
      </c>
      <c r="S5106" s="2">
        <f t="shared" si="318"/>
        <v>3.5455080355604363</v>
      </c>
      <c r="T5106" s="2">
        <f t="shared" si="320"/>
        <v>7.4634264262673948</v>
      </c>
      <c r="U5106" s="2">
        <f t="shared" si="321"/>
        <v>227.48915922830727</v>
      </c>
    </row>
    <row r="5107" spans="1:21" x14ac:dyDescent="0.25">
      <c r="A5107">
        <v>5542141</v>
      </c>
      <c r="B5107">
        <v>57</v>
      </c>
      <c r="C5107" s="1">
        <f>5.81967217860721*(10.3/7.3)</f>
        <v>8.2113182794046953</v>
      </c>
      <c r="D5107" s="1">
        <f>9.23173041611113*(10.3/7.3)</f>
        <v>13.025592230951323</v>
      </c>
      <c r="E5107" s="1">
        <f>32.122148857546*(10.3/7.3)</f>
        <v>45.323031949688236</v>
      </c>
      <c r="F5107" s="1">
        <f>74.773315588133*(38.9/42.5)</f>
        <v>68.439575914785252</v>
      </c>
      <c r="G5107" s="1">
        <v>3.3612681477590032</v>
      </c>
      <c r="H5107" s="1">
        <v>6.9101702904942774</v>
      </c>
      <c r="I5107" s="1">
        <v>53.735039889380531</v>
      </c>
      <c r="J5107" s="1">
        <v>5.3145457079619464E-2</v>
      </c>
      <c r="K5107" s="1">
        <v>3.0834790698110091</v>
      </c>
      <c r="L5107" s="1">
        <v>3.962552824744705</v>
      </c>
      <c r="M5107" s="1">
        <v>0.25254823640547397</v>
      </c>
      <c r="N5107" s="1">
        <v>3.2927602074226896</v>
      </c>
      <c r="O5107" s="1">
        <v>0.20676584795321643</v>
      </c>
      <c r="P5107" s="1">
        <v>0.13764851365018307</v>
      </c>
      <c r="Q5107" s="1">
        <v>5.3718897338614262</v>
      </c>
      <c r="R5107" s="2">
        <f t="shared" si="319"/>
        <v>204.37788643632476</v>
      </c>
      <c r="S5107" s="2">
        <f t="shared" si="318"/>
        <v>3.2742730405408116</v>
      </c>
      <c r="T5107" s="2">
        <f t="shared" si="320"/>
        <v>7.7146271165260858</v>
      </c>
      <c r="U5107" s="2">
        <f t="shared" si="321"/>
        <v>215.36678659339165</v>
      </c>
    </row>
    <row r="5108" spans="1:21" x14ac:dyDescent="0.25">
      <c r="A5108">
        <v>5542149</v>
      </c>
      <c r="B5108">
        <v>36</v>
      </c>
      <c r="C5108" s="1">
        <f>4.90233044889687*(10.3/7.3)</f>
        <v>6.9169867977586028</v>
      </c>
      <c r="D5108" s="1">
        <f>7.66394388228794*(10.3/7.3)</f>
        <v>10.813509861310378</v>
      </c>
      <c r="E5108" s="1">
        <f>26.6656433997061*(10.3/7.3)</f>
        <v>37.624126988626358</v>
      </c>
      <c r="F5108" s="1">
        <f>62.8539117721111*(38.9/42.5)</f>
        <v>57.52981571612051</v>
      </c>
      <c r="G5108" s="1">
        <v>2.8508563876541664</v>
      </c>
      <c r="H5108" s="1">
        <v>7.185084960752647</v>
      </c>
      <c r="I5108" s="1">
        <v>45.468789216544145</v>
      </c>
      <c r="J5108" s="1">
        <v>4.8966807091842049E-2</v>
      </c>
      <c r="K5108" s="1">
        <v>2.8091922914015086</v>
      </c>
      <c r="L5108" s="1">
        <v>3.4355847626800622</v>
      </c>
      <c r="M5108" s="1">
        <v>0.22311355941388872</v>
      </c>
      <c r="N5108" s="1">
        <v>2.2179218676791455</v>
      </c>
      <c r="O5108" s="1">
        <v>0.18332296296296291</v>
      </c>
      <c r="P5108" s="1">
        <v>0.12556766493963661</v>
      </c>
      <c r="Q5108" s="1">
        <v>4.5561631766162485</v>
      </c>
      <c r="R5108" s="2">
        <f t="shared" si="319"/>
        <v>172.94533310538304</v>
      </c>
      <c r="S5108" s="2">
        <f t="shared" si="318"/>
        <v>2.9837267634329869</v>
      </c>
      <c r="T5108" s="2">
        <f t="shared" si="320"/>
        <v>6.059943152736059</v>
      </c>
      <c r="U5108" s="2">
        <f t="shared" si="321"/>
        <v>181.98900302155209</v>
      </c>
    </row>
    <row r="5109" spans="1:21" x14ac:dyDescent="0.25">
      <c r="A5109">
        <v>5553841</v>
      </c>
      <c r="B5109">
        <v>67</v>
      </c>
      <c r="C5109" s="1">
        <f>0.637617625396864*(10.3/7.3)</f>
        <v>0.89965226597091819</v>
      </c>
      <c r="D5109" s="1">
        <f>0.976139338826749*(10.3/7.3)</f>
        <v>1.3772924917692493</v>
      </c>
      <c r="E5109" s="1">
        <f>3.37381553973459*(10.3/7.3)</f>
        <v>4.7603150766118238</v>
      </c>
      <c r="F5109" s="1">
        <f>9.23054977595334*(38.9/42.5)</f>
        <v>8.4486679125784647</v>
      </c>
      <c r="G5109" s="1">
        <v>0.46718779597229487</v>
      </c>
      <c r="H5109" s="1">
        <v>1.8586374347199093</v>
      </c>
      <c r="I5109" s="1">
        <v>6.9259926223987218</v>
      </c>
      <c r="J5109" s="1">
        <v>3.8365908407580002E-2</v>
      </c>
      <c r="K5109" s="1">
        <v>4.2786196430436423</v>
      </c>
      <c r="L5109" s="1">
        <v>2.0411266576244596</v>
      </c>
      <c r="M5109" s="1">
        <v>0.95358386316299704</v>
      </c>
      <c r="N5109" s="1">
        <v>1.3061536892093222</v>
      </c>
      <c r="O5109" s="1">
        <v>0.49307144278606974</v>
      </c>
      <c r="P5109" s="1">
        <v>0.14613743044930225</v>
      </c>
      <c r="Q5109" s="1">
        <v>0.74664716251280105</v>
      </c>
      <c r="R5109" s="2">
        <f t="shared" si="319"/>
        <v>25.484392762534185</v>
      </c>
      <c r="S5109" s="2">
        <f t="shared" si="318"/>
        <v>4.4631229819005247</v>
      </c>
      <c r="T5109" s="2">
        <f t="shared" si="320"/>
        <v>4.7939356527828485</v>
      </c>
      <c r="U5109" s="2">
        <f t="shared" si="321"/>
        <v>34.74145139721756</v>
      </c>
    </row>
    <row r="5110" spans="1:21" x14ac:dyDescent="0.25">
      <c r="A5110">
        <v>5553849</v>
      </c>
      <c r="B5110">
        <v>65</v>
      </c>
      <c r="C5110" s="1">
        <f>0.864501557928423*(10.3/7.3)</f>
        <v>1.2197761707757202</v>
      </c>
      <c r="D5110" s="1">
        <f>1.36164858887132*(10.3/7.3)</f>
        <v>1.9212302007362423</v>
      </c>
      <c r="E5110" s="1">
        <f>4.69234429923607*(10.3/7.3)</f>
        <v>6.620704970155006</v>
      </c>
      <c r="F5110" s="1">
        <f>13.2989106122439*(38.9/42.5)</f>
        <v>12.17241465450085</v>
      </c>
      <c r="G5110" s="1">
        <v>0.69034885619977626</v>
      </c>
      <c r="H5110" s="1">
        <v>2.6223815965937836</v>
      </c>
      <c r="I5110" s="1">
        <v>9.9881470936208352</v>
      </c>
      <c r="J5110" s="1">
        <v>5.4319536098175462E-2</v>
      </c>
      <c r="K5110" s="1">
        <v>5.9210874088951799</v>
      </c>
      <c r="L5110" s="1">
        <v>2.6808100174172935</v>
      </c>
      <c r="M5110" s="1">
        <v>1.3267819008939936</v>
      </c>
      <c r="N5110" s="1">
        <v>1.6863782338997579</v>
      </c>
      <c r="O5110" s="1">
        <v>0.6865558974358974</v>
      </c>
      <c r="P5110" s="1">
        <v>0.17345524529582138</v>
      </c>
      <c r="Q5110" s="1">
        <v>1.1032972587667673</v>
      </c>
      <c r="R5110" s="2">
        <f t="shared" si="319"/>
        <v>36.338300801348979</v>
      </c>
      <c r="S5110" s="2">
        <f t="shared" si="318"/>
        <v>6.1488621902891767</v>
      </c>
      <c r="T5110" s="2">
        <f t="shared" si="320"/>
        <v>6.3805260496469423</v>
      </c>
      <c r="U5110" s="2">
        <f t="shared" si="321"/>
        <v>48.867689041285104</v>
      </c>
    </row>
    <row r="5111" spans="1:21" x14ac:dyDescent="0.25">
      <c r="A5111">
        <v>5553857</v>
      </c>
      <c r="B5111">
        <v>60</v>
      </c>
      <c r="C5111" s="1">
        <f>1.08131578798402*(10.3/7.3)</f>
        <v>1.52569213921033</v>
      </c>
      <c r="D5111" s="1">
        <f>1.75343678074301*(10.3/7.3)</f>
        <v>2.4740272385825985</v>
      </c>
      <c r="E5111" s="1">
        <f>6.0205002567273*(10.3/7.3)</f>
        <v>8.4946784444234478</v>
      </c>
      <c r="F5111" s="1">
        <f>17.8693226692161*(38.9/42.5)</f>
        <v>16.355685925470741</v>
      </c>
      <c r="G5111" s="1">
        <v>0.95587453550803569</v>
      </c>
      <c r="H5111" s="1">
        <v>3.5802146347447374</v>
      </c>
      <c r="I5111" s="1">
        <v>13.46322059133637</v>
      </c>
      <c r="J5111" s="1">
        <v>7.8640285313404723E-2</v>
      </c>
      <c r="K5111" s="1">
        <v>7.1441013528753974</v>
      </c>
      <c r="L5111" s="1">
        <v>3.5089657942602583</v>
      </c>
      <c r="M5111" s="1">
        <v>1.7912527836728602</v>
      </c>
      <c r="N5111" s="1">
        <v>2.1188731968360384</v>
      </c>
      <c r="O5111" s="1">
        <v>0.87400888888888884</v>
      </c>
      <c r="P5111" s="1">
        <v>0.18984011116290975</v>
      </c>
      <c r="Q5111" s="1">
        <v>1.5276533672502872</v>
      </c>
      <c r="R5111" s="2">
        <f t="shared" si="319"/>
        <v>48.377046876526542</v>
      </c>
      <c r="S5111" s="2">
        <f t="shared" si="318"/>
        <v>7.4125817493517117</v>
      </c>
      <c r="T5111" s="2">
        <f t="shared" si="320"/>
        <v>8.2931006636580467</v>
      </c>
      <c r="U5111" s="2">
        <f t="shared" si="321"/>
        <v>64.082729289536303</v>
      </c>
    </row>
    <row r="5112" spans="1:21" x14ac:dyDescent="0.25">
      <c r="A5112">
        <v>5553865</v>
      </c>
      <c r="B5112">
        <v>20</v>
      </c>
      <c r="C5112" s="1">
        <f>1.11157268890445*(10.3/7.3)</f>
        <v>1.5683833829747684</v>
      </c>
      <c r="D5112" s="1">
        <f>1.86119170144966*(10.3/7.3)</f>
        <v>2.626065003415277</v>
      </c>
      <c r="E5112" s="1">
        <f>6.36300768689344*(10.3/7.3)</f>
        <v>8.9779423527400564</v>
      </c>
      <c r="F5112" s="1">
        <f>19.9349420667619*(38.9/42.5)</f>
        <v>18.246335209342089</v>
      </c>
      <c r="G5112" s="1">
        <v>1.1011196971975048</v>
      </c>
      <c r="H5112" s="1">
        <v>4.9921056635916532</v>
      </c>
      <c r="I5112" s="1">
        <v>15.084174661510048</v>
      </c>
      <c r="J5112" s="1">
        <v>0.10931341519345963</v>
      </c>
      <c r="K5112" s="1">
        <v>6.916862405372119</v>
      </c>
      <c r="L5112" s="1">
        <v>3.63921677364781</v>
      </c>
      <c r="M5112" s="1">
        <v>1.8850981403892786</v>
      </c>
      <c r="N5112" s="1">
        <v>2.245772506616464</v>
      </c>
      <c r="O5112" s="1">
        <v>0.83666666666666667</v>
      </c>
      <c r="P5112" s="1">
        <v>0.18173397215563378</v>
      </c>
      <c r="Q5112" s="1">
        <v>1.7597803379868817</v>
      </c>
      <c r="R5112" s="2">
        <f t="shared" si="319"/>
        <v>54.355906308758279</v>
      </c>
      <c r="S5112" s="2">
        <f t="shared" si="318"/>
        <v>7.2079097927212121</v>
      </c>
      <c r="T5112" s="2">
        <f t="shared" si="320"/>
        <v>8.6067540873202191</v>
      </c>
      <c r="U5112" s="2">
        <f t="shared" si="321"/>
        <v>70.170570188799701</v>
      </c>
    </row>
    <row r="5113" spans="1:21" x14ac:dyDescent="0.25">
      <c r="A5113">
        <v>5554321</v>
      </c>
      <c r="B5113">
        <v>11</v>
      </c>
      <c r="C5113" s="1">
        <f>4.9887859214366*(10.3/7.3)</f>
        <v>7.0389719165475357</v>
      </c>
      <c r="D5113" s="1">
        <f>10.1671860981686*(10.3/7.3)</f>
        <v>14.34548175495023</v>
      </c>
      <c r="E5113" s="1">
        <f>35.1179280756827*(10.3/7.3)</f>
        <v>49.549953312264705</v>
      </c>
      <c r="F5113" s="1">
        <f>80.6171037199573*(38.9/42.5)</f>
        <v>73.788360816619772</v>
      </c>
      <c r="G5113" s="1">
        <v>3.683923030272501</v>
      </c>
      <c r="H5113" s="1">
        <v>8.3787819776926842</v>
      </c>
      <c r="I5113" s="1">
        <v>54.489954222413651</v>
      </c>
      <c r="J5113" s="1">
        <v>7.6371495697192884E-2</v>
      </c>
      <c r="K5113" s="1">
        <v>3.1933671281550913</v>
      </c>
      <c r="L5113" s="1">
        <v>4.1062239637232185</v>
      </c>
      <c r="M5113" s="1">
        <v>0.28947760818629764</v>
      </c>
      <c r="N5113" s="1">
        <v>2.4718914047915423</v>
      </c>
      <c r="O5113" s="1">
        <v>0.23119030303030305</v>
      </c>
      <c r="P5113" s="1">
        <v>0.14933010985309544</v>
      </c>
      <c r="Q5113" s="1">
        <v>5.8875482218966972</v>
      </c>
      <c r="R5113" s="2">
        <f t="shared" si="319"/>
        <v>217.16297525265779</v>
      </c>
      <c r="S5113" s="2">
        <f t="shared" si="318"/>
        <v>3.4190687337053798</v>
      </c>
      <c r="T5113" s="2">
        <f t="shared" si="320"/>
        <v>7.0987832797313608</v>
      </c>
      <c r="U5113" s="2">
        <f t="shared" si="321"/>
        <v>227.68082726609452</v>
      </c>
    </row>
    <row r="5114" spans="1:21" x14ac:dyDescent="0.25">
      <c r="A5114">
        <v>5554329</v>
      </c>
      <c r="B5114">
        <v>61</v>
      </c>
      <c r="C5114" s="1">
        <f>4.73376341711677*(10.3/7.3)</f>
        <v>6.6791456433291367</v>
      </c>
      <c r="D5114" s="1">
        <f>8.86541600118468*(10.3/7.3)</f>
        <v>12.508737645507155</v>
      </c>
      <c r="E5114" s="1">
        <f>30.7079453425209*(10.3/7.3)</f>
        <v>43.327648907940514</v>
      </c>
      <c r="F5114" s="1">
        <f>69.9691034614162*(38.9/42.5)</f>
        <v>64.042308815272676</v>
      </c>
      <c r="G5114" s="1">
        <v>3.1488250902489585</v>
      </c>
      <c r="H5114" s="1">
        <v>6.9800705805927592</v>
      </c>
      <c r="I5114" s="1">
        <v>48.063295328609058</v>
      </c>
      <c r="J5114" s="1">
        <v>5.8553151178050919E-2</v>
      </c>
      <c r="K5114" s="1">
        <v>3.2180959281567976</v>
      </c>
      <c r="L5114" s="1">
        <v>3.9930533428324635</v>
      </c>
      <c r="M5114" s="1">
        <v>0.28056351496482607</v>
      </c>
      <c r="N5114" s="1">
        <v>3.3820364626286206</v>
      </c>
      <c r="O5114" s="1">
        <v>0.22406120218579237</v>
      </c>
      <c r="P5114" s="1">
        <v>0.14595341130477818</v>
      </c>
      <c r="Q5114" s="1">
        <v>5.0323688656946866</v>
      </c>
      <c r="R5114" s="2">
        <f t="shared" si="319"/>
        <v>189.78240087719493</v>
      </c>
      <c r="S5114" s="2">
        <f t="shared" si="318"/>
        <v>3.4226024906396266</v>
      </c>
      <c r="T5114" s="2">
        <f t="shared" si="320"/>
        <v>7.8797145226117031</v>
      </c>
      <c r="U5114" s="2">
        <f t="shared" si="321"/>
        <v>201.08471789044626</v>
      </c>
    </row>
    <row r="5115" spans="1:21" x14ac:dyDescent="0.25">
      <c r="A5115">
        <v>5554337</v>
      </c>
      <c r="B5115">
        <v>67</v>
      </c>
      <c r="C5115" s="1">
        <f>5.20210712209271*(10.3/7.3)</f>
        <v>7.339959364048612</v>
      </c>
      <c r="D5115" s="1">
        <f>9.18849507265132*(10.3/7.3)</f>
        <v>12.964588938124468</v>
      </c>
      <c r="E5115" s="1">
        <f>31.8836372759601*(10.3/7.3)</f>
        <v>44.986501909916363</v>
      </c>
      <c r="F5115" s="1">
        <f>72.7517978509581*(38.9/42.5)</f>
        <v>66.589292621229916</v>
      </c>
      <c r="G5115" s="1">
        <v>3.2563053756233589</v>
      </c>
      <c r="H5115" s="1">
        <v>7.0963950631469102</v>
      </c>
      <c r="I5115" s="1">
        <v>50.675953793659239</v>
      </c>
      <c r="J5115" s="1">
        <v>5.4636884868729647E-2</v>
      </c>
      <c r="K5115" s="1">
        <v>3.305368587847755</v>
      </c>
      <c r="L5115" s="1">
        <v>4.235682783495947</v>
      </c>
      <c r="M5115" s="1">
        <v>0.29043579995745383</v>
      </c>
      <c r="N5115" s="1">
        <v>2.717414669357749</v>
      </c>
      <c r="O5115" s="1">
        <v>0.23315422885572146</v>
      </c>
      <c r="P5115" s="1">
        <v>0.15195093470107177</v>
      </c>
      <c r="Q5115" s="1">
        <v>5.204141011270214</v>
      </c>
      <c r="R5115" s="2">
        <f t="shared" si="319"/>
        <v>198.11313807701907</v>
      </c>
      <c r="S5115" s="2">
        <f t="shared" si="318"/>
        <v>3.5119564074175567</v>
      </c>
      <c r="T5115" s="2">
        <f t="shared" si="320"/>
        <v>7.4766874816668709</v>
      </c>
      <c r="U5115" s="2">
        <f t="shared" si="321"/>
        <v>209.10178196610349</v>
      </c>
    </row>
    <row r="5116" spans="1:21" x14ac:dyDescent="0.25">
      <c r="A5116">
        <v>5554345</v>
      </c>
      <c r="B5116">
        <v>64</v>
      </c>
      <c r="C5116" s="1">
        <f>2.40830252613973*(10.3/7.3)</f>
        <v>3.3980158930464675</v>
      </c>
      <c r="D5116" s="1">
        <f>4.13270470642366*(10.3/7.3)</f>
        <v>5.8310765035840664</v>
      </c>
      <c r="E5116" s="1">
        <f>14.3649826101379*(10.3/7.3)</f>
        <v>20.268400121153519</v>
      </c>
      <c r="F5116" s="1">
        <f>32.2143623614511*(38.9/42.5)</f>
        <v>29.485616373186996</v>
      </c>
      <c r="G5116" s="1">
        <v>1.4146670328131323</v>
      </c>
      <c r="H5116" s="1">
        <v>3.9405227960158626</v>
      </c>
      <c r="I5116" s="1">
        <v>22.485576542502614</v>
      </c>
      <c r="J5116" s="1">
        <v>3.2235353743353144E-2</v>
      </c>
      <c r="K5116" s="1">
        <v>2.2151938013878718</v>
      </c>
      <c r="L5116" s="1">
        <v>2.4603180337462498</v>
      </c>
      <c r="M5116" s="1">
        <v>0.18548100381496405</v>
      </c>
      <c r="N5116" s="1">
        <v>1.597874328865353</v>
      </c>
      <c r="O5116" s="1">
        <v>0.14909000000000003</v>
      </c>
      <c r="P5116" s="1">
        <v>0.10879225284987216</v>
      </c>
      <c r="Q5116" s="1">
        <v>2.2608833857744157</v>
      </c>
      <c r="R5116" s="2">
        <f t="shared" si="319"/>
        <v>89.084758648077084</v>
      </c>
      <c r="S5116" s="2">
        <f t="shared" si="318"/>
        <v>2.3562214079810975</v>
      </c>
      <c r="T5116" s="2">
        <f t="shared" si="320"/>
        <v>4.3927633664265668</v>
      </c>
      <c r="U5116" s="2">
        <f t="shared" si="321"/>
        <v>95.833743422484744</v>
      </c>
    </row>
    <row r="5117" spans="1:21" x14ac:dyDescent="0.25">
      <c r="A5117">
        <v>5554353</v>
      </c>
      <c r="B5117">
        <v>55</v>
      </c>
      <c r="C5117" s="1">
        <f>2.45919120666967*(10.3/7.3)</f>
        <v>3.469817729958574</v>
      </c>
      <c r="D5117" s="1">
        <f>4.15930126088028*(10.3/7.3)</f>
        <v>5.868603148913266</v>
      </c>
      <c r="E5117" s="1">
        <f>14.4625161463462*(10.3/7.3)</f>
        <v>20.406015932515906</v>
      </c>
      <c r="F5117" s="1">
        <f>32.5312942727472*(38.9/42.5)</f>
        <v>29.775702287290997</v>
      </c>
      <c r="G5117" s="1">
        <v>1.4299294333612802</v>
      </c>
      <c r="H5117" s="1">
        <v>3.9420401104320582</v>
      </c>
      <c r="I5117" s="1">
        <v>22.807090834586582</v>
      </c>
      <c r="J5117" s="1">
        <v>3.216178719821236E-2</v>
      </c>
      <c r="K5117" s="1">
        <v>2.2010827495314054</v>
      </c>
      <c r="L5117" s="1">
        <v>2.4457629980205433</v>
      </c>
      <c r="M5117" s="1">
        <v>0.18217336988546565</v>
      </c>
      <c r="N5117" s="1">
        <v>1.5603815011297681</v>
      </c>
      <c r="O5117" s="1">
        <v>0.14779927272727272</v>
      </c>
      <c r="P5117" s="1">
        <v>0.10745411909629528</v>
      </c>
      <c r="Q5117" s="1">
        <v>2.2852753501207688</v>
      </c>
      <c r="R5117" s="2">
        <f t="shared" si="319"/>
        <v>89.98447482717944</v>
      </c>
      <c r="S5117" s="2">
        <f t="shared" si="318"/>
        <v>2.3406986558259129</v>
      </c>
      <c r="T5117" s="2">
        <f t="shared" si="320"/>
        <v>4.33611714176305</v>
      </c>
      <c r="U5117" s="2">
        <f t="shared" si="321"/>
        <v>96.661290624768412</v>
      </c>
    </row>
    <row r="5118" spans="1:21" x14ac:dyDescent="0.25">
      <c r="A5118">
        <v>5554361</v>
      </c>
      <c r="B5118">
        <v>65</v>
      </c>
      <c r="C5118" s="1">
        <f>3.3900331392149*(10.3/7.3)</f>
        <v>4.78319744300184</v>
      </c>
      <c r="D5118" s="1">
        <f>5.62321312452395*(10.3/7.3)</f>
        <v>7.9341226277529726</v>
      </c>
      <c r="E5118" s="1">
        <f>19.5541101782934*(10.3/7.3)</f>
        <v>27.590045868003021</v>
      </c>
      <c r="F5118" s="1">
        <f>44.572646021384*(38.9/42.5)</f>
        <v>40.797080711337344</v>
      </c>
      <c r="G5118" s="1">
        <v>1.9780400123207371</v>
      </c>
      <c r="H5118" s="1">
        <v>4.903076964946445</v>
      </c>
      <c r="I5118" s="1">
        <v>31.511959353414937</v>
      </c>
      <c r="J5118" s="1">
        <v>3.8541085006872249E-2</v>
      </c>
      <c r="K5118" s="1">
        <v>2.4937472130279184</v>
      </c>
      <c r="L5118" s="1">
        <v>2.9266128278919155</v>
      </c>
      <c r="M5118" s="1">
        <v>0.20629527156643887</v>
      </c>
      <c r="N5118" s="1">
        <v>1.8266993444537456</v>
      </c>
      <c r="O5118" s="1">
        <v>0.16841107692307694</v>
      </c>
      <c r="P5118" s="1">
        <v>0.11788581494902362</v>
      </c>
      <c r="Q5118" s="1">
        <v>3.1612511612431899</v>
      </c>
      <c r="R5118" s="2">
        <f t="shared" si="319"/>
        <v>122.65877414202049</v>
      </c>
      <c r="S5118" s="2">
        <f t="shared" si="318"/>
        <v>2.6501741129838141</v>
      </c>
      <c r="T5118" s="2">
        <f t="shared" si="320"/>
        <v>5.1280185208351767</v>
      </c>
      <c r="U5118" s="2">
        <f t="shared" si="321"/>
        <v>130.43696677583949</v>
      </c>
    </row>
    <row r="5119" spans="1:21" x14ac:dyDescent="0.25">
      <c r="A5119">
        <v>5554369</v>
      </c>
      <c r="B5119">
        <v>64</v>
      </c>
      <c r="C5119" s="1">
        <f>5.20525695265687*(10.3/7.3)</f>
        <v>7.3444036455295567</v>
      </c>
      <c r="D5119" s="1">
        <f>8.37670261886026*(10.3/7.3)</f>
        <v>11.819183147158997</v>
      </c>
      <c r="E5119" s="1">
        <f>29.1393775648015*(10.3/7.3)</f>
        <v>41.114464235267825</v>
      </c>
      <c r="F5119" s="1">
        <f>67.4608977821281*(38.9/42.5)</f>
        <v>61.746562911171395</v>
      </c>
      <c r="G5119" s="1">
        <v>3.0236384979207336</v>
      </c>
      <c r="H5119" s="1">
        <v>6.3654679759823622</v>
      </c>
      <c r="I5119" s="1">
        <v>48.242932948758011</v>
      </c>
      <c r="J5119" s="1">
        <v>5.0636537237000262E-2</v>
      </c>
      <c r="K5119" s="1">
        <v>3.0239100297349562</v>
      </c>
      <c r="L5119" s="1">
        <v>3.8231176556628843</v>
      </c>
      <c r="M5119" s="1">
        <v>0.24866806533667768</v>
      </c>
      <c r="N5119" s="1">
        <v>2.5066285837174456</v>
      </c>
      <c r="O5119" s="1">
        <v>0.20354416666666669</v>
      </c>
      <c r="P5119" s="1">
        <v>0.1367029271281367</v>
      </c>
      <c r="Q5119" s="1">
        <v>4.8322989692797185</v>
      </c>
      <c r="R5119" s="2">
        <f t="shared" si="319"/>
        <v>184.48895233106859</v>
      </c>
      <c r="S5119" s="2">
        <f t="shared" si="318"/>
        <v>3.2112494941000929</v>
      </c>
      <c r="T5119" s="2">
        <f t="shared" si="320"/>
        <v>6.7819584713836747</v>
      </c>
      <c r="U5119" s="2">
        <f t="shared" si="321"/>
        <v>194.48216029655237</v>
      </c>
    </row>
    <row r="5120" spans="1:21" x14ac:dyDescent="0.25">
      <c r="A5120">
        <v>5554377</v>
      </c>
      <c r="B5120">
        <v>61</v>
      </c>
      <c r="C5120" s="1">
        <f>5.52249872323732*(10.3/7.3)</f>
        <v>7.7920187464855335</v>
      </c>
      <c r="D5120" s="1">
        <f>8.69421100397496*(10.3/7.3)</f>
        <v>12.26717443026604</v>
      </c>
      <c r="E5120" s="1">
        <f>30.2537231738899*(10.3/7.3)</f>
        <v>42.686760094666525</v>
      </c>
      <c r="F5120" s="1">
        <f>70.7472779717684*(38.9/42.5)</f>
        <v>64.754567367100961</v>
      </c>
      <c r="G5120" s="1">
        <v>3.1898785971987276</v>
      </c>
      <c r="H5120" s="1">
        <v>6.6946033373080791</v>
      </c>
      <c r="I5120" s="1">
        <v>50.993748636985607</v>
      </c>
      <c r="J5120" s="1">
        <v>5.2618509018201032E-2</v>
      </c>
      <c r="K5120" s="1">
        <v>3.049919944964993</v>
      </c>
      <c r="L5120" s="1">
        <v>3.8530840311771737</v>
      </c>
      <c r="M5120" s="1">
        <v>0.24790063070653107</v>
      </c>
      <c r="N5120" s="1">
        <v>2.590338815449261</v>
      </c>
      <c r="O5120" s="1">
        <v>0.20224874316939895</v>
      </c>
      <c r="P5120" s="1">
        <v>0.13628238664523604</v>
      </c>
      <c r="Q5120" s="1">
        <v>5.0979794932399836</v>
      </c>
      <c r="R5120" s="2">
        <f t="shared" si="319"/>
        <v>193.47673070325146</v>
      </c>
      <c r="S5120" s="2">
        <f t="shared" si="318"/>
        <v>3.23882084062843</v>
      </c>
      <c r="T5120" s="2">
        <f t="shared" si="320"/>
        <v>6.8935722205023646</v>
      </c>
      <c r="U5120" s="2">
        <f t="shared" si="321"/>
        <v>203.60912376438225</v>
      </c>
    </row>
    <row r="5121" spans="1:21" x14ac:dyDescent="0.25">
      <c r="A5121">
        <v>5554385</v>
      </c>
      <c r="B5121">
        <v>34</v>
      </c>
      <c r="C5121" s="1">
        <f>5.66946129443775*(10.3/7.3)</f>
        <v>7.9993768948916237</v>
      </c>
      <c r="D5121" s="1">
        <f>8.76696971317309*(10.3/7.3)</f>
        <v>12.36983397886066</v>
      </c>
      <c r="E5121" s="1">
        <f>30.5022862252438*(10.3/7.3)</f>
        <v>43.037472345207021</v>
      </c>
      <c r="F5121" s="1">
        <f>72.577085028106*(38.9/42.5)</f>
        <v>66.42937900219583</v>
      </c>
      <c r="G5121" s="1">
        <v>3.3136780247606152</v>
      </c>
      <c r="H5121" s="1">
        <v>7.4604312163643636</v>
      </c>
      <c r="I5121" s="1">
        <v>52.759346388193805</v>
      </c>
      <c r="J5121" s="1">
        <v>5.3032558958599228E-2</v>
      </c>
      <c r="K5121" s="1">
        <v>3.0134923589630573</v>
      </c>
      <c r="L5121" s="1">
        <v>3.7775311317734386</v>
      </c>
      <c r="M5121" s="1">
        <v>0.23958433238311838</v>
      </c>
      <c r="N5121" s="1">
        <v>2.3665427960774288</v>
      </c>
      <c r="O5121" s="1">
        <v>0.19638431372549012</v>
      </c>
      <c r="P5121" s="1">
        <v>0.13257853683382706</v>
      </c>
      <c r="Q5121" s="1">
        <v>5.2958324596630906</v>
      </c>
      <c r="R5121" s="2">
        <f t="shared" si="319"/>
        <v>198.66535031013703</v>
      </c>
      <c r="S5121" s="2">
        <f t="shared" si="318"/>
        <v>3.199103454755484</v>
      </c>
      <c r="T5121" s="2">
        <f t="shared" si="320"/>
        <v>6.5800425739594761</v>
      </c>
      <c r="U5121" s="2">
        <f t="shared" si="321"/>
        <v>208.44449633885199</v>
      </c>
    </row>
    <row r="5122" spans="1:21" x14ac:dyDescent="0.25">
      <c r="A5122">
        <v>5554417</v>
      </c>
      <c r="B5122">
        <v>12</v>
      </c>
      <c r="C5122" s="1">
        <f>3.95211683457341*(10.3/7.3)</f>
        <v>5.5762744378227547</v>
      </c>
      <c r="D5122" s="1">
        <f>6.80640276425678*(10.3/7.3)</f>
        <v>9.6035545851842201</v>
      </c>
      <c r="E5122" s="1">
        <f>23.4745663154134*(10.3/7.3)</f>
        <v>33.121648362843608</v>
      </c>
      <c r="F5122" s="1">
        <f>61.8310203126736*(38.9/42.5)</f>
        <v>56.59356918030597</v>
      </c>
      <c r="G5122" s="1">
        <v>3.0855342670347277</v>
      </c>
      <c r="H5122" s="1">
        <v>9.2178918403297789</v>
      </c>
      <c r="I5122" s="1">
        <v>44.921813369563267</v>
      </c>
      <c r="J5122" s="1">
        <v>3.3334608716707508E-2</v>
      </c>
      <c r="K5122" s="1">
        <v>2.098427888418533</v>
      </c>
      <c r="L5122" s="1">
        <v>2.9335812380111403</v>
      </c>
      <c r="M5122" s="1">
        <v>0.15725897108067768</v>
      </c>
      <c r="N5122" s="1">
        <v>1.7014063586692467</v>
      </c>
      <c r="O5122" s="1">
        <v>0.12901777777777779</v>
      </c>
      <c r="P5122" s="1">
        <v>9.5775195602490218E-2</v>
      </c>
      <c r="Q5122" s="1">
        <v>4.9312191482290215</v>
      </c>
      <c r="R5122" s="2">
        <f t="shared" si="319"/>
        <v>167.05150519131334</v>
      </c>
      <c r="S5122" s="2">
        <f t="shared" si="318"/>
        <v>2.2275376927377311</v>
      </c>
      <c r="T5122" s="2">
        <f t="shared" si="320"/>
        <v>4.9212643455388427</v>
      </c>
      <c r="U5122" s="2">
        <f t="shared" si="321"/>
        <v>174.20030722958992</v>
      </c>
    </row>
    <row r="5123" spans="1:21" x14ac:dyDescent="0.25">
      <c r="A5123">
        <v>5566069</v>
      </c>
      <c r="B5123">
        <v>34</v>
      </c>
      <c r="C5123" s="1">
        <f>0.567264762889185*(10.3/7.3)</f>
        <v>0.80038726818611106</v>
      </c>
      <c r="D5123" s="1">
        <f>0.86126202628299*(10.3/7.3)</f>
        <v>1.215205324755452</v>
      </c>
      <c r="E5123" s="1">
        <f>2.97910022247945*(10.3/7.3)</f>
        <v>4.2033879851422427</v>
      </c>
      <c r="F5123" s="1">
        <f>8.07829470542625*(38.9/42.5)</f>
        <v>7.3940156244960216</v>
      </c>
      <c r="G5123" s="1">
        <v>0.40610504037940504</v>
      </c>
      <c r="H5123" s="1">
        <v>1.633148096076033</v>
      </c>
      <c r="I5123" s="1">
        <v>6.0616853414725078</v>
      </c>
      <c r="J5123" s="1">
        <v>3.5111263089876943E-2</v>
      </c>
      <c r="K5123" s="1">
        <v>3.9446250503553641</v>
      </c>
      <c r="L5123" s="1">
        <v>1.9281408630210171</v>
      </c>
      <c r="M5123" s="1">
        <v>0.86043358827851801</v>
      </c>
      <c r="N5123" s="1">
        <v>1.2053280088320049</v>
      </c>
      <c r="O5123" s="1">
        <v>0.46474823529411763</v>
      </c>
      <c r="P5123" s="1">
        <v>0.13968310281543864</v>
      </c>
      <c r="Q5123" s="1">
        <v>0.64902632024105866</v>
      </c>
      <c r="R5123" s="2">
        <f t="shared" si="319"/>
        <v>22.362961000748832</v>
      </c>
      <c r="S5123" s="2">
        <f t="shared" si="318"/>
        <v>4.1194194162606799</v>
      </c>
      <c r="T5123" s="2">
        <f t="shared" si="320"/>
        <v>4.458650695425658</v>
      </c>
      <c r="U5123" s="2">
        <f t="shared" si="321"/>
        <v>30.941031112435169</v>
      </c>
    </row>
    <row r="5124" spans="1:21" x14ac:dyDescent="0.25">
      <c r="A5124">
        <v>5566077</v>
      </c>
      <c r="B5124">
        <v>59</v>
      </c>
      <c r="C5124" s="1">
        <f>0.614265201444768*(10.3/7.3)</f>
        <v>0.86670295546316622</v>
      </c>
      <c r="D5124" s="1">
        <f>0.945162078743599*(10.3/7.3)</f>
        <v>1.3335848508300094</v>
      </c>
      <c r="E5124" s="1">
        <f>3.26492733818751*(10.3/7.3)</f>
        <v>4.6066782990864867</v>
      </c>
      <c r="F5124" s="1">
        <f>8.99456134765165*(38.9/42.5)</f>
        <v>8.2326690923211565</v>
      </c>
      <c r="G5124" s="1">
        <v>0.45754381833074431</v>
      </c>
      <c r="H5124" s="1">
        <v>1.8406652624078508</v>
      </c>
      <c r="I5124" s="1">
        <v>6.7507303031914363</v>
      </c>
      <c r="J5124" s="1">
        <v>4.0846230066308026E-2</v>
      </c>
      <c r="K5124" s="1">
        <v>4.6793930606848404</v>
      </c>
      <c r="L5124" s="1">
        <v>2.1130714321385367</v>
      </c>
      <c r="M5124" s="1">
        <v>1.028943223939526</v>
      </c>
      <c r="N5124" s="1">
        <v>1.3594036307968762</v>
      </c>
      <c r="O5124" s="1">
        <v>0.5417943502824859</v>
      </c>
      <c r="P5124" s="1">
        <v>0.14756254986873746</v>
      </c>
      <c r="Q5124" s="1">
        <v>0.73123441285735469</v>
      </c>
      <c r="R5124" s="2">
        <f t="shared" si="319"/>
        <v>24.819808994488202</v>
      </c>
      <c r="S5124" s="2">
        <f t="shared" si="318"/>
        <v>4.8678018406198866</v>
      </c>
      <c r="T5124" s="2">
        <f t="shared" si="320"/>
        <v>5.0432126371574251</v>
      </c>
      <c r="U5124" s="2">
        <f t="shared" si="321"/>
        <v>34.730823472265513</v>
      </c>
    </row>
    <row r="5125" spans="1:21" x14ac:dyDescent="0.25">
      <c r="A5125">
        <v>5566085</v>
      </c>
      <c r="B5125">
        <v>60</v>
      </c>
      <c r="C5125" s="1">
        <f>0.777565179753017*(10.3/7.3)</f>
        <v>1.0971125138980931</v>
      </c>
      <c r="D5125" s="1">
        <f>1.22209090644698*(10.3/7.3)</f>
        <v>1.7243200460827275</v>
      </c>
      <c r="E5125" s="1">
        <f>4.21182244469592*(10.3/7.3)</f>
        <v>5.9427083808723227</v>
      </c>
      <c r="F5125" s="1">
        <f>11.93305947421*(38.9/42.5)</f>
        <v>10.922259142276877</v>
      </c>
      <c r="G5125" s="1">
        <v>0.61919731650826038</v>
      </c>
      <c r="H5125" s="1">
        <v>2.3790782602125593</v>
      </c>
      <c r="I5125" s="1">
        <v>8.9655667460189896</v>
      </c>
      <c r="J5125" s="1">
        <v>5.2073020828959558E-2</v>
      </c>
      <c r="K5125" s="1">
        <v>5.8657776942734374</v>
      </c>
      <c r="L5125" s="1">
        <v>2.468737915287837</v>
      </c>
      <c r="M5125" s="1">
        <v>1.268667205234113</v>
      </c>
      <c r="N5125" s="1">
        <v>1.6223219614613704</v>
      </c>
      <c r="O5125" s="1">
        <v>0.67821333333333356</v>
      </c>
      <c r="P5125" s="1">
        <v>0.16352644526160282</v>
      </c>
      <c r="Q5125" s="1">
        <v>0.98958475241046273</v>
      </c>
      <c r="R5125" s="2">
        <f t="shared" si="319"/>
        <v>32.639827158280291</v>
      </c>
      <c r="S5125" s="2">
        <f t="shared" si="318"/>
        <v>6.0813771603640001</v>
      </c>
      <c r="T5125" s="2">
        <f t="shared" si="320"/>
        <v>6.0379404153166547</v>
      </c>
      <c r="U5125" s="2">
        <f t="shared" si="321"/>
        <v>44.759144733960945</v>
      </c>
    </row>
    <row r="5126" spans="1:21" x14ac:dyDescent="0.25">
      <c r="A5126">
        <v>5566093</v>
      </c>
      <c r="B5126">
        <v>40</v>
      </c>
      <c r="C5126" s="1">
        <f>1.02319173698374*(10.3/7.3)</f>
        <v>1.4436814919085696</v>
      </c>
      <c r="D5126" s="1">
        <f>1.68037757750525*(10.3/7.3)</f>
        <v>2.370943705247134</v>
      </c>
      <c r="E5126" s="1">
        <f>5.7610351414703*(10.3/7.3)</f>
        <v>8.1285838297457698</v>
      </c>
      <c r="F5126" s="1">
        <f>17.4107535285825*(38.9/42.5)</f>
        <v>15.935960288514321</v>
      </c>
      <c r="G5126" s="1">
        <v>0.94183499247260138</v>
      </c>
      <c r="H5126" s="1">
        <v>3.8982193066636048</v>
      </c>
      <c r="I5126" s="1">
        <v>13.131618429605973</v>
      </c>
      <c r="J5126" s="1">
        <v>8.8522777584028961E-2</v>
      </c>
      <c r="K5126" s="1">
        <v>7.1859823947435455</v>
      </c>
      <c r="L5126" s="1">
        <v>3.4288781347396773</v>
      </c>
      <c r="M5126" s="1">
        <v>1.7622787562223892</v>
      </c>
      <c r="N5126" s="1">
        <v>2.1944874592589256</v>
      </c>
      <c r="O5126" s="1">
        <v>0.86408000000000007</v>
      </c>
      <c r="P5126" s="1">
        <v>0.18284057502700332</v>
      </c>
      <c r="Q5126" s="1">
        <v>1.5052157413945704</v>
      </c>
      <c r="R5126" s="2">
        <f t="shared" si="319"/>
        <v>47.356057785552544</v>
      </c>
      <c r="S5126" s="2">
        <f t="shared" si="318"/>
        <v>7.4573457473545783</v>
      </c>
      <c r="T5126" s="2">
        <f t="shared" si="320"/>
        <v>8.2497243502209923</v>
      </c>
      <c r="U5126" s="2">
        <f t="shared" si="321"/>
        <v>63.063127883128118</v>
      </c>
    </row>
    <row r="5127" spans="1:21" x14ac:dyDescent="0.25">
      <c r="A5127">
        <v>5566557</v>
      </c>
      <c r="B5127">
        <v>23</v>
      </c>
      <c r="C5127" s="1">
        <f>4.67724458902807*(10.3/7.3)</f>
        <v>6.5993998995875511</v>
      </c>
      <c r="D5127" s="1">
        <f>9.37153671097668*(10.3/7.3)</f>
        <v>13.222853167542441</v>
      </c>
      <c r="E5127" s="1">
        <f>32.4043816184319*(10.3/7.3)</f>
        <v>45.721250776691562</v>
      </c>
      <c r="F5127" s="1">
        <f>73.4217113022215*(38.9/42.5)</f>
        <v>67.202460462503936</v>
      </c>
      <c r="G5127" s="1">
        <v>3.3121481800130126</v>
      </c>
      <c r="H5127" s="1">
        <v>9.0182696351711567</v>
      </c>
      <c r="I5127" s="1">
        <v>49.599087537385664</v>
      </c>
      <c r="J5127" s="1">
        <v>6.7086158324341699E-2</v>
      </c>
      <c r="K5127" s="1">
        <v>3.2173318397532169</v>
      </c>
      <c r="L5127" s="1">
        <v>4.0318643724544865</v>
      </c>
      <c r="M5127" s="1">
        <v>0.28596440223950348</v>
      </c>
      <c r="N5127" s="1">
        <v>2.6344995412489451</v>
      </c>
      <c r="O5127" s="1">
        <v>0.22816927536231879</v>
      </c>
      <c r="P5127" s="1">
        <v>0.14821276709532832</v>
      </c>
      <c r="Q5127" s="1">
        <v>5.293387502303907</v>
      </c>
      <c r="R5127" s="2">
        <f t="shared" si="319"/>
        <v>199.96885716119925</v>
      </c>
      <c r="S5127" s="2">
        <f t="shared" si="318"/>
        <v>3.4326307651728869</v>
      </c>
      <c r="T5127" s="2">
        <f t="shared" si="320"/>
        <v>7.1804975913052544</v>
      </c>
      <c r="U5127" s="2">
        <f t="shared" si="321"/>
        <v>210.5819855176774</v>
      </c>
    </row>
    <row r="5128" spans="1:21" x14ac:dyDescent="0.25">
      <c r="A5128">
        <v>5566565</v>
      </c>
      <c r="B5128">
        <v>59</v>
      </c>
      <c r="C5128" s="1">
        <f>4.13485626584694*(10.3/7.3)</f>
        <v>5.8341122655100603</v>
      </c>
      <c r="D5128" s="1">
        <f>7.59355251143993*(10.3/7.3)</f>
        <v>10.714190529839907</v>
      </c>
      <c r="E5128" s="1">
        <f>26.3215391568483*(10.3/7.3)</f>
        <v>37.138610043224283</v>
      </c>
      <c r="F5128" s="1">
        <f>59.8142997072272*(38.9/42.5)</f>
        <v>54.747676673203223</v>
      </c>
      <c r="G5128" s="1">
        <v>2.67964568858274</v>
      </c>
      <c r="H5128" s="1">
        <v>6.5395711115358175</v>
      </c>
      <c r="I5128" s="1">
        <v>41.239058905883738</v>
      </c>
      <c r="J5128" s="1">
        <v>4.7869523390289666E-2</v>
      </c>
      <c r="K5128" s="1">
        <v>2.928933476694743</v>
      </c>
      <c r="L5128" s="1">
        <v>3.5549517928964072</v>
      </c>
      <c r="M5128" s="1">
        <v>0.2550972547083607</v>
      </c>
      <c r="N5128" s="1">
        <v>3.2269713637568715</v>
      </c>
      <c r="O5128" s="1">
        <v>0.20524474576271187</v>
      </c>
      <c r="P5128" s="1">
        <v>0.13625980561609971</v>
      </c>
      <c r="Q5128" s="1">
        <v>4.2825387717075811</v>
      </c>
      <c r="R5128" s="2">
        <f t="shared" si="319"/>
        <v>163.17540398948736</v>
      </c>
      <c r="S5128" s="2">
        <f t="shared" si="318"/>
        <v>3.1130628057011323</v>
      </c>
      <c r="T5128" s="2">
        <f t="shared" si="320"/>
        <v>7.2422651571243515</v>
      </c>
      <c r="U5128" s="2">
        <f t="shared" si="321"/>
        <v>173.53073195231286</v>
      </c>
    </row>
    <row r="5129" spans="1:21" x14ac:dyDescent="0.25">
      <c r="A5129">
        <v>5566573</v>
      </c>
      <c r="B5129">
        <v>59</v>
      </c>
      <c r="C5129" s="1">
        <f>4.68703722560938*(10.3/7.3)</f>
        <v>6.6132169073666613</v>
      </c>
      <c r="D5129" s="1">
        <f>8.18555766517396*(10.3/7.3)</f>
        <v>11.549485472779702</v>
      </c>
      <c r="E5129" s="1">
        <f>28.4154714980816*(10.3/7.3)</f>
        <v>40.093062524690438</v>
      </c>
      <c r="F5129" s="1">
        <f>64.7609986237942*(38.9/42.5)</f>
        <v>59.275361093308106</v>
      </c>
      <c r="G5129" s="1">
        <v>2.8917259601826855</v>
      </c>
      <c r="H5129" s="1">
        <v>6.5596117602326167</v>
      </c>
      <c r="I5129" s="1">
        <v>45.215685720088281</v>
      </c>
      <c r="J5129" s="1">
        <v>4.9805431165489723E-2</v>
      </c>
      <c r="K5129" s="1">
        <v>3.074671360911537</v>
      </c>
      <c r="L5129" s="1">
        <v>3.8533976383467983</v>
      </c>
      <c r="M5129" s="1">
        <v>0.26780407374253612</v>
      </c>
      <c r="N5129" s="1">
        <v>2.4641549524879682</v>
      </c>
      <c r="O5129" s="1">
        <v>0.21621423728813563</v>
      </c>
      <c r="P5129" s="1">
        <v>0.1427318594746676</v>
      </c>
      <c r="Q5129" s="1">
        <v>4.6214798450408265</v>
      </c>
      <c r="R5129" s="2">
        <f t="shared" si="319"/>
        <v>176.81962928368932</v>
      </c>
      <c r="S5129" s="2">
        <f t="shared" ref="S5129:S5192" si="322">J5129+K5129+P5129</f>
        <v>3.2672086515516945</v>
      </c>
      <c r="T5129" s="2">
        <f t="shared" si="320"/>
        <v>6.8015709018654382</v>
      </c>
      <c r="U5129" s="2">
        <f t="shared" si="321"/>
        <v>186.88840883710645</v>
      </c>
    </row>
    <row r="5130" spans="1:21" x14ac:dyDescent="0.25">
      <c r="A5130">
        <v>5566581</v>
      </c>
      <c r="B5130">
        <v>60</v>
      </c>
      <c r="C5130" s="1">
        <f>2.37909653474694*(10.3/7.3)</f>
        <v>3.3568074394374601</v>
      </c>
      <c r="D5130" s="1">
        <f>4.07824074824899*(10.3/7.3)</f>
        <v>5.7542300968444691</v>
      </c>
      <c r="E5130" s="1">
        <f>14.1749356936993*(10.3/7.3)</f>
        <v>20.000251732205815</v>
      </c>
      <c r="F5130" s="1">
        <f>31.8508867738754*(38.9/42.5)</f>
        <v>29.152929305970627</v>
      </c>
      <c r="G5130" s="1">
        <v>1.4010394576450775</v>
      </c>
      <c r="H5130" s="1">
        <v>3.8976594589964111</v>
      </c>
      <c r="I5130" s="1">
        <v>22.249937315600775</v>
      </c>
      <c r="J5130" s="1">
        <v>3.1947363968347582E-2</v>
      </c>
      <c r="K5130" s="1">
        <v>2.1914345876197396</v>
      </c>
      <c r="L5130" s="1">
        <v>2.4271065346722605</v>
      </c>
      <c r="M5130" s="1">
        <v>0.18303540714743241</v>
      </c>
      <c r="N5130" s="1">
        <v>1.5721427714013185</v>
      </c>
      <c r="O5130" s="1">
        <v>0.14676977777777775</v>
      </c>
      <c r="P5130" s="1">
        <v>0.10749501702155809</v>
      </c>
      <c r="Q5130" s="1">
        <v>2.2391041560537777</v>
      </c>
      <c r="R5130" s="2">
        <f t="shared" ref="R5130:R5193" si="323">C5130+D5130+E5130+F5130+G5130+H5130+I5130+Q5130</f>
        <v>88.051958962754412</v>
      </c>
      <c r="S5130" s="2">
        <f t="shared" si="322"/>
        <v>2.3308769686096453</v>
      </c>
      <c r="T5130" s="2">
        <f t="shared" ref="T5130:T5193" si="324">L5130+M5130+N5130+O5130</f>
        <v>4.3290544909987894</v>
      </c>
      <c r="U5130" s="2">
        <f t="shared" ref="U5130:U5193" si="325">R5130+S5130+T5130</f>
        <v>94.711890422362842</v>
      </c>
    </row>
    <row r="5131" spans="1:21" x14ac:dyDescent="0.25">
      <c r="A5131">
        <v>5566589</v>
      </c>
      <c r="B5131">
        <v>48</v>
      </c>
      <c r="C5131" s="1">
        <f>2.38793363420949*(10.3/7.3)</f>
        <v>3.3692762236106533</v>
      </c>
      <c r="D5131" s="1">
        <f>4.02547076211702*(10.3/7.3)</f>
        <v>5.6797738150418251</v>
      </c>
      <c r="E5131" s="1">
        <f>13.9973916300805*(10.3/7.3)</f>
        <v>19.749744354771156</v>
      </c>
      <c r="F5131" s="1">
        <f>31.5528864472307*(38.9/42.5)</f>
        <v>28.880171359935879</v>
      </c>
      <c r="G5131" s="1">
        <v>1.3890671304737319</v>
      </c>
      <c r="H5131" s="1">
        <v>3.8507022359106138</v>
      </c>
      <c r="I5131" s="1">
        <v>22.152231408203821</v>
      </c>
      <c r="J5131" s="1">
        <v>3.1869112219058214E-2</v>
      </c>
      <c r="K5131" s="1">
        <v>2.1720873074463705</v>
      </c>
      <c r="L5131" s="1">
        <v>2.4117574862279176</v>
      </c>
      <c r="M5131" s="1">
        <v>0.17877790258116755</v>
      </c>
      <c r="N5131" s="1">
        <v>1.5478937216715207</v>
      </c>
      <c r="O5131" s="1">
        <v>0.14556888888888889</v>
      </c>
      <c r="P5131" s="1">
        <v>0.10588729233034866</v>
      </c>
      <c r="Q5131" s="1">
        <v>2.2199702998438662</v>
      </c>
      <c r="R5131" s="2">
        <f t="shared" si="323"/>
        <v>87.290936827791541</v>
      </c>
      <c r="S5131" s="2">
        <f t="shared" si="322"/>
        <v>2.3098437119957778</v>
      </c>
      <c r="T5131" s="2">
        <f t="shared" si="324"/>
        <v>4.283997999369495</v>
      </c>
      <c r="U5131" s="2">
        <f t="shared" si="325"/>
        <v>93.884778539156812</v>
      </c>
    </row>
    <row r="5132" spans="1:21" x14ac:dyDescent="0.25">
      <c r="A5132">
        <v>5566597</v>
      </c>
      <c r="B5132">
        <v>61</v>
      </c>
      <c r="C5132" s="1">
        <f>4.56693138507413*(10.3/7.3)</f>
        <v>6.4437525022278814</v>
      </c>
      <c r="D5132" s="1">
        <f>7.52074570473092*(10.3/7.3)</f>
        <v>10.611463117634042</v>
      </c>
      <c r="E5132" s="1">
        <f>26.1471453304781*(10.3/7.3)</f>
        <v>36.892547521085518</v>
      </c>
      <c r="F5132" s="1">
        <f>60.2081212746587*(38.9/42.5)</f>
        <v>55.108139237275843</v>
      </c>
      <c r="G5132" s="1">
        <v>2.6935955215398644</v>
      </c>
      <c r="H5132" s="1">
        <v>6.089692521821541</v>
      </c>
      <c r="I5132" s="1">
        <v>42.754717562642497</v>
      </c>
      <c r="J5132" s="1">
        <v>4.6592185832908306E-2</v>
      </c>
      <c r="K5132" s="1">
        <v>2.8683102223476942</v>
      </c>
      <c r="L5132" s="1">
        <v>3.5318500676489144</v>
      </c>
      <c r="M5132" s="1">
        <v>0.23724972760162913</v>
      </c>
      <c r="N5132" s="1">
        <v>2.1874286785286312</v>
      </c>
      <c r="O5132" s="1">
        <v>0.19454863387978136</v>
      </c>
      <c r="P5132" s="1">
        <v>0.13172096617392157</v>
      </c>
      <c r="Q5132" s="1">
        <v>4.3048330252920231</v>
      </c>
      <c r="R5132" s="2">
        <f t="shared" si="323"/>
        <v>164.89874100951923</v>
      </c>
      <c r="S5132" s="2">
        <f t="shared" si="322"/>
        <v>3.0466233743545237</v>
      </c>
      <c r="T5132" s="2">
        <f t="shared" si="324"/>
        <v>6.1510771076589563</v>
      </c>
      <c r="U5132" s="2">
        <f t="shared" si="325"/>
        <v>174.09644149153269</v>
      </c>
    </row>
    <row r="5133" spans="1:21" x14ac:dyDescent="0.25">
      <c r="A5133">
        <v>5566605</v>
      </c>
      <c r="B5133">
        <v>64</v>
      </c>
      <c r="C5133" s="1">
        <f>5.52217276465059*(10.3/7.3)</f>
        <v>7.7915588323152116</v>
      </c>
      <c r="D5133" s="1">
        <f>8.83233344678747*(10.3/7.3)</f>
        <v>12.462059520809722</v>
      </c>
      <c r="E5133" s="1">
        <f>30.7241578522548*(10.3/7.3)</f>
        <v>43.350524092907442</v>
      </c>
      <c r="F5133" s="1">
        <f>71.4793498103645*(38.9/42.5)</f>
        <v>65.424628414663076</v>
      </c>
      <c r="G5133" s="1">
        <v>3.2149923193365297</v>
      </c>
      <c r="H5133" s="1">
        <v>6.7379591223011843</v>
      </c>
      <c r="I5133" s="1">
        <v>51.256409802419753</v>
      </c>
      <c r="J5133" s="1">
        <v>5.1253392983205873E-2</v>
      </c>
      <c r="K5133" s="1">
        <v>3.033480723260658</v>
      </c>
      <c r="L5133" s="1">
        <v>3.8454259831709372</v>
      </c>
      <c r="M5133" s="1">
        <v>0.24905648659957677</v>
      </c>
      <c r="N5133" s="1">
        <v>3.3404082394251775</v>
      </c>
      <c r="O5133" s="1">
        <v>0.20377583333333338</v>
      </c>
      <c r="P5133" s="1">
        <v>0.13616347078287241</v>
      </c>
      <c r="Q5133" s="1">
        <v>5.1381155788483426</v>
      </c>
      <c r="R5133" s="2">
        <f t="shared" si="323"/>
        <v>195.37624768360126</v>
      </c>
      <c r="S5133" s="2">
        <f t="shared" si="322"/>
        <v>3.2208975870267365</v>
      </c>
      <c r="T5133" s="2">
        <f t="shared" si="324"/>
        <v>7.638666542529025</v>
      </c>
      <c r="U5133" s="2">
        <f t="shared" si="325"/>
        <v>206.23581181315703</v>
      </c>
    </row>
    <row r="5134" spans="1:21" x14ac:dyDescent="0.25">
      <c r="A5134">
        <v>5566613</v>
      </c>
      <c r="B5134">
        <v>64</v>
      </c>
      <c r="C5134" s="1">
        <f>6.54808533253928*(10.3/7.3)</f>
        <v>9.2390793048156965</v>
      </c>
      <c r="D5134" s="1">
        <f>10.1881302967811*(10.3/7.3)</f>
        <v>14.375033158471894</v>
      </c>
      <c r="E5134" s="1">
        <f>35.4501442539807*(10.3/7.3)</f>
        <v>50.01869668712343</v>
      </c>
      <c r="F5134" s="1">
        <f>83.77463048291*(38.9/42.5)</f>
        <v>76.678426489063497</v>
      </c>
      <c r="G5134" s="1">
        <v>3.8057850884527604</v>
      </c>
      <c r="H5134" s="1">
        <v>7.6313710277033238</v>
      </c>
      <c r="I5134" s="1">
        <v>60.71070681805061</v>
      </c>
      <c r="J5134" s="1">
        <v>5.8975891221225894E-2</v>
      </c>
      <c r="K5134" s="1">
        <v>3.3216201099236398</v>
      </c>
      <c r="L5134" s="1">
        <v>4.2940190415082675</v>
      </c>
      <c r="M5134" s="1">
        <v>0.26883926443289924</v>
      </c>
      <c r="N5134" s="1">
        <v>2.6986743962458721</v>
      </c>
      <c r="O5134" s="1">
        <v>0.21924250000000001</v>
      </c>
      <c r="P5134" s="1">
        <v>0.14552575506571652</v>
      </c>
      <c r="Q5134" s="1">
        <v>6.082304935883414</v>
      </c>
      <c r="R5134" s="2">
        <f t="shared" si="323"/>
        <v>228.54140350956465</v>
      </c>
      <c r="S5134" s="2">
        <f t="shared" si="322"/>
        <v>3.526121756210582</v>
      </c>
      <c r="T5134" s="2">
        <f t="shared" si="324"/>
        <v>7.4807752021870391</v>
      </c>
      <c r="U5134" s="2">
        <f t="shared" si="325"/>
        <v>239.54830046796226</v>
      </c>
    </row>
    <row r="5135" spans="1:21" x14ac:dyDescent="0.25">
      <c r="A5135">
        <v>5566621</v>
      </c>
      <c r="B5135">
        <v>2</v>
      </c>
      <c r="C5135" s="1">
        <f>5.7573080667588*(10.3/7.3)</f>
        <v>8.1233250804952899</v>
      </c>
      <c r="D5135" s="1">
        <f>8.87143974547207*(10.3/7.3)</f>
        <v>12.51723690114552</v>
      </c>
      <c r="E5135" s="1">
        <f>30.8484559322625*(10.3/7.3)</f>
        <v>43.52590357565807</v>
      </c>
      <c r="F5135" s="1">
        <f>74.4849244201565*(38.9/42.5)</f>
        <v>68.175613175154965</v>
      </c>
      <c r="G5135" s="1">
        <v>3.440948759238589</v>
      </c>
      <c r="H5135" s="1">
        <v>7.6032911681456854</v>
      </c>
      <c r="I5135" s="1">
        <v>54.374063192326375</v>
      </c>
      <c r="J5135" s="1">
        <v>5.2687861053380497E-2</v>
      </c>
      <c r="K5135" s="1">
        <v>2.8985143087748328</v>
      </c>
      <c r="L5135" s="1">
        <v>3.6244138949385478</v>
      </c>
      <c r="M5135" s="1">
        <v>0.22835530534905751</v>
      </c>
      <c r="N5135" s="1">
        <v>2.6568648239693013</v>
      </c>
      <c r="O5135" s="1">
        <v>0.18781333333333333</v>
      </c>
      <c r="P5135" s="1">
        <v>0.12747241602209941</v>
      </c>
      <c r="Q5135" s="1">
        <v>5.4992331768653298</v>
      </c>
      <c r="R5135" s="2">
        <f t="shared" si="323"/>
        <v>203.25961502902979</v>
      </c>
      <c r="S5135" s="2">
        <f t="shared" si="322"/>
        <v>3.0786745858503126</v>
      </c>
      <c r="T5135" s="2">
        <f t="shared" si="324"/>
        <v>6.6974473575902405</v>
      </c>
      <c r="U5135" s="2">
        <f t="shared" si="325"/>
        <v>213.03573697247035</v>
      </c>
    </row>
    <row r="5136" spans="1:21" x14ac:dyDescent="0.25">
      <c r="A5136">
        <v>5566645</v>
      </c>
      <c r="B5136">
        <v>10</v>
      </c>
      <c r="C5136" s="1">
        <f>3.32772804550465*(10.3/7.3)</f>
        <v>4.695287516259989</v>
      </c>
      <c r="D5136" s="1">
        <f>5.59962701697373*(10.3/7.3)</f>
        <v>7.9008435992917025</v>
      </c>
      <c r="E5136" s="1">
        <f>19.2864770724175*(10.3/7.3)</f>
        <v>27.212426554232888</v>
      </c>
      <c r="F5136" s="1">
        <f>52.8989629226512*(38.9/42.5)</f>
        <v>48.418109592732534</v>
      </c>
      <c r="G5136" s="1">
        <v>2.7059784130962643</v>
      </c>
      <c r="H5136" s="1">
        <v>8.4910975987800583</v>
      </c>
      <c r="I5136" s="1">
        <v>38.957876464164769</v>
      </c>
      <c r="J5136" s="1">
        <v>3.2335758552258315E-2</v>
      </c>
      <c r="K5136" s="1">
        <v>2.0614803973770859</v>
      </c>
      <c r="L5136" s="1">
        <v>2.5884501534948385</v>
      </c>
      <c r="M5136" s="1">
        <v>0.15578170605216593</v>
      </c>
      <c r="N5136" s="1">
        <v>1.5073710070814752</v>
      </c>
      <c r="O5136" s="1">
        <v>0.12601600000000002</v>
      </c>
      <c r="P5136" s="1">
        <v>9.4909995159321678E-2</v>
      </c>
      <c r="Q5136" s="1">
        <v>4.324623034628738</v>
      </c>
      <c r="R5136" s="2">
        <f t="shared" si="323"/>
        <v>142.70624277318691</v>
      </c>
      <c r="S5136" s="2">
        <f t="shared" si="322"/>
        <v>2.1887261510886655</v>
      </c>
      <c r="T5136" s="2">
        <f t="shared" si="324"/>
        <v>4.3776188666284792</v>
      </c>
      <c r="U5136" s="2">
        <f t="shared" si="325"/>
        <v>149.27258779090405</v>
      </c>
    </row>
    <row r="5137" spans="1:21" x14ac:dyDescent="0.25">
      <c r="A5137">
        <v>5578305</v>
      </c>
      <c r="B5137">
        <v>70</v>
      </c>
      <c r="C5137" s="1">
        <f>0.609739237090484*(10.3/7.3)</f>
        <v>0.86031700575780601</v>
      </c>
      <c r="D5137" s="1">
        <f>0.932549905757731*(10.3/7.3)</f>
        <v>1.3157895930554293</v>
      </c>
      <c r="E5137" s="1">
        <f>3.22376455587795*(10.3/7.3)</f>
        <v>4.5485993048688824</v>
      </c>
      <c r="F5137" s="1">
        <f>8.79494271245464*(38.9/42.5)</f>
        <v>8.0499593297526033</v>
      </c>
      <c r="G5137" s="1">
        <v>0.44425776895694014</v>
      </c>
      <c r="H5137" s="1">
        <v>1.7537548087767758</v>
      </c>
      <c r="I5137" s="1">
        <v>6.5968846389508302</v>
      </c>
      <c r="J5137" s="1">
        <v>3.6154763168147905E-2</v>
      </c>
      <c r="K5137" s="1">
        <v>4.4097331042592272</v>
      </c>
      <c r="L5137" s="1">
        <v>1.9543823033078325</v>
      </c>
      <c r="M5137" s="1">
        <v>0.88215880556606108</v>
      </c>
      <c r="N5137" s="1">
        <v>1.2276042302654893</v>
      </c>
      <c r="O5137" s="1">
        <v>0.51679009523809516</v>
      </c>
      <c r="P5137" s="1">
        <v>0.14105491725525737</v>
      </c>
      <c r="Q5137" s="1">
        <v>0.71000100061611526</v>
      </c>
      <c r="R5137" s="2">
        <f t="shared" si="323"/>
        <v>24.279563450735381</v>
      </c>
      <c r="S5137" s="2">
        <f t="shared" si="322"/>
        <v>4.5869427846826323</v>
      </c>
      <c r="T5137" s="2">
        <f t="shared" si="324"/>
        <v>4.5809354343774782</v>
      </c>
      <c r="U5137" s="2">
        <f t="shared" si="325"/>
        <v>33.447441669795495</v>
      </c>
    </row>
    <row r="5138" spans="1:21" x14ac:dyDescent="0.25">
      <c r="A5138">
        <v>5578313</v>
      </c>
      <c r="B5138">
        <v>71</v>
      </c>
      <c r="C5138" s="1">
        <f>0.780719258180517*(10.3/7.3)</f>
        <v>1.1015627889396331</v>
      </c>
      <c r="D5138" s="1">
        <f>1.22950311898363*(10.3/7.3)</f>
        <v>1.7347783733604585</v>
      </c>
      <c r="E5138" s="1">
        <f>4.23740790817565*(10.3/7.3)</f>
        <v>5.97880841838482</v>
      </c>
      <c r="F5138" s="1">
        <f>11.9877798796041*(38.9/42.5)</f>
        <v>10.972344407449356</v>
      </c>
      <c r="G5138" s="1">
        <v>0.62157923901280165</v>
      </c>
      <c r="H5138" s="1">
        <v>2.3261102839016048</v>
      </c>
      <c r="I5138" s="1">
        <v>9.0005717641757492</v>
      </c>
      <c r="J5138" s="1">
        <v>4.8569622634983878E-2</v>
      </c>
      <c r="K5138" s="1">
        <v>5.8014128979957817</v>
      </c>
      <c r="L5138" s="1">
        <v>2.4652108791052836</v>
      </c>
      <c r="M5138" s="1">
        <v>1.1821035958255481</v>
      </c>
      <c r="N5138" s="1">
        <v>1.5377038378358212</v>
      </c>
      <c r="O5138" s="1">
        <v>0.68750798122065737</v>
      </c>
      <c r="P5138" s="1">
        <v>0.16051783822519899</v>
      </c>
      <c r="Q5138" s="1">
        <v>0.99339147787434179</v>
      </c>
      <c r="R5138" s="2">
        <f t="shared" si="323"/>
        <v>32.729146753098767</v>
      </c>
      <c r="S5138" s="2">
        <f t="shared" si="322"/>
        <v>6.0105003588559649</v>
      </c>
      <c r="T5138" s="2">
        <f t="shared" si="324"/>
        <v>5.8725262939873106</v>
      </c>
      <c r="U5138" s="2">
        <f t="shared" si="325"/>
        <v>44.612173405942045</v>
      </c>
    </row>
    <row r="5139" spans="1:21" x14ac:dyDescent="0.25">
      <c r="A5139">
        <v>5578321</v>
      </c>
      <c r="B5139">
        <v>71</v>
      </c>
      <c r="C5139" s="1">
        <f>0.888875117819815*(10.3/7.3)</f>
        <v>1.2541662621293277</v>
      </c>
      <c r="D5139" s="1">
        <f>1.43287982742283*(10.3/7.3)</f>
        <v>2.0217345510212534</v>
      </c>
      <c r="E5139" s="1">
        <f>4.92490292827215*(10.3/7.3)</f>
        <v>6.9488356385209835</v>
      </c>
      <c r="F5139" s="1">
        <f>14.4105433233633*(38.9/42.5)</f>
        <v>13.189885535972572</v>
      </c>
      <c r="G5139" s="1">
        <v>0.76413945814240447</v>
      </c>
      <c r="H5139" s="1">
        <v>2.8130358211479574</v>
      </c>
      <c r="I5139" s="1">
        <v>10.840184804463735</v>
      </c>
      <c r="J5139" s="1">
        <v>6.5662323110857068E-2</v>
      </c>
      <c r="K5139" s="1">
        <v>7.1959743853731029</v>
      </c>
      <c r="L5139" s="1">
        <v>2.9678936262495883</v>
      </c>
      <c r="M5139" s="1">
        <v>1.5258904343196493</v>
      </c>
      <c r="N5139" s="1">
        <v>1.8954719913404126</v>
      </c>
      <c r="O5139" s="1">
        <v>0.85157483568075132</v>
      </c>
      <c r="P5139" s="1">
        <v>0.17630434834325867</v>
      </c>
      <c r="Q5139" s="1">
        <v>1.2212274445198255</v>
      </c>
      <c r="R5139" s="2">
        <f t="shared" si="323"/>
        <v>39.053209515918056</v>
      </c>
      <c r="S5139" s="2">
        <f t="shared" si="322"/>
        <v>7.437941056827218</v>
      </c>
      <c r="T5139" s="2">
        <f t="shared" si="324"/>
        <v>7.2408308875904011</v>
      </c>
      <c r="U5139" s="2">
        <f t="shared" si="325"/>
        <v>53.731981460335675</v>
      </c>
    </row>
    <row r="5140" spans="1:21" x14ac:dyDescent="0.25">
      <c r="A5140">
        <v>5578329</v>
      </c>
      <c r="B5140">
        <v>2</v>
      </c>
      <c r="C5140" s="1">
        <f>1.1671941397189*(10.3/7.3)</f>
        <v>1.6468629642609096</v>
      </c>
      <c r="D5140" s="1">
        <f>1.9616168951784*(10.3/7.3)</f>
        <v>2.7677608247037697</v>
      </c>
      <c r="E5140" s="1">
        <f>6.70311845238567*(10.3/7.3)</f>
        <v>9.4578246656948437</v>
      </c>
      <c r="F5140" s="1">
        <f>21.1228740399107*(38.9/42.5)</f>
        <v>19.333642356529996</v>
      </c>
      <c r="G5140" s="1">
        <v>1.1705878067755848</v>
      </c>
      <c r="H5140" s="1">
        <v>3.5035267012926665</v>
      </c>
      <c r="I5140" s="1">
        <v>15.989846383191459</v>
      </c>
      <c r="J5140" s="1">
        <v>0.10162472998537997</v>
      </c>
      <c r="K5140" s="1">
        <v>6.6094815936151781</v>
      </c>
      <c r="L5140" s="1">
        <v>3.5456378475538974</v>
      </c>
      <c r="M5140" s="1">
        <v>1.7996499010595837</v>
      </c>
      <c r="N5140" s="1">
        <v>2.04856041323134</v>
      </c>
      <c r="O5140" s="1">
        <v>0.81359999999999999</v>
      </c>
      <c r="P5140" s="1">
        <v>0.17351856556244621</v>
      </c>
      <c r="Q5140" s="1">
        <v>1.8708024309198863</v>
      </c>
      <c r="R5140" s="2">
        <f t="shared" si="323"/>
        <v>55.740854133369119</v>
      </c>
      <c r="S5140" s="2">
        <f t="shared" si="322"/>
        <v>6.8846248891630042</v>
      </c>
      <c r="T5140" s="2">
        <f t="shared" si="324"/>
        <v>8.2074481618448214</v>
      </c>
      <c r="U5140" s="2">
        <f t="shared" si="325"/>
        <v>70.832927184376942</v>
      </c>
    </row>
    <row r="5141" spans="1:21" x14ac:dyDescent="0.25">
      <c r="A5141">
        <v>5578785</v>
      </c>
      <c r="B5141">
        <v>12</v>
      </c>
      <c r="C5141" s="1">
        <f>4.03376665495982*(10.3/7.3)</f>
        <v>5.6914789789159093</v>
      </c>
      <c r="D5141" s="1">
        <f>10.5603275844455*(10.3/7.3)</f>
        <v>14.900188235587484</v>
      </c>
      <c r="E5141" s="1">
        <f>36.3406230200291*(10.3/7.3)</f>
        <v>51.275125630999938</v>
      </c>
      <c r="F5141" s="1">
        <f>78.7376738929422*(38.9/42.5)</f>
        <v>72.068129751422433</v>
      </c>
      <c r="G5141" s="1">
        <v>3.5027327627889959</v>
      </c>
      <c r="H5141" s="1">
        <v>12.922403854144664</v>
      </c>
      <c r="I5141" s="1">
        <v>49.561134396163702</v>
      </c>
      <c r="J5141" s="1">
        <v>5.6081716858528995E-2</v>
      </c>
      <c r="K5141" s="1">
        <v>3.0814494770128671</v>
      </c>
      <c r="L5141" s="1">
        <v>3.7767542724946739</v>
      </c>
      <c r="M5141" s="1">
        <v>0.27398976690330273</v>
      </c>
      <c r="N5141" s="1">
        <v>2.8246433190685583</v>
      </c>
      <c r="O5141" s="1">
        <v>0.21766666666666665</v>
      </c>
      <c r="P5141" s="1">
        <v>0.14235613615560991</v>
      </c>
      <c r="Q5141" s="1">
        <v>5.5979747350509124</v>
      </c>
      <c r="R5141" s="2">
        <f t="shared" si="323"/>
        <v>215.51916834507406</v>
      </c>
      <c r="S5141" s="2">
        <f t="shared" si="322"/>
        <v>3.2798873300270057</v>
      </c>
      <c r="T5141" s="2">
        <f t="shared" si="324"/>
        <v>7.0930540251332008</v>
      </c>
      <c r="U5141" s="2">
        <f t="shared" si="325"/>
        <v>225.89210970023427</v>
      </c>
    </row>
    <row r="5142" spans="1:21" x14ac:dyDescent="0.25">
      <c r="A5142">
        <v>5578793</v>
      </c>
      <c r="B5142">
        <v>52</v>
      </c>
      <c r="C5142" s="1">
        <f>4.9148519603347*(10.3/7.3)</f>
        <v>6.9346541358147196</v>
      </c>
      <c r="D5142" s="1">
        <f>9.6433867626769*(10.3/7.3)</f>
        <v>13.606422418571519</v>
      </c>
      <c r="E5142" s="1">
        <f>33.3600269802744*(10.3/7.3)</f>
        <v>47.069627109154247</v>
      </c>
      <c r="F5142" s="1">
        <f>75.8183272275749*(38.9/42.5)</f>
        <v>69.396068921239134</v>
      </c>
      <c r="G5142" s="1">
        <v>3.4217594717059567</v>
      </c>
      <c r="H5142" s="1">
        <v>12.796696520257294</v>
      </c>
      <c r="I5142" s="1">
        <v>51.502950511429312</v>
      </c>
      <c r="J5142" s="1">
        <v>6.0437746315650812E-2</v>
      </c>
      <c r="K5142" s="1">
        <v>3.3206500516510107</v>
      </c>
      <c r="L5142" s="1">
        <v>4.2328799142419253</v>
      </c>
      <c r="M5142" s="1">
        <v>0.2969268398712156</v>
      </c>
      <c r="N5142" s="1">
        <v>2.7373988786143721</v>
      </c>
      <c r="O5142" s="1">
        <v>0.23618153846153842</v>
      </c>
      <c r="P5142" s="1">
        <v>0.15259230326278714</v>
      </c>
      <c r="Q5142" s="1">
        <v>5.4685653657401199</v>
      </c>
      <c r="R5142" s="2">
        <f t="shared" si="323"/>
        <v>210.19674445391229</v>
      </c>
      <c r="S5142" s="2">
        <f t="shared" si="322"/>
        <v>3.5336801012294488</v>
      </c>
      <c r="T5142" s="2">
        <f t="shared" si="324"/>
        <v>7.5033871711890514</v>
      </c>
      <c r="U5142" s="2">
        <f t="shared" si="325"/>
        <v>221.23381172633077</v>
      </c>
    </row>
    <row r="5143" spans="1:21" x14ac:dyDescent="0.25">
      <c r="A5143">
        <v>5578801</v>
      </c>
      <c r="B5143">
        <v>70</v>
      </c>
      <c r="C5143" s="1">
        <f>4.98017247316879*(10.3/7.3)</f>
        <v>7.0268186950189753</v>
      </c>
      <c r="D5143" s="1">
        <f>8.54418474926777*(10.3/7.3)</f>
        <v>12.055493550336713</v>
      </c>
      <c r="E5143" s="1">
        <f>29.6865882730566*(10.3/7.3)</f>
        <v>41.886556056504489</v>
      </c>
      <c r="F5143" s="1">
        <f>67.2130548648427*(38.9/42.5)</f>
        <v>61.519713746879518</v>
      </c>
      <c r="G5143" s="1">
        <v>2.9772046962034269</v>
      </c>
      <c r="H5143" s="1">
        <v>7.0834486156856986</v>
      </c>
      <c r="I5143" s="1">
        <v>47.042116906032689</v>
      </c>
      <c r="J5143" s="1">
        <v>5.0468786722748363E-2</v>
      </c>
      <c r="K5143" s="1">
        <v>3.0500125896286541</v>
      </c>
      <c r="L5143" s="1">
        <v>3.8179353042593789</v>
      </c>
      <c r="M5143" s="1">
        <v>0.26817862495858186</v>
      </c>
      <c r="N5143" s="1">
        <v>3.2345613856806801</v>
      </c>
      <c r="O5143" s="1">
        <v>0.21555885714285711</v>
      </c>
      <c r="P5143" s="1">
        <v>0.14142229380457697</v>
      </c>
      <c r="Q5143" s="1">
        <v>4.7580896971287689</v>
      </c>
      <c r="R5143" s="2">
        <f t="shared" si="323"/>
        <v>184.34944196379027</v>
      </c>
      <c r="S5143" s="2">
        <f t="shared" si="322"/>
        <v>3.2419036701559794</v>
      </c>
      <c r="T5143" s="2">
        <f t="shared" si="324"/>
        <v>7.5362341720414969</v>
      </c>
      <c r="U5143" s="2">
        <f t="shared" si="325"/>
        <v>195.12757980598775</v>
      </c>
    </row>
    <row r="5144" spans="1:21" x14ac:dyDescent="0.25">
      <c r="A5144">
        <v>5578809</v>
      </c>
      <c r="B5144">
        <v>71</v>
      </c>
      <c r="C5144" s="1">
        <f>5.1281640848985*(10.3/7.3)</f>
        <v>7.2356287773225425</v>
      </c>
      <c r="D5144" s="1">
        <f>8.93707653127749*(10.3/7.3)</f>
        <v>12.609847708514817</v>
      </c>
      <c r="E5144" s="1">
        <f>31.0193853812221*(10.3/7.3)</f>
        <v>43.767078003642169</v>
      </c>
      <c r="F5144" s="1">
        <f>71.0539943780219*(38.9/42.5)</f>
        <v>65.035303089530643</v>
      </c>
      <c r="G5144" s="1">
        <v>3.1860703823898908</v>
      </c>
      <c r="H5144" s="1">
        <v>6.9525983604778148</v>
      </c>
      <c r="I5144" s="1">
        <v>49.704171257809485</v>
      </c>
      <c r="J5144" s="1">
        <v>5.2745413239552362E-2</v>
      </c>
      <c r="K5144" s="1">
        <v>3.2023660777865386</v>
      </c>
      <c r="L5144" s="1">
        <v>4.0760779850905706</v>
      </c>
      <c r="M5144" s="1">
        <v>0.27942645394340199</v>
      </c>
      <c r="N5144" s="1">
        <v>2.5751278017109116</v>
      </c>
      <c r="O5144" s="1">
        <v>0.22439737089201872</v>
      </c>
      <c r="P5144" s="1">
        <v>0.14732262703473709</v>
      </c>
      <c r="Q5144" s="1">
        <v>5.0918933051893278</v>
      </c>
      <c r="R5144" s="2">
        <f t="shared" si="323"/>
        <v>193.58259088487671</v>
      </c>
      <c r="S5144" s="2">
        <f t="shared" si="322"/>
        <v>3.4024341180608277</v>
      </c>
      <c r="T5144" s="2">
        <f t="shared" si="324"/>
        <v>7.1550296116369037</v>
      </c>
      <c r="U5144" s="2">
        <f t="shared" si="325"/>
        <v>204.14005461457444</v>
      </c>
    </row>
    <row r="5145" spans="1:21" x14ac:dyDescent="0.25">
      <c r="A5145">
        <v>5578817</v>
      </c>
      <c r="B5145">
        <v>69</v>
      </c>
      <c r="C5145" s="1">
        <f>2.41095266385669*(10.3/7.3)</f>
        <v>3.4017551284553358</v>
      </c>
      <c r="D5145" s="1">
        <f>4.14411131195942*(10.3/7.3)</f>
        <v>5.8471707552304171</v>
      </c>
      <c r="E5145" s="1">
        <f>14.4007680848984*(10.3/7.3)</f>
        <v>20.318891955404627</v>
      </c>
      <c r="F5145" s="1">
        <f>32.450305437213*(38.9/42.5)</f>
        <v>29.701573682531471</v>
      </c>
      <c r="G5145" s="1">
        <v>1.4315788633640285</v>
      </c>
      <c r="H5145" s="1">
        <v>3.9654740503355055</v>
      </c>
      <c r="I5145" s="1">
        <v>22.671548677762917</v>
      </c>
      <c r="J5145" s="1">
        <v>3.2137533291518923E-2</v>
      </c>
      <c r="K5145" s="1">
        <v>2.1950968630944097</v>
      </c>
      <c r="L5145" s="1">
        <v>2.4283093808028995</v>
      </c>
      <c r="M5145" s="1">
        <v>0.18315531638409477</v>
      </c>
      <c r="N5145" s="1">
        <v>1.5803840552708843</v>
      </c>
      <c r="O5145" s="1">
        <v>0.14798067632850243</v>
      </c>
      <c r="P5145" s="1">
        <v>0.10734896386083696</v>
      </c>
      <c r="Q5145" s="1">
        <v>2.2879114254676263</v>
      </c>
      <c r="R5145" s="2">
        <f t="shared" si="323"/>
        <v>89.625904538551936</v>
      </c>
      <c r="S5145" s="2">
        <f t="shared" si="322"/>
        <v>2.3345833602467656</v>
      </c>
      <c r="T5145" s="2">
        <f t="shared" si="324"/>
        <v>4.3398294287863806</v>
      </c>
      <c r="U5145" s="2">
        <f t="shared" si="325"/>
        <v>96.300317327585077</v>
      </c>
    </row>
    <row r="5146" spans="1:21" x14ac:dyDescent="0.25">
      <c r="A5146">
        <v>5578825</v>
      </c>
      <c r="B5146">
        <v>71</v>
      </c>
      <c r="C5146" s="1">
        <f>2.51286788681766*(10.3/7.3)</f>
        <v>3.5455533197564297</v>
      </c>
      <c r="D5146" s="1">
        <f>4.2342759501381*(10.3/7.3)</f>
        <v>5.9743893543044377</v>
      </c>
      <c r="E5146" s="1">
        <f>14.7209005404584*(10.3/7.3)</f>
        <v>20.770585694071482</v>
      </c>
      <c r="F5146" s="1">
        <f>33.3239243267127*(38.9/42.5)</f>
        <v>30.501191913155871</v>
      </c>
      <c r="G5146" s="1">
        <v>1.4725701739383701</v>
      </c>
      <c r="H5146" s="1">
        <v>4.0101336438532904</v>
      </c>
      <c r="I5146" s="1">
        <v>23.424912476465881</v>
      </c>
      <c r="J5146" s="1">
        <v>3.2869768733275899E-2</v>
      </c>
      <c r="K5146" s="1">
        <v>2.2090052796711714</v>
      </c>
      <c r="L5146" s="1">
        <v>2.471240302889413</v>
      </c>
      <c r="M5146" s="1">
        <v>0.18157585662895978</v>
      </c>
      <c r="N5146" s="1">
        <v>1.6010655816399646</v>
      </c>
      <c r="O5146" s="1">
        <v>0.14775511737089203</v>
      </c>
      <c r="P5146" s="1">
        <v>0.10684703573439529</v>
      </c>
      <c r="Q5146" s="1">
        <v>2.3534226524129216</v>
      </c>
      <c r="R5146" s="2">
        <f t="shared" si="323"/>
        <v>92.052759227958674</v>
      </c>
      <c r="S5146" s="2">
        <f t="shared" si="322"/>
        <v>2.3487220841388425</v>
      </c>
      <c r="T5146" s="2">
        <f t="shared" si="324"/>
        <v>4.4016368585292289</v>
      </c>
      <c r="U5146" s="2">
        <f t="shared" si="325"/>
        <v>98.803118170626746</v>
      </c>
    </row>
    <row r="5147" spans="1:21" x14ac:dyDescent="0.25">
      <c r="A5147">
        <v>5578833</v>
      </c>
      <c r="B5147">
        <v>71</v>
      </c>
      <c r="C5147" s="1">
        <f>3.07545225899849*(10.3/7.3)</f>
        <v>4.3393367489978658</v>
      </c>
      <c r="D5147" s="1">
        <f>5.04345853645639*(10.3/7.3)</f>
        <v>7.1161127295206601</v>
      </c>
      <c r="E5147" s="1">
        <f>17.5410496792295*(10.3/7.3)</f>
        <v>24.749700232337474</v>
      </c>
      <c r="F5147" s="1">
        <f>40.1846270131802*(38.9/42.5)</f>
        <v>36.780752725004895</v>
      </c>
      <c r="G5147" s="1">
        <v>1.7887124509260837</v>
      </c>
      <c r="H5147" s="1">
        <v>4.5214716934606134</v>
      </c>
      <c r="I5147" s="1">
        <v>28.527157301067763</v>
      </c>
      <c r="J5147" s="1">
        <v>3.6025397533115955E-2</v>
      </c>
      <c r="K5147" s="1">
        <v>2.3456392309210137</v>
      </c>
      <c r="L5147" s="1">
        <v>2.6884893034464139</v>
      </c>
      <c r="M5147" s="1">
        <v>0.19061989337665619</v>
      </c>
      <c r="N5147" s="1">
        <v>1.9022880695495532</v>
      </c>
      <c r="O5147" s="1">
        <v>0.15591286384976522</v>
      </c>
      <c r="P5147" s="1">
        <v>0.11105913040275915</v>
      </c>
      <c r="Q5147" s="1">
        <v>2.8586728667768484</v>
      </c>
      <c r="R5147" s="2">
        <f t="shared" si="323"/>
        <v>110.68191674809219</v>
      </c>
      <c r="S5147" s="2">
        <f t="shared" si="322"/>
        <v>2.4927237588568887</v>
      </c>
      <c r="T5147" s="2">
        <f t="shared" si="324"/>
        <v>4.9373101302223885</v>
      </c>
      <c r="U5147" s="2">
        <f t="shared" si="325"/>
        <v>118.11195063717146</v>
      </c>
    </row>
    <row r="5148" spans="1:21" x14ac:dyDescent="0.25">
      <c r="A5148">
        <v>5578841</v>
      </c>
      <c r="B5148">
        <v>69</v>
      </c>
      <c r="C5148" s="1">
        <f>6.42190701127554*(10.3/7.3)</f>
        <v>9.0610468789230172</v>
      </c>
      <c r="D5148" s="1">
        <f>10.1451150230362*(10.3/7.3)</f>
        <v>14.314340374968902</v>
      </c>
      <c r="E5148" s="1">
        <f>35.2909985983243*(10.3/7.3)</f>
        <v>49.7941487072247</v>
      </c>
      <c r="F5148" s="1">
        <f>82.8884967520576*(38.9/42.5)</f>
        <v>75.867353497765691</v>
      </c>
      <c r="G5148" s="1">
        <v>3.7530370877496737</v>
      </c>
      <c r="H5148" s="1">
        <v>7.4617470731575857</v>
      </c>
      <c r="I5148" s="1">
        <v>59.757011419821445</v>
      </c>
      <c r="J5148" s="1">
        <v>5.8523619125101539E-2</v>
      </c>
      <c r="K5148" s="1">
        <v>3.3494987390420095</v>
      </c>
      <c r="L5148" s="1">
        <v>4.3357191466713134</v>
      </c>
      <c r="M5148" s="1">
        <v>0.27383897925386075</v>
      </c>
      <c r="N5148" s="1">
        <v>2.9122609198248348</v>
      </c>
      <c r="O5148" s="1">
        <v>0.22356483091787446</v>
      </c>
      <c r="P5148" s="1">
        <v>0.14783269780656844</v>
      </c>
      <c r="Q5148" s="1">
        <v>5.9980044781387534</v>
      </c>
      <c r="R5148" s="2">
        <f t="shared" si="323"/>
        <v>226.00668951774981</v>
      </c>
      <c r="S5148" s="2">
        <f t="shared" si="322"/>
        <v>3.5558550559736792</v>
      </c>
      <c r="T5148" s="2">
        <f t="shared" si="324"/>
        <v>7.7453838766678835</v>
      </c>
      <c r="U5148" s="2">
        <f t="shared" si="325"/>
        <v>237.30792845039136</v>
      </c>
    </row>
    <row r="5149" spans="1:21" x14ac:dyDescent="0.25">
      <c r="A5149">
        <v>5578849</v>
      </c>
      <c r="B5149">
        <v>60</v>
      </c>
      <c r="C5149" s="1">
        <f>6.59896503641676*(10.3/7.3)</f>
        <v>9.3108684760400795</v>
      </c>
      <c r="D5149" s="1">
        <f>10.1779330107496*(10.3/7.3)</f>
        <v>14.360645206948053</v>
      </c>
      <c r="E5149" s="1">
        <f>35.4103098435911*(10.3/7.3)</f>
        <v>49.962491971094323</v>
      </c>
      <c r="F5149" s="1">
        <f>84.4797180442109*(38.9/42.5)</f>
        <v>77.323788986348305</v>
      </c>
      <c r="G5149" s="1">
        <v>3.8644955390045488</v>
      </c>
      <c r="H5149" s="1">
        <v>7.714252975783304</v>
      </c>
      <c r="I5149" s="1">
        <v>61.488397189421036</v>
      </c>
      <c r="J5149" s="1">
        <v>5.9388728426779759E-2</v>
      </c>
      <c r="K5149" s="1">
        <v>3.2968464016909809</v>
      </c>
      <c r="L5149" s="1">
        <v>4.2392325716156298</v>
      </c>
      <c r="M5149" s="1">
        <v>0.26403165065496031</v>
      </c>
      <c r="N5149" s="1">
        <v>2.6258351579945454</v>
      </c>
      <c r="O5149" s="1">
        <v>0.2158062222222222</v>
      </c>
      <c r="P5149" s="1">
        <v>0.14368344470916136</v>
      </c>
      <c r="Q5149" s="1">
        <v>6.1761344230666362</v>
      </c>
      <c r="R5149" s="2">
        <f t="shared" si="323"/>
        <v>230.20107476770625</v>
      </c>
      <c r="S5149" s="2">
        <f t="shared" si="322"/>
        <v>3.4999185748269217</v>
      </c>
      <c r="T5149" s="2">
        <f t="shared" si="324"/>
        <v>7.3449056024873576</v>
      </c>
      <c r="U5149" s="2">
        <f t="shared" si="325"/>
        <v>241.04589894502053</v>
      </c>
    </row>
    <row r="5150" spans="1:21" x14ac:dyDescent="0.25">
      <c r="A5150">
        <v>5578881</v>
      </c>
      <c r="B5150">
        <v>4</v>
      </c>
      <c r="C5150" s="1">
        <f>3.21013238955788*(10.3/7.3)</f>
        <v>4.5293648784172893</v>
      </c>
      <c r="D5150" s="1">
        <f>5.17067051009512*(10.3/7.3)</f>
        <v>7.295603596435587</v>
      </c>
      <c r="E5150" s="1">
        <f>17.8790143582278*(10.3/7.3)</f>
        <v>25.226554505444689</v>
      </c>
      <c r="F5150" s="1">
        <f>46.8370816591549*(38.9/42.5)</f>
        <v>42.869705330379453</v>
      </c>
      <c r="G5150" s="1">
        <v>2.3132789288800741</v>
      </c>
      <c r="H5150" s="1">
        <v>7.5083969885565018</v>
      </c>
      <c r="I5150" s="1">
        <v>34.461887750852931</v>
      </c>
      <c r="J5150" s="1">
        <v>3.1584287166854935E-2</v>
      </c>
      <c r="K5150" s="1">
        <v>2.0180829421386912</v>
      </c>
      <c r="L5150" s="1">
        <v>2.9111531251555705</v>
      </c>
      <c r="M5150" s="1">
        <v>0.15228154282752976</v>
      </c>
      <c r="N5150" s="1">
        <v>1.4785448177199549</v>
      </c>
      <c r="O5150" s="1">
        <v>0.12298666666666666</v>
      </c>
      <c r="P5150" s="1">
        <v>9.3139259007637504E-2</v>
      </c>
      <c r="Q5150" s="1">
        <v>3.697021119214734</v>
      </c>
      <c r="R5150" s="2">
        <f t="shared" si="323"/>
        <v>127.90181309818125</v>
      </c>
      <c r="S5150" s="2">
        <f t="shared" si="322"/>
        <v>2.1428064883131834</v>
      </c>
      <c r="T5150" s="2">
        <f t="shared" si="324"/>
        <v>4.6649661523697219</v>
      </c>
      <c r="U5150" s="2">
        <f t="shared" si="325"/>
        <v>134.70958573886415</v>
      </c>
    </row>
    <row r="5151" spans="1:21" x14ac:dyDescent="0.25">
      <c r="A5151">
        <v>5579137</v>
      </c>
      <c r="B5151">
        <v>6</v>
      </c>
      <c r="C5151" s="1">
        <f>9.26161214659504*(10.3/7.3)</f>
        <v>13.067754124647792</v>
      </c>
      <c r="D5151" s="1">
        <f>12.341272463676*(10.3/7.3)</f>
        <v>17.413028270666118</v>
      </c>
      <c r="E5151" s="1">
        <f>43.1449103297332*(10.3/7.3)</f>
        <v>60.875695396746906</v>
      </c>
      <c r="F5151" s="1">
        <f>105.030294742519*(38.9/42.5)</f>
        <v>96.133610952564069</v>
      </c>
      <c r="G5151" s="1">
        <v>4.792686191474556</v>
      </c>
      <c r="H5151" s="1">
        <v>9.6680093647528054</v>
      </c>
      <c r="I5151" s="1">
        <v>79.671954027653513</v>
      </c>
      <c r="J5151" s="1">
        <v>4.0120905925752091E-2</v>
      </c>
      <c r="K5151" s="1">
        <v>2.3166000283874513</v>
      </c>
      <c r="L5151" s="1">
        <v>2.4557843799257886</v>
      </c>
      <c r="M5151" s="1">
        <v>0.1238363156177547</v>
      </c>
      <c r="N5151" s="1">
        <v>1.6502936247187965</v>
      </c>
      <c r="O5151" s="1">
        <v>0.11676444444444443</v>
      </c>
      <c r="P5151" s="1">
        <v>8.771285892004288E-2</v>
      </c>
      <c r="Q5151" s="1">
        <v>7.6595441416260117</v>
      </c>
      <c r="R5151" s="2">
        <f t="shared" si="323"/>
        <v>289.28228247013175</v>
      </c>
      <c r="S5151" s="2">
        <f t="shared" si="322"/>
        <v>2.4444337932332463</v>
      </c>
      <c r="T5151" s="2">
        <f t="shared" si="324"/>
        <v>4.3466787647067848</v>
      </c>
      <c r="U5151" s="2">
        <f t="shared" si="325"/>
        <v>296.07339502807179</v>
      </c>
    </row>
    <row r="5152" spans="1:21" x14ac:dyDescent="0.25">
      <c r="A5152">
        <v>5590533</v>
      </c>
      <c r="B5152">
        <v>11</v>
      </c>
      <c r="C5152" s="1">
        <f>0.43571313242566*(10.3/7.3)</f>
        <v>0.61477332383346484</v>
      </c>
      <c r="D5152" s="1">
        <f>0.649552121069525*(10.3/7.3)</f>
        <v>0.91649134890631678</v>
      </c>
      <c r="E5152" s="1">
        <f>2.25067394433705*(10.3/7.3)</f>
        <v>3.1756084420098083</v>
      </c>
      <c r="F5152" s="1">
        <f>5.9840083470561*(38.9/42.5)</f>
        <v>5.4771276400113456</v>
      </c>
      <c r="G5152" s="1">
        <v>0.29622182404772718</v>
      </c>
      <c r="H5152" s="1">
        <v>1.2536719706691286</v>
      </c>
      <c r="I5152" s="1">
        <v>4.491042916437709</v>
      </c>
      <c r="J5152" s="1">
        <v>3.1675901793431237E-2</v>
      </c>
      <c r="K5152" s="1">
        <v>3.6502481548445318</v>
      </c>
      <c r="L5152" s="1">
        <v>1.7695333717428525</v>
      </c>
      <c r="M5152" s="1">
        <v>0.77381452616233737</v>
      </c>
      <c r="N5152" s="1">
        <v>1.0827037007267448</v>
      </c>
      <c r="O5152" s="1">
        <v>0.45321212121212118</v>
      </c>
      <c r="P5152" s="1">
        <v>0.12734218461290833</v>
      </c>
      <c r="Q5152" s="1">
        <v>0.47341387404887941</v>
      </c>
      <c r="R5152" s="2">
        <f t="shared" si="323"/>
        <v>16.698351339964379</v>
      </c>
      <c r="S5152" s="2">
        <f t="shared" si="322"/>
        <v>3.8092662412508713</v>
      </c>
      <c r="T5152" s="2">
        <f t="shared" si="324"/>
        <v>4.0792637198440556</v>
      </c>
      <c r="U5152" s="2">
        <f t="shared" si="325"/>
        <v>24.586881301059307</v>
      </c>
    </row>
    <row r="5153" spans="1:21" x14ac:dyDescent="0.25">
      <c r="A5153">
        <v>5590541</v>
      </c>
      <c r="B5153">
        <v>63</v>
      </c>
      <c r="C5153" s="1">
        <f>0.639561810278774*(10.3/7.3)</f>
        <v>0.9023954309412846</v>
      </c>
      <c r="D5153" s="1">
        <f>0.988559278616841*(10.3/7.3)</f>
        <v>1.3948165164045847</v>
      </c>
      <c r="E5153" s="1">
        <f>3.41395773646698*(10.3/7.3)</f>
        <v>4.8169540665219079</v>
      </c>
      <c r="F5153" s="1">
        <f>9.42089775702675*(38.9/42.5)</f>
        <v>8.6228922999609576</v>
      </c>
      <c r="G5153" s="1">
        <v>0.47996773935853548</v>
      </c>
      <c r="H5153" s="1">
        <v>1.8872358223419061</v>
      </c>
      <c r="I5153" s="1">
        <v>7.0663428769769654</v>
      </c>
      <c r="J5153" s="1">
        <v>3.9185515230827507E-2</v>
      </c>
      <c r="K5153" s="1">
        <v>5.0118859666047069</v>
      </c>
      <c r="L5153" s="1">
        <v>2.0662536582516884</v>
      </c>
      <c r="M5153" s="1">
        <v>0.95599149336085976</v>
      </c>
      <c r="N5153" s="1">
        <v>1.3050340594172183</v>
      </c>
      <c r="O5153" s="1">
        <v>0.5989053968253969</v>
      </c>
      <c r="P5153" s="1">
        <v>0.14419383925803045</v>
      </c>
      <c r="Q5153" s="1">
        <v>0.76707172956843617</v>
      </c>
      <c r="R5153" s="2">
        <f t="shared" si="323"/>
        <v>25.937676482074576</v>
      </c>
      <c r="S5153" s="2">
        <f t="shared" si="322"/>
        <v>5.1952653210935651</v>
      </c>
      <c r="T5153" s="2">
        <f t="shared" si="324"/>
        <v>4.9261846078551637</v>
      </c>
      <c r="U5153" s="2">
        <f t="shared" si="325"/>
        <v>36.059126411023307</v>
      </c>
    </row>
    <row r="5154" spans="1:21" x14ac:dyDescent="0.25">
      <c r="A5154">
        <v>5590549</v>
      </c>
      <c r="B5154">
        <v>64</v>
      </c>
      <c r="C5154" s="1">
        <f>0.795706126889175*(10.3/7.3)</f>
        <v>1.1227086447888353</v>
      </c>
      <c r="D5154" s="1">
        <f>1.26265547086278*(10.3/7.3)</f>
        <v>1.7815549794365282</v>
      </c>
      <c r="E5154" s="1">
        <f>4.348769923603*(10.3/7.3)</f>
        <v>6.1359356456316299</v>
      </c>
      <c r="F5154" s="1">
        <f>12.3903446853241*(38.9/42.5)</f>
        <v>11.340809606096624</v>
      </c>
      <c r="G5154" s="1">
        <v>0.64571772002935612</v>
      </c>
      <c r="H5154" s="1">
        <v>2.4468369732776991</v>
      </c>
      <c r="I5154" s="1">
        <v>9.3015170983671407</v>
      </c>
      <c r="J5154" s="1">
        <v>5.2373863975346331E-2</v>
      </c>
      <c r="K5154" s="1">
        <v>6.6932632657977296</v>
      </c>
      <c r="L5154" s="1">
        <v>2.5321282165842689</v>
      </c>
      <c r="M5154" s="1">
        <v>1.2533622616392599</v>
      </c>
      <c r="N5154" s="1">
        <v>1.6375353786724407</v>
      </c>
      <c r="O5154" s="1">
        <v>0.80439999999999989</v>
      </c>
      <c r="P5154" s="1">
        <v>0.16478499671043545</v>
      </c>
      <c r="Q5154" s="1">
        <v>1.0319689589510272</v>
      </c>
      <c r="R5154" s="2">
        <f t="shared" si="323"/>
        <v>33.807049626578838</v>
      </c>
      <c r="S5154" s="2">
        <f t="shared" si="322"/>
        <v>6.9104221264835113</v>
      </c>
      <c r="T5154" s="2">
        <f t="shared" si="324"/>
        <v>6.2274258568959695</v>
      </c>
      <c r="U5154" s="2">
        <f t="shared" si="325"/>
        <v>46.944897609958318</v>
      </c>
    </row>
    <row r="5155" spans="1:21" x14ac:dyDescent="0.25">
      <c r="A5155">
        <v>5590557</v>
      </c>
      <c r="B5155">
        <v>42</v>
      </c>
      <c r="C5155" s="1">
        <f>1.09389896413625*(10.3/7.3)</f>
        <v>1.5434464836443025</v>
      </c>
      <c r="D5155" s="1">
        <f>1.83027256848259*(10.3/7.3)</f>
        <v>2.5824393774480368</v>
      </c>
      <c r="E5155" s="1">
        <f>6.26521681698512*(10.3/7.3)</f>
        <v>8.839963454102298</v>
      </c>
      <c r="F5155" s="1">
        <f>19.2280930312285*(38.9/42.5)</f>
        <v>17.599360445053829</v>
      </c>
      <c r="G5155" s="1">
        <v>1.0504609017124964</v>
      </c>
      <c r="H5155" s="1">
        <v>3.6107535252077243</v>
      </c>
      <c r="I5155" s="1">
        <v>14.496251755649826</v>
      </c>
      <c r="J5155" s="1">
        <v>8.1991022086086995E-2</v>
      </c>
      <c r="K5155" s="1">
        <v>8.6554860936346607</v>
      </c>
      <c r="L5155" s="1">
        <v>3.6165904429241365</v>
      </c>
      <c r="M5155" s="1">
        <v>1.7818293629850626</v>
      </c>
      <c r="N5155" s="1">
        <v>2.1540294895858985</v>
      </c>
      <c r="O5155" s="1">
        <v>1.0537269841269838</v>
      </c>
      <c r="P5155" s="1">
        <v>0.18894924815860492</v>
      </c>
      <c r="Q5155" s="1">
        <v>1.6788187926912062</v>
      </c>
      <c r="R5155" s="2">
        <f t="shared" si="323"/>
        <v>51.401494735509715</v>
      </c>
      <c r="S5155" s="2">
        <f t="shared" si="322"/>
        <v>8.9264263638793526</v>
      </c>
      <c r="T5155" s="2">
        <f t="shared" si="324"/>
        <v>8.6061762796220815</v>
      </c>
      <c r="U5155" s="2">
        <f t="shared" si="325"/>
        <v>68.934097379011149</v>
      </c>
    </row>
    <row r="5156" spans="1:21" x14ac:dyDescent="0.25">
      <c r="A5156">
        <v>5591021</v>
      </c>
      <c r="B5156">
        <v>55</v>
      </c>
      <c r="C5156" s="1">
        <f>4.50388375087572*(10.3/7.3)</f>
        <v>6.3547948813725865</v>
      </c>
      <c r="D5156" s="1">
        <f>10.0650503105695*(10.3/7.3)</f>
        <v>14.201372356008957</v>
      </c>
      <c r="E5156" s="1">
        <f>34.7054294439234*(10.3/7.3)</f>
        <v>48.967934694850818</v>
      </c>
      <c r="F5156" s="1">
        <f>78.3265208122104*(38.9/42.5)</f>
        <v>71.691803755176139</v>
      </c>
      <c r="G5156" s="1">
        <v>3.559734013058379</v>
      </c>
      <c r="H5156" s="1">
        <v>10.975844052460713</v>
      </c>
      <c r="I5156" s="1">
        <v>51.649382619602896</v>
      </c>
      <c r="J5156" s="1">
        <v>5.9782574884608843E-2</v>
      </c>
      <c r="K5156" s="1">
        <v>3.2899181158335922</v>
      </c>
      <c r="L5156" s="1">
        <v>4.1652147283184631</v>
      </c>
      <c r="M5156" s="1">
        <v>0.29719182137155509</v>
      </c>
      <c r="N5156" s="1">
        <v>2.5967939320192226</v>
      </c>
      <c r="O5156" s="1">
        <v>0.23484703030303031</v>
      </c>
      <c r="P5156" s="1">
        <v>0.15205203126999545</v>
      </c>
      <c r="Q5156" s="1">
        <v>5.689072623609289</v>
      </c>
      <c r="R5156" s="2">
        <f t="shared" si="323"/>
        <v>213.08993899613978</v>
      </c>
      <c r="S5156" s="2">
        <f t="shared" si="322"/>
        <v>3.5017527219881965</v>
      </c>
      <c r="T5156" s="2">
        <f t="shared" si="324"/>
        <v>7.2940475120122716</v>
      </c>
      <c r="U5156" s="2">
        <f t="shared" si="325"/>
        <v>223.88573923014025</v>
      </c>
    </row>
    <row r="5157" spans="1:21" x14ac:dyDescent="0.25">
      <c r="A5157">
        <v>5591029</v>
      </c>
      <c r="B5157">
        <v>17</v>
      </c>
      <c r="C5157" s="1">
        <f>4.82565667288058*(10.3/7.3)</f>
        <v>6.8088032507767089</v>
      </c>
      <c r="D5157" s="1">
        <f>8.66376625539504*(10.3/7.3)</f>
        <v>12.224218141173829</v>
      </c>
      <c r="E5157" s="1">
        <f>30.0530871013963*(10.3/7.3)</f>
        <v>42.403670841696204</v>
      </c>
      <c r="F5157" s="1">
        <f>68.2718003982731*(38.9/42.5)</f>
        <v>62.488777305713484</v>
      </c>
      <c r="G5157" s="1">
        <v>3.0497009124600343</v>
      </c>
      <c r="H5157" s="1">
        <v>8.4113489451992258</v>
      </c>
      <c r="I5157" s="1">
        <v>47.313688292041846</v>
      </c>
      <c r="J5157" s="1">
        <v>5.1245920576589284E-2</v>
      </c>
      <c r="K5157" s="1">
        <v>3.0177653007146601</v>
      </c>
      <c r="L5157" s="1">
        <v>3.770324574708102</v>
      </c>
      <c r="M5157" s="1">
        <v>0.26655392578216963</v>
      </c>
      <c r="N5157" s="1">
        <v>2.5820727629474285</v>
      </c>
      <c r="O5157" s="1">
        <v>0.21362196078431372</v>
      </c>
      <c r="P5157" s="1">
        <v>0.14030304088591738</v>
      </c>
      <c r="Q5157" s="1">
        <v>4.8739512299589647</v>
      </c>
      <c r="R5157" s="2">
        <f t="shared" si="323"/>
        <v>187.57415891902033</v>
      </c>
      <c r="S5157" s="2">
        <f t="shared" si="322"/>
        <v>3.2093142621771671</v>
      </c>
      <c r="T5157" s="2">
        <f t="shared" si="324"/>
        <v>6.8325732242220134</v>
      </c>
      <c r="U5157" s="2">
        <f t="shared" si="325"/>
        <v>197.61604640541952</v>
      </c>
    </row>
    <row r="5158" spans="1:21" x14ac:dyDescent="0.25">
      <c r="A5158">
        <v>5591037</v>
      </c>
      <c r="B5158">
        <v>63</v>
      </c>
      <c r="C5158" s="1">
        <f>5.6509388659844*(10.3/7.3)</f>
        <v>7.9732425095396318</v>
      </c>
      <c r="D5158" s="1">
        <f>9.43682665691787*(10.3/7.3)</f>
        <v>13.314974598116992</v>
      </c>
      <c r="E5158" s="1">
        <f>32.8122978529084*(10.3/7.3)</f>
        <v>46.296803819857111</v>
      </c>
      <c r="F5158" s="1">
        <f>74.574080660594*(38.9/42.5)</f>
        <v>68.257217357578952</v>
      </c>
      <c r="G5158" s="1">
        <v>3.3035090490458283</v>
      </c>
      <c r="H5158" s="1">
        <v>7.4749794147076347</v>
      </c>
      <c r="I5158" s="1">
        <v>52.593877167058963</v>
      </c>
      <c r="J5158" s="1">
        <v>5.3683801592396184E-2</v>
      </c>
      <c r="K5158" s="1">
        <v>3.1988474119183481</v>
      </c>
      <c r="L5158" s="1">
        <v>4.0866443286752308</v>
      </c>
      <c r="M5158" s="1">
        <v>0.28131147234926951</v>
      </c>
      <c r="N5158" s="1">
        <v>3.5112303864179659</v>
      </c>
      <c r="O5158" s="1">
        <v>0.22568973544973539</v>
      </c>
      <c r="P5158" s="1">
        <v>0.14696135135457208</v>
      </c>
      <c r="Q5158" s="1">
        <v>5.2795806719910541</v>
      </c>
      <c r="R5158" s="2">
        <f t="shared" si="323"/>
        <v>204.49418458789617</v>
      </c>
      <c r="S5158" s="2">
        <f t="shared" si="322"/>
        <v>3.3994925648653167</v>
      </c>
      <c r="T5158" s="2">
        <f t="shared" si="324"/>
        <v>8.1048759228922016</v>
      </c>
      <c r="U5158" s="2">
        <f t="shared" si="325"/>
        <v>215.99855307565369</v>
      </c>
    </row>
    <row r="5159" spans="1:21" x14ac:dyDescent="0.25">
      <c r="A5159">
        <v>5591045</v>
      </c>
      <c r="B5159">
        <v>64</v>
      </c>
      <c r="C5159" s="1">
        <f>4.30936798974785*(10.3/7.3)</f>
        <v>6.0803411362195652</v>
      </c>
      <c r="D5159" s="1">
        <f>7.57721524688417*(10.3/7.3)</f>
        <v>10.691139320946151</v>
      </c>
      <c r="E5159" s="1">
        <f>26.2937012030544*(10.3/7.3)</f>
        <v>37.099331834446609</v>
      </c>
      <c r="F5159" s="1">
        <f>60.1356714951993*(38.9/42.5)</f>
        <v>55.041826380311804</v>
      </c>
      <c r="G5159" s="1">
        <v>2.6956512750209067</v>
      </c>
      <c r="H5159" s="1">
        <v>6.2308945929808877</v>
      </c>
      <c r="I5159" s="1">
        <v>41.960120723652935</v>
      </c>
      <c r="J5159" s="1">
        <v>4.6602311264824885E-2</v>
      </c>
      <c r="K5159" s="1">
        <v>2.9055421355434303</v>
      </c>
      <c r="L5159" s="1">
        <v>3.5603248281456001</v>
      </c>
      <c r="M5159" s="1">
        <v>0.24938048093251994</v>
      </c>
      <c r="N5159" s="1">
        <v>2.293322560352911</v>
      </c>
      <c r="O5159" s="1">
        <v>0.20098333333333329</v>
      </c>
      <c r="P5159" s="1">
        <v>0.1354137197717106</v>
      </c>
      <c r="Q5159" s="1">
        <v>4.308118476060816</v>
      </c>
      <c r="R5159" s="2">
        <f t="shared" si="323"/>
        <v>164.10742373963967</v>
      </c>
      <c r="S5159" s="2">
        <f t="shared" si="322"/>
        <v>3.0875581665799658</v>
      </c>
      <c r="T5159" s="2">
        <f t="shared" si="324"/>
        <v>6.3040112027643644</v>
      </c>
      <c r="U5159" s="2">
        <f t="shared" si="325"/>
        <v>173.498993108984</v>
      </c>
    </row>
    <row r="5160" spans="1:21" x14ac:dyDescent="0.25">
      <c r="A5160">
        <v>5591053</v>
      </c>
      <c r="B5160">
        <v>64</v>
      </c>
      <c r="C5160" s="1">
        <f>2.34341207818477*(10.3/7.3)</f>
        <v>3.3064581377127542</v>
      </c>
      <c r="D5160" s="1">
        <f>4.03621689667787*(10.3/7.3)</f>
        <v>5.6949361692852154</v>
      </c>
      <c r="E5160" s="1">
        <f>14.0244540426417*(10.3/7.3)</f>
        <v>19.787928306741051</v>
      </c>
      <c r="F5160" s="1">
        <f>31.6244022566527*(38.9/42.5)</f>
        <v>28.945629359618575</v>
      </c>
      <c r="G5160" s="1">
        <v>1.3963765983322647</v>
      </c>
      <c r="H5160" s="1">
        <v>3.8842056197441841</v>
      </c>
      <c r="I5160" s="1">
        <v>22.087898258315498</v>
      </c>
      <c r="J5160" s="1">
        <v>3.1831718985947728E-2</v>
      </c>
      <c r="K5160" s="1">
        <v>2.1681072815448035</v>
      </c>
      <c r="L5160" s="1">
        <v>2.3908071529108263</v>
      </c>
      <c r="M5160" s="1">
        <v>0.17973530351018754</v>
      </c>
      <c r="N5160" s="1">
        <v>1.566698170932348</v>
      </c>
      <c r="O5160" s="1">
        <v>0.14556249999999998</v>
      </c>
      <c r="P5160" s="1">
        <v>0.1056923403629744</v>
      </c>
      <c r="Q5160" s="1">
        <v>2.2316520977912919</v>
      </c>
      <c r="R5160" s="2">
        <f t="shared" si="323"/>
        <v>87.335084547540845</v>
      </c>
      <c r="S5160" s="2">
        <f t="shared" si="322"/>
        <v>2.3056313408937257</v>
      </c>
      <c r="T5160" s="2">
        <f t="shared" si="324"/>
        <v>4.282803127353362</v>
      </c>
      <c r="U5160" s="2">
        <f t="shared" si="325"/>
        <v>93.923519015787932</v>
      </c>
    </row>
    <row r="5161" spans="1:21" x14ac:dyDescent="0.25">
      <c r="A5161">
        <v>5591061</v>
      </c>
      <c r="B5161">
        <v>65</v>
      </c>
      <c r="C5161" s="1">
        <f>3.49490030815246*(10.3/7.3)</f>
        <v>4.93116070876306</v>
      </c>
      <c r="D5161" s="1">
        <f>5.84297915018086*(10.3/7.3)</f>
        <v>8.2442034584743702</v>
      </c>
      <c r="E5161" s="1">
        <f>20.3070241592785*(10.3/7.3)</f>
        <v>28.652376553502567</v>
      </c>
      <c r="F5161" s="1">
        <f>46.5843251105558*(38.9/42.5)</f>
        <v>42.638358748249921</v>
      </c>
      <c r="G5161" s="1">
        <v>2.0810761695497177</v>
      </c>
      <c r="H5161" s="1">
        <v>5.0396625696594244</v>
      </c>
      <c r="I5161" s="1">
        <v>32.926148344483224</v>
      </c>
      <c r="J5161" s="1">
        <v>3.9747329914962749E-2</v>
      </c>
      <c r="K5161" s="1">
        <v>2.5343406840810667</v>
      </c>
      <c r="L5161" s="1">
        <v>2.9860440607581746</v>
      </c>
      <c r="M5161" s="1">
        <v>0.20955016877595609</v>
      </c>
      <c r="N5161" s="1">
        <v>1.9080192339494306</v>
      </c>
      <c r="O5161" s="1">
        <v>0.17057887179487177</v>
      </c>
      <c r="P5161" s="1">
        <v>0.11889942976014505</v>
      </c>
      <c r="Q5161" s="1">
        <v>3.325920818915078</v>
      </c>
      <c r="R5161" s="2">
        <f t="shared" si="323"/>
        <v>127.83890737159736</v>
      </c>
      <c r="S5161" s="2">
        <f t="shared" si="322"/>
        <v>2.6929874437561745</v>
      </c>
      <c r="T5161" s="2">
        <f t="shared" si="324"/>
        <v>5.2741923352784328</v>
      </c>
      <c r="U5161" s="2">
        <f t="shared" si="325"/>
        <v>135.80608715063195</v>
      </c>
    </row>
    <row r="5162" spans="1:21" x14ac:dyDescent="0.25">
      <c r="A5162">
        <v>5591069</v>
      </c>
      <c r="B5162">
        <v>63</v>
      </c>
      <c r="C5162" s="1">
        <f>5.619024944706*(10.3/7.3)</f>
        <v>7.928213278146818</v>
      </c>
      <c r="D5162" s="1">
        <f>9.07815154464085*(10.3/7.3)</f>
        <v>12.808898754767224</v>
      </c>
      <c r="E5162" s="1">
        <f>31.5634438297219*(10.3/7.3)</f>
        <v>44.534722115908998</v>
      </c>
      <c r="F5162" s="1">
        <f>73.6634371553484*(38.9/42.5)</f>
        <v>67.423710713954222</v>
      </c>
      <c r="G5162" s="1">
        <v>3.3264497292973338</v>
      </c>
      <c r="H5162" s="1">
        <v>6.8799413227198389</v>
      </c>
      <c r="I5162" s="1">
        <v>52.733623572315359</v>
      </c>
      <c r="J5162" s="1">
        <v>5.2586495630291379E-2</v>
      </c>
      <c r="K5162" s="1">
        <v>3.1071847659154841</v>
      </c>
      <c r="L5162" s="1">
        <v>3.9411128520405141</v>
      </c>
      <c r="M5162" s="1">
        <v>0.25641489858032279</v>
      </c>
      <c r="N5162" s="1">
        <v>3.6013650076014367</v>
      </c>
      <c r="O5162" s="1">
        <v>0.2093621164021163</v>
      </c>
      <c r="P5162" s="1">
        <v>0.1391546631640376</v>
      </c>
      <c r="Q5162" s="1">
        <v>5.3162438596076171</v>
      </c>
      <c r="R5162" s="2">
        <f t="shared" si="323"/>
        <v>200.95180334671744</v>
      </c>
      <c r="S5162" s="2">
        <f t="shared" si="322"/>
        <v>3.2989259247098128</v>
      </c>
      <c r="T5162" s="2">
        <f t="shared" si="324"/>
        <v>8.0082548746243898</v>
      </c>
      <c r="U5162" s="2">
        <f t="shared" si="325"/>
        <v>212.25898414605163</v>
      </c>
    </row>
    <row r="5163" spans="1:21" x14ac:dyDescent="0.25">
      <c r="A5163">
        <v>5591077</v>
      </c>
      <c r="B5163">
        <v>67</v>
      </c>
      <c r="C5163" s="1">
        <f>6.41525640826207*(10.3/7.3)</f>
        <v>9.0516631513834689</v>
      </c>
      <c r="D5163" s="1">
        <f>10.0336751521747*(10.3/7.3)</f>
        <v>14.157103296904058</v>
      </c>
      <c r="E5163" s="1">
        <f>34.9029079538769*(10.3/7.3)</f>
        <v>49.246568756839991</v>
      </c>
      <c r="F5163" s="1">
        <f>82.6419750342888*(38.9/42.5)</f>
        <v>75.641713619619637</v>
      </c>
      <c r="G5163" s="1">
        <v>3.7629937240696627</v>
      </c>
      <c r="H5163" s="1">
        <v>7.5183865092449977</v>
      </c>
      <c r="I5163" s="1">
        <v>59.84048127364963</v>
      </c>
      <c r="J5163" s="1">
        <v>5.8488447252296731E-2</v>
      </c>
      <c r="K5163" s="1">
        <v>3.322505725092185</v>
      </c>
      <c r="L5163" s="1">
        <v>4.2686017568489492</v>
      </c>
      <c r="M5163" s="1">
        <v>0.27016895241701144</v>
      </c>
      <c r="N5163" s="1">
        <v>2.7560432695841923</v>
      </c>
      <c r="O5163" s="1">
        <v>0.2197818905472636</v>
      </c>
      <c r="P5163" s="1">
        <v>0.14566635619607005</v>
      </c>
      <c r="Q5163" s="1">
        <v>6.0139169106136237</v>
      </c>
      <c r="R5163" s="2">
        <f t="shared" si="323"/>
        <v>225.2328272423251</v>
      </c>
      <c r="S5163" s="2">
        <f t="shared" si="322"/>
        <v>3.5266605285405515</v>
      </c>
      <c r="T5163" s="2">
        <f t="shared" si="324"/>
        <v>7.5145958693974171</v>
      </c>
      <c r="U5163" s="2">
        <f t="shared" si="325"/>
        <v>236.27408364026309</v>
      </c>
    </row>
    <row r="5164" spans="1:21" x14ac:dyDescent="0.25">
      <c r="A5164">
        <v>5591085</v>
      </c>
      <c r="B5164">
        <v>45</v>
      </c>
      <c r="C5164" s="1">
        <f>5.96343735315219*(10.3/7.3)</f>
        <v>8.4141650325298087</v>
      </c>
      <c r="D5164" s="1">
        <f>9.1850532874858*(10.3/7.3)</f>
        <v>12.959732720699142</v>
      </c>
      <c r="E5164" s="1">
        <f>31.9437098304495*(10.3/7.3)</f>
        <v>45.071261815565691</v>
      </c>
      <c r="F5164" s="1">
        <f>76.9148288743232*(38.9/42.5)</f>
        <v>70.399690428498161</v>
      </c>
      <c r="G5164" s="1">
        <v>3.5448817921285936</v>
      </c>
      <c r="H5164" s="1">
        <v>7.4103676620310388</v>
      </c>
      <c r="I5164" s="1">
        <v>56.118554815825945</v>
      </c>
      <c r="J5164" s="1">
        <v>5.7535957079544543E-2</v>
      </c>
      <c r="K5164" s="1">
        <v>3.0206254669642405</v>
      </c>
      <c r="L5164" s="1">
        <v>3.7825642963527577</v>
      </c>
      <c r="M5164" s="1">
        <v>0.23871628434283282</v>
      </c>
      <c r="N5164" s="1">
        <v>2.5000925239118845</v>
      </c>
      <c r="O5164" s="1">
        <v>0.19590874074074077</v>
      </c>
      <c r="P5164" s="1">
        <v>0.13188695551084312</v>
      </c>
      <c r="Q5164" s="1">
        <v>5.6653361974657956</v>
      </c>
      <c r="R5164" s="2">
        <f t="shared" si="323"/>
        <v>209.58399046474418</v>
      </c>
      <c r="S5164" s="2">
        <f t="shared" si="322"/>
        <v>3.2100483795546282</v>
      </c>
      <c r="T5164" s="2">
        <f t="shared" si="324"/>
        <v>6.7172818453482162</v>
      </c>
      <c r="U5164" s="2">
        <f t="shared" si="325"/>
        <v>219.51132068964702</v>
      </c>
    </row>
    <row r="5165" spans="1:21" x14ac:dyDescent="0.25">
      <c r="A5165">
        <v>5591109</v>
      </c>
      <c r="B5165">
        <v>36</v>
      </c>
      <c r="C5165" s="1">
        <f>3.28459083009996*(10.3/7.3)</f>
        <v>4.6344226780862492</v>
      </c>
      <c r="D5165" s="1">
        <f>5.24100184214911*(10.3/7.3)</f>
        <v>7.3948382156350503</v>
      </c>
      <c r="E5165" s="1">
        <f>18.123028311651*(10.3/7.3)</f>
        <v>25.570848165754196</v>
      </c>
      <c r="F5165" s="1">
        <f>47.7441044731455*(38.9/42.5)</f>
        <v>43.699897976596723</v>
      </c>
      <c r="G5165" s="1">
        <v>2.3651083462337441</v>
      </c>
      <c r="H5165" s="1">
        <v>8.7260656647008865</v>
      </c>
      <c r="I5165" s="1">
        <v>35.242044980836859</v>
      </c>
      <c r="J5165" s="1">
        <v>3.0969965556226546E-2</v>
      </c>
      <c r="K5165" s="1">
        <v>1.9754226219015942</v>
      </c>
      <c r="L5165" s="1">
        <v>2.5791958949112828</v>
      </c>
      <c r="M5165" s="1">
        <v>0.15117918350395432</v>
      </c>
      <c r="N5165" s="1">
        <v>1.4139012507081965</v>
      </c>
      <c r="O5165" s="1">
        <v>0.1208088888888889</v>
      </c>
      <c r="P5165" s="1">
        <v>9.1402180022853635E-2</v>
      </c>
      <c r="Q5165" s="1">
        <v>3.7798535213781332</v>
      </c>
      <c r="R5165" s="2">
        <f t="shared" si="323"/>
        <v>131.41307954922183</v>
      </c>
      <c r="S5165" s="2">
        <f t="shared" si="322"/>
        <v>2.0977947674806741</v>
      </c>
      <c r="T5165" s="2">
        <f t="shared" si="324"/>
        <v>4.2650852180123229</v>
      </c>
      <c r="U5165" s="2">
        <f t="shared" si="325"/>
        <v>137.77595953471484</v>
      </c>
    </row>
    <row r="5166" spans="1:21" x14ac:dyDescent="0.25">
      <c r="A5166">
        <v>5591365</v>
      </c>
      <c r="B5166">
        <v>11</v>
      </c>
      <c r="C5166" s="1">
        <f>8.55929092733632*(10.3/7.3)</f>
        <v>12.076807746789607</v>
      </c>
      <c r="D5166" s="1">
        <f>13.6936252623258*(10.3/7.3)</f>
        <v>19.321142493418634</v>
      </c>
      <c r="E5166" s="1">
        <f>46.8778529259535*(10.3/7.3)</f>
        <v>66.142723991413888</v>
      </c>
      <c r="F5166" s="1">
        <f>147.482128508841*(38.9/42.5)</f>
        <v>134.98952468221012</v>
      </c>
      <c r="G5166" s="1">
        <v>8.1360778384105554</v>
      </c>
      <c r="H5166" s="1">
        <v>12.622834456954036</v>
      </c>
      <c r="I5166" s="1">
        <v>112.55200894804985</v>
      </c>
      <c r="J5166" s="1">
        <v>3.7351765437404975E-2</v>
      </c>
      <c r="K5166" s="1">
        <v>2.1637326136938837</v>
      </c>
      <c r="L5166" s="1">
        <v>2.2691724605010477</v>
      </c>
      <c r="M5166" s="1">
        <v>0.11569609275352302</v>
      </c>
      <c r="N5166" s="1">
        <v>1.4887188155501292</v>
      </c>
      <c r="O5166" s="1">
        <v>0.10985212121212123</v>
      </c>
      <c r="P5166" s="1">
        <v>8.2969865658884492E-2</v>
      </c>
      <c r="Q5166" s="1">
        <v>13.002864125313687</v>
      </c>
      <c r="R5166" s="2">
        <f t="shared" si="323"/>
        <v>378.84398428256037</v>
      </c>
      <c r="S5166" s="2">
        <f t="shared" si="322"/>
        <v>2.2840542447901733</v>
      </c>
      <c r="T5166" s="2">
        <f t="shared" si="324"/>
        <v>3.9834394900168211</v>
      </c>
      <c r="U5166" s="2">
        <f t="shared" si="325"/>
        <v>385.1114780173674</v>
      </c>
    </row>
    <row r="5167" spans="1:21" x14ac:dyDescent="0.25">
      <c r="A5167">
        <v>5591373</v>
      </c>
      <c r="B5167">
        <v>30</v>
      </c>
      <c r="C5167" s="1">
        <f>6.75808261321856*(10.3/7.3)</f>
        <v>9.5353768378289328</v>
      </c>
      <c r="D5167" s="1">
        <f>9.32479544915683*(10.3/7.3)</f>
        <v>13.156903167988409</v>
      </c>
      <c r="E5167" s="1">
        <f>32.5387068601523*(10.3/7.3)</f>
        <v>45.910778172543672</v>
      </c>
      <c r="F5167" s="1">
        <f>79.8850686208557*(38.9/42.5)</f>
        <v>73.11833339650083</v>
      </c>
      <c r="G5167" s="1">
        <v>3.6886212481454304</v>
      </c>
      <c r="H5167" s="1">
        <v>7.5351017222815999</v>
      </c>
      <c r="I5167" s="1">
        <v>60.145938403993732</v>
      </c>
      <c r="J5167" s="1">
        <v>3.4071511769211103E-2</v>
      </c>
      <c r="K5167" s="1">
        <v>2.0504081015977689</v>
      </c>
      <c r="L5167" s="1">
        <v>2.1178817176128031</v>
      </c>
      <c r="M5167" s="1">
        <v>0.10939306913494433</v>
      </c>
      <c r="N5167" s="1">
        <v>1.4036739312044844</v>
      </c>
      <c r="O5167" s="1">
        <v>0.10288355555555558</v>
      </c>
      <c r="P5167" s="1">
        <v>7.89936761554276E-2</v>
      </c>
      <c r="Q5167" s="1">
        <v>5.8950567892735233</v>
      </c>
      <c r="R5167" s="2">
        <f t="shared" si="323"/>
        <v>218.98610973855617</v>
      </c>
      <c r="S5167" s="2">
        <f t="shared" si="322"/>
        <v>2.1634732895224076</v>
      </c>
      <c r="T5167" s="2">
        <f t="shared" si="324"/>
        <v>3.7338322735077876</v>
      </c>
      <c r="U5167" s="2">
        <f t="shared" si="325"/>
        <v>224.88341530158638</v>
      </c>
    </row>
    <row r="5168" spans="1:21" x14ac:dyDescent="0.25">
      <c r="A5168">
        <v>5602769</v>
      </c>
      <c r="B5168">
        <v>67</v>
      </c>
      <c r="C5168" s="1">
        <f>0.569793286428195*(10.3/7.3)</f>
        <v>0.80395491098772764</v>
      </c>
      <c r="D5168" s="1">
        <f>0.871824236457658*(10.3/7.3)</f>
        <v>1.2301081692484768</v>
      </c>
      <c r="E5168" s="1">
        <f>3.01392763764886*(10.3/7.3)</f>
        <v>4.2525280366826408</v>
      </c>
      <c r="F5168" s="1">
        <f>8.21555418794196*(38.9/42.5)</f>
        <v>7.5196484214339332</v>
      </c>
      <c r="G5168" s="1">
        <v>0.41477661939849392</v>
      </c>
      <c r="H5168" s="1">
        <v>1.6482533661371119</v>
      </c>
      <c r="I5168" s="1">
        <v>6.1607494573875714</v>
      </c>
      <c r="J5168" s="1">
        <v>3.5141580203288912E-2</v>
      </c>
      <c r="K5168" s="1">
        <v>4.6581282686344174</v>
      </c>
      <c r="L5168" s="1">
        <v>1.9066225658524005</v>
      </c>
      <c r="M5168" s="1">
        <v>0.84552776837081556</v>
      </c>
      <c r="N5168" s="1">
        <v>1.1903933509590441</v>
      </c>
      <c r="O5168" s="1">
        <v>0.56197492537313409</v>
      </c>
      <c r="P5168" s="1">
        <v>0.13752532835872089</v>
      </c>
      <c r="Q5168" s="1">
        <v>0.66288500817110996</v>
      </c>
      <c r="R5168" s="2">
        <f t="shared" si="323"/>
        <v>22.692903989447064</v>
      </c>
      <c r="S5168" s="2">
        <f t="shared" si="322"/>
        <v>4.8307951771964275</v>
      </c>
      <c r="T5168" s="2">
        <f t="shared" si="324"/>
        <v>4.5045186105553938</v>
      </c>
      <c r="U5168" s="2">
        <f t="shared" si="325"/>
        <v>32.02821777719889</v>
      </c>
    </row>
    <row r="5169" spans="1:21" x14ac:dyDescent="0.25">
      <c r="A5169">
        <v>5602777</v>
      </c>
      <c r="B5169">
        <v>68</v>
      </c>
      <c r="C5169" s="1">
        <f>0.705216644501013*(10.3/7.3)</f>
        <v>0.99503170388499129</v>
      </c>
      <c r="D5169" s="1">
        <f>1.10595942255455*(10.3/7.3)</f>
        <v>1.5604632948372397</v>
      </c>
      <c r="E5169" s="1">
        <f>3.81432573769292*(10.3/7.3)</f>
        <v>5.3818568627721959</v>
      </c>
      <c r="F5169" s="1">
        <f>10.6818099899276*(38.9/42.5)</f>
        <v>9.7769978496043333</v>
      </c>
      <c r="G5169" s="1">
        <v>0.5501327200613958</v>
      </c>
      <c r="H5169" s="1">
        <v>2.1047044929309737</v>
      </c>
      <c r="I5169" s="1">
        <v>8.0111261292937002</v>
      </c>
      <c r="J5169" s="1">
        <v>4.3069890936982012E-2</v>
      </c>
      <c r="K5169" s="1">
        <v>5.9519160242063593</v>
      </c>
      <c r="L5169" s="1">
        <v>2.1914764502377477</v>
      </c>
      <c r="M5169" s="1">
        <v>1.0379115777819821</v>
      </c>
      <c r="N5169" s="1">
        <v>1.3981327687971787</v>
      </c>
      <c r="O5169" s="1">
        <v>0.72321568627450994</v>
      </c>
      <c r="P5169" s="1">
        <v>0.14987019940766763</v>
      </c>
      <c r="Q5169" s="1">
        <v>0.87920754347711783</v>
      </c>
      <c r="R5169" s="2">
        <f t="shared" si="323"/>
        <v>29.25952059686195</v>
      </c>
      <c r="S5169" s="2">
        <f t="shared" si="322"/>
        <v>6.1448561145510086</v>
      </c>
      <c r="T5169" s="2">
        <f t="shared" si="324"/>
        <v>5.3507364830914179</v>
      </c>
      <c r="U5169" s="2">
        <f t="shared" si="325"/>
        <v>40.755113194504375</v>
      </c>
    </row>
    <row r="5170" spans="1:21" x14ac:dyDescent="0.25">
      <c r="A5170">
        <v>5602785</v>
      </c>
      <c r="B5170">
        <v>67</v>
      </c>
      <c r="C5170" s="1">
        <f>0.938256603656922*(10.3/7.3)</f>
        <v>1.3238415092693556</v>
      </c>
      <c r="D5170" s="1">
        <f>1.53167426970058*(10.3/7.3)</f>
        <v>2.1611294490295854</v>
      </c>
      <c r="E5170" s="1">
        <f>5.25939662765447*(10.3/7.3)</f>
        <v>7.4207925020330254</v>
      </c>
      <c r="F5170" s="1">
        <f>15.5300457278842*(38.9/42.5)</f>
        <v>14.214559501522281</v>
      </c>
      <c r="G5170" s="1">
        <v>0.82874772603065272</v>
      </c>
      <c r="H5170" s="1">
        <v>2.8950057107953961</v>
      </c>
      <c r="I5170" s="1">
        <v>11.675054615173286</v>
      </c>
      <c r="J5170" s="1">
        <v>6.2450206270752727E-2</v>
      </c>
      <c r="K5170" s="1">
        <v>8.1534542622370694</v>
      </c>
      <c r="L5170" s="1">
        <v>2.9752321998371283</v>
      </c>
      <c r="M5170" s="1">
        <v>1.4331429716244637</v>
      </c>
      <c r="N5170" s="1">
        <v>1.8181725289753927</v>
      </c>
      <c r="O5170" s="1">
        <v>0.98924577114427836</v>
      </c>
      <c r="P5170" s="1">
        <v>0.1744976532448094</v>
      </c>
      <c r="Q5170" s="1">
        <v>1.3244826671722771</v>
      </c>
      <c r="R5170" s="2">
        <f t="shared" si="323"/>
        <v>41.843613681025857</v>
      </c>
      <c r="S5170" s="2">
        <f t="shared" si="322"/>
        <v>8.3904021217526328</v>
      </c>
      <c r="T5170" s="2">
        <f t="shared" si="324"/>
        <v>7.2157934715812635</v>
      </c>
      <c r="U5170" s="2">
        <f t="shared" si="325"/>
        <v>57.449809274359751</v>
      </c>
    </row>
    <row r="5171" spans="1:21" x14ac:dyDescent="0.25">
      <c r="A5171">
        <v>5602793</v>
      </c>
      <c r="B5171">
        <v>18</v>
      </c>
      <c r="C5171" s="1">
        <f>0.879030017525885*(10.3/7.3)</f>
        <v>1.2402752302077555</v>
      </c>
      <c r="D5171" s="1">
        <f>1.59034795054479*(10.3/7.3)</f>
        <v>2.2439156014536055</v>
      </c>
      <c r="E5171" s="1">
        <f>5.39593712282351*(10.3/7.3)</f>
        <v>7.6134455294633074</v>
      </c>
      <c r="F5171" s="1">
        <f>18.3145886009495*(38.9/42.5)</f>
        <v>16.763235213574916</v>
      </c>
      <c r="G5171" s="1">
        <v>1.0574929780865472</v>
      </c>
      <c r="H5171" s="1">
        <v>6.174000073802417</v>
      </c>
      <c r="I5171" s="1">
        <v>13.889199022814237</v>
      </c>
      <c r="J5171" s="1">
        <v>7.5677067542905485E-2</v>
      </c>
      <c r="K5171" s="1">
        <v>8.6414632554307609</v>
      </c>
      <c r="L5171" s="1">
        <v>3.0796868013600349</v>
      </c>
      <c r="M5171" s="1">
        <v>1.5320326045932589</v>
      </c>
      <c r="N5171" s="1">
        <v>2.0038353309052148</v>
      </c>
      <c r="O5171" s="1">
        <v>0.99955555555555575</v>
      </c>
      <c r="P5171" s="1">
        <v>0.17337736244972818</v>
      </c>
      <c r="Q5171" s="1">
        <v>1.6900572709145751</v>
      </c>
      <c r="R5171" s="2">
        <f t="shared" si="323"/>
        <v>50.671620920317359</v>
      </c>
      <c r="S5171" s="2">
        <f t="shared" si="322"/>
        <v>8.8905176854233936</v>
      </c>
      <c r="T5171" s="2">
        <f t="shared" si="324"/>
        <v>7.6151102924140641</v>
      </c>
      <c r="U5171" s="2">
        <f t="shared" si="325"/>
        <v>67.177248898154815</v>
      </c>
    </row>
    <row r="5172" spans="1:21" x14ac:dyDescent="0.25">
      <c r="A5172">
        <v>5602905</v>
      </c>
      <c r="B5172">
        <v>7</v>
      </c>
      <c r="C5172" s="1">
        <f>0.682842853280351*(10.3/7.3)</f>
        <v>0.96346320394350915</v>
      </c>
      <c r="D5172" s="1">
        <f>1.26882305309811*(10.3/7.3)</f>
        <v>1.7902571845082857</v>
      </c>
      <c r="E5172" s="1">
        <f>4.29408607816838*(10.3/7.3)</f>
        <v>6.0587789870047049</v>
      </c>
      <c r="F5172" s="1">
        <f>14.9562852436507*(38.9/42.5)</f>
        <v>13.689399905364992</v>
      </c>
      <c r="G5172" s="1">
        <v>0.87500557205173535</v>
      </c>
      <c r="H5172" s="1">
        <v>6.4379282597647451</v>
      </c>
      <c r="I5172" s="1">
        <v>11.351391670995213</v>
      </c>
      <c r="J5172" s="1">
        <v>5.6932883326494814E-2</v>
      </c>
      <c r="K5172" s="1">
        <v>3.9401937581954596</v>
      </c>
      <c r="L5172" s="1">
        <v>3.2718161698694996</v>
      </c>
      <c r="M5172" s="1">
        <v>1.1772490439172372</v>
      </c>
      <c r="N5172" s="1">
        <v>2.2092678085990527</v>
      </c>
      <c r="O5172" s="1">
        <v>0.27596952380952378</v>
      </c>
      <c r="P5172" s="1">
        <v>0.13891783909792357</v>
      </c>
      <c r="Q5172" s="1">
        <v>1.3984107315895329</v>
      </c>
      <c r="R5172" s="2">
        <f t="shared" si="323"/>
        <v>42.564635515222719</v>
      </c>
      <c r="S5172" s="2">
        <f t="shared" si="322"/>
        <v>4.1360444806198782</v>
      </c>
      <c r="T5172" s="2">
        <f t="shared" si="324"/>
        <v>6.9343025461953136</v>
      </c>
      <c r="U5172" s="2">
        <f t="shared" si="325"/>
        <v>53.63498254203791</v>
      </c>
    </row>
    <row r="5173" spans="1:21" x14ac:dyDescent="0.25">
      <c r="A5173">
        <v>5603249</v>
      </c>
      <c r="B5173">
        <v>9</v>
      </c>
      <c r="C5173" s="1">
        <f>3.5660393098845*(10.3/7.3)</f>
        <v>5.0315349166863479</v>
      </c>
      <c r="D5173" s="1">
        <f>9.26559407927367*(10.3/7.3)</f>
        <v>13.07337246801627</v>
      </c>
      <c r="E5173" s="1">
        <f>31.8473063308926*(10.3/7.3)</f>
        <v>44.93524043947864</v>
      </c>
      <c r="F5173" s="1">
        <f>71.187716720858*(38.9/42.5)</f>
        <v>65.157698363326531</v>
      </c>
      <c r="G5173" s="1">
        <v>3.2516327965988467</v>
      </c>
      <c r="H5173" s="1">
        <v>12.400625828320958</v>
      </c>
      <c r="I5173" s="1">
        <v>45.442422440566617</v>
      </c>
      <c r="J5173" s="1">
        <v>5.0426233450783106E-2</v>
      </c>
      <c r="K5173" s="1">
        <v>2.9437927136806326</v>
      </c>
      <c r="L5173" s="1">
        <v>3.5623517067859445</v>
      </c>
      <c r="M5173" s="1">
        <v>0.26446561011681846</v>
      </c>
      <c r="N5173" s="1">
        <v>2.3404212205129853</v>
      </c>
      <c r="O5173" s="1">
        <v>0.20948148148148149</v>
      </c>
      <c r="P5173" s="1">
        <v>0.13866505086028547</v>
      </c>
      <c r="Q5173" s="1">
        <v>5.1966734192219066</v>
      </c>
      <c r="R5173" s="2">
        <f t="shared" si="323"/>
        <v>194.4892006722161</v>
      </c>
      <c r="S5173" s="2">
        <f t="shared" si="322"/>
        <v>3.1328839979917009</v>
      </c>
      <c r="T5173" s="2">
        <f t="shared" si="324"/>
        <v>6.3767200188972302</v>
      </c>
      <c r="U5173" s="2">
        <f t="shared" si="325"/>
        <v>203.99880468910504</v>
      </c>
    </row>
    <row r="5174" spans="1:21" x14ac:dyDescent="0.25">
      <c r="A5174">
        <v>5603257</v>
      </c>
      <c r="B5174">
        <v>13</v>
      </c>
      <c r="C5174" s="1">
        <f>3.84088108177181*(10.3/7.3)</f>
        <v>5.4193253619520068</v>
      </c>
      <c r="D5174" s="1">
        <f>8.3960895567085*(10.3/7.3)</f>
        <v>11.846537319739399</v>
      </c>
      <c r="E5174" s="1">
        <f>28.9838097775218*(10.3/7.3)</f>
        <v>40.894964480612927</v>
      </c>
      <c r="F5174" s="1">
        <f>64.575483467459*(38.9/42.5)</f>
        <v>59.105560161980115</v>
      </c>
      <c r="G5174" s="1">
        <v>2.8961380624518975</v>
      </c>
      <c r="H5174" s="1">
        <v>8.745251213603531</v>
      </c>
      <c r="I5174" s="1">
        <v>42.580662732850776</v>
      </c>
      <c r="J5174" s="1">
        <v>4.9361515708010312E-2</v>
      </c>
      <c r="K5174" s="1">
        <v>2.8778291674232621</v>
      </c>
      <c r="L5174" s="1">
        <v>3.5060251096643067</v>
      </c>
      <c r="M5174" s="1">
        <v>0.25646499425251279</v>
      </c>
      <c r="N5174" s="1">
        <v>2.1748206128797865</v>
      </c>
      <c r="O5174" s="1">
        <v>0.20419692307692311</v>
      </c>
      <c r="P5174" s="1">
        <v>0.1355664105643484</v>
      </c>
      <c r="Q5174" s="1">
        <v>4.6285311500372845</v>
      </c>
      <c r="R5174" s="2">
        <f t="shared" si="323"/>
        <v>176.11697048322793</v>
      </c>
      <c r="S5174" s="2">
        <f t="shared" si="322"/>
        <v>3.062757093695621</v>
      </c>
      <c r="T5174" s="2">
        <f t="shared" si="324"/>
        <v>6.1415076398735291</v>
      </c>
      <c r="U5174" s="2">
        <f t="shared" si="325"/>
        <v>185.32123521679708</v>
      </c>
    </row>
    <row r="5175" spans="1:21" x14ac:dyDescent="0.25">
      <c r="A5175">
        <v>5603265</v>
      </c>
      <c r="B5175">
        <v>20</v>
      </c>
      <c r="C5175" s="1">
        <f>10.0162423564753*(10.3/7.3)</f>
        <v>14.132506338588414</v>
      </c>
      <c r="D5175" s="1">
        <f>11.3332083779965*(10.3/7.3)</f>
        <v>15.990691273063579</v>
      </c>
      <c r="E5175" s="1">
        <f>40.2189697785471*(10.3/7.3)</f>
        <v>56.747313523155448</v>
      </c>
      <c r="F5175" s="1">
        <f>82.6602092133457*(38.9/42.5)</f>
        <v>75.658403256450526</v>
      </c>
      <c r="G5175" s="1">
        <v>3.0763605495755795</v>
      </c>
      <c r="H5175" s="1">
        <v>8.4220683814151833</v>
      </c>
      <c r="I5175" s="1">
        <v>64.041852009812857</v>
      </c>
      <c r="J5175" s="1">
        <v>5.0143636080552355E-2</v>
      </c>
      <c r="K5175" s="1">
        <v>2.9697837627441257</v>
      </c>
      <c r="L5175" s="1">
        <v>3.7071006276837757</v>
      </c>
      <c r="M5175" s="1">
        <v>0.26134630205963105</v>
      </c>
      <c r="N5175" s="1">
        <v>2.6752108775488148</v>
      </c>
      <c r="O5175" s="1">
        <v>0.21015199999999995</v>
      </c>
      <c r="P5175" s="1">
        <v>0.13801251531256087</v>
      </c>
      <c r="Q5175" s="1">
        <v>4.9165579559427099</v>
      </c>
      <c r="R5175" s="2">
        <f t="shared" si="323"/>
        <v>242.9857532880043</v>
      </c>
      <c r="S5175" s="2">
        <f t="shared" si="322"/>
        <v>3.1579399141372391</v>
      </c>
      <c r="T5175" s="2">
        <f t="shared" si="324"/>
        <v>6.8538098072922216</v>
      </c>
      <c r="U5175" s="2">
        <f t="shared" si="325"/>
        <v>252.99750300943376</v>
      </c>
    </row>
    <row r="5176" spans="1:21" x14ac:dyDescent="0.25">
      <c r="A5176">
        <v>5603273</v>
      </c>
      <c r="B5176">
        <v>68</v>
      </c>
      <c r="C5176" s="1">
        <f>5.30341940955767*(10.3/7.3)</f>
        <v>7.482906838143017</v>
      </c>
      <c r="D5176" s="1">
        <f>9.46785951598846*(10.3/7.3)</f>
        <v>13.358760686942627</v>
      </c>
      <c r="E5176" s="1">
        <f>32.8169940032075*(10.3/7.3)</f>
        <v>46.303429894936606</v>
      </c>
      <c r="F5176" s="1">
        <f>76.1378062394506*(38.9/42.5)</f>
        <v>69.688486181520659</v>
      </c>
      <c r="G5176" s="1">
        <v>3.461476806046901</v>
      </c>
      <c r="H5176" s="1">
        <v>7.8688071573658078</v>
      </c>
      <c r="I5176" s="1">
        <v>53.15129823281449</v>
      </c>
      <c r="J5176" s="1">
        <v>5.3973926192149191E-2</v>
      </c>
      <c r="K5176" s="1">
        <v>3.2174379264320101</v>
      </c>
      <c r="L5176" s="1">
        <v>4.1155780870304124</v>
      </c>
      <c r="M5176" s="1">
        <v>0.28260646170289377</v>
      </c>
      <c r="N5176" s="1">
        <v>3.3384571486866976</v>
      </c>
      <c r="O5176" s="1">
        <v>0.22605254901960789</v>
      </c>
      <c r="P5176" s="1">
        <v>0.14718334930134885</v>
      </c>
      <c r="Q5176" s="1">
        <v>5.5320405576092071</v>
      </c>
      <c r="R5176" s="2">
        <f t="shared" si="323"/>
        <v>206.84720635537931</v>
      </c>
      <c r="S5176" s="2">
        <f t="shared" si="322"/>
        <v>3.4185952019255081</v>
      </c>
      <c r="T5176" s="2">
        <f t="shared" si="324"/>
        <v>7.9626942464396118</v>
      </c>
      <c r="U5176" s="2">
        <f t="shared" si="325"/>
        <v>218.22849580374444</v>
      </c>
    </row>
    <row r="5177" spans="1:21" x14ac:dyDescent="0.25">
      <c r="A5177">
        <v>5603281</v>
      </c>
      <c r="B5177">
        <v>67</v>
      </c>
      <c r="C5177" s="1">
        <f>3.27763839231383*(10.3/7.3)</f>
        <v>4.6246130740866418</v>
      </c>
      <c r="D5177" s="1">
        <f>5.81183590553687*(10.3/7.3)</f>
        <v>8.2002616201410596</v>
      </c>
      <c r="E5177" s="1">
        <f>20.1682936558075*(10.3/7.3)</f>
        <v>28.456633514358483</v>
      </c>
      <c r="F5177" s="1">
        <f>45.8152227344576*(38.9/42.5)</f>
        <v>41.93440386753884</v>
      </c>
      <c r="G5177" s="1">
        <v>2.043536244264728</v>
      </c>
      <c r="H5177" s="1">
        <v>5.1524368439468153</v>
      </c>
      <c r="I5177" s="1">
        <v>31.843506610598702</v>
      </c>
      <c r="J5177" s="1">
        <v>3.917313042384124E-2</v>
      </c>
      <c r="K5177" s="1">
        <v>2.5393749390419345</v>
      </c>
      <c r="L5177" s="1">
        <v>2.9539430441971213</v>
      </c>
      <c r="M5177" s="1">
        <v>0.21406322717778001</v>
      </c>
      <c r="N5177" s="1">
        <v>1.9660607057532009</v>
      </c>
      <c r="O5177" s="1">
        <v>0.17393432835820896</v>
      </c>
      <c r="P5177" s="1">
        <v>0.12040578864605667</v>
      </c>
      <c r="Q5177" s="1">
        <v>3.2659255045326745</v>
      </c>
      <c r="R5177" s="2">
        <f t="shared" si="323"/>
        <v>125.52131727946795</v>
      </c>
      <c r="S5177" s="2">
        <f t="shared" si="322"/>
        <v>2.6989538581118326</v>
      </c>
      <c r="T5177" s="2">
        <f t="shared" si="324"/>
        <v>5.3080013054863109</v>
      </c>
      <c r="U5177" s="2">
        <f t="shared" si="325"/>
        <v>133.52827244306607</v>
      </c>
    </row>
    <row r="5178" spans="1:21" x14ac:dyDescent="0.25">
      <c r="A5178">
        <v>5603289</v>
      </c>
      <c r="B5178">
        <v>67</v>
      </c>
      <c r="C5178" s="1">
        <f>2.3033987990101*(10.3/7.3)</f>
        <v>3.2500010451786374</v>
      </c>
      <c r="D5178" s="1">
        <f>3.96508417604409*(10.3/7.3)</f>
        <v>5.5945708237334388</v>
      </c>
      <c r="E5178" s="1">
        <f>13.7766378296991*(10.3/7.3)</f>
        <v>19.438269814506938</v>
      </c>
      <c r="F5178" s="1">
        <f>31.111742006896*(38.9/42.5)</f>
        <v>28.476394448664809</v>
      </c>
      <c r="G5178" s="1">
        <v>1.3754891158264839</v>
      </c>
      <c r="H5178" s="1">
        <v>3.8296588572708119</v>
      </c>
      <c r="I5178" s="1">
        <v>21.741783226199129</v>
      </c>
      <c r="J5178" s="1">
        <v>3.1724724544939006E-2</v>
      </c>
      <c r="K5178" s="1">
        <v>2.1505835700577545</v>
      </c>
      <c r="L5178" s="1">
        <v>2.365354268686469</v>
      </c>
      <c r="M5178" s="1">
        <v>0.17663387425446678</v>
      </c>
      <c r="N5178" s="1">
        <v>1.5652385487837497</v>
      </c>
      <c r="O5178" s="1">
        <v>0.14366328358208955</v>
      </c>
      <c r="P5178" s="1">
        <v>0.10440711924068242</v>
      </c>
      <c r="Q5178" s="1">
        <v>2.1982702764350224</v>
      </c>
      <c r="R5178" s="2">
        <f t="shared" si="323"/>
        <v>85.904437607815282</v>
      </c>
      <c r="S5178" s="2">
        <f t="shared" si="322"/>
        <v>2.2867154138433756</v>
      </c>
      <c r="T5178" s="2">
        <f t="shared" si="324"/>
        <v>4.2508899753067748</v>
      </c>
      <c r="U5178" s="2">
        <f t="shared" si="325"/>
        <v>92.442042996965441</v>
      </c>
    </row>
    <row r="5179" spans="1:21" x14ac:dyDescent="0.25">
      <c r="A5179">
        <v>5603297</v>
      </c>
      <c r="B5179">
        <v>64</v>
      </c>
      <c r="C5179" s="1">
        <f>3.18973860438972*(10.3/7.3)</f>
        <v>4.5005900856457739</v>
      </c>
      <c r="D5179" s="1">
        <f>5.30278699491443*(10.3/7.3)</f>
        <v>7.4820145270710441</v>
      </c>
      <c r="E5179" s="1">
        <f>18.4312566283487*(10.3/7.3)</f>
        <v>26.005745653697431</v>
      </c>
      <c r="F5179" s="1">
        <f>42.3782958261379*(38.9/42.5)</f>
        <v>38.788604885570919</v>
      </c>
      <c r="G5179" s="1">
        <v>1.8956836653750753</v>
      </c>
      <c r="H5179" s="1">
        <v>4.7447614651779446</v>
      </c>
      <c r="I5179" s="1">
        <v>30.012512441138181</v>
      </c>
      <c r="J5179" s="1">
        <v>3.7479025386453146E-2</v>
      </c>
      <c r="K5179" s="1">
        <v>2.4194141994503533</v>
      </c>
      <c r="L5179" s="1">
        <v>2.7791273576272757</v>
      </c>
      <c r="M5179" s="1">
        <v>0.19731513562202654</v>
      </c>
      <c r="N5179" s="1">
        <v>1.9385391553112428</v>
      </c>
      <c r="O5179" s="1">
        <v>0.16130916666666667</v>
      </c>
      <c r="P5179" s="1">
        <v>0.11383048999959028</v>
      </c>
      <c r="Q5179" s="1">
        <v>3.0296314286816295</v>
      </c>
      <c r="R5179" s="2">
        <f t="shared" si="323"/>
        <v>116.45954415235799</v>
      </c>
      <c r="S5179" s="2">
        <f t="shared" si="322"/>
        <v>2.5707237148363968</v>
      </c>
      <c r="T5179" s="2">
        <f t="shared" si="324"/>
        <v>5.0762908152272113</v>
      </c>
      <c r="U5179" s="2">
        <f t="shared" si="325"/>
        <v>124.10655868242159</v>
      </c>
    </row>
    <row r="5180" spans="1:21" x14ac:dyDescent="0.25">
      <c r="A5180">
        <v>5603305</v>
      </c>
      <c r="B5180">
        <v>65</v>
      </c>
      <c r="C5180" s="1">
        <f>5.80460675070347*(10.3/7.3)</f>
        <v>8.1900615797596839</v>
      </c>
      <c r="D5180" s="1">
        <f>9.25117959578312*(10.3/7.3)</f>
        <v>13.053034224187147</v>
      </c>
      <c r="E5180" s="1">
        <f>32.1686145509132*(10.3/7.3)</f>
        <v>45.388593133480207</v>
      </c>
      <c r="F5180" s="1">
        <f>75.683878120477*(38.9/42.5)</f>
        <v>69.273008444389561</v>
      </c>
      <c r="G5180" s="1">
        <v>3.4356005191004617</v>
      </c>
      <c r="H5180" s="1">
        <v>7.0778525998826369</v>
      </c>
      <c r="I5180" s="1">
        <v>54.467789561884906</v>
      </c>
      <c r="J5180" s="1">
        <v>5.4959672344995221E-2</v>
      </c>
      <c r="K5180" s="1">
        <v>3.2047873983875745</v>
      </c>
      <c r="L5180" s="1">
        <v>4.06013817136109</v>
      </c>
      <c r="M5180" s="1">
        <v>0.26353017034399462</v>
      </c>
      <c r="N5180" s="1">
        <v>2.8436404650870388</v>
      </c>
      <c r="O5180" s="1">
        <v>0.21428348717948714</v>
      </c>
      <c r="P5180" s="1">
        <v>0.14235370700192848</v>
      </c>
      <c r="Q5180" s="1">
        <v>5.4906857611194626</v>
      </c>
      <c r="R5180" s="2">
        <f t="shared" si="323"/>
        <v>206.37662582380409</v>
      </c>
      <c r="S5180" s="2">
        <f t="shared" si="322"/>
        <v>3.4021007777344985</v>
      </c>
      <c r="T5180" s="2">
        <f t="shared" si="324"/>
        <v>7.3815922939716101</v>
      </c>
      <c r="U5180" s="2">
        <f t="shared" si="325"/>
        <v>217.16031889551019</v>
      </c>
    </row>
    <row r="5181" spans="1:21" x14ac:dyDescent="0.25">
      <c r="A5181">
        <v>5603313</v>
      </c>
      <c r="B5181">
        <v>65</v>
      </c>
      <c r="C5181" s="1">
        <f>6.74798234150347*(10.3/7.3)</f>
        <v>9.521125769518596</v>
      </c>
      <c r="D5181" s="1">
        <f>10.4555325317429*(10.3/7.3)</f>
        <v>14.752326722870123</v>
      </c>
      <c r="E5181" s="1">
        <f>36.3665791593637*(10.3/7.3)</f>
        <v>51.31174867691044</v>
      </c>
      <c r="F5181" s="1">
        <f>86.9343953261629*(38.9/42.5)</f>
        <v>79.570540663240834</v>
      </c>
      <c r="G5181" s="1">
        <v>3.9856934283692542</v>
      </c>
      <c r="H5181" s="1">
        <v>7.8109085222638823</v>
      </c>
      <c r="I5181" s="1">
        <v>63.233189952860741</v>
      </c>
      <c r="J5181" s="1">
        <v>6.1806114247295957E-2</v>
      </c>
      <c r="K5181" s="1">
        <v>3.4098867363435827</v>
      </c>
      <c r="L5181" s="1">
        <v>4.37869485878148</v>
      </c>
      <c r="M5181" s="1">
        <v>0.2737696882771512</v>
      </c>
      <c r="N5181" s="1">
        <v>2.7510033990638463</v>
      </c>
      <c r="O5181" s="1">
        <v>0.22275774358974357</v>
      </c>
      <c r="P5181" s="1">
        <v>0.14744133425726241</v>
      </c>
      <c r="Q5181" s="1">
        <v>6.3698296800421934</v>
      </c>
      <c r="R5181" s="2">
        <f t="shared" si="323"/>
        <v>236.55536341607603</v>
      </c>
      <c r="S5181" s="2">
        <f t="shared" si="322"/>
        <v>3.6191341848481411</v>
      </c>
      <c r="T5181" s="2">
        <f t="shared" si="324"/>
        <v>7.6262256897122205</v>
      </c>
      <c r="U5181" s="2">
        <f t="shared" si="325"/>
        <v>247.8007232906364</v>
      </c>
    </row>
    <row r="5182" spans="1:21" x14ac:dyDescent="0.25">
      <c r="A5182">
        <v>5603337</v>
      </c>
      <c r="B5182">
        <v>14</v>
      </c>
      <c r="C5182" s="1">
        <f>3.45449863771435*(10.3/7.3)</f>
        <v>4.8741556121175131</v>
      </c>
      <c r="D5182" s="1">
        <f>6.14679537151889*(10.3/7.3)</f>
        <v>8.672875661184186</v>
      </c>
      <c r="E5182" s="1">
        <f>20.940377908643*(10.3/7.3)</f>
        <v>29.546012665619628</v>
      </c>
      <c r="F5182" s="1">
        <f>67.2530390341593*(38.9/42.5)</f>
        <v>61.556311021854029</v>
      </c>
      <c r="G5182" s="1">
        <v>3.7782380703305982</v>
      </c>
      <c r="H5182" s="1">
        <v>11.757520815192748</v>
      </c>
      <c r="I5182" s="1">
        <v>50.618321079474001</v>
      </c>
      <c r="J5182" s="1">
        <v>3.2127720333761552E-2</v>
      </c>
      <c r="K5182" s="1">
        <v>2.0288512152638409</v>
      </c>
      <c r="L5182" s="1">
        <v>2.5681517786008032</v>
      </c>
      <c r="M5182" s="1">
        <v>0.15515125503991664</v>
      </c>
      <c r="N5182" s="1">
        <v>1.4598917066279646</v>
      </c>
      <c r="O5182" s="1">
        <v>0.12532190476190477</v>
      </c>
      <c r="P5182" s="1">
        <v>9.3477378279080287E-2</v>
      </c>
      <c r="Q5182" s="1">
        <v>6.0382800210763037</v>
      </c>
      <c r="R5182" s="2">
        <f t="shared" si="323"/>
        <v>176.84171494684901</v>
      </c>
      <c r="S5182" s="2">
        <f t="shared" si="322"/>
        <v>2.1544563138766826</v>
      </c>
      <c r="T5182" s="2">
        <f t="shared" si="324"/>
        <v>4.3085166450305898</v>
      </c>
      <c r="U5182" s="2">
        <f t="shared" si="325"/>
        <v>183.30468790575628</v>
      </c>
    </row>
    <row r="5183" spans="1:21" x14ac:dyDescent="0.25">
      <c r="A5183">
        <v>5603601</v>
      </c>
      <c r="B5183">
        <v>22</v>
      </c>
      <c r="C5183" s="1">
        <f>7.63163310103929*(10.3/7.3)</f>
        <v>10.767920676808854</v>
      </c>
      <c r="D5183" s="1">
        <f>10.866748208866*(10.3/7.3)</f>
        <v>15.332535144016406</v>
      </c>
      <c r="E5183" s="1">
        <f>37.7958142976842*(10.3/7.3)</f>
        <v>53.328340721390056</v>
      </c>
      <c r="F5183" s="1">
        <f>96.6265518671301*(38.9/42.5)</f>
        <v>88.441714532502615</v>
      </c>
      <c r="G5183" s="1">
        <v>4.6246558110780276</v>
      </c>
      <c r="H5183" s="1">
        <v>9.5033123601131724</v>
      </c>
      <c r="I5183" s="1">
        <v>72.742460207112657</v>
      </c>
      <c r="J5183" s="1">
        <v>3.6619234170590639E-2</v>
      </c>
      <c r="K5183" s="1">
        <v>2.1472849906211966</v>
      </c>
      <c r="L5183" s="1">
        <v>2.2412155449128304</v>
      </c>
      <c r="M5183" s="1">
        <v>0.1146940372282801</v>
      </c>
      <c r="N5183" s="1">
        <v>1.4721105458364365</v>
      </c>
      <c r="O5183" s="1">
        <v>0.1088048484848485</v>
      </c>
      <c r="P5183" s="1">
        <v>8.2288783986981959E-2</v>
      </c>
      <c r="Q5183" s="1">
        <v>7.3910024377959438</v>
      </c>
      <c r="R5183" s="2">
        <f t="shared" si="323"/>
        <v>262.1319418908177</v>
      </c>
      <c r="S5183" s="2">
        <f t="shared" si="322"/>
        <v>2.2661930087787692</v>
      </c>
      <c r="T5183" s="2">
        <f t="shared" si="324"/>
        <v>3.9368249764623959</v>
      </c>
      <c r="U5183" s="2">
        <f t="shared" si="325"/>
        <v>268.33495987605886</v>
      </c>
    </row>
    <row r="5184" spans="1:21" x14ac:dyDescent="0.25">
      <c r="A5184">
        <v>5603609</v>
      </c>
      <c r="B5184">
        <v>1</v>
      </c>
      <c r="C5184" s="1">
        <f>5.25745184927126*(10.3/7.3)</f>
        <v>7.4180484996567149</v>
      </c>
      <c r="D5184" s="1">
        <f>7.77744509138262*(10.3/7.3)</f>
        <v>10.973655402909731</v>
      </c>
      <c r="E5184" s="1">
        <f>26.9281611708869*(10.3/7.3)</f>
        <v>37.994528775360976</v>
      </c>
      <c r="F5184" s="1">
        <f>73.0452476133183*(38.9/42.5)</f>
        <v>66.857885462543109</v>
      </c>
      <c r="G5184" s="1">
        <v>3.6630492871969262</v>
      </c>
      <c r="H5184" s="1">
        <v>8.8511916183184809</v>
      </c>
      <c r="I5184" s="1">
        <v>55.122144537929515</v>
      </c>
      <c r="J5184" s="1">
        <v>2.964302144792753E-2</v>
      </c>
      <c r="K5184" s="1">
        <v>1.8423345880356325</v>
      </c>
      <c r="L5184" s="1">
        <v>1.8622807502968044</v>
      </c>
      <c r="M5184" s="1">
        <v>9.9861577677187119E-2</v>
      </c>
      <c r="N5184" s="1">
        <v>1.2372053917529378</v>
      </c>
      <c r="O5184" s="1">
        <v>9.3280000000000002E-2</v>
      </c>
      <c r="P5184" s="1">
        <v>7.2435385939692162E-2</v>
      </c>
      <c r="Q5184" s="1">
        <v>5.8541883585339063</v>
      </c>
      <c r="R5184" s="2">
        <f t="shared" si="323"/>
        <v>196.73469194244939</v>
      </c>
      <c r="S5184" s="2">
        <f t="shared" si="322"/>
        <v>1.9444129954232523</v>
      </c>
      <c r="T5184" s="2">
        <f t="shared" si="324"/>
        <v>3.2926277197269291</v>
      </c>
      <c r="U5184" s="2">
        <f t="shared" si="325"/>
        <v>201.97173265759957</v>
      </c>
    </row>
    <row r="5185" spans="1:21" x14ac:dyDescent="0.25">
      <c r="A5185">
        <v>5603665</v>
      </c>
      <c r="B5185">
        <v>4</v>
      </c>
      <c r="C5185" s="1">
        <f>4.69685613125238*(10.3/7.3)</f>
        <v>6.6270709797122587</v>
      </c>
      <c r="D5185" s="1">
        <f>5.85936540468685*(10.3/7.3)</f>
        <v>8.2673237901745988</v>
      </c>
      <c r="E5185" s="1">
        <f>20.5191043833883*(10.3/7.3)</f>
        <v>28.951613034095775</v>
      </c>
      <c r="F5185" s="1">
        <f>51.1923387139742*(38.9/42.5)</f>
        <v>46.856046493496365</v>
      </c>
      <c r="G5185" s="1">
        <v>2.3618298897018848</v>
      </c>
      <c r="H5185" s="1">
        <v>7.7855215838169478</v>
      </c>
      <c r="I5185" s="1">
        <v>39.682891713930502</v>
      </c>
      <c r="J5185" s="1">
        <v>2.6507293871343152E-2</v>
      </c>
      <c r="K5185" s="1">
        <v>1.7605667473093707</v>
      </c>
      <c r="L5185" s="1">
        <v>1.7261043192390881</v>
      </c>
      <c r="M5185" s="1">
        <v>8.8421925278771102E-2</v>
      </c>
      <c r="N5185" s="1">
        <v>1.821184377978722</v>
      </c>
      <c r="O5185" s="1">
        <v>8.6106666666666665E-2</v>
      </c>
      <c r="P5185" s="1">
        <v>6.8110347892363768E-2</v>
      </c>
      <c r="Q5185" s="1">
        <v>3.7746139789756183</v>
      </c>
      <c r="R5185" s="2">
        <f t="shared" si="323"/>
        <v>144.30691146390396</v>
      </c>
      <c r="S5185" s="2">
        <f t="shared" si="322"/>
        <v>1.8551843890730775</v>
      </c>
      <c r="T5185" s="2">
        <f t="shared" si="324"/>
        <v>3.7218172891632477</v>
      </c>
      <c r="U5185" s="2">
        <f t="shared" si="325"/>
        <v>149.8839131421403</v>
      </c>
    </row>
    <row r="5186" spans="1:21" x14ac:dyDescent="0.25">
      <c r="A5186">
        <v>5615005</v>
      </c>
      <c r="B5186">
        <v>55</v>
      </c>
      <c r="C5186" s="1">
        <f>0.617337817144183*(10.3/7.3)</f>
        <v>0.87103828994316213</v>
      </c>
      <c r="D5186" s="1">
        <f>0.955537824435467*(10.3/7.3)</f>
        <v>1.348224601600728</v>
      </c>
      <c r="E5186" s="1">
        <f>3.29990795277327*(10.3/7.3)</f>
        <v>4.6560345087074939</v>
      </c>
      <c r="F5186" s="1">
        <f>9.09809356692332*(38.9/42.5)</f>
        <v>8.3274315236074585</v>
      </c>
      <c r="G5186" s="1">
        <v>0.46331711277625953</v>
      </c>
      <c r="H5186" s="1">
        <v>1.8144438954652409</v>
      </c>
      <c r="I5186" s="1">
        <v>6.8210865827764779</v>
      </c>
      <c r="J5186" s="1">
        <v>3.781882644733589E-2</v>
      </c>
      <c r="K5186" s="1">
        <v>5.4423043096394697</v>
      </c>
      <c r="L5186" s="1">
        <v>1.9867177211239844</v>
      </c>
      <c r="M5186" s="1">
        <v>0.9039983407499661</v>
      </c>
      <c r="N5186" s="1">
        <v>1.2631133521086426</v>
      </c>
      <c r="O5186" s="1">
        <v>0.68040727272727264</v>
      </c>
      <c r="P5186" s="1">
        <v>0.14056697327458686</v>
      </c>
      <c r="Q5186" s="1">
        <v>0.74046113914014189</v>
      </c>
      <c r="R5186" s="2">
        <f t="shared" si="323"/>
        <v>25.042037654016962</v>
      </c>
      <c r="S5186" s="2">
        <f t="shared" si="322"/>
        <v>5.6206901093613926</v>
      </c>
      <c r="T5186" s="2">
        <f t="shared" si="324"/>
        <v>4.8342366867098656</v>
      </c>
      <c r="U5186" s="2">
        <f t="shared" si="325"/>
        <v>35.496964450088221</v>
      </c>
    </row>
    <row r="5187" spans="1:21" x14ac:dyDescent="0.25">
      <c r="A5187">
        <v>5615013</v>
      </c>
      <c r="B5187">
        <v>55</v>
      </c>
      <c r="C5187" s="1">
        <f>0.731922749115284*(10.3/7.3)</f>
        <v>1.0327129199845781</v>
      </c>
      <c r="D5187" s="1">
        <f>1.16240103092436*(10.3/7.3)</f>
        <v>1.6401000847288947</v>
      </c>
      <c r="E5187" s="1">
        <f>4.0041859224771*(10.3/7.3)</f>
        <v>5.6497417810293289</v>
      </c>
      <c r="F5187" s="1">
        <f>11.3662045678761*(38.9/42.5)</f>
        <v>10.403420180950116</v>
      </c>
      <c r="G5187" s="1">
        <v>0.59103515814213048</v>
      </c>
      <c r="H5187" s="1">
        <v>2.2443580444365536</v>
      </c>
      <c r="I5187" s="1">
        <v>8.5252296264388274</v>
      </c>
      <c r="J5187" s="1">
        <v>4.6743904081109781E-2</v>
      </c>
      <c r="K5187" s="1">
        <v>6.9955060213729325</v>
      </c>
      <c r="L5187" s="1">
        <v>2.2806462747631571</v>
      </c>
      <c r="M5187" s="1">
        <v>1.0944402532597599</v>
      </c>
      <c r="N5187" s="1">
        <v>1.4776741252653811</v>
      </c>
      <c r="O5187" s="1">
        <v>0.87325090909090908</v>
      </c>
      <c r="P5187" s="1">
        <v>0.15370669263014061</v>
      </c>
      <c r="Q5187" s="1">
        <v>0.9445767367568304</v>
      </c>
      <c r="R5187" s="2">
        <f t="shared" si="323"/>
        <v>31.031174532467254</v>
      </c>
      <c r="S5187" s="2">
        <f t="shared" si="322"/>
        <v>7.1959566180841827</v>
      </c>
      <c r="T5187" s="2">
        <f t="shared" si="324"/>
        <v>5.7260115623792069</v>
      </c>
      <c r="U5187" s="2">
        <f t="shared" si="325"/>
        <v>43.953142712930642</v>
      </c>
    </row>
    <row r="5188" spans="1:21" x14ac:dyDescent="0.25">
      <c r="A5188">
        <v>5615021</v>
      </c>
      <c r="B5188">
        <v>55</v>
      </c>
      <c r="C5188" s="1">
        <f>1.09509246019098*(10.3/7.3)</f>
        <v>1.5451304575297358</v>
      </c>
      <c r="D5188" s="1">
        <f>1.8504793063354*(10.3/7.3)</f>
        <v>2.610950254144468</v>
      </c>
      <c r="E5188" s="1">
        <f>6.3305304491233*(10.3/7.3)</f>
        <v>8.9321183049274033</v>
      </c>
      <c r="F5188" s="1">
        <f>19.5177714393071*(38.9/42.5)</f>
        <v>17.864501387977512</v>
      </c>
      <c r="G5188" s="1">
        <v>1.0697149556585914</v>
      </c>
      <c r="H5188" s="1">
        <v>3.8417683395232776</v>
      </c>
      <c r="I5188" s="1">
        <v>14.702201343573016</v>
      </c>
      <c r="J5188" s="1">
        <v>7.7158108524621946E-2</v>
      </c>
      <c r="K5188" s="1">
        <v>9.9066420619825521</v>
      </c>
      <c r="L5188" s="1">
        <v>3.5536101243400169</v>
      </c>
      <c r="M5188" s="1">
        <v>1.6958484074086322</v>
      </c>
      <c r="N5188" s="1">
        <v>2.1144934998544853</v>
      </c>
      <c r="O5188" s="1">
        <v>1.2099878787878788</v>
      </c>
      <c r="P5188" s="1">
        <v>0.18771036258297699</v>
      </c>
      <c r="Q5188" s="1">
        <v>1.7095901117831389</v>
      </c>
      <c r="R5188" s="2">
        <f t="shared" si="323"/>
        <v>52.275975155117138</v>
      </c>
      <c r="S5188" s="2">
        <f t="shared" si="322"/>
        <v>10.171510533090149</v>
      </c>
      <c r="T5188" s="2">
        <f t="shared" si="324"/>
        <v>8.5739399103910134</v>
      </c>
      <c r="U5188" s="2">
        <f t="shared" si="325"/>
        <v>71.021425598598299</v>
      </c>
    </row>
    <row r="5189" spans="1:21" x14ac:dyDescent="0.25">
      <c r="A5189">
        <v>5615133</v>
      </c>
      <c r="B5189">
        <v>12</v>
      </c>
      <c r="C5189" s="1">
        <f>0.692463497041328*(10.3/7.3)</f>
        <v>0.97703753692132611</v>
      </c>
      <c r="D5189" s="1">
        <f>1.22841969830342*(10.3/7.3)</f>
        <v>1.7332497113048235</v>
      </c>
      <c r="E5189" s="1">
        <f>4.18134492169374*(10.3/7.3)</f>
        <v>5.8997058484171925</v>
      </c>
      <c r="F5189" s="1">
        <f>13.6325090550716*(38.9/42.5)</f>
        <v>12.477755346877267</v>
      </c>
      <c r="G5189" s="1">
        <v>0.77139697862631229</v>
      </c>
      <c r="H5189" s="1">
        <v>4.9899222576896021</v>
      </c>
      <c r="I5189" s="1">
        <v>10.293987909841015</v>
      </c>
      <c r="J5189" s="1">
        <v>6.2359536817333562E-2</v>
      </c>
      <c r="K5189" s="1">
        <v>3.9438290133459368</v>
      </c>
      <c r="L5189" s="1">
        <v>3.2337620260706372</v>
      </c>
      <c r="M5189" s="1">
        <v>1.1835613763525583</v>
      </c>
      <c r="N5189" s="1">
        <v>2.0143913822246189</v>
      </c>
      <c r="O5189" s="1">
        <v>0.27698222222222224</v>
      </c>
      <c r="P5189" s="1">
        <v>0.13749582428920817</v>
      </c>
      <c r="Q5189" s="1">
        <v>1.2328262215489021</v>
      </c>
      <c r="R5189" s="2">
        <f t="shared" si="323"/>
        <v>38.375881811226449</v>
      </c>
      <c r="S5189" s="2">
        <f t="shared" si="322"/>
        <v>4.1436843744524783</v>
      </c>
      <c r="T5189" s="2">
        <f t="shared" si="324"/>
        <v>6.7086970068700369</v>
      </c>
      <c r="U5189" s="2">
        <f t="shared" si="325"/>
        <v>49.228263192548965</v>
      </c>
    </row>
    <row r="5190" spans="1:21" x14ac:dyDescent="0.25">
      <c r="A5190">
        <v>5615141</v>
      </c>
      <c r="B5190">
        <v>22</v>
      </c>
      <c r="C5190" s="1">
        <f>0.723768629580464*(10.3/7.3)</f>
        <v>1.02120779242175</v>
      </c>
      <c r="D5190" s="1">
        <f>1.40228121613475*(10.3/7.3)</f>
        <v>1.9785611679709523</v>
      </c>
      <c r="E5190" s="1">
        <f>4.72537982905372*(10.3/7.3)</f>
        <v>6.6673167451031885</v>
      </c>
      <c r="F5190" s="1">
        <f>17.205858285845*(38.9/42.5)</f>
        <v>15.748420878102817</v>
      </c>
      <c r="G5190" s="1">
        <v>1.0280367235148415</v>
      </c>
      <c r="H5190" s="1">
        <v>7.3139517146919397</v>
      </c>
      <c r="I5190" s="1">
        <v>13.08790680248428</v>
      </c>
      <c r="J5190" s="1">
        <v>5.3980109470351541E-2</v>
      </c>
      <c r="K5190" s="1">
        <v>4.0309266216782751</v>
      </c>
      <c r="L5190" s="1">
        <v>3.3737635049638031</v>
      </c>
      <c r="M5190" s="1">
        <v>1.1899865665077898</v>
      </c>
      <c r="N5190" s="1">
        <v>2.1857173935210099</v>
      </c>
      <c r="O5190" s="1">
        <v>0.28838787878787869</v>
      </c>
      <c r="P5190" s="1">
        <v>0.14351831831159576</v>
      </c>
      <c r="Q5190" s="1">
        <v>1.642981064978059</v>
      </c>
      <c r="R5190" s="2">
        <f t="shared" si="323"/>
        <v>48.488382889267825</v>
      </c>
      <c r="S5190" s="2">
        <f t="shared" si="322"/>
        <v>4.2284250494602222</v>
      </c>
      <c r="T5190" s="2">
        <f t="shared" si="324"/>
        <v>7.0378553437804818</v>
      </c>
      <c r="U5190" s="2">
        <f t="shared" si="325"/>
        <v>59.754663282508531</v>
      </c>
    </row>
    <row r="5191" spans="1:21" x14ac:dyDescent="0.25">
      <c r="A5191">
        <v>5615501</v>
      </c>
      <c r="B5191">
        <v>12</v>
      </c>
      <c r="C5191" s="1">
        <f>4.69094813611873*(10.3/7.3)</f>
        <v>6.6187350413729984</v>
      </c>
      <c r="D5191" s="1">
        <f>7.61511565321914*(10.3/7.3)</f>
        <v>10.74461523673385</v>
      </c>
      <c r="E5191" s="1">
        <f>26.4629662549089*(10.3/7.3)</f>
        <v>37.338157866515353</v>
      </c>
      <c r="F5191" s="1">
        <f>62.2297967336777*(38.9/42.5)</f>
        <v>56.95856689270736</v>
      </c>
      <c r="G5191" s="1">
        <v>2.8300828949022918</v>
      </c>
      <c r="H5191" s="1">
        <v>8.477493300467275</v>
      </c>
      <c r="I5191" s="1">
        <v>44.580826661148542</v>
      </c>
      <c r="J5191" s="1">
        <v>4.4335114457296133E-2</v>
      </c>
      <c r="K5191" s="1">
        <v>2.7233473474567345</v>
      </c>
      <c r="L5191" s="1">
        <v>3.2505294987385249</v>
      </c>
      <c r="M5191" s="1">
        <v>0.23695022044197941</v>
      </c>
      <c r="N5191" s="1">
        <v>2.4031912328445353</v>
      </c>
      <c r="O5191" s="1">
        <v>0.19099555555555556</v>
      </c>
      <c r="P5191" s="1">
        <v>0.12812274022390438</v>
      </c>
      <c r="Q5191" s="1">
        <v>4.5229635306657689</v>
      </c>
      <c r="R5191" s="2">
        <f t="shared" si="323"/>
        <v>172.07144142451344</v>
      </c>
      <c r="S5191" s="2">
        <f t="shared" si="322"/>
        <v>2.895805202137935</v>
      </c>
      <c r="T5191" s="2">
        <f t="shared" si="324"/>
        <v>6.0816665075805956</v>
      </c>
      <c r="U5191" s="2">
        <f t="shared" si="325"/>
        <v>181.04891313423195</v>
      </c>
    </row>
    <row r="5192" spans="1:21" x14ac:dyDescent="0.25">
      <c r="A5192">
        <v>5615509</v>
      </c>
      <c r="B5192">
        <v>53</v>
      </c>
      <c r="C5192" s="1">
        <f>5.38573187080794*(10.3/7.3)</f>
        <v>7.5990463382632623</v>
      </c>
      <c r="D5192" s="1">
        <f>9.76604937276398*(10.3/7.3)</f>
        <v>13.779494320475202</v>
      </c>
      <c r="E5192" s="1">
        <f>33.8498699779701*(10.3/7.3)</f>
        <v>47.760775448368804</v>
      </c>
      <c r="F5192" s="1">
        <f>77.7168606924339*(38.9/42.5)</f>
        <v>71.133785433780687</v>
      </c>
      <c r="G5192" s="1">
        <v>3.5079169979120164</v>
      </c>
      <c r="H5192" s="1">
        <v>7.4919659876825699</v>
      </c>
      <c r="I5192" s="1">
        <v>53.899756884474172</v>
      </c>
      <c r="J5192" s="1">
        <v>5.4500189420402238E-2</v>
      </c>
      <c r="K5192" s="1">
        <v>3.2358098428820563</v>
      </c>
      <c r="L5192" s="1">
        <v>4.1406874965534435</v>
      </c>
      <c r="M5192" s="1">
        <v>0.28245761829967708</v>
      </c>
      <c r="N5192" s="1">
        <v>3.5401229191012553</v>
      </c>
      <c r="O5192" s="1">
        <v>0.22585861635220125</v>
      </c>
      <c r="P5192" s="1">
        <v>0.1473487163315112</v>
      </c>
      <c r="Q5192" s="1">
        <v>5.6062600423251476</v>
      </c>
      <c r="R5192" s="2">
        <f t="shared" si="323"/>
        <v>210.77900145328189</v>
      </c>
      <c r="S5192" s="2">
        <f t="shared" si="322"/>
        <v>3.4376587486339694</v>
      </c>
      <c r="T5192" s="2">
        <f t="shared" si="324"/>
        <v>8.1891266503065783</v>
      </c>
      <c r="U5192" s="2">
        <f t="shared" si="325"/>
        <v>222.40578685222243</v>
      </c>
    </row>
    <row r="5193" spans="1:21" x14ac:dyDescent="0.25">
      <c r="A5193">
        <v>5615517</v>
      </c>
      <c r="B5193">
        <v>55</v>
      </c>
      <c r="C5193" s="1">
        <f>2.61809515422967*(10.3/7.3)</f>
        <v>3.694024669666518</v>
      </c>
      <c r="D5193" s="1">
        <f>4.65289927574698*(10.3/7.3)</f>
        <v>6.5650496630402584</v>
      </c>
      <c r="E5193" s="1">
        <f>16.1501138102172*(10.3/7.3)</f>
        <v>22.787146882909152</v>
      </c>
      <c r="F5193" s="1">
        <f>36.4460959450275*(38.9/42.5)</f>
        <v>33.358897229684011</v>
      </c>
      <c r="G5193" s="1">
        <v>1.6165445980911399</v>
      </c>
      <c r="H5193" s="1">
        <v>4.3716366730903475</v>
      </c>
      <c r="I5193" s="1">
        <v>25.27009437175931</v>
      </c>
      <c r="J5193" s="1">
        <v>3.4304836543085304E-2</v>
      </c>
      <c r="K5193" s="1">
        <v>2.2899342282665489</v>
      </c>
      <c r="L5193" s="1">
        <v>2.5553819157962767</v>
      </c>
      <c r="M5193" s="1">
        <v>0.19055992917081288</v>
      </c>
      <c r="N5193" s="1">
        <v>1.7253614013342462</v>
      </c>
      <c r="O5193" s="1">
        <v>0.15462109090909087</v>
      </c>
      <c r="P5193" s="1">
        <v>0.11010567295430182</v>
      </c>
      <c r="Q5193" s="1">
        <v>2.5835187640726005</v>
      </c>
      <c r="R5193" s="2">
        <f t="shared" si="323"/>
        <v>100.24691285231333</v>
      </c>
      <c r="S5193" s="2">
        <f t="shared" ref="S5193:S5256" si="326">J5193+K5193+P5193</f>
        <v>2.434344737763936</v>
      </c>
      <c r="T5193" s="2">
        <f t="shared" si="324"/>
        <v>4.6259243372104262</v>
      </c>
      <c r="U5193" s="2">
        <f t="shared" si="325"/>
        <v>107.30718192728769</v>
      </c>
    </row>
    <row r="5194" spans="1:21" x14ac:dyDescent="0.25">
      <c r="A5194">
        <v>5615525</v>
      </c>
      <c r="B5194">
        <v>55</v>
      </c>
      <c r="C5194" s="1">
        <f>2.3050015857679*(10.3/7.3)</f>
        <v>3.2522625114259416</v>
      </c>
      <c r="D5194" s="1">
        <f>3.94727358321676*(10.3/7.3)</f>
        <v>5.5694408091962471</v>
      </c>
      <c r="E5194" s="1">
        <f>13.7149049876823*(10.3/7.3)</f>
        <v>19.351167311387389</v>
      </c>
      <c r="F5194" s="1">
        <f>31.0849773471121*(38.9/42.5)</f>
        <v>28.45189691300374</v>
      </c>
      <c r="G5194" s="1">
        <v>1.3779206492122302</v>
      </c>
      <c r="H5194" s="1">
        <v>3.8299077122175862</v>
      </c>
      <c r="I5194" s="1">
        <v>21.772393333032401</v>
      </c>
      <c r="J5194" s="1">
        <v>3.1796254481817797E-2</v>
      </c>
      <c r="K5194" s="1">
        <v>2.142501208123357</v>
      </c>
      <c r="L5194" s="1">
        <v>2.3515774901222652</v>
      </c>
      <c r="M5194" s="1">
        <v>0.17522376219593883</v>
      </c>
      <c r="N5194" s="1">
        <v>1.5759494434506798</v>
      </c>
      <c r="O5194" s="1">
        <v>0.14206739393939388</v>
      </c>
      <c r="P5194" s="1">
        <v>0.10351769728837514</v>
      </c>
      <c r="Q5194" s="1">
        <v>2.2021562886953467</v>
      </c>
      <c r="R5194" s="2">
        <f t="shared" ref="R5194:R5257" si="327">C5194+D5194+E5194+F5194+G5194+H5194+I5194+Q5194</f>
        <v>85.807145528170878</v>
      </c>
      <c r="S5194" s="2">
        <f t="shared" si="326"/>
        <v>2.2778151598935499</v>
      </c>
      <c r="T5194" s="2">
        <f t="shared" ref="T5194:T5257" si="328">L5194+M5194+N5194+O5194</f>
        <v>4.2448180897082777</v>
      </c>
      <c r="U5194" s="2">
        <f t="shared" ref="U5194:U5257" si="329">R5194+S5194+T5194</f>
        <v>92.329778777772702</v>
      </c>
    </row>
    <row r="5195" spans="1:21" x14ac:dyDescent="0.25">
      <c r="A5195">
        <v>5615533</v>
      </c>
      <c r="B5195">
        <v>57</v>
      </c>
      <c r="C5195" s="1">
        <f>5.70559302005963*(10.3/7.3)</f>
        <v>8.0503572748786496</v>
      </c>
      <c r="D5195" s="1">
        <f>9.32091332551393*(10.3/7.3)</f>
        <v>13.151425651067608</v>
      </c>
      <c r="E5195" s="1">
        <f>32.3896836470286*(10.3/7.3)</f>
        <v>45.700512543067731</v>
      </c>
      <c r="F5195" s="1">
        <f>75.8555625147709*(38.9/42.5)</f>
        <v>69.430150160578492</v>
      </c>
      <c r="G5195" s="1">
        <v>3.4403840490225739</v>
      </c>
      <c r="H5195" s="1">
        <v>7.0511929712934833</v>
      </c>
      <c r="I5195" s="1">
        <v>54.204256010320734</v>
      </c>
      <c r="J5195" s="1">
        <v>5.4437624286949239E-2</v>
      </c>
      <c r="K5195" s="1">
        <v>3.1847941112333333</v>
      </c>
      <c r="L5195" s="1">
        <v>4.0404031884081704</v>
      </c>
      <c r="M5195" s="1">
        <v>0.26273608523236724</v>
      </c>
      <c r="N5195" s="1">
        <v>3.8521010925999652</v>
      </c>
      <c r="O5195" s="1">
        <v>0.2146226900584795</v>
      </c>
      <c r="P5195" s="1">
        <v>0.14185866079768183</v>
      </c>
      <c r="Q5195" s="1">
        <v>5.4983306719538936</v>
      </c>
      <c r="R5195" s="2">
        <f t="shared" si="327"/>
        <v>206.52660933218317</v>
      </c>
      <c r="S5195" s="2">
        <f t="shared" si="326"/>
        <v>3.3810903963179646</v>
      </c>
      <c r="T5195" s="2">
        <f t="shared" si="328"/>
        <v>8.369863056298982</v>
      </c>
      <c r="U5195" s="2">
        <f t="shared" si="329"/>
        <v>218.27756278480012</v>
      </c>
    </row>
    <row r="5196" spans="1:21" x14ac:dyDescent="0.25">
      <c r="A5196">
        <v>5615541</v>
      </c>
      <c r="B5196">
        <v>57</v>
      </c>
      <c r="C5196" s="1">
        <f>6.27019611266059*(10.3/7.3)</f>
        <v>8.8469890356717951</v>
      </c>
      <c r="D5196" s="1">
        <f>9.87457003080356*(10.3/7.3)</f>
        <v>13.932612509215977</v>
      </c>
      <c r="E5196" s="1">
        <f>34.3361645332681*(10.3/7.3)</f>
        <v>48.446917081186506</v>
      </c>
      <c r="F5196" s="1">
        <f>81.5393527828911*(38.9/42.5)</f>
        <v>74.632489958928517</v>
      </c>
      <c r="G5196" s="1">
        <v>3.7251862346323428</v>
      </c>
      <c r="H5196" s="1">
        <v>7.4700768890204863</v>
      </c>
      <c r="I5196" s="1">
        <v>58.983826917136419</v>
      </c>
      <c r="J5196" s="1">
        <v>5.8147524329839301E-2</v>
      </c>
      <c r="K5196" s="1">
        <v>3.313810956241281</v>
      </c>
      <c r="L5196" s="1">
        <v>4.2254657539897993</v>
      </c>
      <c r="M5196" s="1">
        <v>0.27002407161057007</v>
      </c>
      <c r="N5196" s="1">
        <v>2.7207170595142456</v>
      </c>
      <c r="O5196" s="1">
        <v>0.21914011695906432</v>
      </c>
      <c r="P5196" s="1">
        <v>0.14539419055784597</v>
      </c>
      <c r="Q5196" s="1">
        <v>5.9534939822891371</v>
      </c>
      <c r="R5196" s="2">
        <f t="shared" si="327"/>
        <v>221.99159260808116</v>
      </c>
      <c r="S5196" s="2">
        <f t="shared" si="326"/>
        <v>3.5173526711289664</v>
      </c>
      <c r="T5196" s="2">
        <f t="shared" si="328"/>
        <v>7.4353470020736792</v>
      </c>
      <c r="U5196" s="2">
        <f t="shared" si="329"/>
        <v>232.94429228128382</v>
      </c>
    </row>
    <row r="5197" spans="1:21" x14ac:dyDescent="0.25">
      <c r="A5197">
        <v>5615549</v>
      </c>
      <c r="B5197">
        <v>55</v>
      </c>
      <c r="C5197" s="1">
        <f>5.58988791620328*(10.3/7.3)</f>
        <v>7.8871021283416187</v>
      </c>
      <c r="D5197" s="1">
        <f>8.63265188063767*(10.3/7.3)</f>
        <v>12.180317037064103</v>
      </c>
      <c r="E5197" s="1">
        <f>30.0121220174498*(10.3/7.3)</f>
        <v>42.345870791744218</v>
      </c>
      <c r="F5197" s="1">
        <f>72.6456732765932*(38.9/42.5)</f>
        <v>66.4921574225759</v>
      </c>
      <c r="G5197" s="1">
        <v>3.3637159098589624</v>
      </c>
      <c r="H5197" s="1">
        <v>7.1557082267977652</v>
      </c>
      <c r="I5197" s="1">
        <v>53.032587314294851</v>
      </c>
      <c r="J5197" s="1">
        <v>5.7013382963488915E-2</v>
      </c>
      <c r="K5197" s="1">
        <v>3.0479954450142954</v>
      </c>
      <c r="L5197" s="1">
        <v>3.6815673741256907</v>
      </c>
      <c r="M5197" s="1">
        <v>0.23675329348040736</v>
      </c>
      <c r="N5197" s="1">
        <v>2.4680422980435539</v>
      </c>
      <c r="O5197" s="1">
        <v>0.1931306666666667</v>
      </c>
      <c r="P5197" s="1">
        <v>0.13066463486845403</v>
      </c>
      <c r="Q5197" s="1">
        <v>5.3758016824230026</v>
      </c>
      <c r="R5197" s="2">
        <f t="shared" si="327"/>
        <v>197.83326051310044</v>
      </c>
      <c r="S5197" s="2">
        <f t="shared" si="326"/>
        <v>3.2356734628462385</v>
      </c>
      <c r="T5197" s="2">
        <f t="shared" si="328"/>
        <v>6.5794936323163187</v>
      </c>
      <c r="U5197" s="2">
        <f t="shared" si="329"/>
        <v>207.64842760826301</v>
      </c>
    </row>
    <row r="5198" spans="1:21" x14ac:dyDescent="0.25">
      <c r="A5198">
        <v>5615565</v>
      </c>
      <c r="B5198">
        <v>1</v>
      </c>
      <c r="C5198" s="1">
        <f>2.98041759000734*(10.3/7.3)</f>
        <v>4.2052467365856971</v>
      </c>
      <c r="D5198" s="1">
        <f>4.68404892660761*(10.3/7.3)</f>
        <v>6.6090005402819694</v>
      </c>
      <c r="E5198" s="1">
        <f>16.2121560147686*(10.3/7.3)</f>
        <v>22.874685883851562</v>
      </c>
      <c r="F5198" s="1">
        <f>42.3933154162991*(38.9/42.5)</f>
        <v>38.802352228094975</v>
      </c>
      <c r="G5198" s="1">
        <v>2.0858136538696033</v>
      </c>
      <c r="H5198" s="1">
        <v>10.67181623202953</v>
      </c>
      <c r="I5198" s="1">
        <v>31.345568404140927</v>
      </c>
      <c r="J5198" s="1">
        <v>3.3546768904568432E-2</v>
      </c>
      <c r="K5198" s="1">
        <v>2.0958153005873816</v>
      </c>
      <c r="L5198" s="1">
        <v>2.416388987492895</v>
      </c>
      <c r="M5198" s="1">
        <v>0.16081966648344131</v>
      </c>
      <c r="N5198" s="1">
        <v>1.5800500468201606</v>
      </c>
      <c r="O5198" s="1">
        <v>0.12944</v>
      </c>
      <c r="P5198" s="1">
        <v>9.6309026297646524E-2</v>
      </c>
      <c r="Q5198" s="1">
        <v>3.3334921408874969</v>
      </c>
      <c r="R5198" s="2">
        <f t="shared" si="327"/>
        <v>119.92797581974176</v>
      </c>
      <c r="S5198" s="2">
        <f t="shared" si="326"/>
        <v>2.2256710957895964</v>
      </c>
      <c r="T5198" s="2">
        <f t="shared" si="328"/>
        <v>4.2866987007964967</v>
      </c>
      <c r="U5198" s="2">
        <f t="shared" si="329"/>
        <v>126.44034561632785</v>
      </c>
    </row>
    <row r="5199" spans="1:21" x14ac:dyDescent="0.25">
      <c r="A5199">
        <v>5615573</v>
      </c>
      <c r="B5199">
        <v>12</v>
      </c>
      <c r="C5199" s="1">
        <f>3.03501675851776*(10.3/7.3)</f>
        <v>4.2822839195524613</v>
      </c>
      <c r="D5199" s="1">
        <f>4.88208674505662*(10.3/7.3)</f>
        <v>6.8884237635730408</v>
      </c>
      <c r="E5199" s="1">
        <f>16.8437326505687*(10.3/7.3)</f>
        <v>23.765814561761374</v>
      </c>
      <c r="F5199" s="1">
        <f>46.077779651272*(38.9/42.5)</f>
        <v>42.17472066904665</v>
      </c>
      <c r="G5199" s="1">
        <v>2.3432320999211549</v>
      </c>
      <c r="H5199" s="1">
        <v>8.4439024404357035</v>
      </c>
      <c r="I5199" s="1">
        <v>34.221479189650559</v>
      </c>
      <c r="J5199" s="1">
        <v>3.009987305245471E-2</v>
      </c>
      <c r="K5199" s="1">
        <v>1.9251195935651177</v>
      </c>
      <c r="L5199" s="1">
        <v>2.6339984057041463</v>
      </c>
      <c r="M5199" s="1">
        <v>0.14740246186610004</v>
      </c>
      <c r="N5199" s="1">
        <v>1.3701280199781964</v>
      </c>
      <c r="O5199" s="1">
        <v>0.11779111111111111</v>
      </c>
      <c r="P5199" s="1">
        <v>8.9620496892156218E-2</v>
      </c>
      <c r="Q5199" s="1">
        <v>3.74489148389226</v>
      </c>
      <c r="R5199" s="2">
        <f t="shared" si="327"/>
        <v>125.86474812783321</v>
      </c>
      <c r="S5199" s="2">
        <f t="shared" si="326"/>
        <v>2.0448399635097285</v>
      </c>
      <c r="T5199" s="2">
        <f t="shared" si="328"/>
        <v>4.2693199986595536</v>
      </c>
      <c r="U5199" s="2">
        <f t="shared" si="329"/>
        <v>132.17890809000249</v>
      </c>
    </row>
    <row r="5200" spans="1:21" x14ac:dyDescent="0.25">
      <c r="A5200">
        <v>5615837</v>
      </c>
      <c r="B5200">
        <v>16</v>
      </c>
      <c r="C5200" s="1">
        <f>6.1827335028575*(10.3/7.3)</f>
        <v>8.7235828875934569</v>
      </c>
      <c r="D5200" s="1">
        <f>9.5928985922779*(10.3/7.3)</f>
        <v>13.535185684994852</v>
      </c>
      <c r="E5200" s="1">
        <f>33.0634465352224*(10.3/7.3)</f>
        <v>46.651164289423335</v>
      </c>
      <c r="F5200" s="1">
        <f>94.3491609797844*(38.9/42.5)</f>
        <v>86.357232049732033</v>
      </c>
      <c r="G5200" s="1">
        <v>4.9115600449047534</v>
      </c>
      <c r="H5200" s="1">
        <v>9.4505785270067939</v>
      </c>
      <c r="I5200" s="1">
        <v>71.163595189984747</v>
      </c>
      <c r="J5200" s="1">
        <v>3.2809512251751737E-2</v>
      </c>
      <c r="K5200" s="1">
        <v>1.9896464861919354</v>
      </c>
      <c r="L5200" s="1">
        <v>2.0469739232453281</v>
      </c>
      <c r="M5200" s="1">
        <v>0.10713121667325594</v>
      </c>
      <c r="N5200" s="1">
        <v>1.3664844864473398</v>
      </c>
      <c r="O5200" s="1">
        <v>0.10059333333333334</v>
      </c>
      <c r="P5200" s="1">
        <v>7.7325424329610079E-2</v>
      </c>
      <c r="Q5200" s="1">
        <v>7.8495251859208475</v>
      </c>
      <c r="R5200" s="2">
        <f t="shared" si="327"/>
        <v>248.64242385956081</v>
      </c>
      <c r="S5200" s="2">
        <f t="shared" si="326"/>
        <v>2.0997814227732974</v>
      </c>
      <c r="T5200" s="2">
        <f t="shared" si="328"/>
        <v>3.6211829596992571</v>
      </c>
      <c r="U5200" s="2">
        <f t="shared" si="329"/>
        <v>254.36338824203338</v>
      </c>
    </row>
    <row r="5201" spans="1:21" x14ac:dyDescent="0.25">
      <c r="A5201">
        <v>5615845</v>
      </c>
      <c r="B5201">
        <v>5</v>
      </c>
      <c r="C5201" s="1">
        <f>5.3968539816383*(10.3/7.3)</f>
        <v>7.6147391795718553</v>
      </c>
      <c r="D5201" s="1">
        <f>7.69846629966757*(10.3/7.3)</f>
        <v>10.862219573503559</v>
      </c>
      <c r="E5201" s="1">
        <f>26.7766628637713*(10.3/7.3)</f>
        <v>37.780770889978619</v>
      </c>
      <c r="F5201" s="1">
        <f>68.3322364138426*(38.9/42.5)</f>
        <v>62.544094035258283</v>
      </c>
      <c r="G5201" s="1">
        <v>3.2667017749852847</v>
      </c>
      <c r="H5201" s="1">
        <v>9.5552560445801706</v>
      </c>
      <c r="I5201" s="1">
        <v>51.402241451966873</v>
      </c>
      <c r="J5201" s="1">
        <v>2.9391823785500204E-2</v>
      </c>
      <c r="K5201" s="1">
        <v>1.8327315492339202</v>
      </c>
      <c r="L5201" s="1">
        <v>1.8561449474003435</v>
      </c>
      <c r="M5201" s="1">
        <v>9.9079227832423844E-2</v>
      </c>
      <c r="N5201" s="1">
        <v>1.2239638157268053</v>
      </c>
      <c r="O5201" s="1">
        <v>9.2810666666666666E-2</v>
      </c>
      <c r="P5201" s="1">
        <v>7.2193355863300585E-2</v>
      </c>
      <c r="Q5201" s="1">
        <v>5.2207562613920135</v>
      </c>
      <c r="R5201" s="2">
        <f t="shared" si="327"/>
        <v>188.24677921123663</v>
      </c>
      <c r="S5201" s="2">
        <f t="shared" si="326"/>
        <v>1.934316728882721</v>
      </c>
      <c r="T5201" s="2">
        <f t="shared" si="328"/>
        <v>3.2719986576262396</v>
      </c>
      <c r="U5201" s="2">
        <f t="shared" si="329"/>
        <v>193.45309459774558</v>
      </c>
    </row>
    <row r="5202" spans="1:21" x14ac:dyDescent="0.25">
      <c r="A5202">
        <v>5615861</v>
      </c>
      <c r="B5202">
        <v>4</v>
      </c>
      <c r="C5202" s="1">
        <f>10.993849596175*(10.3/7.3)</f>
        <v>15.511869978164734</v>
      </c>
      <c r="D5202" s="1">
        <f>11.9357691917224*(10.3/7.3)</f>
        <v>16.840879818457616</v>
      </c>
      <c r="E5202" s="1">
        <f>42.2404001982591*(10.3/7.3)</f>
        <v>59.599468772886162</v>
      </c>
      <c r="F5202" s="1">
        <f>97.2012477400251*(38.9/42.5)</f>
        <v>88.967730284399451</v>
      </c>
      <c r="G5202" s="1">
        <v>4.0710383005116988</v>
      </c>
      <c r="H5202" s="1">
        <v>9.9958001738941995</v>
      </c>
      <c r="I5202" s="1">
        <v>77.583868529216872</v>
      </c>
      <c r="J5202" s="1">
        <v>3.860042457941551E-2</v>
      </c>
      <c r="K5202" s="1">
        <v>2.2716803318817256</v>
      </c>
      <c r="L5202" s="1">
        <v>2.3567080838816441</v>
      </c>
      <c r="M5202" s="1">
        <v>0.12062581047416254</v>
      </c>
      <c r="N5202" s="1">
        <v>1.6005074145766371</v>
      </c>
      <c r="O5202" s="1">
        <v>0.11328000000000001</v>
      </c>
      <c r="P5202" s="1">
        <v>8.5679101641090577E-2</v>
      </c>
      <c r="Q5202" s="1">
        <v>6.5062255944250946</v>
      </c>
      <c r="R5202" s="2">
        <f t="shared" si="327"/>
        <v>279.07688145195578</v>
      </c>
      <c r="S5202" s="2">
        <f t="shared" si="326"/>
        <v>2.3959598581022314</v>
      </c>
      <c r="T5202" s="2">
        <f t="shared" si="328"/>
        <v>4.1911213089324431</v>
      </c>
      <c r="U5202" s="2">
        <f t="shared" si="329"/>
        <v>285.66396261899047</v>
      </c>
    </row>
    <row r="5203" spans="1:21" x14ac:dyDescent="0.25">
      <c r="A5203">
        <v>5615893</v>
      </c>
      <c r="B5203">
        <v>7</v>
      </c>
      <c r="C5203" s="1">
        <f>6.80396203610236*(10.3/7.3)</f>
        <v>9.6001108180622285</v>
      </c>
      <c r="D5203" s="1">
        <f>7.73124304404223*(10.3/7.3)</f>
        <v>10.908466212826703</v>
      </c>
      <c r="E5203" s="1">
        <f>27.2459327523837*(10.3/7.3)</f>
        <v>38.442891417746878</v>
      </c>
      <c r="F5203" s="1">
        <f>65.3313961393164*(38.9/42.5)</f>
        <v>59.797442583986104</v>
      </c>
      <c r="G5203" s="1">
        <v>2.869986394404354</v>
      </c>
      <c r="H5203" s="1">
        <v>10.429482170373209</v>
      </c>
      <c r="I5203" s="1">
        <v>51.695657891613919</v>
      </c>
      <c r="J5203" s="1">
        <v>2.4523293028860908E-2</v>
      </c>
      <c r="K5203" s="1">
        <v>1.6433671355608073</v>
      </c>
      <c r="L5203" s="1">
        <v>1.5977736509376343</v>
      </c>
      <c r="M5203" s="1">
        <v>8.3542536077288232E-2</v>
      </c>
      <c r="N5203" s="1">
        <v>1.0272737063666144</v>
      </c>
      <c r="O5203" s="1">
        <v>8.0868571428571415E-2</v>
      </c>
      <c r="P5203" s="1">
        <v>6.4636906304380307E-2</v>
      </c>
      <c r="Q5203" s="1">
        <v>4.5867362467649544</v>
      </c>
      <c r="R5203" s="2">
        <f t="shared" si="327"/>
        <v>188.33077373577837</v>
      </c>
      <c r="S5203" s="2">
        <f t="shared" si="326"/>
        <v>1.7325273348940484</v>
      </c>
      <c r="T5203" s="2">
        <f t="shared" si="328"/>
        <v>2.789458464810108</v>
      </c>
      <c r="U5203" s="2">
        <f t="shared" si="329"/>
        <v>192.85275953548253</v>
      </c>
    </row>
    <row r="5204" spans="1:21" x14ac:dyDescent="0.25">
      <c r="A5204">
        <v>5615901</v>
      </c>
      <c r="B5204">
        <v>1</v>
      </c>
      <c r="C5204" s="1">
        <f>5.11804971690422*(10.3/7.3)</f>
        <v>7.2213578197415753</v>
      </c>
      <c r="D5204" s="1">
        <f>6.32896611265842*(10.3/7.3)</f>
        <v>8.9299110904632464</v>
      </c>
      <c r="E5204" s="1">
        <f>22.1728617457604*(10.3/7.3)</f>
        <v>31.284996709771555</v>
      </c>
      <c r="F5204" s="1">
        <f>55.2973871771737*(38.9/42.5)</f>
        <v>50.613373204518993</v>
      </c>
      <c r="G5204" s="1">
        <v>2.547181900353106</v>
      </c>
      <c r="H5204" s="1">
        <v>8.5656693080501416</v>
      </c>
      <c r="I5204" s="1">
        <v>42.963791183809803</v>
      </c>
      <c r="J5204" s="1">
        <v>2.8420978765848641E-2</v>
      </c>
      <c r="K5204" s="1">
        <v>1.8810192864425208</v>
      </c>
      <c r="L5204" s="1">
        <v>1.8731822756290792</v>
      </c>
      <c r="M5204" s="1">
        <v>9.4343906988416146E-2</v>
      </c>
      <c r="N5204" s="1">
        <v>1.7879961241140994</v>
      </c>
      <c r="O5204" s="1">
        <v>9.2426666666666671E-2</v>
      </c>
      <c r="P5204" s="1">
        <v>7.1955949174700579E-2</v>
      </c>
      <c r="Q5204" s="1">
        <v>4.0708386535323653</v>
      </c>
      <c r="R5204" s="2">
        <f t="shared" si="327"/>
        <v>156.19711987024081</v>
      </c>
      <c r="S5204" s="2">
        <f t="shared" si="326"/>
        <v>1.9813962143830701</v>
      </c>
      <c r="T5204" s="2">
        <f t="shared" si="328"/>
        <v>3.8479489733982617</v>
      </c>
      <c r="U5204" s="2">
        <f t="shared" si="329"/>
        <v>162.02646505802215</v>
      </c>
    </row>
    <row r="5205" spans="1:21" x14ac:dyDescent="0.25">
      <c r="A5205">
        <v>5627233</v>
      </c>
      <c r="B5205">
        <v>53</v>
      </c>
      <c r="C5205" s="1">
        <f>0.532900159063334*(10.3/7.3)</f>
        <v>0.75190022443182813</v>
      </c>
      <c r="D5205" s="1">
        <f>0.817342458849043*(10.3/7.3)</f>
        <v>1.1532366200198831</v>
      </c>
      <c r="E5205" s="1">
        <f>2.82571379192582*(10.3/7.3)</f>
        <v>3.9869660351830025</v>
      </c>
      <c r="F5205" s="1">
        <f>7.68283166991856*(38.9/42.5)</f>
        <v>7.0320506343489839</v>
      </c>
      <c r="G5205" s="1">
        <v>0.38731449283555835</v>
      </c>
      <c r="H5205" s="1">
        <v>1.5536343175431468</v>
      </c>
      <c r="I5205" s="1">
        <v>5.7554879858402872</v>
      </c>
      <c r="J5205" s="1">
        <v>3.4821651482491923E-2</v>
      </c>
      <c r="K5205" s="1">
        <v>5.0370452776877572</v>
      </c>
      <c r="L5205" s="1">
        <v>1.8803267995238453</v>
      </c>
      <c r="M5205" s="1">
        <v>0.82037738527493187</v>
      </c>
      <c r="N5205" s="1">
        <v>1.1719259282046688</v>
      </c>
      <c r="O5205" s="1">
        <v>0.64647949685534589</v>
      </c>
      <c r="P5205" s="1">
        <v>0.13445144219233279</v>
      </c>
      <c r="Q5205" s="1">
        <v>0.61899576480568741</v>
      </c>
      <c r="R5205" s="2">
        <f t="shared" si="327"/>
        <v>21.239586075008379</v>
      </c>
      <c r="S5205" s="2">
        <f t="shared" si="326"/>
        <v>5.206318371362582</v>
      </c>
      <c r="T5205" s="2">
        <f t="shared" si="328"/>
        <v>4.5191096098587913</v>
      </c>
      <c r="U5205" s="2">
        <f t="shared" si="329"/>
        <v>30.965014056229752</v>
      </c>
    </row>
    <row r="5206" spans="1:21" x14ac:dyDescent="0.25">
      <c r="A5206">
        <v>5627241</v>
      </c>
      <c r="B5206">
        <v>66</v>
      </c>
      <c r="C5206" s="1">
        <f>0.709900833035898*(10.3/7.3)</f>
        <v>1.0016409014068155</v>
      </c>
      <c r="D5206" s="1">
        <f>1.12203699160631*(10.3/7.3)</f>
        <v>1.5831480840472663</v>
      </c>
      <c r="E5206" s="1">
        <f>3.86713092587751*(10.3/7.3)</f>
        <v>5.4563628132244384</v>
      </c>
      <c r="F5206" s="1">
        <f>10.909248828238*(38.9/42.5)</f>
        <v>9.9851712804342707</v>
      </c>
      <c r="G5206" s="1">
        <v>0.56484608871453834</v>
      </c>
      <c r="H5206" s="1">
        <v>2.1343581568816581</v>
      </c>
      <c r="I5206" s="1">
        <v>8.1804600361887765</v>
      </c>
      <c r="J5206" s="1">
        <v>4.5581394833563993E-2</v>
      </c>
      <c r="K5206" s="1">
        <v>7.0354085311302441</v>
      </c>
      <c r="L5206" s="1">
        <v>2.2979765483896628</v>
      </c>
      <c r="M5206" s="1">
        <v>1.0521454801562435</v>
      </c>
      <c r="N5206" s="1">
        <v>1.4451214446265566</v>
      </c>
      <c r="O5206" s="1">
        <v>0.96072727272727265</v>
      </c>
      <c r="P5206" s="1">
        <v>0.15237450880507922</v>
      </c>
      <c r="Q5206" s="1">
        <v>0.90272205958944551</v>
      </c>
      <c r="R5206" s="2">
        <f t="shared" si="327"/>
        <v>29.808709420487212</v>
      </c>
      <c r="S5206" s="2">
        <f t="shared" si="326"/>
        <v>7.2333644347688875</v>
      </c>
      <c r="T5206" s="2">
        <f t="shared" si="328"/>
        <v>5.7559707458997362</v>
      </c>
      <c r="U5206" s="2">
        <f t="shared" si="329"/>
        <v>42.798044601155837</v>
      </c>
    </row>
    <row r="5207" spans="1:21" x14ac:dyDescent="0.25">
      <c r="A5207">
        <v>5627249</v>
      </c>
      <c r="B5207">
        <v>65</v>
      </c>
      <c r="C5207" s="1">
        <f>0.920856784802255*(10.3/7.3)</f>
        <v>1.2992910799264696</v>
      </c>
      <c r="D5207" s="1">
        <f>1.51137620788327*(10.3/7.3)</f>
        <v>2.1324897179722857</v>
      </c>
      <c r="E5207" s="1">
        <f>5.18907196780453*(10.3/7.3)</f>
        <v>7.3215672970392713</v>
      </c>
      <c r="F5207" s="1">
        <f>15.3046123667075*(38.9/42.5)</f>
        <v>14.008221672115825</v>
      </c>
      <c r="G5207" s="1">
        <v>0.81653596032296583</v>
      </c>
      <c r="H5207" s="1">
        <v>2.8402829217062635</v>
      </c>
      <c r="I5207" s="1">
        <v>11.491693491371969</v>
      </c>
      <c r="J5207" s="1">
        <v>6.2030155405677086E-2</v>
      </c>
      <c r="K5207" s="1">
        <v>9.5037100144821238</v>
      </c>
      <c r="L5207" s="1">
        <v>2.9504349588182914</v>
      </c>
      <c r="M5207" s="1">
        <v>1.3677902425515409</v>
      </c>
      <c r="N5207" s="1">
        <v>1.7937643870054827</v>
      </c>
      <c r="O5207" s="1">
        <v>1.2347733333333333</v>
      </c>
      <c r="P5207" s="1">
        <v>0.17261847475669301</v>
      </c>
      <c r="Q5207" s="1">
        <v>1.3049661466348779</v>
      </c>
      <c r="R5207" s="2">
        <f t="shared" si="327"/>
        <v>41.215048287089921</v>
      </c>
      <c r="S5207" s="2">
        <f t="shared" si="326"/>
        <v>9.7383586446444941</v>
      </c>
      <c r="T5207" s="2">
        <f t="shared" si="328"/>
        <v>7.346762921708649</v>
      </c>
      <c r="U5207" s="2">
        <f t="shared" si="329"/>
        <v>58.300169853443066</v>
      </c>
    </row>
    <row r="5208" spans="1:21" x14ac:dyDescent="0.25">
      <c r="A5208">
        <v>5627257</v>
      </c>
      <c r="B5208">
        <v>48</v>
      </c>
      <c r="C5208" s="1">
        <f>0.95405823662486*(10.3/7.3)</f>
        <v>1.3461369640049401</v>
      </c>
      <c r="D5208" s="1">
        <f>1.65335820501725*(10.3/7.3)</f>
        <v>2.3328204810517343</v>
      </c>
      <c r="E5208" s="1">
        <f>5.63971989575037*(10.3/7.3)</f>
        <v>7.9574130035929889</v>
      </c>
      <c r="F5208" s="1">
        <f>17.990917405361*(38.9/42.5)</f>
        <v>16.46698087220102</v>
      </c>
      <c r="G5208" s="1">
        <v>1.005485480934897</v>
      </c>
      <c r="H5208" s="1">
        <v>4.9402357772262411</v>
      </c>
      <c r="I5208" s="1">
        <v>13.580874198770195</v>
      </c>
      <c r="J5208" s="1">
        <v>8.1074894189171395E-2</v>
      </c>
      <c r="K5208" s="1">
        <v>10.393823214338731</v>
      </c>
      <c r="L5208" s="1">
        <v>3.4202794535592012</v>
      </c>
      <c r="M5208" s="1">
        <v>1.656402551051996</v>
      </c>
      <c r="N5208" s="1">
        <v>2.2366973224489257</v>
      </c>
      <c r="O5208" s="1">
        <v>1.2286111111111115</v>
      </c>
      <c r="P5208" s="1">
        <v>0.18101048405024664</v>
      </c>
      <c r="Q5208" s="1">
        <v>1.606940266334312</v>
      </c>
      <c r="R5208" s="2">
        <f t="shared" si="327"/>
        <v>49.23688704411633</v>
      </c>
      <c r="S5208" s="2">
        <f t="shared" si="326"/>
        <v>10.655908592578148</v>
      </c>
      <c r="T5208" s="2">
        <f t="shared" si="328"/>
        <v>8.5419904381712346</v>
      </c>
      <c r="U5208" s="2">
        <f t="shared" si="329"/>
        <v>68.434786074865713</v>
      </c>
    </row>
    <row r="5209" spans="1:21" x14ac:dyDescent="0.25">
      <c r="A5209">
        <v>5627369</v>
      </c>
      <c r="B5209">
        <v>49</v>
      </c>
      <c r="C5209" s="1">
        <f>0.684574203379137*(10.3/7.3)</f>
        <v>0.96590606778152233</v>
      </c>
      <c r="D5209" s="1">
        <f>1.24151249704047*(10.3/7.3)</f>
        <v>1.7517231122625856</v>
      </c>
      <c r="E5209" s="1">
        <f>4.21482430932071*(10.3/7.3)</f>
        <v>5.9469438884936086</v>
      </c>
      <c r="F5209" s="1">
        <f>14.1615283120488*(38.9/42.5)</f>
        <v>12.96196356091059</v>
      </c>
      <c r="G5209" s="1">
        <v>0.81401168260798595</v>
      </c>
      <c r="H5209" s="1">
        <v>5.9035593741604968</v>
      </c>
      <c r="I5209" s="1">
        <v>10.716442237302394</v>
      </c>
      <c r="J5209" s="1">
        <v>5.344843367786313E-2</v>
      </c>
      <c r="K5209" s="1">
        <v>3.9668794684125088</v>
      </c>
      <c r="L5209" s="1">
        <v>3.2316318366752772</v>
      </c>
      <c r="M5209" s="1">
        <v>1.1600307460563388</v>
      </c>
      <c r="N5209" s="1">
        <v>2.1390044520660738</v>
      </c>
      <c r="O5209" s="1">
        <v>0.28042122448979589</v>
      </c>
      <c r="P5209" s="1">
        <v>0.13971626611433866</v>
      </c>
      <c r="Q5209" s="1">
        <v>1.300931912843815</v>
      </c>
      <c r="R5209" s="2">
        <f t="shared" si="327"/>
        <v>40.361481836362998</v>
      </c>
      <c r="S5209" s="2">
        <f t="shared" si="326"/>
        <v>4.1600441682047107</v>
      </c>
      <c r="T5209" s="2">
        <f t="shared" si="328"/>
        <v>6.8110882592874855</v>
      </c>
      <c r="U5209" s="2">
        <f t="shared" si="329"/>
        <v>51.332614263855199</v>
      </c>
    </row>
    <row r="5210" spans="1:21" x14ac:dyDescent="0.25">
      <c r="A5210">
        <v>5627737</v>
      </c>
      <c r="B5210">
        <v>61</v>
      </c>
      <c r="C5210" s="1">
        <f>5.07562184542315*(10.3/7.3)</f>
        <v>7.1614938366929319</v>
      </c>
      <c r="D5210" s="1">
        <f>9.58292158874575*(10.3/7.3)</f>
        <v>13.521108543024823</v>
      </c>
      <c r="E5210" s="1">
        <f>33.1332554109791*(10.3/7.3)</f>
        <v>46.749661744258127</v>
      </c>
      <c r="F5210" s="1">
        <f>78.1240353311756*(38.9/42.5)</f>
        <v>71.506469985476059</v>
      </c>
      <c r="G5210" s="1">
        <v>3.6216967615590034</v>
      </c>
      <c r="H5210" s="1">
        <v>9.2450306854427176</v>
      </c>
      <c r="I5210" s="1">
        <v>54.11174925653718</v>
      </c>
      <c r="J5210" s="1">
        <v>5.4770995855305378E-2</v>
      </c>
      <c r="K5210" s="1">
        <v>3.1562173527470314</v>
      </c>
      <c r="L5210" s="1">
        <v>4.0175286060017648</v>
      </c>
      <c r="M5210" s="1">
        <v>0.27843869985460445</v>
      </c>
      <c r="N5210" s="1">
        <v>2.7939060839739978</v>
      </c>
      <c r="O5210" s="1">
        <v>0.22296655737704918</v>
      </c>
      <c r="P5210" s="1">
        <v>0.14484955933560345</v>
      </c>
      <c r="Q5210" s="1">
        <v>5.7880998472404235</v>
      </c>
      <c r="R5210" s="2">
        <f t="shared" si="327"/>
        <v>211.70531066023128</v>
      </c>
      <c r="S5210" s="2">
        <f t="shared" si="326"/>
        <v>3.3558379079379401</v>
      </c>
      <c r="T5210" s="2">
        <f t="shared" si="328"/>
        <v>7.312839947207415</v>
      </c>
      <c r="U5210" s="2">
        <f t="shared" si="329"/>
        <v>222.37398851537662</v>
      </c>
    </row>
    <row r="5211" spans="1:21" x14ac:dyDescent="0.25">
      <c r="A5211">
        <v>5627745</v>
      </c>
      <c r="B5211">
        <v>64</v>
      </c>
      <c r="C5211" s="1">
        <f>5.10003945926716*(10.3/7.3)</f>
        <v>7.1959460863632527</v>
      </c>
      <c r="D5211" s="1">
        <f>9.40824768511668*(10.3/7.3)</f>
        <v>13.27465084338381</v>
      </c>
      <c r="E5211" s="1">
        <f>32.6059914871201*(10.3/7.3)</f>
        <v>46.005714016073576</v>
      </c>
      <c r="F5211" s="1">
        <f>74.1600643528328*(38.9/42.5)</f>
        <v>67.878270666475174</v>
      </c>
      <c r="G5211" s="1">
        <v>3.3265622931863739</v>
      </c>
      <c r="H5211" s="1">
        <v>7.207706305555158</v>
      </c>
      <c r="I5211" s="1">
        <v>51.090213329862742</v>
      </c>
      <c r="J5211" s="1">
        <v>5.3055693779084354E-2</v>
      </c>
      <c r="K5211" s="1">
        <v>3.1542554055380467</v>
      </c>
      <c r="L5211" s="1">
        <v>3.9818287546350972</v>
      </c>
      <c r="M5211" s="1">
        <v>0.27234643022206295</v>
      </c>
      <c r="N5211" s="1">
        <v>3.4258516349212877</v>
      </c>
      <c r="O5211" s="1">
        <v>0.21895583333333338</v>
      </c>
      <c r="P5211" s="1">
        <v>0.14378481890545641</v>
      </c>
      <c r="Q5211" s="1">
        <v>5.3164237562339354</v>
      </c>
      <c r="R5211" s="2">
        <f t="shared" si="327"/>
        <v>201.29548729713403</v>
      </c>
      <c r="S5211" s="2">
        <f t="shared" si="326"/>
        <v>3.3510959182225877</v>
      </c>
      <c r="T5211" s="2">
        <f t="shared" si="328"/>
        <v>7.8989826531117808</v>
      </c>
      <c r="U5211" s="2">
        <f t="shared" si="329"/>
        <v>212.5455658684684</v>
      </c>
    </row>
    <row r="5212" spans="1:21" x14ac:dyDescent="0.25">
      <c r="A5212">
        <v>5627753</v>
      </c>
      <c r="B5212">
        <v>65</v>
      </c>
      <c r="C5212" s="1">
        <f>2.34014206415395*(10.3/7.3)</f>
        <v>3.3018442822994154</v>
      </c>
      <c r="D5212" s="1">
        <f>4.15472554103048*(10.3/7.3)</f>
        <v>5.8621469962484793</v>
      </c>
      <c r="E5212" s="1">
        <f>14.4229703074541*(10.3/7.3)</f>
        <v>20.350218379010641</v>
      </c>
      <c r="F5212" s="1">
        <f>32.470374644303*(38.9/42.5)</f>
        <v>29.719942909726758</v>
      </c>
      <c r="G5212" s="1">
        <v>1.4369268642715176</v>
      </c>
      <c r="H5212" s="1">
        <v>3.9933331187991485</v>
      </c>
      <c r="I5212" s="1">
        <v>22.503313835163347</v>
      </c>
      <c r="J5212" s="1">
        <v>3.2311409090697643E-2</v>
      </c>
      <c r="K5212" s="1">
        <v>2.1796514718568729</v>
      </c>
      <c r="L5212" s="1">
        <v>2.3812788092111181</v>
      </c>
      <c r="M5212" s="1">
        <v>0.17905328228275136</v>
      </c>
      <c r="N5212" s="1">
        <v>1.6151419971908612</v>
      </c>
      <c r="O5212" s="1">
        <v>0.14520697435897437</v>
      </c>
      <c r="P5212" s="1">
        <v>0.10511786532210771</v>
      </c>
      <c r="Q5212" s="1">
        <v>2.296458458881423</v>
      </c>
      <c r="R5212" s="2">
        <f t="shared" si="327"/>
        <v>89.464184844400719</v>
      </c>
      <c r="S5212" s="2">
        <f t="shared" si="326"/>
        <v>2.3170807462696783</v>
      </c>
      <c r="T5212" s="2">
        <f t="shared" si="328"/>
        <v>4.3206810630437058</v>
      </c>
      <c r="U5212" s="2">
        <f t="shared" si="329"/>
        <v>96.101946653714108</v>
      </c>
    </row>
    <row r="5213" spans="1:21" x14ac:dyDescent="0.25">
      <c r="A5213">
        <v>5627761</v>
      </c>
      <c r="B5213">
        <v>64</v>
      </c>
      <c r="C5213" s="1">
        <f>4.22956026896772*(10.3/7.3)</f>
        <v>5.9677357219681495</v>
      </c>
      <c r="D5213" s="1">
        <f>7.16542301940594*(10.3/7.3)</f>
        <v>10.11011741094263</v>
      </c>
      <c r="E5213" s="1">
        <f>24.8805426973141*(10.3/7.3)</f>
        <v>35.105423257854177</v>
      </c>
      <c r="F5213" s="1">
        <f>57.6552247560474*(38.9/42.5)</f>
        <v>52.771488070829257</v>
      </c>
      <c r="G5213" s="1">
        <v>2.6026232081700003</v>
      </c>
      <c r="H5213" s="1">
        <v>5.9564467693792045</v>
      </c>
      <c r="I5213" s="1">
        <v>40.730426555649807</v>
      </c>
      <c r="J5213" s="1">
        <v>4.5762952521600113E-2</v>
      </c>
      <c r="K5213" s="1">
        <v>2.8134964199023837</v>
      </c>
      <c r="L5213" s="1">
        <v>3.3724521670024408</v>
      </c>
      <c r="M5213" s="1">
        <v>0.23234897069698532</v>
      </c>
      <c r="N5213" s="1">
        <v>2.2674524103046267</v>
      </c>
      <c r="O5213" s="1">
        <v>0.18838833333333332</v>
      </c>
      <c r="P5213" s="1">
        <v>0.12788704957956265</v>
      </c>
      <c r="Q5213" s="1">
        <v>4.1594434833767178</v>
      </c>
      <c r="R5213" s="2">
        <f t="shared" si="327"/>
        <v>157.40370447816994</v>
      </c>
      <c r="S5213" s="2">
        <f t="shared" si="326"/>
        <v>2.9871464220035464</v>
      </c>
      <c r="T5213" s="2">
        <f t="shared" si="328"/>
        <v>6.0606418813373866</v>
      </c>
      <c r="U5213" s="2">
        <f t="shared" si="329"/>
        <v>166.45149278151086</v>
      </c>
    </row>
    <row r="5214" spans="1:21" x14ac:dyDescent="0.25">
      <c r="A5214">
        <v>5627769</v>
      </c>
      <c r="B5214">
        <v>62</v>
      </c>
      <c r="C5214" s="1">
        <f>6.29397415606491*(10.3/7.3)</f>
        <v>8.8805388777354199</v>
      </c>
      <c r="D5214" s="1">
        <f>10.115868885267*(10.3/7.3)</f>
        <v>14.273075276472662</v>
      </c>
      <c r="E5214" s="1">
        <f>35.1578277182178*(10.3/7.3)</f>
        <v>49.606250068170368</v>
      </c>
      <c r="F5214" s="1">
        <f>83.0721419574727*(38.9/42.5)</f>
        <v>76.035442874016226</v>
      </c>
      <c r="G5214" s="1">
        <v>3.7886362851238116</v>
      </c>
      <c r="H5214" s="1">
        <v>7.5572933614250344</v>
      </c>
      <c r="I5214" s="1">
        <v>59.725401729575879</v>
      </c>
      <c r="J5214" s="1">
        <v>5.9472196351010462E-2</v>
      </c>
      <c r="K5214" s="1">
        <v>3.3942347248994142</v>
      </c>
      <c r="L5214" s="1">
        <v>4.3468709633121598</v>
      </c>
      <c r="M5214" s="1">
        <v>0.27923997661642169</v>
      </c>
      <c r="N5214" s="1">
        <v>3.048687604231592</v>
      </c>
      <c r="O5214" s="1">
        <v>0.22703225806451607</v>
      </c>
      <c r="P5214" s="1">
        <v>0.14907138523225583</v>
      </c>
      <c r="Q5214" s="1">
        <v>6.0548981725723081</v>
      </c>
      <c r="R5214" s="2">
        <f t="shared" si="327"/>
        <v>225.92153664509169</v>
      </c>
      <c r="S5214" s="2">
        <f t="shared" si="326"/>
        <v>3.6027783064826808</v>
      </c>
      <c r="T5214" s="2">
        <f t="shared" si="328"/>
        <v>7.9018308022246897</v>
      </c>
      <c r="U5214" s="2">
        <f t="shared" si="329"/>
        <v>237.42614575379906</v>
      </c>
    </row>
    <row r="5215" spans="1:21" x14ac:dyDescent="0.25">
      <c r="A5215">
        <v>5627777</v>
      </c>
      <c r="B5215">
        <v>61</v>
      </c>
      <c r="C5215" s="1">
        <f>5.98197729264252*(10.3/7.3)</f>
        <v>8.4403241252353371</v>
      </c>
      <c r="D5215" s="1">
        <f>9.3416977878118*(10.3/7.3)</f>
        <v>13.180751673213907</v>
      </c>
      <c r="E5215" s="1">
        <f>32.4785037701685*(10.3/7.3)</f>
        <v>45.825834086676039</v>
      </c>
      <c r="F5215" s="1">
        <f>77.8735829114055*(38.9/42.5)</f>
        <v>71.27723235890997</v>
      </c>
      <c r="G5215" s="1">
        <v>3.582666028087905</v>
      </c>
      <c r="H5215" s="1">
        <v>7.2978070763012104</v>
      </c>
      <c r="I5215" s="1">
        <v>56.574039759546785</v>
      </c>
      <c r="J5215" s="1">
        <v>5.6599190628210526E-2</v>
      </c>
      <c r="K5215" s="1">
        <v>3.2146058907820652</v>
      </c>
      <c r="L5215" s="1">
        <v>4.0215453875934948</v>
      </c>
      <c r="M5215" s="1">
        <v>0.2572742532925264</v>
      </c>
      <c r="N5215" s="1">
        <v>2.5982014525496697</v>
      </c>
      <c r="O5215" s="1">
        <v>0.20946710382513661</v>
      </c>
      <c r="P5215" s="1">
        <v>0.13997044103417464</v>
      </c>
      <c r="Q5215" s="1">
        <v>5.7257219626975733</v>
      </c>
      <c r="R5215" s="2">
        <f t="shared" si="327"/>
        <v>211.90437707066874</v>
      </c>
      <c r="S5215" s="2">
        <f t="shared" si="326"/>
        <v>3.41117552244445</v>
      </c>
      <c r="T5215" s="2">
        <f t="shared" si="328"/>
        <v>7.0864881972608273</v>
      </c>
      <c r="U5215" s="2">
        <f t="shared" si="329"/>
        <v>222.402040790374</v>
      </c>
    </row>
    <row r="5216" spans="1:21" x14ac:dyDescent="0.25">
      <c r="A5216">
        <v>5627785</v>
      </c>
      <c r="B5216">
        <v>14</v>
      </c>
      <c r="C5216" s="1">
        <f>5.75161818380504*(10.3/7.3)</f>
        <v>8.1152968894783442</v>
      </c>
      <c r="D5216" s="1">
        <f>8.87707885249387*(10.3/7.3)</f>
        <v>12.525193449409166</v>
      </c>
      <c r="E5216" s="1">
        <f>30.8366351538743*(10.3/7.3)</f>
        <v>43.509224943137717</v>
      </c>
      <c r="F5216" s="1">
        <f>75.9616432054723*(38.9/42.5)</f>
        <v>69.527245192773506</v>
      </c>
      <c r="G5216" s="1">
        <v>3.5668670364765283</v>
      </c>
      <c r="H5216" s="1">
        <v>7.6999848580937016</v>
      </c>
      <c r="I5216" s="1">
        <v>55.678174662824347</v>
      </c>
      <c r="J5216" s="1">
        <v>5.4871898644417334E-2</v>
      </c>
      <c r="K5216" s="1">
        <v>3.0345164436932186</v>
      </c>
      <c r="L5216" s="1">
        <v>3.5036829005272159</v>
      </c>
      <c r="M5216" s="1">
        <v>0.22403548675619564</v>
      </c>
      <c r="N5216" s="1">
        <v>2.4672726057514458</v>
      </c>
      <c r="O5216" s="1">
        <v>0.18332571428571431</v>
      </c>
      <c r="P5216" s="1">
        <v>0.12435153890423403</v>
      </c>
      <c r="Q5216" s="1">
        <v>5.7004724327250509</v>
      </c>
      <c r="R5216" s="2">
        <f t="shared" si="327"/>
        <v>206.32245946491838</v>
      </c>
      <c r="S5216" s="2">
        <f t="shared" si="326"/>
        <v>3.21373988124187</v>
      </c>
      <c r="T5216" s="2">
        <f t="shared" si="328"/>
        <v>6.3783167073205709</v>
      </c>
      <c r="U5216" s="2">
        <f t="shared" si="329"/>
        <v>215.91451605348084</v>
      </c>
    </row>
    <row r="5217" spans="1:21" x14ac:dyDescent="0.25">
      <c r="A5217">
        <v>5627793</v>
      </c>
      <c r="B5217">
        <v>6</v>
      </c>
      <c r="C5217" s="1">
        <f>2.78864008505097*(10.3/7.3)</f>
        <v>3.9346565583595834</v>
      </c>
      <c r="D5217" s="1">
        <f>4.33516053984314*(10.3/7.3)</f>
        <v>6.1167333644362065</v>
      </c>
      <c r="E5217" s="1">
        <f>15.0308181707895*(10.3/7.3)</f>
        <v>21.207866734127681</v>
      </c>
      <c r="F5217" s="1">
        <f>38.2690945073792*(38.9/42.5)</f>
        <v>35.027477090283504</v>
      </c>
      <c r="G5217" s="1">
        <v>1.8445788614253218</v>
      </c>
      <c r="H5217" s="1">
        <v>7.9694315424897892</v>
      </c>
      <c r="I5217" s="1">
        <v>28.204887086410277</v>
      </c>
      <c r="J5217" s="1">
        <v>3.3237015030291486E-2</v>
      </c>
      <c r="K5217" s="1">
        <v>2.0599368853927102</v>
      </c>
      <c r="L5217" s="1">
        <v>2.2676204139364575</v>
      </c>
      <c r="M5217" s="1">
        <v>0.15663271771843454</v>
      </c>
      <c r="N5217" s="1">
        <v>1.4847975752910223</v>
      </c>
      <c r="O5217" s="1">
        <v>0.12608</v>
      </c>
      <c r="P5217" s="1">
        <v>9.4108239218662584E-2</v>
      </c>
      <c r="Q5217" s="1">
        <v>2.9479570844696958</v>
      </c>
      <c r="R5217" s="2">
        <f t="shared" si="327"/>
        <v>107.25358832200205</v>
      </c>
      <c r="S5217" s="2">
        <f t="shared" si="326"/>
        <v>2.1872821396416642</v>
      </c>
      <c r="T5217" s="2">
        <f t="shared" si="328"/>
        <v>4.0351307069459148</v>
      </c>
      <c r="U5217" s="2">
        <f t="shared" si="329"/>
        <v>113.47600116858963</v>
      </c>
    </row>
    <row r="5218" spans="1:21" x14ac:dyDescent="0.25">
      <c r="A5218">
        <v>5627801</v>
      </c>
      <c r="B5218">
        <v>26</v>
      </c>
      <c r="C5218" s="1">
        <f>3.06304782099501*(10.3/7.3)</f>
        <v>4.3218345967463856</v>
      </c>
      <c r="D5218" s="1">
        <f>4.92634782228992*(10.3/7.3)</f>
        <v>6.9508743246008429</v>
      </c>
      <c r="E5218" s="1">
        <f>16.9910134322016*(10.3/7.3)</f>
        <v>23.973621692010411</v>
      </c>
      <c r="F5218" s="1">
        <f>46.7636603230255*(38.9/42.5)</f>
        <v>42.80250321331043</v>
      </c>
      <c r="G5218" s="1">
        <v>2.3874775073395855</v>
      </c>
      <c r="H5218" s="1">
        <v>8.7867230061809689</v>
      </c>
      <c r="I5218" s="1">
        <v>34.774882470350278</v>
      </c>
      <c r="J5218" s="1">
        <v>3.03010444305854E-2</v>
      </c>
      <c r="K5218" s="1">
        <v>1.9321140994143589</v>
      </c>
      <c r="L5218" s="1">
        <v>2.4575609670817857</v>
      </c>
      <c r="M5218" s="1">
        <v>0.14933294719990095</v>
      </c>
      <c r="N5218" s="1">
        <v>1.3758555199651257</v>
      </c>
      <c r="O5218" s="1">
        <v>0.11964717948717948</v>
      </c>
      <c r="P5218" s="1">
        <v>8.9925052728324767E-2</v>
      </c>
      <c r="Q5218" s="1">
        <v>3.8156033222322181</v>
      </c>
      <c r="R5218" s="2">
        <f t="shared" si="327"/>
        <v>127.81352013277112</v>
      </c>
      <c r="S5218" s="2">
        <f t="shared" si="326"/>
        <v>2.0523401965732688</v>
      </c>
      <c r="T5218" s="2">
        <f t="shared" si="328"/>
        <v>4.1023966137339922</v>
      </c>
      <c r="U5218" s="2">
        <f t="shared" si="329"/>
        <v>133.96825694307839</v>
      </c>
    </row>
    <row r="5219" spans="1:21" x14ac:dyDescent="0.25">
      <c r="A5219">
        <v>5628073</v>
      </c>
      <c r="B5219">
        <v>28</v>
      </c>
      <c r="C5219" s="1">
        <f>6.0987010439842*(10.3/7.3)</f>
        <v>8.6050165415119579</v>
      </c>
      <c r="D5219" s="1">
        <f>9.52837034702201*(10.3/7.3)</f>
        <v>13.444138982784485</v>
      </c>
      <c r="E5219" s="1">
        <f>32.7946640037882*(10.3/7.3)</f>
        <v>46.271923183427198</v>
      </c>
      <c r="F5219" s="1">
        <f>95.535323625374*(38.9/42.5)</f>
        <v>87.442919741812901</v>
      </c>
      <c r="G5219" s="1">
        <v>5.0389536275820301</v>
      </c>
      <c r="H5219" s="1">
        <v>10.245692179057624</v>
      </c>
      <c r="I5219" s="1">
        <v>72.234940739955988</v>
      </c>
      <c r="J5219" s="1">
        <v>3.2485664879281173E-2</v>
      </c>
      <c r="K5219" s="1">
        <v>1.9758652669948498</v>
      </c>
      <c r="L5219" s="1">
        <v>2.0286819468168393</v>
      </c>
      <c r="M5219" s="1">
        <v>0.10634905611015641</v>
      </c>
      <c r="N5219" s="1">
        <v>1.3144148367343065</v>
      </c>
      <c r="O5219" s="1">
        <v>9.9944761904761911E-2</v>
      </c>
      <c r="P5219" s="1">
        <v>7.6933508292211891E-2</v>
      </c>
      <c r="Q5219" s="1">
        <v>8.0531222358617018</v>
      </c>
      <c r="R5219" s="2">
        <f t="shared" si="327"/>
        <v>251.33670723199387</v>
      </c>
      <c r="S5219" s="2">
        <f t="shared" si="326"/>
        <v>2.0852844401663426</v>
      </c>
      <c r="T5219" s="2">
        <f t="shared" si="328"/>
        <v>3.5493906015660639</v>
      </c>
      <c r="U5219" s="2">
        <f t="shared" si="329"/>
        <v>256.97138227372625</v>
      </c>
    </row>
    <row r="5220" spans="1:21" x14ac:dyDescent="0.25">
      <c r="A5220">
        <v>5628081</v>
      </c>
      <c r="B5220">
        <v>10</v>
      </c>
      <c r="C5220" s="1">
        <f>7.63206760119212*(10.3/7.3)</f>
        <v>10.768533738668332</v>
      </c>
      <c r="D5220" s="1">
        <f>10.113879302401*(10.3/7.3)</f>
        <v>14.27026805681243</v>
      </c>
      <c r="E5220" s="1">
        <f>35.3535496623173*(10.3/7.3)</f>
        <v>49.882405687927182</v>
      </c>
      <c r="F5220" s="1">
        <f>86.7115089835442*(38.9/42.5)</f>
        <v>79.366534104938097</v>
      </c>
      <c r="G5220" s="1">
        <v>3.9786037088034343</v>
      </c>
      <c r="H5220" s="1">
        <v>10.837755080585479</v>
      </c>
      <c r="I5220" s="1">
        <v>65.960290003231265</v>
      </c>
      <c r="J5220" s="1">
        <v>3.636086163635565E-2</v>
      </c>
      <c r="K5220" s="1">
        <v>2.1941417199210607</v>
      </c>
      <c r="L5220" s="1">
        <v>2.2900480987032901</v>
      </c>
      <c r="M5220" s="1">
        <v>0.11927693399834176</v>
      </c>
      <c r="N5220" s="1">
        <v>1.4479672878943632</v>
      </c>
      <c r="O5220" s="1">
        <v>0.11119999999999999</v>
      </c>
      <c r="P5220" s="1">
        <v>8.4162525315952252E-2</v>
      </c>
      <c r="Q5220" s="1">
        <v>6.3584990779963624</v>
      </c>
      <c r="R5220" s="2">
        <f t="shared" si="327"/>
        <v>241.42288945896254</v>
      </c>
      <c r="S5220" s="2">
        <f t="shared" si="326"/>
        <v>2.3146651068733686</v>
      </c>
      <c r="T5220" s="2">
        <f t="shared" si="328"/>
        <v>3.9684923205959954</v>
      </c>
      <c r="U5220" s="2">
        <f t="shared" si="329"/>
        <v>247.70604688643192</v>
      </c>
    </row>
    <row r="5221" spans="1:21" x14ac:dyDescent="0.25">
      <c r="A5221">
        <v>5628089</v>
      </c>
      <c r="B5221">
        <v>20</v>
      </c>
      <c r="C5221" s="1">
        <f>9.24714087761598*(10.3/7.3)</f>
        <v>13.04733575882803</v>
      </c>
      <c r="D5221" s="1">
        <f>11.0507511745699*(10.3/7.3)</f>
        <v>15.592155766858951</v>
      </c>
      <c r="E5221" s="1">
        <f>38.8872776054385*(10.3/7.3)</f>
        <v>54.868350593974853</v>
      </c>
      <c r="F5221" s="1">
        <f>91.3352506615697*(38.9/42.5)</f>
        <v>83.598617664354421</v>
      </c>
      <c r="G5221" s="1">
        <v>3.9703956458136687</v>
      </c>
      <c r="H5221" s="1">
        <v>10.648302630007432</v>
      </c>
      <c r="I5221" s="1">
        <v>70.992045877874858</v>
      </c>
      <c r="J5221" s="1">
        <v>3.6727050120603601E-2</v>
      </c>
      <c r="K5221" s="1">
        <v>2.1888578990213525</v>
      </c>
      <c r="L5221" s="1">
        <v>2.2683903280224316</v>
      </c>
      <c r="M5221" s="1">
        <v>0.11685637167754392</v>
      </c>
      <c r="N5221" s="1">
        <v>1.4627673380333044</v>
      </c>
      <c r="O5221" s="1">
        <v>0.10989866666666666</v>
      </c>
      <c r="P5221" s="1">
        <v>8.3278166656672592E-2</v>
      </c>
      <c r="Q5221" s="1">
        <v>6.3453811691086104</v>
      </c>
      <c r="R5221" s="2">
        <f t="shared" si="327"/>
        <v>259.06258510682085</v>
      </c>
      <c r="S5221" s="2">
        <f t="shared" si="326"/>
        <v>2.3088631157986286</v>
      </c>
      <c r="T5221" s="2">
        <f t="shared" si="328"/>
        <v>3.9579127043999467</v>
      </c>
      <c r="U5221" s="2">
        <f t="shared" si="329"/>
        <v>265.32936092701942</v>
      </c>
    </row>
    <row r="5222" spans="1:21" x14ac:dyDescent="0.25">
      <c r="A5222">
        <v>5628129</v>
      </c>
      <c r="B5222">
        <v>18</v>
      </c>
      <c r="C5222" s="1">
        <f>6.3306269952715*(10.3/7.3)</f>
        <v>8.9322545275748553</v>
      </c>
      <c r="D5222" s="1">
        <f>7.62246091667786*(10.3/7.3)</f>
        <v>10.754979101613969</v>
      </c>
      <c r="E5222" s="1">
        <f>26.7532512905071*(10.3/7.3)</f>
        <v>37.747738122222373</v>
      </c>
      <c r="F5222" s="1">
        <f>65.9112084691987*(38.9/42.5)</f>
        <v>60.32814139886657</v>
      </c>
      <c r="G5222" s="1">
        <v>2.9932904218883163</v>
      </c>
      <c r="H5222" s="1">
        <v>8.8920604980235556</v>
      </c>
      <c r="I5222" s="1">
        <v>51.490417868790736</v>
      </c>
      <c r="J5222" s="1">
        <v>3.0404440788806157E-2</v>
      </c>
      <c r="K5222" s="1">
        <v>1.9773539312323649</v>
      </c>
      <c r="L5222" s="1">
        <v>1.9864442089984178</v>
      </c>
      <c r="M5222" s="1">
        <v>9.9194106647828545E-2</v>
      </c>
      <c r="N5222" s="1">
        <v>1.3027103636933726</v>
      </c>
      <c r="O5222" s="1">
        <v>9.7294814814814778E-2</v>
      </c>
      <c r="P5222" s="1">
        <v>7.5277797079827971E-2</v>
      </c>
      <c r="Q5222" s="1">
        <v>4.7837974779037085</v>
      </c>
      <c r="R5222" s="2">
        <f t="shared" si="327"/>
        <v>185.92267941688408</v>
      </c>
      <c r="S5222" s="2">
        <f t="shared" si="326"/>
        <v>2.0830361691009993</v>
      </c>
      <c r="T5222" s="2">
        <f t="shared" si="328"/>
        <v>3.4856434941544339</v>
      </c>
      <c r="U5222" s="2">
        <f t="shared" si="329"/>
        <v>191.49135908013952</v>
      </c>
    </row>
    <row r="5223" spans="1:21" x14ac:dyDescent="0.25">
      <c r="A5223">
        <v>563633</v>
      </c>
      <c r="B5223">
        <v>22</v>
      </c>
      <c r="C5223" s="1">
        <f>1.33067482222206*(10.3/7.3)</f>
        <v>1.8775274888886646</v>
      </c>
      <c r="D5223" s="1">
        <f>1.97054017429861*(10.3/7.3)</f>
        <v>2.78035120483228</v>
      </c>
      <c r="E5223" s="1">
        <f>6.82499545543753*(10.3/7.3)</f>
        <v>9.6297881083570562</v>
      </c>
      <c r="F5223" s="1">
        <f>18.3810392394059*(38.9/42.5)</f>
        <v>16.824057092067982</v>
      </c>
      <c r="G5223" s="1">
        <v>0.91737662295764644</v>
      </c>
      <c r="H5223" s="1">
        <v>5.1007568272210397</v>
      </c>
      <c r="I5223" s="1">
        <v>13.849176291298447</v>
      </c>
      <c r="J5223" s="1">
        <v>3.4252683711451126E-2</v>
      </c>
      <c r="K5223" s="1">
        <v>4.2222893788432385</v>
      </c>
      <c r="L5223" s="1">
        <v>1.4778019535649889</v>
      </c>
      <c r="M5223" s="1">
        <v>8.601539891792355E-2</v>
      </c>
      <c r="N5223" s="1">
        <v>1.0074464471473161</v>
      </c>
      <c r="O5223" s="1">
        <v>7.3279999999999998E-2</v>
      </c>
      <c r="P5223" s="1">
        <v>6.3197432938273582E-2</v>
      </c>
      <c r="Q5223" s="1">
        <v>1.4661270229916736</v>
      </c>
      <c r="R5223" s="2">
        <f t="shared" si="327"/>
        <v>52.445160658614789</v>
      </c>
      <c r="S5223" s="2">
        <f t="shared" si="326"/>
        <v>4.3197394954929633</v>
      </c>
      <c r="T5223" s="2">
        <f t="shared" si="328"/>
        <v>2.6445437996302288</v>
      </c>
      <c r="U5223" s="2">
        <f t="shared" si="329"/>
        <v>59.409443953737977</v>
      </c>
    </row>
    <row r="5224" spans="1:21" x14ac:dyDescent="0.25">
      <c r="A5224">
        <v>563665</v>
      </c>
      <c r="B5224">
        <v>27</v>
      </c>
      <c r="C5224" s="1">
        <f>1.2983722838537*(10.3/7.3)</f>
        <v>1.831949934752485</v>
      </c>
      <c r="D5224" s="1">
        <f>2.11949496148932*(10.3/7.3)</f>
        <v>2.990520288128768</v>
      </c>
      <c r="E5224" s="1">
        <f>7.27940552223508*(10.3/7.3)</f>
        <v>10.270942038222106</v>
      </c>
      <c r="F5224" s="1">
        <f>21.4140848972396*(38.9/42.5)</f>
        <v>19.600185941238145</v>
      </c>
      <c r="G5224" s="1">
        <v>1.1402630773275606</v>
      </c>
      <c r="H5224" s="1">
        <v>4.5036758971437321</v>
      </c>
      <c r="I5224" s="1">
        <v>16.087121851782808</v>
      </c>
      <c r="J5224" s="1">
        <v>2.8702916082161602E-2</v>
      </c>
      <c r="K5224" s="1">
        <v>3.4529227623405028</v>
      </c>
      <c r="L5224" s="1">
        <v>1.3802867620716766</v>
      </c>
      <c r="M5224" s="1">
        <v>8.046520295768167E-2</v>
      </c>
      <c r="N5224" s="1">
        <v>0.92730550500147213</v>
      </c>
      <c r="O5224" s="1">
        <v>7.1794567901234549E-2</v>
      </c>
      <c r="P5224" s="1">
        <v>6.1456262413569981E-2</v>
      </c>
      <c r="Q5224" s="1">
        <v>1.8223382514367421</v>
      </c>
      <c r="R5224" s="2">
        <f t="shared" si="327"/>
        <v>58.246997280032339</v>
      </c>
      <c r="S5224" s="2">
        <f t="shared" si="326"/>
        <v>3.5430819408362346</v>
      </c>
      <c r="T5224" s="2">
        <f t="shared" si="328"/>
        <v>2.4598520379320652</v>
      </c>
      <c r="U5224" s="2">
        <f t="shared" si="329"/>
        <v>64.249931258800643</v>
      </c>
    </row>
    <row r="5225" spans="1:21" x14ac:dyDescent="0.25">
      <c r="A5225">
        <v>563673</v>
      </c>
      <c r="B5225">
        <v>21</v>
      </c>
      <c r="C5225" s="1">
        <f>1.0199115194609*(10.3/7.3)</f>
        <v>1.4390532397873013</v>
      </c>
      <c r="D5225" s="1">
        <f>1.78092815995045*(10.3/7.3)</f>
        <v>2.5128164448615968</v>
      </c>
      <c r="E5225" s="1">
        <f>6.0807968235055*(10.3/7.3)</f>
        <v>8.5797544222063884</v>
      </c>
      <c r="F5225" s="1">
        <f>19.0136798237898*(38.9/42.5)</f>
        <v>17.403109297539405</v>
      </c>
      <c r="G5225" s="1">
        <v>1.0523743281610907</v>
      </c>
      <c r="H5225" s="1">
        <v>5.4993036565968971</v>
      </c>
      <c r="I5225" s="1">
        <v>14.281886905386639</v>
      </c>
      <c r="J5225" s="1">
        <v>2.4710802223465604E-2</v>
      </c>
      <c r="K5225" s="1">
        <v>2.8278659688938248</v>
      </c>
      <c r="L5225" s="1">
        <v>1.1385676571155234</v>
      </c>
      <c r="M5225" s="1">
        <v>6.6962637922471063E-2</v>
      </c>
      <c r="N5225" s="1">
        <v>0.8034912847428598</v>
      </c>
      <c r="O5225" s="1">
        <v>6.1493333333333337E-2</v>
      </c>
      <c r="P5225" s="1">
        <v>5.4180810895424661E-2</v>
      </c>
      <c r="Q5225" s="1">
        <v>1.6818767801661292</v>
      </c>
      <c r="R5225" s="2">
        <f t="shared" si="327"/>
        <v>52.450175074705449</v>
      </c>
      <c r="S5225" s="2">
        <f t="shared" si="326"/>
        <v>2.9067575820127152</v>
      </c>
      <c r="T5225" s="2">
        <f t="shared" si="328"/>
        <v>2.0705149131141876</v>
      </c>
      <c r="U5225" s="2">
        <f t="shared" si="329"/>
        <v>57.427447569832353</v>
      </c>
    </row>
    <row r="5226" spans="1:21" x14ac:dyDescent="0.25">
      <c r="A5226">
        <v>5639469</v>
      </c>
      <c r="B5226">
        <v>59</v>
      </c>
      <c r="C5226" s="1">
        <f>0.576852099372546*(10.3/7.3)</f>
        <v>0.81391460596400378</v>
      </c>
      <c r="D5226" s="1">
        <f>0.89401153359193*(10.3/7.3)</f>
        <v>1.2614135336982026</v>
      </c>
      <c r="E5226" s="1">
        <f>3.08782827256876*(10.3/7.3)</f>
        <v>4.3567987955422192</v>
      </c>
      <c r="F5226" s="1">
        <f>8.48554565991262*(38.9/42.5)</f>
        <v>7.7667700275435552</v>
      </c>
      <c r="G5226" s="1">
        <v>0.43125473921696605</v>
      </c>
      <c r="H5226" s="1">
        <v>1.701325820304016</v>
      </c>
      <c r="I5226" s="1">
        <v>6.3561381029915864</v>
      </c>
      <c r="J5226" s="1">
        <v>3.7549044990826091E-2</v>
      </c>
      <c r="K5226" s="1">
        <v>6.0259215114411697</v>
      </c>
      <c r="L5226" s="1">
        <v>1.9467666598964042</v>
      </c>
      <c r="M5226" s="1">
        <v>0.86348099516072663</v>
      </c>
      <c r="N5226" s="1">
        <v>1.2363455965606109</v>
      </c>
      <c r="O5226" s="1">
        <v>0.84720451977401101</v>
      </c>
      <c r="P5226" s="1">
        <v>0.13763457619675087</v>
      </c>
      <c r="Q5226" s="1">
        <v>0.6892199028581657</v>
      </c>
      <c r="R5226" s="2">
        <f t="shared" si="327"/>
        <v>23.376835528118715</v>
      </c>
      <c r="S5226" s="2">
        <f t="shared" si="326"/>
        <v>6.2011051326287472</v>
      </c>
      <c r="T5226" s="2">
        <f t="shared" si="328"/>
        <v>4.8937977713917524</v>
      </c>
      <c r="U5226" s="2">
        <f t="shared" si="329"/>
        <v>34.471738432139212</v>
      </c>
    </row>
    <row r="5227" spans="1:21" x14ac:dyDescent="0.25">
      <c r="A5227">
        <v>5639477</v>
      </c>
      <c r="B5227">
        <v>60</v>
      </c>
      <c r="C5227" s="1">
        <f>0.640725391342818*(10.3/7.3)</f>
        <v>0.9040371960042497</v>
      </c>
      <c r="D5227" s="1">
        <f>1.01364654738735*(10.3/7.3)</f>
        <v>1.4302136216561183</v>
      </c>
      <c r="E5227" s="1">
        <f>3.49354485612839*(10.3/7.3)</f>
        <v>4.9292482216606111</v>
      </c>
      <c r="F5227" s="1">
        <f>9.85013127599987*(38.9/42.5)</f>
        <v>9.0157672149739945</v>
      </c>
      <c r="G5227" s="1">
        <v>0.50988344232496563</v>
      </c>
      <c r="H5227" s="1">
        <v>1.9639344195590678</v>
      </c>
      <c r="I5227" s="1">
        <v>7.3841449832068138</v>
      </c>
      <c r="J5227" s="1">
        <v>4.7634629698909144E-2</v>
      </c>
      <c r="K5227" s="1">
        <v>8.1640361704047208</v>
      </c>
      <c r="L5227" s="1">
        <v>2.1946220240941776</v>
      </c>
      <c r="M5227" s="1">
        <v>1.0374317373612341</v>
      </c>
      <c r="N5227" s="1">
        <v>1.4643777294767983</v>
      </c>
      <c r="O5227" s="1">
        <v>1.1842755555555553</v>
      </c>
      <c r="P5227" s="1">
        <v>0.14982639606348372</v>
      </c>
      <c r="Q5227" s="1">
        <v>0.81488221376136138</v>
      </c>
      <c r="R5227" s="2">
        <f t="shared" si="327"/>
        <v>26.952111313147181</v>
      </c>
      <c r="S5227" s="2">
        <f t="shared" si="326"/>
        <v>8.3614971961671127</v>
      </c>
      <c r="T5227" s="2">
        <f t="shared" si="328"/>
        <v>5.8807070464877658</v>
      </c>
      <c r="U5227" s="2">
        <f t="shared" si="329"/>
        <v>41.194315555802056</v>
      </c>
    </row>
    <row r="5228" spans="1:21" x14ac:dyDescent="0.25">
      <c r="A5228">
        <v>5639485</v>
      </c>
      <c r="B5228">
        <v>61</v>
      </c>
      <c r="C5228" s="1">
        <f>1.04463452727882*(10.3/7.3)</f>
        <v>1.4739363878043688</v>
      </c>
      <c r="D5228" s="1">
        <f>1.75451630769445*(10.3/7.3)</f>
        <v>2.4755504067469629</v>
      </c>
      <c r="E5228" s="1">
        <f>6.00856634008481*(10.3/7.3)</f>
        <v>8.4778401784758284</v>
      </c>
      <c r="F5228" s="1">
        <f>18.2626246309419*(38.9/42.5)</f>
        <v>16.715672897497402</v>
      </c>
      <c r="G5228" s="1">
        <v>0.992770187599057</v>
      </c>
      <c r="H5228" s="1">
        <v>3.2904229812333714</v>
      </c>
      <c r="I5228" s="1">
        <v>13.734387171364439</v>
      </c>
      <c r="J5228" s="1">
        <v>7.4657431090323925E-2</v>
      </c>
      <c r="K5228" s="1">
        <v>11.603965339895238</v>
      </c>
      <c r="L5228" s="1">
        <v>3.4469046328226751</v>
      </c>
      <c r="M5228" s="1">
        <v>1.5956010738152673</v>
      </c>
      <c r="N5228" s="1">
        <v>2.0595811506488508</v>
      </c>
      <c r="O5228" s="1">
        <v>1.4826579234972674</v>
      </c>
      <c r="P5228" s="1">
        <v>0.18427170527821662</v>
      </c>
      <c r="Q5228" s="1">
        <v>1.5866190212770341</v>
      </c>
      <c r="R5228" s="2">
        <f t="shared" si="327"/>
        <v>48.747199231998465</v>
      </c>
      <c r="S5228" s="2">
        <f t="shared" si="326"/>
        <v>11.862894476263779</v>
      </c>
      <c r="T5228" s="2">
        <f t="shared" si="328"/>
        <v>8.5847447807840602</v>
      </c>
      <c r="U5228" s="2">
        <f t="shared" si="329"/>
        <v>69.194838489046305</v>
      </c>
    </row>
    <row r="5229" spans="1:21" x14ac:dyDescent="0.25">
      <c r="A5229">
        <v>5639549</v>
      </c>
      <c r="B5229">
        <v>5</v>
      </c>
      <c r="C5229" s="1">
        <f>0.540481981777356*(10.3/7.3)</f>
        <v>0.7625978646995577</v>
      </c>
      <c r="D5229" s="1">
        <f>0.999626621494118*(10.3/7.3)</f>
        <v>1.4104320823821117</v>
      </c>
      <c r="E5229" s="1">
        <f>3.38054570383627*(10.3/7.3)</f>
        <v>4.769811061577208</v>
      </c>
      <c r="F5229" s="1">
        <f>11.9294527263128*(38.9/42.5)</f>
        <v>10.918957907142735</v>
      </c>
      <c r="G5229" s="1">
        <v>0.70170891441909478</v>
      </c>
      <c r="H5229" s="1">
        <v>8.4433985775352305</v>
      </c>
      <c r="I5229" s="1">
        <v>9.0806551445326882</v>
      </c>
      <c r="J5229" s="1">
        <v>4.9119326693559853E-2</v>
      </c>
      <c r="K5229" s="1">
        <v>4.6667527577302437</v>
      </c>
      <c r="L5229" s="1">
        <v>2.8396679939121046</v>
      </c>
      <c r="M5229" s="1">
        <v>1.4677760766999757</v>
      </c>
      <c r="N5229" s="1">
        <v>1.7793092459150919</v>
      </c>
      <c r="O5229" s="1">
        <v>0.35525333333333331</v>
      </c>
      <c r="P5229" s="1">
        <v>0.13519423380120835</v>
      </c>
      <c r="Q5229" s="1">
        <v>1.1214526029528926</v>
      </c>
      <c r="R5229" s="2">
        <f t="shared" si="327"/>
        <v>37.209014155241519</v>
      </c>
      <c r="S5229" s="2">
        <f t="shared" si="326"/>
        <v>4.8510663182250111</v>
      </c>
      <c r="T5229" s="2">
        <f t="shared" si="328"/>
        <v>6.442006649860506</v>
      </c>
      <c r="U5229" s="2">
        <f t="shared" si="329"/>
        <v>48.50208712332703</v>
      </c>
    </row>
    <row r="5230" spans="1:21" x14ac:dyDescent="0.25">
      <c r="A5230">
        <v>5639597</v>
      </c>
      <c r="B5230">
        <v>23</v>
      </c>
      <c r="C5230" s="1">
        <f>0.666255607539073*(10.3/7.3)</f>
        <v>0.94005928187019905</v>
      </c>
      <c r="D5230" s="1">
        <f>1.16676996304336*(10.3/7.3)</f>
        <v>1.6462644684036436</v>
      </c>
      <c r="E5230" s="1">
        <f>3.98013251191997*(10.3/7.3)</f>
        <v>5.615803407229552</v>
      </c>
      <c r="F5230" s="1">
        <f>12.6158440639044*(38.9/42.5)</f>
        <v>11.547207860844271</v>
      </c>
      <c r="G5230" s="1">
        <v>0.70331367353729846</v>
      </c>
      <c r="H5230" s="1">
        <v>5.3796492576645685</v>
      </c>
      <c r="I5230" s="1">
        <v>9.4960640828740033</v>
      </c>
      <c r="J5230" s="1">
        <v>5.2098793679606653E-2</v>
      </c>
      <c r="K5230" s="1">
        <v>3.8949085202643245</v>
      </c>
      <c r="L5230" s="1">
        <v>3.0891111642429459</v>
      </c>
      <c r="M5230" s="1">
        <v>1.1334305010351944</v>
      </c>
      <c r="N5230" s="1">
        <v>1.9143728055358904</v>
      </c>
      <c r="O5230" s="1">
        <v>0.27426550724637683</v>
      </c>
      <c r="P5230" s="1">
        <v>0.13591216064627024</v>
      </c>
      <c r="Q5230" s="1">
        <v>1.1240172864751354</v>
      </c>
      <c r="R5230" s="2">
        <f t="shared" si="327"/>
        <v>36.452379318898672</v>
      </c>
      <c r="S5230" s="2">
        <f t="shared" si="326"/>
        <v>4.0829194745902013</v>
      </c>
      <c r="T5230" s="2">
        <f t="shared" si="328"/>
        <v>6.4111799780604075</v>
      </c>
      <c r="U5230" s="2">
        <f t="shared" si="329"/>
        <v>46.94647877154928</v>
      </c>
    </row>
    <row r="5231" spans="1:21" x14ac:dyDescent="0.25">
      <c r="A5231">
        <v>5639605</v>
      </c>
      <c r="B5231">
        <v>18</v>
      </c>
      <c r="C5231" s="1">
        <f>0.683358103792275*(10.3/7.3)</f>
        <v>0.96419020124115462</v>
      </c>
      <c r="D5231" s="1">
        <f>1.25464339540353*(10.3/7.3)</f>
        <v>1.770250270226901</v>
      </c>
      <c r="E5231" s="1">
        <f>4.25403078347018*(10.3/7.3)</f>
        <v>6.002262612293543</v>
      </c>
      <c r="F5231" s="1">
        <f>14.4865894598829*(38.9/42.5)</f>
        <v>13.259490117398656</v>
      </c>
      <c r="G5231" s="1">
        <v>0.83846823843810026</v>
      </c>
      <c r="H5231" s="1">
        <v>5.6705104051070068</v>
      </c>
      <c r="I5231" s="1">
        <v>10.969382424608462</v>
      </c>
      <c r="J5231" s="1">
        <v>4.9353174367290996E-2</v>
      </c>
      <c r="K5231" s="1">
        <v>3.8469488017505853</v>
      </c>
      <c r="L5231" s="1">
        <v>3.1367405501196339</v>
      </c>
      <c r="M5231" s="1">
        <v>1.1007233172905091</v>
      </c>
      <c r="N5231" s="1">
        <v>2.0629215326150954</v>
      </c>
      <c r="O5231" s="1">
        <v>0.2749274074074074</v>
      </c>
      <c r="P5231" s="1">
        <v>0.13820486569567447</v>
      </c>
      <c r="Q5231" s="1">
        <v>1.3400177326636316</v>
      </c>
      <c r="R5231" s="2">
        <f t="shared" si="327"/>
        <v>40.814572001977453</v>
      </c>
      <c r="S5231" s="2">
        <f t="shared" si="326"/>
        <v>4.0345068418135508</v>
      </c>
      <c r="T5231" s="2">
        <f t="shared" si="328"/>
        <v>6.5753128074326455</v>
      </c>
      <c r="U5231" s="2">
        <f t="shared" si="329"/>
        <v>51.424391651223651</v>
      </c>
    </row>
    <row r="5232" spans="1:21" x14ac:dyDescent="0.25">
      <c r="A5232">
        <v>5639613</v>
      </c>
      <c r="B5232">
        <v>2</v>
      </c>
      <c r="C5232" s="1">
        <f>0.663952441873879*(10.3/7.3)</f>
        <v>0.93680960976725336</v>
      </c>
      <c r="D5232" s="1">
        <f>1.30970832104605*(10.3/7.3)</f>
        <v>1.8479446173663472</v>
      </c>
      <c r="E5232" s="1">
        <f>4.40415133460389*(10.3/7.3)</f>
        <v>6.214076540605487</v>
      </c>
      <c r="F5232" s="1">
        <f>16.3986107560335*(38.9/42.5)</f>
        <v>15.009551962581282</v>
      </c>
      <c r="G5232" s="1">
        <v>0.98952759376607069</v>
      </c>
      <c r="H5232" s="1">
        <v>8.8579097903247934</v>
      </c>
      <c r="I5232" s="1">
        <v>12.494011836534431</v>
      </c>
      <c r="J5232" s="1">
        <v>4.6314569010038505E-2</v>
      </c>
      <c r="K5232" s="1">
        <v>3.7127654321457291</v>
      </c>
      <c r="L5232" s="1">
        <v>3.1382771313671682</v>
      </c>
      <c r="M5232" s="1">
        <v>1.0194600710601618</v>
      </c>
      <c r="N5232" s="1">
        <v>1.9425088361388061</v>
      </c>
      <c r="O5232" s="1">
        <v>0.26776</v>
      </c>
      <c r="P5232" s="1">
        <v>0.13777453012285226</v>
      </c>
      <c r="Q5232" s="1">
        <v>1.5814367936900688</v>
      </c>
      <c r="R5232" s="2">
        <f t="shared" si="327"/>
        <v>47.93126874463573</v>
      </c>
      <c r="S5232" s="2">
        <f t="shared" si="326"/>
        <v>3.8968545312786196</v>
      </c>
      <c r="T5232" s="2">
        <f t="shared" si="328"/>
        <v>6.3680060385661363</v>
      </c>
      <c r="U5232" s="2">
        <f t="shared" si="329"/>
        <v>58.196129314480487</v>
      </c>
    </row>
    <row r="5233" spans="1:21" x14ac:dyDescent="0.25">
      <c r="A5233">
        <v>5639965</v>
      </c>
      <c r="B5233">
        <v>3</v>
      </c>
      <c r="C5233" s="1">
        <f>4.12975498038969*(10.3/7.3)</f>
        <v>5.8269145613717619</v>
      </c>
      <c r="D5233" s="1">
        <f>8.16223314991461*(10.3/7.3)</f>
        <v>11.516575540290479</v>
      </c>
      <c r="E5233" s="1">
        <f>28.1830035179038*(10.3/7.3)</f>
        <v>39.765059758138307</v>
      </c>
      <c r="F5233" s="1">
        <f>66.4463090875725*(38.9/42.5)</f>
        <v>60.817915847213435</v>
      </c>
      <c r="G5233" s="1">
        <v>3.0943860996707486</v>
      </c>
      <c r="H5233" s="1">
        <v>9.8902688886283538</v>
      </c>
      <c r="I5233" s="1">
        <v>45.577667964663711</v>
      </c>
      <c r="J5233" s="1">
        <v>4.4672449155994998E-2</v>
      </c>
      <c r="K5233" s="1">
        <v>2.5871144183711423</v>
      </c>
      <c r="L5233" s="1">
        <v>3.1190068922821683</v>
      </c>
      <c r="M5233" s="1">
        <v>0.22178876447935028</v>
      </c>
      <c r="N5233" s="1">
        <v>1.9874475211224525</v>
      </c>
      <c r="O5233" s="1">
        <v>0.18193777777777778</v>
      </c>
      <c r="P5233" s="1">
        <v>0.12162482592283756</v>
      </c>
      <c r="Q5233" s="1">
        <v>4.9453659127158138</v>
      </c>
      <c r="R5233" s="2">
        <f t="shared" si="327"/>
        <v>181.43415457269259</v>
      </c>
      <c r="S5233" s="2">
        <f t="shared" si="326"/>
        <v>2.7534116934499746</v>
      </c>
      <c r="T5233" s="2">
        <f t="shared" si="328"/>
        <v>5.5101809556617489</v>
      </c>
      <c r="U5233" s="2">
        <f t="shared" si="329"/>
        <v>189.69774722180432</v>
      </c>
    </row>
    <row r="5234" spans="1:21" x14ac:dyDescent="0.25">
      <c r="A5234">
        <v>5639973</v>
      </c>
      <c r="B5234">
        <v>28</v>
      </c>
      <c r="C5234" s="1">
        <f>4.92907447930258*(10.3/7.3)</f>
        <v>6.9547215255913057</v>
      </c>
      <c r="D5234" s="1">
        <f>9.70617545622962*(10.3/7.3)</f>
        <v>13.695014684817142</v>
      </c>
      <c r="E5234" s="1">
        <f>33.5817986687712*(10.3/7.3)</f>
        <v>47.382537847718211</v>
      </c>
      <c r="F5234" s="1">
        <f>75.9119245802721*(38.9/42.5)</f>
        <v>69.481738027590268</v>
      </c>
      <c r="G5234" s="1">
        <v>3.4112893719646498</v>
      </c>
      <c r="H5234" s="1">
        <v>7.5613025931062223</v>
      </c>
      <c r="I5234" s="1">
        <v>51.43808363061175</v>
      </c>
      <c r="J5234" s="1">
        <v>5.2163825389364024E-2</v>
      </c>
      <c r="K5234" s="1">
        <v>2.8678908463480672</v>
      </c>
      <c r="L5234" s="1">
        <v>3.5863308526435098</v>
      </c>
      <c r="M5234" s="1">
        <v>0.24871950249107017</v>
      </c>
      <c r="N5234" s="1">
        <v>2.3547071873438301</v>
      </c>
      <c r="O5234" s="1">
        <v>0.20304761904761906</v>
      </c>
      <c r="P5234" s="1">
        <v>0.13308186640062877</v>
      </c>
      <c r="Q5234" s="1">
        <v>5.4518323296238753</v>
      </c>
      <c r="R5234" s="2">
        <f t="shared" si="327"/>
        <v>205.37652001102342</v>
      </c>
      <c r="S5234" s="2">
        <f t="shared" si="326"/>
        <v>3.0531365381380602</v>
      </c>
      <c r="T5234" s="2">
        <f t="shared" si="328"/>
        <v>6.3928051615260291</v>
      </c>
      <c r="U5234" s="2">
        <f t="shared" si="329"/>
        <v>214.82246171068752</v>
      </c>
    </row>
    <row r="5235" spans="1:21" x14ac:dyDescent="0.25">
      <c r="A5235">
        <v>5639981</v>
      </c>
      <c r="B5235">
        <v>61</v>
      </c>
      <c r="C5235" s="1">
        <f>4.66321353232867*(10.3/7.3)</f>
        <v>6.5796026552034661</v>
      </c>
      <c r="D5235" s="1">
        <f>8.81344089942936*(10.3/7.3)</f>
        <v>12.435402912893476</v>
      </c>
      <c r="E5235" s="1">
        <f>30.5411535060074*(10.3/7.3)</f>
        <v>43.092312481078885</v>
      </c>
      <c r="F5235" s="1">
        <f>68.4864931965319*(38.9/42.5)</f>
        <v>62.685284361060987</v>
      </c>
      <c r="G5235" s="1">
        <v>3.0421281865825871</v>
      </c>
      <c r="H5235" s="1">
        <v>6.7744504636126317</v>
      </c>
      <c r="I5235" s="1">
        <v>46.71941515695692</v>
      </c>
      <c r="J5235" s="1">
        <v>5.0581075607562906E-2</v>
      </c>
      <c r="K5235" s="1">
        <v>3.0515919368324282</v>
      </c>
      <c r="L5235" s="1">
        <v>3.7593327667218057</v>
      </c>
      <c r="M5235" s="1">
        <v>0.25816685131474726</v>
      </c>
      <c r="N5235" s="1">
        <v>2.8024681064405788</v>
      </c>
      <c r="O5235" s="1">
        <v>0.20971628415300547</v>
      </c>
      <c r="P5235" s="1">
        <v>0.13871877358739645</v>
      </c>
      <c r="Q5235" s="1">
        <v>4.8618487000178359</v>
      </c>
      <c r="R5235" s="2">
        <f t="shared" si="327"/>
        <v>186.19044491740681</v>
      </c>
      <c r="S5235" s="2">
        <f t="shared" si="326"/>
        <v>3.2408917860273876</v>
      </c>
      <c r="T5235" s="2">
        <f t="shared" si="328"/>
        <v>7.0296840086301362</v>
      </c>
      <c r="U5235" s="2">
        <f t="shared" si="329"/>
        <v>196.46102071206434</v>
      </c>
    </row>
    <row r="5236" spans="1:21" x14ac:dyDescent="0.25">
      <c r="A5236">
        <v>5639989</v>
      </c>
      <c r="B5236">
        <v>40</v>
      </c>
      <c r="C5236" s="1">
        <f>2.52350718658402*(10.3/7.3)</f>
        <v>3.5605649344952659</v>
      </c>
      <c r="D5236" s="1">
        <f>4.43963731573327*(10.3/7.3)</f>
        <v>6.2641458016510478</v>
      </c>
      <c r="E5236" s="1">
        <f>15.4114718001328*(10.3/7.3)</f>
        <v>21.744953361831268</v>
      </c>
      <c r="F5236" s="1">
        <f>34.9544655614503*(38.9/42.5)</f>
        <v>31.99361671389217</v>
      </c>
      <c r="G5236" s="1">
        <v>1.5554815840309211</v>
      </c>
      <c r="H5236" s="1">
        <v>4.2613365036048672</v>
      </c>
      <c r="I5236" s="1">
        <v>24.329196730162195</v>
      </c>
      <c r="J5236" s="1">
        <v>3.3533190652545335E-2</v>
      </c>
      <c r="K5236" s="1">
        <v>2.243281428052021</v>
      </c>
      <c r="L5236" s="1">
        <v>2.4456784785662244</v>
      </c>
      <c r="M5236" s="1">
        <v>0.18209360186643259</v>
      </c>
      <c r="N5236" s="1">
        <v>1.6579085992740463</v>
      </c>
      <c r="O5236" s="1">
        <v>0.14832666666666663</v>
      </c>
      <c r="P5236" s="1">
        <v>0.10638817399858014</v>
      </c>
      <c r="Q5236" s="1">
        <v>2.4859294721955378</v>
      </c>
      <c r="R5236" s="2">
        <f t="shared" si="327"/>
        <v>96.195225101863258</v>
      </c>
      <c r="S5236" s="2">
        <f t="shared" si="326"/>
        <v>2.3832027927031465</v>
      </c>
      <c r="T5236" s="2">
        <f t="shared" si="328"/>
        <v>4.4340073463733702</v>
      </c>
      <c r="U5236" s="2">
        <f t="shared" si="329"/>
        <v>103.01243524093977</v>
      </c>
    </row>
    <row r="5237" spans="1:21" x14ac:dyDescent="0.25">
      <c r="A5237">
        <v>5639997</v>
      </c>
      <c r="B5237">
        <v>64</v>
      </c>
      <c r="C5237" s="1">
        <f>5.7971372474351*(10.3/7.3)</f>
        <v>8.1795224176139048</v>
      </c>
      <c r="D5237" s="1">
        <f>9.62705178006471*(10.3/7.3)</f>
        <v>13.583374429406371</v>
      </c>
      <c r="E5237" s="1">
        <f>33.4295343981182*(10.3/7.3)</f>
        <v>47.167699219262701</v>
      </c>
      <c r="F5237" s="1">
        <f>78.5440087110354*(38.9/42.5)</f>
        <v>71.890869149630078</v>
      </c>
      <c r="G5237" s="1">
        <v>3.5791580551691844</v>
      </c>
      <c r="H5237" s="1">
        <v>7.2477004232802482</v>
      </c>
      <c r="I5237" s="1">
        <v>55.951473883100377</v>
      </c>
      <c r="J5237" s="1">
        <v>5.6238626997467789E-2</v>
      </c>
      <c r="K5237" s="1">
        <v>3.2599426933439317</v>
      </c>
      <c r="L5237" s="1">
        <v>4.1129034940837874</v>
      </c>
      <c r="M5237" s="1">
        <v>0.26983055024357261</v>
      </c>
      <c r="N5237" s="1">
        <v>3.306944070334715</v>
      </c>
      <c r="O5237" s="1">
        <v>0.21833250000000004</v>
      </c>
      <c r="P5237" s="1">
        <v>0.14380648020507952</v>
      </c>
      <c r="Q5237" s="1">
        <v>5.7201156132840918</v>
      </c>
      <c r="R5237" s="2">
        <f t="shared" si="327"/>
        <v>213.31991319074697</v>
      </c>
      <c r="S5237" s="2">
        <f t="shared" si="326"/>
        <v>3.4599878005464788</v>
      </c>
      <c r="T5237" s="2">
        <f t="shared" si="328"/>
        <v>7.9080106146620741</v>
      </c>
      <c r="U5237" s="2">
        <f t="shared" si="329"/>
        <v>224.68791160595552</v>
      </c>
    </row>
    <row r="5238" spans="1:21" x14ac:dyDescent="0.25">
      <c r="A5238">
        <v>5640005</v>
      </c>
      <c r="B5238">
        <v>63</v>
      </c>
      <c r="C5238" s="1">
        <f>6.21733510357003*(10.3/7.3)</f>
        <v>8.7724043242152518</v>
      </c>
      <c r="D5238" s="1">
        <f>9.88549559925765*(10.3/7.3)</f>
        <v>13.948028037308744</v>
      </c>
      <c r="E5238" s="1">
        <f>34.3554391757062*(10.3/7.3)</f>
        <v>48.474112809558051</v>
      </c>
      <c r="F5238" s="1">
        <f>81.9350160537472*(38.9/42.5)</f>
        <v>74.994638223312165</v>
      </c>
      <c r="G5238" s="1">
        <v>3.7610793952352815</v>
      </c>
      <c r="H5238" s="1">
        <v>7.5123559113459386</v>
      </c>
      <c r="I5238" s="1">
        <v>59.193195984748307</v>
      </c>
      <c r="J5238" s="1">
        <v>5.8617233160788748E-2</v>
      </c>
      <c r="K5238" s="1">
        <v>3.3196961999478738</v>
      </c>
      <c r="L5238" s="1">
        <v>4.215989840312937</v>
      </c>
      <c r="M5238" s="1">
        <v>0.27148121482509446</v>
      </c>
      <c r="N5238" s="1">
        <v>2.7963884172899132</v>
      </c>
      <c r="O5238" s="1">
        <v>0.22074412698412699</v>
      </c>
      <c r="P5238" s="1">
        <v>0.14541869933573914</v>
      </c>
      <c r="Q5238" s="1">
        <v>6.0108574809696327</v>
      </c>
      <c r="R5238" s="2">
        <f t="shared" si="327"/>
        <v>222.66667216669336</v>
      </c>
      <c r="S5238" s="2">
        <f t="shared" si="326"/>
        <v>3.523732132444402</v>
      </c>
      <c r="T5238" s="2">
        <f t="shared" si="328"/>
        <v>7.5046035994120714</v>
      </c>
      <c r="U5238" s="2">
        <f t="shared" si="329"/>
        <v>233.69500789854982</v>
      </c>
    </row>
    <row r="5239" spans="1:21" x14ac:dyDescent="0.25">
      <c r="A5239">
        <v>5640013</v>
      </c>
      <c r="B5239">
        <v>50</v>
      </c>
      <c r="C5239" s="1">
        <f>6.43241267922204*(10.3/7.3)</f>
        <v>9.07586994465575</v>
      </c>
      <c r="D5239" s="1">
        <f>9.9589099855549*(10.3/7.3)</f>
        <v>14.051612719344581</v>
      </c>
      <c r="E5239" s="1">
        <f>34.6112928362398*(10.3/7.3)</f>
        <v>48.835111810037027</v>
      </c>
      <c r="F5239" s="1">
        <f>84.2086243367432*(38.9/42.5)</f>
        <v>77.075658510571998</v>
      </c>
      <c r="G5239" s="1">
        <v>3.9165657738925597</v>
      </c>
      <c r="H5239" s="1">
        <v>7.6853872300628403</v>
      </c>
      <c r="I5239" s="1">
        <v>61.507353611564511</v>
      </c>
      <c r="J5239" s="1">
        <v>6.1576524284001538E-2</v>
      </c>
      <c r="K5239" s="1">
        <v>3.3610203890847199</v>
      </c>
      <c r="L5239" s="1">
        <v>4.1542110190338635</v>
      </c>
      <c r="M5239" s="1">
        <v>0.26196544370410452</v>
      </c>
      <c r="N5239" s="1">
        <v>2.6770179342565523</v>
      </c>
      <c r="O5239" s="1">
        <v>0.21315839999999997</v>
      </c>
      <c r="P5239" s="1">
        <v>0.14196804197190188</v>
      </c>
      <c r="Q5239" s="1">
        <v>6.2593516934356019</v>
      </c>
      <c r="R5239" s="2">
        <f t="shared" si="327"/>
        <v>228.40691129356489</v>
      </c>
      <c r="S5239" s="2">
        <f t="shared" si="326"/>
        <v>3.5645649553406233</v>
      </c>
      <c r="T5239" s="2">
        <f t="shared" si="328"/>
        <v>7.3063527969945206</v>
      </c>
      <c r="U5239" s="2">
        <f t="shared" si="329"/>
        <v>239.27782904590003</v>
      </c>
    </row>
    <row r="5240" spans="1:21" x14ac:dyDescent="0.25">
      <c r="A5240">
        <v>5640021</v>
      </c>
      <c r="B5240">
        <v>44</v>
      </c>
      <c r="C5240" s="1">
        <f>3.87500814425653*(10.3/7.3)</f>
        <v>5.467477244635929</v>
      </c>
      <c r="D5240" s="1">
        <f>5.99774976853723*(10.3/7.3)</f>
        <v>8.4625784405388362</v>
      </c>
      <c r="E5240" s="1">
        <f>20.7891231391709*(10.3/7.3)</f>
        <v>29.332598401843896</v>
      </c>
      <c r="F5240" s="1">
        <f>53.4165104823808*(38.9/42.5)</f>
        <v>48.891817829755595</v>
      </c>
      <c r="G5240" s="1">
        <v>2.5909045888279962</v>
      </c>
      <c r="H5240" s="1">
        <v>7.8688879909862086</v>
      </c>
      <c r="I5240" s="1">
        <v>39.483855131050731</v>
      </c>
      <c r="J5240" s="1">
        <v>4.2009838798340464E-2</v>
      </c>
      <c r="K5240" s="1">
        <v>2.5559260850884709</v>
      </c>
      <c r="L5240" s="1">
        <v>2.8221186497019564</v>
      </c>
      <c r="M5240" s="1">
        <v>0.1872630320366685</v>
      </c>
      <c r="N5240" s="1">
        <v>1.8201282499005871</v>
      </c>
      <c r="O5240" s="1">
        <v>0.15186060606060606</v>
      </c>
      <c r="P5240" s="1">
        <v>0.10819530278776678</v>
      </c>
      <c r="Q5240" s="1">
        <v>4.1407150963004549</v>
      </c>
      <c r="R5240" s="2">
        <f t="shared" si="327"/>
        <v>146.23883472393965</v>
      </c>
      <c r="S5240" s="2">
        <f t="shared" si="326"/>
        <v>2.7061312266745778</v>
      </c>
      <c r="T5240" s="2">
        <f t="shared" si="328"/>
        <v>4.9813705376998181</v>
      </c>
      <c r="U5240" s="2">
        <f t="shared" si="329"/>
        <v>153.92633648831406</v>
      </c>
    </row>
    <row r="5241" spans="1:21" x14ac:dyDescent="0.25">
      <c r="A5241">
        <v>5640029</v>
      </c>
      <c r="B5241">
        <v>25</v>
      </c>
      <c r="C5241" s="1">
        <f>3.07737774744572*(10.3/7.3)</f>
        <v>4.3420535340672455</v>
      </c>
      <c r="D5241" s="1">
        <f>4.78369023052186*(10.3/7.3)</f>
        <v>6.7495903252568734</v>
      </c>
      <c r="E5241" s="1">
        <f>16.5669285454543*(10.3/7.3)</f>
        <v>23.375255344956077</v>
      </c>
      <c r="F5241" s="1">
        <f>43.1529708542581*(38.9/42.5)</f>
        <v>39.497660381897383</v>
      </c>
      <c r="G5241" s="1">
        <v>2.1148691239039596</v>
      </c>
      <c r="H5241" s="1">
        <v>8.7723202789643544</v>
      </c>
      <c r="I5241" s="1">
        <v>31.957903969980737</v>
      </c>
      <c r="J5241" s="1">
        <v>3.0251666594862937E-2</v>
      </c>
      <c r="K5241" s="1">
        <v>1.9277759817651565</v>
      </c>
      <c r="L5241" s="1">
        <v>2.387121790017817</v>
      </c>
      <c r="M5241" s="1">
        <v>0.14940795166681178</v>
      </c>
      <c r="N5241" s="1">
        <v>1.3653531356456252</v>
      </c>
      <c r="O5241" s="1">
        <v>0.1201984</v>
      </c>
      <c r="P5241" s="1">
        <v>8.9803242224999996E-2</v>
      </c>
      <c r="Q5241" s="1">
        <v>3.3799278235908066</v>
      </c>
      <c r="R5241" s="2">
        <f t="shared" si="327"/>
        <v>120.18958078261744</v>
      </c>
      <c r="S5241" s="2">
        <f t="shared" si="326"/>
        <v>2.0478308905850193</v>
      </c>
      <c r="T5241" s="2">
        <f t="shared" si="328"/>
        <v>4.0220812773302539</v>
      </c>
      <c r="U5241" s="2">
        <f t="shared" si="329"/>
        <v>126.25949295053272</v>
      </c>
    </row>
    <row r="5242" spans="1:21" x14ac:dyDescent="0.25">
      <c r="A5242">
        <v>5640037</v>
      </c>
      <c r="B5242">
        <v>4</v>
      </c>
      <c r="C5242" s="1">
        <f>4.52608851910275*(10.3/7.3)</f>
        <v>6.386124896816213</v>
      </c>
      <c r="D5242" s="1">
        <f>7.05021429744313*(10.3/7.3)</f>
        <v>9.947562638858118</v>
      </c>
      <c r="E5242" s="1">
        <f>24.3755625667698*(10.3/7.3)</f>
        <v>34.392917046264195</v>
      </c>
      <c r="F5242" s="1">
        <f>65.4832707394886*(38.9/42.5)</f>
        <v>59.936452512143724</v>
      </c>
      <c r="G5242" s="1">
        <v>3.2797381103219698</v>
      </c>
      <c r="H5242" s="1">
        <v>12.492440845740578</v>
      </c>
      <c r="I5242" s="1">
        <v>48.779789434923394</v>
      </c>
      <c r="J5242" s="1">
        <v>3.671856371308916E-2</v>
      </c>
      <c r="K5242" s="1">
        <v>2.2568687680655084</v>
      </c>
      <c r="L5242" s="1">
        <v>2.769105281612986</v>
      </c>
      <c r="M5242" s="1">
        <v>0.17387920262426115</v>
      </c>
      <c r="N5242" s="1">
        <v>1.6741191734334393</v>
      </c>
      <c r="O5242" s="1">
        <v>0.14210666666666669</v>
      </c>
      <c r="P5242" s="1">
        <v>0.10167380961505765</v>
      </c>
      <c r="Q5242" s="1">
        <v>5.2415905872725599</v>
      </c>
      <c r="R5242" s="2">
        <f t="shared" si="327"/>
        <v>180.45661607234075</v>
      </c>
      <c r="S5242" s="2">
        <f t="shared" si="326"/>
        <v>2.3952611413936551</v>
      </c>
      <c r="T5242" s="2">
        <f t="shared" si="328"/>
        <v>4.7592103243373529</v>
      </c>
      <c r="U5242" s="2">
        <f t="shared" si="329"/>
        <v>187.61108753807176</v>
      </c>
    </row>
    <row r="5243" spans="1:21" x14ac:dyDescent="0.25">
      <c r="A5243">
        <v>5640301</v>
      </c>
      <c r="B5243">
        <v>24</v>
      </c>
      <c r="C5243" s="1">
        <f>6.96114505269989*(10.3/7.3)</f>
        <v>9.8218895949053202</v>
      </c>
      <c r="D5243" s="1">
        <f>10.6447885650711*(10.3/7.3)</f>
        <v>15.019359208251057</v>
      </c>
      <c r="E5243" s="1">
        <f>37.0232757818532*(10.3/7.3)</f>
        <v>52.238320623710671</v>
      </c>
      <c r="F5243" s="1">
        <f>89.5003321642046*(38.9/42.5)</f>
        <v>81.919127557354358</v>
      </c>
      <c r="G5243" s="1">
        <v>4.1347446717557856</v>
      </c>
      <c r="H5243" s="1">
        <v>10.315473191861299</v>
      </c>
      <c r="I5243" s="1">
        <v>65.473710722627288</v>
      </c>
      <c r="J5243" s="1">
        <v>3.5684989997893386E-2</v>
      </c>
      <c r="K5243" s="1">
        <v>2.1222684465806685</v>
      </c>
      <c r="L5243" s="1">
        <v>2.2121053707855118</v>
      </c>
      <c r="M5243" s="1">
        <v>0.11491701570663319</v>
      </c>
      <c r="N5243" s="1">
        <v>1.4311087585990048</v>
      </c>
      <c r="O5243" s="1">
        <v>0.10752888888888888</v>
      </c>
      <c r="P5243" s="1">
        <v>8.176714626234273E-2</v>
      </c>
      <c r="Q5243" s="1">
        <v>6.6080394297466967</v>
      </c>
      <c r="R5243" s="2">
        <f t="shared" si="327"/>
        <v>245.53066500021245</v>
      </c>
      <c r="S5243" s="2">
        <f t="shared" si="326"/>
        <v>2.2397205828409046</v>
      </c>
      <c r="T5243" s="2">
        <f t="shared" si="328"/>
        <v>3.8656600339800384</v>
      </c>
      <c r="U5243" s="2">
        <f t="shared" si="329"/>
        <v>251.6360456170334</v>
      </c>
    </row>
    <row r="5244" spans="1:21" x14ac:dyDescent="0.25">
      <c r="A5244">
        <v>5640309</v>
      </c>
      <c r="B5244">
        <v>17</v>
      </c>
      <c r="C5244" s="1">
        <f>6.65686182679788*(10.3/7.3)</f>
        <v>9.3925584679476923</v>
      </c>
      <c r="D5244" s="1">
        <f>9.24369442622456*(10.3/7.3)</f>
        <v>13.042472957549727</v>
      </c>
      <c r="E5244" s="1">
        <f>32.2540427097812*(10.3/7.3)</f>
        <v>45.509128754896807</v>
      </c>
      <c r="F5244" s="1">
        <f>78.8438015127989*(38.9/42.5)</f>
        <v>72.165267737597105</v>
      </c>
      <c r="G5244" s="1">
        <v>3.63067146087052</v>
      </c>
      <c r="H5244" s="1">
        <v>10.345787296429005</v>
      </c>
      <c r="I5244" s="1">
        <v>59.21671117186618</v>
      </c>
      <c r="J5244" s="1">
        <v>3.3666077810212573E-2</v>
      </c>
      <c r="K5244" s="1">
        <v>2.0543224610799413</v>
      </c>
      <c r="L5244" s="1">
        <v>2.1250973475173667</v>
      </c>
      <c r="M5244" s="1">
        <v>0.110684508758955</v>
      </c>
      <c r="N5244" s="1">
        <v>1.3509138785100983</v>
      </c>
      <c r="O5244" s="1">
        <v>0.10429176470588236</v>
      </c>
      <c r="P5244" s="1">
        <v>7.9584124492957875E-2</v>
      </c>
      <c r="Q5244" s="1">
        <v>5.8024429739939869</v>
      </c>
      <c r="R5244" s="2">
        <f t="shared" si="327"/>
        <v>219.10504082115099</v>
      </c>
      <c r="S5244" s="2">
        <f t="shared" si="326"/>
        <v>2.1675726633831118</v>
      </c>
      <c r="T5244" s="2">
        <f t="shared" si="328"/>
        <v>3.6909874994923024</v>
      </c>
      <c r="U5244" s="2">
        <f t="shared" si="329"/>
        <v>224.96360098402641</v>
      </c>
    </row>
    <row r="5245" spans="1:21" x14ac:dyDescent="0.25">
      <c r="A5245">
        <v>5640317</v>
      </c>
      <c r="B5245">
        <v>24</v>
      </c>
      <c r="C5245" s="1">
        <f>8.11502960787612*(10.3/7.3)</f>
        <v>11.449973282345763</v>
      </c>
      <c r="D5245" s="1">
        <f>10.2544969177855*(10.3/7.3)</f>
        <v>14.468673733313848</v>
      </c>
      <c r="E5245" s="1">
        <f>35.976038848024*(10.3/7.3)</f>
        <v>50.760712347211907</v>
      </c>
      <c r="F5245" s="1">
        <f>85.3618036560432*(38.9/42.5)</f>
        <v>78.131156758119559</v>
      </c>
      <c r="G5245" s="1">
        <v>3.7795090044536628</v>
      </c>
      <c r="H5245" s="1">
        <v>9.6958617861956444</v>
      </c>
      <c r="I5245" s="1">
        <v>65.400234422598984</v>
      </c>
      <c r="J5245" s="1">
        <v>3.5896796585441204E-2</v>
      </c>
      <c r="K5245" s="1">
        <v>2.1739659780272551</v>
      </c>
      <c r="L5245" s="1">
        <v>2.2582033213916781</v>
      </c>
      <c r="M5245" s="1">
        <v>0.11662601283190548</v>
      </c>
      <c r="N5245" s="1">
        <v>1.4165428050930018</v>
      </c>
      <c r="O5245" s="1">
        <v>0.10989555555555557</v>
      </c>
      <c r="P5245" s="1">
        <v>8.3155564326576656E-2</v>
      </c>
      <c r="Q5245" s="1">
        <v>6.0403111943323458</v>
      </c>
      <c r="R5245" s="2">
        <f t="shared" si="327"/>
        <v>239.72643252857171</v>
      </c>
      <c r="S5245" s="2">
        <f t="shared" si="326"/>
        <v>2.2930183389392731</v>
      </c>
      <c r="T5245" s="2">
        <f t="shared" si="328"/>
        <v>3.901267694872141</v>
      </c>
      <c r="U5245" s="2">
        <f t="shared" si="329"/>
        <v>245.92071856238312</v>
      </c>
    </row>
    <row r="5246" spans="1:21" x14ac:dyDescent="0.25">
      <c r="A5246">
        <v>5640357</v>
      </c>
      <c r="B5246">
        <v>41</v>
      </c>
      <c r="C5246" s="1">
        <f>6.73666876185171*(10.3/7.3)</f>
        <v>9.5051627735715876</v>
      </c>
      <c r="D5246" s="1">
        <f>6.89654702008364*(10.3/7.3)</f>
        <v>9.7307444255974715</v>
      </c>
      <c r="E5246" s="1">
        <f>24.4842199377897*(10.3/7.3)</f>
        <v>34.546228131401939</v>
      </c>
      <c r="F5246" s="1">
        <f>56.2744536058215*(38.9/42.5)</f>
        <v>51.507676359210762</v>
      </c>
      <c r="G5246" s="1">
        <v>2.3263636777877181</v>
      </c>
      <c r="H5246" s="1">
        <v>6.5731578056897462</v>
      </c>
      <c r="I5246" s="1">
        <v>45.774376425709015</v>
      </c>
      <c r="J5246" s="1">
        <v>2.4468382719612436E-2</v>
      </c>
      <c r="K5246" s="1">
        <v>1.6561321146538042</v>
      </c>
      <c r="L5246" s="1">
        <v>1.6064129013187001</v>
      </c>
      <c r="M5246" s="1">
        <v>8.4401823246775726E-2</v>
      </c>
      <c r="N5246" s="1">
        <v>1.0208416062903034</v>
      </c>
      <c r="O5246" s="1">
        <v>8.1926504065040637E-2</v>
      </c>
      <c r="P5246" s="1">
        <v>6.4948803619129553E-2</v>
      </c>
      <c r="Q5246" s="1">
        <v>3.7179328183822014</v>
      </c>
      <c r="R5246" s="2">
        <f t="shared" si="327"/>
        <v>163.68164241735042</v>
      </c>
      <c r="S5246" s="2">
        <f t="shared" si="326"/>
        <v>1.745549300992546</v>
      </c>
      <c r="T5246" s="2">
        <f t="shared" si="328"/>
        <v>2.7935828349208198</v>
      </c>
      <c r="U5246" s="2">
        <f t="shared" si="329"/>
        <v>168.22077455326377</v>
      </c>
    </row>
    <row r="5247" spans="1:21" x14ac:dyDescent="0.25">
      <c r="A5247">
        <v>5651697</v>
      </c>
      <c r="B5247">
        <v>47</v>
      </c>
      <c r="C5247" s="1">
        <f>0.512295633299179*(10.3/7.3)</f>
        <v>0.72282808533993792</v>
      </c>
      <c r="D5247" s="1">
        <f>0.784953997235599*(10.3/7.3)</f>
        <v>1.1075378317159823</v>
      </c>
      <c r="E5247" s="1">
        <f>2.71403939248788*(10.3/7.3)</f>
        <v>3.8293980469349562</v>
      </c>
      <c r="F5247" s="1">
        <f>7.3690568346678*(38.9/42.5)</f>
        <v>6.7448543733782902</v>
      </c>
      <c r="G5247" s="1">
        <v>0.3711172209690109</v>
      </c>
      <c r="H5247" s="1">
        <v>1.4861025297455972</v>
      </c>
      <c r="I5247" s="1">
        <v>5.5201237809581976</v>
      </c>
      <c r="J5247" s="1">
        <v>3.4702184259565894E-2</v>
      </c>
      <c r="K5247" s="1">
        <v>5.6004940338650817</v>
      </c>
      <c r="L5247" s="1">
        <v>1.8378465521724925</v>
      </c>
      <c r="M5247" s="1">
        <v>0.77646888936321623</v>
      </c>
      <c r="N5247" s="1">
        <v>1.1391871797416611</v>
      </c>
      <c r="O5247" s="1">
        <v>0.83564255319148917</v>
      </c>
      <c r="P5247" s="1">
        <v>0.13077292274371766</v>
      </c>
      <c r="Q5247" s="1">
        <v>0.59310971387741529</v>
      </c>
      <c r="R5247" s="2">
        <f t="shared" si="327"/>
        <v>20.375071582919386</v>
      </c>
      <c r="S5247" s="2">
        <f t="shared" si="326"/>
        <v>5.7659691408683651</v>
      </c>
      <c r="T5247" s="2">
        <f t="shared" si="328"/>
        <v>4.5891451744688592</v>
      </c>
      <c r="U5247" s="2">
        <f t="shared" si="329"/>
        <v>30.730185898256607</v>
      </c>
    </row>
    <row r="5248" spans="1:21" x14ac:dyDescent="0.25">
      <c r="A5248">
        <v>5651705</v>
      </c>
      <c r="B5248">
        <v>70</v>
      </c>
      <c r="C5248" s="1">
        <f>0.537750837959553*(10.3/7.3)</f>
        <v>0.75874433301142452</v>
      </c>
      <c r="D5248" s="1">
        <f>0.837845290247134*(10.3/7.3)</f>
        <v>1.1821652725404763</v>
      </c>
      <c r="E5248" s="1">
        <f>2.89204090958381*(10.3/7.3)</f>
        <v>4.0805508724264667</v>
      </c>
      <c r="F5248" s="1">
        <f>8.010646422001*(38.9/42.5)</f>
        <v>7.3320975486079734</v>
      </c>
      <c r="G5248" s="1">
        <v>0.4094282983096158</v>
      </c>
      <c r="H5248" s="1">
        <v>1.6293966462456162</v>
      </c>
      <c r="I5248" s="1">
        <v>6.0030540639429706</v>
      </c>
      <c r="J5248" s="1">
        <v>4.3456710662355381E-2</v>
      </c>
      <c r="K5248" s="1">
        <v>7.4319629060073877</v>
      </c>
      <c r="L5248" s="1">
        <v>1.9586627400395344</v>
      </c>
      <c r="M5248" s="1">
        <v>0.88217849981420471</v>
      </c>
      <c r="N5248" s="1">
        <v>1.2991788379396991</v>
      </c>
      <c r="O5248" s="1">
        <v>1.2638552380952377</v>
      </c>
      <c r="P5248" s="1">
        <v>0.13698061205183601</v>
      </c>
      <c r="Q5248" s="1">
        <v>0.65433746305189833</v>
      </c>
      <c r="R5248" s="2">
        <f t="shared" si="327"/>
        <v>22.049774498136443</v>
      </c>
      <c r="S5248" s="2">
        <f t="shared" si="326"/>
        <v>7.6124002287215795</v>
      </c>
      <c r="T5248" s="2">
        <f t="shared" si="328"/>
        <v>5.4038753158886763</v>
      </c>
      <c r="U5248" s="2">
        <f t="shared" si="329"/>
        <v>35.066050042746696</v>
      </c>
    </row>
    <row r="5249" spans="1:21" x14ac:dyDescent="0.25">
      <c r="A5249">
        <v>5651713</v>
      </c>
      <c r="B5249">
        <v>71</v>
      </c>
      <c r="C5249" s="1">
        <f>0.70033723988324*(10.3/7.3)</f>
        <v>0.98814706449279033</v>
      </c>
      <c r="D5249" s="1">
        <f>1.13719048571843*(10.3/7.3)</f>
        <v>1.6045290414931344</v>
      </c>
      <c r="E5249" s="1">
        <f>3.90923945564583*(10.3/7.3)</f>
        <v>5.5157762182400081</v>
      </c>
      <c r="F5249" s="1">
        <f>11.354322415057*(38.9/42.5)</f>
        <v>10.39254451636983</v>
      </c>
      <c r="G5249" s="1">
        <v>0.59983463469360387</v>
      </c>
      <c r="H5249" s="1">
        <v>2.2054907097459924</v>
      </c>
      <c r="I5249" s="1">
        <v>8.5175340845268774</v>
      </c>
      <c r="J5249" s="1">
        <v>6.2920854903094806E-2</v>
      </c>
      <c r="K5249" s="1">
        <v>10.94158229785401</v>
      </c>
      <c r="L5249" s="1">
        <v>2.5672825400202282</v>
      </c>
      <c r="M5249" s="1">
        <v>1.1922489674665822</v>
      </c>
      <c r="N5249" s="1">
        <v>1.7082459005680044</v>
      </c>
      <c r="O5249" s="1">
        <v>1.6241802816901414</v>
      </c>
      <c r="P5249" s="1">
        <v>0.16033152940747986</v>
      </c>
      <c r="Q5249" s="1">
        <v>0.9586398271358979</v>
      </c>
      <c r="R5249" s="2">
        <f t="shared" si="327"/>
        <v>30.782496096698132</v>
      </c>
      <c r="S5249" s="2">
        <f t="shared" si="326"/>
        <v>11.164834682164585</v>
      </c>
      <c r="T5249" s="2">
        <f t="shared" si="328"/>
        <v>7.0919576897449561</v>
      </c>
      <c r="U5249" s="2">
        <f t="shared" si="329"/>
        <v>49.03928846860768</v>
      </c>
    </row>
    <row r="5250" spans="1:21" x14ac:dyDescent="0.25">
      <c r="A5250">
        <v>5651721</v>
      </c>
      <c r="B5250">
        <v>40</v>
      </c>
      <c r="C5250" s="1">
        <f>1.05531397119918*(10.3/7.3)</f>
        <v>1.48900464429473</v>
      </c>
      <c r="D5250" s="1">
        <f>1.80171431102782*(10.3/7.3)</f>
        <v>2.5421448498063768</v>
      </c>
      <c r="E5250" s="1">
        <f>6.15957959908514*(10.3/7.3)</f>
        <v>8.6909136809009446</v>
      </c>
      <c r="F5250" s="1">
        <f>19.0934721693555*(38.9/42.5)</f>
        <v>17.476142762068928</v>
      </c>
      <c r="G5250" s="1">
        <v>1.050272624637381</v>
      </c>
      <c r="H5250" s="1">
        <v>3.633212614159548</v>
      </c>
      <c r="I5250" s="1">
        <v>14.372004419181119</v>
      </c>
      <c r="J5250" s="1">
        <v>8.3755962483169827E-2</v>
      </c>
      <c r="K5250" s="1">
        <v>12.960535693963342</v>
      </c>
      <c r="L5250" s="1">
        <v>3.6446227738466859</v>
      </c>
      <c r="M5250" s="1">
        <v>1.7011299275734408</v>
      </c>
      <c r="N5250" s="1">
        <v>2.2432024699023727</v>
      </c>
      <c r="O5250" s="1">
        <v>1.5651333333333335</v>
      </c>
      <c r="P5250" s="1">
        <v>0.18563762716504723</v>
      </c>
      <c r="Q5250" s="1">
        <v>1.6785178932560902</v>
      </c>
      <c r="R5250" s="2">
        <f t="shared" si="327"/>
        <v>50.932213488305116</v>
      </c>
      <c r="S5250" s="2">
        <f t="shared" si="326"/>
        <v>13.229929283611559</v>
      </c>
      <c r="T5250" s="2">
        <f t="shared" si="328"/>
        <v>9.1540885046558333</v>
      </c>
      <c r="U5250" s="2">
        <f t="shared" si="329"/>
        <v>73.316231276572509</v>
      </c>
    </row>
    <row r="5251" spans="1:21" x14ac:dyDescent="0.25">
      <c r="A5251">
        <v>5651777</v>
      </c>
      <c r="B5251">
        <v>1</v>
      </c>
      <c r="C5251" s="1">
        <f>0.542075149004408*(10.3/7.3)</f>
        <v>0.76484575818430223</v>
      </c>
      <c r="D5251" s="1">
        <f>1.01878818365999*(10.3/7.3)</f>
        <v>1.4374682591366998</v>
      </c>
      <c r="E5251" s="1">
        <f>3.43989286508695*(10.3/7.3)</f>
        <v>4.8535474671774717</v>
      </c>
      <c r="F5251" s="1">
        <f>12.3342458516396*(38.9/42.5)</f>
        <v>11.289462673618361</v>
      </c>
      <c r="G5251" s="1">
        <v>0.73110772826478776</v>
      </c>
      <c r="H5251" s="1">
        <v>8.481692157971219</v>
      </c>
      <c r="I5251" s="1">
        <v>9.3943912132525735</v>
      </c>
      <c r="J5251" s="1">
        <v>4.7600259748475669E-2</v>
      </c>
      <c r="K5251" s="1">
        <v>4.5337849569643227</v>
      </c>
      <c r="L5251" s="1">
        <v>2.6403987007709984</v>
      </c>
      <c r="M5251" s="1">
        <v>1.4040033768994347</v>
      </c>
      <c r="N5251" s="1">
        <v>1.704449164435978</v>
      </c>
      <c r="O5251" s="1">
        <v>0.34762666666666669</v>
      </c>
      <c r="P5251" s="1">
        <v>0.131920208654392</v>
      </c>
      <c r="Q5251" s="1">
        <v>1.1684370086423561</v>
      </c>
      <c r="R5251" s="2">
        <f t="shared" si="327"/>
        <v>38.120952266247777</v>
      </c>
      <c r="S5251" s="2">
        <f t="shared" si="326"/>
        <v>4.7133054253671895</v>
      </c>
      <c r="T5251" s="2">
        <f t="shared" si="328"/>
        <v>6.0964779087730783</v>
      </c>
      <c r="U5251" s="2">
        <f t="shared" si="329"/>
        <v>48.930735600388047</v>
      </c>
    </row>
    <row r="5252" spans="1:21" x14ac:dyDescent="0.25">
      <c r="A5252">
        <v>5651801</v>
      </c>
      <c r="B5252">
        <v>2</v>
      </c>
      <c r="C5252" s="1">
        <f>0.70298503893665*(10.3/7.3)</f>
        <v>0.99188300014349262</v>
      </c>
      <c r="D5252" s="1">
        <f>1.21890271873529*(10.3/7.3)</f>
        <v>1.7198216442429408</v>
      </c>
      <c r="E5252" s="1">
        <f>4.16288754242177*(10.3/7.3)</f>
        <v>5.8736632447868855</v>
      </c>
      <c r="F5252" s="1">
        <f>13.0112076960877*(38.9/42.5)</f>
        <v>11.90908186771321</v>
      </c>
      <c r="G5252" s="1">
        <v>0.7196271695732217</v>
      </c>
      <c r="H5252" s="1">
        <v>3.8024853555736318</v>
      </c>
      <c r="I5252" s="1">
        <v>9.7837462043422025</v>
      </c>
      <c r="J5252" s="1">
        <v>7.5210786596695611E-2</v>
      </c>
      <c r="K5252" s="1">
        <v>4.5337744289304176</v>
      </c>
      <c r="L5252" s="1">
        <v>3.1641214098948502</v>
      </c>
      <c r="M5252" s="1">
        <v>1.454351491403701</v>
      </c>
      <c r="N5252" s="1">
        <v>3.1690412118132771</v>
      </c>
      <c r="O5252" s="1">
        <v>0.33746666666666669</v>
      </c>
      <c r="P5252" s="1">
        <v>0.14187284801154537</v>
      </c>
      <c r="Q5252" s="1">
        <v>1.150089083792821</v>
      </c>
      <c r="R5252" s="2">
        <f t="shared" si="327"/>
        <v>35.950397570168406</v>
      </c>
      <c r="S5252" s="2">
        <f t="shared" si="326"/>
        <v>4.7508580635386588</v>
      </c>
      <c r="T5252" s="2">
        <f t="shared" si="328"/>
        <v>8.124980779778495</v>
      </c>
      <c r="U5252" s="2">
        <f t="shared" si="329"/>
        <v>48.82623641348556</v>
      </c>
    </row>
    <row r="5253" spans="1:21" x14ac:dyDescent="0.25">
      <c r="A5253">
        <v>5651809</v>
      </c>
      <c r="B5253">
        <v>1</v>
      </c>
      <c r="C5253" s="1">
        <f>0.598632585564751*(10.3/7.3)</f>
        <v>0.84464597689273058</v>
      </c>
      <c r="D5253" s="1">
        <f>1.01717939713138*(10.3/7.3)</f>
        <v>1.4351983274593498</v>
      </c>
      <c r="E5253" s="1">
        <f>3.47969890770336*(10.3/7.3)</f>
        <v>4.9097121574444706</v>
      </c>
      <c r="F5253" s="1">
        <f>10.6997432964783*(38.9/42.5)</f>
        <v>9.7934120996001237</v>
      </c>
      <c r="G5253" s="1">
        <v>0.58583037809300575</v>
      </c>
      <c r="H5253" s="1">
        <v>3.4262677232200569</v>
      </c>
      <c r="I5253" s="1">
        <v>8.0482016150227551</v>
      </c>
      <c r="J5253" s="1">
        <v>5.3982038199332096E-2</v>
      </c>
      <c r="K5253" s="1">
        <v>3.9985871405001125</v>
      </c>
      <c r="L5253" s="1">
        <v>2.839965248906632</v>
      </c>
      <c r="M5253" s="1">
        <v>1.2174395823377167</v>
      </c>
      <c r="N5253" s="1">
        <v>1.8498654765900913</v>
      </c>
      <c r="O5253" s="1">
        <v>0.29344000000000003</v>
      </c>
      <c r="P5253" s="1">
        <v>0.13049344527620299</v>
      </c>
      <c r="Q5253" s="1">
        <v>0.93625859512580933</v>
      </c>
      <c r="R5253" s="2">
        <f t="shared" si="327"/>
        <v>29.979526872858305</v>
      </c>
      <c r="S5253" s="2">
        <f t="shared" si="326"/>
        <v>4.1830626239756477</v>
      </c>
      <c r="T5253" s="2">
        <f t="shared" si="328"/>
        <v>6.2007103078344405</v>
      </c>
      <c r="U5253" s="2">
        <f t="shared" si="329"/>
        <v>40.363299804668394</v>
      </c>
    </row>
    <row r="5254" spans="1:21" x14ac:dyDescent="0.25">
      <c r="A5254">
        <v>5651825</v>
      </c>
      <c r="B5254">
        <v>11</v>
      </c>
      <c r="C5254" s="1">
        <f>0.718228752631851*(10.3/7.3)</f>
        <v>1.013391253713434</v>
      </c>
      <c r="D5254" s="1">
        <f>1.27905964443984*(10.3/7.3)</f>
        <v>1.8047005942096344</v>
      </c>
      <c r="E5254" s="1">
        <f>4.36330002021146*(10.3/7.3)</f>
        <v>6.1564370148189056</v>
      </c>
      <c r="F5254" s="1">
        <f>13.7019128398728*(38.9/42.5)</f>
        <v>12.541280222848298</v>
      </c>
      <c r="G5254" s="1">
        <v>0.76111129541453948</v>
      </c>
      <c r="H5254" s="1">
        <v>5.0044274017941435</v>
      </c>
      <c r="I5254" s="1">
        <v>10.267634714907544</v>
      </c>
      <c r="J5254" s="1">
        <v>5.2887291629969767E-2</v>
      </c>
      <c r="K5254" s="1">
        <v>4.0266448990949053</v>
      </c>
      <c r="L5254" s="1">
        <v>3.0572741548848303</v>
      </c>
      <c r="M5254" s="1">
        <v>1.1715908708432787</v>
      </c>
      <c r="N5254" s="1">
        <v>1.967387270869275</v>
      </c>
      <c r="O5254" s="1">
        <v>0.28806303030303027</v>
      </c>
      <c r="P5254" s="1">
        <v>0.13891798523198995</v>
      </c>
      <c r="Q5254" s="1">
        <v>1.2163879150460688</v>
      </c>
      <c r="R5254" s="2">
        <f t="shared" si="327"/>
        <v>38.765370412752567</v>
      </c>
      <c r="S5254" s="2">
        <f t="shared" si="326"/>
        <v>4.2184501759568658</v>
      </c>
      <c r="T5254" s="2">
        <f t="shared" si="328"/>
        <v>6.4843153269004148</v>
      </c>
      <c r="U5254" s="2">
        <f t="shared" si="329"/>
        <v>49.468135915609849</v>
      </c>
    </row>
    <row r="5255" spans="1:21" x14ac:dyDescent="0.25">
      <c r="A5255">
        <v>5651833</v>
      </c>
      <c r="B5255">
        <v>50</v>
      </c>
      <c r="C5255" s="1">
        <f>0.662351308810691*(10.3/7.3)</f>
        <v>0.9345504768150853</v>
      </c>
      <c r="D5255" s="1">
        <f>1.18091834745464*(10.3/7.3)</f>
        <v>1.6662272573675123</v>
      </c>
      <c r="E5255" s="1">
        <f>4.01823508774231*(10.3/7.3)</f>
        <v>5.6695645758555937</v>
      </c>
      <c r="F5255" s="1">
        <f>13.1407583104383*(38.9/42.5)</f>
        <v>12.027658782965883</v>
      </c>
      <c r="G5255" s="1">
        <v>0.74491873307580103</v>
      </c>
      <c r="H5255" s="1">
        <v>7.0327168196494503</v>
      </c>
      <c r="I5255" s="1">
        <v>9.9205450333297893</v>
      </c>
      <c r="J5255" s="1">
        <v>4.8206019516856165E-2</v>
      </c>
      <c r="K5255" s="1">
        <v>3.8188939831998585</v>
      </c>
      <c r="L5255" s="1">
        <v>3.0422134059510042</v>
      </c>
      <c r="M5255" s="1">
        <v>1.0830595573247157</v>
      </c>
      <c r="N5255" s="1">
        <v>1.9323727971979416</v>
      </c>
      <c r="O5255" s="1">
        <v>0.27168000000000009</v>
      </c>
      <c r="P5255" s="1">
        <v>0.13578561812660997</v>
      </c>
      <c r="Q5255" s="1">
        <v>1.1905093907604136</v>
      </c>
      <c r="R5255" s="2">
        <f t="shared" si="327"/>
        <v>39.186691069819524</v>
      </c>
      <c r="S5255" s="2">
        <f t="shared" si="326"/>
        <v>4.0028856208433243</v>
      </c>
      <c r="T5255" s="2">
        <f t="shared" si="328"/>
        <v>6.3293257604736608</v>
      </c>
      <c r="U5255" s="2">
        <f t="shared" si="329"/>
        <v>49.518902451136505</v>
      </c>
    </row>
    <row r="5256" spans="1:21" x14ac:dyDescent="0.25">
      <c r="A5256">
        <v>5651841</v>
      </c>
      <c r="B5256">
        <v>8</v>
      </c>
      <c r="C5256" s="1">
        <f>0.670026391927014*(10.3/7.3)</f>
        <v>0.94537970367784163</v>
      </c>
      <c r="D5256" s="1">
        <f>1.27327552756758*(10.3/7.3)</f>
        <v>1.7965394430063133</v>
      </c>
      <c r="E5256" s="1">
        <f>4.30064888450266*(10.3/7.3)</f>
        <v>6.0680388370380038</v>
      </c>
      <c r="F5256" s="1">
        <f>15.2679726733593*(38.9/42.5)</f>
        <v>13.97468557632182</v>
      </c>
      <c r="G5256" s="1">
        <v>0.90176033199316252</v>
      </c>
      <c r="H5256" s="1">
        <v>8.1932306474501182</v>
      </c>
      <c r="I5256" s="1">
        <v>11.591703083153062</v>
      </c>
      <c r="J5256" s="1">
        <v>4.5694000460545323E-2</v>
      </c>
      <c r="K5256" s="1">
        <v>3.6990560410440385</v>
      </c>
      <c r="L5256" s="1">
        <v>3.0302556448193219</v>
      </c>
      <c r="M5256" s="1">
        <v>1.0088006606972442</v>
      </c>
      <c r="N5256" s="1">
        <v>2.0412321437305714</v>
      </c>
      <c r="O5256" s="1">
        <v>0.26707333333333333</v>
      </c>
      <c r="P5256" s="1">
        <v>0.13590371587873604</v>
      </c>
      <c r="Q5256" s="1">
        <v>1.4411694803543706</v>
      </c>
      <c r="R5256" s="2">
        <f t="shared" si="327"/>
        <v>44.912507102994688</v>
      </c>
      <c r="S5256" s="2">
        <f t="shared" si="326"/>
        <v>3.8806537573833202</v>
      </c>
      <c r="T5256" s="2">
        <f t="shared" si="328"/>
        <v>6.3473617825804709</v>
      </c>
      <c r="U5256" s="2">
        <f t="shared" si="329"/>
        <v>55.14052264295848</v>
      </c>
    </row>
    <row r="5257" spans="1:21" x14ac:dyDescent="0.25">
      <c r="A5257">
        <v>5651849</v>
      </c>
      <c r="B5257">
        <v>1</v>
      </c>
      <c r="C5257" s="1">
        <f>0.704578206163702*(10.3/7.3)</f>
        <v>0.99413089362823714</v>
      </c>
      <c r="D5257" s="1">
        <f>1.52624542063111*(10.3/7.3)</f>
        <v>2.1534695660959438</v>
      </c>
      <c r="E5257" s="1">
        <f>5.08386883939786*(10.3/7.3)</f>
        <v>7.1731300062736914</v>
      </c>
      <c r="F5257" s="1">
        <f>20.761548749258*(38.9/42.5)</f>
        <v>19.002923443438505</v>
      </c>
      <c r="G5257" s="1">
        <v>1.3014876348476483</v>
      </c>
      <c r="H5257" s="1">
        <v>9.6405768290603557</v>
      </c>
      <c r="I5257" s="1">
        <v>15.89832961306379</v>
      </c>
      <c r="J5257" s="1">
        <v>4.6615836476801009E-2</v>
      </c>
      <c r="K5257" s="1">
        <v>3.7658431794676352</v>
      </c>
      <c r="L5257" s="1">
        <v>3.176579739573774</v>
      </c>
      <c r="M5257" s="1">
        <v>1.023425827999064</v>
      </c>
      <c r="N5257" s="1">
        <v>1.9454851685987753</v>
      </c>
      <c r="O5257" s="1">
        <v>0.27360000000000001</v>
      </c>
      <c r="P5257" s="1">
        <v>0.14087354005559907</v>
      </c>
      <c r="Q5257" s="1">
        <v>2.0800030693912208</v>
      </c>
      <c r="R5257" s="2">
        <f t="shared" si="327"/>
        <v>58.244051055799396</v>
      </c>
      <c r="S5257" s="2">
        <f t="shared" ref="S5257:S5320" si="330">J5257+K5257+P5257</f>
        <v>3.9533325560000354</v>
      </c>
      <c r="T5257" s="2">
        <f t="shared" si="328"/>
        <v>6.4190907361716132</v>
      </c>
      <c r="U5257" s="2">
        <f t="shared" si="329"/>
        <v>68.616474347971049</v>
      </c>
    </row>
    <row r="5258" spans="1:21" x14ac:dyDescent="0.25">
      <c r="A5258">
        <v>5652201</v>
      </c>
      <c r="B5258">
        <v>22</v>
      </c>
      <c r="C5258" s="1">
        <f>3.9374765933127*(10.3/7.3)</f>
        <v>5.5556176590576403</v>
      </c>
      <c r="D5258" s="1">
        <f>7.91241567117772*(10.3/7.3)</f>
        <v>11.164093344264449</v>
      </c>
      <c r="E5258" s="1">
        <f>27.3455523224292*(10.3/7.3)</f>
        <v>38.583450537126076</v>
      </c>
      <c r="F5258" s="1">
        <f>62.5314315655693*(38.9/42.5)</f>
        <v>57.234651480015167</v>
      </c>
      <c r="G5258" s="1">
        <v>2.8440474940470892</v>
      </c>
      <c r="H5258" s="1">
        <v>8.3775604918733517</v>
      </c>
      <c r="I5258" s="1">
        <v>42.339809383408571</v>
      </c>
      <c r="J5258" s="1">
        <v>4.8914881421621127E-2</v>
      </c>
      <c r="K5258" s="1">
        <v>2.759772774390076</v>
      </c>
      <c r="L5258" s="1">
        <v>3.3566418534615039</v>
      </c>
      <c r="M5258" s="1">
        <v>0.23891958804132835</v>
      </c>
      <c r="N5258" s="1">
        <v>2.1997316783695178</v>
      </c>
      <c r="O5258" s="1">
        <v>0.19369212121212123</v>
      </c>
      <c r="P5258" s="1">
        <v>0.12875292650621242</v>
      </c>
      <c r="Q5258" s="1">
        <v>4.5452813831802841</v>
      </c>
      <c r="R5258" s="2">
        <f t="shared" ref="R5258:R5321" si="331">C5258+D5258+E5258+F5258+G5258+H5258+I5258+Q5258</f>
        <v>170.64451177297263</v>
      </c>
      <c r="S5258" s="2">
        <f t="shared" si="330"/>
        <v>2.9374405823179095</v>
      </c>
      <c r="T5258" s="2">
        <f t="shared" ref="T5258:T5321" si="332">L5258+M5258+N5258+O5258</f>
        <v>5.9889852410844711</v>
      </c>
      <c r="U5258" s="2">
        <f t="shared" ref="U5258:U5321" si="333">R5258+S5258+T5258</f>
        <v>179.57093759637502</v>
      </c>
    </row>
    <row r="5259" spans="1:21" x14ac:dyDescent="0.25">
      <c r="A5259">
        <v>5652209</v>
      </c>
      <c r="B5259">
        <v>71</v>
      </c>
      <c r="C5259" s="1">
        <f>5.28718349118456*(10.3/7.3)</f>
        <v>7.4599986245480752</v>
      </c>
      <c r="D5259" s="1">
        <f>13.4208223010983*(10.3/7.3)</f>
        <v>18.936228726207144</v>
      </c>
      <c r="E5259" s="1">
        <f>46.4163691453706*(10.3/7.3)</f>
        <v>65.49158934209828</v>
      </c>
      <c r="F5259" s="1">
        <f>90.433228258473*(38.9/42.5)</f>
        <v>82.773001864814077</v>
      </c>
      <c r="G5259" s="1">
        <v>3.6087066663533407</v>
      </c>
      <c r="H5259" s="1">
        <v>7.8259607212986131</v>
      </c>
      <c r="I5259" s="1">
        <v>54.645762419433062</v>
      </c>
      <c r="J5259" s="1">
        <v>6.0916747934157321E-2</v>
      </c>
      <c r="K5259" s="1">
        <v>3.3290470434551782</v>
      </c>
      <c r="L5259" s="1">
        <v>4.2323926755747276</v>
      </c>
      <c r="M5259" s="1">
        <v>0.28540142227558712</v>
      </c>
      <c r="N5259" s="1">
        <v>3.1482862692657227</v>
      </c>
      <c r="O5259" s="1">
        <v>0.23163568075117369</v>
      </c>
      <c r="P5259" s="1">
        <v>0.15027971042385643</v>
      </c>
      <c r="Q5259" s="1">
        <v>5.7673394211126503</v>
      </c>
      <c r="R5259" s="2">
        <f t="shared" si="331"/>
        <v>246.50858778586522</v>
      </c>
      <c r="S5259" s="2">
        <f t="shared" si="330"/>
        <v>3.5402435018131921</v>
      </c>
      <c r="T5259" s="2">
        <f t="shared" si="332"/>
        <v>7.8977160478672115</v>
      </c>
      <c r="U5259" s="2">
        <f t="shared" si="333"/>
        <v>257.94654733554563</v>
      </c>
    </row>
    <row r="5260" spans="1:21" x14ac:dyDescent="0.25">
      <c r="A5260">
        <v>5652217</v>
      </c>
      <c r="B5260">
        <v>55</v>
      </c>
      <c r="C5260" s="1">
        <f>4.76529352615808*(10.3/7.3)</f>
        <v>6.7236333314285215</v>
      </c>
      <c r="D5260" s="1">
        <f>9.0441738594123*(10.3/7.3)</f>
        <v>12.76095763725297</v>
      </c>
      <c r="E5260" s="1">
        <f>31.3350005767799*(10.3/7.3)</f>
        <v>44.21239807408665</v>
      </c>
      <c r="F5260" s="1">
        <f>70.3549549506396*(38.9/42.5)</f>
        <v>64.395476413644246</v>
      </c>
      <c r="G5260" s="1">
        <v>3.1301055609524098</v>
      </c>
      <c r="H5260" s="1">
        <v>6.83189233609344</v>
      </c>
      <c r="I5260" s="1">
        <v>47.966654761268785</v>
      </c>
      <c r="J5260" s="1">
        <v>5.1381340041953362E-2</v>
      </c>
      <c r="K5260" s="1">
        <v>3.1226180043741114</v>
      </c>
      <c r="L5260" s="1">
        <v>3.7449413335651998</v>
      </c>
      <c r="M5260" s="1">
        <v>0.2561125790654869</v>
      </c>
      <c r="N5260" s="1">
        <v>2.5039944797788838</v>
      </c>
      <c r="O5260" s="1">
        <v>0.20851587878787878</v>
      </c>
      <c r="P5260" s="1">
        <v>0.13807274714239087</v>
      </c>
      <c r="Q5260" s="1">
        <v>5.0024518097412987</v>
      </c>
      <c r="R5260" s="2">
        <f t="shared" si="331"/>
        <v>191.02356992446832</v>
      </c>
      <c r="S5260" s="2">
        <f t="shared" si="330"/>
        <v>3.3120720915584556</v>
      </c>
      <c r="T5260" s="2">
        <f t="shared" si="332"/>
        <v>6.7135642711974493</v>
      </c>
      <c r="U5260" s="2">
        <f t="shared" si="333"/>
        <v>201.04920628722422</v>
      </c>
    </row>
    <row r="5261" spans="1:21" x14ac:dyDescent="0.25">
      <c r="A5261">
        <v>5652225</v>
      </c>
      <c r="B5261">
        <v>59</v>
      </c>
      <c r="C5261" s="1">
        <f>4.50253360915787*(10.3/7.3)</f>
        <v>6.3528898868939887</v>
      </c>
      <c r="D5261" s="1">
        <f>7.76692007112158*(10.3/7.3)</f>
        <v>10.958805031856482</v>
      </c>
      <c r="E5261" s="1">
        <f>26.9487228020322*(10.3/7.3)</f>
        <v>38.023540391908419</v>
      </c>
      <c r="F5261" s="1">
        <f>62.6580471511154*(38.9/42.5)</f>
        <v>57.350541980668005</v>
      </c>
      <c r="G5261" s="1">
        <v>2.8426794422179231</v>
      </c>
      <c r="H5261" s="1">
        <v>6.395699750010774</v>
      </c>
      <c r="I5261" s="1">
        <v>44.116031216167876</v>
      </c>
      <c r="J5261" s="1">
        <v>4.8866316679697243E-2</v>
      </c>
      <c r="K5261" s="1">
        <v>2.9706113763921906</v>
      </c>
      <c r="L5261" s="1">
        <v>3.4928095764942393</v>
      </c>
      <c r="M5261" s="1">
        <v>0.23832912940785519</v>
      </c>
      <c r="N5261" s="1">
        <v>2.4123597182077869</v>
      </c>
      <c r="O5261" s="1">
        <v>0.19479954802259883</v>
      </c>
      <c r="P5261" s="1">
        <v>0.13076708745675264</v>
      </c>
      <c r="Q5261" s="1">
        <v>4.5430949989784226</v>
      </c>
      <c r="R5261" s="2">
        <f t="shared" si="331"/>
        <v>170.58328269870191</v>
      </c>
      <c r="S5261" s="2">
        <f t="shared" si="330"/>
        <v>3.1502447805286407</v>
      </c>
      <c r="T5261" s="2">
        <f t="shared" si="332"/>
        <v>6.3382979721324801</v>
      </c>
      <c r="U5261" s="2">
        <f t="shared" si="333"/>
        <v>180.07182545136305</v>
      </c>
    </row>
    <row r="5262" spans="1:21" x14ac:dyDescent="0.25">
      <c r="A5262">
        <v>5652233</v>
      </c>
      <c r="B5262">
        <v>69</v>
      </c>
      <c r="C5262" s="1">
        <f>6.05005254472958*(10.3/7.3)</f>
        <v>8.536375508317084</v>
      </c>
      <c r="D5262" s="1">
        <f>9.86803987647296*(10.3/7.3)</f>
        <v>13.923398729818015</v>
      </c>
      <c r="E5262" s="1">
        <f>34.2719652490396*(10.3/7.3)</f>
        <v>48.356334529466807</v>
      </c>
      <c r="F5262" s="1">
        <f>81.3230387498708*(38.9/42.5)</f>
        <v>74.43449899694059</v>
      </c>
      <c r="G5262" s="1">
        <v>3.7286858011304256</v>
      </c>
      <c r="H5262" s="1">
        <v>7.4981128303222029</v>
      </c>
      <c r="I5262" s="1">
        <v>58.32296829593578</v>
      </c>
      <c r="J5262" s="1">
        <v>5.9152351229649361E-2</v>
      </c>
      <c r="K5262" s="1">
        <v>3.3567689145553352</v>
      </c>
      <c r="L5262" s="1">
        <v>4.2493607567789722</v>
      </c>
      <c r="M5262" s="1">
        <v>0.27555804918579296</v>
      </c>
      <c r="N5262" s="1">
        <v>3.342416174545221</v>
      </c>
      <c r="O5262" s="1">
        <v>0.22337700483091796</v>
      </c>
      <c r="P5262" s="1">
        <v>0.1468857119141033</v>
      </c>
      <c r="Q5262" s="1">
        <v>5.9590868967837869</v>
      </c>
      <c r="R5262" s="2">
        <f t="shared" si="331"/>
        <v>220.75946158871471</v>
      </c>
      <c r="S5262" s="2">
        <f t="shared" si="330"/>
        <v>3.5628069776990881</v>
      </c>
      <c r="T5262" s="2">
        <f t="shared" si="332"/>
        <v>8.0907119853409029</v>
      </c>
      <c r="U5262" s="2">
        <f t="shared" si="333"/>
        <v>232.41298055175471</v>
      </c>
    </row>
    <row r="5263" spans="1:21" x14ac:dyDescent="0.25">
      <c r="A5263">
        <v>5652241</v>
      </c>
      <c r="B5263">
        <v>69</v>
      </c>
      <c r="C5263" s="1">
        <f>6.26934393225024*(10.3/7.3)</f>
        <v>8.8457866441339021</v>
      </c>
      <c r="D5263" s="1">
        <f>9.85879027891372*(10.3/7.3)</f>
        <v>13.91034792778238</v>
      </c>
      <c r="E5263" s="1">
        <f>34.2580993345505*(10.3/7.3)</f>
        <v>48.336770293954793</v>
      </c>
      <c r="F5263" s="1">
        <f>82.6256380626996*(38.9/42.5)</f>
        <v>75.62676048562389</v>
      </c>
      <c r="G5263" s="1">
        <v>3.8229653993248776</v>
      </c>
      <c r="H5263" s="1">
        <v>7.6268291113707045</v>
      </c>
      <c r="I5263" s="1">
        <v>60.007807706291914</v>
      </c>
      <c r="J5263" s="1">
        <v>6.0071220078060351E-2</v>
      </c>
      <c r="K5263" s="1">
        <v>3.335939515745157</v>
      </c>
      <c r="L5263" s="1">
        <v>4.2042821858050612</v>
      </c>
      <c r="M5263" s="1">
        <v>0.26854091759660792</v>
      </c>
      <c r="N5263" s="1">
        <v>2.7547976694043346</v>
      </c>
      <c r="O5263" s="1">
        <v>0.21808077294685985</v>
      </c>
      <c r="P5263" s="1">
        <v>0.14431783428551465</v>
      </c>
      <c r="Q5263" s="1">
        <v>6.109762053715567</v>
      </c>
      <c r="R5263" s="2">
        <f t="shared" si="331"/>
        <v>224.28702962219805</v>
      </c>
      <c r="S5263" s="2">
        <f t="shared" si="330"/>
        <v>3.5403285701087319</v>
      </c>
      <c r="T5263" s="2">
        <f t="shared" si="332"/>
        <v>7.4457015457528639</v>
      </c>
      <c r="U5263" s="2">
        <f t="shared" si="333"/>
        <v>235.27305973805963</v>
      </c>
    </row>
    <row r="5264" spans="1:21" x14ac:dyDescent="0.25">
      <c r="A5264">
        <v>5652249</v>
      </c>
      <c r="B5264">
        <v>16</v>
      </c>
      <c r="C5264" s="1">
        <f>4.65092810728502*(10.3/7.3)</f>
        <v>6.5622684253473578</v>
      </c>
      <c r="D5264" s="1">
        <f>8.26034973265661*(10.3/7.3)</f>
        <v>11.655014006351101</v>
      </c>
      <c r="E5264" s="1">
        <f>28.1384152507658*(10.3/7.3)</f>
        <v>39.702147545601115</v>
      </c>
      <c r="F5264" s="1">
        <f>90.5729721463593*(38.9/42.5)</f>
        <v>82.900908623373539</v>
      </c>
      <c r="G5264" s="1">
        <v>5.0933579106339364</v>
      </c>
      <c r="H5264" s="1">
        <v>8.3418702030898118</v>
      </c>
      <c r="I5264" s="1">
        <v>68.218396471802933</v>
      </c>
      <c r="J5264" s="1">
        <v>4.7363170738541092E-2</v>
      </c>
      <c r="K5264" s="1">
        <v>3.0562182771554283</v>
      </c>
      <c r="L5264" s="1">
        <v>3.137632294195877</v>
      </c>
      <c r="M5264" s="1">
        <v>0.20170830557109007</v>
      </c>
      <c r="N5264" s="1">
        <v>2.0386625861897891</v>
      </c>
      <c r="O5264" s="1">
        <v>0.16826333333333329</v>
      </c>
      <c r="P5264" s="1">
        <v>0.11639410571253997</v>
      </c>
      <c r="Q5264" s="1">
        <v>8.1400697201912315</v>
      </c>
      <c r="R5264" s="2">
        <f t="shared" si="331"/>
        <v>230.61403290639097</v>
      </c>
      <c r="S5264" s="2">
        <f t="shared" si="330"/>
        <v>3.2199755536065093</v>
      </c>
      <c r="T5264" s="2">
        <f t="shared" si="332"/>
        <v>5.5462665192900893</v>
      </c>
      <c r="U5264" s="2">
        <f t="shared" si="333"/>
        <v>239.38027497928758</v>
      </c>
    </row>
    <row r="5265" spans="1:21" x14ac:dyDescent="0.25">
      <c r="A5265">
        <v>5652257</v>
      </c>
      <c r="B5265">
        <v>39</v>
      </c>
      <c r="C5265" s="1">
        <f>3.09409415670166*(10.3/7.3)</f>
        <v>4.3656397005516618</v>
      </c>
      <c r="D5265" s="1">
        <f>4.64866287371266*(10.3/7.3)</f>
        <v>6.559072273868547</v>
      </c>
      <c r="E5265" s="1">
        <f>16.1454196453355*(10.3/7.3)</f>
        <v>22.780523609172025</v>
      </c>
      <c r="F5265" s="1">
        <f>40.7417524518114*(38.9/42.5)</f>
        <v>37.290686361775613</v>
      </c>
      <c r="G5265" s="1">
        <v>1.9430563592361558</v>
      </c>
      <c r="H5265" s="1">
        <v>9.7833810493996918</v>
      </c>
      <c r="I5265" s="1">
        <v>30.206841895738208</v>
      </c>
      <c r="J5265" s="1">
        <v>3.3911249227303861E-2</v>
      </c>
      <c r="K5265" s="1">
        <v>2.1346457429418471</v>
      </c>
      <c r="L5265" s="1">
        <v>2.4259850230194875</v>
      </c>
      <c r="M5265" s="1">
        <v>0.16394762449144631</v>
      </c>
      <c r="N5265" s="1">
        <v>1.5434474190525109</v>
      </c>
      <c r="O5265" s="1">
        <v>0.13093470085470083</v>
      </c>
      <c r="P5265" s="1">
        <v>9.6774392474848744E-2</v>
      </c>
      <c r="Q5265" s="1">
        <v>3.1053412133911213</v>
      </c>
      <c r="R5265" s="2">
        <f t="shared" si="331"/>
        <v>116.03454246313304</v>
      </c>
      <c r="S5265" s="2">
        <f t="shared" si="330"/>
        <v>2.2653313846439995</v>
      </c>
      <c r="T5265" s="2">
        <f t="shared" si="332"/>
        <v>4.2643147674181456</v>
      </c>
      <c r="U5265" s="2">
        <f t="shared" si="333"/>
        <v>122.56418861519518</v>
      </c>
    </row>
    <row r="5266" spans="1:21" x14ac:dyDescent="0.25">
      <c r="A5266">
        <v>5652265</v>
      </c>
      <c r="B5266">
        <v>5</v>
      </c>
      <c r="C5266" s="1">
        <f>4.13387066239291*(10.3/7.3)</f>
        <v>5.8327216195406857</v>
      </c>
      <c r="D5266" s="1">
        <f>6.29994296219412*(10.3/7.3)</f>
        <v>8.8889606178903353</v>
      </c>
      <c r="E5266" s="1">
        <f>21.844615828828*(10.3/7.3)</f>
        <v>30.821855210538171</v>
      </c>
      <c r="F5266" s="1">
        <f>56.3581764590278*(38.9/42.5)</f>
        <v>51.584307394263092</v>
      </c>
      <c r="G5266" s="1">
        <v>2.7370939459986405</v>
      </c>
      <c r="H5266" s="1">
        <v>8.3567341586537829</v>
      </c>
      <c r="I5266" s="1">
        <v>41.8391423697352</v>
      </c>
      <c r="J5266" s="1">
        <v>3.7589693444446091E-2</v>
      </c>
      <c r="K5266" s="1">
        <v>2.3064788058897765</v>
      </c>
      <c r="L5266" s="1">
        <v>3.0649131081268099</v>
      </c>
      <c r="M5266" s="1">
        <v>0.17847789442938006</v>
      </c>
      <c r="N5266" s="1">
        <v>1.7010106051295597</v>
      </c>
      <c r="O5266" s="1">
        <v>0.14649600000000002</v>
      </c>
      <c r="P5266" s="1">
        <v>0.10422724101527434</v>
      </c>
      <c r="Q5266" s="1">
        <v>4.3743510552489742</v>
      </c>
      <c r="R5266" s="2">
        <f t="shared" si="331"/>
        <v>154.43516637186889</v>
      </c>
      <c r="S5266" s="2">
        <f t="shared" si="330"/>
        <v>2.4482957403494967</v>
      </c>
      <c r="T5266" s="2">
        <f t="shared" si="332"/>
        <v>5.0908976076857497</v>
      </c>
      <c r="U5266" s="2">
        <f t="shared" si="333"/>
        <v>161.97435971990413</v>
      </c>
    </row>
    <row r="5267" spans="1:21" x14ac:dyDescent="0.25">
      <c r="A5267">
        <v>5652465</v>
      </c>
      <c r="B5267">
        <v>9</v>
      </c>
      <c r="C5267" s="1">
        <f>8.26411244387976*(10.3/7.3)</f>
        <v>11.66032303725501</v>
      </c>
      <c r="D5267" s="1">
        <f>12.2585270479122*(10.3/7.3)</f>
        <v>17.29627788952002</v>
      </c>
      <c r="E5267" s="1">
        <f>42.8166467558402*(10.3/7.3)</f>
        <v>60.412528984267709</v>
      </c>
      <c r="F5267" s="1">
        <f>96.802722164232*(38.9/42.5)</f>
        <v>88.602962169144092</v>
      </c>
      <c r="G5267" s="1">
        <v>4.2001200754160948</v>
      </c>
      <c r="H5267" s="1">
        <v>12.162503953874946</v>
      </c>
      <c r="I5267" s="1">
        <v>70.289073251093242</v>
      </c>
      <c r="J5267" s="1">
        <v>4.0590487141550925E-2</v>
      </c>
      <c r="K5267" s="1">
        <v>2.2923849598369199</v>
      </c>
      <c r="L5267" s="1">
        <v>2.495977093481005</v>
      </c>
      <c r="M5267" s="1">
        <v>0.13151734295147041</v>
      </c>
      <c r="N5267" s="1">
        <v>1.6618735453844424</v>
      </c>
      <c r="O5267" s="1">
        <v>0.12117925925925925</v>
      </c>
      <c r="P5267" s="1">
        <v>9.0188025670001004E-2</v>
      </c>
      <c r="Q5267" s="1">
        <v>6.7125206684732159</v>
      </c>
      <c r="R5267" s="2">
        <f t="shared" si="331"/>
        <v>271.33631002904428</v>
      </c>
      <c r="S5267" s="2">
        <f t="shared" si="330"/>
        <v>2.4231634726484721</v>
      </c>
      <c r="T5267" s="2">
        <f t="shared" si="332"/>
        <v>4.410547241076177</v>
      </c>
      <c r="U5267" s="2">
        <f t="shared" si="333"/>
        <v>278.17002074276894</v>
      </c>
    </row>
    <row r="5268" spans="1:21" x14ac:dyDescent="0.25">
      <c r="A5268">
        <v>5652529</v>
      </c>
      <c r="B5268">
        <v>3</v>
      </c>
      <c r="C5268" s="1">
        <f>7.08826652102507*(10.3/7.3)</f>
        <v>10.001252762542222</v>
      </c>
      <c r="D5268" s="1">
        <f>10.9249054539408*(10.3/7.3)</f>
        <v>15.414592626793215</v>
      </c>
      <c r="E5268" s="1">
        <f>38.0611421889383*(10.3/7.3)</f>
        <v>53.702707472063636</v>
      </c>
      <c r="F5268" s="1">
        <f>88.2084763493986*(38.9/42.5)</f>
        <v>80.736699529214206</v>
      </c>
      <c r="G5268" s="1">
        <v>3.9352207876418448</v>
      </c>
      <c r="H5268" s="1">
        <v>9.2934712754008064</v>
      </c>
      <c r="I5268" s="1">
        <v>63.781540030943823</v>
      </c>
      <c r="J5268" s="1">
        <v>3.5990854268726218E-2</v>
      </c>
      <c r="K5268" s="1">
        <v>2.0946368762874861</v>
      </c>
      <c r="L5268" s="1">
        <v>2.169973390393269</v>
      </c>
      <c r="M5268" s="1">
        <v>0.11235418381050166</v>
      </c>
      <c r="N5268" s="1">
        <v>1.4475508527170584</v>
      </c>
      <c r="O5268" s="1">
        <v>0.10618666666666667</v>
      </c>
      <c r="P5268" s="1">
        <v>8.0358609905062148E-2</v>
      </c>
      <c r="Q5268" s="1">
        <v>6.289165642349988</v>
      </c>
      <c r="R5268" s="2">
        <f t="shared" si="331"/>
        <v>243.15465012694975</v>
      </c>
      <c r="S5268" s="2">
        <f t="shared" si="330"/>
        <v>2.2109863404612744</v>
      </c>
      <c r="T5268" s="2">
        <f t="shared" si="332"/>
        <v>3.836065093587496</v>
      </c>
      <c r="U5268" s="2">
        <f t="shared" si="333"/>
        <v>249.20170156099852</v>
      </c>
    </row>
    <row r="5269" spans="1:21" x14ac:dyDescent="0.25">
      <c r="A5269">
        <v>5652545</v>
      </c>
      <c r="B5269">
        <v>25</v>
      </c>
      <c r="C5269" s="1">
        <f>7.28252671157693*(10.3/7.3)</f>
        <v>10.275345908115401</v>
      </c>
      <c r="D5269" s="1">
        <f>9.78415579324414*(10.3/7.3)</f>
        <v>13.805041735673234</v>
      </c>
      <c r="E5269" s="1">
        <f>34.233313542389*(10.3/7.3)</f>
        <v>48.3017985598091</v>
      </c>
      <c r="F5269" s="1">
        <f>81.3039617101633*(38.9/42.5)</f>
        <v>74.417037894714156</v>
      </c>
      <c r="G5269" s="1">
        <v>3.6363543058655092</v>
      </c>
      <c r="H5269" s="1">
        <v>8.1233448631544416</v>
      </c>
      <c r="I5269" s="1">
        <v>61.259025251562981</v>
      </c>
      <c r="J5269" s="1">
        <v>3.588494390294604E-2</v>
      </c>
      <c r="K5269" s="1">
        <v>2.1884330724105059</v>
      </c>
      <c r="L5269" s="1">
        <v>2.2817233587871377</v>
      </c>
      <c r="M5269" s="1">
        <v>0.11812784532258327</v>
      </c>
      <c r="N5269" s="1">
        <v>1.4325522008355527</v>
      </c>
      <c r="O5269" s="1">
        <v>0.11101013333333334</v>
      </c>
      <c r="P5269" s="1">
        <v>8.4041451821129237E-2</v>
      </c>
      <c r="Q5269" s="1">
        <v>5.8115251463604078</v>
      </c>
      <c r="R5269" s="2">
        <f t="shared" si="331"/>
        <v>225.6294736652552</v>
      </c>
      <c r="S5269" s="2">
        <f t="shared" si="330"/>
        <v>2.3083594681345811</v>
      </c>
      <c r="T5269" s="2">
        <f t="shared" si="332"/>
        <v>3.9434135382786075</v>
      </c>
      <c r="U5269" s="2">
        <f t="shared" si="333"/>
        <v>231.88124667166838</v>
      </c>
    </row>
    <row r="5270" spans="1:21" x14ac:dyDescent="0.25">
      <c r="A5270">
        <v>5652553</v>
      </c>
      <c r="B5270">
        <v>12</v>
      </c>
      <c r="C5270" s="1">
        <f>7.79490256819038*(10.3/7.3)</f>
        <v>10.998287185254922</v>
      </c>
      <c r="D5270" s="1">
        <f>9.61633697184261*(10.3/7.3)</f>
        <v>13.568256275339566</v>
      </c>
      <c r="E5270" s="1">
        <f>33.7964816438216*(10.3/7.3)</f>
        <v>47.685446702926349</v>
      </c>
      <c r="F5270" s="1">
        <f>79.0351914190368*(38.9/42.5)</f>
        <v>72.340445792953716</v>
      </c>
      <c r="G5270" s="1">
        <v>3.4400546347299001</v>
      </c>
      <c r="H5270" s="1">
        <v>8.8607090286607573</v>
      </c>
      <c r="I5270" s="1">
        <v>60.821525881846192</v>
      </c>
      <c r="J5270" s="1">
        <v>3.6084204751385018E-2</v>
      </c>
      <c r="K5270" s="1">
        <v>2.2052343068673426</v>
      </c>
      <c r="L5270" s="1">
        <v>2.2894557905640949</v>
      </c>
      <c r="M5270" s="1">
        <v>0.11833005529128943</v>
      </c>
      <c r="N5270" s="1">
        <v>1.4402391839272415</v>
      </c>
      <c r="O5270" s="1">
        <v>0.11145333333333333</v>
      </c>
      <c r="P5270" s="1">
        <v>8.4361133825026413E-2</v>
      </c>
      <c r="Q5270" s="1">
        <v>5.4978042107555547</v>
      </c>
      <c r="R5270" s="2">
        <f t="shared" si="331"/>
        <v>223.21252971246696</v>
      </c>
      <c r="S5270" s="2">
        <f t="shared" si="330"/>
        <v>2.3256796454437541</v>
      </c>
      <c r="T5270" s="2">
        <f t="shared" si="332"/>
        <v>3.9594783631159594</v>
      </c>
      <c r="U5270" s="2">
        <f t="shared" si="333"/>
        <v>229.49768772102667</v>
      </c>
    </row>
    <row r="5271" spans="1:21" x14ac:dyDescent="0.25">
      <c r="A5271">
        <v>5652593</v>
      </c>
      <c r="B5271">
        <v>2</v>
      </c>
      <c r="C5271" s="1">
        <f>5.67964116444002*(10.3/7.3)</f>
        <v>8.0137402731139975</v>
      </c>
      <c r="D5271" s="1">
        <f>6.36861261267581*(10.3/7.3)</f>
        <v>8.9858506726795664</v>
      </c>
      <c r="E5271" s="1">
        <f>22.4667192389781*(10.3/7.3)</f>
        <v>31.699617556366313</v>
      </c>
      <c r="F5271" s="1">
        <f>53.461293198117*(38.9/42.5)</f>
        <v>48.932807186041252</v>
      </c>
      <c r="G5271" s="1">
        <v>2.3266907965104084</v>
      </c>
      <c r="H5271" s="1">
        <v>6.4796769000896965</v>
      </c>
      <c r="I5271" s="1">
        <v>42.428239070850132</v>
      </c>
      <c r="J5271" s="1">
        <v>2.6897668617007243E-2</v>
      </c>
      <c r="K5271" s="1">
        <v>1.8176566721347676</v>
      </c>
      <c r="L5271" s="1">
        <v>1.8020739291444179</v>
      </c>
      <c r="M5271" s="1">
        <v>9.2809133880803502E-2</v>
      </c>
      <c r="N5271" s="1">
        <v>1.1228115236984428</v>
      </c>
      <c r="O5271" s="1">
        <v>9.1359999999999997E-2</v>
      </c>
      <c r="P5271" s="1">
        <v>7.0556343289892409E-2</v>
      </c>
      <c r="Q5271" s="1">
        <v>3.7184556108613869</v>
      </c>
      <c r="R5271" s="2">
        <f t="shared" si="331"/>
        <v>152.58507806651275</v>
      </c>
      <c r="S5271" s="2">
        <f t="shared" si="330"/>
        <v>1.9151106840416672</v>
      </c>
      <c r="T5271" s="2">
        <f t="shared" si="332"/>
        <v>3.1090545867236639</v>
      </c>
      <c r="U5271" s="2">
        <f t="shared" si="333"/>
        <v>157.60924333727809</v>
      </c>
    </row>
    <row r="5272" spans="1:21" x14ac:dyDescent="0.25">
      <c r="A5272">
        <v>5663933</v>
      </c>
      <c r="B5272">
        <v>63</v>
      </c>
      <c r="C5272" s="1">
        <f>0.591387467936967*(10.3/7.3)</f>
        <v>0.83442341366448802</v>
      </c>
      <c r="D5272" s="1">
        <f>0.92140692176413*(10.3/7.3)</f>
        <v>1.3000673005713075</v>
      </c>
      <c r="E5272" s="1">
        <f>3.18103763084337*(10.3/7.3)</f>
        <v>4.4883133695461259</v>
      </c>
      <c r="F5272" s="1">
        <f>8.78238399550997*(38.9/42.5)</f>
        <v>8.0384644100079488</v>
      </c>
      <c r="G5272" s="1">
        <v>0.44792402006142529</v>
      </c>
      <c r="H5272" s="1">
        <v>1.7415421318081552</v>
      </c>
      <c r="I5272" s="1">
        <v>6.5772260947873296</v>
      </c>
      <c r="J5272" s="1">
        <v>3.9241013641874302E-2</v>
      </c>
      <c r="K5272" s="1">
        <v>7.4359769031620457</v>
      </c>
      <c r="L5272" s="1">
        <v>1.9449740853333266</v>
      </c>
      <c r="M5272" s="1">
        <v>0.82685383241500909</v>
      </c>
      <c r="N5272" s="1">
        <v>1.2425340680741337</v>
      </c>
      <c r="O5272" s="1">
        <v>1.3289820105820103</v>
      </c>
      <c r="P5272" s="1">
        <v>0.13700137090274941</v>
      </c>
      <c r="Q5272" s="1">
        <v>0.71586030603424211</v>
      </c>
      <c r="R5272" s="2">
        <f t="shared" si="331"/>
        <v>24.143821046481019</v>
      </c>
      <c r="S5272" s="2">
        <f t="shared" si="330"/>
        <v>7.6122192877066688</v>
      </c>
      <c r="T5272" s="2">
        <f t="shared" si="332"/>
        <v>5.3433439964044798</v>
      </c>
      <c r="U5272" s="2">
        <f t="shared" si="333"/>
        <v>37.099384330592166</v>
      </c>
    </row>
    <row r="5273" spans="1:21" x14ac:dyDescent="0.25">
      <c r="A5273">
        <v>5663941</v>
      </c>
      <c r="B5273">
        <v>29</v>
      </c>
      <c r="C5273" s="1">
        <f>0.684430134421589*(10.3/7.3)</f>
        <v>0.96570279240306378</v>
      </c>
      <c r="D5273" s="1">
        <f>1.107911806134*(10.3/7.3)</f>
        <v>1.5632180278328991</v>
      </c>
      <c r="E5273" s="1">
        <f>3.80836167515514*(10.3/7.3)</f>
        <v>5.3734418156298611</v>
      </c>
      <c r="F5273" s="1">
        <f>11.0944412368959*(38.9/42.5)</f>
        <v>10.154676802711748</v>
      </c>
      <c r="G5273" s="1">
        <v>0.58698472366560284</v>
      </c>
      <c r="H5273" s="1">
        <v>2.0678417604882151</v>
      </c>
      <c r="I5273" s="1">
        <v>8.3322026341010993</v>
      </c>
      <c r="J5273" s="1">
        <v>7.113570149868563E-2</v>
      </c>
      <c r="K5273" s="1">
        <v>10.165822322762914</v>
      </c>
      <c r="L5273" s="1">
        <v>2.5566824464337179</v>
      </c>
      <c r="M5273" s="1">
        <v>1.1212901358222378</v>
      </c>
      <c r="N5273" s="1">
        <v>1.6886381233314653</v>
      </c>
      <c r="O5273" s="1">
        <v>1.8701057471264368</v>
      </c>
      <c r="P5273" s="1">
        <v>0.15483915217929928</v>
      </c>
      <c r="Q5273" s="1">
        <v>0.93810343964822474</v>
      </c>
      <c r="R5273" s="2">
        <f t="shared" si="331"/>
        <v>29.982171996480709</v>
      </c>
      <c r="S5273" s="2">
        <f t="shared" si="330"/>
        <v>10.391797176440898</v>
      </c>
      <c r="T5273" s="2">
        <f t="shared" si="332"/>
        <v>7.2367164527138579</v>
      </c>
      <c r="U5273" s="2">
        <f t="shared" si="333"/>
        <v>47.610685625635462</v>
      </c>
    </row>
    <row r="5274" spans="1:21" x14ac:dyDescent="0.25">
      <c r="A5274">
        <v>5663949</v>
      </c>
      <c r="B5274">
        <v>61</v>
      </c>
      <c r="C5274" s="1">
        <f>1.10644158043978*(10.3/7.3)</f>
        <v>1.5611435997985945</v>
      </c>
      <c r="D5274" s="1">
        <f>1.87887877202702*(10.3/7.3)</f>
        <v>2.6510207331340214</v>
      </c>
      <c r="E5274" s="1">
        <f>6.42833570855583*(10.3/7.3)</f>
        <v>9.0701175065924744</v>
      </c>
      <c r="F5274" s="1">
        <f>19.7308839208441*(38.9/42.5)</f>
        <v>18.059561988725502</v>
      </c>
      <c r="G5274" s="1">
        <v>1.0792059367429605</v>
      </c>
      <c r="H5274" s="1">
        <v>3.3413379143238457</v>
      </c>
      <c r="I5274" s="1">
        <v>14.837820414168368</v>
      </c>
      <c r="J5274" s="1">
        <v>8.9614654773801372E-2</v>
      </c>
      <c r="K5274" s="1">
        <v>15.852197687598755</v>
      </c>
      <c r="L5274" s="1">
        <v>3.8582977568179593</v>
      </c>
      <c r="M5274" s="1">
        <v>1.7194408388501239</v>
      </c>
      <c r="N5274" s="1">
        <v>2.2921731443419739</v>
      </c>
      <c r="O5274" s="1">
        <v>2.2163497267759564</v>
      </c>
      <c r="P5274" s="1">
        <v>0.19176930852158519</v>
      </c>
      <c r="Q5274" s="1">
        <v>1.7247583463928606</v>
      </c>
      <c r="R5274" s="2">
        <f t="shared" si="331"/>
        <v>52.324966439878629</v>
      </c>
      <c r="S5274" s="2">
        <f t="shared" si="330"/>
        <v>16.13358165089414</v>
      </c>
      <c r="T5274" s="2">
        <f t="shared" si="332"/>
        <v>10.086261466786013</v>
      </c>
      <c r="U5274" s="2">
        <f t="shared" si="333"/>
        <v>78.544809557558779</v>
      </c>
    </row>
    <row r="5275" spans="1:21" x14ac:dyDescent="0.25">
      <c r="A5275">
        <v>5664005</v>
      </c>
      <c r="B5275">
        <v>11</v>
      </c>
      <c r="C5275" s="1">
        <f>0.532769604064583*(10.3/7.3)</f>
        <v>0.75171601669386301</v>
      </c>
      <c r="D5275" s="1">
        <f>1.00835464695685*(10.3/7.3)</f>
        <v>1.4227469676240461</v>
      </c>
      <c r="E5275" s="1">
        <f>3.40311232433822*(10.3/7.3)</f>
        <v>4.8016516357100967</v>
      </c>
      <c r="F5275" s="1">
        <f>12.2453882849444*(38.9/42.5)</f>
        <v>11.208131865513845</v>
      </c>
      <c r="G5275" s="1">
        <v>0.72718658587395557</v>
      </c>
      <c r="H5275" s="1">
        <v>7.1368362708891224</v>
      </c>
      <c r="I5275" s="1">
        <v>9.3237312522759215</v>
      </c>
      <c r="J5275" s="1">
        <v>4.4501949514114042E-2</v>
      </c>
      <c r="K5275" s="1">
        <v>4.9356780532764386</v>
      </c>
      <c r="L5275" s="1">
        <v>2.4134864501528117</v>
      </c>
      <c r="M5275" s="1">
        <v>1.3597075096468738</v>
      </c>
      <c r="N5275" s="1">
        <v>1.7425424818055169</v>
      </c>
      <c r="O5275" s="1">
        <v>0.38869333333333334</v>
      </c>
      <c r="P5275" s="1">
        <v>0.13401596433624294</v>
      </c>
      <c r="Q5275" s="1">
        <v>1.1621703427209349</v>
      </c>
      <c r="R5275" s="2">
        <f t="shared" si="331"/>
        <v>36.534170937301788</v>
      </c>
      <c r="S5275" s="2">
        <f t="shared" si="330"/>
        <v>5.1141959671267951</v>
      </c>
      <c r="T5275" s="2">
        <f t="shared" si="332"/>
        <v>5.9044297749385359</v>
      </c>
      <c r="U5275" s="2">
        <f t="shared" si="333"/>
        <v>47.55279667936712</v>
      </c>
    </row>
    <row r="5276" spans="1:21" x14ac:dyDescent="0.25">
      <c r="A5276">
        <v>5664013</v>
      </c>
      <c r="B5276">
        <v>15</v>
      </c>
      <c r="C5276" s="1">
        <f>0.57465541879762*(10.3/7.3)</f>
        <v>0.81081517994732655</v>
      </c>
      <c r="D5276" s="1">
        <f>1.05015478346194*(10.3/7.3)</f>
        <v>1.4817252424188958</v>
      </c>
      <c r="E5276" s="1">
        <f>3.55854686313098*(10.3/7.3)</f>
        <v>5.0209633822259017</v>
      </c>
      <c r="F5276" s="1">
        <f>12.2560760622569*(38.9/42.5)</f>
        <v>11.217914325218691</v>
      </c>
      <c r="G5276" s="1">
        <v>0.71278890533076844</v>
      </c>
      <c r="H5276" s="1">
        <v>9.1476869428637961</v>
      </c>
      <c r="I5276" s="1">
        <v>9.3052858747506129</v>
      </c>
      <c r="J5276" s="1">
        <v>5.3588834651163195E-2</v>
      </c>
      <c r="K5276" s="1">
        <v>4.7910725929475522</v>
      </c>
      <c r="L5276" s="1">
        <v>2.7240129719808071</v>
      </c>
      <c r="M5276" s="1">
        <v>1.4171012338027917</v>
      </c>
      <c r="N5276" s="1">
        <v>1.7835210660937075</v>
      </c>
      <c r="O5276" s="1">
        <v>0.36448711111111104</v>
      </c>
      <c r="P5276" s="1">
        <v>0.13576994608968748</v>
      </c>
      <c r="Q5276" s="1">
        <v>1.1391603509852475</v>
      </c>
      <c r="R5276" s="2">
        <f t="shared" si="331"/>
        <v>38.836340203741244</v>
      </c>
      <c r="S5276" s="2">
        <f t="shared" si="330"/>
        <v>4.9804313736884023</v>
      </c>
      <c r="T5276" s="2">
        <f t="shared" si="332"/>
        <v>6.2891223829884177</v>
      </c>
      <c r="U5276" s="2">
        <f t="shared" si="333"/>
        <v>50.105893960418065</v>
      </c>
    </row>
    <row r="5277" spans="1:21" x14ac:dyDescent="0.25">
      <c r="A5277">
        <v>5664037</v>
      </c>
      <c r="B5277">
        <v>19</v>
      </c>
      <c r="C5277" s="1">
        <f>0.591169854869613*(10.3/7.3)</f>
        <v>0.83411637056945387</v>
      </c>
      <c r="D5277" s="1">
        <f>1.00418516937116*(10.3/7.3)</f>
        <v>1.4168640060990294</v>
      </c>
      <c r="E5277" s="1">
        <f>3.43552307613564*(10.3/7.3)</f>
        <v>4.8473818745475485</v>
      </c>
      <c r="F5277" s="1">
        <f>10.5515120847431*(38.9/42.5)</f>
        <v>9.6577369434472011</v>
      </c>
      <c r="G5277" s="1">
        <v>0.57733713644415408</v>
      </c>
      <c r="H5277" s="1">
        <v>3.3414066031403036</v>
      </c>
      <c r="I5277" s="1">
        <v>7.9353742315377191</v>
      </c>
      <c r="J5277" s="1">
        <v>5.5558276731881968E-2</v>
      </c>
      <c r="K5277" s="1">
        <v>4.1509367751693471</v>
      </c>
      <c r="L5277" s="1">
        <v>2.8272023298431321</v>
      </c>
      <c r="M5277" s="1">
        <v>1.2259846255291424</v>
      </c>
      <c r="N5277" s="1">
        <v>2.0180045766841865</v>
      </c>
      <c r="O5277" s="1">
        <v>0.30243929824561405</v>
      </c>
      <c r="P5277" s="1">
        <v>0.13208802064268624</v>
      </c>
      <c r="Q5277" s="1">
        <v>0.92268492125778134</v>
      </c>
      <c r="R5277" s="2">
        <f t="shared" si="331"/>
        <v>29.532902087043187</v>
      </c>
      <c r="S5277" s="2">
        <f t="shared" si="330"/>
        <v>4.3385830725439156</v>
      </c>
      <c r="T5277" s="2">
        <f t="shared" si="332"/>
        <v>6.3736308303020754</v>
      </c>
      <c r="U5277" s="2">
        <f t="shared" si="333"/>
        <v>40.245115989889179</v>
      </c>
    </row>
    <row r="5278" spans="1:21" x14ac:dyDescent="0.25">
      <c r="A5278">
        <v>5664061</v>
      </c>
      <c r="B5278">
        <v>52</v>
      </c>
      <c r="C5278" s="1">
        <f>0.67098382415481*(10.3/7.3)</f>
        <v>0.94673060120473163</v>
      </c>
      <c r="D5278" s="1">
        <f>1.1871148789473*(10.3/7.3)</f>
        <v>1.6749703086516687</v>
      </c>
      <c r="E5278" s="1">
        <f>4.04644480554928*(10.3/7.3)</f>
        <v>5.7093673283777511</v>
      </c>
      <c r="F5278" s="1">
        <f>12.9162335749846*(38.9/42.5)</f>
        <v>11.822152613338814</v>
      </c>
      <c r="G5278" s="1">
        <v>0.72312457197836233</v>
      </c>
      <c r="H5278" s="1">
        <v>6.0739380695929919</v>
      </c>
      <c r="I5278" s="1">
        <v>9.7190615713510944</v>
      </c>
      <c r="J5278" s="1">
        <v>4.8499818945005956E-2</v>
      </c>
      <c r="K5278" s="1">
        <v>3.8734558790193727</v>
      </c>
      <c r="L5278" s="1">
        <v>2.9797665415953003</v>
      </c>
      <c r="M5278" s="1">
        <v>1.1012397723760339</v>
      </c>
      <c r="N5278" s="1">
        <v>1.8393577890642909</v>
      </c>
      <c r="O5278" s="1">
        <v>0.27653025641025653</v>
      </c>
      <c r="P5278" s="1">
        <v>0.13550664703868825</v>
      </c>
      <c r="Q5278" s="1">
        <v>1.1556785396914484</v>
      </c>
      <c r="R5278" s="2">
        <f t="shared" si="331"/>
        <v>37.825023604186867</v>
      </c>
      <c r="S5278" s="2">
        <f t="shared" si="330"/>
        <v>4.0574623450030671</v>
      </c>
      <c r="T5278" s="2">
        <f t="shared" si="332"/>
        <v>6.1968943594458823</v>
      </c>
      <c r="U5278" s="2">
        <f t="shared" si="333"/>
        <v>48.07938030863582</v>
      </c>
    </row>
    <row r="5279" spans="1:21" x14ac:dyDescent="0.25">
      <c r="A5279">
        <v>5664069</v>
      </c>
      <c r="B5279">
        <v>23</v>
      </c>
      <c r="C5279" s="1">
        <f>0.660991228875771*(10.3/7.3)</f>
        <v>0.93263145992060903</v>
      </c>
      <c r="D5279" s="1">
        <f>1.20429033276379*(10.3/7.3)</f>
        <v>1.6992041681461658</v>
      </c>
      <c r="E5279" s="1">
        <f>4.08721368824667*(10.3/7.3)</f>
        <v>5.7668905464302407</v>
      </c>
      <c r="F5279" s="1">
        <f>13.7665013308493*(38.9/42.5)</f>
        <v>12.600397688706741</v>
      </c>
      <c r="G5279" s="1">
        <v>0.79242911956939477</v>
      </c>
      <c r="H5279" s="1">
        <v>7.52099356106834</v>
      </c>
      <c r="I5279" s="1">
        <v>10.415094189087176</v>
      </c>
      <c r="J5279" s="1">
        <v>4.6425076794846053E-2</v>
      </c>
      <c r="K5279" s="1">
        <v>3.8174664982373478</v>
      </c>
      <c r="L5279" s="1">
        <v>3.0029490574611724</v>
      </c>
      <c r="M5279" s="1">
        <v>1.0423399795056991</v>
      </c>
      <c r="N5279" s="1">
        <v>2.0845354591852292</v>
      </c>
      <c r="O5279" s="1">
        <v>0.27325449275362323</v>
      </c>
      <c r="P5279" s="1">
        <v>0.13653499948424039</v>
      </c>
      <c r="Q5279" s="1">
        <v>1.266439232188532</v>
      </c>
      <c r="R5279" s="2">
        <f t="shared" si="331"/>
        <v>40.994079965117201</v>
      </c>
      <c r="S5279" s="2">
        <f t="shared" si="330"/>
        <v>4.0004265745164345</v>
      </c>
      <c r="T5279" s="2">
        <f t="shared" si="332"/>
        <v>6.4030789889057242</v>
      </c>
      <c r="U5279" s="2">
        <f t="shared" si="333"/>
        <v>51.397585528539359</v>
      </c>
    </row>
    <row r="5280" spans="1:21" x14ac:dyDescent="0.25">
      <c r="A5280">
        <v>5664077</v>
      </c>
      <c r="B5280">
        <v>7</v>
      </c>
      <c r="C5280" s="1">
        <f>0.660424714442549*(10.3/7.3)</f>
        <v>0.9318321313367478</v>
      </c>
      <c r="D5280" s="1">
        <f>1.34474308659273*(10.3/7.3)</f>
        <v>1.8973772317678177</v>
      </c>
      <c r="E5280" s="1">
        <f>4.50760138194222*(10.3/7.3)</f>
        <v>6.3600403060280675</v>
      </c>
      <c r="F5280" s="1">
        <f>17.3191648058846*(38.9/42.5)</f>
        <v>15.852129669386143</v>
      </c>
      <c r="G5280" s="1">
        <v>1.0593842643092124</v>
      </c>
      <c r="H5280" s="1">
        <v>9.5565996789814314</v>
      </c>
      <c r="I5280" s="1">
        <v>13.216328004127176</v>
      </c>
      <c r="J5280" s="1">
        <v>4.5088283124202398E-2</v>
      </c>
      <c r="K5280" s="1">
        <v>3.7086783500903335</v>
      </c>
      <c r="L5280" s="1">
        <v>3.0654838697176912</v>
      </c>
      <c r="M5280" s="1">
        <v>0.98382357740935578</v>
      </c>
      <c r="N5280" s="1">
        <v>1.9191666365938893</v>
      </c>
      <c r="O5280" s="1">
        <v>0.2684266666666667</v>
      </c>
      <c r="P5280" s="1">
        <v>0.13767426925031104</v>
      </c>
      <c r="Q5280" s="1">
        <v>1.6930798744667794</v>
      </c>
      <c r="R5280" s="2">
        <f t="shared" si="331"/>
        <v>50.566771160403377</v>
      </c>
      <c r="S5280" s="2">
        <f t="shared" si="330"/>
        <v>3.8914409024648471</v>
      </c>
      <c r="T5280" s="2">
        <f t="shared" si="332"/>
        <v>6.2369007503876031</v>
      </c>
      <c r="U5280" s="2">
        <f t="shared" si="333"/>
        <v>60.695112813255832</v>
      </c>
    </row>
    <row r="5281" spans="1:21" x14ac:dyDescent="0.25">
      <c r="A5281">
        <v>5664437</v>
      </c>
      <c r="B5281">
        <v>8</v>
      </c>
      <c r="C5281" s="1">
        <f>4.9203974077981*(10.3/7.3)</f>
        <v>6.9424785342904665</v>
      </c>
      <c r="D5281" s="1">
        <f>10.5195741126755*(10.3/7.3)</f>
        <v>14.842686761720193</v>
      </c>
      <c r="E5281" s="1">
        <f>36.3676763890573*(10.3/7.3)</f>
        <v>51.313296822916399</v>
      </c>
      <c r="F5281" s="1">
        <f>79.4036092306587*(38.9/42.5)</f>
        <v>72.677656448767607</v>
      </c>
      <c r="G5281" s="1">
        <v>3.4893656013840961</v>
      </c>
      <c r="H5281" s="1">
        <v>8.0110002317788567</v>
      </c>
      <c r="I5281" s="1">
        <v>52.230387617752854</v>
      </c>
      <c r="J5281" s="1">
        <v>5.2448120041097661E-2</v>
      </c>
      <c r="K5281" s="1">
        <v>2.8038356743148292</v>
      </c>
      <c r="L5281" s="1">
        <v>3.480007949146366</v>
      </c>
      <c r="M5281" s="1">
        <v>0.24198797498149249</v>
      </c>
      <c r="N5281" s="1">
        <v>2.1530820975069127</v>
      </c>
      <c r="O5281" s="1">
        <v>0.19750000000000006</v>
      </c>
      <c r="P5281" s="1">
        <v>0.13007032861227483</v>
      </c>
      <c r="Q5281" s="1">
        <v>5.5766116917097488</v>
      </c>
      <c r="R5281" s="2">
        <f t="shared" si="331"/>
        <v>215.08348371032022</v>
      </c>
      <c r="S5281" s="2">
        <f t="shared" si="330"/>
        <v>2.9863541229682014</v>
      </c>
      <c r="T5281" s="2">
        <f t="shared" si="332"/>
        <v>6.0725780216347705</v>
      </c>
      <c r="U5281" s="2">
        <f t="shared" si="333"/>
        <v>224.1424158549232</v>
      </c>
    </row>
    <row r="5282" spans="1:21" x14ac:dyDescent="0.25">
      <c r="A5282">
        <v>5664445</v>
      </c>
      <c r="B5282">
        <v>49</v>
      </c>
      <c r="C5282" s="1">
        <f>5.12861664238977*(10.3/7.3)</f>
        <v>7.2362673173444705</v>
      </c>
      <c r="D5282" s="1">
        <f>14.160518794005*(10.3/7.3)</f>
        <v>19.97991007921253</v>
      </c>
      <c r="E5282" s="1">
        <f>48.9638289474393*(10.3/7.3)</f>
        <v>69.085950432688392</v>
      </c>
      <c r="F5282" s="1">
        <f>91.413111298817*(38.9/42.5)</f>
        <v>83.669883047623074</v>
      </c>
      <c r="G5282" s="1">
        <v>3.504887785329327</v>
      </c>
      <c r="H5282" s="1">
        <v>7.5373776744306786</v>
      </c>
      <c r="I5282" s="1">
        <v>53.053188079846556</v>
      </c>
      <c r="J5282" s="1">
        <v>5.5333628489998725E-2</v>
      </c>
      <c r="K5282" s="1">
        <v>3.2281597206906651</v>
      </c>
      <c r="L5282" s="1">
        <v>3.9892140051835767</v>
      </c>
      <c r="M5282" s="1">
        <v>0.27120397629151372</v>
      </c>
      <c r="N5282" s="1">
        <v>3.2836947479430698</v>
      </c>
      <c r="O5282" s="1">
        <v>0.22049197278911559</v>
      </c>
      <c r="P5282" s="1">
        <v>0.14384222865462043</v>
      </c>
      <c r="Q5282" s="1">
        <v>5.601418835001212</v>
      </c>
      <c r="R5282" s="2">
        <f t="shared" si="331"/>
        <v>249.66888325147625</v>
      </c>
      <c r="S5282" s="2">
        <f t="shared" si="330"/>
        <v>3.4273355778352843</v>
      </c>
      <c r="T5282" s="2">
        <f t="shared" si="332"/>
        <v>7.7646047022072757</v>
      </c>
      <c r="U5282" s="2">
        <f t="shared" si="333"/>
        <v>260.8608235315188</v>
      </c>
    </row>
    <row r="5283" spans="1:21" x14ac:dyDescent="0.25">
      <c r="A5283">
        <v>5664461</v>
      </c>
      <c r="B5283">
        <v>67</v>
      </c>
      <c r="C5283" s="1">
        <f>5.21066742361119*(10.3/7.3)</f>
        <v>7.3520375976979881</v>
      </c>
      <c r="D5283" s="1">
        <f>8.79858262500321*(10.3/7.3)</f>
        <v>12.414438498292201</v>
      </c>
      <c r="E5283" s="1">
        <f>30.5304146778784*(10.3/7.3)</f>
        <v>43.077160435910557</v>
      </c>
      <c r="F5283" s="1">
        <f>71.9840687521089*(38.9/42.5)</f>
        <v>65.886594693106701</v>
      </c>
      <c r="G5283" s="1">
        <v>3.2963568155558556</v>
      </c>
      <c r="H5283" s="1">
        <v>7.0177322879386512</v>
      </c>
      <c r="I5283" s="1">
        <v>51.123620307016687</v>
      </c>
      <c r="J5283" s="1">
        <v>5.569401258687131E-2</v>
      </c>
      <c r="K5283" s="1">
        <v>3.2210244990091672</v>
      </c>
      <c r="L5283" s="1">
        <v>3.9026295595818508</v>
      </c>
      <c r="M5283" s="1">
        <v>0.25952783945214536</v>
      </c>
      <c r="N5283" s="1">
        <v>2.7940231115616538</v>
      </c>
      <c r="O5283" s="1">
        <v>0.21121114427860702</v>
      </c>
      <c r="P5283" s="1">
        <v>0.14008105918887365</v>
      </c>
      <c r="Q5283" s="1">
        <v>5.268150161847263</v>
      </c>
      <c r="R5283" s="2">
        <f t="shared" si="331"/>
        <v>195.43609079736595</v>
      </c>
      <c r="S5283" s="2">
        <f t="shared" si="330"/>
        <v>3.4167995707849124</v>
      </c>
      <c r="T5283" s="2">
        <f t="shared" si="332"/>
        <v>7.1673916548742564</v>
      </c>
      <c r="U5283" s="2">
        <f t="shared" si="333"/>
        <v>206.02028202302512</v>
      </c>
    </row>
    <row r="5284" spans="1:21" x14ac:dyDescent="0.25">
      <c r="A5284">
        <v>5664469</v>
      </c>
      <c r="B5284">
        <v>67</v>
      </c>
      <c r="C5284" s="1">
        <f>6.26744853537618*(10.3/7.3)</f>
        <v>8.8431123170376278</v>
      </c>
      <c r="D5284" s="1">
        <f>10.0771781459739*(10.3/7.3)</f>
        <v>14.218484233360462</v>
      </c>
      <c r="E5284" s="1">
        <f>34.9987560411909*(10.3/7.3)</f>
        <v>49.381806469077503</v>
      </c>
      <c r="F5284" s="1">
        <f>83.922220174051*(38.9/42.5)</f>
        <v>76.813514465190181</v>
      </c>
      <c r="G5284" s="1">
        <v>3.8747566186273992</v>
      </c>
      <c r="H5284" s="1">
        <v>7.7548260553776514</v>
      </c>
      <c r="I5284" s="1">
        <v>60.545609262295081</v>
      </c>
      <c r="J5284" s="1">
        <v>6.1509481664637468E-2</v>
      </c>
      <c r="K5284" s="1">
        <v>3.3881518655297191</v>
      </c>
      <c r="L5284" s="1">
        <v>4.3024781574199871</v>
      </c>
      <c r="M5284" s="1">
        <v>0.2761193226484065</v>
      </c>
      <c r="N5284" s="1">
        <v>2.9819936760387598</v>
      </c>
      <c r="O5284" s="1">
        <v>0.22444338308457712</v>
      </c>
      <c r="P5284" s="1">
        <v>0.14745176508706648</v>
      </c>
      <c r="Q5284" s="1">
        <v>6.1925334087652546</v>
      </c>
      <c r="R5284" s="2">
        <f t="shared" si="331"/>
        <v>227.62464282973119</v>
      </c>
      <c r="S5284" s="2">
        <f t="shared" si="330"/>
        <v>3.5971131122814231</v>
      </c>
      <c r="T5284" s="2">
        <f t="shared" si="332"/>
        <v>7.7850345391917299</v>
      </c>
      <c r="U5284" s="2">
        <f t="shared" si="333"/>
        <v>239.00679048120435</v>
      </c>
    </row>
    <row r="5285" spans="1:21" x14ac:dyDescent="0.25">
      <c r="A5285">
        <v>5664477</v>
      </c>
      <c r="B5285">
        <v>50</v>
      </c>
      <c r="C5285" s="1">
        <f>6.02734991174409*(10.3/7.3)</f>
        <v>8.504343026159475</v>
      </c>
      <c r="D5285" s="1">
        <f>9.41269182061619*(10.3/7.3)</f>
        <v>13.280921335937906</v>
      </c>
      <c r="E5285" s="1">
        <f>32.6955043580931*(10.3/7.3)</f>
        <v>46.13201299840533</v>
      </c>
      <c r="F5285" s="1">
        <f>79.910242379783*(38.9/42.5)</f>
        <v>73.141374789966079</v>
      </c>
      <c r="G5285" s="1">
        <v>3.7340999971553868</v>
      </c>
      <c r="H5285" s="1">
        <v>7.6759817892540037</v>
      </c>
      <c r="I5285" s="1">
        <v>58.307875896601317</v>
      </c>
      <c r="J5285" s="1">
        <v>6.0604321439147658E-2</v>
      </c>
      <c r="K5285" s="1">
        <v>3.2092378326249218</v>
      </c>
      <c r="L5285" s="1">
        <v>3.9680323124606356</v>
      </c>
      <c r="M5285" s="1">
        <v>0.25418102484340382</v>
      </c>
      <c r="N5285" s="1">
        <v>2.5406858946150255</v>
      </c>
      <c r="O5285" s="1">
        <v>0.20712213333333335</v>
      </c>
      <c r="P5285" s="1">
        <v>0.13819354711145027</v>
      </c>
      <c r="Q5285" s="1">
        <v>5.9677397214812151</v>
      </c>
      <c r="R5285" s="2">
        <f t="shared" si="331"/>
        <v>216.74434955496071</v>
      </c>
      <c r="S5285" s="2">
        <f t="shared" si="330"/>
        <v>3.4080357011755198</v>
      </c>
      <c r="T5285" s="2">
        <f t="shared" si="332"/>
        <v>6.970021365252399</v>
      </c>
      <c r="U5285" s="2">
        <f t="shared" si="333"/>
        <v>227.12240662138862</v>
      </c>
    </row>
    <row r="5286" spans="1:21" x14ac:dyDescent="0.25">
      <c r="A5286">
        <v>5664485</v>
      </c>
      <c r="B5286">
        <v>27</v>
      </c>
      <c r="C5286" s="1">
        <f>3.14640201258871*(10.3/7.3)</f>
        <v>4.4394439355703703</v>
      </c>
      <c r="D5286" s="1">
        <f>5.15564567077013*(10.3/7.3)</f>
        <v>7.2744041656071747</v>
      </c>
      <c r="E5286" s="1">
        <f>17.7206051399028*(10.3/7.3)</f>
        <v>25.003045608355972</v>
      </c>
      <c r="F5286" s="1">
        <f>51.3137138932068*(38.9/42.5)</f>
        <v>46.967140481076328</v>
      </c>
      <c r="G5286" s="1">
        <v>2.7080845730500651</v>
      </c>
      <c r="H5286" s="1">
        <v>7.9480951258401076</v>
      </c>
      <c r="I5286" s="1">
        <v>38.405394394636829</v>
      </c>
      <c r="J5286" s="1">
        <v>3.6136380442029326E-2</v>
      </c>
      <c r="K5286" s="1">
        <v>2.3422050851266865</v>
      </c>
      <c r="L5286" s="1">
        <v>2.4390393185610604</v>
      </c>
      <c r="M5286" s="1">
        <v>0.17003425066469935</v>
      </c>
      <c r="N5286" s="1">
        <v>1.6406796829927199</v>
      </c>
      <c r="O5286" s="1">
        <v>0.13767111111111111</v>
      </c>
      <c r="P5286" s="1">
        <v>0.10027651999173785</v>
      </c>
      <c r="Q5286" s="1">
        <v>4.3279890436873245</v>
      </c>
      <c r="R5286" s="2">
        <f t="shared" si="331"/>
        <v>137.07359732782416</v>
      </c>
      <c r="S5286" s="2">
        <f t="shared" si="330"/>
        <v>2.4786179855604535</v>
      </c>
      <c r="T5286" s="2">
        <f t="shared" si="332"/>
        <v>4.3874243633295915</v>
      </c>
      <c r="U5286" s="2">
        <f t="shared" si="333"/>
        <v>143.93963967671419</v>
      </c>
    </row>
    <row r="5287" spans="1:21" x14ac:dyDescent="0.25">
      <c r="A5287">
        <v>5664493</v>
      </c>
      <c r="B5287">
        <v>11</v>
      </c>
      <c r="C5287" s="1">
        <f>3.2575924791683*(10.3/7.3)</f>
        <v>4.5963291144429439</v>
      </c>
      <c r="D5287" s="1">
        <f>4.88542732972146*(10.3/7.3)</f>
        <v>6.8931371912508261</v>
      </c>
      <c r="E5287" s="1">
        <f>16.9606605260669*(10.3/7.3)</f>
        <v>23.930794988834066</v>
      </c>
      <c r="F5287" s="1">
        <f>43.2191411008192*(38.9/42.5)</f>
        <v>39.558225619338067</v>
      </c>
      <c r="G5287" s="1">
        <v>2.0760595683202694</v>
      </c>
      <c r="H5287" s="1">
        <v>8.3558791185802512</v>
      </c>
      <c r="I5287" s="1">
        <v>32.12147882788517</v>
      </c>
      <c r="J5287" s="1">
        <v>3.0677591673096596E-2</v>
      </c>
      <c r="K5287" s="1">
        <v>1.9455404305041939</v>
      </c>
      <c r="L5287" s="1">
        <v>2.4899265302189488</v>
      </c>
      <c r="M5287" s="1">
        <v>0.15323647805939339</v>
      </c>
      <c r="N5287" s="1">
        <v>1.3762593385200408</v>
      </c>
      <c r="O5287" s="1">
        <v>0.12184242424242422</v>
      </c>
      <c r="P5287" s="1">
        <v>9.0568913703247586E-2</v>
      </c>
      <c r="Q5287" s="1">
        <v>3.3179034196899311</v>
      </c>
      <c r="R5287" s="2">
        <f t="shared" si="331"/>
        <v>120.84980784834153</v>
      </c>
      <c r="S5287" s="2">
        <f t="shared" si="330"/>
        <v>2.066786935880538</v>
      </c>
      <c r="T5287" s="2">
        <f t="shared" si="332"/>
        <v>4.1412647710408077</v>
      </c>
      <c r="U5287" s="2">
        <f t="shared" si="333"/>
        <v>127.05785955526288</v>
      </c>
    </row>
    <row r="5288" spans="1:21" x14ac:dyDescent="0.25">
      <c r="A5288">
        <v>5664597</v>
      </c>
      <c r="B5288">
        <v>15</v>
      </c>
      <c r="C5288" s="1">
        <f>8.30385311526567*(10.3/7.3)</f>
        <v>11.716395491402245</v>
      </c>
      <c r="D5288" s="1">
        <f>10.2735569099641*(10.3/7.3)</f>
        <v>14.495566598990413</v>
      </c>
      <c r="E5288" s="1">
        <f>36.2220537766286*(10.3/7.3)</f>
        <v>51.107829301270435</v>
      </c>
      <c r="F5288" s="1">
        <f>78.58522252128*(38.9/42.5)</f>
        <v>71.928591907712743</v>
      </c>
      <c r="G5288" s="1">
        <v>3.1743565957278892</v>
      </c>
      <c r="H5288" s="1">
        <v>9.9493888022839148</v>
      </c>
      <c r="I5288" s="1">
        <v>59.644489324350921</v>
      </c>
      <c r="J5288" s="1">
        <v>3.5600479523062112E-2</v>
      </c>
      <c r="K5288" s="1">
        <v>2.1549040237565795</v>
      </c>
      <c r="L5288" s="1">
        <v>2.4026121936265432</v>
      </c>
      <c r="M5288" s="1">
        <v>0.14140855842965883</v>
      </c>
      <c r="N5288" s="1">
        <v>1.5449663572689691</v>
      </c>
      <c r="O5288" s="1">
        <v>0.12576355555555555</v>
      </c>
      <c r="P5288" s="1">
        <v>9.2632959342939969E-2</v>
      </c>
      <c r="Q5288" s="1">
        <v>5.0731726415742564</v>
      </c>
      <c r="R5288" s="2">
        <f t="shared" si="331"/>
        <v>227.08979066331284</v>
      </c>
      <c r="S5288" s="2">
        <f t="shared" si="330"/>
        <v>2.2831374626225815</v>
      </c>
      <c r="T5288" s="2">
        <f t="shared" si="332"/>
        <v>4.214750664880726</v>
      </c>
      <c r="U5288" s="2">
        <f t="shared" si="333"/>
        <v>233.58767879081617</v>
      </c>
    </row>
    <row r="5289" spans="1:21" x14ac:dyDescent="0.25">
      <c r="A5289">
        <v>5664693</v>
      </c>
      <c r="B5289">
        <v>6</v>
      </c>
      <c r="C5289" s="1">
        <f>7.58745891883466*(10.3/7.3)</f>
        <v>10.705592721095485</v>
      </c>
      <c r="D5289" s="1">
        <f>11.2545870306143*(10.3/7.3)</f>
        <v>15.879759782921521</v>
      </c>
      <c r="E5289" s="1">
        <f>39.3116443796206*(10.3/7.3)</f>
        <v>55.467114672615331</v>
      </c>
      <c r="F5289" s="1">
        <f>88.8005648366104*(38.9/42.5)</f>
        <v>81.278634638685716</v>
      </c>
      <c r="G5289" s="1">
        <v>3.8497424846111805</v>
      </c>
      <c r="H5289" s="1">
        <v>10.549209592914304</v>
      </c>
      <c r="I5289" s="1">
        <v>64.465888495689526</v>
      </c>
      <c r="J5289" s="1">
        <v>3.9524028597236707E-2</v>
      </c>
      <c r="K5289" s="1">
        <v>2.2601333444300047</v>
      </c>
      <c r="L5289" s="1">
        <v>2.4524996760943405</v>
      </c>
      <c r="M5289" s="1">
        <v>0.13006980319755182</v>
      </c>
      <c r="N5289" s="1">
        <v>1.6203449481049434</v>
      </c>
      <c r="O5289" s="1">
        <v>0.12003555555555555</v>
      </c>
      <c r="P5289" s="1">
        <v>8.9459242957328544E-2</v>
      </c>
      <c r="Q5289" s="1">
        <v>6.152556482255318</v>
      </c>
      <c r="R5289" s="2">
        <f t="shared" si="331"/>
        <v>248.34849887078838</v>
      </c>
      <c r="S5289" s="2">
        <f t="shared" si="330"/>
        <v>2.38911661598457</v>
      </c>
      <c r="T5289" s="2">
        <f t="shared" si="332"/>
        <v>4.3229499829523919</v>
      </c>
      <c r="U5289" s="2">
        <f t="shared" si="333"/>
        <v>255.06056546972533</v>
      </c>
    </row>
    <row r="5290" spans="1:21" x14ac:dyDescent="0.25">
      <c r="A5290">
        <v>5664701</v>
      </c>
      <c r="B5290">
        <v>20</v>
      </c>
      <c r="C5290" s="1">
        <f>8.48261975453445*(10.3/7.3)</f>
        <v>11.968627872836281</v>
      </c>
      <c r="D5290" s="1">
        <f>12.6841975206878*(10.3/7.3)</f>
        <v>17.896881433299161</v>
      </c>
      <c r="E5290" s="1">
        <f>44.2953007653913*(10.3/7.3)</f>
        <v>62.498849025141148</v>
      </c>
      <c r="F5290" s="1">
        <f>99.8693023780316*(38.9/42.5)</f>
        <v>91.409785000127741</v>
      </c>
      <c r="G5290" s="1">
        <v>4.326936734898478</v>
      </c>
      <c r="H5290" s="1">
        <v>9.9242516420269595</v>
      </c>
      <c r="I5290" s="1">
        <v>72.313067175430248</v>
      </c>
      <c r="J5290" s="1">
        <v>4.0823014707446488E-2</v>
      </c>
      <c r="K5290" s="1">
        <v>2.2987036739766653</v>
      </c>
      <c r="L5290" s="1">
        <v>2.4991589554262292</v>
      </c>
      <c r="M5290" s="1">
        <v>0.13235873313992275</v>
      </c>
      <c r="N5290" s="1">
        <v>1.6391013222568738</v>
      </c>
      <c r="O5290" s="1">
        <v>0.12143733333333333</v>
      </c>
      <c r="P5290" s="1">
        <v>9.0539899875873256E-2</v>
      </c>
      <c r="Q5290" s="1">
        <v>6.9151956950432378</v>
      </c>
      <c r="R5290" s="2">
        <f t="shared" si="331"/>
        <v>277.25359457880324</v>
      </c>
      <c r="S5290" s="2">
        <f t="shared" si="330"/>
        <v>2.4300665885599848</v>
      </c>
      <c r="T5290" s="2">
        <f t="shared" si="332"/>
        <v>4.3920563441563596</v>
      </c>
      <c r="U5290" s="2">
        <f t="shared" si="333"/>
        <v>284.0757175115196</v>
      </c>
    </row>
    <row r="5291" spans="1:21" x14ac:dyDescent="0.25">
      <c r="A5291">
        <v>5664765</v>
      </c>
      <c r="B5291">
        <v>5</v>
      </c>
      <c r="C5291" s="1">
        <f>8.82933277232162*(10.3/7.3)</f>
        <v>12.457825692453792</v>
      </c>
      <c r="D5291" s="1">
        <f>61.3142349195228*(10.3/7.3)</f>
        <v>86.511865708367779</v>
      </c>
      <c r="E5291" s="1">
        <f>212.385837505607*(10.3/7.3)</f>
        <v>299.66768853530886</v>
      </c>
      <c r="F5291" s="1">
        <f>243.005368064933*(38.9/42.5)</f>
        <v>222.42138394649135</v>
      </c>
      <c r="G5291" s="1">
        <v>3.2744270107403572</v>
      </c>
      <c r="H5291" s="1">
        <v>9.044674972100319</v>
      </c>
      <c r="I5291" s="1">
        <v>62.360399963661351</v>
      </c>
      <c r="J5291" s="1">
        <v>2.9797474064690278E-2</v>
      </c>
      <c r="K5291" s="1">
        <v>1.8417892563221443</v>
      </c>
      <c r="L5291" s="1">
        <v>1.875575642565682</v>
      </c>
      <c r="M5291" s="1">
        <v>0.10029867580830135</v>
      </c>
      <c r="N5291" s="1">
        <v>1.2091963883174066</v>
      </c>
      <c r="O5291" s="1">
        <v>9.4037333333333334E-2</v>
      </c>
      <c r="P5291" s="1">
        <v>7.2571132394535637E-2</v>
      </c>
      <c r="Q5291" s="1">
        <v>5.2331025285804849</v>
      </c>
      <c r="R5291" s="2">
        <f t="shared" si="331"/>
        <v>700.97136835770436</v>
      </c>
      <c r="S5291" s="2">
        <f t="shared" si="330"/>
        <v>1.9441578627813703</v>
      </c>
      <c r="T5291" s="2">
        <f t="shared" si="332"/>
        <v>3.2791080400247234</v>
      </c>
      <c r="U5291" s="2">
        <f t="shared" si="333"/>
        <v>706.1946342605105</v>
      </c>
    </row>
    <row r="5292" spans="1:21" x14ac:dyDescent="0.25">
      <c r="A5292">
        <v>5664773</v>
      </c>
      <c r="B5292">
        <v>29</v>
      </c>
      <c r="C5292" s="1">
        <f>5.41201653869576*(10.3/7.3)</f>
        <v>7.6361329244611467</v>
      </c>
      <c r="D5292" s="1">
        <f>8.03715666423926*(10.3/7.3)</f>
        <v>11.340097759132114</v>
      </c>
      <c r="E5292" s="1">
        <f>28.01334075276*(10.3/7.3)</f>
        <v>39.525672568962811</v>
      </c>
      <c r="F5292" s="1">
        <f>66.2587777762044*(38.9/42.5)</f>
        <v>60.64626954104358</v>
      </c>
      <c r="G5292" s="1">
        <v>2.9942688202012731</v>
      </c>
      <c r="H5292" s="1">
        <v>6.6858552823524313</v>
      </c>
      <c r="I5292" s="1">
        <v>48.589743441971649</v>
      </c>
      <c r="J5292" s="1">
        <v>2.9960822777606096E-2</v>
      </c>
      <c r="K5292" s="1">
        <v>1.8987257300307969</v>
      </c>
      <c r="L5292" s="1">
        <v>1.9337874008036753</v>
      </c>
      <c r="M5292" s="1">
        <v>0.10371436022079596</v>
      </c>
      <c r="N5292" s="1">
        <v>1.2402080566752613</v>
      </c>
      <c r="O5292" s="1">
        <v>9.6351264367816089E-2</v>
      </c>
      <c r="P5292" s="1">
        <v>7.4599762880412854E-2</v>
      </c>
      <c r="Q5292" s="1">
        <v>4.7853611281755564</v>
      </c>
      <c r="R5292" s="2">
        <f t="shared" si="331"/>
        <v>182.20340146630056</v>
      </c>
      <c r="S5292" s="2">
        <f t="shared" si="330"/>
        <v>2.0032863156888157</v>
      </c>
      <c r="T5292" s="2">
        <f t="shared" si="332"/>
        <v>3.3740610820675485</v>
      </c>
      <c r="U5292" s="2">
        <f t="shared" si="333"/>
        <v>187.58074886405694</v>
      </c>
    </row>
    <row r="5293" spans="1:21" x14ac:dyDescent="0.25">
      <c r="A5293">
        <v>5664781</v>
      </c>
      <c r="B5293">
        <v>18</v>
      </c>
      <c r="C5293" s="1">
        <f>5.90025057074151*(10.3/7.3)</f>
        <v>8.3250110792654173</v>
      </c>
      <c r="D5293" s="1">
        <f>7.59863239845382*(10.3/7.3)</f>
        <v>10.721358041654026</v>
      </c>
      <c r="E5293" s="1">
        <f>26.6812765659024*(10.3/7.3)</f>
        <v>37.646184743670446</v>
      </c>
      <c r="F5293" s="1">
        <f>61.0082424012386*(38.9/42.5)</f>
        <v>55.840485397839601</v>
      </c>
      <c r="G5293" s="1">
        <v>2.6180561697418501</v>
      </c>
      <c r="H5293" s="1">
        <v>6.9068406701578162</v>
      </c>
      <c r="I5293" s="1">
        <v>46.186655735626019</v>
      </c>
      <c r="J5293" s="1">
        <v>2.9830665347413403E-2</v>
      </c>
      <c r="K5293" s="1">
        <v>1.8965717137967464</v>
      </c>
      <c r="L5293" s="1">
        <v>1.9254224215141496</v>
      </c>
      <c r="M5293" s="1">
        <v>0.10250180793937087</v>
      </c>
      <c r="N5293" s="1">
        <v>1.2165309552828991</v>
      </c>
      <c r="O5293" s="1">
        <v>9.580148148148146E-2</v>
      </c>
      <c r="P5293" s="1">
        <v>7.4160589076844127E-2</v>
      </c>
      <c r="Q5293" s="1">
        <v>4.1841080338340122</v>
      </c>
      <c r="R5293" s="2">
        <f t="shared" si="331"/>
        <v>172.42869987178918</v>
      </c>
      <c r="S5293" s="2">
        <f t="shared" si="330"/>
        <v>2.0005629682210038</v>
      </c>
      <c r="T5293" s="2">
        <f t="shared" si="332"/>
        <v>3.340256666217901</v>
      </c>
      <c r="U5293" s="2">
        <f t="shared" si="333"/>
        <v>177.76951950622808</v>
      </c>
    </row>
    <row r="5294" spans="1:21" x14ac:dyDescent="0.25">
      <c r="A5294">
        <v>5664821</v>
      </c>
      <c r="B5294">
        <v>31</v>
      </c>
      <c r="C5294" s="1">
        <f>5.75570205140895*(10.3/7.3)</f>
        <v>8.1210590588372824</v>
      </c>
      <c r="D5294" s="1">
        <f>6.64376233482056*(10.3/7.3)</f>
        <v>9.374075623102982</v>
      </c>
      <c r="E5294" s="1">
        <f>23.3805475638613*(10.3/7.3)</f>
        <v>32.98899176818793</v>
      </c>
      <c r="F5294" s="1">
        <f>56.8215180021011*(38.9/42.5)</f>
        <v>52.008401183099629</v>
      </c>
      <c r="G5294" s="1">
        <v>2.5331297242036461</v>
      </c>
      <c r="H5294" s="1">
        <v>7.4210878418776725</v>
      </c>
      <c r="I5294" s="1">
        <v>44.83687408722146</v>
      </c>
      <c r="J5294" s="1">
        <v>2.822278008712438E-2</v>
      </c>
      <c r="K5294" s="1">
        <v>1.8850769621650685</v>
      </c>
      <c r="L5294" s="1">
        <v>1.8814921694006397</v>
      </c>
      <c r="M5294" s="1">
        <v>9.6090933222010247E-2</v>
      </c>
      <c r="N5294" s="1">
        <v>1.1552526900012026</v>
      </c>
      <c r="O5294" s="1">
        <v>9.4561720430107535E-2</v>
      </c>
      <c r="P5294" s="1">
        <v>7.2919835269166858E-2</v>
      </c>
      <c r="Q5294" s="1">
        <v>4.0483808377683879</v>
      </c>
      <c r="R5294" s="2">
        <f t="shared" si="331"/>
        <v>161.33200012429899</v>
      </c>
      <c r="S5294" s="2">
        <f t="shared" si="330"/>
        <v>1.9862195775213598</v>
      </c>
      <c r="T5294" s="2">
        <f t="shared" si="332"/>
        <v>3.2273975130539605</v>
      </c>
      <c r="U5294" s="2">
        <f t="shared" si="333"/>
        <v>166.54561721487431</v>
      </c>
    </row>
    <row r="5295" spans="1:21" x14ac:dyDescent="0.25">
      <c r="A5295">
        <v>5676161</v>
      </c>
      <c r="B5295">
        <v>48</v>
      </c>
      <c r="C5295" s="1">
        <f>0.483580188759084*(10.3/7.3)</f>
        <v>0.68231177318062497</v>
      </c>
      <c r="D5295" s="1">
        <f>0.740915663673385*(10.3/7.3)</f>
        <v>1.045401552854228</v>
      </c>
      <c r="E5295" s="1">
        <f>2.56221404481732*(10.3/7.3)</f>
        <v>3.615178720769646</v>
      </c>
      <c r="F5295" s="1">
        <f>6.93453353780482*(38.9/42.5)</f>
        <v>6.3471377557789976</v>
      </c>
      <c r="G5295" s="1">
        <v>0.34848055663897815</v>
      </c>
      <c r="H5295" s="1">
        <v>1.4176042742906187</v>
      </c>
      <c r="I5295" s="1">
        <v>5.1914435919831226</v>
      </c>
      <c r="J5295" s="1">
        <v>3.6145200805395024E-2</v>
      </c>
      <c r="K5295" s="1">
        <v>6.5278107879716387</v>
      </c>
      <c r="L5295" s="1">
        <v>1.7990145416618535</v>
      </c>
      <c r="M5295" s="1">
        <v>0.73187928791754875</v>
      </c>
      <c r="N5295" s="1">
        <v>1.1150035292014284</v>
      </c>
      <c r="O5295" s="1">
        <v>1.1893555555555555</v>
      </c>
      <c r="P5295" s="1">
        <v>0.12724545313656779</v>
      </c>
      <c r="Q5295" s="1">
        <v>0.5569323964549886</v>
      </c>
      <c r="R5295" s="2">
        <f t="shared" si="331"/>
        <v>19.204490621951205</v>
      </c>
      <c r="S5295" s="2">
        <f t="shared" si="330"/>
        <v>6.6912014419136012</v>
      </c>
      <c r="T5295" s="2">
        <f t="shared" si="332"/>
        <v>4.8352529143363858</v>
      </c>
      <c r="U5295" s="2">
        <f t="shared" si="333"/>
        <v>30.730944978201194</v>
      </c>
    </row>
    <row r="5296" spans="1:21" x14ac:dyDescent="0.25">
      <c r="A5296">
        <v>5676169</v>
      </c>
      <c r="B5296">
        <v>33</v>
      </c>
      <c r="C5296" s="1">
        <f>0.628118248713901*(10.3/7.3)</f>
        <v>0.88624903585659986</v>
      </c>
      <c r="D5296" s="1">
        <f>1.00301246428223*(10.3/7.3)</f>
        <v>1.4152093674119186</v>
      </c>
      <c r="E5296" s="1">
        <f>3.45284403230171*(10.3/7.3)</f>
        <v>4.8718210318777606</v>
      </c>
      <c r="F5296" s="1">
        <f>9.88389745286309*(38.9/42.5)</f>
        <v>9.0466731980323374</v>
      </c>
      <c r="G5296" s="1">
        <v>0.51686249053551414</v>
      </c>
      <c r="H5296" s="1">
        <v>1.8700337151029396</v>
      </c>
      <c r="I5296" s="1">
        <v>7.417474723850062</v>
      </c>
      <c r="J5296" s="1">
        <v>5.01510681162241E-2</v>
      </c>
      <c r="K5296" s="1">
        <v>9.3606268409045761</v>
      </c>
      <c r="L5296" s="1">
        <v>2.1422934756518037</v>
      </c>
      <c r="M5296" s="1">
        <v>0.88415327170329294</v>
      </c>
      <c r="N5296" s="1">
        <v>1.3588841979271349</v>
      </c>
      <c r="O5296" s="1">
        <v>2.4452525252525246</v>
      </c>
      <c r="P5296" s="1">
        <v>0.13937344088156928</v>
      </c>
      <c r="Q5296" s="1">
        <v>0.82603594377821976</v>
      </c>
      <c r="R5296" s="2">
        <f t="shared" si="331"/>
        <v>26.850359506445351</v>
      </c>
      <c r="S5296" s="2">
        <f t="shared" si="330"/>
        <v>9.550151349902368</v>
      </c>
      <c r="T5296" s="2">
        <f t="shared" si="332"/>
        <v>6.8305834705347568</v>
      </c>
      <c r="U5296" s="2">
        <f t="shared" si="333"/>
        <v>43.231094326882477</v>
      </c>
    </row>
    <row r="5297" spans="1:21" x14ac:dyDescent="0.25">
      <c r="A5297">
        <v>5676177</v>
      </c>
      <c r="B5297">
        <v>31</v>
      </c>
      <c r="C5297" s="1">
        <f>0.809650154412334*(10.3/7.3)</f>
        <v>1.142383094581787</v>
      </c>
      <c r="D5297" s="1">
        <f>1.34635052061115*(10.3/7.3)</f>
        <v>1.8996452551088778</v>
      </c>
      <c r="E5297" s="1">
        <f>4.6156622858966*(10.3/7.3)</f>
        <v>6.5125098006486253</v>
      </c>
      <c r="F5297" s="1">
        <f>13.8568317306779*(38.9/42.5)</f>
        <v>12.683076572314608</v>
      </c>
      <c r="G5297" s="1">
        <v>0.74755846551562111</v>
      </c>
      <c r="H5297" s="1">
        <v>2.4524253478596645</v>
      </c>
      <c r="I5297" s="1">
        <v>10.41503159213732</v>
      </c>
      <c r="J5297" s="1">
        <v>9.257110194288154E-2</v>
      </c>
      <c r="K5297" s="1">
        <v>14.824085008400724</v>
      </c>
      <c r="L5297" s="1">
        <v>3.1694668403196551</v>
      </c>
      <c r="M5297" s="1">
        <v>1.3774843657245222</v>
      </c>
      <c r="N5297" s="1">
        <v>2.1361560917544238</v>
      </c>
      <c r="O5297" s="1">
        <v>2.5766365591397848</v>
      </c>
      <c r="P5297" s="1">
        <v>0.17050172574344005</v>
      </c>
      <c r="Q5297" s="1">
        <v>1.1947281412350124</v>
      </c>
      <c r="R5297" s="2">
        <f t="shared" si="331"/>
        <v>37.047358269401514</v>
      </c>
      <c r="S5297" s="2">
        <f t="shared" si="330"/>
        <v>15.087157836087046</v>
      </c>
      <c r="T5297" s="2">
        <f t="shared" si="332"/>
        <v>9.2597438569383854</v>
      </c>
      <c r="U5297" s="2">
        <f t="shared" si="333"/>
        <v>61.394259962426943</v>
      </c>
    </row>
    <row r="5298" spans="1:21" x14ac:dyDescent="0.25">
      <c r="A5298">
        <v>5676185</v>
      </c>
      <c r="B5298">
        <v>32</v>
      </c>
      <c r="C5298" s="1">
        <f>0.95007531855723*(10.3/7.3)</f>
        <v>1.3405172302930786</v>
      </c>
      <c r="D5298" s="1">
        <f>1.62116123172416*(10.3/7.3)</f>
        <v>2.2873918748984736</v>
      </c>
      <c r="E5298" s="1">
        <f>5.54312543108296*(10.3/7.3)</f>
        <v>7.8211221835828137</v>
      </c>
      <c r="F5298" s="1">
        <f>17.146083993559*(38.9/42.5)</f>
        <v>15.693709819986923</v>
      </c>
      <c r="G5298" s="1">
        <v>0.94205293532159429</v>
      </c>
      <c r="H5298" s="1">
        <v>2.9824904736279887</v>
      </c>
      <c r="I5298" s="1">
        <v>12.902211161480247</v>
      </c>
      <c r="J5298" s="1">
        <v>9.2908659067583749E-2</v>
      </c>
      <c r="K5298" s="1">
        <v>15.456681627720521</v>
      </c>
      <c r="L5298" s="1">
        <v>3.577172843231323</v>
      </c>
      <c r="M5298" s="1">
        <v>1.6038577469311086</v>
      </c>
      <c r="N5298" s="1">
        <v>2.3554829037863532</v>
      </c>
      <c r="O5298" s="1">
        <v>1.8430333333333333</v>
      </c>
      <c r="P5298" s="1">
        <v>0.18002290941860344</v>
      </c>
      <c r="Q5298" s="1">
        <v>1.5055640518838287</v>
      </c>
      <c r="R5298" s="2">
        <f t="shared" si="331"/>
        <v>45.47505973107495</v>
      </c>
      <c r="S5298" s="2">
        <f t="shared" si="330"/>
        <v>15.729613196206708</v>
      </c>
      <c r="T5298" s="2">
        <f t="shared" si="332"/>
        <v>9.3795468272821179</v>
      </c>
      <c r="U5298" s="2">
        <f t="shared" si="333"/>
        <v>70.584219754563776</v>
      </c>
    </row>
    <row r="5299" spans="1:21" x14ac:dyDescent="0.25">
      <c r="A5299">
        <v>5676233</v>
      </c>
      <c r="B5299">
        <v>3</v>
      </c>
      <c r="C5299" s="1">
        <f>0.534374840740324*(10.3/7.3)</f>
        <v>0.75398093967470403</v>
      </c>
      <c r="D5299" s="1">
        <f>1.18356868441383*(10.3/7.3)</f>
        <v>1.6699667738989676</v>
      </c>
      <c r="E5299" s="1">
        <f>3.93065782655677*(10.3/7.3)</f>
        <v>5.5459966593883223</v>
      </c>
      <c r="F5299" s="1">
        <f>16.5496315042765*(38.9/42.5)</f>
        <v>15.147780365090714</v>
      </c>
      <c r="G5299" s="1">
        <v>1.0490226385742341</v>
      </c>
      <c r="H5299" s="1">
        <v>7.2567454621533303</v>
      </c>
      <c r="I5299" s="1">
        <v>12.708096575357894</v>
      </c>
      <c r="J5299" s="1">
        <v>4.4607386698384315E-2</v>
      </c>
      <c r="K5299" s="1">
        <v>5.0232808848892443</v>
      </c>
      <c r="L5299" s="1">
        <v>2.3567273829640851</v>
      </c>
      <c r="M5299" s="1">
        <v>1.3210233239407148</v>
      </c>
      <c r="N5299" s="1">
        <v>1.8228211709277782</v>
      </c>
      <c r="O5299" s="1">
        <v>0.39470222222222223</v>
      </c>
      <c r="P5299" s="1">
        <v>0.13363963255680453</v>
      </c>
      <c r="Q5299" s="1">
        <v>1.6765201986346223</v>
      </c>
      <c r="R5299" s="2">
        <f t="shared" si="331"/>
        <v>45.808109612772782</v>
      </c>
      <c r="S5299" s="2">
        <f t="shared" si="330"/>
        <v>5.2015279041444336</v>
      </c>
      <c r="T5299" s="2">
        <f t="shared" si="332"/>
        <v>5.8952741000548006</v>
      </c>
      <c r="U5299" s="2">
        <f t="shared" si="333"/>
        <v>56.904911616972015</v>
      </c>
    </row>
    <row r="5300" spans="1:21" x14ac:dyDescent="0.25">
      <c r="A5300">
        <v>5676241</v>
      </c>
      <c r="B5300">
        <v>21</v>
      </c>
      <c r="C5300" s="1">
        <f>0.55855684329379*(10.3/7.3)</f>
        <v>0.78810075149671788</v>
      </c>
      <c r="D5300" s="1">
        <f>1.02218707091817*(10.3/7.3)</f>
        <v>1.4422639493776985</v>
      </c>
      <c r="E5300" s="1">
        <f>3.46410315062248*(10.3/7.3)</f>
        <v>4.8877071851248672</v>
      </c>
      <c r="F5300" s="1">
        <f>11.9058051428213*(38.9/42.5)</f>
        <v>10.89731341307645</v>
      </c>
      <c r="G5300" s="1">
        <v>0.69182756127735512</v>
      </c>
      <c r="H5300" s="1">
        <v>8.0824407930245705</v>
      </c>
      <c r="I5300" s="1">
        <v>9.0341776358673336</v>
      </c>
      <c r="J5300" s="1">
        <v>4.9286226041343764E-2</v>
      </c>
      <c r="K5300" s="1">
        <v>5.0057156074540554</v>
      </c>
      <c r="L5300" s="1">
        <v>2.497960795202165</v>
      </c>
      <c r="M5300" s="1">
        <v>1.3399444358358092</v>
      </c>
      <c r="N5300" s="1">
        <v>1.7426450207300082</v>
      </c>
      <c r="O5300" s="1">
        <v>0.37778539682539691</v>
      </c>
      <c r="P5300" s="1">
        <v>0.13493215364079589</v>
      </c>
      <c r="Q5300" s="1">
        <v>1.1056604860597012</v>
      </c>
      <c r="R5300" s="2">
        <f t="shared" si="331"/>
        <v>36.929491775304697</v>
      </c>
      <c r="S5300" s="2">
        <f t="shared" si="330"/>
        <v>5.1899339871361949</v>
      </c>
      <c r="T5300" s="2">
        <f t="shared" si="332"/>
        <v>5.9583356485933789</v>
      </c>
      <c r="U5300" s="2">
        <f t="shared" si="333"/>
        <v>48.077761411034267</v>
      </c>
    </row>
    <row r="5301" spans="1:21" x14ac:dyDescent="0.25">
      <c r="A5301">
        <v>5676265</v>
      </c>
      <c r="B5301">
        <v>7</v>
      </c>
      <c r="C5301" s="1">
        <f>0.612857292949143*(10.3/7.3)</f>
        <v>0.86471645443509171</v>
      </c>
      <c r="D5301" s="1">
        <f>1.05510034352042*(10.3/7.3)</f>
        <v>1.4887032244192167</v>
      </c>
      <c r="E5301" s="1">
        <f>3.60488741212738*(10.3/7.3)</f>
        <v>5.0863479924537032</v>
      </c>
      <c r="F5301" s="1">
        <f>11.2370856538097*(38.9/42.5)</f>
        <v>10.285238398428151</v>
      </c>
      <c r="G5301" s="1">
        <v>0.62031803771386573</v>
      </c>
      <c r="H5301" s="1">
        <v>3.1648348582886441</v>
      </c>
      <c r="I5301" s="1">
        <v>8.4553981422927631</v>
      </c>
      <c r="J5301" s="1">
        <v>5.8207056797590959E-2</v>
      </c>
      <c r="K5301" s="1">
        <v>4.3411060787453399</v>
      </c>
      <c r="L5301" s="1">
        <v>2.7419444572767984</v>
      </c>
      <c r="M5301" s="1">
        <v>1.2221906185620866</v>
      </c>
      <c r="N5301" s="1">
        <v>2.3578354768515233</v>
      </c>
      <c r="O5301" s="1">
        <v>0.31465142857142858</v>
      </c>
      <c r="P5301" s="1">
        <v>0.13282956734161</v>
      </c>
      <c r="Q5301" s="1">
        <v>0.99137585936006034</v>
      </c>
      <c r="R5301" s="2">
        <f t="shared" si="331"/>
        <v>30.956932967391495</v>
      </c>
      <c r="S5301" s="2">
        <f t="shared" si="330"/>
        <v>4.5321427028845411</v>
      </c>
      <c r="T5301" s="2">
        <f t="shared" si="332"/>
        <v>6.636621981261837</v>
      </c>
      <c r="U5301" s="2">
        <f t="shared" si="333"/>
        <v>42.125697651537877</v>
      </c>
    </row>
    <row r="5302" spans="1:21" x14ac:dyDescent="0.25">
      <c r="A5302">
        <v>5676273</v>
      </c>
      <c r="B5302">
        <v>1</v>
      </c>
      <c r="C5302" s="1">
        <f>0.608191588927062*(10.3/7.3)</f>
        <v>0.85813333780119738</v>
      </c>
      <c r="D5302" s="1">
        <f>1.03921606469884*(10.3/7.3)</f>
        <v>1.4662911597805517</v>
      </c>
      <c r="E5302" s="1">
        <f>3.552914693538*(10.3/7.3)</f>
        <v>5.0130166223892276</v>
      </c>
      <c r="F5302" s="1">
        <f>11.002421054374*(38.9/42.5)</f>
        <v>10.070451270944671</v>
      </c>
      <c r="G5302" s="1">
        <v>0.60492887759860192</v>
      </c>
      <c r="H5302" s="1">
        <v>3.3792405191758599</v>
      </c>
      <c r="I5302" s="1">
        <v>8.2790269998721726</v>
      </c>
      <c r="J5302" s="1">
        <v>5.5314404179098664E-2</v>
      </c>
      <c r="K5302" s="1">
        <v>4.0765260732839659</v>
      </c>
      <c r="L5302" s="1">
        <v>2.8678759328251267</v>
      </c>
      <c r="M5302" s="1">
        <v>1.2259002033553357</v>
      </c>
      <c r="N5302" s="1">
        <v>1.8617054271920419</v>
      </c>
      <c r="O5302" s="1">
        <v>0.29813333333333336</v>
      </c>
      <c r="P5302" s="1">
        <v>0.13256715369345573</v>
      </c>
      <c r="Q5302" s="1">
        <v>0.96678131123064337</v>
      </c>
      <c r="R5302" s="2">
        <f t="shared" si="331"/>
        <v>30.637870098792927</v>
      </c>
      <c r="S5302" s="2">
        <f t="shared" si="330"/>
        <v>4.2644076311565202</v>
      </c>
      <c r="T5302" s="2">
        <f t="shared" si="332"/>
        <v>6.2536148967058383</v>
      </c>
      <c r="U5302" s="2">
        <f t="shared" si="333"/>
        <v>41.155892626655287</v>
      </c>
    </row>
    <row r="5303" spans="1:21" x14ac:dyDescent="0.25">
      <c r="A5303">
        <v>5676289</v>
      </c>
      <c r="B5303">
        <v>31</v>
      </c>
      <c r="C5303" s="1">
        <f>0.878246282035158*(10.3/7.3)</f>
        <v>1.2391694116386476</v>
      </c>
      <c r="D5303" s="1">
        <f>1.62948445699081*(10.3/7.3)</f>
        <v>2.2991356036993653</v>
      </c>
      <c r="E5303" s="1">
        <f>5.53136616677443*(10.3/7.3)</f>
        <v>7.8045303449009102</v>
      </c>
      <c r="F5303" s="1">
        <f>18.4116679733167*(38.9/42.5)</f>
        <v>16.852091392047566</v>
      </c>
      <c r="G5303" s="1">
        <v>1.0551869059934922</v>
      </c>
      <c r="H5303" s="1">
        <v>5.9728883440650193</v>
      </c>
      <c r="I5303" s="1">
        <v>13.86250171806501</v>
      </c>
      <c r="J5303" s="1">
        <v>5.8376081006242558E-2</v>
      </c>
      <c r="K5303" s="1">
        <v>4.5083462793325459</v>
      </c>
      <c r="L5303" s="1">
        <v>3.5400851857324707</v>
      </c>
      <c r="M5303" s="1">
        <v>1.3401587578075955</v>
      </c>
      <c r="N5303" s="1">
        <v>2.1011035123062656</v>
      </c>
      <c r="O5303" s="1">
        <v>0.34905806451612897</v>
      </c>
      <c r="P5303" s="1">
        <v>0.15157617894656678</v>
      </c>
      <c r="Q5303" s="1">
        <v>1.6863717675695098</v>
      </c>
      <c r="R5303" s="2">
        <f t="shared" si="331"/>
        <v>50.771875487979521</v>
      </c>
      <c r="S5303" s="2">
        <f t="shared" si="330"/>
        <v>4.7182985392853549</v>
      </c>
      <c r="T5303" s="2">
        <f t="shared" si="332"/>
        <v>7.3304055203624596</v>
      </c>
      <c r="U5303" s="2">
        <f t="shared" si="333"/>
        <v>62.820579547627339</v>
      </c>
    </row>
    <row r="5304" spans="1:21" x14ac:dyDescent="0.25">
      <c r="A5304">
        <v>5676297</v>
      </c>
      <c r="B5304">
        <v>53</v>
      </c>
      <c r="C5304" s="1">
        <f>0.650658513455695*(10.3/7.3)</f>
        <v>0.91805242309502244</v>
      </c>
      <c r="D5304" s="1">
        <f>1.17679045850271*(10.3/7.3)</f>
        <v>1.6604029756956069</v>
      </c>
      <c r="E5304" s="1">
        <f>3.99820412487805*(10.3/7.3)</f>
        <v>5.6413017104443668</v>
      </c>
      <c r="F5304" s="1">
        <f>13.2905755736771*(38.9/42.5)</f>
        <v>12.164785642730367</v>
      </c>
      <c r="G5304" s="1">
        <v>0.7600065071965646</v>
      </c>
      <c r="H5304" s="1">
        <v>7.6519345362102689</v>
      </c>
      <c r="I5304" s="1">
        <v>10.041913834211913</v>
      </c>
      <c r="J5304" s="1">
        <v>4.6428014665207906E-2</v>
      </c>
      <c r="K5304" s="1">
        <v>3.8878543405991635</v>
      </c>
      <c r="L5304" s="1">
        <v>2.962134584023163</v>
      </c>
      <c r="M5304" s="1">
        <v>1.0509632899058352</v>
      </c>
      <c r="N5304" s="1">
        <v>1.8941696207284948</v>
      </c>
      <c r="O5304" s="1">
        <v>0.2773896855345912</v>
      </c>
      <c r="P5304" s="1">
        <v>0.13647981108449872</v>
      </c>
      <c r="Q5304" s="1">
        <v>1.2146222717753334</v>
      </c>
      <c r="R5304" s="2">
        <f t="shared" si="331"/>
        <v>40.053019901359441</v>
      </c>
      <c r="S5304" s="2">
        <f t="shared" si="330"/>
        <v>4.07076216634887</v>
      </c>
      <c r="T5304" s="2">
        <f t="shared" si="332"/>
        <v>6.1846571801920849</v>
      </c>
      <c r="U5304" s="2">
        <f t="shared" si="333"/>
        <v>50.308439247900395</v>
      </c>
    </row>
    <row r="5305" spans="1:21" x14ac:dyDescent="0.25">
      <c r="A5305">
        <v>5676305</v>
      </c>
      <c r="B5305">
        <v>10</v>
      </c>
      <c r="C5305" s="1">
        <f>0.678012142652612*(10.3/7.3)</f>
        <v>0.95664726977012327</v>
      </c>
      <c r="D5305" s="1">
        <f>1.29857999770594*(10.3/7.3)</f>
        <v>1.8322430104618068</v>
      </c>
      <c r="E5305" s="1">
        <f>4.38332234917198*(10.3/7.3)</f>
        <v>6.1846876981467638</v>
      </c>
      <c r="F5305" s="1">
        <f>15.6532717857554*(38.9/42.5)</f>
        <v>14.327347587432552</v>
      </c>
      <c r="G5305" s="1">
        <v>0.92721069200848505</v>
      </c>
      <c r="H5305" s="1">
        <v>8.932145590994562</v>
      </c>
      <c r="I5305" s="1">
        <v>11.88423758655625</v>
      </c>
      <c r="J5305" s="1">
        <v>4.5675542524201418E-2</v>
      </c>
      <c r="K5305" s="1">
        <v>3.7696668387251799</v>
      </c>
      <c r="L5305" s="1">
        <v>3.0043052485323769</v>
      </c>
      <c r="M5305" s="1">
        <v>1.0088558609112983</v>
      </c>
      <c r="N5305" s="1">
        <v>2.2240541396642515</v>
      </c>
      <c r="O5305" s="1">
        <v>0.27218133333333333</v>
      </c>
      <c r="P5305" s="1">
        <v>0.13720614050891505</v>
      </c>
      <c r="Q5305" s="1">
        <v>1.4818435717030596</v>
      </c>
      <c r="R5305" s="2">
        <f t="shared" si="331"/>
        <v>46.526363007073606</v>
      </c>
      <c r="S5305" s="2">
        <f t="shared" si="330"/>
        <v>3.9525485217582963</v>
      </c>
      <c r="T5305" s="2">
        <f t="shared" si="332"/>
        <v>6.5093965824412603</v>
      </c>
      <c r="U5305" s="2">
        <f t="shared" si="333"/>
        <v>56.988308111273163</v>
      </c>
    </row>
    <row r="5306" spans="1:21" x14ac:dyDescent="0.25">
      <c r="A5306">
        <v>5676673</v>
      </c>
      <c r="B5306">
        <v>14</v>
      </c>
      <c r="C5306" s="1">
        <f>4.77204793448627*(10.3/7.3)</f>
        <v>6.7331635240011805</v>
      </c>
      <c r="D5306" s="1">
        <f>35.9133611365556*(10.3/7.3)</f>
        <v>50.672276672126458</v>
      </c>
      <c r="E5306" s="1">
        <f>123.978299041942*(10.3/7.3)</f>
        <v>174.9282849495894</v>
      </c>
      <c r="F5306" s="1">
        <f>158.753707126328*(38.9/42.5)</f>
        <v>145.30633428739176</v>
      </c>
      <c r="G5306" s="1">
        <v>3.366148857483124</v>
      </c>
      <c r="H5306" s="1">
        <v>9.1938183906404873</v>
      </c>
      <c r="I5306" s="1">
        <v>50.466513146846189</v>
      </c>
      <c r="J5306" s="1">
        <v>5.0804484757140854E-2</v>
      </c>
      <c r="K5306" s="1">
        <v>2.9136215847666733</v>
      </c>
      <c r="L5306" s="1">
        <v>3.5774943416642877</v>
      </c>
      <c r="M5306" s="1">
        <v>0.24782099387190387</v>
      </c>
      <c r="N5306" s="1">
        <v>2.4225531800045172</v>
      </c>
      <c r="O5306" s="1">
        <v>0.20175238095238096</v>
      </c>
      <c r="P5306" s="1">
        <v>0.13299708015424019</v>
      </c>
      <c r="Q5306" s="1">
        <v>5.3796899548817105</v>
      </c>
      <c r="R5306" s="2">
        <f t="shared" si="331"/>
        <v>446.04622978296032</v>
      </c>
      <c r="S5306" s="2">
        <f t="shared" si="330"/>
        <v>3.0974231496780544</v>
      </c>
      <c r="T5306" s="2">
        <f t="shared" si="332"/>
        <v>6.4496208964930899</v>
      </c>
      <c r="U5306" s="2">
        <f t="shared" si="333"/>
        <v>455.59327382913148</v>
      </c>
    </row>
    <row r="5307" spans="1:21" x14ac:dyDescent="0.25">
      <c r="A5307">
        <v>5676681</v>
      </c>
      <c r="B5307">
        <v>24</v>
      </c>
      <c r="C5307" s="1">
        <f>5.11340297915865*(10.3/7.3)</f>
        <v>7.2148014637444033</v>
      </c>
      <c r="D5307" s="1">
        <f>11.4155438586457*(10.3/7.3)</f>
        <v>16.106863252609624</v>
      </c>
      <c r="E5307" s="1">
        <f>39.4662002613782*(10.3/7.3)</f>
        <v>55.685186670163816</v>
      </c>
      <c r="F5307" s="1">
        <f>83.8417028422511*(38.9/42.5)</f>
        <v>76.739817425025151</v>
      </c>
      <c r="G5307" s="1">
        <v>3.6075688614327768</v>
      </c>
      <c r="H5307" s="1">
        <v>7.993085106428687</v>
      </c>
      <c r="I5307" s="1">
        <v>54.083129415404358</v>
      </c>
      <c r="J5307" s="1">
        <v>5.5207970484855116E-2</v>
      </c>
      <c r="K5307" s="1">
        <v>3.210172383026169</v>
      </c>
      <c r="L5307" s="1">
        <v>3.7759274208521116</v>
      </c>
      <c r="M5307" s="1">
        <v>0.25694257808148541</v>
      </c>
      <c r="N5307" s="1">
        <v>2.8275228128018668</v>
      </c>
      <c r="O5307" s="1">
        <v>0.21001999999999998</v>
      </c>
      <c r="P5307" s="1">
        <v>0.13770545632993297</v>
      </c>
      <c r="Q5307" s="1">
        <v>5.7655210114222513</v>
      </c>
      <c r="R5307" s="2">
        <f t="shared" si="331"/>
        <v>227.19597320623103</v>
      </c>
      <c r="S5307" s="2">
        <f t="shared" si="330"/>
        <v>3.4030858098409569</v>
      </c>
      <c r="T5307" s="2">
        <f t="shared" si="332"/>
        <v>7.0704128117354639</v>
      </c>
      <c r="U5307" s="2">
        <f t="shared" si="333"/>
        <v>237.66947182780743</v>
      </c>
    </row>
    <row r="5308" spans="1:21" x14ac:dyDescent="0.25">
      <c r="A5308">
        <v>5676689</v>
      </c>
      <c r="B5308">
        <v>48</v>
      </c>
      <c r="C5308" s="1">
        <f>5.82900059197613*(10.3/7.3)</f>
        <v>8.2244802873087899</v>
      </c>
      <c r="D5308" s="1">
        <f>10.2138517829709*(10.3/7.3)</f>
        <v>14.411325118438375</v>
      </c>
      <c r="E5308" s="1">
        <f>35.4021043654324*(10.3/7.3)</f>
        <v>49.950914378623757</v>
      </c>
      <c r="F5308" s="1">
        <f>83.2503066276288*(38.9/42.5)</f>
        <v>76.198515948582624</v>
      </c>
      <c r="G5308" s="1">
        <v>3.8199904915845564</v>
      </c>
      <c r="H5308" s="1">
        <v>7.7082626057443351</v>
      </c>
      <c r="I5308" s="1">
        <v>58.581184932263959</v>
      </c>
      <c r="J5308" s="1">
        <v>6.5486424386090411E-2</v>
      </c>
      <c r="K5308" s="1">
        <v>3.6637802152462791</v>
      </c>
      <c r="L5308" s="1">
        <v>4.1972495275059698</v>
      </c>
      <c r="M5308" s="1">
        <v>0.2779101644993861</v>
      </c>
      <c r="N5308" s="1">
        <v>2.9337888840732069</v>
      </c>
      <c r="O5308" s="1">
        <v>0.22549111111111106</v>
      </c>
      <c r="P5308" s="1">
        <v>0.14692005140496547</v>
      </c>
      <c r="Q5308" s="1">
        <v>6.1050076349524929</v>
      </c>
      <c r="R5308" s="2">
        <f t="shared" si="331"/>
        <v>224.99968139749888</v>
      </c>
      <c r="S5308" s="2">
        <f t="shared" si="330"/>
        <v>3.8761866910373346</v>
      </c>
      <c r="T5308" s="2">
        <f t="shared" si="332"/>
        <v>7.6344396871896745</v>
      </c>
      <c r="U5308" s="2">
        <f t="shared" si="333"/>
        <v>236.51030777572589</v>
      </c>
    </row>
    <row r="5309" spans="1:21" x14ac:dyDescent="0.25">
      <c r="A5309">
        <v>5676697</v>
      </c>
      <c r="B5309">
        <v>64</v>
      </c>
      <c r="C5309" s="1">
        <f>5.56935167382356*(10.3/7.3)</f>
        <v>7.8581263342989907</v>
      </c>
      <c r="D5309" s="1">
        <f>9.22847590748675*(10.3/7.3)</f>
        <v>13.021000253029248</v>
      </c>
      <c r="E5309" s="1">
        <f>32.0254012090148*(10.3/7.3)</f>
        <v>45.186524993541454</v>
      </c>
      <c r="F5309" s="1">
        <f>76.3892411578839*(38.9/42.5)</f>
        <v>69.91862308333377</v>
      </c>
      <c r="G5309" s="1">
        <v>3.5241526330502766</v>
      </c>
      <c r="H5309" s="1">
        <v>7.2860149980037532</v>
      </c>
      <c r="I5309" s="1">
        <v>54.652096437981932</v>
      </c>
      <c r="J5309" s="1">
        <v>5.7743107929636529E-2</v>
      </c>
      <c r="K5309" s="1">
        <v>3.2217881593822693</v>
      </c>
      <c r="L5309" s="1">
        <v>3.9982404942245471</v>
      </c>
      <c r="M5309" s="1">
        <v>0.26160897269937822</v>
      </c>
      <c r="N5309" s="1">
        <v>3.7912693616502806</v>
      </c>
      <c r="O5309" s="1">
        <v>0.21373000000000003</v>
      </c>
      <c r="P5309" s="1">
        <v>0.14100874329920124</v>
      </c>
      <c r="Q5309" s="1">
        <v>5.6322074044182537</v>
      </c>
      <c r="R5309" s="2">
        <f t="shared" si="331"/>
        <v>207.07874613765767</v>
      </c>
      <c r="S5309" s="2">
        <f t="shared" si="330"/>
        <v>3.420540010611107</v>
      </c>
      <c r="T5309" s="2">
        <f t="shared" si="332"/>
        <v>8.2648488285742054</v>
      </c>
      <c r="U5309" s="2">
        <f t="shared" si="333"/>
        <v>218.764134976843</v>
      </c>
    </row>
    <row r="5310" spans="1:21" x14ac:dyDescent="0.25">
      <c r="A5310">
        <v>5676705</v>
      </c>
      <c r="B5310">
        <v>48</v>
      </c>
      <c r="C5310" s="1">
        <f>6.01940896884676*(10.3/7.3)</f>
        <v>8.4931386820714536</v>
      </c>
      <c r="D5310" s="1">
        <f>9.57819871833741*(10.3/7.3)</f>
        <v>13.514444766969218</v>
      </c>
      <c r="E5310" s="1">
        <f>33.2648455748219*(10.3/7.3)</f>
        <v>46.935330057625421</v>
      </c>
      <c r="F5310" s="1">
        <f>80.4382309214038*(38.9/42.5)</f>
        <v>73.62463959629666</v>
      </c>
      <c r="G5310" s="1">
        <v>3.734869838357366</v>
      </c>
      <c r="H5310" s="1">
        <v>7.4867728724111799</v>
      </c>
      <c r="I5310" s="1">
        <v>58.290795495698795</v>
      </c>
      <c r="J5310" s="1">
        <v>5.988185942343114E-2</v>
      </c>
      <c r="K5310" s="1">
        <v>3.1832832030914449</v>
      </c>
      <c r="L5310" s="1">
        <v>3.9859164889007581</v>
      </c>
      <c r="M5310" s="1">
        <v>0.25630593718395206</v>
      </c>
      <c r="N5310" s="1">
        <v>2.6087998148445153</v>
      </c>
      <c r="O5310" s="1">
        <v>0.20990777777777778</v>
      </c>
      <c r="P5310" s="1">
        <v>0.1389882843433646</v>
      </c>
      <c r="Q5310" s="1">
        <v>5.9689700613017331</v>
      </c>
      <c r="R5310" s="2">
        <f t="shared" si="331"/>
        <v>218.04896137073183</v>
      </c>
      <c r="S5310" s="2">
        <f t="shared" si="330"/>
        <v>3.3821533468582405</v>
      </c>
      <c r="T5310" s="2">
        <f t="shared" si="332"/>
        <v>7.060930018707003</v>
      </c>
      <c r="U5310" s="2">
        <f t="shared" si="333"/>
        <v>228.49204473629709</v>
      </c>
    </row>
    <row r="5311" spans="1:21" x14ac:dyDescent="0.25">
      <c r="A5311">
        <v>5676713</v>
      </c>
      <c r="B5311">
        <v>3</v>
      </c>
      <c r="C5311" s="1">
        <f>4.94811187935202*(10.3/7.3)</f>
        <v>6.9815825147021666</v>
      </c>
      <c r="D5311" s="1">
        <f>7.77589744986516*(10.3/7.3)</f>
        <v>10.971471744330298</v>
      </c>
      <c r="E5311" s="1">
        <f>26.9369494108451*(10.3/7.3)</f>
        <v>38.006928620781494</v>
      </c>
      <c r="F5311" s="1">
        <f>69.2425680334033*(38.9/42.5)</f>
        <v>63.377315211750314</v>
      </c>
      <c r="G5311" s="1">
        <v>3.3651270009017651</v>
      </c>
      <c r="H5311" s="1">
        <v>8.1401850809835992</v>
      </c>
      <c r="I5311" s="1">
        <v>51.013705583292371</v>
      </c>
      <c r="J5311" s="1">
        <v>4.8810987220535312E-2</v>
      </c>
      <c r="K5311" s="1">
        <v>2.752408673305812</v>
      </c>
      <c r="L5311" s="1">
        <v>3.1816101682243478</v>
      </c>
      <c r="M5311" s="1">
        <v>0.20880968896194388</v>
      </c>
      <c r="N5311" s="1">
        <v>2.5258546868681733</v>
      </c>
      <c r="O5311" s="1">
        <v>0.17233777777777778</v>
      </c>
      <c r="P5311" s="1">
        <v>0.11752939620742751</v>
      </c>
      <c r="Q5311" s="1">
        <v>5.3780568507562512</v>
      </c>
      <c r="R5311" s="2">
        <f t="shared" si="331"/>
        <v>187.23437260749824</v>
      </c>
      <c r="S5311" s="2">
        <f t="shared" si="330"/>
        <v>2.9187490567337746</v>
      </c>
      <c r="T5311" s="2">
        <f t="shared" si="332"/>
        <v>6.088612321832243</v>
      </c>
      <c r="U5311" s="2">
        <f t="shared" si="333"/>
        <v>196.24173398606428</v>
      </c>
    </row>
    <row r="5312" spans="1:21" x14ac:dyDescent="0.25">
      <c r="A5312">
        <v>5676721</v>
      </c>
      <c r="B5312">
        <v>29</v>
      </c>
      <c r="C5312" s="1">
        <f>3.37350413488193*(10.3/7.3)</f>
        <v>4.7598756971621725</v>
      </c>
      <c r="D5312" s="1">
        <f>4.44441576408663*(10.3/7.3)</f>
        <v>6.2708879959030481</v>
      </c>
      <c r="E5312" s="1">
        <f>15.5587116186401*(10.3/7.3)</f>
        <v>21.952702694793526</v>
      </c>
      <c r="F5312" s="1">
        <f>37.1854413447892*(38.9/42.5)</f>
        <v>34.035615724995324</v>
      </c>
      <c r="G5312" s="1">
        <v>1.66754837508083</v>
      </c>
      <c r="H5312" s="1">
        <v>8.324394268582008</v>
      </c>
      <c r="I5312" s="1">
        <v>28.199419067525003</v>
      </c>
      <c r="J5312" s="1">
        <v>3.3379674466956596E-2</v>
      </c>
      <c r="K5312" s="1">
        <v>2.0985016445743727</v>
      </c>
      <c r="L5312" s="1">
        <v>2.4293522864361958</v>
      </c>
      <c r="M5312" s="1">
        <v>0.16089558838299664</v>
      </c>
      <c r="N5312" s="1">
        <v>1.5492972043508948</v>
      </c>
      <c r="O5312" s="1">
        <v>0.12971954022988508</v>
      </c>
      <c r="P5312" s="1">
        <v>9.6251062850883071E-2</v>
      </c>
      <c r="Q5312" s="1">
        <v>2.6650316496725623</v>
      </c>
      <c r="R5312" s="2">
        <f t="shared" si="331"/>
        <v>107.87547547371447</v>
      </c>
      <c r="S5312" s="2">
        <f t="shared" si="330"/>
        <v>2.2281323818922125</v>
      </c>
      <c r="T5312" s="2">
        <f t="shared" si="332"/>
        <v>4.2692646193999728</v>
      </c>
      <c r="U5312" s="2">
        <f t="shared" si="333"/>
        <v>114.37287247500666</v>
      </c>
    </row>
    <row r="5313" spans="1:21" x14ac:dyDescent="0.25">
      <c r="A5313">
        <v>5676825</v>
      </c>
      <c r="B5313">
        <v>1</v>
      </c>
      <c r="C5313" s="1">
        <f>5.98234293757988*(10.3/7.3)</f>
        <v>8.4408400352154427</v>
      </c>
      <c r="D5313" s="1">
        <f>7.27392080725762*(10.3/7.3)</f>
        <v>10.263203330788153</v>
      </c>
      <c r="E5313" s="1">
        <f>25.622613090494*(10.3/7.3)</f>
        <v>36.152454086587404</v>
      </c>
      <c r="F5313" s="1">
        <f>57.8138585900716*(38.9/42.5)</f>
        <v>52.916684685971397</v>
      </c>
      <c r="G5313" s="1">
        <v>2.4248656675644562</v>
      </c>
      <c r="H5313" s="1">
        <v>6.6778629742759543</v>
      </c>
      <c r="I5313" s="1">
        <v>44.41829465153846</v>
      </c>
      <c r="J5313" s="1">
        <v>3.1382734988387062E-2</v>
      </c>
      <c r="K5313" s="1">
        <v>1.9036780685399211</v>
      </c>
      <c r="L5313" s="1">
        <v>2.0584048333743459</v>
      </c>
      <c r="M5313" s="1">
        <v>0.1256858407066743</v>
      </c>
      <c r="N5313" s="1">
        <v>1.336100875807861</v>
      </c>
      <c r="O5313" s="1">
        <v>0.10911999999999999</v>
      </c>
      <c r="P5313" s="1">
        <v>8.315051459627229E-2</v>
      </c>
      <c r="Q5313" s="1">
        <v>3.8753560897148884</v>
      </c>
      <c r="R5313" s="2">
        <f t="shared" si="331"/>
        <v>165.16956152165616</v>
      </c>
      <c r="S5313" s="2">
        <f t="shared" si="330"/>
        <v>2.0182113181245804</v>
      </c>
      <c r="T5313" s="2">
        <f t="shared" si="332"/>
        <v>3.629311549888881</v>
      </c>
      <c r="U5313" s="2">
        <f t="shared" si="333"/>
        <v>170.81708438966962</v>
      </c>
    </row>
    <row r="5314" spans="1:21" x14ac:dyDescent="0.25">
      <c r="A5314">
        <v>5676833</v>
      </c>
      <c r="B5314">
        <v>43</v>
      </c>
      <c r="C5314" s="1">
        <f>8.15155126841293*(10.3/7.3)</f>
        <v>11.501503844473032</v>
      </c>
      <c r="D5314" s="1">
        <f>10.0785973503102*(10.3/7.3)</f>
        <v>14.220486672355472</v>
      </c>
      <c r="E5314" s="1">
        <f>35.5203808024736*(10.3/7.3)</f>
        <v>50.117797570613476</v>
      </c>
      <c r="F5314" s="1">
        <f>77.8398685339363*(38.9/42.5)</f>
        <v>71.246373787532264</v>
      </c>
      <c r="G5314" s="1">
        <v>3.1777517736297201</v>
      </c>
      <c r="H5314" s="1">
        <v>8.0734460311689382</v>
      </c>
      <c r="I5314" s="1">
        <v>59.197515515341607</v>
      </c>
      <c r="J5314" s="1">
        <v>3.5387135185315464E-2</v>
      </c>
      <c r="K5314" s="1">
        <v>2.149327333467733</v>
      </c>
      <c r="L5314" s="1">
        <v>2.3933071788097808</v>
      </c>
      <c r="M5314" s="1">
        <v>0.14069779218167761</v>
      </c>
      <c r="N5314" s="1">
        <v>1.5276324792751308</v>
      </c>
      <c r="O5314" s="1">
        <v>0.12515472868217054</v>
      </c>
      <c r="P5314" s="1">
        <v>9.2329795181765151E-2</v>
      </c>
      <c r="Q5314" s="1">
        <v>5.0785987249790088</v>
      </c>
      <c r="R5314" s="2">
        <f t="shared" si="331"/>
        <v>222.61347392009353</v>
      </c>
      <c r="S5314" s="2">
        <f t="shared" si="330"/>
        <v>2.2770442638348136</v>
      </c>
      <c r="T5314" s="2">
        <f t="shared" si="332"/>
        <v>4.1867921789487603</v>
      </c>
      <c r="U5314" s="2">
        <f t="shared" si="333"/>
        <v>229.07731036287711</v>
      </c>
    </row>
    <row r="5315" spans="1:21" x14ac:dyDescent="0.25">
      <c r="A5315">
        <v>5676849</v>
      </c>
      <c r="B5315">
        <v>1</v>
      </c>
      <c r="C5315" s="1">
        <f>7.68703187052541*(10.3/7.3)</f>
        <v>10.846086063892015</v>
      </c>
      <c r="D5315" s="1">
        <f>12.4204484100047*(10.3/7.3)</f>
        <v>17.524742277129892</v>
      </c>
      <c r="E5315" s="1">
        <f>43.4151659998281*(10.3/7.3)</f>
        <v>61.257015040853354</v>
      </c>
      <c r="F5315" s="1">
        <f>89.577985620163*(38.9/42.5)</f>
        <v>81.990203308808034</v>
      </c>
      <c r="G5315" s="1">
        <v>3.5879428284670536</v>
      </c>
      <c r="H5315" s="1">
        <v>11.175679132503067</v>
      </c>
      <c r="I5315" s="1">
        <v>62.032524814933041</v>
      </c>
      <c r="J5315" s="1">
        <v>3.3198826196476523E-2</v>
      </c>
      <c r="K5315" s="1">
        <v>2.049972561264394</v>
      </c>
      <c r="L5315" s="1">
        <v>2.2477079891109248</v>
      </c>
      <c r="M5315" s="1">
        <v>0.13201687404910886</v>
      </c>
      <c r="N5315" s="1">
        <v>1.4389509302374339</v>
      </c>
      <c r="O5315" s="1">
        <v>0.11834666666666666</v>
      </c>
      <c r="P5315" s="1">
        <v>8.8066179747730983E-2</v>
      </c>
      <c r="Q5315" s="1">
        <v>5.7341552053126481</v>
      </c>
      <c r="R5315" s="2">
        <f t="shared" si="331"/>
        <v>254.14834867189907</v>
      </c>
      <c r="S5315" s="2">
        <f t="shared" si="330"/>
        <v>2.1712375672086015</v>
      </c>
      <c r="T5315" s="2">
        <f t="shared" si="332"/>
        <v>3.9370224600641341</v>
      </c>
      <c r="U5315" s="2">
        <f t="shared" si="333"/>
        <v>260.25660869917181</v>
      </c>
    </row>
    <row r="5316" spans="1:21" x14ac:dyDescent="0.25">
      <c r="A5316">
        <v>5676929</v>
      </c>
      <c r="B5316">
        <v>65</v>
      </c>
      <c r="C5316" s="1">
        <f>6.29135610396536*(10.3/7.3)</f>
        <v>8.8768449138141445</v>
      </c>
      <c r="D5316" s="1">
        <f>9.26545631995519*(10.3/7.3)</f>
        <v>13.073178095279246</v>
      </c>
      <c r="E5316" s="1">
        <f>32.3909896366205*(10.3/7.3)</f>
        <v>45.702355240711107</v>
      </c>
      <c r="F5316" s="1">
        <f>72.2361116463822*(38.9/42.5)</f>
        <v>66.117288071629829</v>
      </c>
      <c r="G5316" s="1">
        <v>3.0904244403091727</v>
      </c>
      <c r="H5316" s="1">
        <v>7.3982060480914056</v>
      </c>
      <c r="I5316" s="1">
        <v>52.385881119364626</v>
      </c>
      <c r="J5316" s="1">
        <v>3.4240695919018148E-2</v>
      </c>
      <c r="K5316" s="1">
        <v>2.0238729550757291</v>
      </c>
      <c r="L5316" s="1">
        <v>2.1473233043499729</v>
      </c>
      <c r="M5316" s="1">
        <v>0.11753898008734705</v>
      </c>
      <c r="N5316" s="1">
        <v>1.4154820310905791</v>
      </c>
      <c r="O5316" s="1">
        <v>0.10672000000000002</v>
      </c>
      <c r="P5316" s="1">
        <v>8.1348990472957017E-2</v>
      </c>
      <c r="Q5316" s="1">
        <v>4.9390344936448036</v>
      </c>
      <c r="R5316" s="2">
        <f t="shared" si="331"/>
        <v>201.58321242284433</v>
      </c>
      <c r="S5316" s="2">
        <f t="shared" si="330"/>
        <v>2.1394626414677043</v>
      </c>
      <c r="T5316" s="2">
        <f t="shared" si="332"/>
        <v>3.7870643155278989</v>
      </c>
      <c r="U5316" s="2">
        <f t="shared" si="333"/>
        <v>207.50973937983991</v>
      </c>
    </row>
    <row r="5317" spans="1:21" x14ac:dyDescent="0.25">
      <c r="A5317">
        <v>5676993</v>
      </c>
      <c r="B5317">
        <v>4</v>
      </c>
      <c r="C5317" s="1">
        <f>9.87166243062032*(10.3/7.3)</f>
        <v>13.928510004847855</v>
      </c>
      <c r="D5317" s="1">
        <f>13.9340578770105*(10.3/7.3)</f>
        <v>19.660383031946267</v>
      </c>
      <c r="E5317" s="1">
        <f>49.0960601142236*(10.3/7.3)</f>
        <v>69.27252317486348</v>
      </c>
      <c r="F5317" s="1">
        <f>94.1410791119485*(38.9/42.5)</f>
        <v>86.166775940112885</v>
      </c>
      <c r="G5317" s="1">
        <v>3.3639646390404696</v>
      </c>
      <c r="H5317" s="1">
        <v>8.4816921579712208</v>
      </c>
      <c r="I5317" s="1">
        <v>66.603541456079256</v>
      </c>
      <c r="J5317" s="1">
        <v>2.7659323691427942E-2</v>
      </c>
      <c r="K5317" s="1">
        <v>1.7211927437699974</v>
      </c>
      <c r="L5317" s="1">
        <v>1.729915537128766</v>
      </c>
      <c r="M5317" s="1">
        <v>9.4346593171923995E-2</v>
      </c>
      <c r="N5317" s="1">
        <v>1.1304817050187668</v>
      </c>
      <c r="O5317" s="1">
        <v>8.7973333333333334E-2</v>
      </c>
      <c r="P5317" s="1">
        <v>6.8605233496246559E-2</v>
      </c>
      <c r="Q5317" s="1">
        <v>5.3761991948135419</v>
      </c>
      <c r="R5317" s="2">
        <f t="shared" si="331"/>
        <v>272.85358959967499</v>
      </c>
      <c r="S5317" s="2">
        <f t="shared" si="330"/>
        <v>1.817457300957672</v>
      </c>
      <c r="T5317" s="2">
        <f t="shared" si="332"/>
        <v>3.0427171686527901</v>
      </c>
      <c r="U5317" s="2">
        <f t="shared" si="333"/>
        <v>277.7137640692855</v>
      </c>
    </row>
    <row r="5318" spans="1:21" x14ac:dyDescent="0.25">
      <c r="A5318">
        <v>5677001</v>
      </c>
      <c r="B5318">
        <v>21</v>
      </c>
      <c r="C5318" s="1">
        <f>5.76726536192787*(10.3/7.3)</f>
        <v>8.1373744147749445</v>
      </c>
      <c r="D5318" s="1">
        <f>11.9367659055758*(10.3/7.3)</f>
        <v>16.842286140743923</v>
      </c>
      <c r="E5318" s="1">
        <f>41.4782586312544*(10.3/7.3)</f>
        <v>58.524118342728769</v>
      </c>
      <c r="F5318" s="1">
        <f>81.7176345253386*(38.9/42.5)</f>
        <v>74.795670189074627</v>
      </c>
      <c r="G5318" s="1">
        <v>3.2218627081952596</v>
      </c>
      <c r="H5318" s="1">
        <v>9.0768902064353565</v>
      </c>
      <c r="I5318" s="1">
        <v>52.105212927247088</v>
      </c>
      <c r="J5318" s="1">
        <v>2.963534326970018E-2</v>
      </c>
      <c r="K5318" s="1">
        <v>1.8735415447169099</v>
      </c>
      <c r="L5318" s="1">
        <v>1.908705605428745</v>
      </c>
      <c r="M5318" s="1">
        <v>0.10239242358987889</v>
      </c>
      <c r="N5318" s="1">
        <v>1.2109307481740739</v>
      </c>
      <c r="O5318" s="1">
        <v>9.5751111111111106E-2</v>
      </c>
      <c r="P5318" s="1">
        <v>7.3809137859994614E-2</v>
      </c>
      <c r="Q5318" s="1">
        <v>5.1490956523668601</v>
      </c>
      <c r="R5318" s="2">
        <f t="shared" si="331"/>
        <v>227.85251058156686</v>
      </c>
      <c r="S5318" s="2">
        <f t="shared" si="330"/>
        <v>1.9769860258466045</v>
      </c>
      <c r="T5318" s="2">
        <f t="shared" si="332"/>
        <v>3.3177798883038085</v>
      </c>
      <c r="U5318" s="2">
        <f t="shared" si="333"/>
        <v>233.14727649571728</v>
      </c>
    </row>
    <row r="5319" spans="1:21" x14ac:dyDescent="0.25">
      <c r="A5319">
        <v>5677009</v>
      </c>
      <c r="B5319">
        <v>10</v>
      </c>
      <c r="C5319" s="1">
        <f>5.56178661881885*(10.3/7.3)</f>
        <v>7.847452352580027</v>
      </c>
      <c r="D5319" s="1">
        <f>7.92230007527074*(10.3/7.3)</f>
        <v>11.178039832231311</v>
      </c>
      <c r="E5319" s="1">
        <f>27.7078216084498*(10.3/7.3)</f>
        <v>39.094597611922374</v>
      </c>
      <c r="F5319" s="1">
        <f>63.0016589462125*(38.9/42.5)</f>
        <v>57.665047835474482</v>
      </c>
      <c r="G5319" s="1">
        <v>2.731943788828592</v>
      </c>
      <c r="H5319" s="1">
        <v>5.9707753706114222</v>
      </c>
      <c r="I5319" s="1">
        <v>46.30993097610645</v>
      </c>
      <c r="J5319" s="1">
        <v>3.0854031800237651E-2</v>
      </c>
      <c r="K5319" s="1">
        <v>1.9655579165967905</v>
      </c>
      <c r="L5319" s="1">
        <v>2.0126881415806328</v>
      </c>
      <c r="M5319" s="1">
        <v>0.10688527465757669</v>
      </c>
      <c r="N5319" s="1">
        <v>1.2654758359122189</v>
      </c>
      <c r="O5319" s="1">
        <v>0.10041066666666665</v>
      </c>
      <c r="P5319" s="1">
        <v>7.702093866124117E-2</v>
      </c>
      <c r="Q5319" s="1">
        <v>4.3661202104566588</v>
      </c>
      <c r="R5319" s="2">
        <f t="shared" si="331"/>
        <v>175.16390797821131</v>
      </c>
      <c r="S5319" s="2">
        <f t="shared" si="330"/>
        <v>2.0734328870582694</v>
      </c>
      <c r="T5319" s="2">
        <f t="shared" si="332"/>
        <v>3.4854599188170949</v>
      </c>
      <c r="U5319" s="2">
        <f t="shared" si="333"/>
        <v>180.72280078408667</v>
      </c>
    </row>
    <row r="5320" spans="1:21" x14ac:dyDescent="0.25">
      <c r="A5320">
        <v>5677017</v>
      </c>
      <c r="B5320">
        <v>5</v>
      </c>
      <c r="C5320" s="1">
        <f>5.58803404888453*(10.3/7.3)</f>
        <v>7.8844863977411901</v>
      </c>
      <c r="D5320" s="1">
        <f>6.98352044231875*(10.3/7.3)</f>
        <v>9.8534603501209794</v>
      </c>
      <c r="E5320" s="1">
        <f>24.5537789624681*(10.3/7.3)</f>
        <v>34.644373056633107</v>
      </c>
      <c r="F5320" s="1">
        <f>56.1655523506769*(38.9/42.5)</f>
        <v>51.40799968097248</v>
      </c>
      <c r="G5320" s="1">
        <v>2.3991148817142141</v>
      </c>
      <c r="H5320" s="1">
        <v>6.5649976845698816</v>
      </c>
      <c r="I5320" s="1">
        <v>42.898401873433791</v>
      </c>
      <c r="J5320" s="1">
        <v>2.7998355671629688E-2</v>
      </c>
      <c r="K5320" s="1">
        <v>1.8242935855939677</v>
      </c>
      <c r="L5320" s="1">
        <v>1.839096545007211</v>
      </c>
      <c r="M5320" s="1">
        <v>9.8127387399171012E-2</v>
      </c>
      <c r="N5320" s="1">
        <v>1.1601593296917403</v>
      </c>
      <c r="O5320" s="1">
        <v>9.2415999999999998E-2</v>
      </c>
      <c r="P5320" s="1">
        <v>7.1844004733517625E-2</v>
      </c>
      <c r="Q5320" s="1">
        <v>3.8342018657533137</v>
      </c>
      <c r="R5320" s="2">
        <f t="shared" si="331"/>
        <v>159.48703579093893</v>
      </c>
      <c r="S5320" s="2">
        <f t="shared" si="330"/>
        <v>1.924135945999115</v>
      </c>
      <c r="T5320" s="2">
        <f t="shared" si="332"/>
        <v>3.1897992620981226</v>
      </c>
      <c r="U5320" s="2">
        <f t="shared" si="333"/>
        <v>164.60097099903618</v>
      </c>
    </row>
    <row r="5321" spans="1:21" x14ac:dyDescent="0.25">
      <c r="A5321">
        <v>5688397</v>
      </c>
      <c r="B5321">
        <v>32</v>
      </c>
      <c r="C5321" s="1">
        <f>0.631753038620884*(10.3/7.3)</f>
        <v>0.89137757504042603</v>
      </c>
      <c r="D5321" s="1">
        <f>0.998575020701933*(10.3/7.3)</f>
        <v>1.4089483168808101</v>
      </c>
      <c r="E5321" s="1">
        <f>3.44274177417923*(10.3/7.3)</f>
        <v>4.8575671608282303</v>
      </c>
      <c r="F5321" s="1">
        <f>9.65393962978663*(38.9/42.5)</f>
        <v>8.8361941552635273</v>
      </c>
      <c r="G5321" s="1">
        <v>0.49797593918050043</v>
      </c>
      <c r="H5321" s="1">
        <v>1.8674943605988488</v>
      </c>
      <c r="I5321" s="1">
        <v>7.2306840736916955</v>
      </c>
      <c r="J5321" s="1">
        <v>3.9334764029649118E-2</v>
      </c>
      <c r="K5321" s="1">
        <v>8.7910856644993327</v>
      </c>
      <c r="L5321" s="1">
        <v>2.0109666645673006</v>
      </c>
      <c r="M5321" s="1">
        <v>0.8057943943772059</v>
      </c>
      <c r="N5321" s="1">
        <v>1.2999288790776318</v>
      </c>
      <c r="O5321" s="1">
        <v>2.3012166666666665</v>
      </c>
      <c r="P5321" s="1">
        <v>0.13713786806374129</v>
      </c>
      <c r="Q5321" s="1">
        <v>0.79585195759440774</v>
      </c>
      <c r="R5321" s="2">
        <f t="shared" si="331"/>
        <v>26.386093539078445</v>
      </c>
      <c r="S5321" s="2">
        <f t="shared" ref="S5321:S5384" si="334">J5321+K5321+P5321</f>
        <v>8.9675582965927223</v>
      </c>
      <c r="T5321" s="2">
        <f t="shared" si="332"/>
        <v>6.4179066046888043</v>
      </c>
      <c r="U5321" s="2">
        <f t="shared" si="333"/>
        <v>41.771558440359968</v>
      </c>
    </row>
    <row r="5322" spans="1:21" x14ac:dyDescent="0.25">
      <c r="A5322">
        <v>5688413</v>
      </c>
      <c r="B5322">
        <v>17</v>
      </c>
      <c r="C5322" s="1">
        <f>0.857498831030875*(10.3/7.3)</f>
        <v>1.2098956109065764</v>
      </c>
      <c r="D5322" s="1">
        <f>1.44597505737992*(10.3/7.3)</f>
        <v>2.040211382330567</v>
      </c>
      <c r="E5322" s="1">
        <f>4.95010762385215*(10.3/7.3)</f>
        <v>6.9843984281749503</v>
      </c>
      <c r="F5322" s="1">
        <f>15.1047152906524*(38.9/42.5)</f>
        <v>13.825257054267734</v>
      </c>
      <c r="G5322" s="1">
        <v>0.82311629594244162</v>
      </c>
      <c r="H5322" s="1">
        <v>2.6071249623560973</v>
      </c>
      <c r="I5322" s="1">
        <v>11.360014552219353</v>
      </c>
      <c r="J5322" s="1">
        <v>0.10402838011373365</v>
      </c>
      <c r="K5322" s="1">
        <v>17.049249237853005</v>
      </c>
      <c r="L5322" s="1">
        <v>3.3863053350266821</v>
      </c>
      <c r="M5322" s="1">
        <v>1.4578927639381056</v>
      </c>
      <c r="N5322" s="1">
        <v>2.424102207681722</v>
      </c>
      <c r="O5322" s="1">
        <v>2.3950745098039219</v>
      </c>
      <c r="P5322" s="1">
        <v>0.17367469290475016</v>
      </c>
      <c r="Q5322" s="1">
        <v>1.3154826647481961</v>
      </c>
      <c r="R5322" s="2">
        <f t="shared" ref="R5322:R5385" si="335">C5322+D5322+E5322+F5322+G5322+H5322+I5322+Q5322</f>
        <v>40.165500950945912</v>
      </c>
      <c r="S5322" s="2">
        <f t="shared" si="334"/>
        <v>17.326952310871487</v>
      </c>
      <c r="T5322" s="2">
        <f t="shared" ref="T5322:T5385" si="336">L5322+M5322+N5322+O5322</f>
        <v>9.6633748164504318</v>
      </c>
      <c r="U5322" s="2">
        <f t="shared" ref="U5322:U5385" si="337">R5322+S5322+T5322</f>
        <v>67.155828078267831</v>
      </c>
    </row>
    <row r="5323" spans="1:21" x14ac:dyDescent="0.25">
      <c r="A5323">
        <v>5688469</v>
      </c>
      <c r="B5323">
        <v>14</v>
      </c>
      <c r="C5323" s="1">
        <f>0.517608652303254*(10.3/7.3)</f>
        <v>0.73032453681144083</v>
      </c>
      <c r="D5323" s="1">
        <f>1.04850728110008*(10.3/7.3)</f>
        <v>1.4794006842918979</v>
      </c>
      <c r="E5323" s="1">
        <f>3.51342450641109*(10.3/7.3)</f>
        <v>4.9572975912375643</v>
      </c>
      <c r="F5323" s="1">
        <f>13.5884220523747*(38.9/42.5)</f>
        <v>12.437402772644102</v>
      </c>
      <c r="G5323" s="1">
        <v>0.83303025833096889</v>
      </c>
      <c r="H5323" s="1">
        <v>6.071308015991618</v>
      </c>
      <c r="I5323" s="1">
        <v>10.387046884795792</v>
      </c>
      <c r="J5323" s="1">
        <v>4.7423257534603136E-2</v>
      </c>
      <c r="K5323" s="1">
        <v>5.1912748528547388</v>
      </c>
      <c r="L5323" s="1">
        <v>2.3501109707567616</v>
      </c>
      <c r="M5323" s="1">
        <v>1.2799301942799306</v>
      </c>
      <c r="N5323" s="1">
        <v>1.7973232638621131</v>
      </c>
      <c r="O5323" s="1">
        <v>0.39901714285714285</v>
      </c>
      <c r="P5323" s="1">
        <v>0.13386064396588165</v>
      </c>
      <c r="Q5323" s="1">
        <v>1.331326896875979</v>
      </c>
      <c r="R5323" s="2">
        <f t="shared" si="335"/>
        <v>38.227137640979365</v>
      </c>
      <c r="S5323" s="2">
        <f t="shared" si="334"/>
        <v>5.3725587543552233</v>
      </c>
      <c r="T5323" s="2">
        <f t="shared" si="336"/>
        <v>5.826381571755948</v>
      </c>
      <c r="U5323" s="2">
        <f t="shared" si="337"/>
        <v>49.426077967090535</v>
      </c>
    </row>
    <row r="5324" spans="1:21" x14ac:dyDescent="0.25">
      <c r="A5324">
        <v>5688477</v>
      </c>
      <c r="B5324">
        <v>10</v>
      </c>
      <c r="C5324" s="1">
        <f>0.552749369425656*(10.3/7.3)</f>
        <v>0.77990664453209013</v>
      </c>
      <c r="D5324" s="1">
        <f>0.988357130840224*(10.3/7.3)</f>
        <v>1.3945312941992207</v>
      </c>
      <c r="E5324" s="1">
        <f>3.35887666755408*(10.3/7.3)</f>
        <v>4.7392369418913773</v>
      </c>
      <c r="F5324" s="1">
        <f>11.1827392180152*(38.9/42.5)</f>
        <v>10.235495425430381</v>
      </c>
      <c r="G5324" s="1">
        <v>0.63947784861434331</v>
      </c>
      <c r="H5324" s="1">
        <v>8.2119575519177168</v>
      </c>
      <c r="I5324" s="1">
        <v>8.4661025833016428</v>
      </c>
      <c r="J5324" s="1">
        <v>5.150994769037668E-2</v>
      </c>
      <c r="K5324" s="1">
        <v>4.9517727614134674</v>
      </c>
      <c r="L5324" s="1">
        <v>2.4601570116325973</v>
      </c>
      <c r="M5324" s="1">
        <v>1.2973524251058843</v>
      </c>
      <c r="N5324" s="1">
        <v>1.7423085327035124</v>
      </c>
      <c r="O5324" s="1">
        <v>0.36611199999999999</v>
      </c>
      <c r="P5324" s="1">
        <v>0.13284672771198874</v>
      </c>
      <c r="Q5324" s="1">
        <v>1.021996561712422</v>
      </c>
      <c r="R5324" s="2">
        <f t="shared" si="335"/>
        <v>35.488704851599195</v>
      </c>
      <c r="S5324" s="2">
        <f t="shared" si="334"/>
        <v>5.1361294368158337</v>
      </c>
      <c r="T5324" s="2">
        <f t="shared" si="336"/>
        <v>5.8659299694419937</v>
      </c>
      <c r="U5324" s="2">
        <f t="shared" si="337"/>
        <v>46.490764257857023</v>
      </c>
    </row>
    <row r="5325" spans="1:21" x14ac:dyDescent="0.25">
      <c r="A5325">
        <v>5688501</v>
      </c>
      <c r="B5325">
        <v>19</v>
      </c>
      <c r="C5325" s="1">
        <f>0.584650446874703*(10.3/7.3)</f>
        <v>0.82491775380951282</v>
      </c>
      <c r="D5325" s="1">
        <f>1.00839488529073*(10.3/7.3)</f>
        <v>1.4228037422595277</v>
      </c>
      <c r="E5325" s="1">
        <f>3.44399357338656*(10.3/7.3)</f>
        <v>4.8593333980659663</v>
      </c>
      <c r="F5325" s="1">
        <f>10.7927279042626*(38.9/42.5)</f>
        <v>9.8785203641368131</v>
      </c>
      <c r="G5325" s="1">
        <v>0.59751987956449715</v>
      </c>
      <c r="H5325" s="1">
        <v>3.4906207392805366</v>
      </c>
      <c r="I5325" s="1">
        <v>8.1266339453700844</v>
      </c>
      <c r="J5325" s="1">
        <v>5.1866689463101967E-2</v>
      </c>
      <c r="K5325" s="1">
        <v>4.2106409703208403</v>
      </c>
      <c r="L5325" s="1">
        <v>2.7043214946859115</v>
      </c>
      <c r="M5325" s="1">
        <v>1.1697805059670607</v>
      </c>
      <c r="N5325" s="1">
        <v>1.9639066015747249</v>
      </c>
      <c r="O5325" s="1">
        <v>0.30629052631578946</v>
      </c>
      <c r="P5325" s="1">
        <v>0.13110300306412639</v>
      </c>
      <c r="Q5325" s="1">
        <v>0.95494044679257628</v>
      </c>
      <c r="R5325" s="2">
        <f t="shared" si="335"/>
        <v>30.155290269279515</v>
      </c>
      <c r="S5325" s="2">
        <f t="shared" si="334"/>
        <v>4.3936106628480687</v>
      </c>
      <c r="T5325" s="2">
        <f t="shared" si="336"/>
        <v>6.1442991285434871</v>
      </c>
      <c r="U5325" s="2">
        <f t="shared" si="337"/>
        <v>40.693200060671067</v>
      </c>
    </row>
    <row r="5326" spans="1:21" x14ac:dyDescent="0.25">
      <c r="A5326">
        <v>5688525</v>
      </c>
      <c r="B5326">
        <v>25</v>
      </c>
      <c r="C5326" s="1">
        <f>0.769563497355149*(10.3/7.3)</f>
        <v>1.0858224688709637</v>
      </c>
      <c r="D5326" s="1">
        <f>1.42780303588021*(10.3/7.3)</f>
        <v>2.0145714067898854</v>
      </c>
      <c r="E5326" s="1">
        <f>4.84277181991472*(10.3/7.3)</f>
        <v>6.8329520198796727</v>
      </c>
      <c r="F5326" s="1">
        <f>16.325794003949*(38.9/42.5)</f>
        <v>14.942903217732123</v>
      </c>
      <c r="G5326" s="1">
        <v>0.94116976383813689</v>
      </c>
      <c r="H5326" s="1">
        <v>6.9613698329423963</v>
      </c>
      <c r="I5326" s="1">
        <v>12.320921234506995</v>
      </c>
      <c r="J5326" s="1">
        <v>5.1975851462919248E-2</v>
      </c>
      <c r="K5326" s="1">
        <v>4.2406546547647217</v>
      </c>
      <c r="L5326" s="1">
        <v>3.2524147541692368</v>
      </c>
      <c r="M5326" s="1">
        <v>1.1954953054527475</v>
      </c>
      <c r="N5326" s="1">
        <v>1.9659397236131211</v>
      </c>
      <c r="O5326" s="1">
        <v>0.32046080000000005</v>
      </c>
      <c r="P5326" s="1">
        <v>0.1448310317702784</v>
      </c>
      <c r="Q5326" s="1">
        <v>1.5041525906088966</v>
      </c>
      <c r="R5326" s="2">
        <f t="shared" si="335"/>
        <v>46.603862535169071</v>
      </c>
      <c r="S5326" s="2">
        <f t="shared" si="334"/>
        <v>4.4374615379979199</v>
      </c>
      <c r="T5326" s="2">
        <f t="shared" si="336"/>
        <v>6.7343105832351053</v>
      </c>
      <c r="U5326" s="2">
        <f t="shared" si="337"/>
        <v>57.775634656402097</v>
      </c>
    </row>
    <row r="5327" spans="1:21" x14ac:dyDescent="0.25">
      <c r="A5327">
        <v>5688533</v>
      </c>
      <c r="B5327">
        <v>11</v>
      </c>
      <c r="C5327" s="1">
        <f>0.673076945083358*(10.3/7.3)</f>
        <v>0.94968390881624432</v>
      </c>
      <c r="D5327" s="1">
        <f>1.25563517265644*(10.3/7.3)</f>
        <v>1.7716496271727902</v>
      </c>
      <c r="E5327" s="1">
        <f>4.25087698770257*(10.3/7.3)</f>
        <v>5.9978127360734916</v>
      </c>
      <c r="F5327" s="1">
        <f>14.70501496086*(38.9/42.5)</f>
        <v>13.459413693587184</v>
      </c>
      <c r="G5327" s="1">
        <v>0.85792059449168045</v>
      </c>
      <c r="H5327" s="1">
        <v>8.5891829100722408</v>
      </c>
      <c r="I5327" s="1">
        <v>11.141052614192143</v>
      </c>
      <c r="J5327" s="1">
        <v>4.5639128121048561E-2</v>
      </c>
      <c r="K5327" s="1">
        <v>3.808809210186558</v>
      </c>
      <c r="L5327" s="1">
        <v>2.9521526971950909</v>
      </c>
      <c r="M5327" s="1">
        <v>1.0222794262280557</v>
      </c>
      <c r="N5327" s="1">
        <v>2.3429172803139307</v>
      </c>
      <c r="O5327" s="1">
        <v>0.2740169696969697</v>
      </c>
      <c r="P5327" s="1">
        <v>0.13639792171165246</v>
      </c>
      <c r="Q5327" s="1">
        <v>1.3711059729319106</v>
      </c>
      <c r="R5327" s="2">
        <f t="shared" si="335"/>
        <v>44.137822057337679</v>
      </c>
      <c r="S5327" s="2">
        <f t="shared" si="334"/>
        <v>3.9908462600192589</v>
      </c>
      <c r="T5327" s="2">
        <f t="shared" si="336"/>
        <v>6.5913663734340471</v>
      </c>
      <c r="U5327" s="2">
        <f t="shared" si="337"/>
        <v>54.720034690790989</v>
      </c>
    </row>
    <row r="5328" spans="1:21" x14ac:dyDescent="0.25">
      <c r="A5328">
        <v>5688541</v>
      </c>
      <c r="B5328">
        <v>2</v>
      </c>
      <c r="C5328" s="1">
        <f>0.75117834755497*(10.3/7.3)</f>
        <v>1.0598817780570127</v>
      </c>
      <c r="D5328" s="1">
        <f>2.03294127608191*(10.3/7.3)</f>
        <v>2.8683965950196844</v>
      </c>
      <c r="E5328" s="1">
        <f>6.6414302098668*(10.3/7.3)</f>
        <v>9.3707850906339729</v>
      </c>
      <c r="F5328" s="1">
        <f>32.0814531427095*(38.9/42.5)</f>
        <v>29.363965347091714</v>
      </c>
      <c r="G5328" s="1">
        <v>2.1314140038127398</v>
      </c>
      <c r="H5328" s="1">
        <v>12.52603170577215</v>
      </c>
      <c r="I5328" s="1">
        <v>24.760225794895462</v>
      </c>
      <c r="J5328" s="1">
        <v>4.5992085524489912E-2</v>
      </c>
      <c r="K5328" s="1">
        <v>3.7779949837279725</v>
      </c>
      <c r="L5328" s="1">
        <v>3.0894960688046336</v>
      </c>
      <c r="M5328" s="1">
        <v>1.0013053639215419</v>
      </c>
      <c r="N5328" s="1">
        <v>1.903693968041458</v>
      </c>
      <c r="O5328" s="1">
        <v>0.28538666666666668</v>
      </c>
      <c r="P5328" s="1">
        <v>0.13932836734915027</v>
      </c>
      <c r="Q5328" s="1">
        <v>3.4063694124861179</v>
      </c>
      <c r="R5328" s="2">
        <f t="shared" si="335"/>
        <v>85.487069727768855</v>
      </c>
      <c r="S5328" s="2">
        <f t="shared" si="334"/>
        <v>3.9633154366016123</v>
      </c>
      <c r="T5328" s="2">
        <f t="shared" si="336"/>
        <v>6.2798820674343006</v>
      </c>
      <c r="U5328" s="2">
        <f t="shared" si="337"/>
        <v>95.730267231804774</v>
      </c>
    </row>
    <row r="5329" spans="1:21" x14ac:dyDescent="0.25">
      <c r="A5329">
        <v>5688909</v>
      </c>
      <c r="B5329">
        <v>5</v>
      </c>
      <c r="C5329" s="1">
        <f>4.72852032989003*(10.3/7.3)</f>
        <v>6.6717478627215536</v>
      </c>
      <c r="D5329" s="1">
        <f>13.676642181597*(10.3/7.3)</f>
        <v>19.297180064445012</v>
      </c>
      <c r="E5329" s="1">
        <f>47.178529799735*(10.3/7.3)</f>
        <v>66.566966703735716</v>
      </c>
      <c r="F5329" s="1">
        <f>91.4636395285218*(38.9/42.5)</f>
        <v>83.716131239046987</v>
      </c>
      <c r="G5329" s="1">
        <v>3.6787143485891569</v>
      </c>
      <c r="H5329" s="1">
        <v>8.6966736621732625</v>
      </c>
      <c r="I5329" s="1">
        <v>53.610517933631535</v>
      </c>
      <c r="J5329" s="1">
        <v>4.805343390974659E-2</v>
      </c>
      <c r="K5329" s="1">
        <v>2.7560102762262315</v>
      </c>
      <c r="L5329" s="1">
        <v>3.257405138978207</v>
      </c>
      <c r="M5329" s="1">
        <v>0.22812639549985558</v>
      </c>
      <c r="N5329" s="1">
        <v>3.2517876237802965</v>
      </c>
      <c r="O5329" s="1">
        <v>0.18543999999999999</v>
      </c>
      <c r="P5329" s="1">
        <v>0.12318290106206628</v>
      </c>
      <c r="Q5329" s="1">
        <v>5.8792238447771981</v>
      </c>
      <c r="R5329" s="2">
        <f t="shared" si="335"/>
        <v>248.11715565912039</v>
      </c>
      <c r="S5329" s="2">
        <f t="shared" si="334"/>
        <v>2.9272466111980444</v>
      </c>
      <c r="T5329" s="2">
        <f t="shared" si="336"/>
        <v>6.9227591582583585</v>
      </c>
      <c r="U5329" s="2">
        <f t="shared" si="337"/>
        <v>257.96716142857679</v>
      </c>
    </row>
    <row r="5330" spans="1:21" x14ac:dyDescent="0.25">
      <c r="A5330">
        <v>5688925</v>
      </c>
      <c r="B5330">
        <v>57</v>
      </c>
      <c r="C5330" s="1">
        <f>4.51866946075485*(10.3/7.3)</f>
        <v>6.3756569103801271</v>
      </c>
      <c r="D5330" s="1">
        <f>7.7908700312311*(10.3/7.3)</f>
        <v>10.99259744132608</v>
      </c>
      <c r="E5330" s="1">
        <f>27.0077933316315*(10.3/7.3)</f>
        <v>38.106886481617011</v>
      </c>
      <c r="F5330" s="1">
        <f>64.0386179926985*(38.9/42.5)</f>
        <v>58.614170350964059</v>
      </c>
      <c r="G5330" s="1">
        <v>2.9533026640365638</v>
      </c>
      <c r="H5330" s="1">
        <v>6.6165743875516885</v>
      </c>
      <c r="I5330" s="1">
        <v>45.328707294293466</v>
      </c>
      <c r="J5330" s="1">
        <v>5.5217778240907983E-2</v>
      </c>
      <c r="K5330" s="1">
        <v>3.0598947173433229</v>
      </c>
      <c r="L5330" s="1">
        <v>3.5667431154226663</v>
      </c>
      <c r="M5330" s="1">
        <v>0.24245610083902086</v>
      </c>
      <c r="N5330" s="1">
        <v>2.5327218732197658</v>
      </c>
      <c r="O5330" s="1">
        <v>0.19822315789473682</v>
      </c>
      <c r="P5330" s="1">
        <v>0.1324391620142791</v>
      </c>
      <c r="Q5330" s="1">
        <v>4.7198901023415445</v>
      </c>
      <c r="R5330" s="2">
        <f t="shared" si="335"/>
        <v>173.70778563251054</v>
      </c>
      <c r="S5330" s="2">
        <f t="shared" si="334"/>
        <v>3.2475516575985099</v>
      </c>
      <c r="T5330" s="2">
        <f t="shared" si="336"/>
        <v>6.5401442473761895</v>
      </c>
      <c r="U5330" s="2">
        <f t="shared" si="337"/>
        <v>183.49548153748523</v>
      </c>
    </row>
    <row r="5331" spans="1:21" x14ac:dyDescent="0.25">
      <c r="A5331">
        <v>5688933</v>
      </c>
      <c r="B5331">
        <v>43</v>
      </c>
      <c r="C5331" s="1">
        <f>5.91261408359588*(10.3/7.3)</f>
        <v>8.3424554878133712</v>
      </c>
      <c r="D5331" s="1">
        <f>9.6368719062053*(10.3/7.3)</f>
        <v>13.597230223823917</v>
      </c>
      <c r="E5331" s="1">
        <f>33.44415685549*(10.3/7.3)</f>
        <v>47.188330905691302</v>
      </c>
      <c r="F5331" s="1">
        <f>80.6708054305603*(38.9/42.5)</f>
        <v>73.837513676442271</v>
      </c>
      <c r="G5331" s="1">
        <v>3.7486357169123634</v>
      </c>
      <c r="H5331" s="1">
        <v>7.5690363027413969</v>
      </c>
      <c r="I5331" s="1">
        <v>58.096919217922036</v>
      </c>
      <c r="J5331" s="1">
        <v>6.1784401796442373E-2</v>
      </c>
      <c r="K5331" s="1">
        <v>3.1723531558414884</v>
      </c>
      <c r="L5331" s="1">
        <v>3.9663759271497931</v>
      </c>
      <c r="M5331" s="1">
        <v>0.25836416974872911</v>
      </c>
      <c r="N5331" s="1">
        <v>2.9320682632041031</v>
      </c>
      <c r="O5331" s="1">
        <v>0.21089736434108522</v>
      </c>
      <c r="P5331" s="1">
        <v>0.13898118312846477</v>
      </c>
      <c r="Q5331" s="1">
        <v>5.9909703238325518</v>
      </c>
      <c r="R5331" s="2">
        <f t="shared" si="335"/>
        <v>218.37109185517923</v>
      </c>
      <c r="S5331" s="2">
        <f t="shared" si="334"/>
        <v>3.3731187407663952</v>
      </c>
      <c r="T5331" s="2">
        <f t="shared" si="336"/>
        <v>7.3677057244437103</v>
      </c>
      <c r="U5331" s="2">
        <f t="shared" si="337"/>
        <v>229.11191632038933</v>
      </c>
    </row>
    <row r="5332" spans="1:21" x14ac:dyDescent="0.25">
      <c r="A5332">
        <v>5688941</v>
      </c>
      <c r="B5332">
        <v>2</v>
      </c>
      <c r="C5332" s="1">
        <f>6.47423331893215*(10.3/7.3)</f>
        <v>9.1348771486302951</v>
      </c>
      <c r="D5332" s="1">
        <f>10.161934790169*(10.3/7.3)</f>
        <v>14.338072375169956</v>
      </c>
      <c r="E5332" s="1">
        <f>35.294450034566*(10.3/7.3)</f>
        <v>49.799018541921932</v>
      </c>
      <c r="F5332" s="1">
        <f>86.114136743701*(38.9/42.5)</f>
        <v>78.819762807764008</v>
      </c>
      <c r="G5332" s="1">
        <v>4.020877915574248</v>
      </c>
      <c r="H5332" s="1">
        <v>7.7359750652703845</v>
      </c>
      <c r="I5332" s="1">
        <v>62.735154836900122</v>
      </c>
      <c r="J5332" s="1">
        <v>6.025773655625806E-2</v>
      </c>
      <c r="K5332" s="1">
        <v>3.0691475205019834</v>
      </c>
      <c r="L5332" s="1">
        <v>3.8406243226636558</v>
      </c>
      <c r="M5332" s="1">
        <v>0.24399895247309356</v>
      </c>
      <c r="N5332" s="1">
        <v>2.3870964522364693</v>
      </c>
      <c r="O5332" s="1">
        <v>0.20272000000000001</v>
      </c>
      <c r="P5332" s="1">
        <v>0.13447334806028977</v>
      </c>
      <c r="Q5332" s="1">
        <v>6.4260605956666126</v>
      </c>
      <c r="R5332" s="2">
        <f t="shared" si="335"/>
        <v>233.00979928689759</v>
      </c>
      <c r="S5332" s="2">
        <f t="shared" si="334"/>
        <v>3.2638786051185313</v>
      </c>
      <c r="T5332" s="2">
        <f t="shared" si="336"/>
        <v>6.674439727373219</v>
      </c>
      <c r="U5332" s="2">
        <f t="shared" si="337"/>
        <v>242.94811761938934</v>
      </c>
    </row>
    <row r="5333" spans="1:21" x14ac:dyDescent="0.25">
      <c r="A5333">
        <v>5688949</v>
      </c>
      <c r="B5333">
        <v>31</v>
      </c>
      <c r="C5333" s="1">
        <f>3.0055485182018*(10.3/7.3)</f>
        <v>4.2407054434902136</v>
      </c>
      <c r="D5333" s="1">
        <f>4.38209254722444*(10.3/7.3)</f>
        <v>6.1829524981385902</v>
      </c>
      <c r="E5333" s="1">
        <f>15.256174245348*(10.3/7.3)</f>
        <v>21.525834894121097</v>
      </c>
      <c r="F5333" s="1">
        <f>37.5263741009114*(38.9/42.5)</f>
        <v>34.347669471187153</v>
      </c>
      <c r="G5333" s="1">
        <v>1.7478692008564807</v>
      </c>
      <c r="H5333" s="1">
        <v>6.4015510611130457</v>
      </c>
      <c r="I5333" s="1">
        <v>27.876788031803581</v>
      </c>
      <c r="J5333" s="1">
        <v>3.5766375102215302E-2</v>
      </c>
      <c r="K5333" s="1">
        <v>2.1828552785026907</v>
      </c>
      <c r="L5333" s="1">
        <v>2.3916235197502846</v>
      </c>
      <c r="M5333" s="1">
        <v>0.1672875944736294</v>
      </c>
      <c r="N5333" s="1">
        <v>1.634427394426647</v>
      </c>
      <c r="O5333" s="1">
        <v>0.13555440860215054</v>
      </c>
      <c r="P5333" s="1">
        <v>9.9291111050533495E-2</v>
      </c>
      <c r="Q5333" s="1">
        <v>2.7933982662089907</v>
      </c>
      <c r="R5333" s="2">
        <f t="shared" si="335"/>
        <v>105.11676886691916</v>
      </c>
      <c r="S5333" s="2">
        <f t="shared" si="334"/>
        <v>2.3179127646554396</v>
      </c>
      <c r="T5333" s="2">
        <f t="shared" si="336"/>
        <v>4.3288929172527109</v>
      </c>
      <c r="U5333" s="2">
        <f t="shared" si="337"/>
        <v>111.76357454882732</v>
      </c>
    </row>
    <row r="5334" spans="1:21" x14ac:dyDescent="0.25">
      <c r="A5334">
        <v>5688957</v>
      </c>
      <c r="B5334">
        <v>7</v>
      </c>
      <c r="C5334" s="1">
        <f>2.8920537077355*(10.3/7.3)</f>
        <v>4.0805689300925483</v>
      </c>
      <c r="D5334" s="1">
        <f>4.24514836144342*(10.3/7.3)</f>
        <v>5.9897298798448242</v>
      </c>
      <c r="E5334" s="1">
        <f>14.7602103412905*(10.3/7.3)</f>
        <v>20.826050207574248</v>
      </c>
      <c r="F5334" s="1">
        <f>37.0871539748793*(38.9/42.5)</f>
        <v>33.945653873477781</v>
      </c>
      <c r="G5334" s="1">
        <v>1.7581042482278326</v>
      </c>
      <c r="H5334" s="1">
        <v>7.4643689684436962</v>
      </c>
      <c r="I5334" s="1">
        <v>27.624606903931262</v>
      </c>
      <c r="J5334" s="1">
        <v>3.2182881982605382E-2</v>
      </c>
      <c r="K5334" s="1">
        <v>2.0181382398701717</v>
      </c>
      <c r="L5334" s="1">
        <v>2.5311900856804397</v>
      </c>
      <c r="M5334" s="1">
        <v>0.15585095179821745</v>
      </c>
      <c r="N5334" s="1">
        <v>1.4875920119722887</v>
      </c>
      <c r="O5334" s="1">
        <v>0.12561523809523809</v>
      </c>
      <c r="P5334" s="1">
        <v>9.3413424632880604E-2</v>
      </c>
      <c r="Q5334" s="1">
        <v>2.8097556478527035</v>
      </c>
      <c r="R5334" s="2">
        <f t="shared" si="335"/>
        <v>104.4988386594449</v>
      </c>
      <c r="S5334" s="2">
        <f t="shared" si="334"/>
        <v>2.1437345464856579</v>
      </c>
      <c r="T5334" s="2">
        <f t="shared" si="336"/>
        <v>4.3002482875461849</v>
      </c>
      <c r="U5334" s="2">
        <f t="shared" si="337"/>
        <v>110.94282149347674</v>
      </c>
    </row>
    <row r="5335" spans="1:21" x14ac:dyDescent="0.25">
      <c r="A5335">
        <v>5689061</v>
      </c>
      <c r="B5335">
        <v>59</v>
      </c>
      <c r="C5335" s="1">
        <f>6.65194572254292*(10.3/7.3)</f>
        <v>9.3856220468756266</v>
      </c>
      <c r="D5335" s="1">
        <f>8.16102107613273*(10.3/7.3)</f>
        <v>11.514865353995502</v>
      </c>
      <c r="E5335" s="1">
        <f>28.7613775555578*(10.3/7.3)</f>
        <v>40.581121756471894</v>
      </c>
      <c r="F5335" s="1">
        <f>63.585987861675*(38.9/42.5)</f>
        <v>58.199880654568375</v>
      </c>
      <c r="G5335" s="1">
        <v>2.6162143742849699</v>
      </c>
      <c r="H5335" s="1">
        <v>6.9137391320908543</v>
      </c>
      <c r="I5335" s="1">
        <v>48.549333318313494</v>
      </c>
      <c r="J5335" s="1">
        <v>3.2746169849901398E-2</v>
      </c>
      <c r="K5335" s="1">
        <v>2.0033458325020219</v>
      </c>
      <c r="L5335" s="1">
        <v>2.1962299246796029</v>
      </c>
      <c r="M5335" s="1">
        <v>0.13226020692286428</v>
      </c>
      <c r="N5335" s="1">
        <v>1.4094800059207715</v>
      </c>
      <c r="O5335" s="1">
        <v>0.11564022598870057</v>
      </c>
      <c r="P5335" s="1">
        <v>8.6878504053316083E-2</v>
      </c>
      <c r="Q5335" s="1">
        <v>4.181164525112969</v>
      </c>
      <c r="R5335" s="2">
        <f t="shared" si="335"/>
        <v>181.94194116171369</v>
      </c>
      <c r="S5335" s="2">
        <f t="shared" si="334"/>
        <v>2.1229705064052391</v>
      </c>
      <c r="T5335" s="2">
        <f t="shared" si="336"/>
        <v>3.8536103635119394</v>
      </c>
      <c r="U5335" s="2">
        <f t="shared" si="337"/>
        <v>187.91852203163086</v>
      </c>
    </row>
    <row r="5336" spans="1:21" x14ac:dyDescent="0.25">
      <c r="A5336">
        <v>5689157</v>
      </c>
      <c r="B5336">
        <v>13</v>
      </c>
      <c r="C5336" s="1">
        <f>5.7657334703634*(10.3/7.3)</f>
        <v>8.1352129787319196</v>
      </c>
      <c r="D5336" s="1">
        <f>8.55111093044801*(10.3/7.3)</f>
        <v>12.065266107344447</v>
      </c>
      <c r="E5336" s="1">
        <f>29.8635160821826*(10.3/7.3)</f>
        <v>42.136193924175508</v>
      </c>
      <c r="F5336" s="1">
        <f>67.7225653411374*(38.9/42.5)</f>
        <v>61.986065688711641</v>
      </c>
      <c r="G5336" s="1">
        <v>2.946649219311988</v>
      </c>
      <c r="H5336" s="1">
        <v>7.2514915071227506</v>
      </c>
      <c r="I5336" s="1">
        <v>49.210616944607267</v>
      </c>
      <c r="J5336" s="1">
        <v>3.3304579890117973E-2</v>
      </c>
      <c r="K5336" s="1">
        <v>1.9923135230841718</v>
      </c>
      <c r="L5336" s="1">
        <v>2.1065006030640232</v>
      </c>
      <c r="M5336" s="1">
        <v>0.1160294089978947</v>
      </c>
      <c r="N5336" s="1">
        <v>1.3971040160394741</v>
      </c>
      <c r="O5336" s="1">
        <v>0.10596102564102564</v>
      </c>
      <c r="P5336" s="1">
        <v>8.0661793451614727E-2</v>
      </c>
      <c r="Q5336" s="1">
        <v>4.7092567431926806</v>
      </c>
      <c r="R5336" s="2">
        <f t="shared" si="335"/>
        <v>188.44075311319821</v>
      </c>
      <c r="S5336" s="2">
        <f t="shared" si="334"/>
        <v>2.1062798964259044</v>
      </c>
      <c r="T5336" s="2">
        <f t="shared" si="336"/>
        <v>3.7255950537424174</v>
      </c>
      <c r="U5336" s="2">
        <f t="shared" si="337"/>
        <v>194.27262806336654</v>
      </c>
    </row>
    <row r="5337" spans="1:21" x14ac:dyDescent="0.25">
      <c r="A5337">
        <v>5689165</v>
      </c>
      <c r="B5337">
        <v>40</v>
      </c>
      <c r="C5337" s="1">
        <f>8.19545136185835*(10.3/7.3)</f>
        <v>11.563445072211092</v>
      </c>
      <c r="D5337" s="1">
        <f>12.2801419346451*(10.3/7.3)</f>
        <v>17.326775606417115</v>
      </c>
      <c r="E5337" s="1">
        <f>42.8907100579785*(10.3/7.3)</f>
        <v>60.51702925988743</v>
      </c>
      <c r="F5337" s="1">
        <f>96.2052960344677*(38.9/42.5)</f>
        <v>88.056141546842198</v>
      </c>
      <c r="G5337" s="1">
        <v>4.1491758413260253</v>
      </c>
      <c r="H5337" s="1">
        <v>8.2725890542747003</v>
      </c>
      <c r="I5337" s="1">
        <v>69.536581460864753</v>
      </c>
      <c r="J5337" s="1">
        <v>3.8839741271322628E-2</v>
      </c>
      <c r="K5337" s="1">
        <v>2.2431159667113967</v>
      </c>
      <c r="L5337" s="1">
        <v>2.4324924304906208</v>
      </c>
      <c r="M5337" s="1">
        <v>0.12940489629944529</v>
      </c>
      <c r="N5337" s="1">
        <v>1.5657442753427258</v>
      </c>
      <c r="O5337" s="1">
        <v>0.11897733333333334</v>
      </c>
      <c r="P5337" s="1">
        <v>8.9024345242033801E-2</v>
      </c>
      <c r="Q5337" s="1">
        <v>6.6311029427584973</v>
      </c>
      <c r="R5337" s="2">
        <f t="shared" si="335"/>
        <v>266.0528407845818</v>
      </c>
      <c r="S5337" s="2">
        <f t="shared" si="334"/>
        <v>2.3709800532247534</v>
      </c>
      <c r="T5337" s="2">
        <f t="shared" si="336"/>
        <v>4.2466189354661257</v>
      </c>
      <c r="U5337" s="2">
        <f t="shared" si="337"/>
        <v>272.67043977327268</v>
      </c>
    </row>
    <row r="5338" spans="1:21" x14ac:dyDescent="0.25">
      <c r="A5338">
        <v>5689221</v>
      </c>
      <c r="B5338">
        <v>1</v>
      </c>
      <c r="C5338" s="1">
        <f>7.87024610163638*(10.3/7.3)</f>
        <v>11.104593814637628</v>
      </c>
      <c r="D5338" s="1">
        <f>12.6218679022524*(10.3/7.3)</f>
        <v>17.808936903178108</v>
      </c>
      <c r="E5338" s="1">
        <f>43.9643037795066*(10.3/7.3)</f>
        <v>62.03182588067363</v>
      </c>
      <c r="F5338" s="1">
        <f>99.129017152258*(38.9/42.5)</f>
        <v>90.732206287596128</v>
      </c>
      <c r="G5338" s="1">
        <v>4.3368615169449258</v>
      </c>
      <c r="H5338" s="1">
        <v>8.8814233923468926</v>
      </c>
      <c r="I5338" s="1">
        <v>70.476751228063307</v>
      </c>
      <c r="J5338" s="1">
        <v>3.5193131962369159E-2</v>
      </c>
      <c r="K5338" s="1">
        <v>2.1195901564926203</v>
      </c>
      <c r="L5338" s="1">
        <v>2.2211299945580794</v>
      </c>
      <c r="M5338" s="1">
        <v>0.11496855618951048</v>
      </c>
      <c r="N5338" s="1">
        <v>1.5124532153691281</v>
      </c>
      <c r="O5338" s="1">
        <v>0.10869333333333334</v>
      </c>
      <c r="P5338" s="1">
        <v>8.2064561441833522E-2</v>
      </c>
      <c r="Q5338" s="1">
        <v>6.9310572188617598</v>
      </c>
      <c r="R5338" s="2">
        <f t="shared" si="335"/>
        <v>272.30365624230245</v>
      </c>
      <c r="S5338" s="2">
        <f t="shared" si="334"/>
        <v>2.2368478498968227</v>
      </c>
      <c r="T5338" s="2">
        <f t="shared" si="336"/>
        <v>3.9572450994500517</v>
      </c>
      <c r="U5338" s="2">
        <f t="shared" si="337"/>
        <v>278.49774919164935</v>
      </c>
    </row>
    <row r="5339" spans="1:21" x14ac:dyDescent="0.25">
      <c r="A5339">
        <v>5689229</v>
      </c>
      <c r="B5339">
        <v>27</v>
      </c>
      <c r="C5339" s="1">
        <f>6.27103073974104*(10.3/7.3)</f>
        <v>8.8481666601825655</v>
      </c>
      <c r="D5339" s="1">
        <f>17.5236276716238*(10.3/7.3)</f>
        <v>24.725118495578773</v>
      </c>
      <c r="E5339" s="1">
        <f>60.9677174401479*(10.3/7.3)</f>
        <v>86.022943785414157</v>
      </c>
      <c r="F5339" s="1">
        <f>94.1841074672109*(38.9/42.5)</f>
        <v>86.206159540576579</v>
      </c>
      <c r="G5339" s="1">
        <v>2.7162310407958978</v>
      </c>
      <c r="H5339" s="1">
        <v>7.655108180009198</v>
      </c>
      <c r="I5339" s="1">
        <v>48.392442197931068</v>
      </c>
      <c r="J5339" s="1">
        <v>2.8274509658377255E-2</v>
      </c>
      <c r="K5339" s="1">
        <v>1.7839924414055099</v>
      </c>
      <c r="L5339" s="1">
        <v>1.7961528240564877</v>
      </c>
      <c r="M5339" s="1">
        <v>9.8093008748555463E-2</v>
      </c>
      <c r="N5339" s="1">
        <v>1.165730566722649</v>
      </c>
      <c r="O5339" s="1">
        <v>9.0631111111111107E-2</v>
      </c>
      <c r="P5339" s="1">
        <v>7.070667474169505E-2</v>
      </c>
      <c r="Q5339" s="1">
        <v>4.3410085126875133</v>
      </c>
      <c r="R5339" s="2">
        <f t="shared" si="335"/>
        <v>268.9071784131757</v>
      </c>
      <c r="S5339" s="2">
        <f t="shared" si="334"/>
        <v>1.8829736258055823</v>
      </c>
      <c r="T5339" s="2">
        <f t="shared" si="336"/>
        <v>3.1506075106388032</v>
      </c>
      <c r="U5339" s="2">
        <f t="shared" si="337"/>
        <v>273.94075954962005</v>
      </c>
    </row>
    <row r="5340" spans="1:21" x14ac:dyDescent="0.25">
      <c r="A5340">
        <v>5689237</v>
      </c>
      <c r="B5340">
        <v>22</v>
      </c>
      <c r="C5340" s="1">
        <f>5.20261430914922*(10.3/7.3)</f>
        <v>7.340674984142046</v>
      </c>
      <c r="D5340" s="1">
        <f>7.80281139814236*(10.3/7.3)</f>
        <v>11.009446219296754</v>
      </c>
      <c r="E5340" s="1">
        <f>27.2522083622143*(10.3/7.3)</f>
        <v>38.451746045316007</v>
      </c>
      <c r="F5340" s="1">
        <f>61.1089604252978*(38.9/42.5)</f>
        <v>55.932672012801966</v>
      </c>
      <c r="G5340" s="1">
        <v>2.6351149815803527</v>
      </c>
      <c r="H5340" s="1">
        <v>7.2009642764039361</v>
      </c>
      <c r="I5340" s="1">
        <v>44.155061860805581</v>
      </c>
      <c r="J5340" s="1">
        <v>2.941465993662996E-2</v>
      </c>
      <c r="K5340" s="1">
        <v>1.8879470161632552</v>
      </c>
      <c r="L5340" s="1">
        <v>1.921543231937122</v>
      </c>
      <c r="M5340" s="1">
        <v>0.10324249456667617</v>
      </c>
      <c r="N5340" s="1">
        <v>1.2124231452064611</v>
      </c>
      <c r="O5340" s="1">
        <v>9.6380606060606056E-2</v>
      </c>
      <c r="P5340" s="1">
        <v>7.4456582115434322E-2</v>
      </c>
      <c r="Q5340" s="1">
        <v>4.2113709751284212</v>
      </c>
      <c r="R5340" s="2">
        <f t="shared" si="335"/>
        <v>170.93705135547506</v>
      </c>
      <c r="S5340" s="2">
        <f t="shared" si="334"/>
        <v>1.9918182582153197</v>
      </c>
      <c r="T5340" s="2">
        <f t="shared" si="336"/>
        <v>3.3335894777708655</v>
      </c>
      <c r="U5340" s="2">
        <f t="shared" si="337"/>
        <v>176.26245909146124</v>
      </c>
    </row>
    <row r="5341" spans="1:21" x14ac:dyDescent="0.25">
      <c r="A5341">
        <v>5700625</v>
      </c>
      <c r="B5341">
        <v>9</v>
      </c>
      <c r="C5341" s="1">
        <f>0.499590689616358*(10.3/7.3)</f>
        <v>0.70490193192444994</v>
      </c>
      <c r="D5341" s="1">
        <f>0.771299196682843*(10.3/7.3)</f>
        <v>1.0882714692922306</v>
      </c>
      <c r="E5341" s="1">
        <f>2.66487051634155*(10.3/7.3)</f>
        <v>3.7600227833312245</v>
      </c>
      <c r="F5341" s="1">
        <f>7.29752353537141*(38.9/42.5)</f>
        <v>6.6793803653164243</v>
      </c>
      <c r="G5341" s="1">
        <v>0.36988142675444841</v>
      </c>
      <c r="H5341" s="1">
        <v>1.492441911202619</v>
      </c>
      <c r="I5341" s="1">
        <v>5.4668877583244218</v>
      </c>
      <c r="J5341" s="1">
        <v>3.5893732049394327E-2</v>
      </c>
      <c r="K5341" s="1">
        <v>7.1432656211898014</v>
      </c>
      <c r="L5341" s="1">
        <v>1.8367774456184063</v>
      </c>
      <c r="M5341" s="1">
        <v>0.73165745637818824</v>
      </c>
      <c r="N5341" s="1">
        <v>1.1592171291044326</v>
      </c>
      <c r="O5341" s="1">
        <v>1.5098666666666667</v>
      </c>
      <c r="P5341" s="1">
        <v>0.12772978563606882</v>
      </c>
      <c r="Q5341" s="1">
        <v>0.59113470029249815</v>
      </c>
      <c r="R5341" s="2">
        <f t="shared" si="335"/>
        <v>20.152922346438316</v>
      </c>
      <c r="S5341" s="2">
        <f t="shared" si="334"/>
        <v>7.3068891388752641</v>
      </c>
      <c r="T5341" s="2">
        <f t="shared" si="336"/>
        <v>5.237518697767694</v>
      </c>
      <c r="U5341" s="2">
        <f t="shared" si="337"/>
        <v>32.697330183081277</v>
      </c>
    </row>
    <row r="5342" spans="1:21" x14ac:dyDescent="0.25">
      <c r="A5342">
        <v>5700705</v>
      </c>
      <c r="B5342">
        <v>14</v>
      </c>
      <c r="C5342" s="1">
        <f>0.544009709208686*(10.3/7.3)</f>
        <v>0.76757534313006337</v>
      </c>
      <c r="D5342" s="1">
        <f>0.986739800685514*(10.3/7.3)</f>
        <v>1.3922493078165468</v>
      </c>
      <c r="E5342" s="1">
        <f>3.34795677149355*(10.3/7.3)</f>
        <v>4.7238294173128166</v>
      </c>
      <c r="F5342" s="1">
        <f>11.3484818792593*(38.9/42.5)</f>
        <v>10.387198708310233</v>
      </c>
      <c r="G5342" s="1">
        <v>0.65497430367064957</v>
      </c>
      <c r="H5342" s="1">
        <v>7.7947590703256298</v>
      </c>
      <c r="I5342" s="1">
        <v>8.6011206047842563</v>
      </c>
      <c r="J5342" s="1">
        <v>4.9102960050496296E-2</v>
      </c>
      <c r="K5342" s="1">
        <v>4.8775897901468124</v>
      </c>
      <c r="L5342" s="1">
        <v>2.3320784745645495</v>
      </c>
      <c r="M5342" s="1">
        <v>1.2250382739161709</v>
      </c>
      <c r="N5342" s="1">
        <v>1.7136519154487679</v>
      </c>
      <c r="O5342" s="1">
        <v>0.36533714285714286</v>
      </c>
      <c r="P5342" s="1">
        <v>0.13006682082267348</v>
      </c>
      <c r="Q5342" s="1">
        <v>1.046762585775012</v>
      </c>
      <c r="R5342" s="2">
        <f t="shared" si="335"/>
        <v>35.368469341125206</v>
      </c>
      <c r="S5342" s="2">
        <f t="shared" si="334"/>
        <v>5.056759571019982</v>
      </c>
      <c r="T5342" s="2">
        <f t="shared" si="336"/>
        <v>5.6361058067866319</v>
      </c>
      <c r="U5342" s="2">
        <f t="shared" si="337"/>
        <v>46.061334718931818</v>
      </c>
    </row>
    <row r="5343" spans="1:21" x14ac:dyDescent="0.25">
      <c r="A5343">
        <v>5700729</v>
      </c>
      <c r="B5343">
        <v>12</v>
      </c>
      <c r="C5343" s="1">
        <f>0.591463333043017*(10.3/7.3)</f>
        <v>0.83453045621138056</v>
      </c>
      <c r="D5343" s="1">
        <f>1.02969670214901*(10.3/7.3)</f>
        <v>1.4528597304294186</v>
      </c>
      <c r="E5343" s="1">
        <f>3.51336302225876*(10.3/7.3)</f>
        <v>4.9572108396253771</v>
      </c>
      <c r="F5343" s="1">
        <f>11.1289806257677*(38.9/42.5)</f>
        <v>10.186290502173275</v>
      </c>
      <c r="G5343" s="1">
        <v>0.61995911058966335</v>
      </c>
      <c r="H5343" s="1">
        <v>3.3153898927325187</v>
      </c>
      <c r="I5343" s="1">
        <v>8.3838349512071648</v>
      </c>
      <c r="J5343" s="1">
        <v>5.4151059148994624E-2</v>
      </c>
      <c r="K5343" s="1">
        <v>4.5101074598192241</v>
      </c>
      <c r="L5343" s="1">
        <v>2.7186671296535909</v>
      </c>
      <c r="M5343" s="1">
        <v>1.1828246511428635</v>
      </c>
      <c r="N5343" s="1">
        <v>2.4710596538843914</v>
      </c>
      <c r="O5343" s="1">
        <v>0.3224711111111111</v>
      </c>
      <c r="P5343" s="1">
        <v>0.13440980584125087</v>
      </c>
      <c r="Q5343" s="1">
        <v>0.99080223153599267</v>
      </c>
      <c r="R5343" s="2">
        <f t="shared" si="335"/>
        <v>30.740877714504791</v>
      </c>
      <c r="S5343" s="2">
        <f t="shared" si="334"/>
        <v>4.6986683248094696</v>
      </c>
      <c r="T5343" s="2">
        <f t="shared" si="336"/>
        <v>6.6950225457919563</v>
      </c>
      <c r="U5343" s="2">
        <f t="shared" si="337"/>
        <v>42.134568585106216</v>
      </c>
    </row>
    <row r="5344" spans="1:21" x14ac:dyDescent="0.25">
      <c r="A5344">
        <v>5700737</v>
      </c>
      <c r="B5344">
        <v>3</v>
      </c>
      <c r="C5344" s="1">
        <f>0.627442359587273*(10.3/7.3)</f>
        <v>0.88529538407519281</v>
      </c>
      <c r="D5344" s="1">
        <f>1.13022779552881*(10.3/7.3)</f>
        <v>1.5947049717735275</v>
      </c>
      <c r="E5344" s="1">
        <f>3.84218410398891*(10.3/7.3)</f>
        <v>5.4211638727514773</v>
      </c>
      <c r="F5344" s="1">
        <f>12.6845300701415*(38.9/42.5)</f>
        <v>11.610075758317722</v>
      </c>
      <c r="G5344" s="1">
        <v>0.72281025282415434</v>
      </c>
      <c r="H5344" s="1">
        <v>4.2010968946149196</v>
      </c>
      <c r="I5344" s="1">
        <v>9.5777844301001309</v>
      </c>
      <c r="J5344" s="1">
        <v>4.9124984298569478E-2</v>
      </c>
      <c r="K5344" s="1">
        <v>4.243088360056297</v>
      </c>
      <c r="L5344" s="1">
        <v>2.6960278497468759</v>
      </c>
      <c r="M5344" s="1">
        <v>1.137729653757461</v>
      </c>
      <c r="N5344" s="1">
        <v>1.8247662805325475</v>
      </c>
      <c r="O5344" s="1">
        <v>0.31107555555555549</v>
      </c>
      <c r="P5344" s="1">
        <v>0.13496434136931137</v>
      </c>
      <c r="Q5344" s="1">
        <v>1.1551762031436266</v>
      </c>
      <c r="R5344" s="2">
        <f t="shared" si="335"/>
        <v>35.168107767600752</v>
      </c>
      <c r="S5344" s="2">
        <f t="shared" si="334"/>
        <v>4.4271776857241782</v>
      </c>
      <c r="T5344" s="2">
        <f t="shared" si="336"/>
        <v>5.96959933959244</v>
      </c>
      <c r="U5344" s="2">
        <f t="shared" si="337"/>
        <v>45.564884792917375</v>
      </c>
    </row>
    <row r="5345" spans="1:21" x14ac:dyDescent="0.25">
      <c r="A5345">
        <v>5700753</v>
      </c>
      <c r="B5345">
        <v>7</v>
      </c>
      <c r="C5345" s="1">
        <f>0.635958217741395*(10.3/7.3)</f>
        <v>0.89731090996388641</v>
      </c>
      <c r="D5345" s="1">
        <f>1.27297861049746*(10.3/7.3)</f>
        <v>1.796120505222444</v>
      </c>
      <c r="E5345" s="1">
        <f>4.27723551582872*(10.3/7.3)</f>
        <v>6.035003536032308</v>
      </c>
      <c r="F5345" s="1">
        <f>16.0094361965995*(38.9/42.5)</f>
        <v>14.653342777593403</v>
      </c>
      <c r="G5345" s="1">
        <v>0.96872003912815186</v>
      </c>
      <c r="H5345" s="1">
        <v>5.6427846158746018</v>
      </c>
      <c r="I5345" s="1">
        <v>12.186822745574357</v>
      </c>
      <c r="J5345" s="1">
        <v>4.4942801852526346E-2</v>
      </c>
      <c r="K5345" s="1">
        <v>3.7768806475567982</v>
      </c>
      <c r="L5345" s="1">
        <v>2.7484728005024581</v>
      </c>
      <c r="M5345" s="1">
        <v>1.0224116546757622</v>
      </c>
      <c r="N5345" s="1">
        <v>1.7430946524275623</v>
      </c>
      <c r="O5345" s="1">
        <v>0.28027428571428575</v>
      </c>
      <c r="P5345" s="1">
        <v>0.1307385290594664</v>
      </c>
      <c r="Q5345" s="1">
        <v>1.548182710935404</v>
      </c>
      <c r="R5345" s="2">
        <f t="shared" si="335"/>
        <v>43.728287840324555</v>
      </c>
      <c r="S5345" s="2">
        <f t="shared" si="334"/>
        <v>3.9525619784687911</v>
      </c>
      <c r="T5345" s="2">
        <f t="shared" si="336"/>
        <v>5.7942533933200684</v>
      </c>
      <c r="U5345" s="2">
        <f t="shared" si="337"/>
        <v>53.475103212113417</v>
      </c>
    </row>
    <row r="5346" spans="1:21" x14ac:dyDescent="0.25">
      <c r="A5346">
        <v>5700761</v>
      </c>
      <c r="B5346">
        <v>1</v>
      </c>
      <c r="C5346" s="1">
        <f>0.646427602376308*(10.3/7.3)</f>
        <v>0.91208278143506438</v>
      </c>
      <c r="D5346" s="1">
        <f>1.18185746677788*(10.3/7.3)</f>
        <v>1.6675523161386574</v>
      </c>
      <c r="E5346" s="1">
        <f>4.01081496063996*(10.3/7.3)</f>
        <v>5.659095081450908</v>
      </c>
      <c r="F5346" s="1">
        <f>13.5002264938026*(38.9/42.5)</f>
        <v>12.356677896680457</v>
      </c>
      <c r="G5346" s="1">
        <v>0.77702996303105276</v>
      </c>
      <c r="H5346" s="1">
        <v>7.7897204413208945</v>
      </c>
      <c r="I5346" s="1">
        <v>10.207252957075536</v>
      </c>
      <c r="J5346" s="1">
        <v>4.4383911300504147E-2</v>
      </c>
      <c r="K5346" s="1">
        <v>3.7601083651932004</v>
      </c>
      <c r="L5346" s="1">
        <v>2.844586501920217</v>
      </c>
      <c r="M5346" s="1">
        <v>1.00905775808777</v>
      </c>
      <c r="N5346" s="1">
        <v>1.8124719865290257</v>
      </c>
      <c r="O5346" s="1">
        <v>0.27055999999999997</v>
      </c>
      <c r="P5346" s="1">
        <v>0.13330074970735853</v>
      </c>
      <c r="Q5346" s="1">
        <v>1.2418287080404966</v>
      </c>
      <c r="R5346" s="2">
        <f t="shared" si="335"/>
        <v>40.611240145173063</v>
      </c>
      <c r="S5346" s="2">
        <f t="shared" si="334"/>
        <v>3.9377930262010632</v>
      </c>
      <c r="T5346" s="2">
        <f t="shared" si="336"/>
        <v>5.9366762465370124</v>
      </c>
      <c r="U5346" s="2">
        <f t="shared" si="337"/>
        <v>50.485709417911139</v>
      </c>
    </row>
    <row r="5347" spans="1:21" x14ac:dyDescent="0.25">
      <c r="A5347">
        <v>5701145</v>
      </c>
      <c r="B5347">
        <v>1</v>
      </c>
      <c r="C5347" s="1">
        <f>4.71179207400599*(10.3/7.3)</f>
        <v>6.6481449811317379</v>
      </c>
      <c r="D5347" s="1">
        <f>13.0865639453025*(10.3/7.3)</f>
        <v>18.46460392282405</v>
      </c>
      <c r="E5347" s="1">
        <f>45.0736322550346*(10.3/7.3)</f>
        <v>63.597042770802283</v>
      </c>
      <c r="F5347" s="1">
        <f>92.7651951748206*(38.9/42.5)</f>
        <v>84.907437465894603</v>
      </c>
      <c r="G5347" s="1">
        <v>3.9538185774225756</v>
      </c>
      <c r="H5347" s="1">
        <v>9.2912318847320368</v>
      </c>
      <c r="I5347" s="1">
        <v>56.446102841311287</v>
      </c>
      <c r="J5347" s="1">
        <v>4.7922743234024269E-2</v>
      </c>
      <c r="K5347" s="1">
        <v>2.6977099494756263</v>
      </c>
      <c r="L5347" s="1">
        <v>3.1632211603328417</v>
      </c>
      <c r="M5347" s="1">
        <v>0.22394523357891863</v>
      </c>
      <c r="N5347" s="1">
        <v>2.5913190283131797</v>
      </c>
      <c r="O5347" s="1">
        <v>0.18346666666666664</v>
      </c>
      <c r="P5347" s="1">
        <v>0.12134371231539975</v>
      </c>
      <c r="Q5347" s="1">
        <v>6.3188881374333468</v>
      </c>
      <c r="R5347" s="2">
        <f t="shared" si="335"/>
        <v>249.62727058155193</v>
      </c>
      <c r="S5347" s="2">
        <f t="shared" si="334"/>
        <v>2.8669764050250501</v>
      </c>
      <c r="T5347" s="2">
        <f t="shared" si="336"/>
        <v>6.1619520888916073</v>
      </c>
      <c r="U5347" s="2">
        <f t="shared" si="337"/>
        <v>258.65619907546858</v>
      </c>
    </row>
    <row r="5348" spans="1:21" x14ac:dyDescent="0.25">
      <c r="A5348">
        <v>5701153</v>
      </c>
      <c r="B5348">
        <v>25</v>
      </c>
      <c r="C5348" s="1">
        <f>5.32003145794986*(10.3/7.3)</f>
        <v>7.5063457557374758</v>
      </c>
      <c r="D5348" s="1">
        <f>9.48331337681002*(10.3/7.3)</f>
        <v>13.380565449471677</v>
      </c>
      <c r="E5348" s="1">
        <f>32.8372811633326*(10.3/7.3)</f>
        <v>46.332054244154186</v>
      </c>
      <c r="F5348" s="1">
        <f>77.955208328236*(38.9/42.5)</f>
        <v>71.351943622785399</v>
      </c>
      <c r="G5348" s="1">
        <v>3.611933977284195</v>
      </c>
      <c r="H5348" s="1">
        <v>7.3735968672498124</v>
      </c>
      <c r="I5348" s="1">
        <v>54.783739780645348</v>
      </c>
      <c r="J5348" s="1">
        <v>7.209372911664301E-2</v>
      </c>
      <c r="K5348" s="1">
        <v>3.2585224070134844</v>
      </c>
      <c r="L5348" s="1">
        <v>3.7576091314656246</v>
      </c>
      <c r="M5348" s="1">
        <v>0.25221815508641759</v>
      </c>
      <c r="N5348" s="1">
        <v>2.6480484346219026</v>
      </c>
      <c r="O5348" s="1">
        <v>0.2073237333333334</v>
      </c>
      <c r="P5348" s="1">
        <v>0.13589710381034864</v>
      </c>
      <c r="Q5348" s="1">
        <v>5.7724972239701806</v>
      </c>
      <c r="R5348" s="2">
        <f t="shared" si="335"/>
        <v>210.11267692129829</v>
      </c>
      <c r="S5348" s="2">
        <f t="shared" si="334"/>
        <v>3.4665132399404759</v>
      </c>
      <c r="T5348" s="2">
        <f t="shared" si="336"/>
        <v>6.8651994545072776</v>
      </c>
      <c r="U5348" s="2">
        <f t="shared" si="337"/>
        <v>220.44438961574605</v>
      </c>
    </row>
    <row r="5349" spans="1:21" x14ac:dyDescent="0.25">
      <c r="A5349">
        <v>5701161</v>
      </c>
      <c r="B5349">
        <v>62</v>
      </c>
      <c r="C5349" s="1">
        <f>5.07449458061627*(10.3/7.3)</f>
        <v>7.1599033123763807</v>
      </c>
      <c r="D5349" s="1">
        <f>8.54524479681569*(10.3/7.3)</f>
        <v>12.056989233863234</v>
      </c>
      <c r="E5349" s="1">
        <f>29.6273003333873*(10.3/7.3)</f>
        <v>41.802903210121741</v>
      </c>
      <c r="F5349" s="1">
        <f>71.2167051034449*(38.9/42.5)</f>
        <v>65.184231259388397</v>
      </c>
      <c r="G5349" s="1">
        <v>3.3123678863438992</v>
      </c>
      <c r="H5349" s="1">
        <v>7.1537154317876839</v>
      </c>
      <c r="I5349" s="1">
        <v>50.860223922818214</v>
      </c>
      <c r="J5349" s="1">
        <v>5.7166631057894754E-2</v>
      </c>
      <c r="K5349" s="1">
        <v>3.0999775686864357</v>
      </c>
      <c r="L5349" s="1">
        <v>3.7774817714987035</v>
      </c>
      <c r="M5349" s="1">
        <v>0.25082662067999612</v>
      </c>
      <c r="N5349" s="1">
        <v>3.2022356555611573</v>
      </c>
      <c r="O5349" s="1">
        <v>0.20528946236559145</v>
      </c>
      <c r="P5349" s="1">
        <v>0.13578616312677186</v>
      </c>
      <c r="Q5349" s="1">
        <v>5.2937386311432233</v>
      </c>
      <c r="R5349" s="2">
        <f t="shared" si="335"/>
        <v>192.82407288784276</v>
      </c>
      <c r="S5349" s="2">
        <f t="shared" si="334"/>
        <v>3.2929303628711026</v>
      </c>
      <c r="T5349" s="2">
        <f t="shared" si="336"/>
        <v>7.4358335101054482</v>
      </c>
      <c r="U5349" s="2">
        <f t="shared" si="337"/>
        <v>203.5528367608193</v>
      </c>
    </row>
    <row r="5350" spans="1:21" x14ac:dyDescent="0.25">
      <c r="A5350">
        <v>5701169</v>
      </c>
      <c r="B5350">
        <v>56</v>
      </c>
      <c r="C5350" s="1">
        <f>5.8350460926145*(10.3/7.3)</f>
        <v>8.2330102402642922</v>
      </c>
      <c r="D5350" s="1">
        <f>9.37138234817526*(10.3/7.3)</f>
        <v>13.222635367973314</v>
      </c>
      <c r="E5350" s="1">
        <f>32.5268306708887*(10.3/7.3)</f>
        <v>45.894021357555324</v>
      </c>
      <c r="F5350" s="1">
        <f>79.111216338104*(38.9/42.5)</f>
        <v>72.410030954170452</v>
      </c>
      <c r="G5350" s="1">
        <v>3.694471377073711</v>
      </c>
      <c r="H5350" s="1">
        <v>7.9585744966581577</v>
      </c>
      <c r="I5350" s="1">
        <v>57.282391572931722</v>
      </c>
      <c r="J5350" s="1">
        <v>6.4201642905601208E-2</v>
      </c>
      <c r="K5350" s="1">
        <v>3.2081396298260931</v>
      </c>
      <c r="L5350" s="1">
        <v>3.9990945737864605</v>
      </c>
      <c r="M5350" s="1">
        <v>0.25803222532563536</v>
      </c>
      <c r="N5350" s="1">
        <v>2.7524228959071837</v>
      </c>
      <c r="O5350" s="1">
        <v>0.21094857142857143</v>
      </c>
      <c r="P5350" s="1">
        <v>0.13935570215574083</v>
      </c>
      <c r="Q5350" s="1">
        <v>5.9044063103917788</v>
      </c>
      <c r="R5350" s="2">
        <f t="shared" si="335"/>
        <v>214.59954167701875</v>
      </c>
      <c r="S5350" s="2">
        <f t="shared" si="334"/>
        <v>3.4116969748874353</v>
      </c>
      <c r="T5350" s="2">
        <f t="shared" si="336"/>
        <v>7.2204982664478505</v>
      </c>
      <c r="U5350" s="2">
        <f t="shared" si="337"/>
        <v>225.23173691835404</v>
      </c>
    </row>
    <row r="5351" spans="1:21" x14ac:dyDescent="0.25">
      <c r="A5351">
        <v>5701185</v>
      </c>
      <c r="B5351">
        <v>33</v>
      </c>
      <c r="C5351" s="1">
        <f>2.68576613914357*(10.3/7.3)</f>
        <v>3.7895056483806489</v>
      </c>
      <c r="D5351" s="1">
        <f>3.98256623672428*(10.3/7.3)</f>
        <v>5.6192372929123353</v>
      </c>
      <c r="E5351" s="1">
        <f>13.8486658986337*(10.3/7.3)</f>
        <v>19.539898459715996</v>
      </c>
      <c r="F5351" s="1">
        <f>34.447455173048*(38.9/42.5)</f>
        <v>31.529553087801542</v>
      </c>
      <c r="G5351" s="1">
        <v>1.6221694540912557</v>
      </c>
      <c r="H5351" s="1">
        <v>7.453404679065426</v>
      </c>
      <c r="I5351" s="1">
        <v>25.543595213270581</v>
      </c>
      <c r="J5351" s="1">
        <v>3.3629832832664283E-2</v>
      </c>
      <c r="K5351" s="1">
        <v>2.0767619504058445</v>
      </c>
      <c r="L5351" s="1">
        <v>2.33195642689377</v>
      </c>
      <c r="M5351" s="1">
        <v>0.16012804898859853</v>
      </c>
      <c r="N5351" s="1">
        <v>1.5535232382839779</v>
      </c>
      <c r="O5351" s="1">
        <v>0.12884848484848485</v>
      </c>
      <c r="P5351" s="1">
        <v>9.5662424513601421E-2</v>
      </c>
      <c r="Q5351" s="1">
        <v>2.5925082599631963</v>
      </c>
      <c r="R5351" s="2">
        <f t="shared" si="335"/>
        <v>97.689872095200982</v>
      </c>
      <c r="S5351" s="2">
        <f t="shared" si="334"/>
        <v>2.2060542077521101</v>
      </c>
      <c r="T5351" s="2">
        <f t="shared" si="336"/>
        <v>4.1744561990148306</v>
      </c>
      <c r="U5351" s="2">
        <f t="shared" si="337"/>
        <v>104.07038250196791</v>
      </c>
    </row>
    <row r="5352" spans="1:21" x14ac:dyDescent="0.25">
      <c r="A5352">
        <v>5701289</v>
      </c>
      <c r="B5352">
        <v>9</v>
      </c>
      <c r="C5352" s="1">
        <f>8.20436867286532*(10.3/7.3)</f>
        <v>11.576027031577091</v>
      </c>
      <c r="D5352" s="1">
        <f>9.89545972020858*(10.3/7.3)</f>
        <v>13.962087002486086</v>
      </c>
      <c r="E5352" s="1">
        <f>34.8487469053914*(10.3/7.3)</f>
        <v>49.170149743223419</v>
      </c>
      <c r="F5352" s="1">
        <f>79.7172637149365*(38.9/42.5)</f>
        <v>72.964742553200651</v>
      </c>
      <c r="G5352" s="1">
        <v>3.3844400902894467</v>
      </c>
      <c r="H5352" s="1">
        <v>8.5671622351626571</v>
      </c>
      <c r="I5352" s="1">
        <v>61.535113782009326</v>
      </c>
      <c r="J5352" s="1">
        <v>3.5919191271937635E-2</v>
      </c>
      <c r="K5352" s="1">
        <v>2.1720092373049829</v>
      </c>
      <c r="L5352" s="1">
        <v>2.4346301761093176</v>
      </c>
      <c r="M5352" s="1">
        <v>0.14423127885224865</v>
      </c>
      <c r="N5352" s="1">
        <v>1.5359394131083337</v>
      </c>
      <c r="O5352" s="1">
        <v>0.12757925925925928</v>
      </c>
      <c r="P5352" s="1">
        <v>9.353188594825948E-2</v>
      </c>
      <c r="Q5352" s="1">
        <v>5.4089225187274321</v>
      </c>
      <c r="R5352" s="2">
        <f t="shared" si="335"/>
        <v>226.56864495667608</v>
      </c>
      <c r="S5352" s="2">
        <f t="shared" si="334"/>
        <v>2.3014603145251802</v>
      </c>
      <c r="T5352" s="2">
        <f t="shared" si="336"/>
        <v>4.2423801273291595</v>
      </c>
      <c r="U5352" s="2">
        <f t="shared" si="337"/>
        <v>233.11248539853042</v>
      </c>
    </row>
    <row r="5353" spans="1:21" x14ac:dyDescent="0.25">
      <c r="A5353">
        <v>5701297</v>
      </c>
      <c r="B5353">
        <v>35</v>
      </c>
      <c r="C5353" s="1">
        <f>8.26671714585415*(10.3/7.3)</f>
        <v>11.663998164698322</v>
      </c>
      <c r="D5353" s="1">
        <f>10.2687072289146*(10.3/7.3)</f>
        <v>14.488723898331582</v>
      </c>
      <c r="E5353" s="1">
        <f>36.1714675094583*(10.3/7.3)</f>
        <v>51.036454157180827</v>
      </c>
      <c r="F5353" s="1">
        <f>79.837078118816*(38.9/42.5)</f>
        <v>73.07440797228098</v>
      </c>
      <c r="G5353" s="1">
        <v>3.2867199454141036</v>
      </c>
      <c r="H5353" s="1">
        <v>7.2100381710618144</v>
      </c>
      <c r="I5353" s="1">
        <v>60.706625821056953</v>
      </c>
      <c r="J5353" s="1">
        <v>3.7265997614966864E-2</v>
      </c>
      <c r="K5353" s="1">
        <v>2.2635579186793433</v>
      </c>
      <c r="L5353" s="1">
        <v>2.5603679523647562</v>
      </c>
      <c r="M5353" s="1">
        <v>0.15052029992859256</v>
      </c>
      <c r="N5353" s="1">
        <v>1.607376595344006</v>
      </c>
      <c r="O5353" s="1">
        <v>0.13299657142857144</v>
      </c>
      <c r="P5353" s="1">
        <v>9.6917852730604728E-2</v>
      </c>
      <c r="Q5353" s="1">
        <v>5.2527487712097605</v>
      </c>
      <c r="R5353" s="2">
        <f t="shared" si="335"/>
        <v>226.71971690123431</v>
      </c>
      <c r="S5353" s="2">
        <f t="shared" si="334"/>
        <v>2.3977417690249148</v>
      </c>
      <c r="T5353" s="2">
        <f t="shared" si="336"/>
        <v>4.4512614190659265</v>
      </c>
      <c r="U5353" s="2">
        <f t="shared" si="337"/>
        <v>233.56872008932515</v>
      </c>
    </row>
    <row r="5354" spans="1:21" x14ac:dyDescent="0.25">
      <c r="A5354">
        <v>5701313</v>
      </c>
      <c r="B5354">
        <v>5</v>
      </c>
      <c r="C5354" s="1">
        <f>5.83816130353168*(10.3/7.3)</f>
        <v>8.2374056748460713</v>
      </c>
      <c r="D5354" s="1">
        <f>9.34894941171546*(10.3/7.3)</f>
        <v>13.190983416530029</v>
      </c>
      <c r="E5354" s="1">
        <f>32.6704636218969*(10.3/7.3)</f>
        <v>46.096681548703849</v>
      </c>
      <c r="F5354" s="1">
        <f>68.3574107555475*(38.9/42.5)</f>
        <v>62.567135962136398</v>
      </c>
      <c r="G5354" s="1">
        <v>2.7759347146560893</v>
      </c>
      <c r="H5354" s="1">
        <v>8.3204560298196863</v>
      </c>
      <c r="I5354" s="1">
        <v>47.647628283720692</v>
      </c>
      <c r="J5354" s="1">
        <v>2.9559854654286049E-2</v>
      </c>
      <c r="K5354" s="1">
        <v>1.8616750973884912</v>
      </c>
      <c r="L5354" s="1">
        <v>1.9963240783347924</v>
      </c>
      <c r="M5354" s="1">
        <v>0.12024202561725647</v>
      </c>
      <c r="N5354" s="1">
        <v>1.289114285843705</v>
      </c>
      <c r="O5354" s="1">
        <v>0.10502400000000001</v>
      </c>
      <c r="P5354" s="1">
        <v>8.0699028492515187E-2</v>
      </c>
      <c r="Q5354" s="1">
        <v>4.4364253430576808</v>
      </c>
      <c r="R5354" s="2">
        <f t="shared" si="335"/>
        <v>193.27265097347055</v>
      </c>
      <c r="S5354" s="2">
        <f t="shared" si="334"/>
        <v>1.9719339805352925</v>
      </c>
      <c r="T5354" s="2">
        <f t="shared" si="336"/>
        <v>3.5107043897957544</v>
      </c>
      <c r="U5354" s="2">
        <f t="shared" si="337"/>
        <v>198.75528934380159</v>
      </c>
    </row>
    <row r="5355" spans="1:21" x14ac:dyDescent="0.25">
      <c r="A5355">
        <v>5701393</v>
      </c>
      <c r="B5355">
        <v>58</v>
      </c>
      <c r="C5355" s="1">
        <f>4.82317643789729*(10.3/7.3)</f>
        <v>6.8053037411427511</v>
      </c>
      <c r="D5355" s="1">
        <f>7.07986462969636*(10.3/7.3)</f>
        <v>9.989398039160621</v>
      </c>
      <c r="E5355" s="1">
        <f>24.7548782688045*(10.3/7.3)</f>
        <v>34.928115913518717</v>
      </c>
      <c r="F5355" s="1">
        <f>55.1395618299069*(38.9/42.5)</f>
        <v>50.468916592550066</v>
      </c>
      <c r="G5355" s="1">
        <v>2.3550684585034189</v>
      </c>
      <c r="H5355" s="1">
        <v>5.5501946369058111</v>
      </c>
      <c r="I5355" s="1">
        <v>40.012188008938487</v>
      </c>
      <c r="J5355" s="1">
        <v>2.7974271832373197E-2</v>
      </c>
      <c r="K5355" s="1">
        <v>1.7380719168705991</v>
      </c>
      <c r="L5355" s="1">
        <v>1.7827028833894925</v>
      </c>
      <c r="M5355" s="1">
        <v>0.10224539873578072</v>
      </c>
      <c r="N5355" s="1">
        <v>1.1776530548413342</v>
      </c>
      <c r="O5355" s="1">
        <v>9.1574252873563217E-2</v>
      </c>
      <c r="P5355" s="1">
        <v>7.172190724781223E-2</v>
      </c>
      <c r="Q5355" s="1">
        <v>3.7638080387040982</v>
      </c>
      <c r="R5355" s="2">
        <f t="shared" si="335"/>
        <v>153.87299342942399</v>
      </c>
      <c r="S5355" s="2">
        <f t="shared" si="334"/>
        <v>1.8377680959507845</v>
      </c>
      <c r="T5355" s="2">
        <f t="shared" si="336"/>
        <v>3.1541755898401704</v>
      </c>
      <c r="U5355" s="2">
        <f t="shared" si="337"/>
        <v>158.86493711521496</v>
      </c>
    </row>
    <row r="5356" spans="1:21" x14ac:dyDescent="0.25">
      <c r="A5356">
        <v>5701401</v>
      </c>
      <c r="B5356">
        <v>2</v>
      </c>
      <c r="C5356" s="1">
        <f>7.04179914356939*(10.3/7.3)</f>
        <v>9.9356892025705097</v>
      </c>
      <c r="D5356" s="1">
        <f>10.7089201279251*(10.3/7.3)</f>
        <v>15.109846207894302</v>
      </c>
      <c r="E5356" s="1">
        <f>37.4024377581577*(10.3/7.3)</f>
        <v>52.773302590277282</v>
      </c>
      <c r="F5356" s="1">
        <f>82.8622340507238*(38.9/42.5)</f>
        <v>75.843315401721313</v>
      </c>
      <c r="G5356" s="1">
        <v>3.5391236302926368</v>
      </c>
      <c r="H5356" s="1">
        <v>10.488746044857479</v>
      </c>
      <c r="I5356" s="1">
        <v>59.475271281357266</v>
      </c>
      <c r="J5356" s="1">
        <v>3.2227132536073518E-2</v>
      </c>
      <c r="K5356" s="1">
        <v>1.969828976409723</v>
      </c>
      <c r="L5356" s="1">
        <v>2.0808365428770985</v>
      </c>
      <c r="M5356" s="1">
        <v>0.11428219834897518</v>
      </c>
      <c r="N5356" s="1">
        <v>1.346041198967175</v>
      </c>
      <c r="O5356" s="1">
        <v>0.10570666666666667</v>
      </c>
      <c r="P5356" s="1">
        <v>8.0201683897899195E-2</v>
      </c>
      <c r="Q5356" s="1">
        <v>5.6561336557188318</v>
      </c>
      <c r="R5356" s="2">
        <f t="shared" si="335"/>
        <v>232.82142801468959</v>
      </c>
      <c r="S5356" s="2">
        <f t="shared" si="334"/>
        <v>2.0822577928436958</v>
      </c>
      <c r="T5356" s="2">
        <f t="shared" si="336"/>
        <v>3.6468666068599158</v>
      </c>
      <c r="U5356" s="2">
        <f t="shared" si="337"/>
        <v>238.5505524143932</v>
      </c>
    </row>
    <row r="5357" spans="1:21" x14ac:dyDescent="0.25">
      <c r="A5357">
        <v>5701449</v>
      </c>
      <c r="B5357">
        <v>1</v>
      </c>
      <c r="C5357" s="1">
        <f>7.85431442936586*(10.3/7.3)</f>
        <v>11.082114879790183</v>
      </c>
      <c r="D5357" s="1">
        <f>12.5529888180812*(10.3/7.3)</f>
        <v>17.711751346059831</v>
      </c>
      <c r="E5357" s="1">
        <f>43.6505838362874*(10.3/7.3)</f>
        <v>61.589179933391868</v>
      </c>
      <c r="F5357" s="1">
        <f>102.437252415075*(38.9/42.5)</f>
        <v>93.760214563445373</v>
      </c>
      <c r="G5357" s="1">
        <v>4.6415791495061232</v>
      </c>
      <c r="H5357" s="1">
        <v>10.282162255663328</v>
      </c>
      <c r="I5357" s="1">
        <v>73.625801136554784</v>
      </c>
      <c r="J5357" s="1">
        <v>3.5990854268726211E-2</v>
      </c>
      <c r="K5357" s="1">
        <v>2.1495798232472185</v>
      </c>
      <c r="L5357" s="1">
        <v>2.2590581654760897</v>
      </c>
      <c r="M5357" s="1">
        <v>0.1172995855898151</v>
      </c>
      <c r="N5357" s="1">
        <v>1.415877763225474</v>
      </c>
      <c r="O5357" s="1">
        <v>0.11104</v>
      </c>
      <c r="P5357" s="1">
        <v>8.3214042855806955E-2</v>
      </c>
      <c r="Q5357" s="1">
        <v>7.4180488690737203</v>
      </c>
      <c r="R5357" s="2">
        <f t="shared" si="335"/>
        <v>280.11085213348525</v>
      </c>
      <c r="S5357" s="2">
        <f t="shared" si="334"/>
        <v>2.2687847203717517</v>
      </c>
      <c r="T5357" s="2">
        <f t="shared" si="336"/>
        <v>3.9032755142913786</v>
      </c>
      <c r="U5357" s="2">
        <f t="shared" si="337"/>
        <v>286.28291236814835</v>
      </c>
    </row>
    <row r="5358" spans="1:21" x14ac:dyDescent="0.25">
      <c r="A5358">
        <v>5701457</v>
      </c>
      <c r="B5358">
        <v>19</v>
      </c>
      <c r="C5358" s="1">
        <f>7.22878666548127*(10.3/7.3)</f>
        <v>10.199520911569465</v>
      </c>
      <c r="D5358" s="1">
        <f>11.3947232842418*(10.3/7.3)</f>
        <v>16.077486277765843</v>
      </c>
      <c r="E5358" s="1">
        <f>39.757486069277*(10.3/7.3)</f>
        <v>56.096178974459271</v>
      </c>
      <c r="F5358" s="1">
        <f>87.4617897897959*(38.9/42.5)</f>
        <v>80.053261713483778</v>
      </c>
      <c r="G5358" s="1">
        <v>3.7293462665569792</v>
      </c>
      <c r="H5358" s="1">
        <v>7.8424050533704071</v>
      </c>
      <c r="I5358" s="1">
        <v>62.065146175208888</v>
      </c>
      <c r="J5358" s="1">
        <v>3.6357556403955299E-2</v>
      </c>
      <c r="K5358" s="1">
        <v>2.2031634918223268</v>
      </c>
      <c r="L5358" s="1">
        <v>2.3179817343095128</v>
      </c>
      <c r="M5358" s="1">
        <v>0.12101798811122845</v>
      </c>
      <c r="N5358" s="1">
        <v>1.4672404854926882</v>
      </c>
      <c r="O5358" s="1">
        <v>0.11286175438596491</v>
      </c>
      <c r="P5358" s="1">
        <v>8.5247018301184557E-2</v>
      </c>
      <c r="Q5358" s="1">
        <v>5.9601424351367305</v>
      </c>
      <c r="R5358" s="2">
        <f t="shared" si="335"/>
        <v>242.02348780755136</v>
      </c>
      <c r="S5358" s="2">
        <f t="shared" si="334"/>
        <v>2.3247680665274664</v>
      </c>
      <c r="T5358" s="2">
        <f t="shared" si="336"/>
        <v>4.0191019622993949</v>
      </c>
      <c r="U5358" s="2">
        <f t="shared" si="337"/>
        <v>248.36735783637823</v>
      </c>
    </row>
    <row r="5359" spans="1:21" x14ac:dyDescent="0.25">
      <c r="A5359">
        <v>5701465</v>
      </c>
      <c r="B5359">
        <v>10</v>
      </c>
      <c r="C5359" s="1">
        <f>7.14575330513453*(10.3/7.3)</f>
        <v>10.082364252450086</v>
      </c>
      <c r="D5359" s="1">
        <f>12.5479087906297*(10.3/7.3)</f>
        <v>17.704583636094014</v>
      </c>
      <c r="E5359" s="1">
        <f>43.7862375384592*(10.3/7.3)</f>
        <v>61.780581732346562</v>
      </c>
      <c r="F5359" s="1">
        <f>87.8657019880803*(38.9/42.5)</f>
        <v>80.422960172619355</v>
      </c>
      <c r="G5359" s="1">
        <v>3.4557554611024783</v>
      </c>
      <c r="H5359" s="1">
        <v>8.9482692038097156</v>
      </c>
      <c r="I5359" s="1">
        <v>58.929321652802741</v>
      </c>
      <c r="J5359" s="1">
        <v>3.583046116670336E-2</v>
      </c>
      <c r="K5359" s="1">
        <v>2.2068090707581884</v>
      </c>
      <c r="L5359" s="1">
        <v>2.3123929623350583</v>
      </c>
      <c r="M5359" s="1">
        <v>0.12172256671223605</v>
      </c>
      <c r="N5359" s="1">
        <v>1.4362713042517161</v>
      </c>
      <c r="O5359" s="1">
        <v>0.11328000000000001</v>
      </c>
      <c r="P5359" s="1">
        <v>8.5081888635422862E-2</v>
      </c>
      <c r="Q5359" s="1">
        <v>5.5228968556432347</v>
      </c>
      <c r="R5359" s="2">
        <f t="shared" si="335"/>
        <v>246.84673296686822</v>
      </c>
      <c r="S5359" s="2">
        <f t="shared" si="334"/>
        <v>2.3277214205603145</v>
      </c>
      <c r="T5359" s="2">
        <f t="shared" si="336"/>
        <v>3.9836668332990102</v>
      </c>
      <c r="U5359" s="2">
        <f t="shared" si="337"/>
        <v>253.15812122072754</v>
      </c>
    </row>
    <row r="5360" spans="1:21" x14ac:dyDescent="0.25">
      <c r="A5360">
        <v>5712933</v>
      </c>
      <c r="B5360">
        <v>3</v>
      </c>
      <c r="C5360" s="1">
        <f>0.799769947980053*(10.3/7.3)</f>
        <v>1.1284425293417184</v>
      </c>
      <c r="D5360" s="1">
        <f>1.60084544965828*(10.3/7.3)</f>
        <v>2.2587271412986638</v>
      </c>
      <c r="E5360" s="1">
        <f>5.38156356899237*(10.3/7.3)</f>
        <v>7.5931650357015625</v>
      </c>
      <c r="F5360" s="1">
        <f>20.0026455292905*(38.9/42.5)</f>
        <v>18.308303790338851</v>
      </c>
      <c r="G5360" s="1">
        <v>1.207032321749747</v>
      </c>
      <c r="H5360" s="1">
        <v>7.2925757128536715</v>
      </c>
      <c r="I5360" s="1">
        <v>15.208198095107377</v>
      </c>
      <c r="J5360" s="1">
        <v>6.1829136347681279E-2</v>
      </c>
      <c r="K5360" s="1">
        <v>5.1828419950435283</v>
      </c>
      <c r="L5360" s="1">
        <v>2.6790025150206458</v>
      </c>
      <c r="M5360" s="1">
        <v>1.2727847899010145</v>
      </c>
      <c r="N5360" s="1">
        <v>1.7399234445519642</v>
      </c>
      <c r="O5360" s="1">
        <v>0.44368000000000002</v>
      </c>
      <c r="P5360" s="1">
        <v>0.13621973402302426</v>
      </c>
      <c r="Q5360" s="1">
        <v>1.9290470895543919</v>
      </c>
      <c r="R5360" s="2">
        <f t="shared" si="335"/>
        <v>54.925491715945988</v>
      </c>
      <c r="S5360" s="2">
        <f t="shared" si="334"/>
        <v>5.3808908654142336</v>
      </c>
      <c r="T5360" s="2">
        <f t="shared" si="336"/>
        <v>6.1353907494736246</v>
      </c>
      <c r="U5360" s="2">
        <f t="shared" si="337"/>
        <v>66.441773330833854</v>
      </c>
    </row>
    <row r="5361" spans="1:21" x14ac:dyDescent="0.25">
      <c r="A5361">
        <v>5712941</v>
      </c>
      <c r="B5361">
        <v>19</v>
      </c>
      <c r="C5361" s="1">
        <f>0.560417534842177*(10.3/7.3)</f>
        <v>0.79072611080471544</v>
      </c>
      <c r="D5361" s="1">
        <f>1.00576470800732*(10.3/7.3)</f>
        <v>1.4190926702021145</v>
      </c>
      <c r="E5361" s="1">
        <f>3.41786940636855*(10.3/7.3)</f>
        <v>4.822473271999467</v>
      </c>
      <c r="F5361" s="1">
        <f>11.3669376345926*(38.9/42.5)</f>
        <v>10.404091152603625</v>
      </c>
      <c r="G5361" s="1">
        <v>0.64983463397604135</v>
      </c>
      <c r="H5361" s="1">
        <v>5.6750874053335307</v>
      </c>
      <c r="I5361" s="1">
        <v>8.5991481695706824</v>
      </c>
      <c r="J5361" s="1">
        <v>5.5825821895100249E-2</v>
      </c>
      <c r="K5361" s="1">
        <v>5.2769066874125903</v>
      </c>
      <c r="L5361" s="1">
        <v>2.4335072643839974</v>
      </c>
      <c r="M5361" s="1">
        <v>1.2408025561071434</v>
      </c>
      <c r="N5361" s="1">
        <v>2.1650799085054953</v>
      </c>
      <c r="O5361" s="1">
        <v>0.37618807017543859</v>
      </c>
      <c r="P5361" s="1">
        <v>0.13429245507916909</v>
      </c>
      <c r="Q5361" s="1">
        <v>1.0385485017881952</v>
      </c>
      <c r="R5361" s="2">
        <f t="shared" si="335"/>
        <v>33.399001916278372</v>
      </c>
      <c r="S5361" s="2">
        <f t="shared" si="334"/>
        <v>5.4670249643868596</v>
      </c>
      <c r="T5361" s="2">
        <f t="shared" si="336"/>
        <v>6.2155777991720749</v>
      </c>
      <c r="U5361" s="2">
        <f t="shared" si="337"/>
        <v>45.081604679837305</v>
      </c>
    </row>
    <row r="5362" spans="1:21" x14ac:dyDescent="0.25">
      <c r="A5362">
        <v>5712965</v>
      </c>
      <c r="B5362">
        <v>20</v>
      </c>
      <c r="C5362" s="1">
        <f>0.593136158631422*(10.3/7.3)</f>
        <v>0.83689074437036215</v>
      </c>
      <c r="D5362" s="1">
        <f>1.04460172390406*(10.3/7.3)</f>
        <v>1.4738901035906655</v>
      </c>
      <c r="E5362" s="1">
        <f>3.55973129089779*(10.3/7.3)</f>
        <v>5.0226345611297596</v>
      </c>
      <c r="F5362" s="1">
        <f>11.4383057076862*(38.9/42.5)</f>
        <v>10.469413930093994</v>
      </c>
      <c r="G5362" s="1">
        <v>0.64231043505787011</v>
      </c>
      <c r="H5362" s="1">
        <v>3.9857234970458415</v>
      </c>
      <c r="I5362" s="1">
        <v>8.6238248076304505</v>
      </c>
      <c r="J5362" s="1">
        <v>5.0085504189078464E-2</v>
      </c>
      <c r="K5362" s="1">
        <v>4.3764302331103897</v>
      </c>
      <c r="L5362" s="1">
        <v>2.6579441194520808</v>
      </c>
      <c r="M5362" s="1">
        <v>1.1341694313548016</v>
      </c>
      <c r="N5362" s="1">
        <v>2.0264254770113159</v>
      </c>
      <c r="O5362" s="1">
        <v>0.31574399999999991</v>
      </c>
      <c r="P5362" s="1">
        <v>0.13287907554157657</v>
      </c>
      <c r="Q5362" s="1">
        <v>1.0265235263481951</v>
      </c>
      <c r="R5362" s="2">
        <f t="shared" si="335"/>
        <v>32.081211605267136</v>
      </c>
      <c r="S5362" s="2">
        <f t="shared" si="334"/>
        <v>4.5593948128410444</v>
      </c>
      <c r="T5362" s="2">
        <f t="shared" si="336"/>
        <v>6.1342830278181983</v>
      </c>
      <c r="U5362" s="2">
        <f t="shared" si="337"/>
        <v>42.774889445926377</v>
      </c>
    </row>
    <row r="5363" spans="1:21" x14ac:dyDescent="0.25">
      <c r="A5363">
        <v>5712973</v>
      </c>
      <c r="B5363">
        <v>6</v>
      </c>
      <c r="C5363" s="1">
        <f>0.621733510357003*(10.3/7.3)</f>
        <v>0.87724043242152516</v>
      </c>
      <c r="D5363" s="1">
        <f>1.1514582801171*(10.3/7.3)</f>
        <v>1.6246603130419295</v>
      </c>
      <c r="E5363" s="1">
        <f>3.90235341364178*(10.3/7.3)</f>
        <v>5.5060602959603182</v>
      </c>
      <c r="F5363" s="1">
        <f>13.3285690423091*(38.9/42.5)</f>
        <v>12.199560841078217</v>
      </c>
      <c r="G5363" s="1">
        <v>0.77288122531073589</v>
      </c>
      <c r="H5363" s="1">
        <v>4.3735299761103086</v>
      </c>
      <c r="I5363" s="1">
        <v>10.085439099240512</v>
      </c>
      <c r="J5363" s="1">
        <v>4.7730384663697036E-2</v>
      </c>
      <c r="K5363" s="1">
        <v>4.2285594347684219</v>
      </c>
      <c r="L5363" s="1">
        <v>2.6985103082658743</v>
      </c>
      <c r="M5363" s="1">
        <v>1.1000105440878147</v>
      </c>
      <c r="N5363" s="1">
        <v>1.8165286210013278</v>
      </c>
      <c r="O5363" s="1">
        <v>0.31094222222222218</v>
      </c>
      <c r="P5363" s="1">
        <v>0.13556892749628102</v>
      </c>
      <c r="Q5363" s="1">
        <v>1.2351983052911317</v>
      </c>
      <c r="R5363" s="2">
        <f t="shared" si="335"/>
        <v>36.674570488454684</v>
      </c>
      <c r="S5363" s="2">
        <f t="shared" si="334"/>
        <v>4.4118587469283996</v>
      </c>
      <c r="T5363" s="2">
        <f t="shared" si="336"/>
        <v>5.9259916955772383</v>
      </c>
      <c r="U5363" s="2">
        <f t="shared" si="337"/>
        <v>47.012420930960324</v>
      </c>
    </row>
    <row r="5364" spans="1:21" x14ac:dyDescent="0.25">
      <c r="A5364">
        <v>5712981</v>
      </c>
      <c r="B5364">
        <v>2</v>
      </c>
      <c r="C5364" s="1">
        <f>0.620737780840096*(10.3/7.3)</f>
        <v>0.87583549899355984</v>
      </c>
      <c r="D5364" s="1">
        <f>1.19252990452306*(10.3/7.3)</f>
        <v>1.6826106872037681</v>
      </c>
      <c r="E5364" s="1">
        <f>4.02436820171772*(10.3/7.3)</f>
        <v>5.6782181476291083</v>
      </c>
      <c r="F5364" s="1">
        <f>14.4035102203362*(38.9/42.5)</f>
        <v>13.18344817814298</v>
      </c>
      <c r="G5364" s="1">
        <v>0.85412137817021472</v>
      </c>
      <c r="H5364" s="1">
        <v>5.2216991919074296</v>
      </c>
      <c r="I5364" s="1">
        <v>10.935305377177469</v>
      </c>
      <c r="J5364" s="1">
        <v>4.5173147199346765E-2</v>
      </c>
      <c r="K5364" s="1">
        <v>4.0292618449559772</v>
      </c>
      <c r="L5364" s="1">
        <v>2.7365923455048007</v>
      </c>
      <c r="M5364" s="1">
        <v>1.0306085896498578</v>
      </c>
      <c r="N5364" s="1">
        <v>1.80649961000323</v>
      </c>
      <c r="O5364" s="1">
        <v>0.29738666666666669</v>
      </c>
      <c r="P5364" s="1">
        <v>0.13334696047988784</v>
      </c>
      <c r="Q5364" s="1">
        <v>1.3650341660254588</v>
      </c>
      <c r="R5364" s="2">
        <f t="shared" si="335"/>
        <v>39.796272625249991</v>
      </c>
      <c r="S5364" s="2">
        <f t="shared" si="334"/>
        <v>4.2077819526352123</v>
      </c>
      <c r="T5364" s="2">
        <f t="shared" si="336"/>
        <v>5.8710872118245554</v>
      </c>
      <c r="U5364" s="2">
        <f t="shared" si="337"/>
        <v>49.875141789709758</v>
      </c>
    </row>
    <row r="5365" spans="1:21" x14ac:dyDescent="0.25">
      <c r="A5365">
        <v>5712989</v>
      </c>
      <c r="B5365">
        <v>2</v>
      </c>
      <c r="C5365" s="1">
        <f>0.626114720231396*(10.3/7.3)</f>
        <v>0.88342213950457238</v>
      </c>
      <c r="D5365" s="1">
        <f>1.31253449922179*(10.3/7.3)</f>
        <v>1.8519322386280108</v>
      </c>
      <c r="E5365" s="1">
        <f>4.38861364809175*(10.3/7.3)</f>
        <v>6.1921535034719195</v>
      </c>
      <c r="F5365" s="1">
        <f>17.2526162328693*(38.9/42.5)</f>
        <v>15.791218151967398</v>
      </c>
      <c r="G5365" s="1">
        <v>1.0656533544358486</v>
      </c>
      <c r="H5365" s="1">
        <v>6.0665093217013943</v>
      </c>
      <c r="I5365" s="1">
        <v>13.173429894239495</v>
      </c>
      <c r="J5365" s="1">
        <v>4.384926762709463E-2</v>
      </c>
      <c r="K5365" s="1">
        <v>3.7495625460660027</v>
      </c>
      <c r="L5365" s="1">
        <v>2.7105575323995654</v>
      </c>
      <c r="M5365" s="1">
        <v>0.99416138909551077</v>
      </c>
      <c r="N5365" s="1">
        <v>1.7382641169423678</v>
      </c>
      <c r="O5365" s="1">
        <v>0.27837333333333336</v>
      </c>
      <c r="P5365" s="1">
        <v>0.13000245581807907</v>
      </c>
      <c r="Q5365" s="1">
        <v>1.7030989682764721</v>
      </c>
      <c r="R5365" s="2">
        <f t="shared" si="335"/>
        <v>46.727417572225107</v>
      </c>
      <c r="S5365" s="2">
        <f t="shared" si="334"/>
        <v>3.9234142695111762</v>
      </c>
      <c r="T5365" s="2">
        <f t="shared" si="336"/>
        <v>5.7213563717707778</v>
      </c>
      <c r="U5365" s="2">
        <f t="shared" si="337"/>
        <v>56.372188213507059</v>
      </c>
    </row>
    <row r="5366" spans="1:21" x14ac:dyDescent="0.25">
      <c r="A5366">
        <v>5713389</v>
      </c>
      <c r="B5366">
        <v>54</v>
      </c>
      <c r="C5366" s="1">
        <f>4.87698728874803*(10.3/7.3)</f>
        <v>6.8812286402883203</v>
      </c>
      <c r="D5366" s="1">
        <f>8.55960290569796*(10.3/7.3)</f>
        <v>12.077247935436855</v>
      </c>
      <c r="E5366" s="1">
        <f>29.6339411967362*(10.3/7.3)</f>
        <v>41.812273195394894</v>
      </c>
      <c r="F5366" s="1">
        <f>71.3541132693978*(38.9/42.5)</f>
        <v>65.310000145401744</v>
      </c>
      <c r="G5366" s="1">
        <v>3.338462221109308</v>
      </c>
      <c r="H5366" s="1">
        <v>7.1356317501506172</v>
      </c>
      <c r="I5366" s="1">
        <v>50.508341550246215</v>
      </c>
      <c r="J5366" s="1">
        <v>6.3303413919772594E-2</v>
      </c>
      <c r="K5366" s="1">
        <v>3.0525294108031735</v>
      </c>
      <c r="L5366" s="1">
        <v>3.6520188950369938</v>
      </c>
      <c r="M5366" s="1">
        <v>0.24550633982239847</v>
      </c>
      <c r="N5366" s="1">
        <v>2.6683443528236408</v>
      </c>
      <c r="O5366" s="1">
        <v>0.20141432098765433</v>
      </c>
      <c r="P5366" s="1">
        <v>0.13318233406790525</v>
      </c>
      <c r="Q5366" s="1">
        <v>5.3354419058824609</v>
      </c>
      <c r="R5366" s="2">
        <f t="shared" si="335"/>
        <v>192.39862734391042</v>
      </c>
      <c r="S5366" s="2">
        <f t="shared" si="334"/>
        <v>3.2490151587908516</v>
      </c>
      <c r="T5366" s="2">
        <f t="shared" si="336"/>
        <v>6.7672839086706871</v>
      </c>
      <c r="U5366" s="2">
        <f t="shared" si="337"/>
        <v>202.41492641137197</v>
      </c>
    </row>
    <row r="5367" spans="1:21" x14ac:dyDescent="0.25">
      <c r="A5367">
        <v>5713397</v>
      </c>
      <c r="B5367">
        <v>67</v>
      </c>
      <c r="C5367" s="1">
        <f>5.28825704543015*(10.3/7.3)</f>
        <v>7.4615133654699441</v>
      </c>
      <c r="D5367" s="1">
        <f>8.76106753149816*(10.3/7.3)</f>
        <v>12.361506243072743</v>
      </c>
      <c r="E5367" s="1">
        <f>30.3767943667828*(10.3/7.3)</f>
        <v>42.860408490118132</v>
      </c>
      <c r="F5367" s="1">
        <f>73.817989348444*(38.9/42.5)</f>
        <v>67.565171427164003</v>
      </c>
      <c r="G5367" s="1">
        <v>3.4571230712465151</v>
      </c>
      <c r="H5367" s="1">
        <v>7.4537115697812277</v>
      </c>
      <c r="I5367" s="1">
        <v>53.057536613541387</v>
      </c>
      <c r="J5367" s="1">
        <v>5.8676794833997722E-2</v>
      </c>
      <c r="K5367" s="1">
        <v>3.0909325863898962</v>
      </c>
      <c r="L5367" s="1">
        <v>3.8104134918758072</v>
      </c>
      <c r="M5367" s="1">
        <v>0.25155955293950599</v>
      </c>
      <c r="N5367" s="1">
        <v>3.4451666324795167</v>
      </c>
      <c r="O5367" s="1">
        <v>0.20520756218905478</v>
      </c>
      <c r="P5367" s="1">
        <v>0.13550145222465207</v>
      </c>
      <c r="Q5367" s="1">
        <v>5.5250825339556204</v>
      </c>
      <c r="R5367" s="2">
        <f t="shared" si="335"/>
        <v>199.74205331434959</v>
      </c>
      <c r="S5367" s="2">
        <f t="shared" si="334"/>
        <v>3.2851108334485462</v>
      </c>
      <c r="T5367" s="2">
        <f t="shared" si="336"/>
        <v>7.7123472394838855</v>
      </c>
      <c r="U5367" s="2">
        <f t="shared" si="337"/>
        <v>210.73951138728202</v>
      </c>
    </row>
    <row r="5368" spans="1:21" x14ac:dyDescent="0.25">
      <c r="A5368">
        <v>5713405</v>
      </c>
      <c r="B5368">
        <v>4</v>
      </c>
      <c r="C5368" s="1">
        <f>5.06925897057576*(10.3/7.3)</f>
        <v>7.1525160817712781</v>
      </c>
      <c r="D5368" s="1">
        <f>8.13723094115933*(10.3/7.3)</f>
        <v>11.481298451224804</v>
      </c>
      <c r="E5368" s="1">
        <f>28.2385511136014*(10.3/7.3)</f>
        <v>39.843435132889581</v>
      </c>
      <c r="F5368" s="1">
        <f>68.9474176673068*(38.9/42.5)</f>
        <v>63.107165817840823</v>
      </c>
      <c r="G5368" s="1">
        <v>3.229577725384519</v>
      </c>
      <c r="H5368" s="1">
        <v>8.5354375340217299</v>
      </c>
      <c r="I5368" s="1">
        <v>49.974336319348787</v>
      </c>
      <c r="J5368" s="1">
        <v>6.0412613493396543E-2</v>
      </c>
      <c r="K5368" s="1">
        <v>2.9765613838875344</v>
      </c>
      <c r="L5368" s="1">
        <v>3.5988230484525565</v>
      </c>
      <c r="M5368" s="1">
        <v>0.23585410861043266</v>
      </c>
      <c r="N5368" s="1">
        <v>2.4686529547418599</v>
      </c>
      <c r="O5368" s="1">
        <v>0.19381333333333334</v>
      </c>
      <c r="P5368" s="1">
        <v>0.12954901116854858</v>
      </c>
      <c r="Q5368" s="1">
        <v>5.1614255885140761</v>
      </c>
      <c r="R5368" s="2">
        <f t="shared" si="335"/>
        <v>188.4851926509956</v>
      </c>
      <c r="S5368" s="2">
        <f t="shared" si="334"/>
        <v>3.1665230085494795</v>
      </c>
      <c r="T5368" s="2">
        <f t="shared" si="336"/>
        <v>6.4971434451381818</v>
      </c>
      <c r="U5368" s="2">
        <f t="shared" si="337"/>
        <v>198.14885910468328</v>
      </c>
    </row>
    <row r="5369" spans="1:21" x14ac:dyDescent="0.25">
      <c r="A5369">
        <v>5713413</v>
      </c>
      <c r="B5369">
        <v>51</v>
      </c>
      <c r="C5369" s="1">
        <f>2.5805872835202*(10.3/7.3)</f>
        <v>3.6411026055148032</v>
      </c>
      <c r="D5369" s="1">
        <f>4.03740735632698*(10.3/7.3)</f>
        <v>5.6966158589271148</v>
      </c>
      <c r="E5369" s="1">
        <f>14.0027420697912*(10.3/7.3)</f>
        <v>19.757293605321802</v>
      </c>
      <c r="F5369" s="1">
        <f>35.2664456482217*(38.9/42.5)</f>
        <v>32.279170252137007</v>
      </c>
      <c r="G5369" s="1">
        <v>1.6872445052316662</v>
      </c>
      <c r="H5369" s="1">
        <v>7.195425676487857</v>
      </c>
      <c r="I5369" s="1">
        <v>25.893586218719111</v>
      </c>
      <c r="J5369" s="1">
        <v>3.6241286490475776E-2</v>
      </c>
      <c r="K5369" s="1">
        <v>2.1314991064882798</v>
      </c>
      <c r="L5369" s="1">
        <v>2.3156422681403863</v>
      </c>
      <c r="M5369" s="1">
        <v>0.16355483909917271</v>
      </c>
      <c r="N5369" s="1">
        <v>1.5956060334406745</v>
      </c>
      <c r="O5369" s="1">
        <v>0.13175633986928098</v>
      </c>
      <c r="P5369" s="1">
        <v>9.6954504937514341E-2</v>
      </c>
      <c r="Q5369" s="1">
        <v>2.6965094832469578</v>
      </c>
      <c r="R5369" s="2">
        <f t="shared" si="335"/>
        <v>98.846948205586315</v>
      </c>
      <c r="S5369" s="2">
        <f t="shared" si="334"/>
        <v>2.2646948979162698</v>
      </c>
      <c r="T5369" s="2">
        <f t="shared" si="336"/>
        <v>4.2065594805495152</v>
      </c>
      <c r="U5369" s="2">
        <f t="shared" si="337"/>
        <v>105.3182025840521</v>
      </c>
    </row>
    <row r="5370" spans="1:21" x14ac:dyDescent="0.25">
      <c r="A5370">
        <v>5713421</v>
      </c>
      <c r="B5370">
        <v>23</v>
      </c>
      <c r="C5370" s="1">
        <f>2.71134549898633*(10.3/7.3)</f>
        <v>3.8255970739122249</v>
      </c>
      <c r="D5370" s="1">
        <f>4.17742068275283*(10.3/7.3)</f>
        <v>5.8941689085416584</v>
      </c>
      <c r="E5370" s="1">
        <f>14.4767114692515*(10.3/7.3)</f>
        <v>20.426044949765796</v>
      </c>
      <c r="F5370" s="1">
        <f>37.4685461134256*(38.9/42.5)</f>
        <v>34.294739854406053</v>
      </c>
      <c r="G5370" s="1">
        <v>1.8261132465719634</v>
      </c>
      <c r="H5370" s="1">
        <v>7.1043208494593522</v>
      </c>
      <c r="I5370" s="1">
        <v>27.766062435574153</v>
      </c>
      <c r="J5370" s="1">
        <v>3.2116255777026204E-2</v>
      </c>
      <c r="K5370" s="1">
        <v>1.9482971472366659</v>
      </c>
      <c r="L5370" s="1">
        <v>2.5531884203929498</v>
      </c>
      <c r="M5370" s="1">
        <v>0.15175735994936912</v>
      </c>
      <c r="N5370" s="1">
        <v>1.4491660564601978</v>
      </c>
      <c r="O5370" s="1">
        <v>0.12150028985507245</v>
      </c>
      <c r="P5370" s="1">
        <v>9.0821496306354541E-2</v>
      </c>
      <c r="Q5370" s="1">
        <v>2.9184458278547383</v>
      </c>
      <c r="R5370" s="2">
        <f t="shared" si="335"/>
        <v>104.05549314608595</v>
      </c>
      <c r="S5370" s="2">
        <f t="shared" si="334"/>
        <v>2.0712348993200469</v>
      </c>
      <c r="T5370" s="2">
        <f t="shared" si="336"/>
        <v>4.2756121266575899</v>
      </c>
      <c r="U5370" s="2">
        <f t="shared" si="337"/>
        <v>110.40234017206359</v>
      </c>
    </row>
    <row r="5371" spans="1:21" x14ac:dyDescent="0.25">
      <c r="A5371">
        <v>5713525</v>
      </c>
      <c r="B5371">
        <v>25</v>
      </c>
      <c r="C5371" s="1">
        <f>9.78268404098948*(10.3/7.3)</f>
        <v>13.802965153724879</v>
      </c>
      <c r="D5371" s="1">
        <f>12.0016081369357*(10.3/7.3)</f>
        <v>16.933775864443493</v>
      </c>
      <c r="E5371" s="1">
        <f>42.2678372133823*(10.3/7.3)</f>
        <v>59.638181273676352</v>
      </c>
      <c r="F5371" s="1">
        <f>94.9031663617568*(38.9/42.5)</f>
        <v>86.864309916996248</v>
      </c>
      <c r="G5371" s="1">
        <v>3.9671660680882841</v>
      </c>
      <c r="H5371" s="1">
        <v>8.1276444932384813</v>
      </c>
      <c r="I5371" s="1">
        <v>72.655196432536172</v>
      </c>
      <c r="J5371" s="1">
        <v>4.1739546719005663E-2</v>
      </c>
      <c r="K5371" s="1">
        <v>2.4856062827290684</v>
      </c>
      <c r="L5371" s="1">
        <v>2.8780710527901374</v>
      </c>
      <c r="M5371" s="1">
        <v>0.16505812183366475</v>
      </c>
      <c r="N5371" s="1">
        <v>1.7778291548658267</v>
      </c>
      <c r="O5371" s="1">
        <v>0.14669653333333332</v>
      </c>
      <c r="P5371" s="1">
        <v>0.10548740901320244</v>
      </c>
      <c r="Q5371" s="1">
        <v>6.3402197435200973</v>
      </c>
      <c r="R5371" s="2">
        <f t="shared" si="335"/>
        <v>268.32945894622401</v>
      </c>
      <c r="S5371" s="2">
        <f t="shared" si="334"/>
        <v>2.6328332384612767</v>
      </c>
      <c r="T5371" s="2">
        <f t="shared" si="336"/>
        <v>4.967654862822962</v>
      </c>
      <c r="U5371" s="2">
        <f t="shared" si="337"/>
        <v>275.92994704750822</v>
      </c>
    </row>
    <row r="5372" spans="1:21" x14ac:dyDescent="0.25">
      <c r="A5372">
        <v>5713533</v>
      </c>
      <c r="B5372">
        <v>1</v>
      </c>
      <c r="C5372" s="1">
        <f>11.4947015431794*(10.3/7.3)</f>
        <v>16.218551492431274</v>
      </c>
      <c r="D5372" s="1">
        <f>14.5959899093652*(10.3/7.3)</f>
        <v>20.594341926912499</v>
      </c>
      <c r="E5372" s="1">
        <f>51.3442547162772*(10.3/7.3)</f>
        <v>72.444633366802023</v>
      </c>
      <c r="F5372" s="1">
        <f>114.303309343746*(38.9/42.5)</f>
        <v>104.62114666992287</v>
      </c>
      <c r="G5372" s="1">
        <v>4.7660412811156254</v>
      </c>
      <c r="H5372" s="1">
        <v>10.984211230323124</v>
      </c>
      <c r="I5372" s="1">
        <v>86.468529350605081</v>
      </c>
      <c r="J5372" s="1">
        <v>4.8762897577953511E-2</v>
      </c>
      <c r="K5372" s="1">
        <v>2.8262318944016167</v>
      </c>
      <c r="L5372" s="1">
        <v>3.3722620140203809</v>
      </c>
      <c r="M5372" s="1">
        <v>0.18785595412151118</v>
      </c>
      <c r="N5372" s="1">
        <v>2.0261959015594724</v>
      </c>
      <c r="O5372" s="1">
        <v>0.16650666666666666</v>
      </c>
      <c r="P5372" s="1">
        <v>0.1181089640146947</v>
      </c>
      <c r="Q5372" s="1">
        <v>7.6169609515546606</v>
      </c>
      <c r="R5372" s="2">
        <f t="shared" si="335"/>
        <v>323.7144162696672</v>
      </c>
      <c r="S5372" s="2">
        <f t="shared" si="334"/>
        <v>2.993103755994265</v>
      </c>
      <c r="T5372" s="2">
        <f t="shared" si="336"/>
        <v>5.7528205363680307</v>
      </c>
      <c r="U5372" s="2">
        <f t="shared" si="337"/>
        <v>332.46034056202944</v>
      </c>
    </row>
    <row r="5373" spans="1:21" x14ac:dyDescent="0.25">
      <c r="A5373">
        <v>5713621</v>
      </c>
      <c r="B5373">
        <v>7</v>
      </c>
      <c r="C5373" s="1">
        <f>5.85204461793885*(10.3/7.3)</f>
        <v>8.2569944609274142</v>
      </c>
      <c r="D5373" s="1">
        <f>8.80051912847503*(10.3/7.3)</f>
        <v>12.417170825108599</v>
      </c>
      <c r="E5373" s="1">
        <f>30.6973155513021*(10.3/7.3)</f>
        <v>43.312650709371461</v>
      </c>
      <c r="F5373" s="1">
        <f>70.6783323188614*(38.9/42.5)</f>
        <v>64.691461816557876</v>
      </c>
      <c r="G5373" s="1">
        <v>3.124428683162698</v>
      </c>
      <c r="H5373" s="1">
        <v>9.5239685578079083</v>
      </c>
      <c r="I5373" s="1">
        <v>51.350809227861035</v>
      </c>
      <c r="J5373" s="1">
        <v>3.4348128242717386E-2</v>
      </c>
      <c r="K5373" s="1">
        <v>2.0623716940105576</v>
      </c>
      <c r="L5373" s="1">
        <v>2.202052445532567</v>
      </c>
      <c r="M5373" s="1">
        <v>0.12155004509850116</v>
      </c>
      <c r="N5373" s="1">
        <v>1.4428823916040128</v>
      </c>
      <c r="O5373" s="1">
        <v>0.11174095238095239</v>
      </c>
      <c r="P5373" s="1">
        <v>8.3606839373460293E-2</v>
      </c>
      <c r="Q5373" s="1">
        <v>4.9933791740043159</v>
      </c>
      <c r="R5373" s="2">
        <f t="shared" si="335"/>
        <v>197.67086345480129</v>
      </c>
      <c r="S5373" s="2">
        <f t="shared" si="334"/>
        <v>2.1803266616267352</v>
      </c>
      <c r="T5373" s="2">
        <f t="shared" si="336"/>
        <v>3.8782258346160332</v>
      </c>
      <c r="U5373" s="2">
        <f t="shared" si="337"/>
        <v>203.72941595104407</v>
      </c>
    </row>
    <row r="5374" spans="1:21" x14ac:dyDescent="0.25">
      <c r="A5374">
        <v>5713629</v>
      </c>
      <c r="B5374">
        <v>41</v>
      </c>
      <c r="C5374" s="1">
        <f>5.30952121717979*(10.3/7.3)</f>
        <v>7.4915162379386055</v>
      </c>
      <c r="D5374" s="1">
        <f>7.83483369650443*(10.3/7.3)</f>
        <v>11.054628366300777</v>
      </c>
      <c r="E5374" s="1">
        <f>27.4074611905521*(10.3/7.3)</f>
        <v>38.670801405847442</v>
      </c>
      <c r="F5374" s="1">
        <f>60.1164698295508*(38.9/42.5)</f>
        <v>55.024251208694693</v>
      </c>
      <c r="G5374" s="1">
        <v>2.5311661676901505</v>
      </c>
      <c r="H5374" s="1">
        <v>5.8763522823519514</v>
      </c>
      <c r="I5374" s="1">
        <v>43.402372302029036</v>
      </c>
      <c r="J5374" s="1">
        <v>2.9742788482609441E-2</v>
      </c>
      <c r="K5374" s="1">
        <v>1.8391484729054244</v>
      </c>
      <c r="L5374" s="1">
        <v>1.907689740070468</v>
      </c>
      <c r="M5374" s="1">
        <v>0.10789217354520271</v>
      </c>
      <c r="N5374" s="1">
        <v>1.2574458165382021</v>
      </c>
      <c r="O5374" s="1">
        <v>9.7350243902439029E-2</v>
      </c>
      <c r="P5374" s="1">
        <v>7.5336745917552031E-2</v>
      </c>
      <c r="Q5374" s="1">
        <v>4.0452427337513859</v>
      </c>
      <c r="R5374" s="2">
        <f t="shared" si="335"/>
        <v>168.09633070460404</v>
      </c>
      <c r="S5374" s="2">
        <f t="shared" si="334"/>
        <v>1.9442280073055858</v>
      </c>
      <c r="T5374" s="2">
        <f t="shared" si="336"/>
        <v>3.370377974056312</v>
      </c>
      <c r="U5374" s="2">
        <f t="shared" si="337"/>
        <v>173.41093668596594</v>
      </c>
    </row>
    <row r="5375" spans="1:21" x14ac:dyDescent="0.25">
      <c r="A5375">
        <v>5713685</v>
      </c>
      <c r="B5375">
        <v>57</v>
      </c>
      <c r="C5375" s="1">
        <f>5.27425696848644*(10.3/7.3)</f>
        <v>7.4417598322479872</v>
      </c>
      <c r="D5375" s="1">
        <f>8.22444565462404*(10.3/7.3)</f>
        <v>11.604354827757209</v>
      </c>
      <c r="E5375" s="1">
        <f>28.704224791035*(10.3/7.3)</f>
        <v>40.500481554474014</v>
      </c>
      <c r="F5375" s="1">
        <f>63.3009564071155*(38.9/42.5)</f>
        <v>57.938993040865739</v>
      </c>
      <c r="G5375" s="1">
        <v>2.7014042603465511</v>
      </c>
      <c r="H5375" s="1">
        <v>6.2282758318534261</v>
      </c>
      <c r="I5375" s="1">
        <v>45.078124820180236</v>
      </c>
      <c r="J5375" s="1">
        <v>2.9237758268027592E-2</v>
      </c>
      <c r="K5375" s="1">
        <v>1.8521599926853969</v>
      </c>
      <c r="L5375" s="1">
        <v>1.8950018267320949</v>
      </c>
      <c r="M5375" s="1">
        <v>0.10327195100057321</v>
      </c>
      <c r="N5375" s="1">
        <v>1.2198097347744938</v>
      </c>
      <c r="O5375" s="1">
        <v>9.5429239766081878E-2</v>
      </c>
      <c r="P5375" s="1">
        <v>7.3822570297906842E-2</v>
      </c>
      <c r="Q5375" s="1">
        <v>4.31731274484609</v>
      </c>
      <c r="R5375" s="2">
        <f t="shared" si="335"/>
        <v>175.81070691257125</v>
      </c>
      <c r="S5375" s="2">
        <f t="shared" si="334"/>
        <v>1.9552203212513315</v>
      </c>
      <c r="T5375" s="2">
        <f t="shared" si="336"/>
        <v>3.3135127522732439</v>
      </c>
      <c r="U5375" s="2">
        <f t="shared" si="337"/>
        <v>181.07943998609582</v>
      </c>
    </row>
    <row r="5376" spans="1:21" x14ac:dyDescent="0.25">
      <c r="A5376">
        <v>5713693</v>
      </c>
      <c r="B5376">
        <v>17</v>
      </c>
      <c r="C5376" s="1">
        <f>6.67865073152079*(10.3/7.3)</f>
        <v>9.423301717077285</v>
      </c>
      <c r="D5376" s="1">
        <f>10.2393561564266*(10.3/7.3)</f>
        <v>14.447310741259416</v>
      </c>
      <c r="E5376" s="1">
        <f>35.8091923537296*(10.3/7.3)</f>
        <v>50.525298800467795</v>
      </c>
      <c r="F5376" s="1">
        <f>76.4144172443602*(38.9/42.5)</f>
        <v>69.941666607190896</v>
      </c>
      <c r="G5376" s="1">
        <v>3.1470237354528603</v>
      </c>
      <c r="H5376" s="1">
        <v>6.2988790358021323</v>
      </c>
      <c r="I5376" s="1">
        <v>54.207456035955801</v>
      </c>
      <c r="J5376" s="1">
        <v>3.4563141004532734E-2</v>
      </c>
      <c r="K5376" s="1">
        <v>2.1419665756384267</v>
      </c>
      <c r="L5376" s="1">
        <v>2.2404071338390796</v>
      </c>
      <c r="M5376" s="1">
        <v>0.1175709150428569</v>
      </c>
      <c r="N5376" s="1">
        <v>1.3901073591807893</v>
      </c>
      <c r="O5376" s="1">
        <v>0.11042196078431372</v>
      </c>
      <c r="P5376" s="1">
        <v>8.3457334758116633E-2</v>
      </c>
      <c r="Q5376" s="1">
        <v>5.0294899881666773</v>
      </c>
      <c r="R5376" s="2">
        <f t="shared" si="335"/>
        <v>213.02042666137288</v>
      </c>
      <c r="S5376" s="2">
        <f t="shared" si="334"/>
        <v>2.259987051401076</v>
      </c>
      <c r="T5376" s="2">
        <f t="shared" si="336"/>
        <v>3.858507368847039</v>
      </c>
      <c r="U5376" s="2">
        <f t="shared" si="337"/>
        <v>219.13892108162099</v>
      </c>
    </row>
    <row r="5377" spans="1:21" x14ac:dyDescent="0.25">
      <c r="A5377">
        <v>5725161</v>
      </c>
      <c r="B5377">
        <v>31</v>
      </c>
      <c r="C5377" s="1">
        <f>0.654727489704336*(10.3/7.3)</f>
        <v>0.92379358136365242</v>
      </c>
      <c r="D5377" s="1">
        <f>1.40045780911772*(10.3/7.3)</f>
        <v>1.9759884156044516</v>
      </c>
      <c r="E5377" s="1">
        <f>4.67651989228146*(10.3/7.3)</f>
        <v>6.5983773822601464</v>
      </c>
      <c r="F5377" s="1">
        <f>18.5686942172021*(38.9/42.5)</f>
        <v>16.99581658939206</v>
      </c>
      <c r="G5377" s="1">
        <v>1.152053470992245</v>
      </c>
      <c r="H5377" s="1">
        <v>10.51578126930224</v>
      </c>
      <c r="I5377" s="1">
        <v>14.171300968714112</v>
      </c>
      <c r="J5377" s="1">
        <v>6.0429244114574031E-2</v>
      </c>
      <c r="K5377" s="1">
        <v>6.6649054669667995</v>
      </c>
      <c r="L5377" s="1">
        <v>2.786466620155978</v>
      </c>
      <c r="M5377" s="1">
        <v>1.4252017241867325</v>
      </c>
      <c r="N5377" s="1">
        <v>2.3568328515362458</v>
      </c>
      <c r="O5377" s="1">
        <v>0.52529032258064512</v>
      </c>
      <c r="P5377" s="1">
        <v>0.1523241219146699</v>
      </c>
      <c r="Q5377" s="1">
        <v>1.8411813463346407</v>
      </c>
      <c r="R5377" s="2">
        <f t="shared" si="335"/>
        <v>54.174293023963557</v>
      </c>
      <c r="S5377" s="2">
        <f t="shared" si="334"/>
        <v>6.8776588329960431</v>
      </c>
      <c r="T5377" s="2">
        <f t="shared" si="336"/>
        <v>7.093791518459601</v>
      </c>
      <c r="U5377" s="2">
        <f t="shared" si="337"/>
        <v>68.145743375419201</v>
      </c>
    </row>
    <row r="5378" spans="1:21" x14ac:dyDescent="0.25">
      <c r="A5378">
        <v>5725169</v>
      </c>
      <c r="B5378">
        <v>10</v>
      </c>
      <c r="C5378" s="1">
        <f>0.606000983989866*(10.3/7.3)</f>
        <v>0.85504248425967366</v>
      </c>
      <c r="D5378" s="1">
        <f>1.13978438017127*(10.3/7.3)</f>
        <v>1.6081889199676873</v>
      </c>
      <c r="E5378" s="1">
        <f>3.85440778699417*(10.3/7.3)</f>
        <v>5.4384109871287585</v>
      </c>
      <c r="F5378" s="1">
        <f>13.5048534282172*(38.9/42.5)</f>
        <v>12.360912902532927</v>
      </c>
      <c r="G5378" s="1">
        <v>0.79268429492917902</v>
      </c>
      <c r="H5378" s="1">
        <v>5.6671139959260382</v>
      </c>
      <c r="I5378" s="1">
        <v>10.24351716225058</v>
      </c>
      <c r="J5378" s="1">
        <v>5.4565054395573909E-2</v>
      </c>
      <c r="K5378" s="1">
        <v>5.2441607942929274</v>
      </c>
      <c r="L5378" s="1">
        <v>2.3919460539394146</v>
      </c>
      <c r="M5378" s="1">
        <v>1.2189337076365505</v>
      </c>
      <c r="N5378" s="1">
        <v>2.0817325530154989</v>
      </c>
      <c r="O5378" s="1">
        <v>0.40132266666666661</v>
      </c>
      <c r="P5378" s="1">
        <v>0.1347667858882162</v>
      </c>
      <c r="Q5378" s="1">
        <v>1.2668470466904702</v>
      </c>
      <c r="R5378" s="2">
        <f t="shared" si="335"/>
        <v>38.23271779368531</v>
      </c>
      <c r="S5378" s="2">
        <f t="shared" si="334"/>
        <v>5.4334926345767167</v>
      </c>
      <c r="T5378" s="2">
        <f t="shared" si="336"/>
        <v>6.0939349812581307</v>
      </c>
      <c r="U5378" s="2">
        <f t="shared" si="337"/>
        <v>49.760145409520156</v>
      </c>
    </row>
    <row r="5379" spans="1:21" x14ac:dyDescent="0.25">
      <c r="A5379">
        <v>5725201</v>
      </c>
      <c r="B5379">
        <v>12</v>
      </c>
      <c r="C5379" s="1">
        <f>0.578220130468148*(10.3/7.3)</f>
        <v>0.81584484161944204</v>
      </c>
      <c r="D5379" s="1">
        <f>1.07748318603795*(10.3/7.3)</f>
        <v>1.5202844953686148</v>
      </c>
      <c r="E5379" s="1">
        <f>3.64889062651541*(10.3/7.3)</f>
        <v>5.1484347196039408</v>
      </c>
      <c r="F5379" s="1">
        <f>12.5700007678176*(38.9/42.5)</f>
        <v>11.505247761602478</v>
      </c>
      <c r="G5379" s="1">
        <v>0.73195714654804223</v>
      </c>
      <c r="H5379" s="1">
        <v>4.3052285607127834</v>
      </c>
      <c r="I5379" s="1">
        <v>9.5178484785054849</v>
      </c>
      <c r="J5379" s="1">
        <v>4.6898009526656036E-2</v>
      </c>
      <c r="K5379" s="1">
        <v>4.3152774701549221</v>
      </c>
      <c r="L5379" s="1">
        <v>2.6199546914919405</v>
      </c>
      <c r="M5379" s="1">
        <v>1.0744717625362086</v>
      </c>
      <c r="N5379" s="1">
        <v>1.8417266719687746</v>
      </c>
      <c r="O5379" s="1">
        <v>0.3142266666666666</v>
      </c>
      <c r="P5379" s="1">
        <v>0.13334021948344513</v>
      </c>
      <c r="Q5379" s="1">
        <v>1.1697945264466441</v>
      </c>
      <c r="R5379" s="2">
        <f t="shared" si="335"/>
        <v>34.714640530407429</v>
      </c>
      <c r="S5379" s="2">
        <f t="shared" si="334"/>
        <v>4.4955156991650238</v>
      </c>
      <c r="T5379" s="2">
        <f t="shared" si="336"/>
        <v>5.8503797926635901</v>
      </c>
      <c r="U5379" s="2">
        <f t="shared" si="337"/>
        <v>45.060536022236043</v>
      </c>
    </row>
    <row r="5380" spans="1:21" x14ac:dyDescent="0.25">
      <c r="A5380">
        <v>5725209</v>
      </c>
      <c r="B5380">
        <v>8</v>
      </c>
      <c r="C5380" s="1">
        <f>0.614265538980198*(10.3/7.3)</f>
        <v>0.86670343171178565</v>
      </c>
      <c r="D5380" s="1">
        <f>1.16918460848342*(10.3/7.3)</f>
        <v>1.6496714338875713</v>
      </c>
      <c r="E5380" s="1">
        <f>3.95025518433977*(10.3/7.3)</f>
        <v>5.5736477258492618</v>
      </c>
      <c r="F5380" s="1">
        <f>13.9523738670644*(38.9/42.5)</f>
        <v>12.770525727736606</v>
      </c>
      <c r="G5380" s="1">
        <v>0.82233525188632228</v>
      </c>
      <c r="H5380" s="1">
        <v>4.2908124832825694</v>
      </c>
      <c r="I5380" s="1">
        <v>10.581041425127404</v>
      </c>
      <c r="J5380" s="1">
        <v>4.5822357374201171E-2</v>
      </c>
      <c r="K5380" s="1">
        <v>4.1297516219362258</v>
      </c>
      <c r="L5380" s="1">
        <v>2.6748264830666639</v>
      </c>
      <c r="M5380" s="1">
        <v>1.0534741084729895</v>
      </c>
      <c r="N5380" s="1">
        <v>1.8000924925541608</v>
      </c>
      <c r="O5380" s="1">
        <v>0.30483333333333329</v>
      </c>
      <c r="P5380" s="1">
        <v>0.13443074750436429</v>
      </c>
      <c r="Q5380" s="1">
        <v>1.3142344208228907</v>
      </c>
      <c r="R5380" s="2">
        <f t="shared" si="335"/>
        <v>37.868971900304416</v>
      </c>
      <c r="S5380" s="2">
        <f t="shared" si="334"/>
        <v>4.3100047268147916</v>
      </c>
      <c r="T5380" s="2">
        <f t="shared" si="336"/>
        <v>5.8332264174271469</v>
      </c>
      <c r="U5380" s="2">
        <f t="shared" si="337"/>
        <v>48.012203044546354</v>
      </c>
    </row>
    <row r="5381" spans="1:21" x14ac:dyDescent="0.25">
      <c r="A5381">
        <v>5725217</v>
      </c>
      <c r="B5381">
        <v>6</v>
      </c>
      <c r="C5381" s="1">
        <f>0.627774269426242*(10.3/7.3)</f>
        <v>0.88576369521784792</v>
      </c>
      <c r="D5381" s="1">
        <f>1.33174270845262*(10.3/7.3)</f>
        <v>1.8790342324742513</v>
      </c>
      <c r="E5381" s="1">
        <f>4.44767053953378*(10.3/7.3)</f>
        <v>6.275480350301085</v>
      </c>
      <c r="F5381" s="1">
        <f>17.6800968332388*(38.9/42.5)</f>
        <v>16.182488630893875</v>
      </c>
      <c r="G5381" s="1">
        <v>1.0969834772203098</v>
      </c>
      <c r="H5381" s="1">
        <v>5.4288428287687731</v>
      </c>
      <c r="I5381" s="1">
        <v>13.507655061955617</v>
      </c>
      <c r="J5381" s="1">
        <v>4.5392379393469712E-2</v>
      </c>
      <c r="K5381" s="1">
        <v>3.9905514567835092</v>
      </c>
      <c r="L5381" s="1">
        <v>2.7492104364970946</v>
      </c>
      <c r="M5381" s="1">
        <v>1.0241865623512327</v>
      </c>
      <c r="N5381" s="1">
        <v>1.8377208459299601</v>
      </c>
      <c r="O5381" s="1">
        <v>0.29487999999999998</v>
      </c>
      <c r="P5381" s="1">
        <v>0.13366177329319259</v>
      </c>
      <c r="Q5381" s="1">
        <v>1.7531699407630541</v>
      </c>
      <c r="R5381" s="2">
        <f t="shared" si="335"/>
        <v>47.009418217594806</v>
      </c>
      <c r="S5381" s="2">
        <f t="shared" si="334"/>
        <v>4.169605609470171</v>
      </c>
      <c r="T5381" s="2">
        <f t="shared" si="336"/>
        <v>5.9059978447782875</v>
      </c>
      <c r="U5381" s="2">
        <f t="shared" si="337"/>
        <v>57.085021671843265</v>
      </c>
    </row>
    <row r="5382" spans="1:21" x14ac:dyDescent="0.25">
      <c r="A5382">
        <v>5725625</v>
      </c>
      <c r="B5382">
        <v>66</v>
      </c>
      <c r="C5382" s="1">
        <f>5.31671284233812*(10.3/7.3)</f>
        <v>7.5016633254907736</v>
      </c>
      <c r="D5382" s="1">
        <f>9.11560627862145*(10.3/7.3)</f>
        <v>12.861745845178206</v>
      </c>
      <c r="E5382" s="1">
        <f>31.5567019658529*(10.3/7.3)</f>
        <v>44.525209623052767</v>
      </c>
      <c r="F5382" s="1">
        <f>77.3309138842515*(38.9/42.5)</f>
        <v>70.780530590526666</v>
      </c>
      <c r="G5382" s="1">
        <v>3.6593264778789298</v>
      </c>
      <c r="H5382" s="1">
        <v>7.8452980461004005</v>
      </c>
      <c r="I5382" s="1">
        <v>55.270844809787057</v>
      </c>
      <c r="J5382" s="1">
        <v>6.2574525807699288E-2</v>
      </c>
      <c r="K5382" s="1">
        <v>3.1944732376542877</v>
      </c>
      <c r="L5382" s="1">
        <v>3.9432362951441515</v>
      </c>
      <c r="M5382" s="1">
        <v>0.2615952951764135</v>
      </c>
      <c r="N5382" s="1">
        <v>3.1126414148683357</v>
      </c>
      <c r="O5382" s="1">
        <v>0.21279515151515155</v>
      </c>
      <c r="P5382" s="1">
        <v>0.13971774465722683</v>
      </c>
      <c r="Q5382" s="1">
        <v>5.8482386632768364</v>
      </c>
      <c r="R5382" s="2">
        <f t="shared" si="335"/>
        <v>208.29285738129164</v>
      </c>
      <c r="S5382" s="2">
        <f t="shared" si="334"/>
        <v>3.3967655081192136</v>
      </c>
      <c r="T5382" s="2">
        <f t="shared" si="336"/>
        <v>7.5302681567040528</v>
      </c>
      <c r="U5382" s="2">
        <f t="shared" si="337"/>
        <v>219.2198910461149</v>
      </c>
    </row>
    <row r="5383" spans="1:21" x14ac:dyDescent="0.25">
      <c r="A5383">
        <v>5725633</v>
      </c>
      <c r="B5383">
        <v>44</v>
      </c>
      <c r="C5383" s="1">
        <f>5.12401504191915*(10.3/7.3)</f>
        <v>7.229774648187294</v>
      </c>
      <c r="D5383" s="1">
        <f>8.36522135168776*(10.3/7.3)</f>
        <v>11.802983551011495</v>
      </c>
      <c r="E5383" s="1">
        <f>29.0087270008992*(10.3/7.3)</f>
        <v>40.93012165880301</v>
      </c>
      <c r="F5383" s="1">
        <f>71.0196680287229*(38.9/42.5)</f>
        <v>65.003884383937006</v>
      </c>
      <c r="G5383" s="1">
        <v>3.3401890555139686</v>
      </c>
      <c r="H5383" s="1">
        <v>8.5281086191057494</v>
      </c>
      <c r="I5383" s="1">
        <v>51.309269590732583</v>
      </c>
      <c r="J5383" s="1">
        <v>6.1999378825698163E-2</v>
      </c>
      <c r="K5383" s="1">
        <v>3.0163591686681035</v>
      </c>
      <c r="L5383" s="1">
        <v>3.6683446562782334</v>
      </c>
      <c r="M5383" s="1">
        <v>0.2409766701319522</v>
      </c>
      <c r="N5383" s="1">
        <v>2.8318374321669646</v>
      </c>
      <c r="O5383" s="1">
        <v>0.19765575757575762</v>
      </c>
      <c r="P5383" s="1">
        <v>0.13128231016173442</v>
      </c>
      <c r="Q5383" s="1">
        <v>5.3382016868944753</v>
      </c>
      <c r="R5383" s="2">
        <f t="shared" si="335"/>
        <v>193.48253319418558</v>
      </c>
      <c r="S5383" s="2">
        <f t="shared" si="334"/>
        <v>3.2096408576555362</v>
      </c>
      <c r="T5383" s="2">
        <f t="shared" si="336"/>
        <v>6.9388145161529078</v>
      </c>
      <c r="U5383" s="2">
        <f t="shared" si="337"/>
        <v>203.63098856799402</v>
      </c>
    </row>
    <row r="5384" spans="1:21" x14ac:dyDescent="0.25">
      <c r="A5384">
        <v>5725641</v>
      </c>
      <c r="B5384">
        <v>14</v>
      </c>
      <c r="C5384" s="1">
        <f>3.16055928432328*(10.3/7.3)</f>
        <v>4.4594192641821593</v>
      </c>
      <c r="D5384" s="1">
        <f>5.03552468364112*(10.3/7.3)</f>
        <v>7.1049183892470591</v>
      </c>
      <c r="E5384" s="1">
        <f>17.4609727182364*(10.3/7.3)</f>
        <v>24.636714931210228</v>
      </c>
      <c r="F5384" s="1">
        <f>43.5705235735863*(38.9/42.5)</f>
        <v>39.879843929706027</v>
      </c>
      <c r="G5384" s="1">
        <v>2.0740878495985107</v>
      </c>
      <c r="H5384" s="1">
        <v>6.3076437097851601</v>
      </c>
      <c r="I5384" s="1">
        <v>31.793291205536853</v>
      </c>
      <c r="J5384" s="1">
        <v>4.5810233934894848E-2</v>
      </c>
      <c r="K5384" s="1">
        <v>2.3590306625860467</v>
      </c>
      <c r="L5384" s="1">
        <v>2.387915993477804</v>
      </c>
      <c r="M5384" s="1">
        <v>0.16840917487535462</v>
      </c>
      <c r="N5384" s="1">
        <v>1.7083554023787038</v>
      </c>
      <c r="O5384" s="1">
        <v>0.13761904761904761</v>
      </c>
      <c r="P5384" s="1">
        <v>9.8624104307320618E-2</v>
      </c>
      <c r="Q5384" s="1">
        <v>3.3147522710478521</v>
      </c>
      <c r="R5384" s="2">
        <f t="shared" si="335"/>
        <v>119.57067155031386</v>
      </c>
      <c r="S5384" s="2">
        <f t="shared" si="334"/>
        <v>2.5034650008282622</v>
      </c>
      <c r="T5384" s="2">
        <f t="shared" si="336"/>
        <v>4.4022996183509093</v>
      </c>
      <c r="U5384" s="2">
        <f t="shared" si="337"/>
        <v>126.47643616949303</v>
      </c>
    </row>
    <row r="5385" spans="1:21" x14ac:dyDescent="0.25">
      <c r="A5385">
        <v>5725649</v>
      </c>
      <c r="B5385">
        <v>19</v>
      </c>
      <c r="C5385" s="1">
        <f>2.52378651491692*(10.3/7.3)</f>
        <v>3.5609590552937425</v>
      </c>
      <c r="D5385" s="1">
        <f>4.15780530708647*(10.3/7.3)</f>
        <v>5.8664924195877628</v>
      </c>
      <c r="E5385" s="1">
        <f>14.3123029662477*(10.3/7.3)</f>
        <v>20.194071308541307</v>
      </c>
      <c r="F5385" s="1">
        <f>40.2075610007421*(38.9/42.5)</f>
        <v>36.801744068914545</v>
      </c>
      <c r="G5385" s="1">
        <v>2.0842324652647632</v>
      </c>
      <c r="H5385" s="1">
        <v>9.7236700091384485</v>
      </c>
      <c r="I5385" s="1">
        <v>29.881966135400535</v>
      </c>
      <c r="J5385" s="1">
        <v>3.4278386562918289E-2</v>
      </c>
      <c r="K5385" s="1">
        <v>2.046606511581115</v>
      </c>
      <c r="L5385" s="1">
        <v>2.3538210334885874</v>
      </c>
      <c r="M5385" s="1">
        <v>0.15830276988685382</v>
      </c>
      <c r="N5385" s="1">
        <v>1.5322901988099829</v>
      </c>
      <c r="O5385" s="1">
        <v>0.12719438596491225</v>
      </c>
      <c r="P5385" s="1">
        <v>9.4128911800298476E-2</v>
      </c>
      <c r="Q5385" s="1">
        <v>3.3309651271354701</v>
      </c>
      <c r="R5385" s="2">
        <f t="shared" si="335"/>
        <v>111.44410058927656</v>
      </c>
      <c r="S5385" s="2">
        <f t="shared" ref="S5385:S5448" si="338">J5385+K5385+P5385</f>
        <v>2.1750138099443315</v>
      </c>
      <c r="T5385" s="2">
        <f t="shared" si="336"/>
        <v>4.1716083881503359</v>
      </c>
      <c r="U5385" s="2">
        <f t="shared" si="337"/>
        <v>117.79072278737122</v>
      </c>
    </row>
    <row r="5386" spans="1:21" x14ac:dyDescent="0.25">
      <c r="A5386">
        <v>5725753</v>
      </c>
      <c r="B5386">
        <v>3</v>
      </c>
      <c r="C5386" s="1">
        <f>7.60339059110518*(10.3/7.3)</f>
        <v>10.72807165594293</v>
      </c>
      <c r="D5386" s="1">
        <f>9.06809172959466*(10.3/7.3)</f>
        <v>12.794704769154114</v>
      </c>
      <c r="E5386" s="1">
        <f>31.9111030652363*(10.3/7.3)</f>
        <v>45.025255009853964</v>
      </c>
      <c r="F5386" s="1">
        <f>75.0663307230207*(38.9/42.5)</f>
        <v>68.707770944129564</v>
      </c>
      <c r="G5386" s="1">
        <v>3.2667733049459797</v>
      </c>
      <c r="H5386" s="1">
        <v>9.622661703710186</v>
      </c>
      <c r="I5386" s="1">
        <v>58.395197342606004</v>
      </c>
      <c r="J5386" s="1">
        <v>3.4898936501868684E-2</v>
      </c>
      <c r="K5386" s="1">
        <v>2.1663046783512843</v>
      </c>
      <c r="L5386" s="1">
        <v>2.4138744924970452</v>
      </c>
      <c r="M5386" s="1">
        <v>0.14434581643283564</v>
      </c>
      <c r="N5386" s="1">
        <v>1.5416683174009114</v>
      </c>
      <c r="O5386" s="1">
        <v>0.12890666666666667</v>
      </c>
      <c r="P5386" s="1">
        <v>9.3719297587149808E-2</v>
      </c>
      <c r="Q5386" s="1">
        <v>5.2208705786807945</v>
      </c>
      <c r="R5386" s="2">
        <f t="shared" ref="R5386:R5449" si="339">C5386+D5386+E5386+F5386+G5386+H5386+I5386+Q5386</f>
        <v>213.76130530902356</v>
      </c>
      <c r="S5386" s="2">
        <f t="shared" si="338"/>
        <v>2.2949229124403026</v>
      </c>
      <c r="T5386" s="2">
        <f t="shared" ref="T5386:T5449" si="340">L5386+M5386+N5386+O5386</f>
        <v>4.2287952929974582</v>
      </c>
      <c r="U5386" s="2">
        <f t="shared" ref="U5386:U5449" si="341">R5386+S5386+T5386</f>
        <v>220.28502351446133</v>
      </c>
    </row>
    <row r="5387" spans="1:21" x14ac:dyDescent="0.25">
      <c r="A5387">
        <v>5725761</v>
      </c>
      <c r="B5387">
        <v>43</v>
      </c>
      <c r="C5387" s="1">
        <f>9.14922593135339*(10.3/7.3)</f>
        <v>12.909181793553415</v>
      </c>
      <c r="D5387" s="1">
        <f>11.3999921253805*(10.3/7.3)</f>
        <v>16.084920396084883</v>
      </c>
      <c r="E5387" s="1">
        <f>40.1217472984427*(10.3/7.3)</f>
        <v>56.610136599172542</v>
      </c>
      <c r="F5387" s="1">
        <f>90.0289023365954*(38.9/42.5)</f>
        <v>82.402924726907315</v>
      </c>
      <c r="G5387" s="1">
        <v>3.7714421299618985</v>
      </c>
      <c r="H5387" s="1">
        <v>7.8361226991319475</v>
      </c>
      <c r="I5387" s="1">
        <v>68.592755239173727</v>
      </c>
      <c r="J5387" s="1">
        <v>4.1142300988303591E-2</v>
      </c>
      <c r="K5387" s="1">
        <v>2.4641141328680107</v>
      </c>
      <c r="L5387" s="1">
        <v>2.8436898926629341</v>
      </c>
      <c r="M5387" s="1">
        <v>0.1633471627225247</v>
      </c>
      <c r="N5387" s="1">
        <v>1.7459253913640504</v>
      </c>
      <c r="O5387" s="1">
        <v>0.1446623255813953</v>
      </c>
      <c r="P5387" s="1">
        <v>0.10459647188506575</v>
      </c>
      <c r="Q5387" s="1">
        <v>6.0274189291628586</v>
      </c>
      <c r="R5387" s="2">
        <f t="shared" si="339"/>
        <v>254.2349025131486</v>
      </c>
      <c r="S5387" s="2">
        <f t="shared" si="338"/>
        <v>2.6098529057413797</v>
      </c>
      <c r="T5387" s="2">
        <f t="shared" si="340"/>
        <v>4.8976247723309045</v>
      </c>
      <c r="U5387" s="2">
        <f t="shared" si="341"/>
        <v>261.74238019122089</v>
      </c>
    </row>
    <row r="5388" spans="1:21" x14ac:dyDescent="0.25">
      <c r="A5388">
        <v>5725769</v>
      </c>
      <c r="B5388">
        <v>1</v>
      </c>
      <c r="C5388" s="1">
        <f>9.49925959129694*(10.3/7.3)</f>
        <v>13.403064902788838</v>
      </c>
      <c r="D5388" s="1">
        <f>12.5488844749458*(10.3/7.3)</f>
        <v>17.705960286567386</v>
      </c>
      <c r="E5388" s="1">
        <f>44.0702682138932*(10.3/7.3)</f>
        <v>62.181337342890409</v>
      </c>
      <c r="F5388" s="1">
        <f>97.948182559917*(38.9/42.5)</f>
        <v>89.651395331312287</v>
      </c>
      <c r="G5388" s="1">
        <v>4.1051044442927473</v>
      </c>
      <c r="H5388" s="1">
        <v>8.6630828021416928</v>
      </c>
      <c r="I5388" s="1">
        <v>73.205417080477531</v>
      </c>
      <c r="J5388" s="1">
        <v>4.2593279314957995E-2</v>
      </c>
      <c r="K5388" s="1">
        <v>2.5032565499690937</v>
      </c>
      <c r="L5388" s="1">
        <v>2.8936559980421417</v>
      </c>
      <c r="M5388" s="1">
        <v>0.16241397149027265</v>
      </c>
      <c r="N5388" s="1">
        <v>1.794634253068468</v>
      </c>
      <c r="O5388" s="1">
        <v>0.14549333333333334</v>
      </c>
      <c r="P5388" s="1">
        <v>0.10498509884002431</v>
      </c>
      <c r="Q5388" s="1">
        <v>6.5606692032075946</v>
      </c>
      <c r="R5388" s="2">
        <f t="shared" si="339"/>
        <v>275.47603139367845</v>
      </c>
      <c r="S5388" s="2">
        <f t="shared" si="338"/>
        <v>2.650834928124076</v>
      </c>
      <c r="T5388" s="2">
        <f t="shared" si="340"/>
        <v>4.9961975559342156</v>
      </c>
      <c r="U5388" s="2">
        <f t="shared" si="341"/>
        <v>283.12306387773674</v>
      </c>
    </row>
    <row r="5389" spans="1:21" x14ac:dyDescent="0.25">
      <c r="A5389">
        <v>5725857</v>
      </c>
      <c r="B5389">
        <v>71</v>
      </c>
      <c r="C5389" s="1">
        <f>4.69002626822796*(10.3/7.3)</f>
        <v>6.6174343236641047</v>
      </c>
      <c r="D5389" s="1">
        <f>6.89997791674506*(10.3/7.3)</f>
        <v>9.7355852797909712</v>
      </c>
      <c r="E5389" s="1">
        <f>24.1291380802134*(10.3/7.3)</f>
        <v>34.045222222766817</v>
      </c>
      <c r="F5389" s="1">
        <f>53.4749684470946*(38.9/42.5)</f>
        <v>48.945324060987801</v>
      </c>
      <c r="G5389" s="1">
        <v>2.2735495767672305</v>
      </c>
      <c r="H5389" s="1">
        <v>5.539889796333231</v>
      </c>
      <c r="I5389" s="1">
        <v>38.73430555076952</v>
      </c>
      <c r="J5389" s="1">
        <v>2.825196777675832E-2</v>
      </c>
      <c r="K5389" s="1">
        <v>1.7661315801924147</v>
      </c>
      <c r="L5389" s="1">
        <v>1.8152446057973863</v>
      </c>
      <c r="M5389" s="1">
        <v>0.10475937045468077</v>
      </c>
      <c r="N5389" s="1">
        <v>1.2004068840120934</v>
      </c>
      <c r="O5389" s="1">
        <v>9.3796807511737079E-2</v>
      </c>
      <c r="P5389" s="1">
        <v>7.2908565700997671E-2</v>
      </c>
      <c r="Q5389" s="1">
        <v>3.6335267208608739</v>
      </c>
      <c r="R5389" s="2">
        <f t="shared" si="339"/>
        <v>149.52483753194056</v>
      </c>
      <c r="S5389" s="2">
        <f t="shared" si="338"/>
        <v>1.8672921136701706</v>
      </c>
      <c r="T5389" s="2">
        <f t="shared" si="340"/>
        <v>3.2142076677758977</v>
      </c>
      <c r="U5389" s="2">
        <f t="shared" si="341"/>
        <v>154.60633731338663</v>
      </c>
    </row>
    <row r="5390" spans="1:21" x14ac:dyDescent="0.25">
      <c r="A5390">
        <v>5725865</v>
      </c>
      <c r="B5390">
        <v>27</v>
      </c>
      <c r="C5390" s="1">
        <f>8.2012708477016*(10.3/7.3)</f>
        <v>11.571656127578976</v>
      </c>
      <c r="D5390" s="1">
        <f>11.954945997616*(10.3/7.3)</f>
        <v>16.867937503485624</v>
      </c>
      <c r="E5390" s="1">
        <f>41.8990849207065*(10.3/7.3)</f>
        <v>59.117886942914645</v>
      </c>
      <c r="F5390" s="1">
        <f>88.9113251004684*(38.9/42.5)</f>
        <v>81.38001285666401</v>
      </c>
      <c r="G5390" s="1">
        <v>3.6107529381553851</v>
      </c>
      <c r="H5390" s="1">
        <v>9.4135274973654912</v>
      </c>
      <c r="I5390" s="1">
        <v>63.901582111440348</v>
      </c>
      <c r="J5390" s="1">
        <v>3.8007476143267924E-2</v>
      </c>
      <c r="K5390" s="1">
        <v>2.2516323715860573</v>
      </c>
      <c r="L5390" s="1">
        <v>2.4455839922079949</v>
      </c>
      <c r="M5390" s="1">
        <v>0.13149767075425167</v>
      </c>
      <c r="N5390" s="1">
        <v>1.5561458758921047</v>
      </c>
      <c r="O5390" s="1">
        <v>0.12075061728395058</v>
      </c>
      <c r="P5390" s="1">
        <v>8.9801437471836429E-2</v>
      </c>
      <c r="Q5390" s="1">
        <v>5.7706097185131791</v>
      </c>
      <c r="R5390" s="2">
        <f t="shared" si="339"/>
        <v>251.63396569611766</v>
      </c>
      <c r="S5390" s="2">
        <f t="shared" si="338"/>
        <v>2.3794412852011617</v>
      </c>
      <c r="T5390" s="2">
        <f t="shared" si="340"/>
        <v>4.2539781561383014</v>
      </c>
      <c r="U5390" s="2">
        <f t="shared" si="341"/>
        <v>258.2673851374571</v>
      </c>
    </row>
    <row r="5391" spans="1:21" x14ac:dyDescent="0.25">
      <c r="A5391">
        <v>5725913</v>
      </c>
      <c r="B5391">
        <v>5</v>
      </c>
      <c r="C5391" s="1">
        <f>6.49056328300943*(10.3/7.3)</f>
        <v>9.1579180568489278</v>
      </c>
      <c r="D5391" s="1">
        <f>9.83804155484394*(10.3/7.3)</f>
        <v>13.881072330807202</v>
      </c>
      <c r="E5391" s="1">
        <f>34.3946799155455*(10.3/7.3)</f>
        <v>48.52947988083811</v>
      </c>
      <c r="F5391" s="1">
        <f>74.6955200850591*(38.9/42.5)</f>
        <v>68.368370148442352</v>
      </c>
      <c r="G5391" s="1">
        <v>3.1265745819835509</v>
      </c>
      <c r="H5391" s="1">
        <v>7.3396029168978671</v>
      </c>
      <c r="I5391" s="1">
        <v>53.396717198433933</v>
      </c>
      <c r="J5391" s="1">
        <v>3.3604476475666598E-2</v>
      </c>
      <c r="K5391" s="1">
        <v>2.0727586610222981</v>
      </c>
      <c r="L5391" s="1">
        <v>2.1720921208599653</v>
      </c>
      <c r="M5391" s="1">
        <v>0.11514771214130196</v>
      </c>
      <c r="N5391" s="1">
        <v>1.3622860682247988</v>
      </c>
      <c r="O5391" s="1">
        <v>0.10733866666666667</v>
      </c>
      <c r="P5391" s="1">
        <v>8.1036365976709837E-2</v>
      </c>
      <c r="Q5391" s="1">
        <v>4.9968086926677806</v>
      </c>
      <c r="R5391" s="2">
        <f t="shared" si="339"/>
        <v>208.79654380691974</v>
      </c>
      <c r="S5391" s="2">
        <f t="shared" si="338"/>
        <v>2.1873995034746745</v>
      </c>
      <c r="T5391" s="2">
        <f t="shared" si="340"/>
        <v>3.7568645678927326</v>
      </c>
      <c r="U5391" s="2">
        <f t="shared" si="341"/>
        <v>214.74080787828714</v>
      </c>
    </row>
    <row r="5392" spans="1:21" x14ac:dyDescent="0.25">
      <c r="A5392">
        <v>5725921</v>
      </c>
      <c r="B5392">
        <v>5</v>
      </c>
      <c r="C5392" s="1">
        <f>6.89124484061299*(10.3/7.3)</f>
        <v>9.7232632682621585</v>
      </c>
      <c r="D5392" s="1">
        <f>10.3050339458569*(10.3/7.3)</f>
        <v>14.539979403058435</v>
      </c>
      <c r="E5392" s="1">
        <f>36.0493722322315*(10.3/7.3)</f>
        <v>50.86418273862796</v>
      </c>
      <c r="F5392" s="1">
        <f>78.1043319016512*(38.9/42.5)</f>
        <v>71.488435552334849</v>
      </c>
      <c r="G5392" s="1">
        <v>3.2546847415885054</v>
      </c>
      <c r="H5392" s="1">
        <v>6.4554914808669661</v>
      </c>
      <c r="I5392" s="1">
        <v>56.011577494323525</v>
      </c>
      <c r="J5392" s="1">
        <v>3.666467502537249E-2</v>
      </c>
      <c r="K5392" s="1">
        <v>2.2513569845675825</v>
      </c>
      <c r="L5392" s="1">
        <v>2.3812325578129001</v>
      </c>
      <c r="M5392" s="1">
        <v>0.12493377690757965</v>
      </c>
      <c r="N5392" s="1">
        <v>1.4781978183489453</v>
      </c>
      <c r="O5392" s="1">
        <v>0.115936</v>
      </c>
      <c r="P5392" s="1">
        <v>8.7481612319965915E-2</v>
      </c>
      <c r="Q5392" s="1">
        <v>5.201550956876611</v>
      </c>
      <c r="R5392" s="2">
        <f t="shared" si="339"/>
        <v>217.53916563593901</v>
      </c>
      <c r="S5392" s="2">
        <f t="shared" si="338"/>
        <v>2.3755032719129208</v>
      </c>
      <c r="T5392" s="2">
        <f t="shared" si="340"/>
        <v>4.1003001530694245</v>
      </c>
      <c r="U5392" s="2">
        <f t="shared" si="341"/>
        <v>224.01496906092135</v>
      </c>
    </row>
    <row r="5393" spans="1:21" x14ac:dyDescent="0.25">
      <c r="A5393">
        <v>5737389</v>
      </c>
      <c r="B5393">
        <v>2</v>
      </c>
      <c r="C5393" s="1">
        <f>0.613369382414981*(10.3/7.3)</f>
        <v>0.86543899162661686</v>
      </c>
      <c r="D5393" s="1">
        <f>2.58402563751539*(10.3/7.3)</f>
        <v>3.6459539816998032</v>
      </c>
      <c r="E5393" s="1">
        <f>8.2993887281794*(10.3/7.3)</f>
        <v>11.710096424691486</v>
      </c>
      <c r="F5393" s="1">
        <f>44.2436800835862*(38.9/42.5)</f>
        <v>40.495980123564749</v>
      </c>
      <c r="G5393" s="1">
        <v>3.0385927303285576</v>
      </c>
      <c r="H5393" s="1">
        <v>9.1249571275757688</v>
      </c>
      <c r="I5393" s="1">
        <v>33.848905154392057</v>
      </c>
      <c r="J5393" s="1">
        <v>5.7669382264354863E-2</v>
      </c>
      <c r="K5393" s="1">
        <v>5.9084827796652721</v>
      </c>
      <c r="L5393" s="1">
        <v>2.3737104000659079</v>
      </c>
      <c r="M5393" s="1">
        <v>1.2288876703807858</v>
      </c>
      <c r="N5393" s="1">
        <v>2.0686030663878894</v>
      </c>
      <c r="O5393" s="1">
        <v>0.45479999999999998</v>
      </c>
      <c r="P5393" s="1">
        <v>0.13897889549372411</v>
      </c>
      <c r="Q5393" s="1">
        <v>4.8561984274657366</v>
      </c>
      <c r="R5393" s="2">
        <f t="shared" si="339"/>
        <v>107.58612296134478</v>
      </c>
      <c r="S5393" s="2">
        <f t="shared" si="338"/>
        <v>6.1051310574233515</v>
      </c>
      <c r="T5393" s="2">
        <f t="shared" si="340"/>
        <v>6.1260011368345824</v>
      </c>
      <c r="U5393" s="2">
        <f t="shared" si="341"/>
        <v>119.81725515560272</v>
      </c>
    </row>
    <row r="5394" spans="1:21" x14ac:dyDescent="0.25">
      <c r="A5394">
        <v>5737397</v>
      </c>
      <c r="B5394">
        <v>23</v>
      </c>
      <c r="C5394" s="1">
        <f>0.594459180111278*(10.3/7.3)</f>
        <v>0.83875747330769346</v>
      </c>
      <c r="D5394" s="1">
        <f>1.1605454108577*(10.3/7.3)</f>
        <v>1.6374818810731899</v>
      </c>
      <c r="E5394" s="1">
        <f>3.9096084824545*(10.3/7.3)</f>
        <v>5.51629689990156</v>
      </c>
      <c r="F5394" s="1">
        <f>14.2510312102094*(38.9/42.5)</f>
        <v>13.043885037109277</v>
      </c>
      <c r="G5394" s="1">
        <v>0.8522017317250381</v>
      </c>
      <c r="H5394" s="1">
        <v>6.6955346875969095</v>
      </c>
      <c r="I5394" s="1">
        <v>10.831875892018159</v>
      </c>
      <c r="J5394" s="1">
        <v>5.2995770056458634E-2</v>
      </c>
      <c r="K5394" s="1">
        <v>5.7291550806860645</v>
      </c>
      <c r="L5394" s="1">
        <v>2.4573218790875204</v>
      </c>
      <c r="M5394" s="1">
        <v>1.257875319850988</v>
      </c>
      <c r="N5394" s="1">
        <v>2.2022156500845256</v>
      </c>
      <c r="O5394" s="1">
        <v>0.4436452173913043</v>
      </c>
      <c r="P5394" s="1">
        <v>0.13980114825602463</v>
      </c>
      <c r="Q5394" s="1">
        <v>1.3619662379167294</v>
      </c>
      <c r="R5394" s="2">
        <f t="shared" si="339"/>
        <v>40.777999840648562</v>
      </c>
      <c r="S5394" s="2">
        <f t="shared" si="338"/>
        <v>5.9219519989985479</v>
      </c>
      <c r="T5394" s="2">
        <f t="shared" si="340"/>
        <v>6.3610580664143379</v>
      </c>
      <c r="U5394" s="2">
        <f t="shared" si="341"/>
        <v>53.06100990606145</v>
      </c>
    </row>
    <row r="5395" spans="1:21" x14ac:dyDescent="0.25">
      <c r="A5395">
        <v>5737405</v>
      </c>
      <c r="B5395">
        <v>15</v>
      </c>
      <c r="C5395" s="1">
        <f>0.578346256206956*(10.3/7.3)</f>
        <v>0.81602279985365089</v>
      </c>
      <c r="D5395" s="1">
        <f>1.05337175266953*(10.3/7.3)</f>
        <v>1.4862642537665955</v>
      </c>
      <c r="E5395" s="1">
        <f>3.57590928894958*(10.3/7.3)</f>
        <v>5.0454610515316052</v>
      </c>
      <c r="F5395" s="1">
        <f>11.9998475057841*(38.9/42.5)</f>
        <v>10.983389834705934</v>
      </c>
      <c r="G5395" s="1">
        <v>0.68954166810485551</v>
      </c>
      <c r="H5395" s="1">
        <v>4.6769674117288158</v>
      </c>
      <c r="I5395" s="1">
        <v>9.0728856296164491</v>
      </c>
      <c r="J5395" s="1">
        <v>5.1788584737100692E-2</v>
      </c>
      <c r="K5395" s="1">
        <v>4.9742010988179253</v>
      </c>
      <c r="L5395" s="1">
        <v>2.287350879994889</v>
      </c>
      <c r="M5395" s="1">
        <v>1.1379770111820799</v>
      </c>
      <c r="N5395" s="1">
        <v>1.9314934573309337</v>
      </c>
      <c r="O5395" s="1">
        <v>0.37231288888888892</v>
      </c>
      <c r="P5395" s="1">
        <v>0.12971402319445222</v>
      </c>
      <c r="Q5395" s="1">
        <v>1.1020072321310486</v>
      </c>
      <c r="R5395" s="2">
        <f t="shared" si="339"/>
        <v>33.872539881438961</v>
      </c>
      <c r="S5395" s="2">
        <f t="shared" si="338"/>
        <v>5.1557037067494784</v>
      </c>
      <c r="T5395" s="2">
        <f t="shared" si="340"/>
        <v>5.7291342373967913</v>
      </c>
      <c r="U5395" s="2">
        <f t="shared" si="341"/>
        <v>44.75737782558523</v>
      </c>
    </row>
    <row r="5396" spans="1:21" x14ac:dyDescent="0.25">
      <c r="A5396">
        <v>5737421</v>
      </c>
      <c r="B5396">
        <v>6</v>
      </c>
      <c r="C5396" s="1">
        <f>0.577390355870726*(10.3/7.3)</f>
        <v>0.81467406376280449</v>
      </c>
      <c r="D5396" s="1">
        <f>1.04036979963449*(10.3/7.3)</f>
        <v>1.4679190323609954</v>
      </c>
      <c r="E5396" s="1">
        <f>3.5387017808973*(10.3/7.3)</f>
        <v>4.992962786745502</v>
      </c>
      <c r="F5396" s="1">
        <f>11.5780091912662*(38.9/42.5)</f>
        <v>10.597283706829494</v>
      </c>
      <c r="G5396" s="1">
        <v>0.65693115902395183</v>
      </c>
      <c r="H5396" s="1">
        <v>4.8807519625870031</v>
      </c>
      <c r="I5396" s="1">
        <v>8.7274461702628923</v>
      </c>
      <c r="J5396" s="1">
        <v>5.9583067158860359E-2</v>
      </c>
      <c r="K5396" s="1">
        <v>5.2255678911897592</v>
      </c>
      <c r="L5396" s="1">
        <v>2.5833228925753482</v>
      </c>
      <c r="M5396" s="1">
        <v>1.1210645337285825</v>
      </c>
      <c r="N5396" s="1">
        <v>2.2200536449412591</v>
      </c>
      <c r="O5396" s="1">
        <v>0.34567999999999999</v>
      </c>
      <c r="P5396" s="1">
        <v>0.134420399179491</v>
      </c>
      <c r="Q5396" s="1">
        <v>1.0498899801752664</v>
      </c>
      <c r="R5396" s="2">
        <f t="shared" si="339"/>
        <v>33.187858861747905</v>
      </c>
      <c r="S5396" s="2">
        <f t="shared" si="338"/>
        <v>5.4195713575281106</v>
      </c>
      <c r="T5396" s="2">
        <f t="shared" si="340"/>
        <v>6.2701210712451889</v>
      </c>
      <c r="U5396" s="2">
        <f t="shared" si="341"/>
        <v>44.877551290521211</v>
      </c>
    </row>
    <row r="5397" spans="1:21" x14ac:dyDescent="0.25">
      <c r="A5397">
        <v>5737437</v>
      </c>
      <c r="B5397">
        <v>23</v>
      </c>
      <c r="C5397" s="1">
        <f>0.585488955941573*(10.3/7.3)</f>
        <v>0.82610085564358893</v>
      </c>
      <c r="D5397" s="1">
        <f>1.16848578995651*(10.3/7.3)</f>
        <v>1.6486854296646674</v>
      </c>
      <c r="E5397" s="1">
        <f>3.92742238224213*(10.3/7.3)</f>
        <v>5.541431580423831</v>
      </c>
      <c r="F5397" s="1">
        <f>14.6504556744753*(38.9/42.5)</f>
        <v>13.409475899696213</v>
      </c>
      <c r="G5397" s="1">
        <v>0.8851879285995059</v>
      </c>
      <c r="H5397" s="1">
        <v>4.9815245426817096</v>
      </c>
      <c r="I5397" s="1">
        <v>11.149805577785102</v>
      </c>
      <c r="J5397" s="1">
        <v>4.5365382778260743E-2</v>
      </c>
      <c r="K5397" s="1">
        <v>4.2464054773391187</v>
      </c>
      <c r="L5397" s="1">
        <v>2.6248630889167202</v>
      </c>
      <c r="M5397" s="1">
        <v>1.039717244054736</v>
      </c>
      <c r="N5397" s="1">
        <v>1.817448658286676</v>
      </c>
      <c r="O5397" s="1">
        <v>0.31240115942028984</v>
      </c>
      <c r="P5397" s="1">
        <v>0.13417373298223084</v>
      </c>
      <c r="Q5397" s="1">
        <v>1.414683904154463</v>
      </c>
      <c r="R5397" s="2">
        <f t="shared" si="339"/>
        <v>39.856895718649085</v>
      </c>
      <c r="S5397" s="2">
        <f t="shared" si="338"/>
        <v>4.4259445930996106</v>
      </c>
      <c r="T5397" s="2">
        <f t="shared" si="340"/>
        <v>5.7944301506784219</v>
      </c>
      <c r="U5397" s="2">
        <f t="shared" si="341"/>
        <v>50.077270462427116</v>
      </c>
    </row>
    <row r="5398" spans="1:21" x14ac:dyDescent="0.25">
      <c r="A5398">
        <v>5737445</v>
      </c>
      <c r="B5398">
        <v>2</v>
      </c>
      <c r="C5398" s="1">
        <f>0.604606962666195*(10.3/7.3)</f>
        <v>0.85307557746052232</v>
      </c>
      <c r="D5398" s="1">
        <f>1.16310885093439*(10.3/7.3)</f>
        <v>1.6410987896745559</v>
      </c>
      <c r="E5398" s="1">
        <f>3.92476640924693*(10.3/7.3)</f>
        <v>5.5376841116771711</v>
      </c>
      <c r="F5398" s="1">
        <f>14.0552648982156*(38.9/42.5)</f>
        <v>12.864701283307923</v>
      </c>
      <c r="G5398" s="1">
        <v>0.83373533937210653</v>
      </c>
      <c r="H5398" s="1">
        <v>4.6624113723818024</v>
      </c>
      <c r="I5398" s="1">
        <v>10.670135670978723</v>
      </c>
      <c r="J5398" s="1">
        <v>4.493977099269976E-2</v>
      </c>
      <c r="K5398" s="1">
        <v>4.0739044906277311</v>
      </c>
      <c r="L5398" s="1">
        <v>2.7243654995474458</v>
      </c>
      <c r="M5398" s="1">
        <v>1.0200340866826871</v>
      </c>
      <c r="N5398" s="1">
        <v>1.8921278138293336</v>
      </c>
      <c r="O5398" s="1">
        <v>0.30191999999999997</v>
      </c>
      <c r="P5398" s="1">
        <v>0.13422785333122778</v>
      </c>
      <c r="Q5398" s="1">
        <v>1.3324537387225461</v>
      </c>
      <c r="R5398" s="2">
        <f t="shared" si="339"/>
        <v>38.395295883575358</v>
      </c>
      <c r="S5398" s="2">
        <f t="shared" si="338"/>
        <v>4.2530721149516593</v>
      </c>
      <c r="T5398" s="2">
        <f t="shared" si="340"/>
        <v>5.9384474000594665</v>
      </c>
      <c r="U5398" s="2">
        <f t="shared" si="341"/>
        <v>48.586815398586481</v>
      </c>
    </row>
    <row r="5399" spans="1:21" x14ac:dyDescent="0.25">
      <c r="A5399">
        <v>5737853</v>
      </c>
      <c r="B5399">
        <v>10</v>
      </c>
      <c r="C5399" s="1">
        <f>4.16449930233299*(10.3/7.3)</f>
        <v>5.8759373717848975</v>
      </c>
      <c r="D5399" s="1">
        <f>7.49302140465465*(10.3/7.3)</f>
        <v>10.57234526958122</v>
      </c>
      <c r="E5399" s="1">
        <f>25.8776799868009*(10.3/7.3)</f>
        <v>36.512342995075215</v>
      </c>
      <c r="F5399" s="1">
        <f>64.4952677391332*(38.9/42.5)</f>
        <v>59.032139177700735</v>
      </c>
      <c r="G5399" s="1">
        <v>3.1068323128316981</v>
      </c>
      <c r="H5399" s="1">
        <v>7.6681215280066137</v>
      </c>
      <c r="I5399" s="1">
        <v>45.818453082695918</v>
      </c>
      <c r="J5399" s="1">
        <v>5.7209418977072393E-2</v>
      </c>
      <c r="K5399" s="1">
        <v>2.7799833453678615</v>
      </c>
      <c r="L5399" s="1">
        <v>3.2951226481301412</v>
      </c>
      <c r="M5399" s="1">
        <v>0.22546071758720149</v>
      </c>
      <c r="N5399" s="1">
        <v>2.44387832473108</v>
      </c>
      <c r="O5399" s="1">
        <v>0.18529066666666669</v>
      </c>
      <c r="P5399" s="1">
        <v>0.12371721311943643</v>
      </c>
      <c r="Q5399" s="1">
        <v>4.9652571209639067</v>
      </c>
      <c r="R5399" s="2">
        <f t="shared" si="339"/>
        <v>173.55142885864021</v>
      </c>
      <c r="S5399" s="2">
        <f t="shared" si="338"/>
        <v>2.9609099774643703</v>
      </c>
      <c r="T5399" s="2">
        <f t="shared" si="340"/>
        <v>6.1497523571150898</v>
      </c>
      <c r="U5399" s="2">
        <f t="shared" si="341"/>
        <v>182.66209119321968</v>
      </c>
    </row>
    <row r="5400" spans="1:21" x14ac:dyDescent="0.25">
      <c r="A5400">
        <v>5737861</v>
      </c>
      <c r="B5400">
        <v>20</v>
      </c>
      <c r="C5400" s="1">
        <f>4.54787508093269*(10.3/7.3)</f>
        <v>6.4168648402200912</v>
      </c>
      <c r="D5400" s="1">
        <f>7.64580836833601*(10.3/7.3)</f>
        <v>10.787921396419296</v>
      </c>
      <c r="E5400" s="1">
        <f>26.4820547266774*(10.3/7.3)</f>
        <v>37.365090915722888</v>
      </c>
      <c r="F5400" s="1">
        <f>65.0953134437576*(38.9/42.5)</f>
        <v>59.581357481462817</v>
      </c>
      <c r="G5400" s="1">
        <v>3.0811888219224994</v>
      </c>
      <c r="H5400" s="1">
        <v>7.6200865981614694</v>
      </c>
      <c r="I5400" s="1">
        <v>46.764060463404945</v>
      </c>
      <c r="J5400" s="1">
        <v>5.6381569924039088E-2</v>
      </c>
      <c r="K5400" s="1">
        <v>2.8965196500948487</v>
      </c>
      <c r="L5400" s="1">
        <v>3.5034799669157883</v>
      </c>
      <c r="M5400" s="1">
        <v>0.23692017256961609</v>
      </c>
      <c r="N5400" s="1">
        <v>3.458309069425721</v>
      </c>
      <c r="O5400" s="1">
        <v>0.19219466666666668</v>
      </c>
      <c r="P5400" s="1">
        <v>0.1280979949328496</v>
      </c>
      <c r="Q5400" s="1">
        <v>4.9242743729355078</v>
      </c>
      <c r="R5400" s="2">
        <f t="shared" si="339"/>
        <v>176.5408448902495</v>
      </c>
      <c r="S5400" s="2">
        <f t="shared" si="338"/>
        <v>3.0809992149517376</v>
      </c>
      <c r="T5400" s="2">
        <f t="shared" si="340"/>
        <v>7.3909038755777923</v>
      </c>
      <c r="U5400" s="2">
        <f t="shared" si="341"/>
        <v>187.01274798077904</v>
      </c>
    </row>
    <row r="5401" spans="1:21" x14ac:dyDescent="0.25">
      <c r="A5401">
        <v>5737877</v>
      </c>
      <c r="B5401">
        <v>37</v>
      </c>
      <c r="C5401" s="1">
        <f>2.46070060539879*(10.3/7.3)</f>
        <v>3.4719474295352746</v>
      </c>
      <c r="D5401" s="1">
        <f>3.98423359642951*(10.3/7.3)</f>
        <v>5.6215898689347945</v>
      </c>
      <c r="E5401" s="1">
        <f>13.7844710847208*(10.3/7.3)</f>
        <v>19.449322215427923</v>
      </c>
      <c r="F5401" s="1">
        <f>35.57838674182*(38.9/42.5)</f>
        <v>32.564688100159934</v>
      </c>
      <c r="G5401" s="1">
        <v>1.7396859737924757</v>
      </c>
      <c r="H5401" s="1">
        <v>8.2026156613846126</v>
      </c>
      <c r="I5401" s="1">
        <v>26.064317581841273</v>
      </c>
      <c r="J5401" s="1">
        <v>3.8728523460410454E-2</v>
      </c>
      <c r="K5401" s="1">
        <v>2.1551521615872322</v>
      </c>
      <c r="L5401" s="1">
        <v>2.3172083967415098</v>
      </c>
      <c r="M5401" s="1">
        <v>0.1619749872002374</v>
      </c>
      <c r="N5401" s="1">
        <v>1.6127850797490189</v>
      </c>
      <c r="O5401" s="1">
        <v>0.13021693693693692</v>
      </c>
      <c r="P5401" s="1">
        <v>9.5804297721156256E-2</v>
      </c>
      <c r="Q5401" s="1">
        <v>2.7803200494400326</v>
      </c>
      <c r="R5401" s="2">
        <f t="shared" si="339"/>
        <v>99.894486880516325</v>
      </c>
      <c r="S5401" s="2">
        <f t="shared" si="338"/>
        <v>2.2896849827687991</v>
      </c>
      <c r="T5401" s="2">
        <f t="shared" si="340"/>
        <v>4.2221854006277031</v>
      </c>
      <c r="U5401" s="2">
        <f t="shared" si="341"/>
        <v>106.40635726391284</v>
      </c>
    </row>
    <row r="5402" spans="1:21" x14ac:dyDescent="0.25">
      <c r="A5402">
        <v>5737885</v>
      </c>
      <c r="B5402">
        <v>7</v>
      </c>
      <c r="C5402" s="1">
        <f>2.64881121146239*(10.3/7.3)</f>
        <v>3.7373637641181721</v>
      </c>
      <c r="D5402" s="1">
        <f>4.1665960495565*(10.3/7.3)</f>
        <v>5.8788957959495782</v>
      </c>
      <c r="E5402" s="1">
        <f>14.4146240603867*(10.3/7.3)</f>
        <v>20.338442167394977</v>
      </c>
      <c r="F5402" s="1">
        <f>38.0040678101791*(38.9/42.5)</f>
        <v>34.784899713316911</v>
      </c>
      <c r="G5402" s="1">
        <v>1.8808803164780934</v>
      </c>
      <c r="H5402" s="1">
        <v>6.1120969174585245</v>
      </c>
      <c r="I5402" s="1">
        <v>28.142954289167257</v>
      </c>
      <c r="J5402" s="1">
        <v>3.3516460306302585E-2</v>
      </c>
      <c r="K5402" s="1">
        <v>1.9616997134144076</v>
      </c>
      <c r="L5402" s="1">
        <v>2.6030452916173199</v>
      </c>
      <c r="M5402" s="1">
        <v>0.15248604503181529</v>
      </c>
      <c r="N5402" s="1">
        <v>1.4611533208089618</v>
      </c>
      <c r="O5402" s="1">
        <v>0.12259809523809524</v>
      </c>
      <c r="P5402" s="1">
        <v>9.1225842144614891E-2</v>
      </c>
      <c r="Q5402" s="1">
        <v>3.005973108526637</v>
      </c>
      <c r="R5402" s="2">
        <f t="shared" si="339"/>
        <v>103.88150607241016</v>
      </c>
      <c r="S5402" s="2">
        <f t="shared" si="338"/>
        <v>2.086442015865325</v>
      </c>
      <c r="T5402" s="2">
        <f t="shared" si="340"/>
        <v>4.3392827526961923</v>
      </c>
      <c r="U5402" s="2">
        <f t="shared" si="341"/>
        <v>110.30723084097168</v>
      </c>
    </row>
    <row r="5403" spans="1:21" x14ac:dyDescent="0.25">
      <c r="A5403">
        <v>5737989</v>
      </c>
      <c r="B5403">
        <v>27</v>
      </c>
      <c r="C5403" s="1">
        <f>8.34214813490851*(10.3/7.3)</f>
        <v>11.770428190350364</v>
      </c>
      <c r="D5403" s="1">
        <f>10.2166865612289*(10.3/7.3)</f>
        <v>14.415324874062653</v>
      </c>
      <c r="E5403" s="1">
        <f>35.9435450719542*(10.3/7.3)</f>
        <v>50.714864964538116</v>
      </c>
      <c r="F5403" s="1">
        <f>82.7788735436522*(38.9/42.5)</f>
        <v>75.767016019954553</v>
      </c>
      <c r="G5403" s="1">
        <v>3.5468925788014674</v>
      </c>
      <c r="H5403" s="1">
        <v>8.7770429050636078</v>
      </c>
      <c r="I5403" s="1">
        <v>63.677468689132048</v>
      </c>
      <c r="J5403" s="1">
        <v>3.8302928849326089E-2</v>
      </c>
      <c r="K5403" s="1">
        <v>2.3329525825327471</v>
      </c>
      <c r="L5403" s="1">
        <v>2.6556140466829765</v>
      </c>
      <c r="M5403" s="1">
        <v>0.15549394994757376</v>
      </c>
      <c r="N5403" s="1">
        <v>1.6482687603421571</v>
      </c>
      <c r="O5403" s="1">
        <v>0.13774814814814815</v>
      </c>
      <c r="P5403" s="1">
        <v>9.9809492316741688E-2</v>
      </c>
      <c r="Q5403" s="1">
        <v>5.6685497834726712</v>
      </c>
      <c r="R5403" s="2">
        <f t="shared" si="339"/>
        <v>234.33758800537549</v>
      </c>
      <c r="S5403" s="2">
        <f t="shared" si="338"/>
        <v>2.4710650036988149</v>
      </c>
      <c r="T5403" s="2">
        <f t="shared" si="340"/>
        <v>4.5971249051208556</v>
      </c>
      <c r="U5403" s="2">
        <f t="shared" si="341"/>
        <v>241.40577791419517</v>
      </c>
    </row>
    <row r="5404" spans="1:21" x14ac:dyDescent="0.25">
      <c r="A5404">
        <v>5737997</v>
      </c>
      <c r="B5404">
        <v>64</v>
      </c>
      <c r="C5404" s="1">
        <f>6.07911540000432*(10.3/7.3)</f>
        <v>8.5773820027458214</v>
      </c>
      <c r="D5404" s="1">
        <f>7.81376114023036*(10.3/7.3)</f>
        <v>11.024895855393526</v>
      </c>
      <c r="E5404" s="1">
        <f>27.4662273840027*(10.3/7.3)</f>
        <v>38.753718089757179</v>
      </c>
      <c r="F5404" s="1">
        <f>61.4214076362375*(38.9/42.5)</f>
        <v>56.218653107050329</v>
      </c>
      <c r="G5404" s="1">
        <v>2.5781297849101028</v>
      </c>
      <c r="H5404" s="1">
        <v>6.0332858617014189</v>
      </c>
      <c r="I5404" s="1">
        <v>46.334226234990808</v>
      </c>
      <c r="J5404" s="1">
        <v>3.2692028547723746E-2</v>
      </c>
      <c r="K5404" s="1">
        <v>2.0653717992304603</v>
      </c>
      <c r="L5404" s="1">
        <v>2.259344434467939</v>
      </c>
      <c r="M5404" s="1">
        <v>0.13645265831304643</v>
      </c>
      <c r="N5404" s="1">
        <v>1.4455065718501698</v>
      </c>
      <c r="O5404" s="1">
        <v>0.11945</v>
      </c>
      <c r="P5404" s="1">
        <v>8.9338239387587504E-2</v>
      </c>
      <c r="Q5404" s="1">
        <v>4.1202987430070177</v>
      </c>
      <c r="R5404" s="2">
        <f t="shared" si="339"/>
        <v>173.64058967955623</v>
      </c>
      <c r="S5404" s="2">
        <f t="shared" si="338"/>
        <v>2.1874020671657717</v>
      </c>
      <c r="T5404" s="2">
        <f t="shared" si="340"/>
        <v>3.9607536646311554</v>
      </c>
      <c r="U5404" s="2">
        <f t="shared" si="341"/>
        <v>179.78874541135315</v>
      </c>
    </row>
    <row r="5405" spans="1:21" x14ac:dyDescent="0.25">
      <c r="A5405">
        <v>5738085</v>
      </c>
      <c r="B5405">
        <v>29</v>
      </c>
      <c r="C5405" s="1">
        <f>4.97150580041592*(10.3/7.3)</f>
        <v>7.0145903759293056</v>
      </c>
      <c r="D5405" s="1">
        <f>7.49233708431803*(10.3/7.3)</f>
        <v>10.571379721709008</v>
      </c>
      <c r="E5405" s="1">
        <f>26.1438347690105*(10.3/7.3)</f>
        <v>36.887876454905197</v>
      </c>
      <c r="F5405" s="1">
        <f>59.5986026237783*(38.9/42.5)</f>
        <v>54.550250401528864</v>
      </c>
      <c r="G5405" s="1">
        <v>2.6116698597453065</v>
      </c>
      <c r="H5405" s="1">
        <v>6.8767440317732094</v>
      </c>
      <c r="I5405" s="1">
        <v>43.176537653643706</v>
      </c>
      <c r="J5405" s="1">
        <v>3.0456253395604066E-2</v>
      </c>
      <c r="K5405" s="1">
        <v>1.8684590846968943</v>
      </c>
      <c r="L5405" s="1">
        <v>1.9471596358091483</v>
      </c>
      <c r="M5405" s="1">
        <v>0.11095810692575032</v>
      </c>
      <c r="N5405" s="1">
        <v>1.2951471063087909</v>
      </c>
      <c r="O5405" s="1">
        <v>0.10041379310344824</v>
      </c>
      <c r="P5405" s="1">
        <v>7.7000949912725491E-2</v>
      </c>
      <c r="Q5405" s="1">
        <v>4.1739016023326867</v>
      </c>
      <c r="R5405" s="2">
        <f t="shared" si="339"/>
        <v>165.86295010156729</v>
      </c>
      <c r="S5405" s="2">
        <f t="shared" si="338"/>
        <v>1.9759162880052239</v>
      </c>
      <c r="T5405" s="2">
        <f t="shared" si="340"/>
        <v>3.4536786421471382</v>
      </c>
      <c r="U5405" s="2">
        <f t="shared" si="341"/>
        <v>171.29254503171967</v>
      </c>
    </row>
    <row r="5406" spans="1:21" x14ac:dyDescent="0.25">
      <c r="A5406">
        <v>5738093</v>
      </c>
      <c r="B5406">
        <v>62</v>
      </c>
      <c r="C5406" s="1">
        <f>5.04558630431896*(10.3/7.3)</f>
        <v>7.1191149225322299</v>
      </c>
      <c r="D5406" s="1">
        <f>7.3220276706397*(10.3/7.3)</f>
        <v>10.331080138025877</v>
      </c>
      <c r="E5406" s="1">
        <f>25.6503097503059*(10.3/7.3)</f>
        <v>36.191532935363107</v>
      </c>
      <c r="F5406" s="1">
        <f>55.2427813882266*(38.9/42.5)</f>
        <v>50.563392847106186</v>
      </c>
      <c r="G5406" s="1">
        <v>2.2770755390959971</v>
      </c>
      <c r="H5406" s="1">
        <v>5.3893284192262616</v>
      </c>
      <c r="I5406" s="1">
        <v>39.898048006430983</v>
      </c>
      <c r="J5406" s="1">
        <v>2.9370772019762778E-2</v>
      </c>
      <c r="K5406" s="1">
        <v>1.8367855508605777</v>
      </c>
      <c r="L5406" s="1">
        <v>1.9020019548198741</v>
      </c>
      <c r="M5406" s="1">
        <v>0.1084647851416365</v>
      </c>
      <c r="N5406" s="1">
        <v>1.2549440042959275</v>
      </c>
      <c r="O5406" s="1">
        <v>9.7785806451612889E-2</v>
      </c>
      <c r="P5406" s="1">
        <v>7.5435732425914323E-2</v>
      </c>
      <c r="Q5406" s="1">
        <v>3.6391618204730585</v>
      </c>
      <c r="R5406" s="2">
        <f t="shared" si="339"/>
        <v>155.40873462825371</v>
      </c>
      <c r="S5406" s="2">
        <f t="shared" si="338"/>
        <v>1.9415920553062547</v>
      </c>
      <c r="T5406" s="2">
        <f t="shared" si="340"/>
        <v>3.3631965507090511</v>
      </c>
      <c r="U5406" s="2">
        <f t="shared" si="341"/>
        <v>160.71352323426902</v>
      </c>
    </row>
    <row r="5407" spans="1:21" x14ac:dyDescent="0.25">
      <c r="A5407">
        <v>5749625</v>
      </c>
      <c r="B5407">
        <v>12</v>
      </c>
      <c r="C5407" s="1">
        <f>0.637565609675831*(10.3/7.3)</f>
        <v>0.89957887392617319</v>
      </c>
      <c r="D5407" s="1">
        <f>1.47277553419005*(10.3/7.3)</f>
        <v>2.0780257537202051</v>
      </c>
      <c r="E5407" s="1">
        <f>4.88629928454243*(10.3/7.3)</f>
        <v>6.8943674836694626</v>
      </c>
      <c r="F5407" s="1">
        <f>20.5516631053258*(38.9/42.5)</f>
        <v>18.810816348168796</v>
      </c>
      <c r="G5407" s="1">
        <v>1.3042773033147579</v>
      </c>
      <c r="H5407" s="1">
        <v>10.629827656990068</v>
      </c>
      <c r="I5407" s="1">
        <v>15.715267618975082</v>
      </c>
      <c r="J5407" s="1">
        <v>5.9336254140315479E-2</v>
      </c>
      <c r="K5407" s="1">
        <v>6.6978369597373835</v>
      </c>
      <c r="L5407" s="1">
        <v>2.6866622418906636</v>
      </c>
      <c r="M5407" s="1">
        <v>1.3512363178245108</v>
      </c>
      <c r="N5407" s="1">
        <v>2.0906903179430429</v>
      </c>
      <c r="O5407" s="1">
        <v>0.52224888888888887</v>
      </c>
      <c r="P5407" s="1">
        <v>0.14987019935103674</v>
      </c>
      <c r="Q5407" s="1">
        <v>2.084461443653725</v>
      </c>
      <c r="R5407" s="2">
        <f t="shared" si="339"/>
        <v>58.416622482418269</v>
      </c>
      <c r="S5407" s="2">
        <f t="shared" si="338"/>
        <v>6.9070434132287355</v>
      </c>
      <c r="T5407" s="2">
        <f t="shared" si="340"/>
        <v>6.6508377665471059</v>
      </c>
      <c r="U5407" s="2">
        <f t="shared" si="341"/>
        <v>71.97450366219411</v>
      </c>
    </row>
    <row r="5408" spans="1:21" x14ac:dyDescent="0.25">
      <c r="A5408">
        <v>5749633</v>
      </c>
      <c r="B5408">
        <v>18</v>
      </c>
      <c r="C5408" s="1">
        <f>0.534109312869149*(10.3/7.3)</f>
        <v>0.75360629076057983</v>
      </c>
      <c r="D5408" s="1">
        <f>0.983664679351545*(10.3/7.3)</f>
        <v>1.3879104379891658</v>
      </c>
      <c r="E5408" s="1">
        <f>3.33486718322962*(10.3/7.3)</f>
        <v>4.705360546200704</v>
      </c>
      <c r="F5408" s="1">
        <f>11.3592817093038*(38.9/42.5)</f>
        <v>10.397083729221578</v>
      </c>
      <c r="G5408" s="1">
        <v>0.65765838029101886</v>
      </c>
      <c r="H5408" s="1">
        <v>6.1019663406236067</v>
      </c>
      <c r="I5408" s="1">
        <v>8.5979304428274528</v>
      </c>
      <c r="J5408" s="1">
        <v>4.7488050582451445E-2</v>
      </c>
      <c r="K5408" s="1">
        <v>5.1574214268610312</v>
      </c>
      <c r="L5408" s="1">
        <v>2.2146510586543831</v>
      </c>
      <c r="M5408" s="1">
        <v>1.080059356162437</v>
      </c>
      <c r="N5408" s="1">
        <v>1.8504954924388193</v>
      </c>
      <c r="O5408" s="1">
        <v>0.38700148148148139</v>
      </c>
      <c r="P5408" s="1">
        <v>0.12949413764116482</v>
      </c>
      <c r="Q5408" s="1">
        <v>1.0510522059445515</v>
      </c>
      <c r="R5408" s="2">
        <f t="shared" si="339"/>
        <v>33.652568373858657</v>
      </c>
      <c r="S5408" s="2">
        <f t="shared" si="338"/>
        <v>5.3344036150846472</v>
      </c>
      <c r="T5408" s="2">
        <f t="shared" si="340"/>
        <v>5.5322073887371204</v>
      </c>
      <c r="U5408" s="2">
        <f t="shared" si="341"/>
        <v>44.519179377680423</v>
      </c>
    </row>
    <row r="5409" spans="1:21" x14ac:dyDescent="0.25">
      <c r="A5409">
        <v>5749641</v>
      </c>
      <c r="B5409">
        <v>2</v>
      </c>
      <c r="C5409" s="1">
        <f>0.891974501245682*(10.3/7.3)</f>
        <v>1.2585393647713041</v>
      </c>
      <c r="D5409" s="1">
        <f>1.73233413209322*(10.3/7.3)</f>
        <v>2.44425226856989</v>
      </c>
      <c r="E5409" s="1">
        <f>5.85186736782332*(10.3/7.3)</f>
        <v>8.2567443682986532</v>
      </c>
      <c r="F5409" s="1">
        <f>20.5417111552071*(38.9/42.5)</f>
        <v>18.801707386766012</v>
      </c>
      <c r="G5409" s="1">
        <v>1.2088384532572984</v>
      </c>
      <c r="H5409" s="1">
        <v>8.980516429440021</v>
      </c>
      <c r="I5409" s="1">
        <v>15.519345764245514</v>
      </c>
      <c r="J5409" s="1">
        <v>6.5065286413186485E-2</v>
      </c>
      <c r="K5409" s="1">
        <v>5.1996270882186089</v>
      </c>
      <c r="L5409" s="1">
        <v>2.8014161036941534</v>
      </c>
      <c r="M5409" s="1">
        <v>1.1892088955686297</v>
      </c>
      <c r="N5409" s="1">
        <v>1.6619161077763209</v>
      </c>
      <c r="O5409" s="1">
        <v>0.43133333333333329</v>
      </c>
      <c r="P5409" s="1">
        <v>0.13776586560300302</v>
      </c>
      <c r="Q5409" s="1">
        <v>1.9319336010961412</v>
      </c>
      <c r="R5409" s="2">
        <f t="shared" si="339"/>
        <v>58.401877636444837</v>
      </c>
      <c r="S5409" s="2">
        <f t="shared" si="338"/>
        <v>5.4024582402347985</v>
      </c>
      <c r="T5409" s="2">
        <f t="shared" si="340"/>
        <v>6.083874440372437</v>
      </c>
      <c r="U5409" s="2">
        <f t="shared" si="341"/>
        <v>69.888210317052071</v>
      </c>
    </row>
    <row r="5410" spans="1:21" x14ac:dyDescent="0.25">
      <c r="A5410">
        <v>5749649</v>
      </c>
      <c r="B5410">
        <v>16</v>
      </c>
      <c r="C5410" s="1">
        <f>0.587007443454856*(10.3/7.3)</f>
        <v>0.82824337912123569</v>
      </c>
      <c r="D5410" s="1">
        <f>1.0579152098764*(10.3/7.3)</f>
        <v>1.4926748851680685</v>
      </c>
      <c r="E5410" s="1">
        <f>3.59859442203863*(10.3/7.3)</f>
        <v>5.0774688420545067</v>
      </c>
      <c r="F5410" s="1">
        <f>11.7616887900445*(38.9/42.5)</f>
        <v>10.765404563123093</v>
      </c>
      <c r="G5410" s="1">
        <v>0.66702582472705019</v>
      </c>
      <c r="H5410" s="1">
        <v>5.2699860532028104</v>
      </c>
      <c r="I5410" s="1">
        <v>8.8639153609328591</v>
      </c>
      <c r="J5410" s="1">
        <v>5.3601210662121757E-2</v>
      </c>
      <c r="K5410" s="1">
        <v>5.5758228067236217</v>
      </c>
      <c r="L5410" s="1">
        <v>2.590065485379299</v>
      </c>
      <c r="M5410" s="1">
        <v>1.0997215906096007</v>
      </c>
      <c r="N5410" s="1">
        <v>1.8781990653848191</v>
      </c>
      <c r="O5410" s="1">
        <v>0.35028333333333328</v>
      </c>
      <c r="P5410" s="1">
        <v>0.13153246741989999</v>
      </c>
      <c r="Q5410" s="1">
        <v>1.0660230075546475</v>
      </c>
      <c r="R5410" s="2">
        <f t="shared" si="339"/>
        <v>34.030741915884271</v>
      </c>
      <c r="S5410" s="2">
        <f t="shared" si="338"/>
        <v>5.7609564848056438</v>
      </c>
      <c r="T5410" s="2">
        <f t="shared" si="340"/>
        <v>5.9182694747070519</v>
      </c>
      <c r="U5410" s="2">
        <f t="shared" si="341"/>
        <v>45.70996787539697</v>
      </c>
    </row>
    <row r="5411" spans="1:21" x14ac:dyDescent="0.25">
      <c r="A5411">
        <v>5749673</v>
      </c>
      <c r="B5411">
        <v>15</v>
      </c>
      <c r="C5411" s="1">
        <f>0.578133833910016*(10.3/7.3)</f>
        <v>0.81572308072235189</v>
      </c>
      <c r="D5411" s="1">
        <f>1.30335468098953*(10.3/7.3)</f>
        <v>1.8389798923550864</v>
      </c>
      <c r="E5411" s="1">
        <f>4.3272478540013*(10.3/7.3)</f>
        <v>6.1055688898922469</v>
      </c>
      <c r="F5411" s="1">
        <f>18.1799173361657*(38.9/42.5)</f>
        <v>16.639971397102226</v>
      </c>
      <c r="G5411" s="1">
        <v>1.1523047488219129</v>
      </c>
      <c r="H5411" s="1">
        <v>6.8478327260356933</v>
      </c>
      <c r="I5411" s="1">
        <v>13.931224840700205</v>
      </c>
      <c r="J5411" s="1">
        <v>4.3703301417846313E-2</v>
      </c>
      <c r="K5411" s="1">
        <v>4.1561669496303759</v>
      </c>
      <c r="L5411" s="1">
        <v>2.5830564389163966</v>
      </c>
      <c r="M5411" s="1">
        <v>0.97704723647766967</v>
      </c>
      <c r="N5411" s="1">
        <v>1.8036848597107418</v>
      </c>
      <c r="O5411" s="1">
        <v>0.30715733333333334</v>
      </c>
      <c r="P5411" s="1">
        <v>0.13339355634218822</v>
      </c>
      <c r="Q5411" s="1">
        <v>1.8415829319071693</v>
      </c>
      <c r="R5411" s="2">
        <f t="shared" si="339"/>
        <v>49.173188507536885</v>
      </c>
      <c r="S5411" s="2">
        <f t="shared" si="338"/>
        <v>4.3332638073904102</v>
      </c>
      <c r="T5411" s="2">
        <f t="shared" si="340"/>
        <v>5.6709458684381415</v>
      </c>
      <c r="U5411" s="2">
        <f t="shared" si="341"/>
        <v>59.177398183365433</v>
      </c>
    </row>
    <row r="5412" spans="1:21" x14ac:dyDescent="0.25">
      <c r="A5412">
        <v>5750089</v>
      </c>
      <c r="B5412">
        <v>1</v>
      </c>
      <c r="C5412" s="1">
        <f>3.05211011522467*(10.3/7.3)</f>
        <v>4.3064019433991971</v>
      </c>
      <c r="D5412" s="1">
        <f>5.42901160963122*(10.3/7.3)</f>
        <v>7.6601122711234968</v>
      </c>
      <c r="E5412" s="1">
        <f>18.7551454569771*(10.3/7.3)</f>
        <v>26.462739480392354</v>
      </c>
      <c r="F5412" s="1">
        <f>46.8044795549408*(38.9/42.5)</f>
        <v>42.83986481616936</v>
      </c>
      <c r="G5412" s="1">
        <v>2.2542667113066028</v>
      </c>
      <c r="H5412" s="1">
        <v>6.0396366336761398</v>
      </c>
      <c r="I5412" s="1">
        <v>33.34150905753436</v>
      </c>
      <c r="J5412" s="1">
        <v>4.5572008352525291E-2</v>
      </c>
      <c r="K5412" s="1">
        <v>2.4281280911682344</v>
      </c>
      <c r="L5412" s="1">
        <v>2.7151680481054652</v>
      </c>
      <c r="M5412" s="1">
        <v>0.19592625822832654</v>
      </c>
      <c r="N5412" s="1">
        <v>2.2641409725950115</v>
      </c>
      <c r="O5412" s="1">
        <v>0.16218666666666665</v>
      </c>
      <c r="P5412" s="1">
        <v>0.11116001909559982</v>
      </c>
      <c r="Q5412" s="1">
        <v>3.6027093559694601</v>
      </c>
      <c r="R5412" s="2">
        <f t="shared" si="339"/>
        <v>126.50724026957096</v>
      </c>
      <c r="S5412" s="2">
        <f t="shared" si="338"/>
        <v>2.5848601186163593</v>
      </c>
      <c r="T5412" s="2">
        <f t="shared" si="340"/>
        <v>5.3374219455954695</v>
      </c>
      <c r="U5412" s="2">
        <f t="shared" si="341"/>
        <v>134.42952233378278</v>
      </c>
    </row>
    <row r="5413" spans="1:21" x14ac:dyDescent="0.25">
      <c r="A5413">
        <v>5750105</v>
      </c>
      <c r="B5413">
        <v>17</v>
      </c>
      <c r="C5413" s="1">
        <f>2.40355048023569*(10.3/7.3)</f>
        <v>3.3913109515654316</v>
      </c>
      <c r="D5413" s="1">
        <f>3.86277566295314*(10.3/7.3)</f>
        <v>5.450217716221549</v>
      </c>
      <c r="E5413" s="1">
        <f>13.3963592130228*(10.3/7.3)</f>
        <v>18.901712314265016</v>
      </c>
      <c r="F5413" s="1">
        <f>33.1174623004036*(38.9/42.5)</f>
        <v>30.312218434957643</v>
      </c>
      <c r="G5413" s="1">
        <v>1.5666954832366604</v>
      </c>
      <c r="H5413" s="1">
        <v>6.688730605462637</v>
      </c>
      <c r="I5413" s="1">
        <v>24.06681670543357</v>
      </c>
      <c r="J5413" s="1">
        <v>4.4095373445013304E-2</v>
      </c>
      <c r="K5413" s="1">
        <v>2.295245616178871</v>
      </c>
      <c r="L5413" s="1">
        <v>2.3247351371321932</v>
      </c>
      <c r="M5413" s="1">
        <v>0.16409190813933469</v>
      </c>
      <c r="N5413" s="1">
        <v>1.7212522562341273</v>
      </c>
      <c r="O5413" s="1">
        <v>0.13202196078431369</v>
      </c>
      <c r="P5413" s="1">
        <v>9.6687547569846502E-2</v>
      </c>
      <c r="Q5413" s="1">
        <v>2.5038512289170396</v>
      </c>
      <c r="R5413" s="2">
        <f t="shared" si="339"/>
        <v>92.881553440059548</v>
      </c>
      <c r="S5413" s="2">
        <f t="shared" si="338"/>
        <v>2.4360285371937307</v>
      </c>
      <c r="T5413" s="2">
        <f t="shared" si="340"/>
        <v>4.3421012622899688</v>
      </c>
      <c r="U5413" s="2">
        <f t="shared" si="341"/>
        <v>99.659683239543256</v>
      </c>
    </row>
    <row r="5414" spans="1:21" x14ac:dyDescent="0.25">
      <c r="A5414">
        <v>5750113</v>
      </c>
      <c r="B5414">
        <v>16</v>
      </c>
      <c r="C5414" s="1">
        <f>2.61961499955593*(10.3/7.3)</f>
        <v>3.6961691089624753</v>
      </c>
      <c r="D5414" s="1">
        <f>4.21599439049895*(10.3/7.3)</f>
        <v>5.94859482495057</v>
      </c>
      <c r="E5414" s="1">
        <f>14.5691237322026*(10.3/7.3)</f>
        <v>20.556434855025522</v>
      </c>
      <c r="F5414" s="1">
        <f>38.6396186516301*(38.9/42.5)</f>
        <v>35.366615659962577</v>
      </c>
      <c r="G5414" s="1">
        <v>1.9246700642911354</v>
      </c>
      <c r="H5414" s="1">
        <v>7.4212706953496177</v>
      </c>
      <c r="I5414" s="1">
        <v>28.51022794338656</v>
      </c>
      <c r="J5414" s="1">
        <v>3.7001797563883485E-2</v>
      </c>
      <c r="K5414" s="1">
        <v>1.9907472470766734</v>
      </c>
      <c r="L5414" s="1">
        <v>2.5981969761265069</v>
      </c>
      <c r="M5414" s="1">
        <v>0.15389784172703885</v>
      </c>
      <c r="N5414" s="1">
        <v>1.5014798173247947</v>
      </c>
      <c r="O5414" s="1">
        <v>0.12497</v>
      </c>
      <c r="P5414" s="1">
        <v>9.2002761376658151E-2</v>
      </c>
      <c r="Q5414" s="1">
        <v>3.075956723752959</v>
      </c>
      <c r="R5414" s="2">
        <f t="shared" si="339"/>
        <v>106.49993987568142</v>
      </c>
      <c r="S5414" s="2">
        <f t="shared" si="338"/>
        <v>2.1197518060172151</v>
      </c>
      <c r="T5414" s="2">
        <f t="shared" si="340"/>
        <v>4.3785446351783408</v>
      </c>
      <c r="U5414" s="2">
        <f t="shared" si="341"/>
        <v>112.99823631687698</v>
      </c>
    </row>
    <row r="5415" spans="1:21" x14ac:dyDescent="0.25">
      <c r="A5415">
        <v>5750225</v>
      </c>
      <c r="B5415">
        <v>52</v>
      </c>
      <c r="C5415" s="1">
        <f>6.90147787626366*(10.3/7.3)</f>
        <v>9.7377016610295541</v>
      </c>
      <c r="D5415" s="1">
        <f>8.64486156956467*(10.3/7.3)</f>
        <v>12.197544406372064</v>
      </c>
      <c r="E5415" s="1">
        <f>30.4003722052303*(10.3/7.3)</f>
        <v>42.893675851215349</v>
      </c>
      <c r="F5415" s="1">
        <f>69.1058511738278*(38.9/42.5)</f>
        <v>63.252179074397667</v>
      </c>
      <c r="G5415" s="1">
        <v>2.9351150131499009</v>
      </c>
      <c r="H5415" s="1">
        <v>6.5667547449407628</v>
      </c>
      <c r="I5415" s="1">
        <v>52.688522399479659</v>
      </c>
      <c r="J5415" s="1">
        <v>3.5055717440693079E-2</v>
      </c>
      <c r="K5415" s="1">
        <v>2.1867265225382693</v>
      </c>
      <c r="L5415" s="1">
        <v>2.4339957408173132</v>
      </c>
      <c r="M5415" s="1">
        <v>0.14562127221699844</v>
      </c>
      <c r="N5415" s="1">
        <v>1.5321546542816455</v>
      </c>
      <c r="O5415" s="1">
        <v>0.12806666666666666</v>
      </c>
      <c r="P5415" s="1">
        <v>9.4186329684918454E-2</v>
      </c>
      <c r="Q5415" s="1">
        <v>4.6908230803765587</v>
      </c>
      <c r="R5415" s="2">
        <f t="shared" si="339"/>
        <v>194.96231623096153</v>
      </c>
      <c r="S5415" s="2">
        <f t="shared" si="338"/>
        <v>2.3159685696638808</v>
      </c>
      <c r="T5415" s="2">
        <f t="shared" si="340"/>
        <v>4.2398383339826236</v>
      </c>
      <c r="U5415" s="2">
        <f t="shared" si="341"/>
        <v>201.51812313460803</v>
      </c>
    </row>
    <row r="5416" spans="1:21" x14ac:dyDescent="0.25">
      <c r="A5416">
        <v>5750233</v>
      </c>
      <c r="B5416">
        <v>13</v>
      </c>
      <c r="C5416" s="1">
        <f>8.7477135897665*(10.3/7.3)</f>
        <v>12.3426643800815</v>
      </c>
      <c r="D5416" s="1">
        <f>11.4344022930048*(10.3/7.3)</f>
        <v>16.133471728486274</v>
      </c>
      <c r="E5416" s="1">
        <f>40.1688912838947*(10.3/7.3)</f>
        <v>56.676654825221242</v>
      </c>
      <c r="F5416" s="1">
        <f>89.5672954522045*(38.9/42.5)</f>
        <v>81.980418660958918</v>
      </c>
      <c r="G5416" s="1">
        <v>3.7593671304252352</v>
      </c>
      <c r="H5416" s="1">
        <v>7.6189238376219164</v>
      </c>
      <c r="I5416" s="1">
        <v>67.193631486159248</v>
      </c>
      <c r="J5416" s="1">
        <v>4.1294206164671138E-2</v>
      </c>
      <c r="K5416" s="1">
        <v>2.4872990462234648</v>
      </c>
      <c r="L5416" s="1">
        <v>2.8576073013325027</v>
      </c>
      <c r="M5416" s="1">
        <v>0.16373863046121825</v>
      </c>
      <c r="N5416" s="1">
        <v>1.7672735721167474</v>
      </c>
      <c r="O5416" s="1">
        <v>0.14567384615384618</v>
      </c>
      <c r="P5416" s="1">
        <v>0.10508285284163223</v>
      </c>
      <c r="Q5416" s="1">
        <v>6.0081209846978716</v>
      </c>
      <c r="R5416" s="2">
        <f t="shared" si="339"/>
        <v>251.71325303365222</v>
      </c>
      <c r="S5416" s="2">
        <f t="shared" si="338"/>
        <v>2.6336761052297684</v>
      </c>
      <c r="T5416" s="2">
        <f t="shared" si="340"/>
        <v>4.9342933500643147</v>
      </c>
      <c r="U5416" s="2">
        <f t="shared" si="341"/>
        <v>259.2812224889463</v>
      </c>
    </row>
    <row r="5417" spans="1:21" x14ac:dyDescent="0.25">
      <c r="A5417">
        <v>5750249</v>
      </c>
      <c r="B5417">
        <v>5</v>
      </c>
      <c r="C5417" s="1">
        <f>6.62120299562769*(10.3/7.3)</f>
        <v>9.3422453225979734</v>
      </c>
      <c r="D5417" s="1">
        <f>10.056211283837*(10.3/7.3)</f>
        <v>14.18890085253714</v>
      </c>
      <c r="E5417" s="1">
        <f>35.2124876708146*(10.3/7.3)</f>
        <v>49.683373014985008</v>
      </c>
      <c r="F5417" s="1">
        <f>73.5489724452143*(38.9/42.5)</f>
        <v>67.31894183809024</v>
      </c>
      <c r="G5417" s="1">
        <v>2.9561902156077826</v>
      </c>
      <c r="H5417" s="1">
        <v>9.92878640813122</v>
      </c>
      <c r="I5417" s="1">
        <v>52.021660265377363</v>
      </c>
      <c r="J5417" s="1">
        <v>3.2728679220176728E-2</v>
      </c>
      <c r="K5417" s="1">
        <v>2.0296737350699963</v>
      </c>
      <c r="L5417" s="1">
        <v>2.2015744939810569</v>
      </c>
      <c r="M5417" s="1">
        <v>0.13083718256861282</v>
      </c>
      <c r="N5417" s="1">
        <v>1.7348769845337124</v>
      </c>
      <c r="O5417" s="1">
        <v>0.11783466666666667</v>
      </c>
      <c r="P5417" s="1">
        <v>8.7319873460844022E-2</v>
      </c>
      <c r="Q5417" s="1">
        <v>4.7245049107886983</v>
      </c>
      <c r="R5417" s="2">
        <f t="shared" si="339"/>
        <v>210.16460282811545</v>
      </c>
      <c r="S5417" s="2">
        <f t="shared" si="338"/>
        <v>2.1497222877510169</v>
      </c>
      <c r="T5417" s="2">
        <f t="shared" si="340"/>
        <v>4.1851233277500492</v>
      </c>
      <c r="U5417" s="2">
        <f t="shared" si="341"/>
        <v>216.49944844361653</v>
      </c>
    </row>
    <row r="5418" spans="1:21" x14ac:dyDescent="0.25">
      <c r="A5418">
        <v>5750257</v>
      </c>
      <c r="B5418">
        <v>1</v>
      </c>
      <c r="C5418" s="1">
        <f>8.55530800926869*(10.3/7.3)</f>
        <v>12.071188013077748</v>
      </c>
      <c r="D5418" s="1">
        <f>13.7636124509551*(10.3/7.3)</f>
        <v>19.419891540388644</v>
      </c>
      <c r="E5418" s="1">
        <f>48.0960464300408*(10.3/7.3)</f>
        <v>67.861544962934289</v>
      </c>
      <c r="F5418" s="1">
        <f>100.320484761387*(38.9/42.5)</f>
        <v>91.822749581598984</v>
      </c>
      <c r="G5418" s="1">
        <v>4.0632594172861038</v>
      </c>
      <c r="H5418" s="1">
        <v>12.730935951964721</v>
      </c>
      <c r="I5418" s="1">
        <v>69.774794217892818</v>
      </c>
      <c r="J5418" s="1">
        <v>4.0098275505713592E-2</v>
      </c>
      <c r="K5418" s="1">
        <v>2.2402738268555504</v>
      </c>
      <c r="L5418" s="1">
        <v>2.4973188124779542</v>
      </c>
      <c r="M5418" s="1">
        <v>0.1418638253150761</v>
      </c>
      <c r="N5418" s="1">
        <v>1.5765915375460537</v>
      </c>
      <c r="O5418" s="1">
        <v>0.12975999999999999</v>
      </c>
      <c r="P5418" s="1">
        <v>9.434506846515088E-2</v>
      </c>
      <c r="Q5418" s="1">
        <v>6.4937935892700365</v>
      </c>
      <c r="R5418" s="2">
        <f t="shared" si="339"/>
        <v>284.23815727441331</v>
      </c>
      <c r="S5418" s="2">
        <f t="shared" si="338"/>
        <v>2.3747171708264152</v>
      </c>
      <c r="T5418" s="2">
        <f t="shared" si="340"/>
        <v>4.3455341753390844</v>
      </c>
      <c r="U5418" s="2">
        <f t="shared" si="341"/>
        <v>290.95840862057884</v>
      </c>
    </row>
    <row r="5419" spans="1:21" x14ac:dyDescent="0.25">
      <c r="A5419">
        <v>5750321</v>
      </c>
      <c r="B5419">
        <v>63</v>
      </c>
      <c r="C5419" s="1">
        <f>4.42729792631815*(10.3/7.3)</f>
        <v>6.2467354302845139</v>
      </c>
      <c r="D5419" s="1">
        <f>6.52753218449471*(10.3/7.3)</f>
        <v>9.210079657574731</v>
      </c>
      <c r="E5419" s="1">
        <f>22.8321286469845*(10.3/7.3)</f>
        <v>32.215195214238335</v>
      </c>
      <c r="F5419" s="1">
        <f>50.2290497234101*(38.9/42.5)</f>
        <v>45.974353746838901</v>
      </c>
      <c r="G5419" s="1">
        <v>2.1208122417811421</v>
      </c>
      <c r="H5419" s="1">
        <v>5.0822438039509699</v>
      </c>
      <c r="I5419" s="1">
        <v>36.298014292056664</v>
      </c>
      <c r="J5419" s="1">
        <v>2.6596805264888286E-2</v>
      </c>
      <c r="K5419" s="1">
        <v>1.6866457341799701</v>
      </c>
      <c r="L5419" s="1">
        <v>1.7184532566545372</v>
      </c>
      <c r="M5419" s="1">
        <v>0.10057568784997718</v>
      </c>
      <c r="N5419" s="1">
        <v>1.1299426399409953</v>
      </c>
      <c r="O5419" s="1">
        <v>8.999619047619048E-2</v>
      </c>
      <c r="P5419" s="1">
        <v>7.0511908102115897E-2</v>
      </c>
      <c r="Q5419" s="1">
        <v>3.3894259571844785</v>
      </c>
      <c r="R5419" s="2">
        <f t="shared" si="339"/>
        <v>140.53686034390972</v>
      </c>
      <c r="S5419" s="2">
        <f t="shared" si="338"/>
        <v>1.7837544475469744</v>
      </c>
      <c r="T5419" s="2">
        <f t="shared" si="340"/>
        <v>3.0389677749217006</v>
      </c>
      <c r="U5419" s="2">
        <f t="shared" si="341"/>
        <v>145.35958256637841</v>
      </c>
    </row>
    <row r="5420" spans="1:21" x14ac:dyDescent="0.25">
      <c r="A5420">
        <v>5750329</v>
      </c>
      <c r="B5420">
        <v>10</v>
      </c>
      <c r="C5420" s="1">
        <f>7.38632155641936*(10.3/7.3)</f>
        <v>10.421796168646498</v>
      </c>
      <c r="D5420" s="1">
        <f>10.6562861974897*(10.3/7.3)</f>
        <v>15.035581895088141</v>
      </c>
      <c r="E5420" s="1">
        <f>37.3601223340119*(10.3/7.3)</f>
        <v>52.71359726579756</v>
      </c>
      <c r="F5420" s="1">
        <f>79.4106558446526*(38.9/42.5)</f>
        <v>72.68410617310559</v>
      </c>
      <c r="G5420" s="1">
        <v>3.2250713378607268</v>
      </c>
      <c r="H5420" s="1">
        <v>8.3144096750140051</v>
      </c>
      <c r="I5420" s="1">
        <v>57.269465383120917</v>
      </c>
      <c r="J5420" s="1">
        <v>3.5072624975664157E-2</v>
      </c>
      <c r="K5420" s="1">
        <v>2.1278794602052788</v>
      </c>
      <c r="L5420" s="1">
        <v>2.291080417149828</v>
      </c>
      <c r="M5420" s="1">
        <v>0.1246524558716848</v>
      </c>
      <c r="N5420" s="1">
        <v>1.4519406639925903</v>
      </c>
      <c r="O5420" s="1">
        <v>0.11547733333333335</v>
      </c>
      <c r="P5420" s="1">
        <v>8.5829000722655799E-2</v>
      </c>
      <c r="Q5420" s="1">
        <v>5.154223599320801</v>
      </c>
      <c r="R5420" s="2">
        <f t="shared" si="339"/>
        <v>224.81825149795424</v>
      </c>
      <c r="S5420" s="2">
        <f t="shared" si="338"/>
        <v>2.2487810859035986</v>
      </c>
      <c r="T5420" s="2">
        <f t="shared" si="340"/>
        <v>3.9831508703474361</v>
      </c>
      <c r="U5420" s="2">
        <f t="shared" si="341"/>
        <v>231.05018345420527</v>
      </c>
    </row>
    <row r="5421" spans="1:21" x14ac:dyDescent="0.25">
      <c r="A5421">
        <v>575861</v>
      </c>
      <c r="B5421">
        <v>5</v>
      </c>
      <c r="C5421" s="1">
        <f>1.30846824357772*(10.3/7.3)</f>
        <v>1.8461949190206246</v>
      </c>
      <c r="D5421" s="1">
        <f>1.86908502244861*(10.3/7.3)</f>
        <v>2.6372021549617362</v>
      </c>
      <c r="E5421" s="1">
        <f>6.4890789208567*(10.3/7.3)</f>
        <v>9.155823682852601</v>
      </c>
      <c r="F5421" s="1">
        <f>17.1505421031719*(38.9/42.5)</f>
        <v>15.697790301491487</v>
      </c>
      <c r="G5421" s="1">
        <v>0.8414498456330749</v>
      </c>
      <c r="H5421" s="1">
        <v>4.7987902641099742</v>
      </c>
      <c r="I5421" s="1">
        <v>12.981575598379328</v>
      </c>
      <c r="J5421" s="1">
        <v>3.9794462116696759E-2</v>
      </c>
      <c r="K5421" s="1">
        <v>4.5891075059853756</v>
      </c>
      <c r="L5421" s="1">
        <v>1.5257280728362588</v>
      </c>
      <c r="M5421" s="1">
        <v>8.8235609925575553E-2</v>
      </c>
      <c r="N5421" s="1">
        <v>1.0805130323595973</v>
      </c>
      <c r="O5421" s="1">
        <v>7.3781333333333338E-2</v>
      </c>
      <c r="P5421" s="1">
        <v>6.3753538206017507E-2</v>
      </c>
      <c r="Q5421" s="1">
        <v>1.3447828583177008</v>
      </c>
      <c r="R5421" s="2">
        <f t="shared" si="339"/>
        <v>49.30360962476653</v>
      </c>
      <c r="S5421" s="2">
        <f t="shared" si="338"/>
        <v>4.6926555063080899</v>
      </c>
      <c r="T5421" s="2">
        <f t="shared" si="340"/>
        <v>2.7682580484547645</v>
      </c>
      <c r="U5421" s="2">
        <f t="shared" si="341"/>
        <v>56.764523179529384</v>
      </c>
    </row>
    <row r="5422" spans="1:21" x14ac:dyDescent="0.25">
      <c r="A5422">
        <v>575893</v>
      </c>
      <c r="B5422">
        <v>24</v>
      </c>
      <c r="C5422" s="1">
        <f>1.20348848061017*(10.3/7.3)</f>
        <v>1.6980727877102437</v>
      </c>
      <c r="D5422" s="1">
        <f>1.96727823110789*(10.3/7.3)</f>
        <v>2.7757487370426399</v>
      </c>
      <c r="E5422" s="1">
        <f>6.73620343922214*(10.3/7.3)</f>
        <v>9.5045062224641228</v>
      </c>
      <c r="F5422" s="1">
        <f>20.8491944344506*(38.9/42.5)</f>
        <v>19.083145023532442</v>
      </c>
      <c r="G5422" s="1">
        <v>1.1421635886443628</v>
      </c>
      <c r="H5422" s="1">
        <v>5.1757077060475405</v>
      </c>
      <c r="I5422" s="1">
        <v>15.806403765155499</v>
      </c>
      <c r="J5422" s="1">
        <v>2.7460953915777978E-2</v>
      </c>
      <c r="K5422" s="1">
        <v>3.2856974616544803</v>
      </c>
      <c r="L5422" s="1">
        <v>1.3119015984816775</v>
      </c>
      <c r="M5422" s="1">
        <v>7.7166613345885315E-2</v>
      </c>
      <c r="N5422" s="1">
        <v>0.89318714827706458</v>
      </c>
      <c r="O5422" s="1">
        <v>6.8386666666666665E-2</v>
      </c>
      <c r="P5422" s="1">
        <v>5.9099246214219719E-2</v>
      </c>
      <c r="Q5422" s="1">
        <v>1.825375598290079</v>
      </c>
      <c r="R5422" s="2">
        <f t="shared" si="339"/>
        <v>57.011123428886933</v>
      </c>
      <c r="S5422" s="2">
        <f t="shared" si="338"/>
        <v>3.3722576617844782</v>
      </c>
      <c r="T5422" s="2">
        <f t="shared" si="340"/>
        <v>2.3506420267712937</v>
      </c>
      <c r="U5422" s="2">
        <f t="shared" si="341"/>
        <v>62.73402311744271</v>
      </c>
    </row>
    <row r="5423" spans="1:21" x14ac:dyDescent="0.25">
      <c r="A5423">
        <v>575901</v>
      </c>
      <c r="B5423">
        <v>9</v>
      </c>
      <c r="C5423" s="1">
        <f>1.05839409450481*(10.3/7.3)</f>
        <v>1.4933505716985693</v>
      </c>
      <c r="D5423" s="1">
        <f>2.01349176946888*(10.3/7.3)</f>
        <v>2.8409541404834844</v>
      </c>
      <c r="E5423" s="1">
        <f>6.78861786432806*(10.3/7.3)</f>
        <v>9.5784608222710972</v>
      </c>
      <c r="F5423" s="1">
        <f>24.7239940313832*(38.9/42.5)</f>
        <v>22.62972630166605</v>
      </c>
      <c r="G5423" s="1">
        <v>1.4759611306431539</v>
      </c>
      <c r="H5423" s="1">
        <v>7.1981480729871476</v>
      </c>
      <c r="I5423" s="1">
        <v>18.851494210699279</v>
      </c>
      <c r="J5423" s="1">
        <v>2.5350785113959082E-2</v>
      </c>
      <c r="K5423" s="1">
        <v>2.9537986388749604</v>
      </c>
      <c r="L5423" s="1">
        <v>1.1765281990278151</v>
      </c>
      <c r="M5423" s="1">
        <v>6.9428877217541568E-2</v>
      </c>
      <c r="N5423" s="1">
        <v>0.82142610081769918</v>
      </c>
      <c r="O5423" s="1">
        <v>6.3099259259259244E-2</v>
      </c>
      <c r="P5423" s="1">
        <v>5.5272256135996907E-2</v>
      </c>
      <c r="Q5423" s="1">
        <v>2.3588419896123489</v>
      </c>
      <c r="R5423" s="2">
        <f t="shared" si="339"/>
        <v>66.426937240061122</v>
      </c>
      <c r="S5423" s="2">
        <f t="shared" si="338"/>
        <v>3.0344216801249164</v>
      </c>
      <c r="T5423" s="2">
        <f t="shared" si="340"/>
        <v>2.1304824363223149</v>
      </c>
      <c r="U5423" s="2">
        <f t="shared" si="341"/>
        <v>71.591841356508354</v>
      </c>
    </row>
    <row r="5424" spans="1:21" x14ac:dyDescent="0.25">
      <c r="A5424">
        <v>575909</v>
      </c>
      <c r="B5424">
        <v>4</v>
      </c>
      <c r="C5424" s="1">
        <f>1.53302516423069*(10.3/7.3)</f>
        <v>2.1630355056953556</v>
      </c>
      <c r="D5424" s="1">
        <f>4.05099497192329*(10.3/7.3)</f>
        <v>5.715787426138343</v>
      </c>
      <c r="E5424" s="1">
        <f>13.0658792917365*(10.3/7.3)</f>
        <v>18.435418726696746</v>
      </c>
      <c r="F5424" s="1">
        <f>72.4519948952931*(38.9/42.5)</f>
        <v>66.314884739456545</v>
      </c>
      <c r="G5424" s="1">
        <v>4.9766076029118755</v>
      </c>
      <c r="H5424" s="1">
        <v>3.3710947356182044</v>
      </c>
      <c r="I5424" s="1">
        <v>57.112321414595186</v>
      </c>
      <c r="J5424" s="1">
        <v>2.5919610150968414E-2</v>
      </c>
      <c r="K5424" s="1">
        <v>2.6091358114903054</v>
      </c>
      <c r="L5424" s="1">
        <v>1.0486507231424695</v>
      </c>
      <c r="M5424" s="1">
        <v>6.2780420674344986E-2</v>
      </c>
      <c r="N5424" s="1">
        <v>0.78777275539954239</v>
      </c>
      <c r="O5424" s="1">
        <v>5.6493333333333333E-2</v>
      </c>
      <c r="P5424" s="1">
        <v>5.0971636791506611E-2</v>
      </c>
      <c r="Q5424" s="1">
        <v>7.9534824704071152</v>
      </c>
      <c r="R5424" s="2">
        <f t="shared" si="339"/>
        <v>166.04263262151937</v>
      </c>
      <c r="S5424" s="2">
        <f t="shared" si="338"/>
        <v>2.6860270584327806</v>
      </c>
      <c r="T5424" s="2">
        <f t="shared" si="340"/>
        <v>1.9556972325496902</v>
      </c>
      <c r="U5424" s="2">
        <f t="shared" si="341"/>
        <v>170.68435691250184</v>
      </c>
    </row>
    <row r="5425" spans="1:21" x14ac:dyDescent="0.25">
      <c r="A5425">
        <v>5761869</v>
      </c>
      <c r="B5425">
        <v>40</v>
      </c>
      <c r="C5425" s="1">
        <f>0.554262878291355*(10.3/7.3)</f>
        <v>0.78204214334259736</v>
      </c>
      <c r="D5425" s="1">
        <f>1.01162220634674*(10.3/7.3)</f>
        <v>1.4273573596399236</v>
      </c>
      <c r="E5425" s="1">
        <f>3.43503073804076*(10.3/7.3)</f>
        <v>4.8466872057287489</v>
      </c>
      <c r="F5425" s="1">
        <f>11.4713695510557*(38.9/42.5)</f>
        <v>10.499677071436851</v>
      </c>
      <c r="G5425" s="1">
        <v>0.65777431843564527</v>
      </c>
      <c r="H5425" s="1">
        <v>6.6047188765572127</v>
      </c>
      <c r="I5425" s="1">
        <v>8.6630116135984174</v>
      </c>
      <c r="J5425" s="1">
        <v>5.0720923951721918E-2</v>
      </c>
      <c r="K5425" s="1">
        <v>4.9916141329977766</v>
      </c>
      <c r="L5425" s="1">
        <v>2.2551325452573954</v>
      </c>
      <c r="M5425" s="1">
        <v>1.0579713832606061</v>
      </c>
      <c r="N5425" s="1">
        <v>1.6759987235917557</v>
      </c>
      <c r="O5425" s="1">
        <v>0.372892</v>
      </c>
      <c r="P5425" s="1">
        <v>0.12823807003740106</v>
      </c>
      <c r="Q5425" s="1">
        <v>1.051237495216786</v>
      </c>
      <c r="R5425" s="2">
        <f t="shared" si="339"/>
        <v>34.532506083956186</v>
      </c>
      <c r="S5425" s="2">
        <f t="shared" si="338"/>
        <v>5.1705731269869002</v>
      </c>
      <c r="T5425" s="2">
        <f t="shared" si="340"/>
        <v>5.3619946521097575</v>
      </c>
      <c r="U5425" s="2">
        <f t="shared" si="341"/>
        <v>45.065073863052845</v>
      </c>
    </row>
    <row r="5426" spans="1:21" x14ac:dyDescent="0.25">
      <c r="A5426">
        <v>5761885</v>
      </c>
      <c r="B5426">
        <v>6</v>
      </c>
      <c r="C5426" s="1">
        <f>0.537693939130016*(10.3/7.3)</f>
        <v>0.75866405110125501</v>
      </c>
      <c r="D5426" s="1">
        <f>0.967331525763687*(10.3/7.3)</f>
        <v>1.3648650295021885</v>
      </c>
      <c r="E5426" s="1">
        <f>3.29033130900356*(10.3/7.3)</f>
        <v>4.6425222579091265</v>
      </c>
      <c r="F5426" s="1">
        <f>10.7706657239633*(38.9/42.5)</f>
        <v>9.858326980286412</v>
      </c>
      <c r="G5426" s="1">
        <v>0.6112056316495984</v>
      </c>
      <c r="H5426" s="1">
        <v>6.7232106353185728</v>
      </c>
      <c r="I5426" s="1">
        <v>8.1215357596077844</v>
      </c>
      <c r="J5426" s="1">
        <v>4.9433323771594012E-2</v>
      </c>
      <c r="K5426" s="1">
        <v>5.102046762368583</v>
      </c>
      <c r="L5426" s="1">
        <v>2.4496714657411025</v>
      </c>
      <c r="M5426" s="1">
        <v>1.0444472830683873</v>
      </c>
      <c r="N5426" s="1">
        <v>2.0487957193862503</v>
      </c>
      <c r="O5426" s="1">
        <v>0.34032000000000001</v>
      </c>
      <c r="P5426" s="1">
        <v>0.12979354269182064</v>
      </c>
      <c r="Q5426" s="1">
        <v>0.9768126533212772</v>
      </c>
      <c r="R5426" s="2">
        <f t="shared" si="339"/>
        <v>33.057142998696207</v>
      </c>
      <c r="S5426" s="2">
        <f t="shared" si="338"/>
        <v>5.2812736288319977</v>
      </c>
      <c r="T5426" s="2">
        <f t="shared" si="340"/>
        <v>5.8832344681957398</v>
      </c>
      <c r="U5426" s="2">
        <f t="shared" si="341"/>
        <v>44.221651095723942</v>
      </c>
    </row>
    <row r="5427" spans="1:21" x14ac:dyDescent="0.25">
      <c r="A5427">
        <v>5761909</v>
      </c>
      <c r="B5427">
        <v>11</v>
      </c>
      <c r="C5427" s="1">
        <f>0.583533705253827*(10.3/7.3)</f>
        <v>0.82334207727594788</v>
      </c>
      <c r="D5427" s="1">
        <f>1.20076724105222*(10.3/7.3)</f>
        <v>1.6942332305257379</v>
      </c>
      <c r="E5427" s="1">
        <f>4.02375859888736*(10.3/7.3)</f>
        <v>5.677358023087649</v>
      </c>
      <c r="F5427" s="1">
        <f>15.4624463843245*(38.9/42.5)</f>
        <v>14.152686220005211</v>
      </c>
      <c r="G5427" s="1">
        <v>0.94632187182529504</v>
      </c>
      <c r="H5427" s="1">
        <v>6.0268110325731756</v>
      </c>
      <c r="I5427" s="1">
        <v>11.785516066647574</v>
      </c>
      <c r="J5427" s="1">
        <v>4.299985538405874E-2</v>
      </c>
      <c r="K5427" s="1">
        <v>4.0616881986751601</v>
      </c>
      <c r="L5427" s="1">
        <v>2.5958838997527205</v>
      </c>
      <c r="M5427" s="1">
        <v>0.95310858255712783</v>
      </c>
      <c r="N5427" s="1">
        <v>1.7983786090755245</v>
      </c>
      <c r="O5427" s="1">
        <v>0.3007515151515151</v>
      </c>
      <c r="P5427" s="1">
        <v>0.13354230496806238</v>
      </c>
      <c r="Q5427" s="1">
        <v>1.5123865531454508</v>
      </c>
      <c r="R5427" s="2">
        <f t="shared" si="339"/>
        <v>42.618655075086046</v>
      </c>
      <c r="S5427" s="2">
        <f t="shared" si="338"/>
        <v>4.2382303590272814</v>
      </c>
      <c r="T5427" s="2">
        <f t="shared" si="340"/>
        <v>5.6481226065368881</v>
      </c>
      <c r="U5427" s="2">
        <f t="shared" si="341"/>
        <v>52.505008040650218</v>
      </c>
    </row>
    <row r="5428" spans="1:21" x14ac:dyDescent="0.25">
      <c r="A5428">
        <v>5762341</v>
      </c>
      <c r="B5428">
        <v>1</v>
      </c>
      <c r="C5428" s="1">
        <f>2.4590536149546*(10.3/7.3)</f>
        <v>3.4696235937030728</v>
      </c>
      <c r="D5428" s="1">
        <f>3.91887493180217*(10.3/7.3)</f>
        <v>5.5293714791181285</v>
      </c>
      <c r="E5428" s="1">
        <f>13.5806707850332*(10.3/7.3)</f>
        <v>19.161768367923511</v>
      </c>
      <c r="F5428" s="1">
        <f>34.3022603985345*(38.9/42.5)</f>
        <v>31.396657164776308</v>
      </c>
      <c r="G5428" s="1">
        <v>1.6480502944154887</v>
      </c>
      <c r="H5428" s="1">
        <v>6.9902579725695473</v>
      </c>
      <c r="I5428" s="1">
        <v>25.09692386682185</v>
      </c>
      <c r="J5428" s="1">
        <v>3.4683947511502951E-2</v>
      </c>
      <c r="K5428" s="1">
        <v>1.9190600371445474</v>
      </c>
      <c r="L5428" s="1">
        <v>2.4748209948455311</v>
      </c>
      <c r="M5428" s="1">
        <v>0.14008098303808023</v>
      </c>
      <c r="N5428" s="1">
        <v>1.4252645221447335</v>
      </c>
      <c r="O5428" s="1">
        <v>0.12047999999999999</v>
      </c>
      <c r="P5428" s="1">
        <v>8.9204125797611805E-2</v>
      </c>
      <c r="Q5428" s="1">
        <v>2.6338703335407381</v>
      </c>
      <c r="R5428" s="2">
        <f t="shared" si="339"/>
        <v>95.926523072868648</v>
      </c>
      <c r="S5428" s="2">
        <f t="shared" si="338"/>
        <v>2.0429481104536622</v>
      </c>
      <c r="T5428" s="2">
        <f t="shared" si="340"/>
        <v>4.1606465000283448</v>
      </c>
      <c r="U5428" s="2">
        <f t="shared" si="341"/>
        <v>102.13011768335066</v>
      </c>
    </row>
    <row r="5429" spans="1:21" x14ac:dyDescent="0.25">
      <c r="A5429">
        <v>5762453</v>
      </c>
      <c r="B5429">
        <v>21</v>
      </c>
      <c r="C5429" s="1">
        <f>7.7192745405967*(10.3/7.3)</f>
        <v>10.891579146321366</v>
      </c>
      <c r="D5429" s="1">
        <f>9.59693091493488*(10.3/7.3)</f>
        <v>13.54087512655196</v>
      </c>
      <c r="E5429" s="1">
        <f>33.7275515935277*(10.3/7.3)</f>
        <v>47.58818923470352</v>
      </c>
      <c r="F5429" s="1">
        <f>78.30820859549*(38.9/42.5)</f>
        <v>71.675042690930852</v>
      </c>
      <c r="G5429" s="1">
        <v>3.3898559301706475</v>
      </c>
      <c r="H5429" s="1">
        <v>10.001758552637895</v>
      </c>
      <c r="I5429" s="1">
        <v>60.054784878989665</v>
      </c>
      <c r="J5429" s="1">
        <v>3.7322816133849232E-2</v>
      </c>
      <c r="K5429" s="1">
        <v>2.2818919333889069</v>
      </c>
      <c r="L5429" s="1">
        <v>2.5681060021798041</v>
      </c>
      <c r="M5429" s="1">
        <v>0.1529402032558273</v>
      </c>
      <c r="N5429" s="1">
        <v>1.6093656534388021</v>
      </c>
      <c r="O5429" s="1">
        <v>0.13477587301587302</v>
      </c>
      <c r="P5429" s="1">
        <v>9.7898347070772232E-2</v>
      </c>
      <c r="Q5429" s="1">
        <v>5.4175779705923652</v>
      </c>
      <c r="R5429" s="2">
        <f t="shared" si="339"/>
        <v>222.55966353089829</v>
      </c>
      <c r="S5429" s="2">
        <f t="shared" si="338"/>
        <v>2.4171130965935284</v>
      </c>
      <c r="T5429" s="2">
        <f t="shared" si="340"/>
        <v>4.4651877318903068</v>
      </c>
      <c r="U5429" s="2">
        <f t="shared" si="341"/>
        <v>229.44196435938213</v>
      </c>
    </row>
    <row r="5430" spans="1:21" x14ac:dyDescent="0.25">
      <c r="A5430">
        <v>5762461</v>
      </c>
      <c r="B5430">
        <v>35</v>
      </c>
      <c r="C5430" s="1">
        <f>8.73101159488071*(10.3/7.3)</f>
        <v>12.319098551680996</v>
      </c>
      <c r="D5430" s="1">
        <f>11.2184443612437*(10.3/7.3)</f>
        <v>15.828763961754746</v>
      </c>
      <c r="E5430" s="1">
        <f>39.4220256487618*(10.3/7.3)</f>
        <v>55.622858107157079</v>
      </c>
      <c r="F5430" s="1">
        <f>88.7986260936492*(38.9/42.5)</f>
        <v>81.276860118657765</v>
      </c>
      <c r="G5430" s="1">
        <v>3.7540047415036732</v>
      </c>
      <c r="H5430" s="1">
        <v>7.6033391550885865</v>
      </c>
      <c r="I5430" s="1">
        <v>67.084400124829415</v>
      </c>
      <c r="J5430" s="1">
        <v>4.1298495997041079E-2</v>
      </c>
      <c r="K5430" s="1">
        <v>2.4903391955617971</v>
      </c>
      <c r="L5430" s="1">
        <v>2.8588060448091572</v>
      </c>
      <c r="M5430" s="1">
        <v>0.16552258969457806</v>
      </c>
      <c r="N5430" s="1">
        <v>1.7583353526866325</v>
      </c>
      <c r="O5430" s="1">
        <v>0.1468388571428571</v>
      </c>
      <c r="P5430" s="1">
        <v>0.10513742968097466</v>
      </c>
      <c r="Q5430" s="1">
        <v>5.9995509567410377</v>
      </c>
      <c r="R5430" s="2">
        <f t="shared" si="339"/>
        <v>249.48887571741329</v>
      </c>
      <c r="S5430" s="2">
        <f t="shared" si="338"/>
        <v>2.6367751212398129</v>
      </c>
      <c r="T5430" s="2">
        <f t="shared" si="340"/>
        <v>4.9295028443332249</v>
      </c>
      <c r="U5430" s="2">
        <f t="shared" si="341"/>
        <v>257.05515368298632</v>
      </c>
    </row>
    <row r="5431" spans="1:21" x14ac:dyDescent="0.25">
      <c r="A5431">
        <v>5762477</v>
      </c>
      <c r="B5431">
        <v>7</v>
      </c>
      <c r="C5431" s="1">
        <f>7.36953640170578*(10.3/7.3)</f>
        <v>10.398113005146513</v>
      </c>
      <c r="D5431" s="1">
        <f>10.6967175031787*(10.3/7.3)</f>
        <v>15.092628805854948</v>
      </c>
      <c r="E5431" s="1">
        <f>37.47227671753*(10.3/7.3)</f>
        <v>52.871842491857429</v>
      </c>
      <c r="F5431" s="1">
        <f>80.6955396101692*(38.9/42.5)</f>
        <v>73.860152725543102</v>
      </c>
      <c r="G5431" s="1">
        <v>3.3259898938357226</v>
      </c>
      <c r="H5431" s="1">
        <v>10.413646479215471</v>
      </c>
      <c r="I5431" s="1">
        <v>58.275920421382224</v>
      </c>
      <c r="J5431" s="1">
        <v>3.6713411251383977E-2</v>
      </c>
      <c r="K5431" s="1">
        <v>2.2476685952136277</v>
      </c>
      <c r="L5431" s="1">
        <v>2.5103049244405251</v>
      </c>
      <c r="M5431" s="1">
        <v>0.14558770680320299</v>
      </c>
      <c r="N5431" s="1">
        <v>1.760441978272663</v>
      </c>
      <c r="O5431" s="1">
        <v>0.13054476190476191</v>
      </c>
      <c r="P5431" s="1">
        <v>9.5579558721153798E-2</v>
      </c>
      <c r="Q5431" s="1">
        <v>5.3155089627511609</v>
      </c>
      <c r="R5431" s="2">
        <f t="shared" si="339"/>
        <v>229.55380278558653</v>
      </c>
      <c r="S5431" s="2">
        <f t="shared" si="338"/>
        <v>2.3799615651861652</v>
      </c>
      <c r="T5431" s="2">
        <f t="shared" si="340"/>
        <v>4.5468793714211531</v>
      </c>
      <c r="U5431" s="2">
        <f t="shared" si="341"/>
        <v>236.48064372219383</v>
      </c>
    </row>
    <row r="5432" spans="1:21" x14ac:dyDescent="0.25">
      <c r="A5432">
        <v>5762549</v>
      </c>
      <c r="B5432">
        <v>39</v>
      </c>
      <c r="C5432" s="1">
        <f>5.17503608310262*(10.3/7.3)</f>
        <v>7.3017632405420487</v>
      </c>
      <c r="D5432" s="1">
        <f>7.87590970106468*(10.3/7.3)</f>
        <v>11.112584920680305</v>
      </c>
      <c r="E5432" s="1">
        <f>27.4906212047439*(10.3/7.3)</f>
        <v>38.78813676833726</v>
      </c>
      <c r="F5432" s="1">
        <f>61.7322040454468*(38.9/42.5)</f>
        <v>56.503123232185402</v>
      </c>
      <c r="G5432" s="1">
        <v>2.6712038475891</v>
      </c>
      <c r="H5432" s="1">
        <v>6.711712225538534</v>
      </c>
      <c r="I5432" s="1">
        <v>44.44660342618397</v>
      </c>
      <c r="J5432" s="1">
        <v>3.0678363164688804E-2</v>
      </c>
      <c r="K5432" s="1">
        <v>1.8787862875683408</v>
      </c>
      <c r="L5432" s="1">
        <v>1.9673334825430395</v>
      </c>
      <c r="M5432" s="1">
        <v>0.11232798273776418</v>
      </c>
      <c r="N5432" s="1">
        <v>1.2935368881866349</v>
      </c>
      <c r="O5432" s="1">
        <v>0.10206495726495726</v>
      </c>
      <c r="P5432" s="1">
        <v>7.7932586855259708E-2</v>
      </c>
      <c r="Q5432" s="1">
        <v>4.2690472450054173</v>
      </c>
      <c r="R5432" s="2">
        <f t="shared" si="339"/>
        <v>171.80417490606203</v>
      </c>
      <c r="S5432" s="2">
        <f t="shared" si="338"/>
        <v>1.9873972375882891</v>
      </c>
      <c r="T5432" s="2">
        <f t="shared" si="340"/>
        <v>3.4752633107323962</v>
      </c>
      <c r="U5432" s="2">
        <f t="shared" si="341"/>
        <v>177.26683545438271</v>
      </c>
    </row>
    <row r="5433" spans="1:21" x14ac:dyDescent="0.25">
      <c r="A5433">
        <v>5762557</v>
      </c>
      <c r="B5433">
        <v>48</v>
      </c>
      <c r="C5433" s="1">
        <f>5.07174829436803*(10.3/7.3)</f>
        <v>7.1560284153411873</v>
      </c>
      <c r="D5433" s="1">
        <f>7.39914815780521*(10.3/7.3)</f>
        <v>10.439893976081327</v>
      </c>
      <c r="E5433" s="1">
        <f>25.9134133745561*(10.3/7.3)</f>
        <v>36.562761336702472</v>
      </c>
      <c r="F5433" s="1">
        <f>55.8954537528396*(38.9/42.5)</f>
        <v>51.1607800231873</v>
      </c>
      <c r="G5433" s="1">
        <v>2.3096353715071669</v>
      </c>
      <c r="H5433" s="1">
        <v>5.6037252438081291</v>
      </c>
      <c r="I5433" s="1">
        <v>40.322829921355506</v>
      </c>
      <c r="J5433" s="1">
        <v>2.8629072550108898E-2</v>
      </c>
      <c r="K5433" s="1">
        <v>1.8053783602592528</v>
      </c>
      <c r="L5433" s="1">
        <v>1.8718417271507215</v>
      </c>
      <c r="M5433" s="1">
        <v>0.10733611693106186</v>
      </c>
      <c r="N5433" s="1">
        <v>1.211685278533579</v>
      </c>
      <c r="O5433" s="1">
        <v>9.7325555555555568E-2</v>
      </c>
      <c r="P5433" s="1">
        <v>7.4930851774321711E-2</v>
      </c>
      <c r="Q5433" s="1">
        <v>3.6911980823173924</v>
      </c>
      <c r="R5433" s="2">
        <f t="shared" si="339"/>
        <v>157.24685237030047</v>
      </c>
      <c r="S5433" s="2">
        <f t="shared" si="338"/>
        <v>1.9089382845836833</v>
      </c>
      <c r="T5433" s="2">
        <f t="shared" si="340"/>
        <v>3.288188678170918</v>
      </c>
      <c r="U5433" s="2">
        <f t="shared" si="341"/>
        <v>162.44397933305507</v>
      </c>
    </row>
    <row r="5434" spans="1:21" x14ac:dyDescent="0.25">
      <c r="A5434">
        <v>5774025</v>
      </c>
      <c r="B5434">
        <v>3</v>
      </c>
      <c r="C5434" s="1">
        <f>0.479410571407034*(10.3/7.3)</f>
        <v>0.67642861445102009</v>
      </c>
      <c r="D5434" s="1">
        <f>0.754933365677136*(10.3/7.3)</f>
        <v>1.0651799543115754</v>
      </c>
      <c r="E5434" s="1">
        <f>2.60487156904122*(10.3/7.3)</f>
        <v>3.6753667344006207</v>
      </c>
      <c r="F5434" s="1">
        <f>7.21371889840793*(38.9/42.5)</f>
        <v>6.6026744740722023</v>
      </c>
      <c r="G5434" s="1">
        <v>0.36902306722610706</v>
      </c>
      <c r="H5434" s="1">
        <v>1.4692642177808362</v>
      </c>
      <c r="I5434" s="1">
        <v>5.3939270209687811</v>
      </c>
      <c r="J5434" s="1">
        <v>3.3541111299558807E-2</v>
      </c>
      <c r="K5434" s="1">
        <v>14.043509603407083</v>
      </c>
      <c r="L5434" s="1">
        <v>1.7737491921844633</v>
      </c>
      <c r="M5434" s="1">
        <v>0.66454511628396062</v>
      </c>
      <c r="N5434" s="1">
        <v>1.1147754022880818</v>
      </c>
      <c r="O5434" s="1">
        <v>1.3304888888888888</v>
      </c>
      <c r="P5434" s="1">
        <v>0.12515032470250162</v>
      </c>
      <c r="Q5434" s="1">
        <v>0.58976289282711236</v>
      </c>
      <c r="R5434" s="2">
        <f t="shared" si="339"/>
        <v>19.841626976038256</v>
      </c>
      <c r="S5434" s="2">
        <f t="shared" si="338"/>
        <v>14.202201039409143</v>
      </c>
      <c r="T5434" s="2">
        <f t="shared" si="340"/>
        <v>4.8835585996453945</v>
      </c>
      <c r="U5434" s="2">
        <f t="shared" si="341"/>
        <v>38.9273866150928</v>
      </c>
    </row>
    <row r="5435" spans="1:21" x14ac:dyDescent="0.25">
      <c r="A5435">
        <v>5774097</v>
      </c>
      <c r="B5435">
        <v>17</v>
      </c>
      <c r="C5435" s="1">
        <f>0.521293688263305*(10.3/7.3)</f>
        <v>0.73552397111123846</v>
      </c>
      <c r="D5435" s="1">
        <f>0.969667128366231*(10.3/7.3)</f>
        <v>1.3681604687907098</v>
      </c>
      <c r="E5435" s="1">
        <f>3.28494176938591*(10.3/7.3)</f>
        <v>4.6349178389965555</v>
      </c>
      <c r="F5435" s="1">
        <f>11.2648952828555*(38.9/42.5)</f>
        <v>10.310692388307725</v>
      </c>
      <c r="G5435" s="1">
        <v>0.65456225503151932</v>
      </c>
      <c r="H5435" s="1">
        <v>7.6278915332864514</v>
      </c>
      <c r="I5435" s="1">
        <v>8.5248102119109426</v>
      </c>
      <c r="J5435" s="1">
        <v>4.6644290901996462E-2</v>
      </c>
      <c r="K5435" s="1">
        <v>5.2257309123734297</v>
      </c>
      <c r="L5435" s="1">
        <v>2.1734912725502094</v>
      </c>
      <c r="M5435" s="1">
        <v>1.0242527185085208</v>
      </c>
      <c r="N5435" s="1">
        <v>1.7165976453067866</v>
      </c>
      <c r="O5435" s="1">
        <v>0.38854588235294119</v>
      </c>
      <c r="P5435" s="1">
        <v>0.12824406796632043</v>
      </c>
      <c r="Q5435" s="1">
        <v>1.0461040605526575</v>
      </c>
      <c r="R5435" s="2">
        <f t="shared" si="339"/>
        <v>34.902662727987796</v>
      </c>
      <c r="S5435" s="2">
        <f t="shared" si="338"/>
        <v>5.4006192712417462</v>
      </c>
      <c r="T5435" s="2">
        <f t="shared" si="340"/>
        <v>5.3028875187184585</v>
      </c>
      <c r="U5435" s="2">
        <f t="shared" si="341"/>
        <v>45.606169517947997</v>
      </c>
    </row>
    <row r="5436" spans="1:21" x14ac:dyDescent="0.25">
      <c r="A5436">
        <v>5774105</v>
      </c>
      <c r="B5436">
        <v>2</v>
      </c>
      <c r="C5436" s="1">
        <f>0.537096501419871*(10.3/7.3)</f>
        <v>0.75782109104447581</v>
      </c>
      <c r="D5436" s="1">
        <f>0.970035460298132*(10.3/7.3)</f>
        <v>1.3686801700096927</v>
      </c>
      <c r="E5436" s="1">
        <f>3.29784952361826*(10.3/7.3)</f>
        <v>4.6531301497627462</v>
      </c>
      <c r="F5436" s="1">
        <f>10.8610245292051*(38.9/42.5)</f>
        <v>9.9410318632018253</v>
      </c>
      <c r="G5436" s="1">
        <v>0.61828709775841495</v>
      </c>
      <c r="H5436" s="1">
        <v>6.1135365257455909</v>
      </c>
      <c r="I5436" s="1">
        <v>8.1939979574978175</v>
      </c>
      <c r="J5436" s="1">
        <v>5.1885895543266225E-2</v>
      </c>
      <c r="K5436" s="1">
        <v>4.9924106452017281</v>
      </c>
      <c r="L5436" s="1">
        <v>2.2628729624683293</v>
      </c>
      <c r="M5436" s="1">
        <v>1.0384718837714826</v>
      </c>
      <c r="N5436" s="1">
        <v>1.7085514736496126</v>
      </c>
      <c r="O5436" s="1">
        <v>0.36365333333333333</v>
      </c>
      <c r="P5436" s="1">
        <v>0.12852082292385811</v>
      </c>
      <c r="Q5436" s="1">
        <v>0.98813006491070987</v>
      </c>
      <c r="R5436" s="2">
        <f t="shared" si="339"/>
        <v>32.634614919931273</v>
      </c>
      <c r="S5436" s="2">
        <f t="shared" si="338"/>
        <v>5.1728173636688526</v>
      </c>
      <c r="T5436" s="2">
        <f t="shared" si="340"/>
        <v>5.3735496532227582</v>
      </c>
      <c r="U5436" s="2">
        <f t="shared" si="341"/>
        <v>43.180981936822889</v>
      </c>
    </row>
    <row r="5437" spans="1:21" x14ac:dyDescent="0.25">
      <c r="A5437">
        <v>5774569</v>
      </c>
      <c r="B5437">
        <v>4</v>
      </c>
      <c r="C5437" s="1">
        <f>2.36794436415757*(10.3/7.3)</f>
        <v>3.3410721850442489</v>
      </c>
      <c r="D5437" s="1">
        <f>3.88434665016222*(10.3/7.3)</f>
        <v>5.4806534926946435</v>
      </c>
      <c r="E5437" s="1">
        <f>13.4606799089571*(10.3/7.3)</f>
        <v>18.992466172912124</v>
      </c>
      <c r="F5437" s="1">
        <f>33.3174394840629*(38.9/42.5)</f>
        <v>30.495256374824599</v>
      </c>
      <c r="G5437" s="1">
        <v>1.5812591936164238</v>
      </c>
      <c r="H5437" s="1">
        <v>7.1926429042597517</v>
      </c>
      <c r="I5437" s="1">
        <v>24.106904879919146</v>
      </c>
      <c r="J5437" s="1">
        <v>3.7626609317133894E-2</v>
      </c>
      <c r="K5437" s="1">
        <v>2.0385620634690578</v>
      </c>
      <c r="L5437" s="1">
        <v>2.5172480976836926</v>
      </c>
      <c r="M5437" s="1">
        <v>0.16059096991280225</v>
      </c>
      <c r="N5437" s="1">
        <v>1.67825097373466</v>
      </c>
      <c r="O5437" s="1">
        <v>0.12991999999999998</v>
      </c>
      <c r="P5437" s="1">
        <v>9.50338977931659E-2</v>
      </c>
      <c r="Q5437" s="1">
        <v>2.5271265651404056</v>
      </c>
      <c r="R5437" s="2">
        <f t="shared" si="339"/>
        <v>93.717381768411343</v>
      </c>
      <c r="S5437" s="2">
        <f t="shared" si="338"/>
        <v>2.1712225705793577</v>
      </c>
      <c r="T5437" s="2">
        <f t="shared" si="340"/>
        <v>4.4860100413311548</v>
      </c>
      <c r="U5437" s="2">
        <f t="shared" si="341"/>
        <v>100.37461438032186</v>
      </c>
    </row>
    <row r="5438" spans="1:21" x14ac:dyDescent="0.25">
      <c r="A5438">
        <v>5774689</v>
      </c>
      <c r="B5438">
        <v>6</v>
      </c>
      <c r="C5438" s="1">
        <f>10.3960799761916*(10.3/7.3)</f>
        <v>14.668441610242906</v>
      </c>
      <c r="D5438" s="1">
        <f>13.1753437071617*(10.3/7.3)</f>
        <v>18.589868518324007</v>
      </c>
      <c r="E5438" s="1">
        <f>46.3019655018959*(10.3/7.3)</f>
        <v>65.330170502675031</v>
      </c>
      <c r="F5438" s="1">
        <f>105.556833217929*(38.9/42.5)</f>
        <v>96.615548521821808</v>
      </c>
      <c r="G5438" s="1">
        <v>4.5047780996767122</v>
      </c>
      <c r="H5438" s="1">
        <v>8.8455931416465532</v>
      </c>
      <c r="I5438" s="1">
        <v>80.24388839221254</v>
      </c>
      <c r="J5438" s="1">
        <v>4.7117948921405174E-2</v>
      </c>
      <c r="K5438" s="1">
        <v>2.7601388736826382</v>
      </c>
      <c r="L5438" s="1">
        <v>3.2571903577352601</v>
      </c>
      <c r="M5438" s="1">
        <v>0.18533737426230332</v>
      </c>
      <c r="N5438" s="1">
        <v>1.9704123805175664</v>
      </c>
      <c r="O5438" s="1">
        <v>0.16320000000000001</v>
      </c>
      <c r="P5438" s="1">
        <v>0.11543065984322802</v>
      </c>
      <c r="Q5438" s="1">
        <v>7.1994170542778564</v>
      </c>
      <c r="R5438" s="2">
        <f t="shared" si="339"/>
        <v>295.99770584087736</v>
      </c>
      <c r="S5438" s="2">
        <f t="shared" si="338"/>
        <v>2.9226874824472713</v>
      </c>
      <c r="T5438" s="2">
        <f t="shared" si="340"/>
        <v>5.5761401125151302</v>
      </c>
      <c r="U5438" s="2">
        <f t="shared" si="341"/>
        <v>304.49653343583975</v>
      </c>
    </row>
    <row r="5439" spans="1:21" x14ac:dyDescent="0.25">
      <c r="A5439">
        <v>5774697</v>
      </c>
      <c r="B5439">
        <v>23</v>
      </c>
      <c r="C5439" s="1">
        <f>8.67427604024529*(10.3/7.3)</f>
        <v>12.239047015688556</v>
      </c>
      <c r="D5439" s="1">
        <f>11.4013955367458*(10.3/7.3)</f>
        <v>16.086900551846867</v>
      </c>
      <c r="E5439" s="1">
        <f>40.0230325281475*(10.3/7.3)</f>
        <v>56.470854115057456</v>
      </c>
      <c r="F5439" s="1">
        <f>90.2734753069916*(38.9/42.5)</f>
        <v>82.626780928046387</v>
      </c>
      <c r="G5439" s="1">
        <v>3.8358874422243652</v>
      </c>
      <c r="H5439" s="1">
        <v>7.8652268527831604</v>
      </c>
      <c r="I5439" s="1">
        <v>67.764381472641887</v>
      </c>
      <c r="J5439" s="1">
        <v>4.2132061515260347E-2</v>
      </c>
      <c r="K5439" s="1">
        <v>2.5241075410998302</v>
      </c>
      <c r="L5439" s="1">
        <v>2.8981615069065136</v>
      </c>
      <c r="M5439" s="1">
        <v>0.16679210928571583</v>
      </c>
      <c r="N5439" s="1">
        <v>1.8065627008214233</v>
      </c>
      <c r="O5439" s="1">
        <v>0.14831536231884057</v>
      </c>
      <c r="P5439" s="1">
        <v>0.10611424801637585</v>
      </c>
      <c r="Q5439" s="1">
        <v>6.1304137204499058</v>
      </c>
      <c r="R5439" s="2">
        <f t="shared" si="339"/>
        <v>253.01949209873857</v>
      </c>
      <c r="S5439" s="2">
        <f t="shared" si="338"/>
        <v>2.6723538506314664</v>
      </c>
      <c r="T5439" s="2">
        <f t="shared" si="340"/>
        <v>5.0198316793324933</v>
      </c>
      <c r="U5439" s="2">
        <f t="shared" si="341"/>
        <v>260.71167762870249</v>
      </c>
    </row>
    <row r="5440" spans="1:21" x14ac:dyDescent="0.25">
      <c r="A5440">
        <v>5774705</v>
      </c>
      <c r="B5440">
        <v>23</v>
      </c>
      <c r="C5440" s="1">
        <f>6.97824562483808*(10.3/7.3)</f>
        <v>9.8460177994290703</v>
      </c>
      <c r="D5440" s="1">
        <f>9.69905768763037*(10.3/7.3)</f>
        <v>13.684971805834637</v>
      </c>
      <c r="E5440" s="1">
        <f>33.9774900163095*(10.3/7.3)</f>
        <v>47.940842077806565</v>
      </c>
      <c r="F5440" s="1">
        <f>76.14011942243*(38.9/42.5)</f>
        <v>69.690603424294764</v>
      </c>
      <c r="G5440" s="1">
        <v>3.2438526175406315</v>
      </c>
      <c r="H5440" s="1">
        <v>10.728336505213083</v>
      </c>
      <c r="I5440" s="1">
        <v>56.173533466393792</v>
      </c>
      <c r="J5440" s="1">
        <v>3.5366549855055475E-2</v>
      </c>
      <c r="K5440" s="1">
        <v>2.2007677107117383</v>
      </c>
      <c r="L5440" s="1">
        <v>2.4350649643493933</v>
      </c>
      <c r="M5440" s="1">
        <v>0.14370226182797086</v>
      </c>
      <c r="N5440" s="1">
        <v>1.533214129598361</v>
      </c>
      <c r="O5440" s="1">
        <v>0.12868869565217392</v>
      </c>
      <c r="P5440" s="1">
        <v>9.3934195175881141E-2</v>
      </c>
      <c r="Q5440" s="1">
        <v>5.1842393431014724</v>
      </c>
      <c r="R5440" s="2">
        <f t="shared" si="339"/>
        <v>216.49239703961399</v>
      </c>
      <c r="S5440" s="2">
        <f t="shared" si="338"/>
        <v>2.330068455742675</v>
      </c>
      <c r="T5440" s="2">
        <f t="shared" si="340"/>
        <v>4.240670051427899</v>
      </c>
      <c r="U5440" s="2">
        <f t="shared" si="341"/>
        <v>223.06313554678457</v>
      </c>
    </row>
    <row r="5441" spans="1:21" x14ac:dyDescent="0.25">
      <c r="A5441">
        <v>5774713</v>
      </c>
      <c r="B5441">
        <v>19</v>
      </c>
      <c r="C5441" s="1">
        <f>8.57815738134089*(10.3/7.3)</f>
        <v>12.103427538056318</v>
      </c>
      <c r="D5441" s="1">
        <f>12.6890825648423*(10.3/7.3)</f>
        <v>17.903774029845938</v>
      </c>
      <c r="E5441" s="1">
        <f>44.3305547143571*(10.3/7.3)</f>
        <v>62.548590898339413</v>
      </c>
      <c r="F5441" s="1">
        <f>99.9543723681765*(38.9/42.5)</f>
        <v>91.48764906169562</v>
      </c>
      <c r="G5441" s="1">
        <v>4.324099066063007</v>
      </c>
      <c r="H5441" s="1">
        <v>10.860455430206814</v>
      </c>
      <c r="I5441" s="1">
        <v>72.586016983217661</v>
      </c>
      <c r="J5441" s="1">
        <v>4.0870538589527335E-2</v>
      </c>
      <c r="K5441" s="1">
        <v>2.4391898323738923</v>
      </c>
      <c r="L5441" s="1">
        <v>2.7697961786069589</v>
      </c>
      <c r="M5441" s="1">
        <v>0.15757048711063404</v>
      </c>
      <c r="N5441" s="1">
        <v>1.9324545998678158</v>
      </c>
      <c r="O5441" s="1">
        <v>0.14147929824561403</v>
      </c>
      <c r="P5441" s="1">
        <v>0.10241188936597331</v>
      </c>
      <c r="Q5441" s="1">
        <v>6.9106606078632611</v>
      </c>
      <c r="R5441" s="2">
        <f t="shared" si="339"/>
        <v>278.72467361528805</v>
      </c>
      <c r="S5441" s="2">
        <f t="shared" si="338"/>
        <v>2.5824722603293928</v>
      </c>
      <c r="T5441" s="2">
        <f t="shared" si="340"/>
        <v>5.0013005638310233</v>
      </c>
      <c r="U5441" s="2">
        <f t="shared" si="341"/>
        <v>286.30844643944846</v>
      </c>
    </row>
    <row r="5442" spans="1:21" x14ac:dyDescent="0.25">
      <c r="A5442">
        <v>5774721</v>
      </c>
      <c r="B5442">
        <v>10</v>
      </c>
      <c r="C5442" s="1">
        <f>5.0559161950492*(10.3/7.3)</f>
        <v>7.1336899738365398</v>
      </c>
      <c r="D5442" s="1">
        <f>7.64657821333683*(10.3/7.3)</f>
        <v>10.789007616077988</v>
      </c>
      <c r="E5442" s="1">
        <f>26.7056059505679*(10.3/7.3)</f>
        <v>37.680512505595829</v>
      </c>
      <c r="F5442" s="1">
        <f>59.5030028720949*(38.9/42.5)</f>
        <v>54.462748511164463</v>
      </c>
      <c r="G5442" s="1">
        <v>2.553405006933581</v>
      </c>
      <c r="H5442" s="1">
        <v>8.9143424351778293</v>
      </c>
      <c r="I5442" s="1">
        <v>42.832241392640519</v>
      </c>
      <c r="J5442" s="1">
        <v>3.081329704416836E-2</v>
      </c>
      <c r="K5442" s="1">
        <v>1.9184398848405899</v>
      </c>
      <c r="L5442" s="1">
        <v>2.0384901172213885</v>
      </c>
      <c r="M5442" s="1">
        <v>0.12349755661614806</v>
      </c>
      <c r="N5442" s="1">
        <v>1.3358665657548139</v>
      </c>
      <c r="O5442" s="1">
        <v>0.10932266666666665</v>
      </c>
      <c r="P5442" s="1">
        <v>8.2663563959667438E-2</v>
      </c>
      <c r="Q5442" s="1">
        <v>4.0807842576564122</v>
      </c>
      <c r="R5442" s="2">
        <f t="shared" si="339"/>
        <v>168.44673169908316</v>
      </c>
      <c r="S5442" s="2">
        <f t="shared" si="338"/>
        <v>2.0319167458444256</v>
      </c>
      <c r="T5442" s="2">
        <f t="shared" si="340"/>
        <v>3.6071769062590171</v>
      </c>
      <c r="U5442" s="2">
        <f t="shared" si="341"/>
        <v>174.0858253511866</v>
      </c>
    </row>
    <row r="5443" spans="1:21" x14ac:dyDescent="0.25">
      <c r="A5443">
        <v>5774785</v>
      </c>
      <c r="B5443">
        <v>66</v>
      </c>
      <c r="C5443" s="1">
        <f>4.40492634106815*(10.3/7.3)</f>
        <v>6.2151700428769798</v>
      </c>
      <c r="D5443" s="1">
        <f>6.57840856662381*(10.3/7.3)</f>
        <v>9.2818641419486632</v>
      </c>
      <c r="E5443" s="1">
        <f>23.0040485454668*(10.3/7.3)</f>
        <v>32.457767125795655</v>
      </c>
      <c r="F5443" s="1">
        <f>50.3407639055704*(38.9/42.5)</f>
        <v>46.076605080627949</v>
      </c>
      <c r="G5443" s="1">
        <v>2.1185386108876187</v>
      </c>
      <c r="H5443" s="1">
        <v>5.0784290843485405</v>
      </c>
      <c r="I5443" s="1">
        <v>36.203248753889042</v>
      </c>
      <c r="J5443" s="1">
        <v>2.6791974268872882E-2</v>
      </c>
      <c r="K5443" s="1">
        <v>1.6990808498253427</v>
      </c>
      <c r="L5443" s="1">
        <v>1.736783243531606</v>
      </c>
      <c r="M5443" s="1">
        <v>0.10218627038239482</v>
      </c>
      <c r="N5443" s="1">
        <v>1.136921114467178</v>
      </c>
      <c r="O5443" s="1">
        <v>9.1251717171717192E-2</v>
      </c>
      <c r="P5443" s="1">
        <v>7.1446545949009371E-2</v>
      </c>
      <c r="Q5443" s="1">
        <v>3.3857923005053308</v>
      </c>
      <c r="R5443" s="2">
        <f t="shared" si="339"/>
        <v>140.81741514087977</v>
      </c>
      <c r="S5443" s="2">
        <f t="shared" si="338"/>
        <v>1.7973193700432251</v>
      </c>
      <c r="T5443" s="2">
        <f t="shared" si="340"/>
        <v>3.0671423455528961</v>
      </c>
      <c r="U5443" s="2">
        <f t="shared" si="341"/>
        <v>145.6818768564759</v>
      </c>
    </row>
    <row r="5444" spans="1:21" x14ac:dyDescent="0.25">
      <c r="A5444">
        <v>5774793</v>
      </c>
      <c r="B5444">
        <v>6</v>
      </c>
      <c r="C5444" s="1">
        <f>8.11984230054117*(10.3/7.3)</f>
        <v>11.456763793914261</v>
      </c>
      <c r="D5444" s="1">
        <f>11.9532366019016*(10.3/7.3)</f>
        <v>16.865525616381738</v>
      </c>
      <c r="E5444" s="1">
        <f>41.8714993063734*(10.3/7.3)</f>
        <v>59.078964774746069</v>
      </c>
      <c r="F5444" s="1">
        <f>89.1377198094589*(38.9/42.5)</f>
        <v>81.587230602069411</v>
      </c>
      <c r="G5444" s="1">
        <v>3.6381926258553734</v>
      </c>
      <c r="H5444" s="1">
        <v>8.8987786700298699</v>
      </c>
      <c r="I5444" s="1">
        <v>63.931663194906854</v>
      </c>
      <c r="J5444" s="1">
        <v>4.0676765617947697E-2</v>
      </c>
      <c r="K5444" s="1">
        <v>2.4077745055690087</v>
      </c>
      <c r="L5444" s="1">
        <v>2.6437760401981629</v>
      </c>
      <c r="M5444" s="1">
        <v>0.14340820452834172</v>
      </c>
      <c r="N5444" s="1">
        <v>1.6670618800348613</v>
      </c>
      <c r="O5444" s="1">
        <v>0.13088</v>
      </c>
      <c r="P5444" s="1">
        <v>9.652756378000861E-2</v>
      </c>
      <c r="Q5444" s="1">
        <v>5.8144631006821088</v>
      </c>
      <c r="R5444" s="2">
        <f t="shared" si="339"/>
        <v>251.27158237858566</v>
      </c>
      <c r="S5444" s="2">
        <f t="shared" si="338"/>
        <v>2.5449788349669649</v>
      </c>
      <c r="T5444" s="2">
        <f t="shared" si="340"/>
        <v>4.5851261247613664</v>
      </c>
      <c r="U5444" s="2">
        <f t="shared" si="341"/>
        <v>258.40168733831399</v>
      </c>
    </row>
    <row r="5445" spans="1:21" x14ac:dyDescent="0.25">
      <c r="A5445">
        <v>5786261</v>
      </c>
      <c r="B5445">
        <v>15</v>
      </c>
      <c r="C5445" s="1">
        <f>0.546854650685564*(10.3/7.3)</f>
        <v>0.77158943863853557</v>
      </c>
      <c r="D5445" s="1">
        <f>0.885813706173481*(10.3/7.3)</f>
        <v>1.2498467361077878</v>
      </c>
      <c r="E5445" s="1">
        <f>3.04864839580965*(10.3/7.3)</f>
        <v>4.3015175995670347</v>
      </c>
      <c r="F5445" s="1">
        <f>8.6857645885514*(38.9/42.5)</f>
        <v>7.9500292351682216</v>
      </c>
      <c r="G5445" s="1">
        <v>0.45347849181883143</v>
      </c>
      <c r="H5445" s="1">
        <v>1.748359476829801</v>
      </c>
      <c r="I5445" s="1">
        <v>6.4944298005903613</v>
      </c>
      <c r="J5445" s="1">
        <v>4.4045586520928603E-2</v>
      </c>
      <c r="K5445" s="1">
        <v>20.25916576189719</v>
      </c>
      <c r="L5445" s="1">
        <v>1.9633955908745648</v>
      </c>
      <c r="M5445" s="1">
        <v>0.73251297031982276</v>
      </c>
      <c r="N5445" s="1">
        <v>1.2684559788150191</v>
      </c>
      <c r="O5445" s="1">
        <v>1.5296355555555559</v>
      </c>
      <c r="P5445" s="1">
        <v>0.13303080216292293</v>
      </c>
      <c r="Q5445" s="1">
        <v>0.72473731569219701</v>
      </c>
      <c r="R5445" s="2">
        <f t="shared" si="339"/>
        <v>23.693988094412767</v>
      </c>
      <c r="S5445" s="2">
        <f t="shared" si="338"/>
        <v>20.436242150581045</v>
      </c>
      <c r="T5445" s="2">
        <f t="shared" si="340"/>
        <v>5.4940000955649628</v>
      </c>
      <c r="U5445" s="2">
        <f t="shared" si="341"/>
        <v>49.624230340558775</v>
      </c>
    </row>
    <row r="5446" spans="1:21" x14ac:dyDescent="0.25">
      <c r="A5446">
        <v>5786325</v>
      </c>
      <c r="B5446">
        <v>2</v>
      </c>
      <c r="C5446" s="1">
        <f>0.511406679883659*(10.3/7.3)</f>
        <v>0.72157380860297149</v>
      </c>
      <c r="D5446" s="1">
        <f>0.976889385730567*(10.3/7.3)</f>
        <v>1.3783507771266901</v>
      </c>
      <c r="E5446" s="1">
        <f>3.29942630875909*(10.3/7.3)</f>
        <v>4.6553549287970739</v>
      </c>
      <c r="F5446" s="1">
        <f>11.6940955493848*(38.9/42.5)</f>
        <v>10.703536867554549</v>
      </c>
      <c r="G5446" s="1">
        <v>0.69038929813909267</v>
      </c>
      <c r="H5446" s="1">
        <v>5.6986894043557124</v>
      </c>
      <c r="I5446" s="1">
        <v>8.8696636226356631</v>
      </c>
      <c r="J5446" s="1">
        <v>4.8487089333734308E-2</v>
      </c>
      <c r="K5446" s="1">
        <v>5.7136686672300954</v>
      </c>
      <c r="L5446" s="1">
        <v>2.1348894129776812</v>
      </c>
      <c r="M5446" s="1">
        <v>0.98580704005987962</v>
      </c>
      <c r="N5446" s="1">
        <v>1.7682580937584207</v>
      </c>
      <c r="O5446" s="1">
        <v>0.40061333333333332</v>
      </c>
      <c r="P5446" s="1">
        <v>0.12794318826724174</v>
      </c>
      <c r="Q5446" s="1">
        <v>1.1033618920031172</v>
      </c>
      <c r="R5446" s="2">
        <f t="shared" si="339"/>
        <v>33.820920599214865</v>
      </c>
      <c r="S5446" s="2">
        <f t="shared" si="338"/>
        <v>5.8900989448310712</v>
      </c>
      <c r="T5446" s="2">
        <f t="shared" si="340"/>
        <v>5.2895678801293151</v>
      </c>
      <c r="U5446" s="2">
        <f t="shared" si="341"/>
        <v>45.000587424175251</v>
      </c>
    </row>
    <row r="5447" spans="1:21" x14ac:dyDescent="0.25">
      <c r="A5447">
        <v>5786333</v>
      </c>
      <c r="B5447">
        <v>7</v>
      </c>
      <c r="C5447" s="1">
        <f>0.523355434086549*(10.3/7.3)</f>
        <v>0.73843300973855497</v>
      </c>
      <c r="D5447" s="1">
        <f>0.962918773354947*(10.3/7.3)</f>
        <v>1.3586388171994466</v>
      </c>
      <c r="E5447" s="1">
        <f>3.26679195310319*(10.3/7.3)</f>
        <v>4.609309194104501</v>
      </c>
      <c r="F5447" s="1">
        <f>11.0153728061714*(38.9/42.5)</f>
        <v>10.082305933178013</v>
      </c>
      <c r="G5447" s="1">
        <v>0.63477219905718596</v>
      </c>
      <c r="H5447" s="1">
        <v>6.9494690711026417</v>
      </c>
      <c r="I5447" s="1">
        <v>8.3235480073264689</v>
      </c>
      <c r="J5447" s="1">
        <v>4.811550591899505E-2</v>
      </c>
      <c r="K5447" s="1">
        <v>5.2060427056175671</v>
      </c>
      <c r="L5447" s="1">
        <v>2.2041373780425224</v>
      </c>
      <c r="M5447" s="1">
        <v>1.0120116084658568</v>
      </c>
      <c r="N5447" s="1">
        <v>1.7136706430257671</v>
      </c>
      <c r="O5447" s="1">
        <v>0.38390857142857143</v>
      </c>
      <c r="P5447" s="1">
        <v>0.1283141147116032</v>
      </c>
      <c r="Q5447" s="1">
        <v>1.0144761172146819</v>
      </c>
      <c r="R5447" s="2">
        <f t="shared" si="339"/>
        <v>33.710952348921495</v>
      </c>
      <c r="S5447" s="2">
        <f t="shared" si="338"/>
        <v>5.3824723262481653</v>
      </c>
      <c r="T5447" s="2">
        <f t="shared" si="340"/>
        <v>5.3137282009627178</v>
      </c>
      <c r="U5447" s="2">
        <f t="shared" si="341"/>
        <v>44.407152876132372</v>
      </c>
    </row>
    <row r="5448" spans="1:21" x14ac:dyDescent="0.25">
      <c r="A5448">
        <v>5786797</v>
      </c>
      <c r="B5448">
        <v>1</v>
      </c>
      <c r="C5448" s="1">
        <f>2.36505674855854*(10.3/7.3)</f>
        <v>3.3369978781031495</v>
      </c>
      <c r="D5448" s="1">
        <f>3.89226378087774*(10.3/7.3)</f>
        <v>5.4918242387727085</v>
      </c>
      <c r="E5448" s="1">
        <f>13.4868790468728*(10.3/7.3)</f>
        <v>19.02943207983424</v>
      </c>
      <c r="F5448" s="1">
        <f>33.3676614202431*(38.9/42.5)</f>
        <v>30.541224217587182</v>
      </c>
      <c r="G5448" s="1">
        <v>1.5836733297898837</v>
      </c>
      <c r="H5448" s="1">
        <v>10.12764429951811</v>
      </c>
      <c r="I5448" s="1">
        <v>24.123102861186528</v>
      </c>
      <c r="J5448" s="1">
        <v>3.4395409656012108E-2</v>
      </c>
      <c r="K5448" s="1">
        <v>1.8857201046880072</v>
      </c>
      <c r="L5448" s="1">
        <v>2.3948069990453966</v>
      </c>
      <c r="M5448" s="1">
        <v>0.14980647081569429</v>
      </c>
      <c r="N5448" s="1">
        <v>1.5121928794119923</v>
      </c>
      <c r="O5448" s="1">
        <v>0.12122666666666666</v>
      </c>
      <c r="P5448" s="1">
        <v>8.9209896367831387E-2</v>
      </c>
      <c r="Q5448" s="1">
        <v>2.5309847736368032</v>
      </c>
      <c r="R5448" s="2">
        <f t="shared" si="339"/>
        <v>96.764883678428589</v>
      </c>
      <c r="S5448" s="2">
        <f t="shared" si="338"/>
        <v>2.0093254107118508</v>
      </c>
      <c r="T5448" s="2">
        <f t="shared" si="340"/>
        <v>4.1780330159397501</v>
      </c>
      <c r="U5448" s="2">
        <f t="shared" si="341"/>
        <v>102.95224210508019</v>
      </c>
    </row>
    <row r="5449" spans="1:21" x14ac:dyDescent="0.25">
      <c r="A5449">
        <v>5786925</v>
      </c>
      <c r="B5449">
        <v>27</v>
      </c>
      <c r="C5449" s="1">
        <f>8.09564976116742*(10.3/7.3)</f>
        <v>11.422629115071846</v>
      </c>
      <c r="D5449" s="1">
        <f>10.5353620987029*(10.3/7.3)</f>
        <v>14.864962961183506</v>
      </c>
      <c r="E5449" s="1">
        <f>36.9851639232549*(10.3/7.3)</f>
        <v>52.184546357469301</v>
      </c>
      <c r="F5449" s="1">
        <f>84.1163533903053*(38.9/42.5)</f>
        <v>76.991203456067652</v>
      </c>
      <c r="G5449" s="1">
        <v>3.5972814622244726</v>
      </c>
      <c r="H5449" s="1">
        <v>8.0112957069365418</v>
      </c>
      <c r="I5449" s="1">
        <v>63.425433214951092</v>
      </c>
      <c r="J5449" s="1">
        <v>4.0415415697641989E-2</v>
      </c>
      <c r="K5449" s="1">
        <v>2.4509343982398311</v>
      </c>
      <c r="L5449" s="1">
        <v>2.7932942193576404</v>
      </c>
      <c r="M5449" s="1">
        <v>0.16282577387872493</v>
      </c>
      <c r="N5449" s="1">
        <v>1.7313464914169285</v>
      </c>
      <c r="O5449" s="1">
        <v>0.14447407407407406</v>
      </c>
      <c r="P5449" s="1">
        <v>0.1036770768230533</v>
      </c>
      <c r="Q5449" s="1">
        <v>5.7490799624592075</v>
      </c>
      <c r="R5449" s="2">
        <f t="shared" si="339"/>
        <v>236.2464322363636</v>
      </c>
      <c r="S5449" s="2">
        <f t="shared" ref="S5449:S5512" si="342">J5449+K5449+P5449</f>
        <v>2.5950268907605265</v>
      </c>
      <c r="T5449" s="2">
        <f t="shared" si="340"/>
        <v>4.8319405587273678</v>
      </c>
      <c r="U5449" s="2">
        <f t="shared" si="341"/>
        <v>243.67339968585151</v>
      </c>
    </row>
    <row r="5450" spans="1:21" x14ac:dyDescent="0.25">
      <c r="A5450">
        <v>5786933</v>
      </c>
      <c r="B5450">
        <v>10</v>
      </c>
      <c r="C5450" s="1">
        <f>5.79235774575394*(10.3/7.3)</f>
        <v>8.1727787371596659</v>
      </c>
      <c r="D5450" s="1">
        <f>7.8660787370792*(10.3/7.3)</f>
        <v>11.098713834509008</v>
      </c>
      <c r="E5450" s="1">
        <f>27.5610514976021*(10.3/7.3)</f>
        <v>38.887511017164556</v>
      </c>
      <c r="F5450" s="1">
        <f>62.8551628128385*(38.9/42.5)</f>
        <v>57.530960786339271</v>
      </c>
      <c r="G5450" s="1">
        <v>2.7134890589692522</v>
      </c>
      <c r="H5450" s="1">
        <v>9.4622093622927217</v>
      </c>
      <c r="I5450" s="1">
        <v>46.846803852980749</v>
      </c>
      <c r="J5450" s="1">
        <v>3.2447779131448876E-2</v>
      </c>
      <c r="K5450" s="1">
        <v>2.0563357662848523</v>
      </c>
      <c r="L5450" s="1">
        <v>2.2270390613072517</v>
      </c>
      <c r="M5450" s="1">
        <v>0.13539804742493569</v>
      </c>
      <c r="N5450" s="1">
        <v>1.4369403252709954</v>
      </c>
      <c r="O5450" s="1">
        <v>0.11959466666666667</v>
      </c>
      <c r="P5450" s="1">
        <v>8.8729881390548521E-2</v>
      </c>
      <c r="Q5450" s="1">
        <v>4.3366263499508637</v>
      </c>
      <c r="R5450" s="2">
        <f t="shared" ref="R5450:R5513" si="343">C5450+D5450+E5450+F5450+G5450+H5450+I5450+Q5450</f>
        <v>179.04909299936611</v>
      </c>
      <c r="S5450" s="2">
        <f t="shared" si="342"/>
        <v>2.1775134268068497</v>
      </c>
      <c r="T5450" s="2">
        <f t="shared" ref="T5450:T5513" si="344">L5450+M5450+N5450+O5450</f>
        <v>3.9189721006698495</v>
      </c>
      <c r="U5450" s="2">
        <f t="shared" ref="U5450:U5513" si="345">R5450+S5450+T5450</f>
        <v>185.14557852684283</v>
      </c>
    </row>
    <row r="5451" spans="1:21" x14ac:dyDescent="0.25">
      <c r="A5451">
        <v>5786941</v>
      </c>
      <c r="B5451">
        <v>25</v>
      </c>
      <c r="C5451" s="1">
        <f>9.45704065978007*(10.3/7.3)</f>
        <v>13.343495725443111</v>
      </c>
      <c r="D5451" s="1">
        <f>13.2253274037368*(10.3/7.3)</f>
        <v>18.660393460067027</v>
      </c>
      <c r="E5451" s="1">
        <f>46.342357067923*(10.3/7.3)</f>
        <v>65.387161342411957</v>
      </c>
      <c r="F5451" s="1">
        <f>102.667278259278*(38.9/42.5)</f>
        <v>93.970755865550601</v>
      </c>
      <c r="G5451" s="1">
        <v>4.3293079530955216</v>
      </c>
      <c r="H5451" s="1">
        <v>11.380986469016021</v>
      </c>
      <c r="I5451" s="1">
        <v>75.425768054393743</v>
      </c>
      <c r="J5451" s="1">
        <v>4.3766440289753732E-2</v>
      </c>
      <c r="K5451" s="1">
        <v>2.5977631492001168</v>
      </c>
      <c r="L5451" s="1">
        <v>2.9935724778858899</v>
      </c>
      <c r="M5451" s="1">
        <v>0.1690419953540199</v>
      </c>
      <c r="N5451" s="1">
        <v>1.965985804689832</v>
      </c>
      <c r="O5451" s="1">
        <v>0.15178026666666664</v>
      </c>
      <c r="P5451" s="1">
        <v>0.10853524236380395</v>
      </c>
      <c r="Q5451" s="1">
        <v>6.9189853131663632</v>
      </c>
      <c r="R5451" s="2">
        <f t="shared" si="343"/>
        <v>289.41685418314438</v>
      </c>
      <c r="S5451" s="2">
        <f t="shared" si="342"/>
        <v>2.7500648318536745</v>
      </c>
      <c r="T5451" s="2">
        <f t="shared" si="344"/>
        <v>5.2803805445964089</v>
      </c>
      <c r="U5451" s="2">
        <f t="shared" si="345"/>
        <v>297.44729955959446</v>
      </c>
    </row>
    <row r="5452" spans="1:21" x14ac:dyDescent="0.25">
      <c r="A5452">
        <v>5786949</v>
      </c>
      <c r="B5452">
        <v>20</v>
      </c>
      <c r="C5452" s="1">
        <f>5.5195278581213*(10.3/7.3)</f>
        <v>7.78782697789718</v>
      </c>
      <c r="D5452" s="1">
        <f>8.18839872988735*(10.3/7.3)</f>
        <v>11.553494098334207</v>
      </c>
      <c r="E5452" s="1">
        <f>28.6331398828072*(10.3/7.3)</f>
        <v>40.400183670262244</v>
      </c>
      <c r="F5452" s="1">
        <f>63.0718132662212*(38.9/42.5)</f>
        <v>57.72925967190595</v>
      </c>
      <c r="G5452" s="1">
        <v>2.6689616584365421</v>
      </c>
      <c r="H5452" s="1">
        <v>9.0891828616421471</v>
      </c>
      <c r="I5452" s="1">
        <v>45.514706525393521</v>
      </c>
      <c r="J5452" s="1">
        <v>3.2272110495900036E-2</v>
      </c>
      <c r="K5452" s="1">
        <v>2.0182862916246331</v>
      </c>
      <c r="L5452" s="1">
        <v>2.1687946673528717</v>
      </c>
      <c r="M5452" s="1">
        <v>0.13029528581614575</v>
      </c>
      <c r="N5452" s="1">
        <v>1.4089244440799025</v>
      </c>
      <c r="O5452" s="1">
        <v>0.11597866666666663</v>
      </c>
      <c r="P5452" s="1">
        <v>8.6599275670801751E-2</v>
      </c>
      <c r="Q5452" s="1">
        <v>4.2654638376839751</v>
      </c>
      <c r="R5452" s="2">
        <f t="shared" si="343"/>
        <v>179.00907930155574</v>
      </c>
      <c r="S5452" s="2">
        <f t="shared" si="342"/>
        <v>2.1371576777913348</v>
      </c>
      <c r="T5452" s="2">
        <f t="shared" si="344"/>
        <v>3.8239930639155864</v>
      </c>
      <c r="U5452" s="2">
        <f t="shared" si="345"/>
        <v>184.97023004326266</v>
      </c>
    </row>
    <row r="5453" spans="1:21" x14ac:dyDescent="0.25">
      <c r="A5453">
        <v>5787013</v>
      </c>
      <c r="B5453">
        <v>16</v>
      </c>
      <c r="C5453" s="1">
        <f>5.77348867140854*(10.3/7.3)</f>
        <v>8.1461552486997242</v>
      </c>
      <c r="D5453" s="1">
        <f>8.93515118647064*(10.3/7.3)</f>
        <v>12.607131126116105</v>
      </c>
      <c r="E5453" s="1">
        <f>31.1890551956046*(10.3/7.3)</f>
        <v>44.006475139003818</v>
      </c>
      <c r="F5453" s="1">
        <f>68.9956413116031*(38.9/42.5)</f>
        <v>63.151304635796727</v>
      </c>
      <c r="G5453" s="1">
        <v>2.9501414633065024</v>
      </c>
      <c r="H5453" s="1">
        <v>6.5628142786678296</v>
      </c>
      <c r="I5453" s="1">
        <v>49.271860650212453</v>
      </c>
      <c r="J5453" s="1">
        <v>3.3571167326172435E-2</v>
      </c>
      <c r="K5453" s="1">
        <v>2.0144583023298432</v>
      </c>
      <c r="L5453" s="1">
        <v>2.1410517788680448</v>
      </c>
      <c r="M5453" s="1">
        <v>0.12095073889558799</v>
      </c>
      <c r="N5453" s="1">
        <v>1.4144324174540424</v>
      </c>
      <c r="O5453" s="1">
        <v>0.10975999999999998</v>
      </c>
      <c r="P5453" s="1">
        <v>8.3071082971576005E-2</v>
      </c>
      <c r="Q5453" s="1">
        <v>4.7148379550560575</v>
      </c>
      <c r="R5453" s="2">
        <f t="shared" si="343"/>
        <v>191.41072049685923</v>
      </c>
      <c r="S5453" s="2">
        <f t="shared" si="342"/>
        <v>2.1311005526275917</v>
      </c>
      <c r="T5453" s="2">
        <f t="shared" si="344"/>
        <v>3.7861949352176754</v>
      </c>
      <c r="U5453" s="2">
        <f t="shared" si="345"/>
        <v>197.32801598470451</v>
      </c>
    </row>
    <row r="5454" spans="1:21" x14ac:dyDescent="0.25">
      <c r="A5454">
        <v>5787021</v>
      </c>
      <c r="B5454">
        <v>59</v>
      </c>
      <c r="C5454" s="1">
        <f>4.74905598541839*(10.3/7.3)</f>
        <v>6.7007228287410161</v>
      </c>
      <c r="D5454" s="1">
        <f>7.06008836234323*(10.3/7.3)</f>
        <v>9.9614945386486617</v>
      </c>
      <c r="E5454" s="1">
        <f>24.7112146217296*(10.3/7.3)</f>
        <v>34.866508301892402</v>
      </c>
      <c r="F5454" s="1">
        <f>53.1399412954078*(38.9/42.5)</f>
        <v>48.638675679796755</v>
      </c>
      <c r="G5454" s="1">
        <v>2.1954363495654077</v>
      </c>
      <c r="H5454" s="1">
        <v>5.3199951577455726</v>
      </c>
      <c r="I5454" s="1">
        <v>38.10117355405427</v>
      </c>
      <c r="J5454" s="1">
        <v>2.8203928105860757E-2</v>
      </c>
      <c r="K5454" s="1">
        <v>1.7887370146652639</v>
      </c>
      <c r="L5454" s="1">
        <v>1.8480559547269364</v>
      </c>
      <c r="M5454" s="1">
        <v>0.10757281794991073</v>
      </c>
      <c r="N5454" s="1">
        <v>1.2045700453528214</v>
      </c>
      <c r="O5454" s="1">
        <v>9.6342598870056487E-2</v>
      </c>
      <c r="P5454" s="1">
        <v>7.4611629599511634E-2</v>
      </c>
      <c r="Q5454" s="1">
        <v>3.5086882298990552</v>
      </c>
      <c r="R5454" s="2">
        <f t="shared" si="343"/>
        <v>149.29269464034314</v>
      </c>
      <c r="S5454" s="2">
        <f t="shared" si="342"/>
        <v>1.8915525723706363</v>
      </c>
      <c r="T5454" s="2">
        <f t="shared" si="344"/>
        <v>3.2565414168997249</v>
      </c>
      <c r="U5454" s="2">
        <f t="shared" si="345"/>
        <v>154.44078862961351</v>
      </c>
    </row>
    <row r="5455" spans="1:21" x14ac:dyDescent="0.25">
      <c r="A5455">
        <v>5798489</v>
      </c>
      <c r="B5455">
        <v>37</v>
      </c>
      <c r="C5455" s="1">
        <f>0.505322503419269*(10.3/7.3)</f>
        <v>0.71298928564636632</v>
      </c>
      <c r="D5455" s="1">
        <f>0.807377074595494*(10.3/7.3)</f>
        <v>1.1391758723744636</v>
      </c>
      <c r="E5455" s="1">
        <f>2.78217200725123*(10.3/7.3)</f>
        <v>3.9255303663955781</v>
      </c>
      <c r="F5455" s="1">
        <f>7.81761168701396*(38.9/42.5)</f>
        <v>7.1554139911727743</v>
      </c>
      <c r="G5455" s="1">
        <v>0.40417424318121414</v>
      </c>
      <c r="H5455" s="1">
        <v>1.5739950721927776</v>
      </c>
      <c r="I5455" s="1">
        <v>5.8451256442817936</v>
      </c>
      <c r="J5455" s="1">
        <v>3.9422344615306956E-2</v>
      </c>
      <c r="K5455" s="1">
        <v>14.483441680387521</v>
      </c>
      <c r="L5455" s="1">
        <v>1.8255939185529684</v>
      </c>
      <c r="M5455" s="1">
        <v>0.67804838806996526</v>
      </c>
      <c r="N5455" s="1">
        <v>1.1492629200842464</v>
      </c>
      <c r="O5455" s="1">
        <v>1.2215639639639644</v>
      </c>
      <c r="P5455" s="1">
        <v>0.12670478717928607</v>
      </c>
      <c r="Q5455" s="1">
        <v>0.64594057129417837</v>
      </c>
      <c r="R5455" s="2">
        <f t="shared" si="343"/>
        <v>21.40234504653915</v>
      </c>
      <c r="S5455" s="2">
        <f t="shared" si="342"/>
        <v>14.649568812182114</v>
      </c>
      <c r="T5455" s="2">
        <f t="shared" si="344"/>
        <v>4.8744691906711441</v>
      </c>
      <c r="U5455" s="2">
        <f t="shared" si="345"/>
        <v>40.926383049392406</v>
      </c>
    </row>
    <row r="5456" spans="1:21" x14ac:dyDescent="0.25">
      <c r="A5456">
        <v>5798561</v>
      </c>
      <c r="B5456">
        <v>5</v>
      </c>
      <c r="C5456" s="1">
        <f>0.521204658330028*(10.3/7.3)</f>
        <v>0.73539835353414984</v>
      </c>
      <c r="D5456" s="1">
        <f>0.974775113004429*(10.3/7.3)</f>
        <v>1.3753676251980307</v>
      </c>
      <c r="E5456" s="1">
        <f>3.3005492399408*(10.3/7.3)</f>
        <v>4.6569393385466133</v>
      </c>
      <c r="F5456" s="1">
        <f>11.3779562911459*(38.9/42.5)</f>
        <v>10.414176464131144</v>
      </c>
      <c r="G5456" s="1">
        <v>0.66288960474985503</v>
      </c>
      <c r="H5456" s="1">
        <v>7.654685183993986</v>
      </c>
      <c r="I5456" s="1">
        <v>8.6119652605903436</v>
      </c>
      <c r="J5456" s="1">
        <v>4.7637599941539197E-2</v>
      </c>
      <c r="K5456" s="1">
        <v>5.3367077727540861</v>
      </c>
      <c r="L5456" s="1">
        <v>2.1299699154529783</v>
      </c>
      <c r="M5456" s="1">
        <v>0.98180842695843551</v>
      </c>
      <c r="N5456" s="1">
        <v>1.7309826780337823</v>
      </c>
      <c r="O5456" s="1">
        <v>0.38797866666666669</v>
      </c>
      <c r="P5456" s="1">
        <v>0.12672958016422936</v>
      </c>
      <c r="Q5456" s="1">
        <v>1.0594126103308197</v>
      </c>
      <c r="R5456" s="2">
        <f t="shared" si="343"/>
        <v>35.170834441074938</v>
      </c>
      <c r="S5456" s="2">
        <f t="shared" si="342"/>
        <v>5.5110749528598548</v>
      </c>
      <c r="T5456" s="2">
        <f t="shared" si="344"/>
        <v>5.2307396871118623</v>
      </c>
      <c r="U5456" s="2">
        <f t="shared" si="345"/>
        <v>45.912649081046659</v>
      </c>
    </row>
    <row r="5457" spans="1:21" x14ac:dyDescent="0.25">
      <c r="A5457">
        <v>5798585</v>
      </c>
      <c r="B5457">
        <v>8</v>
      </c>
      <c r="C5457" s="1">
        <f>0.529479170615529*(10.3/7.3)</f>
        <v>0.74707335032054134</v>
      </c>
      <c r="D5457" s="1">
        <f>0.997077453970791*(10.3/7.3)</f>
        <v>1.4068353117670067</v>
      </c>
      <c r="E5457" s="1">
        <f>3.37528219437526*(10.3/7.3)</f>
        <v>4.7623844660363206</v>
      </c>
      <c r="F5457" s="1">
        <f>11.6394425992937*(38.9/42.5)</f>
        <v>10.65351334382415</v>
      </c>
      <c r="G5457" s="1">
        <v>0.67849297155098598</v>
      </c>
      <c r="H5457" s="1">
        <v>7.3551386896624686</v>
      </c>
      <c r="I5457" s="1">
        <v>8.8020213800999141</v>
      </c>
      <c r="J5457" s="1">
        <v>4.3427068853251406E-2</v>
      </c>
      <c r="K5457" s="1">
        <v>4.5508721093128139</v>
      </c>
      <c r="L5457" s="1">
        <v>2.3068719755713047</v>
      </c>
      <c r="M5457" s="1">
        <v>0.91057597150391045</v>
      </c>
      <c r="N5457" s="1">
        <v>1.6120019801563434</v>
      </c>
      <c r="O5457" s="1">
        <v>0.33166000000000001</v>
      </c>
      <c r="P5457" s="1">
        <v>0.12746303018097271</v>
      </c>
      <c r="Q5457" s="1">
        <v>1.0843494979125357</v>
      </c>
      <c r="R5457" s="2">
        <f t="shared" si="343"/>
        <v>35.489809011173925</v>
      </c>
      <c r="S5457" s="2">
        <f t="shared" si="342"/>
        <v>4.7217622083470383</v>
      </c>
      <c r="T5457" s="2">
        <f t="shared" si="344"/>
        <v>5.1611099272315588</v>
      </c>
      <c r="U5457" s="2">
        <f t="shared" si="345"/>
        <v>45.37268114675252</v>
      </c>
    </row>
    <row r="5458" spans="1:21" x14ac:dyDescent="0.25">
      <c r="A5458">
        <v>5799033</v>
      </c>
      <c r="B5458">
        <v>4</v>
      </c>
      <c r="C5458" s="1">
        <f>2.20902593325915*(10.3/7.3)</f>
        <v>3.1168448099409893</v>
      </c>
      <c r="D5458" s="1">
        <f>3.65401283312252*(10.3/7.3)</f>
        <v>5.1556619426249322</v>
      </c>
      <c r="E5458" s="1">
        <f>12.6572184074526*(10.3/7.3)</f>
        <v>17.858815013255093</v>
      </c>
      <c r="F5458" s="1">
        <f>31.4110545724666*(38.9/42.5)</f>
        <v>28.750353479269471</v>
      </c>
      <c r="G5458" s="1">
        <v>1.4951550034296768</v>
      </c>
      <c r="H5458" s="1">
        <v>6.3436339169618403</v>
      </c>
      <c r="I5458" s="1">
        <v>22.699220679782371</v>
      </c>
      <c r="J5458" s="1">
        <v>3.8653464626380737E-2</v>
      </c>
      <c r="K5458" s="1">
        <v>2.0940258414653172</v>
      </c>
      <c r="L5458" s="1">
        <v>2.5514653708514778</v>
      </c>
      <c r="M5458" s="1">
        <v>0.16614514037492606</v>
      </c>
      <c r="N5458" s="1">
        <v>1.8584451225145768</v>
      </c>
      <c r="O5458" s="1">
        <v>0.13361333333333333</v>
      </c>
      <c r="P5458" s="1">
        <v>9.7480180563936203E-2</v>
      </c>
      <c r="Q5458" s="1">
        <v>2.3895171287688926</v>
      </c>
      <c r="R5458" s="2">
        <f t="shared" si="343"/>
        <v>87.809201974033272</v>
      </c>
      <c r="S5458" s="2">
        <f t="shared" si="342"/>
        <v>2.230159486655634</v>
      </c>
      <c r="T5458" s="2">
        <f t="shared" si="344"/>
        <v>4.7096689670743137</v>
      </c>
      <c r="U5458" s="2">
        <f t="shared" si="345"/>
        <v>94.749030427763216</v>
      </c>
    </row>
    <row r="5459" spans="1:21" x14ac:dyDescent="0.25">
      <c r="A5459">
        <v>5799161</v>
      </c>
      <c r="B5459">
        <v>8</v>
      </c>
      <c r="C5459" s="1">
        <f>8.0345414719261*(10.3/7.3)</f>
        <v>11.336407830251899</v>
      </c>
      <c r="D5459" s="1">
        <f>10.6451627905218*(10.3/7.3)</f>
        <v>15.019887224982817</v>
      </c>
      <c r="E5459" s="1">
        <f>37.3339612230967*(10.3/7.3)</f>
        <v>52.676685013410427</v>
      </c>
      <c r="F5459" s="1">
        <f>85.3062960902882*(38.9/42.5)</f>
        <v>78.080351009699044</v>
      </c>
      <c r="G5459" s="1">
        <v>3.6751199680642275</v>
      </c>
      <c r="H5459" s="1">
        <v>11.268053997589883</v>
      </c>
      <c r="I5459" s="1">
        <v>64.049093934264775</v>
      </c>
      <c r="J5459" s="1">
        <v>3.78822623435063E-2</v>
      </c>
      <c r="K5459" s="1">
        <v>2.3101851082334575</v>
      </c>
      <c r="L5459" s="1">
        <v>2.5845083167835075</v>
      </c>
      <c r="M5459" s="1">
        <v>0.15134188669739151</v>
      </c>
      <c r="N5459" s="1">
        <v>1.708428662429416</v>
      </c>
      <c r="O5459" s="1">
        <v>0.13668666666666668</v>
      </c>
      <c r="P5459" s="1">
        <v>9.8162511502064287E-2</v>
      </c>
      <c r="Q5459" s="1">
        <v>5.8734794010158948</v>
      </c>
      <c r="R5459" s="2">
        <f t="shared" si="343"/>
        <v>241.97907837927895</v>
      </c>
      <c r="S5459" s="2">
        <f t="shared" si="342"/>
        <v>2.4462298820790278</v>
      </c>
      <c r="T5459" s="2">
        <f t="shared" si="344"/>
        <v>4.5809655325769816</v>
      </c>
      <c r="U5459" s="2">
        <f t="shared" si="345"/>
        <v>249.00627379393495</v>
      </c>
    </row>
    <row r="5460" spans="1:21" x14ac:dyDescent="0.25">
      <c r="A5460">
        <v>5799169</v>
      </c>
      <c r="B5460">
        <v>33</v>
      </c>
      <c r="C5460" s="1">
        <f>8.38730128350686*(10.3/7.3)</f>
        <v>11.834137427413784</v>
      </c>
      <c r="D5460" s="1">
        <f>12.1404840018008*(10.3/7.3)</f>
        <v>17.1297240025409</v>
      </c>
      <c r="E5460" s="1">
        <f>42.2347169283569*(10.3/7.3)</f>
        <v>59.591449912613207</v>
      </c>
      <c r="F5460" s="1">
        <f>106.133325635226*(38.9/42.5)</f>
        <v>97.143208640242577</v>
      </c>
      <c r="G5460" s="1">
        <v>5.0231589761960729</v>
      </c>
      <c r="H5460" s="1">
        <v>10.636189562299075</v>
      </c>
      <c r="I5460" s="1">
        <v>79.321349852399592</v>
      </c>
      <c r="J5460" s="1">
        <v>4.0584058044949085E-2</v>
      </c>
      <c r="K5460" s="1">
        <v>2.4471276396584134</v>
      </c>
      <c r="L5460" s="1">
        <v>2.7707195477813777</v>
      </c>
      <c r="M5460" s="1">
        <v>0.15934130241327252</v>
      </c>
      <c r="N5460" s="1">
        <v>1.842321194822657</v>
      </c>
      <c r="O5460" s="1">
        <v>0.14279434343434344</v>
      </c>
      <c r="P5460" s="1">
        <v>0.10287253153909455</v>
      </c>
      <c r="Q5460" s="1">
        <v>8.0278796423224961</v>
      </c>
      <c r="R5460" s="2">
        <f t="shared" si="343"/>
        <v>288.70709801602771</v>
      </c>
      <c r="S5460" s="2">
        <f t="shared" si="342"/>
        <v>2.5905842292424572</v>
      </c>
      <c r="T5460" s="2">
        <f t="shared" si="344"/>
        <v>4.9151763884516511</v>
      </c>
      <c r="U5460" s="2">
        <f t="shared" si="345"/>
        <v>296.21285863372179</v>
      </c>
    </row>
    <row r="5461" spans="1:21" x14ac:dyDescent="0.25">
      <c r="A5461">
        <v>5799177</v>
      </c>
      <c r="B5461">
        <v>6</v>
      </c>
      <c r="C5461" s="1">
        <f>6.1197536109131*(10.3/7.3)</f>
        <v>8.6347208482746538</v>
      </c>
      <c r="D5461" s="1">
        <f>8.81983115443364*(10.3/7.3)</f>
        <v>12.444419300091303</v>
      </c>
      <c r="E5461" s="1">
        <f>30.8785722432969*(10.3/7.3)</f>
        <v>43.568396452870935</v>
      </c>
      <c r="F5461" s="1">
        <f>67.8775180372808*(38.9/42.5)</f>
        <v>62.127892980005271</v>
      </c>
      <c r="G5461" s="1">
        <v>2.853687781931681</v>
      </c>
      <c r="H5461" s="1">
        <v>8.6154957504303038</v>
      </c>
      <c r="I5461" s="1">
        <v>49.356361990478774</v>
      </c>
      <c r="J5461" s="1">
        <v>3.4058782157939449E-2</v>
      </c>
      <c r="K5461" s="1">
        <v>2.1395396223179119</v>
      </c>
      <c r="L5461" s="1">
        <v>2.3280521746670035</v>
      </c>
      <c r="M5461" s="1">
        <v>0.13834250319190636</v>
      </c>
      <c r="N5461" s="1">
        <v>1.4937399493902355</v>
      </c>
      <c r="O5461" s="1">
        <v>0.12391999999999999</v>
      </c>
      <c r="P5461" s="1">
        <v>9.1352919981153691E-2</v>
      </c>
      <c r="Q5461" s="1">
        <v>4.5606882359638776</v>
      </c>
      <c r="R5461" s="2">
        <f t="shared" si="343"/>
        <v>192.1616633400468</v>
      </c>
      <c r="S5461" s="2">
        <f t="shared" si="342"/>
        <v>2.2649513244570048</v>
      </c>
      <c r="T5461" s="2">
        <f t="shared" si="344"/>
        <v>4.0840546272491451</v>
      </c>
      <c r="U5461" s="2">
        <f t="shared" si="345"/>
        <v>198.51066929175295</v>
      </c>
    </row>
    <row r="5462" spans="1:21" x14ac:dyDescent="0.25">
      <c r="A5462">
        <v>5799185</v>
      </c>
      <c r="B5462">
        <v>18</v>
      </c>
      <c r="C5462" s="1">
        <f>6.80879843661305*(10.3/7.3)</f>
        <v>9.6069347804266325</v>
      </c>
      <c r="D5462" s="1">
        <f>10.2850765902004*(10.3/7.3)</f>
        <v>14.511820394392362</v>
      </c>
      <c r="E5462" s="1">
        <f>35.8280076823211*(10.3/7.3)</f>
        <v>50.55184645587768</v>
      </c>
      <c r="F5462" s="1">
        <f>84.6036228336334*(38.9/42.5)</f>
        <v>77.437198311255059</v>
      </c>
      <c r="G5462" s="1">
        <v>3.8264356390846888</v>
      </c>
      <c r="H5462" s="1">
        <v>10.765684024228857</v>
      </c>
      <c r="I5462" s="1">
        <v>61.753700835182762</v>
      </c>
      <c r="J5462" s="1">
        <v>3.5968223848687711E-2</v>
      </c>
      <c r="K5462" s="1">
        <v>2.2005684940506622</v>
      </c>
      <c r="L5462" s="1">
        <v>2.4227603690253265</v>
      </c>
      <c r="M5462" s="1">
        <v>0.14169688906318587</v>
      </c>
      <c r="N5462" s="1">
        <v>1.5249038281182647</v>
      </c>
      <c r="O5462" s="1">
        <v>0.12751999999999999</v>
      </c>
      <c r="P5462" s="1">
        <v>9.3273553609862392E-2</v>
      </c>
      <c r="Q5462" s="1">
        <v>6.1153080989937996</v>
      </c>
      <c r="R5462" s="2">
        <f t="shared" si="343"/>
        <v>234.56892853944183</v>
      </c>
      <c r="S5462" s="2">
        <f t="shared" si="342"/>
        <v>2.3298102715092122</v>
      </c>
      <c r="T5462" s="2">
        <f t="shared" si="344"/>
        <v>4.2168810862067767</v>
      </c>
      <c r="U5462" s="2">
        <f t="shared" si="345"/>
        <v>241.11561989715781</v>
      </c>
    </row>
    <row r="5463" spans="1:21" x14ac:dyDescent="0.25">
      <c r="A5463">
        <v>5799249</v>
      </c>
      <c r="B5463">
        <v>71</v>
      </c>
      <c r="C5463" s="1">
        <f>6.03529891864808*(10.3/7.3)</f>
        <v>8.5155587482294859</v>
      </c>
      <c r="D5463" s="1">
        <f>9.3482941341771*(10.3/7.3)</f>
        <v>13.190058846852628</v>
      </c>
      <c r="E5463" s="1">
        <f>32.650806456811*(10.3/7.3)</f>
        <v>46.068946096596314</v>
      </c>
      <c r="F5463" s="1">
        <f>71.1824023701401*(38.9/42.5)</f>
        <v>65.152834169375268</v>
      </c>
      <c r="G5463" s="1">
        <v>3.0007674856201341</v>
      </c>
      <c r="H5463" s="1">
        <v>6.21208548552835</v>
      </c>
      <c r="I5463" s="1">
        <v>50.633073812709782</v>
      </c>
      <c r="J5463" s="1">
        <v>3.5195522499697166E-2</v>
      </c>
      <c r="K5463" s="1">
        <v>2.1028476926651982</v>
      </c>
      <c r="L5463" s="1">
        <v>2.2508782603056421</v>
      </c>
      <c r="M5463" s="1">
        <v>0.12675208556688547</v>
      </c>
      <c r="N5463" s="1">
        <v>1.4827906549642353</v>
      </c>
      <c r="O5463" s="1">
        <v>0.11376826291079814</v>
      </c>
      <c r="P5463" s="1">
        <v>8.6063887150570506E-2</v>
      </c>
      <c r="Q5463" s="1">
        <v>4.7957471231372022</v>
      </c>
      <c r="R5463" s="2">
        <f t="shared" si="343"/>
        <v>197.56907176804916</v>
      </c>
      <c r="S5463" s="2">
        <f t="shared" si="342"/>
        <v>2.2241071023154659</v>
      </c>
      <c r="T5463" s="2">
        <f t="shared" si="344"/>
        <v>3.9741892637475611</v>
      </c>
      <c r="U5463" s="2">
        <f t="shared" si="345"/>
        <v>203.76736813411216</v>
      </c>
    </row>
    <row r="5464" spans="1:21" x14ac:dyDescent="0.25">
      <c r="A5464">
        <v>5799257</v>
      </c>
      <c r="B5464">
        <v>22</v>
      </c>
      <c r="C5464" s="1">
        <f>6.20393801552437*(10.3/7.3)</f>
        <v>8.7535015835480863</v>
      </c>
      <c r="D5464" s="1">
        <f>9.36843775585434*(10.3/7.3)</f>
        <v>13.218480669219142</v>
      </c>
      <c r="E5464" s="1">
        <f>32.7874250540505*(10.3/7.3)</f>
        <v>46.261709322838335</v>
      </c>
      <c r="F5464" s="1">
        <f>69.6900532759764*(38.9/42.5)</f>
        <v>63.786895822011374</v>
      </c>
      <c r="G5464" s="1">
        <v>2.8514118286368371</v>
      </c>
      <c r="H5464" s="1">
        <v>7.4078534370529177</v>
      </c>
      <c r="I5464" s="1">
        <v>49.599233043740973</v>
      </c>
      <c r="J5464" s="1">
        <v>3.4014678555250796E-2</v>
      </c>
      <c r="K5464" s="1">
        <v>2.0907337958837919</v>
      </c>
      <c r="L5464" s="1">
        <v>2.2321163943839908</v>
      </c>
      <c r="M5464" s="1">
        <v>0.12448472556037321</v>
      </c>
      <c r="N5464" s="1">
        <v>1.478060016336961</v>
      </c>
      <c r="O5464" s="1">
        <v>0.11383030303030303</v>
      </c>
      <c r="P5464" s="1">
        <v>8.5435579271819759E-2</v>
      </c>
      <c r="Q5464" s="1">
        <v>4.5570508676844454</v>
      </c>
      <c r="R5464" s="2">
        <f t="shared" si="343"/>
        <v>196.4361365747321</v>
      </c>
      <c r="S5464" s="2">
        <f t="shared" si="342"/>
        <v>2.2101840537108624</v>
      </c>
      <c r="T5464" s="2">
        <f t="shared" si="344"/>
        <v>3.9484914393116286</v>
      </c>
      <c r="U5464" s="2">
        <f t="shared" si="345"/>
        <v>202.59481206775459</v>
      </c>
    </row>
    <row r="5465" spans="1:21" x14ac:dyDescent="0.25">
      <c r="A5465">
        <v>5810725</v>
      </c>
      <c r="B5465">
        <v>29</v>
      </c>
      <c r="C5465" s="1">
        <f>0.715455692748401*(10.3/7.3)</f>
        <v>1.0094785801792514</v>
      </c>
      <c r="D5465" s="1">
        <f>1.2081085197537*(10.3/7.3)</f>
        <v>1.7045914730771357</v>
      </c>
      <c r="E5465" s="1">
        <f>4.13933081058442*(10.3/7.3)</f>
        <v>5.8404256642492545</v>
      </c>
      <c r="F5465" s="1">
        <f>12.4390381168812*(38.9/42.5)</f>
        <v>11.3853784175689</v>
      </c>
      <c r="G5465" s="1">
        <v>0.67225090336455062</v>
      </c>
      <c r="H5465" s="1">
        <v>2.178876927475327</v>
      </c>
      <c r="I5465" s="1">
        <v>9.3258131608133947</v>
      </c>
      <c r="J5465" s="1">
        <v>5.0298352068582804E-2</v>
      </c>
      <c r="K5465" s="1">
        <v>13.5003726695348</v>
      </c>
      <c r="L5465" s="1">
        <v>2.2356026184753035</v>
      </c>
      <c r="M5465" s="1">
        <v>0.78501076651077983</v>
      </c>
      <c r="N5465" s="1">
        <v>1.2931081960699655</v>
      </c>
      <c r="O5465" s="1">
        <v>1.143668965517241</v>
      </c>
      <c r="P5465" s="1">
        <v>0.13426938267364175</v>
      </c>
      <c r="Q5465" s="1">
        <v>1.074373589852023</v>
      </c>
      <c r="R5465" s="2">
        <f t="shared" si="343"/>
        <v>33.19118871657983</v>
      </c>
      <c r="S5465" s="2">
        <f t="shared" si="342"/>
        <v>13.684940404277024</v>
      </c>
      <c r="T5465" s="2">
        <f t="shared" si="344"/>
        <v>5.4573905465732899</v>
      </c>
      <c r="U5465" s="2">
        <f t="shared" si="345"/>
        <v>52.333519667430139</v>
      </c>
    </row>
    <row r="5466" spans="1:21" x14ac:dyDescent="0.25">
      <c r="A5466">
        <v>5810741</v>
      </c>
      <c r="B5466">
        <v>1</v>
      </c>
      <c r="C5466" s="1">
        <f>0.716526960366591*(10.3/7.3)</f>
        <v>1.0109900947638204</v>
      </c>
      <c r="D5466" s="1">
        <f>1.24016320822002*(10.3/7.3)</f>
        <v>1.7498193211871507</v>
      </c>
      <c r="E5466" s="1">
        <f>4.23998390922661*(10.3/7.3)</f>
        <v>5.9824430500046732</v>
      </c>
      <c r="F5466" s="1">
        <f>13.0335922924803*(38.9/42.5)</f>
        <v>11.929570357117262</v>
      </c>
      <c r="G5466" s="1">
        <v>0.71447701240317318</v>
      </c>
      <c r="H5466" s="1">
        <v>2.7339600979694159</v>
      </c>
      <c r="I5466" s="1">
        <v>9.772582002447626</v>
      </c>
      <c r="J5466" s="1">
        <v>5.3031560557715178E-2</v>
      </c>
      <c r="K5466" s="1">
        <v>23.042045461384813</v>
      </c>
      <c r="L5466" s="1">
        <v>2.3763977797511884</v>
      </c>
      <c r="M5466" s="1">
        <v>0.9148426997558563</v>
      </c>
      <c r="N5466" s="1">
        <v>4.7605635209458663</v>
      </c>
      <c r="O5466" s="1">
        <v>1.1679999999999999</v>
      </c>
      <c r="P5466" s="1">
        <v>0.14900085967419133</v>
      </c>
      <c r="Q5466" s="1">
        <v>1.1418582390005063</v>
      </c>
      <c r="R5466" s="2">
        <f t="shared" si="343"/>
        <v>35.035700174893627</v>
      </c>
      <c r="S5466" s="2">
        <f t="shared" si="342"/>
        <v>23.244077881616722</v>
      </c>
      <c r="T5466" s="2">
        <f t="shared" si="344"/>
        <v>9.2198040004529105</v>
      </c>
      <c r="U5466" s="2">
        <f t="shared" si="345"/>
        <v>67.499582056963263</v>
      </c>
    </row>
    <row r="5467" spans="1:21" x14ac:dyDescent="0.25">
      <c r="A5467">
        <v>5810813</v>
      </c>
      <c r="B5467">
        <v>3</v>
      </c>
      <c r="C5467" s="1">
        <f>0.529197047252405*(10.3/7.3)</f>
        <v>0.74667528584928444</v>
      </c>
      <c r="D5467" s="1">
        <f>0.99270193102087*(10.3/7.3)</f>
        <v>1.4006616287006795</v>
      </c>
      <c r="E5467" s="1">
        <f>3.36205596675123*(10.3/7.3)</f>
        <v>4.7437228024024254</v>
      </c>
      <c r="F5467" s="1">
        <f>11.532046143819*(38.9/42.5)</f>
        <v>10.555213999871947</v>
      </c>
      <c r="G5467" s="1">
        <v>0.67048608657567643</v>
      </c>
      <c r="H5467" s="1">
        <v>8.5354375340217299</v>
      </c>
      <c r="I5467" s="1">
        <v>8.717055078517685</v>
      </c>
      <c r="J5467" s="1">
        <v>4.3091148555804953E-2</v>
      </c>
      <c r="K5467" s="1">
        <v>4.4861719406651881</v>
      </c>
      <c r="L5467" s="1">
        <v>2.2690626694565097</v>
      </c>
      <c r="M5467" s="1">
        <v>0.90610069469007659</v>
      </c>
      <c r="N5467" s="1">
        <v>1.5748470292887788</v>
      </c>
      <c r="O5467" s="1">
        <v>0.32812444444444444</v>
      </c>
      <c r="P5467" s="1">
        <v>0.12567019589345632</v>
      </c>
      <c r="Q5467" s="1">
        <v>1.0715531063994839</v>
      </c>
      <c r="R5467" s="2">
        <f t="shared" si="343"/>
        <v>36.440805522338913</v>
      </c>
      <c r="S5467" s="2">
        <f t="shared" si="342"/>
        <v>4.6549332851144491</v>
      </c>
      <c r="T5467" s="2">
        <f t="shared" si="344"/>
        <v>5.0781348378798095</v>
      </c>
      <c r="U5467" s="2">
        <f t="shared" si="345"/>
        <v>46.173873645333167</v>
      </c>
    </row>
    <row r="5468" spans="1:21" x14ac:dyDescent="0.25">
      <c r="A5468">
        <v>5810821</v>
      </c>
      <c r="B5468">
        <v>12</v>
      </c>
      <c r="C5468" s="1">
        <f>0.540647936696841*(10.3/7.3)</f>
        <v>0.76283202027088526</v>
      </c>
      <c r="D5468" s="1">
        <f>1.05060927822929*(10.3/7.3)</f>
        <v>1.4823665158577635</v>
      </c>
      <c r="E5468" s="1">
        <f>3.54528222482472*(10.3/7.3)</f>
        <v>5.0022475226978891</v>
      </c>
      <c r="F5468" s="1">
        <f>12.6342719290985*(38.9/42.5)</f>
        <v>11.564074777457236</v>
      </c>
      <c r="G5468" s="1">
        <v>0.74831068381196342</v>
      </c>
      <c r="H5468" s="1">
        <v>6.785073802543379</v>
      </c>
      <c r="I5468" s="1">
        <v>9.5704996110057365</v>
      </c>
      <c r="J5468" s="1">
        <v>4.1310417379025639E-2</v>
      </c>
      <c r="K5468" s="1">
        <v>4.3101930260267434</v>
      </c>
      <c r="L5468" s="1">
        <v>2.2770111807783247</v>
      </c>
      <c r="M5468" s="1">
        <v>0.86554734717453929</v>
      </c>
      <c r="N5468" s="1">
        <v>1.5870661730264226</v>
      </c>
      <c r="O5468" s="1">
        <v>0.32143111111111111</v>
      </c>
      <c r="P5468" s="1">
        <v>0.12680043292748241</v>
      </c>
      <c r="Q5468" s="1">
        <v>1.1959303165944632</v>
      </c>
      <c r="R5468" s="2">
        <f t="shared" si="343"/>
        <v>37.111335250239314</v>
      </c>
      <c r="S5468" s="2">
        <f t="shared" si="342"/>
        <v>4.4783038763332517</v>
      </c>
      <c r="T5468" s="2">
        <f t="shared" si="344"/>
        <v>5.0510558120903974</v>
      </c>
      <c r="U5468" s="2">
        <f t="shared" si="345"/>
        <v>46.640694938662961</v>
      </c>
    </row>
    <row r="5469" spans="1:21" x14ac:dyDescent="0.25">
      <c r="A5469">
        <v>5811261</v>
      </c>
      <c r="B5469">
        <v>20</v>
      </c>
      <c r="C5469" s="1">
        <f>2.78993453342295*(10.3/7.3)</f>
        <v>3.9364829718159382</v>
      </c>
      <c r="D5469" s="1">
        <f>4.61787026115868*(10.3/7.3)</f>
        <v>6.5156251630047111</v>
      </c>
      <c r="E5469" s="1">
        <f>15.9792697561095*(10.3/7.3)</f>
        <v>22.546092943551759</v>
      </c>
      <c r="F5469" s="1">
        <f>40.4870131311381*(38.9/42.5)</f>
        <v>37.057524960029923</v>
      </c>
      <c r="G5469" s="1">
        <v>1.9576498467941281</v>
      </c>
      <c r="H5469" s="1">
        <v>7.408632134262743</v>
      </c>
      <c r="I5469" s="1">
        <v>29.396234357996583</v>
      </c>
      <c r="J5469" s="1">
        <v>3.6741052693002416E-2</v>
      </c>
      <c r="K5469" s="1">
        <v>2.0527336863661332</v>
      </c>
      <c r="L5469" s="1">
        <v>2.5981116040036367</v>
      </c>
      <c r="M5469" s="1">
        <v>0.16345131042656422</v>
      </c>
      <c r="N5469" s="1">
        <v>2.1716807477878168</v>
      </c>
      <c r="O5469" s="1">
        <v>0.13366933333333333</v>
      </c>
      <c r="P5469" s="1">
        <v>9.5859338006288014E-2</v>
      </c>
      <c r="Q5469" s="1">
        <v>3.1286641387120797</v>
      </c>
      <c r="R5469" s="2">
        <f t="shared" si="343"/>
        <v>111.94690651616787</v>
      </c>
      <c r="S5469" s="2">
        <f t="shared" si="342"/>
        <v>2.1853340770654239</v>
      </c>
      <c r="T5469" s="2">
        <f t="shared" si="344"/>
        <v>5.0669129955513519</v>
      </c>
      <c r="U5469" s="2">
        <f t="shared" si="345"/>
        <v>119.19915358878464</v>
      </c>
    </row>
    <row r="5470" spans="1:21" x14ac:dyDescent="0.25">
      <c r="A5470">
        <v>5811397</v>
      </c>
      <c r="B5470">
        <v>32</v>
      </c>
      <c r="C5470" s="1">
        <f>8.93517881996888*(10.3/7.3)</f>
        <v>12.607170115846502</v>
      </c>
      <c r="D5470" s="1">
        <f>12.056316335951*(10.3/7.3)</f>
        <v>17.010966884971936</v>
      </c>
      <c r="E5470" s="1">
        <f>42.2513034940131*(10.3/7.3)</f>
        <v>59.614852875114408</v>
      </c>
      <c r="F5470" s="1">
        <f>96.4991664022126*(38.9/42.5)</f>
        <v>88.32511936578986</v>
      </c>
      <c r="G5470" s="1">
        <v>4.1675366881119542</v>
      </c>
      <c r="H5470" s="1">
        <v>9.8445363323145401</v>
      </c>
      <c r="I5470" s="1">
        <v>72.073462845471639</v>
      </c>
      <c r="J5470" s="1">
        <v>4.2976758854516607E-2</v>
      </c>
      <c r="K5470" s="1">
        <v>2.574505779636362</v>
      </c>
      <c r="L5470" s="1">
        <v>2.9253445891954044</v>
      </c>
      <c r="M5470" s="1">
        <v>0.16841723994107125</v>
      </c>
      <c r="N5470" s="1">
        <v>2.1127746158924103</v>
      </c>
      <c r="O5470" s="1">
        <v>0.15118666666666664</v>
      </c>
      <c r="P5470" s="1">
        <v>0.1076210975907729</v>
      </c>
      <c r="Q5470" s="1">
        <v>6.6604467618227643</v>
      </c>
      <c r="R5470" s="2">
        <f t="shared" si="343"/>
        <v>270.3040918694436</v>
      </c>
      <c r="S5470" s="2">
        <f t="shared" si="342"/>
        <v>2.7251036360816512</v>
      </c>
      <c r="T5470" s="2">
        <f t="shared" si="344"/>
        <v>5.3577231116955533</v>
      </c>
      <c r="U5470" s="2">
        <f t="shared" si="345"/>
        <v>278.38691861722083</v>
      </c>
    </row>
    <row r="5471" spans="1:21" x14ac:dyDescent="0.25">
      <c r="A5471">
        <v>5811405</v>
      </c>
      <c r="B5471">
        <v>10</v>
      </c>
      <c r="C5471" s="1">
        <f>8.83331569038925*(10.3/7.3)</f>
        <v>12.463445426165656</v>
      </c>
      <c r="D5471" s="1">
        <f>12.2861790052121*(10.3/7.3)</f>
        <v>17.335293664888273</v>
      </c>
      <c r="E5471" s="1">
        <f>43.0018718085184*(10.3/7.3)</f>
        <v>60.673873921608148</v>
      </c>
      <c r="F5471" s="1">
        <f>98.2648130549413*(38.9/42.5)</f>
        <v>89.941205360875685</v>
      </c>
      <c r="G5471" s="1">
        <v>4.2657249710336327</v>
      </c>
      <c r="H5471" s="1">
        <v>8.5179702868053138</v>
      </c>
      <c r="I5471" s="1">
        <v>72.781649855091004</v>
      </c>
      <c r="J5471" s="1">
        <v>4.3175446870448352E-2</v>
      </c>
      <c r="K5471" s="1">
        <v>2.5687472172349621</v>
      </c>
      <c r="L5471" s="1">
        <v>2.9232166587683865</v>
      </c>
      <c r="M5471" s="1">
        <v>0.16594423613137368</v>
      </c>
      <c r="N5471" s="1">
        <v>1.8980966304402269</v>
      </c>
      <c r="O5471" s="1">
        <v>0.14970666666666671</v>
      </c>
      <c r="P5471" s="1">
        <v>0.10702703792879782</v>
      </c>
      <c r="Q5471" s="1">
        <v>6.817368675167911</v>
      </c>
      <c r="R5471" s="2">
        <f t="shared" si="343"/>
        <v>272.79653216163564</v>
      </c>
      <c r="S5471" s="2">
        <f t="shared" si="342"/>
        <v>2.7189497020342084</v>
      </c>
      <c r="T5471" s="2">
        <f t="shared" si="344"/>
        <v>5.136964192006654</v>
      </c>
      <c r="U5471" s="2">
        <f t="shared" si="345"/>
        <v>280.65244605567648</v>
      </c>
    </row>
    <row r="5472" spans="1:21" x14ac:dyDescent="0.25">
      <c r="A5472">
        <v>5811413</v>
      </c>
      <c r="B5472">
        <v>3</v>
      </c>
      <c r="C5472" s="1">
        <f>5.93189264205657*(10.3/7.3)</f>
        <v>8.3696567415318697</v>
      </c>
      <c r="D5472" s="1">
        <f>8.59680562118302*(10.3/7.3)</f>
        <v>12.129739438107555</v>
      </c>
      <c r="E5472" s="1">
        <f>30.0746346433562*(10.3/7.3)</f>
        <v>42.434073537886157</v>
      </c>
      <c r="F5472" s="1">
        <f>66.9484094737764*(38.9/42.5)</f>
        <v>61.277485377174159</v>
      </c>
      <c r="G5472" s="1">
        <v>2.8522571827177785</v>
      </c>
      <c r="H5472" s="1">
        <v>9.0247443951482555</v>
      </c>
      <c r="I5472" s="1">
        <v>48.746035654878206</v>
      </c>
      <c r="J5472" s="1">
        <v>3.3569399324606931E-2</v>
      </c>
      <c r="K5472" s="1">
        <v>2.1014618020337212</v>
      </c>
      <c r="L5472" s="1">
        <v>2.2782139434575952</v>
      </c>
      <c r="M5472" s="1">
        <v>0.13548477205525047</v>
      </c>
      <c r="N5472" s="1">
        <v>1.4562351754443954</v>
      </c>
      <c r="O5472" s="1">
        <v>0.12167111111111112</v>
      </c>
      <c r="P5472" s="1">
        <v>8.9670078644269111E-2</v>
      </c>
      <c r="Q5472" s="1">
        <v>4.5584018901882351</v>
      </c>
      <c r="R5472" s="2">
        <f t="shared" si="343"/>
        <v>189.39239421763222</v>
      </c>
      <c r="S5472" s="2">
        <f t="shared" si="342"/>
        <v>2.2247012800025976</v>
      </c>
      <c r="T5472" s="2">
        <f t="shared" si="344"/>
        <v>3.991605002068352</v>
      </c>
      <c r="U5472" s="2">
        <f t="shared" si="345"/>
        <v>195.60870049970316</v>
      </c>
    </row>
    <row r="5473" spans="1:21" x14ac:dyDescent="0.25">
      <c r="A5473">
        <v>5811429</v>
      </c>
      <c r="B5473">
        <v>7</v>
      </c>
      <c r="C5473" s="1">
        <f>6.79713417655785*(10.3/7.3)</f>
        <v>9.5904769888418944</v>
      </c>
      <c r="D5473" s="1">
        <f>10.1724145373356*(10.3/7.3)</f>
        <v>14.352858867747436</v>
      </c>
      <c r="E5473" s="1">
        <f>35.3702796989809*(10.3/7.3)</f>
        <v>49.906011082123719</v>
      </c>
      <c r="F5473" s="1">
        <f>87.4738440623363*(38.9/42.5)</f>
        <v>80.06429491823252</v>
      </c>
      <c r="G5473" s="1">
        <v>4.1051044442927482</v>
      </c>
      <c r="H5473" s="1">
        <v>10.825374449316701</v>
      </c>
      <c r="I5473" s="1">
        <v>64.642760886841586</v>
      </c>
      <c r="J5473" s="1">
        <v>3.5533800606877261E-2</v>
      </c>
      <c r="K5473" s="1">
        <v>2.1608134252495721</v>
      </c>
      <c r="L5473" s="1">
        <v>2.353332719477462</v>
      </c>
      <c r="M5473" s="1">
        <v>0.13711198103185712</v>
      </c>
      <c r="N5473" s="1">
        <v>1.5044578722656168</v>
      </c>
      <c r="O5473" s="1">
        <v>0.12397714285714286</v>
      </c>
      <c r="P5473" s="1">
        <v>9.0950228719364576E-2</v>
      </c>
      <c r="Q5473" s="1">
        <v>6.5606692032075937</v>
      </c>
      <c r="R5473" s="2">
        <f t="shared" si="343"/>
        <v>240.0475508406042</v>
      </c>
      <c r="S5473" s="2">
        <f t="shared" si="342"/>
        <v>2.287297454575814</v>
      </c>
      <c r="T5473" s="2">
        <f t="shared" si="344"/>
        <v>4.1188797156320787</v>
      </c>
      <c r="U5473" s="2">
        <f t="shared" si="345"/>
        <v>246.45372801081211</v>
      </c>
    </row>
    <row r="5474" spans="1:21" x14ac:dyDescent="0.25">
      <c r="A5474">
        <v>5811477</v>
      </c>
      <c r="B5474">
        <v>14</v>
      </c>
      <c r="C5474" s="1">
        <f>6.19571354834576*(10.3/7.3)</f>
        <v>8.7418971983508627</v>
      </c>
      <c r="D5474" s="1">
        <f>10.0227390662795*(10.3/7.3)</f>
        <v>14.141672929134112</v>
      </c>
      <c r="E5474" s="1">
        <f>34.9152878634706*(10.3/7.3)</f>
        <v>49.264036300513247</v>
      </c>
      <c r="F5474" s="1">
        <f>77.9688981751328*(38.9/42.5)</f>
        <v>71.36447385912156</v>
      </c>
      <c r="G5474" s="1">
        <v>3.3845422759475832</v>
      </c>
      <c r="H5474" s="1">
        <v>8.1105131546223781</v>
      </c>
      <c r="I5474" s="1">
        <v>55.17104055832597</v>
      </c>
      <c r="J5474" s="1">
        <v>3.4826397923352431E-2</v>
      </c>
      <c r="K5474" s="1">
        <v>2.0334898509401405</v>
      </c>
      <c r="L5474" s="1">
        <v>2.1736577406264539</v>
      </c>
      <c r="M5474" s="1">
        <v>0.12258393190944239</v>
      </c>
      <c r="N5474" s="1">
        <v>1.6480309118877243</v>
      </c>
      <c r="O5474" s="1">
        <v>0.1115695238095238</v>
      </c>
      <c r="P5474" s="1">
        <v>8.3914224355209219E-2</v>
      </c>
      <c r="Q5474" s="1">
        <v>5.4090858291399773</v>
      </c>
      <c r="R5474" s="2">
        <f t="shared" si="343"/>
        <v>215.58726210515565</v>
      </c>
      <c r="S5474" s="2">
        <f t="shared" si="342"/>
        <v>2.1522304732187019</v>
      </c>
      <c r="T5474" s="2">
        <f t="shared" si="344"/>
        <v>4.0558421082331444</v>
      </c>
      <c r="U5474" s="2">
        <f t="shared" si="345"/>
        <v>221.7953346866075</v>
      </c>
    </row>
    <row r="5475" spans="1:21" x14ac:dyDescent="0.25">
      <c r="A5475">
        <v>5811485</v>
      </c>
      <c r="B5475">
        <v>48</v>
      </c>
      <c r="C5475" s="1">
        <f>5.15597041600645*(10.3/7.3)</f>
        <v>7.27486236778992</v>
      </c>
      <c r="D5475" s="1">
        <f>8.0211320029179*(10.3/7.3)</f>
        <v>11.317487620555394</v>
      </c>
      <c r="E5475" s="1">
        <f>28.0311182009853*(10.3/7.3)</f>
        <v>39.550755817828581</v>
      </c>
      <c r="F5475" s="1">
        <f>60.0895525093321*(38.9/42.5)</f>
        <v>54.999613943835705</v>
      </c>
      <c r="G5475" s="1">
        <v>2.4919697119415622</v>
      </c>
      <c r="H5475" s="1">
        <v>5.9798728952033038</v>
      </c>
      <c r="I5475" s="1">
        <v>42.504228578740154</v>
      </c>
      <c r="J5475" s="1">
        <v>3.1729970495852772E-2</v>
      </c>
      <c r="K5475" s="1">
        <v>1.9517086627793088</v>
      </c>
      <c r="L5475" s="1">
        <v>2.0499392184900684</v>
      </c>
      <c r="M5475" s="1">
        <v>0.11722695364866929</v>
      </c>
      <c r="N5475" s="1">
        <v>1.4563285958626133</v>
      </c>
      <c r="O5475" s="1">
        <v>0.10642777777777779</v>
      </c>
      <c r="P5475" s="1">
        <v>8.0677390587095679E-2</v>
      </c>
      <c r="Q5475" s="1">
        <v>3.9825999962536414</v>
      </c>
      <c r="R5475" s="2">
        <f t="shared" si="343"/>
        <v>168.10139093214826</v>
      </c>
      <c r="S5475" s="2">
        <f t="shared" si="342"/>
        <v>2.0641160238622573</v>
      </c>
      <c r="T5475" s="2">
        <f t="shared" si="344"/>
        <v>3.7299225457791292</v>
      </c>
      <c r="U5475" s="2">
        <f t="shared" si="345"/>
        <v>173.89542950178964</v>
      </c>
    </row>
    <row r="5476" spans="1:21" x14ac:dyDescent="0.25">
      <c r="A5476">
        <v>5822953</v>
      </c>
      <c r="B5476">
        <v>14</v>
      </c>
      <c r="C5476" s="1">
        <f>0.49229436304199*(10.3/7.3)</f>
        <v>0.69460711497705496</v>
      </c>
      <c r="D5476" s="1">
        <f>0.786357565485686*(10.3/7.3)</f>
        <v>1.1095182088359687</v>
      </c>
      <c r="E5476" s="1">
        <f>2.71021117603003*(10.3/7.3)</f>
        <v>3.8239965908368916</v>
      </c>
      <c r="F5476" s="1">
        <f>7.59253362257251*(38.9/42.5)</f>
        <v>6.9494013627781346</v>
      </c>
      <c r="G5476" s="1">
        <v>0.39178747721732787</v>
      </c>
      <c r="H5476" s="1">
        <v>1.5378375591881395</v>
      </c>
      <c r="I5476" s="1">
        <v>5.6737802533163206</v>
      </c>
      <c r="J5476" s="1">
        <v>3.6652187882886968E-2</v>
      </c>
      <c r="K5476" s="1">
        <v>10.512447975689197</v>
      </c>
      <c r="L5476" s="1">
        <v>1.7699104066833873</v>
      </c>
      <c r="M5476" s="1">
        <v>0.64391060013628321</v>
      </c>
      <c r="N5476" s="1">
        <v>1.1062005661237817</v>
      </c>
      <c r="O5476" s="1">
        <v>0.92015238095238094</v>
      </c>
      <c r="P5476" s="1">
        <v>0.12374254693768705</v>
      </c>
      <c r="Q5476" s="1">
        <v>0.62614436998203171</v>
      </c>
      <c r="R5476" s="2">
        <f t="shared" si="343"/>
        <v>20.807072937131871</v>
      </c>
      <c r="S5476" s="2">
        <f t="shared" si="342"/>
        <v>10.672842710509769</v>
      </c>
      <c r="T5476" s="2">
        <f t="shared" si="344"/>
        <v>4.4401739538958331</v>
      </c>
      <c r="U5476" s="2">
        <f t="shared" si="345"/>
        <v>35.92008960153747</v>
      </c>
    </row>
    <row r="5477" spans="1:21" x14ac:dyDescent="0.25">
      <c r="A5477">
        <v>5822961</v>
      </c>
      <c r="B5477">
        <v>57</v>
      </c>
      <c r="C5477" s="1">
        <f>0.710301030545086*(10.3/7.3)</f>
        <v>1.0022055636458063</v>
      </c>
      <c r="D5477" s="1">
        <f>1.2004992338556*(10.3/7.3)</f>
        <v>1.6938550833852919</v>
      </c>
      <c r="E5477" s="1">
        <f>4.11557900712375*(10.3/7.3)</f>
        <v>5.806912845667763</v>
      </c>
      <c r="F5477" s="1">
        <f>12.2417192744893*(38.9/42.5)</f>
        <v>11.204773641826669</v>
      </c>
      <c r="G5477" s="1">
        <v>0.6578497543086681</v>
      </c>
      <c r="H5477" s="1">
        <v>2.3313765870577283</v>
      </c>
      <c r="I5477" s="1">
        <v>9.1582666946656826</v>
      </c>
      <c r="J5477" s="1">
        <v>5.033854057313393E-2</v>
      </c>
      <c r="K5477" s="1">
        <v>18.816131762242929</v>
      </c>
      <c r="L5477" s="1">
        <v>2.3602949836420848</v>
      </c>
      <c r="M5477" s="1">
        <v>0.87211553345998549</v>
      </c>
      <c r="N5477" s="1">
        <v>1.4490227993742812</v>
      </c>
      <c r="O5477" s="1">
        <v>1.2688000000000004</v>
      </c>
      <c r="P5477" s="1">
        <v>0.14579934472206962</v>
      </c>
      <c r="Q5477" s="1">
        <v>1.0513580548312058</v>
      </c>
      <c r="R5477" s="2">
        <f t="shared" si="343"/>
        <v>32.906598225388812</v>
      </c>
      <c r="S5477" s="2">
        <f t="shared" si="342"/>
        <v>19.01226964753813</v>
      </c>
      <c r="T5477" s="2">
        <f t="shared" si="344"/>
        <v>5.9502333164763517</v>
      </c>
      <c r="U5477" s="2">
        <f t="shared" si="345"/>
        <v>57.869101189403288</v>
      </c>
    </row>
    <row r="5478" spans="1:21" x14ac:dyDescent="0.25">
      <c r="A5478">
        <v>5822969</v>
      </c>
      <c r="B5478">
        <v>10</v>
      </c>
      <c r="C5478" s="1">
        <f>0.806182446068937*(10.3/7.3)</f>
        <v>1.137490300617815</v>
      </c>
      <c r="D5478" s="1">
        <f>1.41903478303174*(10.3/7.3)</f>
        <v>2.0021997623598495</v>
      </c>
      <c r="E5478" s="1">
        <f>4.84386391784226*(10.3/7.3)</f>
        <v>6.8344929251746986</v>
      </c>
      <c r="F5478" s="1">
        <f>15.1471049919162*(38.9/42.5)</f>
        <v>13.864056098483315</v>
      </c>
      <c r="G5478" s="1">
        <v>0.83887476704805053</v>
      </c>
      <c r="H5478" s="1">
        <v>3.0521327241884388</v>
      </c>
      <c r="I5478" s="1">
        <v>11.362864077183508</v>
      </c>
      <c r="J5478" s="1">
        <v>5.7917185363776422E-2</v>
      </c>
      <c r="K5478" s="1">
        <v>22.92403482816615</v>
      </c>
      <c r="L5478" s="1">
        <v>2.7736865855259181</v>
      </c>
      <c r="M5478" s="1">
        <v>1.0200828983345063</v>
      </c>
      <c r="N5478" s="1">
        <v>2.3034702335440622</v>
      </c>
      <c r="O5478" s="1">
        <v>1.3036266666666667</v>
      </c>
      <c r="P5478" s="1">
        <v>0.15569044605483079</v>
      </c>
      <c r="Q5478" s="1">
        <v>1.3406674359215436</v>
      </c>
      <c r="R5478" s="2">
        <f t="shared" si="343"/>
        <v>40.432778090977223</v>
      </c>
      <c r="S5478" s="2">
        <f t="shared" si="342"/>
        <v>23.137642459584757</v>
      </c>
      <c r="T5478" s="2">
        <f t="shared" si="344"/>
        <v>7.4008663840711524</v>
      </c>
      <c r="U5478" s="2">
        <f t="shared" si="345"/>
        <v>70.971286934633127</v>
      </c>
    </row>
    <row r="5479" spans="1:21" x14ac:dyDescent="0.25">
      <c r="A5479">
        <v>5823049</v>
      </c>
      <c r="B5479">
        <v>11</v>
      </c>
      <c r="C5479" s="1">
        <f>0.544682149921402*(10.3/7.3)</f>
        <v>0.76852412934115688</v>
      </c>
      <c r="D5479" s="1">
        <f>1.04510210394711*(10.3/7.3)</f>
        <v>1.4745961192678405</v>
      </c>
      <c r="E5479" s="1">
        <f>3.53189682329274*(10.3/7.3)</f>
        <v>4.9833612712212698</v>
      </c>
      <c r="F5479" s="1">
        <f>12.3851748994527*(38.9/42.5)</f>
        <v>11.336077731499072</v>
      </c>
      <c r="G5479" s="1">
        <v>0.72803519131674754</v>
      </c>
      <c r="H5479" s="1">
        <v>7.0742351226484708</v>
      </c>
      <c r="I5479" s="1">
        <v>9.3703907953092376</v>
      </c>
      <c r="J5479" s="1">
        <v>4.1302573881171381E-2</v>
      </c>
      <c r="K5479" s="1">
        <v>4.2282646653060452</v>
      </c>
      <c r="L5479" s="1">
        <v>2.2152185516293175</v>
      </c>
      <c r="M5479" s="1">
        <v>0.85197833913032561</v>
      </c>
      <c r="N5479" s="1">
        <v>1.5321205280664634</v>
      </c>
      <c r="O5479" s="1">
        <v>0.31761454545454543</v>
      </c>
      <c r="P5479" s="1">
        <v>0.12391103632797437</v>
      </c>
      <c r="Q5479" s="1">
        <v>1.1635265614651227</v>
      </c>
      <c r="R5479" s="2">
        <f t="shared" si="343"/>
        <v>36.898746922068923</v>
      </c>
      <c r="S5479" s="2">
        <f t="shared" si="342"/>
        <v>4.3934782755151902</v>
      </c>
      <c r="T5479" s="2">
        <f t="shared" si="344"/>
        <v>4.9169319642806517</v>
      </c>
      <c r="U5479" s="2">
        <f t="shared" si="345"/>
        <v>46.209157161864766</v>
      </c>
    </row>
    <row r="5480" spans="1:21" x14ac:dyDescent="0.25">
      <c r="A5480">
        <v>5823489</v>
      </c>
      <c r="B5480">
        <v>4</v>
      </c>
      <c r="C5480" s="1">
        <f>3.17249381381878*(10.3/7.3)</f>
        <v>4.476258394840201</v>
      </c>
      <c r="D5480" s="1">
        <f>4.78886830297126*(10.3/7.3)</f>
        <v>6.7568963726854827</v>
      </c>
      <c r="E5480" s="1">
        <f>16.5819829399524*(10.3/7.3)</f>
        <v>23.3964964769192</v>
      </c>
      <c r="F5480" s="1">
        <f>44.2628527954226*(38.9/42.5)</f>
        <v>40.513528793927996</v>
      </c>
      <c r="G5480" s="1">
        <v>2.2000827660800519</v>
      </c>
      <c r="H5480" s="1">
        <v>9.1963377051428523</v>
      </c>
      <c r="I5480" s="1">
        <v>33.154056677542613</v>
      </c>
      <c r="J5480" s="1">
        <v>3.3181853381447649E-2</v>
      </c>
      <c r="K5480" s="1">
        <v>1.9583751399117104</v>
      </c>
      <c r="L5480" s="1">
        <v>2.5511490413456506</v>
      </c>
      <c r="M5480" s="1">
        <v>0.1579811504148651</v>
      </c>
      <c r="N5480" s="1">
        <v>2.0128743577027906</v>
      </c>
      <c r="O5480" s="1">
        <v>0.12673333333333334</v>
      </c>
      <c r="P5480" s="1">
        <v>9.1968101853174528E-2</v>
      </c>
      <c r="Q5480" s="1">
        <v>3.5161140097169818</v>
      </c>
      <c r="R5480" s="2">
        <f t="shared" si="343"/>
        <v>123.2097711968554</v>
      </c>
      <c r="S5480" s="2">
        <f t="shared" si="342"/>
        <v>2.0835250951463324</v>
      </c>
      <c r="T5480" s="2">
        <f t="shared" si="344"/>
        <v>4.8487378827966392</v>
      </c>
      <c r="U5480" s="2">
        <f t="shared" si="345"/>
        <v>130.14203417479837</v>
      </c>
    </row>
    <row r="5481" spans="1:21" x14ac:dyDescent="0.25">
      <c r="A5481">
        <v>5823625</v>
      </c>
      <c r="B5481">
        <v>1</v>
      </c>
      <c r="C5481" s="1">
        <f>9.5072254274322*(10.3/7.3)</f>
        <v>13.414304370212559</v>
      </c>
      <c r="D5481" s="1">
        <f>12.6812192662518*(10.3/7.3)</f>
        <v>17.892679238684028</v>
      </c>
      <c r="E5481" s="1">
        <f>44.4667563012236*(10.3/7.3)</f>
        <v>62.740765740082622</v>
      </c>
      <c r="F5481" s="1">
        <f>101.361739707233*(38.9/42.5)</f>
        <v>92.775804108502498</v>
      </c>
      <c r="G5481" s="1">
        <v>4.3615393533847406</v>
      </c>
      <c r="H5481" s="1">
        <v>10.23513505161913</v>
      </c>
      <c r="I5481" s="1">
        <v>75.923226242644006</v>
      </c>
      <c r="J5481" s="1">
        <v>4.4528180228249573E-2</v>
      </c>
      <c r="K5481" s="1">
        <v>2.6228079967246041</v>
      </c>
      <c r="L5481" s="1">
        <v>3.0158802451722826</v>
      </c>
      <c r="M5481" s="1">
        <v>0.17295270438571766</v>
      </c>
      <c r="N5481" s="1">
        <v>1.9133365864406617</v>
      </c>
      <c r="O5481" s="1">
        <v>0.15493333333333331</v>
      </c>
      <c r="P5481" s="1">
        <v>0.10937512800665526</v>
      </c>
      <c r="Q5481" s="1">
        <v>6.9704966834916018</v>
      </c>
      <c r="R5481" s="2">
        <f t="shared" si="343"/>
        <v>284.31395078862118</v>
      </c>
      <c r="S5481" s="2">
        <f t="shared" si="342"/>
        <v>2.7767113049595089</v>
      </c>
      <c r="T5481" s="2">
        <f t="shared" si="344"/>
        <v>5.2571028693319954</v>
      </c>
      <c r="U5481" s="2">
        <f t="shared" si="345"/>
        <v>292.34776496291272</v>
      </c>
    </row>
    <row r="5482" spans="1:21" x14ac:dyDescent="0.25">
      <c r="A5482">
        <v>5823633</v>
      </c>
      <c r="B5482">
        <v>22</v>
      </c>
      <c r="C5482" s="1">
        <f>8.47927048252303*(10.3/7.3)</f>
        <v>11.963902187669488</v>
      </c>
      <c r="D5482" s="1">
        <f>11.6016068665652*(10.3/7.3)</f>
        <v>16.369390510359185</v>
      </c>
      <c r="E5482" s="1">
        <f>40.6393292998254*(10.3/7.3)</f>
        <v>57.340423532630368</v>
      </c>
      <c r="F5482" s="1">
        <f>92.5571686591007*(38.9/42.5)</f>
        <v>84.717032019741566</v>
      </c>
      <c r="G5482" s="1">
        <v>3.9953222114349916</v>
      </c>
      <c r="H5482" s="1">
        <v>8.1500587580231798</v>
      </c>
      <c r="I5482" s="1">
        <v>68.820501306132755</v>
      </c>
      <c r="J5482" s="1">
        <v>4.2534645953949152E-2</v>
      </c>
      <c r="K5482" s="1">
        <v>2.5474677692629402</v>
      </c>
      <c r="L5482" s="1">
        <v>2.8682258857984695</v>
      </c>
      <c r="M5482" s="1">
        <v>0.1652198387535572</v>
      </c>
      <c r="N5482" s="1">
        <v>1.8106363501052172</v>
      </c>
      <c r="O5482" s="1">
        <v>0.14903030303030301</v>
      </c>
      <c r="P5482" s="1">
        <v>0.10597757967945184</v>
      </c>
      <c r="Q5482" s="1">
        <v>6.385218146128989</v>
      </c>
      <c r="R5482" s="2">
        <f t="shared" si="343"/>
        <v>257.74184867212051</v>
      </c>
      <c r="S5482" s="2">
        <f t="shared" si="342"/>
        <v>2.6959799948963412</v>
      </c>
      <c r="T5482" s="2">
        <f t="shared" si="344"/>
        <v>4.993112377687547</v>
      </c>
      <c r="U5482" s="2">
        <f t="shared" si="345"/>
        <v>265.43094104470441</v>
      </c>
    </row>
    <row r="5483" spans="1:21" x14ac:dyDescent="0.25">
      <c r="A5483">
        <v>5823641</v>
      </c>
      <c r="B5483">
        <v>22</v>
      </c>
      <c r="C5483" s="1">
        <f>6.91688034963009*(10.3/7.3)</f>
        <v>9.7594339179712293</v>
      </c>
      <c r="D5483" s="1">
        <f>9.60981017948367*(10.3/7.3)</f>
        <v>13.559047239545448</v>
      </c>
      <c r="E5483" s="1">
        <f>33.6728087602579*(10.3/7.3)</f>
        <v>47.510949346665313</v>
      </c>
      <c r="F5483" s="1">
        <f>75.0819030556715*(38.9/42.5)</f>
        <v>68.722024208602818</v>
      </c>
      <c r="G5483" s="1">
        <v>3.1830019668864491</v>
      </c>
      <c r="H5483" s="1">
        <v>6.758786409806552</v>
      </c>
      <c r="I5483" s="1">
        <v>55.340143690060955</v>
      </c>
      <c r="J5483" s="1">
        <v>3.7191295186222897E-2</v>
      </c>
      <c r="K5483" s="1">
        <v>2.2972083098599683</v>
      </c>
      <c r="L5483" s="1">
        <v>2.5404840286611376</v>
      </c>
      <c r="M5483" s="1">
        <v>0.14850359835449101</v>
      </c>
      <c r="N5483" s="1">
        <v>1.600818806550266</v>
      </c>
      <c r="O5483" s="1">
        <v>0.13298666666666664</v>
      </c>
      <c r="P5483" s="1">
        <v>9.7060740085115296E-2</v>
      </c>
      <c r="Q5483" s="1">
        <v>5.0869894447956989</v>
      </c>
      <c r="R5483" s="2">
        <f t="shared" si="343"/>
        <v>209.92037622433449</v>
      </c>
      <c r="S5483" s="2">
        <f t="shared" si="342"/>
        <v>2.4314603451313066</v>
      </c>
      <c r="T5483" s="2">
        <f t="shared" si="344"/>
        <v>4.4227931002325613</v>
      </c>
      <c r="U5483" s="2">
        <f t="shared" si="345"/>
        <v>216.77462966969836</v>
      </c>
    </row>
    <row r="5484" spans="1:21" x14ac:dyDescent="0.25">
      <c r="A5484">
        <v>5823649</v>
      </c>
      <c r="B5484">
        <v>3</v>
      </c>
      <c r="C5484" s="1">
        <f>10.0621786781886*(10.3/7.3)</f>
        <v>14.197320600731882</v>
      </c>
      <c r="D5484" s="1">
        <f>17.1663982237677*(10.3/7.3)</f>
        <v>24.221082425316055</v>
      </c>
      <c r="E5484" s="1">
        <f>58.7145536539021*(10.3/7.3)</f>
        <v>82.843822278793425</v>
      </c>
      <c r="F5484" s="1">
        <f>180.673193444846*(38.9/42.5)</f>
        <v>165.36911117657681</v>
      </c>
      <c r="G5484" s="1">
        <v>9.8990312605971997</v>
      </c>
      <c r="H5484" s="1">
        <v>11.614599703582238</v>
      </c>
      <c r="I5484" s="1">
        <v>135.82546023184636</v>
      </c>
      <c r="J5484" s="1">
        <v>4.725514584288857E-2</v>
      </c>
      <c r="K5484" s="1">
        <v>2.7443890712461769</v>
      </c>
      <c r="L5484" s="1">
        <v>3.1746387080403462</v>
      </c>
      <c r="M5484" s="1">
        <v>0.17745059990945053</v>
      </c>
      <c r="N5484" s="1">
        <v>1.9257722374360011</v>
      </c>
      <c r="O5484" s="1">
        <v>0.15982222222222223</v>
      </c>
      <c r="P5484" s="1">
        <v>0.11333576860039273</v>
      </c>
      <c r="Q5484" s="1">
        <v>15.820369594561752</v>
      </c>
      <c r="R5484" s="2">
        <f t="shared" si="343"/>
        <v>459.79079727200576</v>
      </c>
      <c r="S5484" s="2">
        <f t="shared" si="342"/>
        <v>2.9049799856894585</v>
      </c>
      <c r="T5484" s="2">
        <f t="shared" si="344"/>
        <v>5.4376837676080196</v>
      </c>
      <c r="U5484" s="2">
        <f t="shared" si="345"/>
        <v>468.13346102530323</v>
      </c>
    </row>
    <row r="5485" spans="1:21" x14ac:dyDescent="0.25">
      <c r="A5485">
        <v>5823657</v>
      </c>
      <c r="B5485">
        <v>21</v>
      </c>
      <c r="C5485" s="1">
        <f>6.40491157827888*(10.3/7.3)</f>
        <v>9.0370670214071893</v>
      </c>
      <c r="D5485" s="1">
        <f>9.45047673380506*(10.3/7.3)</f>
        <v>13.334234295642764</v>
      </c>
      <c r="E5485" s="1">
        <f>32.9277542373109*(10.3/7.3)</f>
        <v>46.459708033466086</v>
      </c>
      <c r="F5485" s="1">
        <f>78.891232344261*(38.9/42.5)</f>
        <v>72.20868089862951</v>
      </c>
      <c r="G5485" s="1">
        <v>3.6013291496828543</v>
      </c>
      <c r="H5485" s="1">
        <v>9.296190535498603</v>
      </c>
      <c r="I5485" s="1">
        <v>58.110221928277369</v>
      </c>
      <c r="J5485" s="1">
        <v>3.5058965900712349E-2</v>
      </c>
      <c r="K5485" s="1">
        <v>2.1477331778697923</v>
      </c>
      <c r="L5485" s="1">
        <v>2.3338404557276631</v>
      </c>
      <c r="M5485" s="1">
        <v>0.13711019490697221</v>
      </c>
      <c r="N5485" s="1">
        <v>1.4876697441802289</v>
      </c>
      <c r="O5485" s="1">
        <v>0.12264126984126983</v>
      </c>
      <c r="P5485" s="1">
        <v>9.0571463497648691E-2</v>
      </c>
      <c r="Q5485" s="1">
        <v>5.7555488693561658</v>
      </c>
      <c r="R5485" s="2">
        <f t="shared" si="343"/>
        <v>217.80298073196053</v>
      </c>
      <c r="S5485" s="2">
        <f t="shared" si="342"/>
        <v>2.2733636072681538</v>
      </c>
      <c r="T5485" s="2">
        <f t="shared" si="344"/>
        <v>4.0812616646561342</v>
      </c>
      <c r="U5485" s="2">
        <f t="shared" si="345"/>
        <v>224.15760600388481</v>
      </c>
    </row>
    <row r="5486" spans="1:21" x14ac:dyDescent="0.25">
      <c r="A5486">
        <v>5823665</v>
      </c>
      <c r="B5486">
        <v>9</v>
      </c>
      <c r="C5486" s="1">
        <f>6.11953233768712*(10.3/7.3)</f>
        <v>8.6344086408462175</v>
      </c>
      <c r="D5486" s="1">
        <f>9.00503060711261*(10.3/7.3)</f>
        <v>12.705728116884915</v>
      </c>
      <c r="E5486" s="1">
        <f>31.2786736943795*(10.3/7.3)</f>
        <v>44.1329231578232</v>
      </c>
      <c r="F5486" s="1">
        <f>80.0425582661625*(38.9/42.5)</f>
        <v>73.262482742440525</v>
      </c>
      <c r="G5486" s="1">
        <v>3.8486695352007536</v>
      </c>
      <c r="H5486" s="1">
        <v>7.8363744135869631</v>
      </c>
      <c r="I5486" s="1">
        <v>59.802969216006808</v>
      </c>
      <c r="J5486" s="1">
        <v>3.248785383360038E-2</v>
      </c>
      <c r="K5486" s="1">
        <v>2.0164263043289434</v>
      </c>
      <c r="L5486" s="1">
        <v>2.1625087626262127</v>
      </c>
      <c r="M5486" s="1">
        <v>0.12815506775950045</v>
      </c>
      <c r="N5486" s="1">
        <v>1.4054128982195893</v>
      </c>
      <c r="O5486" s="1">
        <v>0.1159762962962963</v>
      </c>
      <c r="P5486" s="1">
        <v>8.5754999946796681E-2</v>
      </c>
      <c r="Q5486" s="1">
        <v>6.1508417229235857</v>
      </c>
      <c r="R5486" s="2">
        <f t="shared" si="343"/>
        <v>216.37439754571295</v>
      </c>
      <c r="S5486" s="2">
        <f t="shared" si="342"/>
        <v>2.1346691581093404</v>
      </c>
      <c r="T5486" s="2">
        <f t="shared" si="344"/>
        <v>3.8120530249015983</v>
      </c>
      <c r="U5486" s="2">
        <f t="shared" si="345"/>
        <v>222.32111972872389</v>
      </c>
    </row>
    <row r="5487" spans="1:21" x14ac:dyDescent="0.25">
      <c r="A5487">
        <v>5823713</v>
      </c>
      <c r="B5487">
        <v>15</v>
      </c>
      <c r="C5487" s="1">
        <f>6.33151208817542*(10.3/7.3)</f>
        <v>8.933503357288604</v>
      </c>
      <c r="D5487" s="1">
        <f>10.6384638814213*(10.3/7.3)</f>
        <v>15.010435339539658</v>
      </c>
      <c r="E5487" s="1">
        <f>36.9025369742905*(10.3/7.3)</f>
        <v>52.067963128108573</v>
      </c>
      <c r="F5487" s="1">
        <f>87.9388561837773*(38.9/42.5)</f>
        <v>80.489917777622068</v>
      </c>
      <c r="G5487" s="1">
        <v>4.0603266888976046</v>
      </c>
      <c r="H5487" s="1">
        <v>7.7594886672924819</v>
      </c>
      <c r="I5487" s="1">
        <v>62.697103407577202</v>
      </c>
      <c r="J5487" s="1">
        <v>3.5671765346183396E-2</v>
      </c>
      <c r="K5487" s="1">
        <v>2.0711762668622193</v>
      </c>
      <c r="L5487" s="1">
        <v>2.2211403248305706</v>
      </c>
      <c r="M5487" s="1">
        <v>0.1251153984999486</v>
      </c>
      <c r="N5487" s="1">
        <v>1.6810546422893822</v>
      </c>
      <c r="O5487" s="1">
        <v>0.11368533333333335</v>
      </c>
      <c r="P5487" s="1">
        <v>8.5062479533325894E-2</v>
      </c>
      <c r="Q5487" s="1">
        <v>6.4891065804299677</v>
      </c>
      <c r="R5487" s="2">
        <f t="shared" si="343"/>
        <v>237.50784494675617</v>
      </c>
      <c r="S5487" s="2">
        <f t="shared" si="342"/>
        <v>2.1919105117417286</v>
      </c>
      <c r="T5487" s="2">
        <f t="shared" si="344"/>
        <v>4.140995698953235</v>
      </c>
      <c r="U5487" s="2">
        <f t="shared" si="345"/>
        <v>243.84075115745114</v>
      </c>
    </row>
    <row r="5488" spans="1:21" x14ac:dyDescent="0.25">
      <c r="A5488">
        <v>5823721</v>
      </c>
      <c r="B5488">
        <v>1</v>
      </c>
      <c r="C5488" s="1">
        <f>5.47252942492327*(10.3/7.3)</f>
        <v>7.7215141200972175</v>
      </c>
      <c r="D5488" s="1">
        <f>8.47717195879537*(10.3/7.3)</f>
        <v>11.960941256930447</v>
      </c>
      <c r="E5488" s="1">
        <f>29.6432225906682*(10.3/7.3)</f>
        <v>41.825368860805838</v>
      </c>
      <c r="F5488" s="1">
        <f>62.8496762228809*(38.9/42.5)</f>
        <v>57.525938942825093</v>
      </c>
      <c r="G5488" s="1">
        <v>2.5750785850242011</v>
      </c>
      <c r="H5488" s="1">
        <v>7.5780980231220081</v>
      </c>
      <c r="I5488" s="1">
        <v>44.380002816030704</v>
      </c>
      <c r="J5488" s="1">
        <v>3.1238466060641637E-2</v>
      </c>
      <c r="K5488" s="1">
        <v>1.9536249012352238</v>
      </c>
      <c r="L5488" s="1">
        <v>2.0566178085187965</v>
      </c>
      <c r="M5488" s="1">
        <v>0.11674603589414337</v>
      </c>
      <c r="N5488" s="1">
        <v>1.9896734291040892</v>
      </c>
      <c r="O5488" s="1">
        <v>0.10746666666666667</v>
      </c>
      <c r="P5488" s="1">
        <v>8.1030595406490241E-2</v>
      </c>
      <c r="Q5488" s="1">
        <v>4.1154223961574035</v>
      </c>
      <c r="R5488" s="2">
        <f t="shared" si="343"/>
        <v>177.68236500099292</v>
      </c>
      <c r="S5488" s="2">
        <f t="shared" si="342"/>
        <v>2.0658939627023556</v>
      </c>
      <c r="T5488" s="2">
        <f t="shared" si="344"/>
        <v>4.2705039401836951</v>
      </c>
      <c r="U5488" s="2">
        <f t="shared" si="345"/>
        <v>184.01876290387895</v>
      </c>
    </row>
    <row r="5489" spans="1:21" x14ac:dyDescent="0.25">
      <c r="A5489">
        <v>5835189</v>
      </c>
      <c r="B5489">
        <v>54</v>
      </c>
      <c r="C5489" s="1">
        <f>0.546229922610882*(10.3/7.3)</f>
        <v>0.77070797299891569</v>
      </c>
      <c r="D5489" s="1">
        <f>0.888929034450483*(10.3/7.3)</f>
        <v>1.2542423362794484</v>
      </c>
      <c r="E5489" s="1">
        <f>3.05867679162269*(10.3/7.3)</f>
        <v>4.3156672539333893</v>
      </c>
      <c r="F5489" s="1">
        <f>8.724283054812*(38.9/42.5)</f>
        <v>7.9852849607573377</v>
      </c>
      <c r="G5489" s="1">
        <v>0.45599356471460561</v>
      </c>
      <c r="H5489" s="1">
        <v>1.7391605576048588</v>
      </c>
      <c r="I5489" s="1">
        <v>6.5188583904084583</v>
      </c>
      <c r="J5489" s="1">
        <v>3.678496199410488E-2</v>
      </c>
      <c r="K5489" s="1">
        <v>11.888042311286664</v>
      </c>
      <c r="L5489" s="1">
        <v>1.8492407992968514</v>
      </c>
      <c r="M5489" s="1">
        <v>0.67703056778622972</v>
      </c>
      <c r="N5489" s="1">
        <v>1.1663480097174481</v>
      </c>
      <c r="O5489" s="1">
        <v>0.92578765432098731</v>
      </c>
      <c r="P5489" s="1">
        <v>0.12861902060154412</v>
      </c>
      <c r="Q5489" s="1">
        <v>0.7287568385849873</v>
      </c>
      <c r="R5489" s="2">
        <f t="shared" si="343"/>
        <v>23.768671875282003</v>
      </c>
      <c r="S5489" s="2">
        <f t="shared" si="342"/>
        <v>12.053446293882313</v>
      </c>
      <c r="T5489" s="2">
        <f t="shared" si="344"/>
        <v>4.6184070311215164</v>
      </c>
      <c r="U5489" s="2">
        <f t="shared" si="345"/>
        <v>40.440525200285826</v>
      </c>
    </row>
    <row r="5490" spans="1:21" x14ac:dyDescent="0.25">
      <c r="A5490">
        <v>5835197</v>
      </c>
      <c r="B5490">
        <v>34</v>
      </c>
      <c r="C5490" s="1">
        <f>0.621768653751718*(10.3/7.3)</f>
        <v>0.87729001830721809</v>
      </c>
      <c r="D5490" s="1">
        <f>1.04505642002544*(10.3/7.3)</f>
        <v>1.4745316611317878</v>
      </c>
      <c r="E5490" s="1">
        <f>3.58456531525577*(10.3/7.3)</f>
        <v>5.0576743489225295</v>
      </c>
      <c r="F5490" s="1">
        <f>10.6001676979289*(38.9/42.5)</f>
        <v>9.702271139986685</v>
      </c>
      <c r="G5490" s="1">
        <v>0.56749872184250882</v>
      </c>
      <c r="H5490" s="1">
        <v>2.1248787682793449</v>
      </c>
      <c r="I5490" s="1">
        <v>7.9290341773095667</v>
      </c>
      <c r="J5490" s="1">
        <v>3.8757672718653595E-2</v>
      </c>
      <c r="K5490" s="1">
        <v>15.338611286991245</v>
      </c>
      <c r="L5490" s="1">
        <v>1.9871235289256632</v>
      </c>
      <c r="M5490" s="1">
        <v>0.74258330842237652</v>
      </c>
      <c r="N5490" s="1">
        <v>1.2797579582231373</v>
      </c>
      <c r="O5490" s="1">
        <v>0.94538039215686265</v>
      </c>
      <c r="P5490" s="1">
        <v>0.13249596786719234</v>
      </c>
      <c r="Q5490" s="1">
        <v>0.9069614276021839</v>
      </c>
      <c r="R5490" s="2">
        <f t="shared" si="343"/>
        <v>28.640140263381824</v>
      </c>
      <c r="S5490" s="2">
        <f t="shared" si="342"/>
        <v>15.509864927577091</v>
      </c>
      <c r="T5490" s="2">
        <f t="shared" si="344"/>
        <v>4.9548451877280399</v>
      </c>
      <c r="U5490" s="2">
        <f t="shared" si="345"/>
        <v>49.104850378686955</v>
      </c>
    </row>
    <row r="5491" spans="1:21" x14ac:dyDescent="0.25">
      <c r="A5491">
        <v>5835205</v>
      </c>
      <c r="B5491">
        <v>12</v>
      </c>
      <c r="C5491" s="1">
        <f>0.774179699395532*(10.3/7.3)</f>
        <v>1.0923357402430107</v>
      </c>
      <c r="D5491" s="1">
        <f>1.36353384990193*(10.3/7.3)</f>
        <v>1.9238902265739615</v>
      </c>
      <c r="E5491" s="1">
        <f>4.65437876835882*(10.3/7.3)</f>
        <v>6.5671371663144953</v>
      </c>
      <c r="F5491" s="1">
        <f>14.5515371871387*(38.9/42.5)</f>
        <v>13.318936390110494</v>
      </c>
      <c r="G5491" s="1">
        <v>0.8058386547010109</v>
      </c>
      <c r="H5491" s="1">
        <v>3.2516512358226159</v>
      </c>
      <c r="I5491" s="1">
        <v>10.91457268494514</v>
      </c>
      <c r="J5491" s="1">
        <v>5.6841957531697275E-2</v>
      </c>
      <c r="K5491" s="1">
        <v>20.295068981003457</v>
      </c>
      <c r="L5491" s="1">
        <v>2.6487095786825727</v>
      </c>
      <c r="M5491" s="1">
        <v>0.99425092038356189</v>
      </c>
      <c r="N5491" s="1">
        <v>2.0229219574809565</v>
      </c>
      <c r="O5491" s="1">
        <v>1.203111111111111</v>
      </c>
      <c r="P5491" s="1">
        <v>0.15298509423684045</v>
      </c>
      <c r="Q5491" s="1">
        <v>1.2878699960975075</v>
      </c>
      <c r="R5491" s="2">
        <f t="shared" si="343"/>
        <v>39.162232094808232</v>
      </c>
      <c r="S5491" s="2">
        <f t="shared" si="342"/>
        <v>20.504896032771995</v>
      </c>
      <c r="T5491" s="2">
        <f t="shared" si="344"/>
        <v>6.8689935676582028</v>
      </c>
      <c r="U5491" s="2">
        <f t="shared" si="345"/>
        <v>66.536121695238435</v>
      </c>
    </row>
    <row r="5492" spans="1:21" x14ac:dyDescent="0.25">
      <c r="A5492">
        <v>5835269</v>
      </c>
      <c r="B5492">
        <v>3</v>
      </c>
      <c r="C5492" s="1">
        <f>0.510344568398958*(10.3/7.3)</f>
        <v>0.72007521294647503</v>
      </c>
      <c r="D5492" s="1">
        <f>0.960123812415941*(10.3/7.3)</f>
        <v>1.3546952421759162</v>
      </c>
      <c r="E5492" s="1">
        <f>3.25310040518693*(10.3/7.3)</f>
        <v>4.5899909826610132</v>
      </c>
      <c r="F5492" s="1">
        <f>11.0717936820833*(38.9/42.5)</f>
        <v>10.133947629012757</v>
      </c>
      <c r="G5492" s="1">
        <v>0.64158798245484927</v>
      </c>
      <c r="H5492" s="1">
        <v>3.2019927477426133</v>
      </c>
      <c r="I5492" s="1">
        <v>8.3538841257243703</v>
      </c>
      <c r="J5492" s="1">
        <v>4.4412199325552265E-2</v>
      </c>
      <c r="K5492" s="1">
        <v>4.3748254098088237</v>
      </c>
      <c r="L5492" s="1">
        <v>2.0615314952652226</v>
      </c>
      <c r="M5492" s="1">
        <v>0.8160057733483187</v>
      </c>
      <c r="N5492" s="1">
        <v>1.4577071749297346</v>
      </c>
      <c r="O5492" s="1">
        <v>0.32839111111111113</v>
      </c>
      <c r="P5492" s="1">
        <v>0.11903124824007892</v>
      </c>
      <c r="Q5492" s="1">
        <v>1.0253689217314952</v>
      </c>
      <c r="R5492" s="2">
        <f t="shared" si="343"/>
        <v>30.021542844449488</v>
      </c>
      <c r="S5492" s="2">
        <f t="shared" si="342"/>
        <v>4.5382688573744545</v>
      </c>
      <c r="T5492" s="2">
        <f t="shared" si="344"/>
        <v>4.6636355546543875</v>
      </c>
      <c r="U5492" s="2">
        <f t="shared" si="345"/>
        <v>39.223447256478337</v>
      </c>
    </row>
    <row r="5493" spans="1:21" x14ac:dyDescent="0.25">
      <c r="A5493">
        <v>5835285</v>
      </c>
      <c r="B5493">
        <v>7</v>
      </c>
      <c r="C5493" s="1">
        <f>0.553511813741459*(10.3/7.3)</f>
        <v>0.78098242212836055</v>
      </c>
      <c r="D5493" s="1">
        <f>1.0835716847711*(10.3/7.3)</f>
        <v>1.5288751168688066</v>
      </c>
      <c r="E5493" s="1">
        <f>3.65458039256475*(10.3/7.3)</f>
        <v>5.1564627456735472</v>
      </c>
      <c r="F5493" s="1">
        <f>13.0831420764596*(38.9/42.5)</f>
        <v>11.974922982924229</v>
      </c>
      <c r="G5493" s="1">
        <v>0.77667742251048399</v>
      </c>
      <c r="H5493" s="1">
        <v>7.7556497118603014</v>
      </c>
      <c r="I5493" s="1">
        <v>9.9091141882381724</v>
      </c>
      <c r="J5493" s="1">
        <v>4.1199083794729099E-2</v>
      </c>
      <c r="K5493" s="1">
        <v>4.2471961331297843</v>
      </c>
      <c r="L5493" s="1">
        <v>2.2479822867190205</v>
      </c>
      <c r="M5493" s="1">
        <v>0.85142137892385705</v>
      </c>
      <c r="N5493" s="1">
        <v>1.5635568624148726</v>
      </c>
      <c r="O5493" s="1">
        <v>0.31886476190476193</v>
      </c>
      <c r="P5493" s="1">
        <v>0.12592435596755988</v>
      </c>
      <c r="Q5493" s="1">
        <v>1.2412652871172132</v>
      </c>
      <c r="R5493" s="2">
        <f t="shared" si="343"/>
        <v>39.123949877321117</v>
      </c>
      <c r="S5493" s="2">
        <f t="shared" si="342"/>
        <v>4.4143195728920732</v>
      </c>
      <c r="T5493" s="2">
        <f t="shared" si="344"/>
        <v>4.9818252899625124</v>
      </c>
      <c r="U5493" s="2">
        <f t="shared" si="345"/>
        <v>48.520094740175708</v>
      </c>
    </row>
    <row r="5494" spans="1:21" x14ac:dyDescent="0.25">
      <c r="A5494">
        <v>5835717</v>
      </c>
      <c r="B5494">
        <v>5</v>
      </c>
      <c r="C5494" s="1">
        <f>3.12436024897148*(10.3/7.3)</f>
        <v>4.4083439129323585</v>
      </c>
      <c r="D5494" s="1">
        <f>4.41112427332932*(10.3/7.3)</f>
        <v>6.2239150705879478</v>
      </c>
      <c r="E5494" s="1">
        <f>15.354841977729*(10.3/7.3)</f>
        <v>21.665051009672485</v>
      </c>
      <c r="F5494" s="1">
        <f>38.8868461139188*(38.9/42.5)</f>
        <v>35.592901501916231</v>
      </c>
      <c r="G5494" s="1">
        <v>1.8459021656981816</v>
      </c>
      <c r="H5494" s="1">
        <v>8.9902577788491769</v>
      </c>
      <c r="I5494" s="1">
        <v>29.28263186211991</v>
      </c>
      <c r="J5494" s="1">
        <v>3.3130934936361031E-2</v>
      </c>
      <c r="K5494" s="1">
        <v>2.0285503836309546</v>
      </c>
      <c r="L5494" s="1">
        <v>2.5940139947483836</v>
      </c>
      <c r="M5494" s="1">
        <v>0.16268858710691686</v>
      </c>
      <c r="N5494" s="1">
        <v>1.8886167533837483</v>
      </c>
      <c r="O5494" s="1">
        <v>0.13090133333333334</v>
      </c>
      <c r="P5494" s="1">
        <v>9.4998950896440587E-2</v>
      </c>
      <c r="Q5494" s="1">
        <v>2.9500719543121656</v>
      </c>
      <c r="R5494" s="2">
        <f t="shared" si="343"/>
        <v>110.95907525608844</v>
      </c>
      <c r="S5494" s="2">
        <f t="shared" si="342"/>
        <v>2.1566802694637563</v>
      </c>
      <c r="T5494" s="2">
        <f t="shared" si="344"/>
        <v>4.7762206685723818</v>
      </c>
      <c r="U5494" s="2">
        <f t="shared" si="345"/>
        <v>117.89197619412458</v>
      </c>
    </row>
    <row r="5495" spans="1:21" x14ac:dyDescent="0.25">
      <c r="A5495">
        <v>5835725</v>
      </c>
      <c r="B5495">
        <v>1</v>
      </c>
      <c r="C5495" s="1">
        <f>2.70360478430707*(10.3/7.3)</f>
        <v>3.8146752436113474</v>
      </c>
      <c r="D5495" s="1">
        <f>4.42232285057324*(10.3/7.3)</f>
        <v>6.2397158028636186</v>
      </c>
      <c r="E5495" s="1">
        <f>15.2990614259461*(10.3/7.3)</f>
        <v>21.586346943458267</v>
      </c>
      <c r="F5495" s="1">
        <f>39.2649310033735*(38.9/42.5)</f>
        <v>35.938960377205419</v>
      </c>
      <c r="G5495" s="1">
        <v>1.914141748201323</v>
      </c>
      <c r="H5495" s="1">
        <v>7.1246214126958236</v>
      </c>
      <c r="I5495" s="1">
        <v>28.665832464279937</v>
      </c>
      <c r="J5495" s="1">
        <v>3.6219987271616003E-2</v>
      </c>
      <c r="K5495" s="1">
        <v>2.0397709986244932</v>
      </c>
      <c r="L5495" s="1">
        <v>2.6965927163453016</v>
      </c>
      <c r="M5495" s="1">
        <v>0.16227620480247068</v>
      </c>
      <c r="N5495" s="1">
        <v>2.4546734983862075</v>
      </c>
      <c r="O5495" s="1">
        <v>0.13162666666666667</v>
      </c>
      <c r="P5495" s="1">
        <v>9.5350152767663357E-2</v>
      </c>
      <c r="Q5495" s="1">
        <v>3.0591306478103366</v>
      </c>
      <c r="R5495" s="2">
        <f t="shared" si="343"/>
        <v>108.34342464012606</v>
      </c>
      <c r="S5495" s="2">
        <f t="shared" si="342"/>
        <v>2.1713411386637724</v>
      </c>
      <c r="T5495" s="2">
        <f t="shared" si="344"/>
        <v>5.4451690862006465</v>
      </c>
      <c r="U5495" s="2">
        <f t="shared" si="345"/>
        <v>115.95993486499049</v>
      </c>
    </row>
    <row r="5496" spans="1:21" x14ac:dyDescent="0.25">
      <c r="A5496">
        <v>5835861</v>
      </c>
      <c r="B5496">
        <v>17</v>
      </c>
      <c r="C5496" s="1">
        <f>7.78285619344662*(10.3/7.3)</f>
        <v>10.981290245547969</v>
      </c>
      <c r="D5496" s="1">
        <f>10.5506959279023*(10.3/7.3)</f>
        <v>14.886598364026488</v>
      </c>
      <c r="E5496" s="1">
        <f>36.9500738392879*(10.3/7.3)</f>
        <v>52.135035691050078</v>
      </c>
      <c r="F5496" s="1">
        <f>85.2826833991828*(38.9/42.5)</f>
        <v>78.058738452428457</v>
      </c>
      <c r="G5496" s="1">
        <v>3.7221877341128007</v>
      </c>
      <c r="H5496" s="1">
        <v>7.7729250113051096</v>
      </c>
      <c r="I5496" s="1">
        <v>63.745750154522923</v>
      </c>
      <c r="J5496" s="1">
        <v>4.153397597697947E-2</v>
      </c>
      <c r="K5496" s="1">
        <v>2.4682453657843042</v>
      </c>
      <c r="L5496" s="1">
        <v>2.702845123678649</v>
      </c>
      <c r="M5496" s="1">
        <v>0.15910202634535364</v>
      </c>
      <c r="N5496" s="1">
        <v>1.7218622167908904</v>
      </c>
      <c r="O5496" s="1">
        <v>0.14262588235294119</v>
      </c>
      <c r="P5496" s="1">
        <v>0.10175306202435441</v>
      </c>
      <c r="Q5496" s="1">
        <v>5.9487018581711499</v>
      </c>
      <c r="R5496" s="2">
        <f t="shared" si="343"/>
        <v>237.25122751116498</v>
      </c>
      <c r="S5496" s="2">
        <f t="shared" si="342"/>
        <v>2.6115324037856382</v>
      </c>
      <c r="T5496" s="2">
        <f t="shared" si="344"/>
        <v>4.7264352491678352</v>
      </c>
      <c r="U5496" s="2">
        <f t="shared" si="345"/>
        <v>244.58919516411845</v>
      </c>
    </row>
    <row r="5497" spans="1:21" x14ac:dyDescent="0.25">
      <c r="A5497">
        <v>5835869</v>
      </c>
      <c r="B5497">
        <v>3</v>
      </c>
      <c r="C5497" s="1">
        <f>8.76507502749719*(10.3/7.3)</f>
        <v>12.367160655235766</v>
      </c>
      <c r="D5497" s="1">
        <f>12.0343146662719*(10.3/7.3)</f>
        <v>16.979923433232969</v>
      </c>
      <c r="E5497" s="1">
        <f>42.1774584698487*(10.3/7.3)</f>
        <v>59.510660580745373</v>
      </c>
      <c r="F5497" s="1">
        <f>94.6173590401216*(38.9/42.5)</f>
        <v>86.60271215672303</v>
      </c>
      <c r="G5497" s="1">
        <v>4.0274944369385457</v>
      </c>
      <c r="H5497" s="1">
        <v>7.8434658173714036</v>
      </c>
      <c r="I5497" s="1">
        <v>70.063984164024575</v>
      </c>
      <c r="J5497" s="1">
        <v>4.4177408717652855E-2</v>
      </c>
      <c r="K5497" s="1">
        <v>2.6417177084700416</v>
      </c>
      <c r="L5497" s="1">
        <v>3.0014095124441398</v>
      </c>
      <c r="M5497" s="1">
        <v>0.17219629927005009</v>
      </c>
      <c r="N5497" s="1">
        <v>1.8543394550798549</v>
      </c>
      <c r="O5497" s="1">
        <v>0.15399111111111111</v>
      </c>
      <c r="P5497" s="1">
        <v>0.10954456172958282</v>
      </c>
      <c r="Q5497" s="1">
        <v>6.4366349448789615</v>
      </c>
      <c r="R5497" s="2">
        <f t="shared" si="343"/>
        <v>263.83203618915059</v>
      </c>
      <c r="S5497" s="2">
        <f t="shared" si="342"/>
        <v>2.7954396789172775</v>
      </c>
      <c r="T5497" s="2">
        <f t="shared" si="344"/>
        <v>5.1819363779051555</v>
      </c>
      <c r="U5497" s="2">
        <f t="shared" si="345"/>
        <v>271.80941224597302</v>
      </c>
    </row>
    <row r="5498" spans="1:21" x14ac:dyDescent="0.25">
      <c r="A5498">
        <v>5835877</v>
      </c>
      <c r="B5498">
        <v>14</v>
      </c>
      <c r="C5498" s="1">
        <f>9.00936066897849*(10.3/7.3)</f>
        <v>12.711837656229919</v>
      </c>
      <c r="D5498" s="1">
        <f>12.635598437002*(10.3/7.3)</f>
        <v>17.828310123441124</v>
      </c>
      <c r="E5498" s="1">
        <f>44.2658408537361*(10.3/7.3)</f>
        <v>62.457282300476912</v>
      </c>
      <c r="F5498" s="1">
        <f>98.3158953702436*(38.9/42.5)</f>
        <v>89.987960703587646</v>
      </c>
      <c r="G5498" s="1">
        <v>4.1581388008652693</v>
      </c>
      <c r="H5498" s="1">
        <v>7.9142465581522101</v>
      </c>
      <c r="I5498" s="1">
        <v>72.209856897405317</v>
      </c>
      <c r="J5498" s="1">
        <v>4.4937346304838484E-2</v>
      </c>
      <c r="K5498" s="1">
        <v>2.6596060086671875</v>
      </c>
      <c r="L5498" s="1">
        <v>3.0471554960342893</v>
      </c>
      <c r="M5498" s="1">
        <v>0.17062154275760136</v>
      </c>
      <c r="N5498" s="1">
        <v>1.8692865006576491</v>
      </c>
      <c r="O5498" s="1">
        <v>0.15455238095238097</v>
      </c>
      <c r="P5498" s="1">
        <v>0.11011490718696094</v>
      </c>
      <c r="Q5498" s="1">
        <v>6.6454273073189301</v>
      </c>
      <c r="R5498" s="2">
        <f t="shared" si="343"/>
        <v>273.91306034747731</v>
      </c>
      <c r="S5498" s="2">
        <f t="shared" si="342"/>
        <v>2.8146582621589871</v>
      </c>
      <c r="T5498" s="2">
        <f t="shared" si="344"/>
        <v>5.2416159204019204</v>
      </c>
      <c r="U5498" s="2">
        <f t="shared" si="345"/>
        <v>281.96933453003822</v>
      </c>
    </row>
    <row r="5499" spans="1:21" x14ac:dyDescent="0.25">
      <c r="A5499">
        <v>5835893</v>
      </c>
      <c r="B5499">
        <v>39</v>
      </c>
      <c r="C5499" s="1">
        <f>5.78636294343163*(10.3/7.3)</f>
        <v>8.1643203174446324</v>
      </c>
      <c r="D5499" s="1">
        <f>8.39328867978672*(10.3/7.3)</f>
        <v>11.842585397507293</v>
      </c>
      <c r="E5499" s="1">
        <f>29.2783792674351*(10.3/7.3)</f>
        <v>41.310589925285186</v>
      </c>
      <c r="F5499" s="1">
        <f>69.3975036968935*(38.9/42.5)</f>
        <v>63.519126913156647</v>
      </c>
      <c r="G5499" s="1">
        <v>3.1319668405590284</v>
      </c>
      <c r="H5499" s="1">
        <v>6.644444375065059</v>
      </c>
      <c r="I5499" s="1">
        <v>51.221823872489793</v>
      </c>
      <c r="J5499" s="1">
        <v>3.2850230687806584E-2</v>
      </c>
      <c r="K5499" s="1">
        <v>2.0387983047396916</v>
      </c>
      <c r="L5499" s="1">
        <v>2.185827160149266</v>
      </c>
      <c r="M5499" s="1">
        <v>0.12962987737531245</v>
      </c>
      <c r="N5499" s="1">
        <v>1.4141876461064122</v>
      </c>
      <c r="O5499" s="1">
        <v>0.11677128205128202</v>
      </c>
      <c r="P5499" s="1">
        <v>8.6592470519884265E-2</v>
      </c>
      <c r="Q5499" s="1">
        <v>5.0054264575144352</v>
      </c>
      <c r="R5499" s="2">
        <f t="shared" si="343"/>
        <v>190.84028409902209</v>
      </c>
      <c r="S5499" s="2">
        <f t="shared" si="342"/>
        <v>2.1582410059473824</v>
      </c>
      <c r="T5499" s="2">
        <f t="shared" si="344"/>
        <v>3.8464159656822723</v>
      </c>
      <c r="U5499" s="2">
        <f t="shared" si="345"/>
        <v>196.84494107065174</v>
      </c>
    </row>
    <row r="5500" spans="1:21" x14ac:dyDescent="0.25">
      <c r="A5500">
        <v>5835901</v>
      </c>
      <c r="B5500">
        <v>4</v>
      </c>
      <c r="C5500" s="1">
        <f>5.26940060347415*(10.3/7.3)</f>
        <v>7.4349077007922988</v>
      </c>
      <c r="D5500" s="1">
        <f>7.19044611818487*(10.3/7.3)</f>
        <v>10.145423974973168</v>
      </c>
      <c r="E5500" s="1">
        <f>25.1839831234438*(10.3/7.3)</f>
        <v>35.533565228968712</v>
      </c>
      <c r="F5500" s="1">
        <f>57.6752678846822*(38.9/42.5)</f>
        <v>52.78983342856796</v>
      </c>
      <c r="G5500" s="1">
        <v>2.5015815504099685</v>
      </c>
      <c r="H5500" s="1">
        <v>6.5695324506741439</v>
      </c>
      <c r="I5500" s="1">
        <v>42.964597226717288</v>
      </c>
      <c r="J5500" s="1">
        <v>2.8361573913247583E-2</v>
      </c>
      <c r="K5500" s="1">
        <v>1.7958177479009687</v>
      </c>
      <c r="L5500" s="1">
        <v>1.8696937033085732</v>
      </c>
      <c r="M5500" s="1">
        <v>0.11395146843231184</v>
      </c>
      <c r="N5500" s="1">
        <v>1.4143258188935828</v>
      </c>
      <c r="O5500" s="1">
        <v>0.10093333333333333</v>
      </c>
      <c r="P5500" s="1">
        <v>7.7325063307949693E-2</v>
      </c>
      <c r="Q5500" s="1">
        <v>3.9979613819337443</v>
      </c>
      <c r="R5500" s="2">
        <f t="shared" si="343"/>
        <v>161.93740294303728</v>
      </c>
      <c r="S5500" s="2">
        <f t="shared" si="342"/>
        <v>1.901504385122166</v>
      </c>
      <c r="T5500" s="2">
        <f t="shared" si="344"/>
        <v>3.498904323967801</v>
      </c>
      <c r="U5500" s="2">
        <f t="shared" si="345"/>
        <v>167.33781165212724</v>
      </c>
    </row>
    <row r="5501" spans="1:21" x14ac:dyDescent="0.25">
      <c r="A5501">
        <v>5847417</v>
      </c>
      <c r="B5501">
        <v>1</v>
      </c>
      <c r="C5501" s="1">
        <f>0.355236462451897*(10.3/7.3)</f>
        <v>0.50122404976089574</v>
      </c>
      <c r="D5501" s="1">
        <f>0.55006267154907*(10.3/7.3)</f>
        <v>0.77611582424046832</v>
      </c>
      <c r="E5501" s="1">
        <f>1.90128555151624*(10.3/7.3)</f>
        <v>2.6826357781667536</v>
      </c>
      <c r="F5501" s="1">
        <f>5.15512694153315*(38.9/42.5)</f>
        <v>4.7184573653091668</v>
      </c>
      <c r="G5501" s="1">
        <v>0.25965375732327362</v>
      </c>
      <c r="H5501" s="1">
        <v>1.1474637786784032</v>
      </c>
      <c r="I5501" s="1">
        <v>3.8520589436553188</v>
      </c>
      <c r="J5501" s="1">
        <v>3.1196034023069454E-2</v>
      </c>
      <c r="K5501" s="1">
        <v>7.0213085357226799</v>
      </c>
      <c r="L5501" s="1">
        <v>1.7028001508530417</v>
      </c>
      <c r="M5501" s="1">
        <v>0.62203038139947708</v>
      </c>
      <c r="N5501" s="1">
        <v>1.0605372464084455</v>
      </c>
      <c r="O5501" s="1">
        <v>0.77706666666666668</v>
      </c>
      <c r="P5501" s="1">
        <v>0.11782592880929925</v>
      </c>
      <c r="Q5501" s="1">
        <v>0.41497175827920485</v>
      </c>
      <c r="R5501" s="2">
        <f t="shared" si="343"/>
        <v>14.352581255413487</v>
      </c>
      <c r="S5501" s="2">
        <f t="shared" si="342"/>
        <v>7.1703304985550487</v>
      </c>
      <c r="T5501" s="2">
        <f t="shared" si="344"/>
        <v>4.162434445327631</v>
      </c>
      <c r="U5501" s="2">
        <f t="shared" si="345"/>
        <v>25.685346199296166</v>
      </c>
    </row>
    <row r="5502" spans="1:21" x14ac:dyDescent="0.25">
      <c r="A5502">
        <v>5847425</v>
      </c>
      <c r="B5502">
        <v>66</v>
      </c>
      <c r="C5502" s="1">
        <f>0.620405267528692*(10.3/7.3)</f>
        <v>0.87536633637609984</v>
      </c>
      <c r="D5502" s="1">
        <f>1.04060364432664*(10.3/7.3)</f>
        <v>1.4682489776115575</v>
      </c>
      <c r="E5502" s="1">
        <f>3.57075749203563*(10.3/7.3)</f>
        <v>5.0381920778036902</v>
      </c>
      <c r="F5502" s="1">
        <f>10.496916352486*(38.9/42.5)</f>
        <v>9.6077657908636684</v>
      </c>
      <c r="G5502" s="1">
        <v>0.55996904593987129</v>
      </c>
      <c r="H5502" s="1">
        <v>2.0621632554350211</v>
      </c>
      <c r="I5502" s="1">
        <v>7.8456522007435625</v>
      </c>
      <c r="J5502" s="1">
        <v>3.9046861047447694E-2</v>
      </c>
      <c r="K5502" s="1">
        <v>12.516280711761823</v>
      </c>
      <c r="L5502" s="1">
        <v>2.0516089690021149</v>
      </c>
      <c r="M5502" s="1">
        <v>0.74847677688968695</v>
      </c>
      <c r="N5502" s="1">
        <v>1.266004916827806</v>
      </c>
      <c r="O5502" s="1">
        <v>0.94856565656565661</v>
      </c>
      <c r="P5502" s="1">
        <v>0.1340159666117734</v>
      </c>
      <c r="Q5502" s="1">
        <v>0.89492769899066305</v>
      </c>
      <c r="R5502" s="2">
        <f t="shared" si="343"/>
        <v>28.352285383764134</v>
      </c>
      <c r="S5502" s="2">
        <f t="shared" si="342"/>
        <v>12.689343539421044</v>
      </c>
      <c r="T5502" s="2">
        <f t="shared" si="344"/>
        <v>5.0146563192852645</v>
      </c>
      <c r="U5502" s="2">
        <f t="shared" si="345"/>
        <v>46.056285242470445</v>
      </c>
    </row>
    <row r="5503" spans="1:21" x14ac:dyDescent="0.25">
      <c r="A5503">
        <v>5847433</v>
      </c>
      <c r="B5503">
        <v>35</v>
      </c>
      <c r="C5503" s="1">
        <f>0.589050822670625*(10.3/7.3)</f>
        <v>0.83112650322019643</v>
      </c>
      <c r="D5503" s="1">
        <f>0.995999413027774*(10.3/7.3)</f>
        <v>1.4053142402994621</v>
      </c>
      <c r="E5503" s="1">
        <f>3.41354943415355*(10.3/7.3)</f>
        <v>4.8163779687372017</v>
      </c>
      <c r="F5503" s="1">
        <f>10.2003097857849*(38.9/42.5)</f>
        <v>9.3362835451066424</v>
      </c>
      <c r="G5503" s="1">
        <v>0.54958614700879027</v>
      </c>
      <c r="H5503" s="1">
        <v>2.6329187909944558</v>
      </c>
      <c r="I5503" s="1">
        <v>7.6372739268358325</v>
      </c>
      <c r="J5503" s="1">
        <v>4.2151016249062777E-2</v>
      </c>
      <c r="K5503" s="1">
        <v>15.724097266756592</v>
      </c>
      <c r="L5503" s="1">
        <v>2.0658738459597692</v>
      </c>
      <c r="M5503" s="1">
        <v>0.77392598027883286</v>
      </c>
      <c r="N5503" s="1">
        <v>1.4013541837635899</v>
      </c>
      <c r="O5503" s="1">
        <v>0.96339809523809516</v>
      </c>
      <c r="P5503" s="1">
        <v>0.13481679345334346</v>
      </c>
      <c r="Q5503" s="1">
        <v>0.87833402489989398</v>
      </c>
      <c r="R5503" s="2">
        <f t="shared" si="343"/>
        <v>28.087215147102473</v>
      </c>
      <c r="S5503" s="2">
        <f t="shared" si="342"/>
        <v>15.901065076458998</v>
      </c>
      <c r="T5503" s="2">
        <f t="shared" si="344"/>
        <v>5.2045521052402872</v>
      </c>
      <c r="U5503" s="2">
        <f t="shared" si="345"/>
        <v>49.192832328801764</v>
      </c>
    </row>
    <row r="5504" spans="1:21" x14ac:dyDescent="0.25">
      <c r="A5504">
        <v>5847497</v>
      </c>
      <c r="B5504">
        <v>4</v>
      </c>
      <c r="C5504" s="1">
        <f>0.520069526680754*(10.3/7.3)</f>
        <v>0.73379672942626939</v>
      </c>
      <c r="D5504" s="1">
        <f>1.004044917776*(10.3/7.3)</f>
        <v>1.4166661168620249</v>
      </c>
      <c r="E5504" s="1">
        <f>3.39356082006631*(10.3/7.3)</f>
        <v>4.788174855709995</v>
      </c>
      <c r="F5504" s="1">
        <f>11.8461178157958*(38.9/42.5)</f>
        <v>10.842681953751915</v>
      </c>
      <c r="G5504" s="1">
        <v>0.69521757048601296</v>
      </c>
      <c r="H5504" s="1">
        <v>3.1224383942345137</v>
      </c>
      <c r="I5504" s="1">
        <v>8.9478118279401748</v>
      </c>
      <c r="J5504" s="1">
        <v>4.3704998699349198E-2</v>
      </c>
      <c r="K5504" s="1">
        <v>4.6570244864320243</v>
      </c>
      <c r="L5504" s="1">
        <v>2.1073203491353221</v>
      </c>
      <c r="M5504" s="1">
        <v>0.82779890660110866</v>
      </c>
      <c r="N5504" s="1">
        <v>1.5184854355438975</v>
      </c>
      <c r="O5504" s="1">
        <v>0.34272000000000002</v>
      </c>
      <c r="P5504" s="1">
        <v>0.12189824158575147</v>
      </c>
      <c r="Q5504" s="1">
        <v>1.1110783089959124</v>
      </c>
      <c r="R5504" s="2">
        <f t="shared" si="343"/>
        <v>31.657865757406817</v>
      </c>
      <c r="S5504" s="2">
        <f t="shared" si="342"/>
        <v>4.8226277267171245</v>
      </c>
      <c r="T5504" s="2">
        <f t="shared" si="344"/>
        <v>4.7963246912803275</v>
      </c>
      <c r="U5504" s="2">
        <f t="shared" si="345"/>
        <v>41.276818175404266</v>
      </c>
    </row>
    <row r="5505" spans="1:21" x14ac:dyDescent="0.25">
      <c r="A5505">
        <v>5847505</v>
      </c>
      <c r="B5505">
        <v>20</v>
      </c>
      <c r="C5505" s="1">
        <f>0.517978494695248*(10.3/7.3)</f>
        <v>0.73084636922754243</v>
      </c>
      <c r="D5505" s="1">
        <f>0.985135014445769*(10.3/7.3)</f>
        <v>1.3899850203823865</v>
      </c>
      <c r="E5505" s="1">
        <f>3.33422345620038*(10.3/7.3)</f>
        <v>4.7044522738169752</v>
      </c>
      <c r="F5505" s="1">
        <f>11.4787265364618*(38.9/42.5)</f>
        <v>10.506410876902699</v>
      </c>
      <c r="G5505" s="1">
        <v>0.66901078113633961</v>
      </c>
      <c r="H5505" s="1">
        <v>4.5901910233139294</v>
      </c>
      <c r="I5505" s="1">
        <v>8.6660143528847104</v>
      </c>
      <c r="J5505" s="1">
        <v>4.1435733329988816E-2</v>
      </c>
      <c r="K5505" s="1">
        <v>4.269583516823066</v>
      </c>
      <c r="L5505" s="1">
        <v>2.0678998871943381</v>
      </c>
      <c r="M5505" s="1">
        <v>0.80550572361756123</v>
      </c>
      <c r="N5505" s="1">
        <v>1.443690312163082</v>
      </c>
      <c r="O5505" s="1">
        <v>0.32201866666666668</v>
      </c>
      <c r="P5505" s="1">
        <v>0.12003103784705642</v>
      </c>
      <c r="Q5505" s="1">
        <v>1.0691953123183522</v>
      </c>
      <c r="R5505" s="2">
        <f t="shared" si="343"/>
        <v>32.326106009982929</v>
      </c>
      <c r="S5505" s="2">
        <f t="shared" si="342"/>
        <v>4.4310502880001108</v>
      </c>
      <c r="T5505" s="2">
        <f t="shared" si="344"/>
        <v>4.6391145896416477</v>
      </c>
      <c r="U5505" s="2">
        <f t="shared" si="345"/>
        <v>41.396270887624688</v>
      </c>
    </row>
    <row r="5506" spans="1:21" x14ac:dyDescent="0.25">
      <c r="A5506">
        <v>5847513</v>
      </c>
      <c r="B5506">
        <v>4</v>
      </c>
      <c r="C5506" s="1">
        <f>0.531819134980262*(10.3/7.3)</f>
        <v>0.7503749438762598</v>
      </c>
      <c r="D5506" s="1">
        <f>1.05062500340849*(10.3/7.3)</f>
        <v>1.4823887034393715</v>
      </c>
      <c r="E5506" s="1">
        <f>3.53981276290825*(10.3/7.3)</f>
        <v>4.9945303367061653</v>
      </c>
      <c r="F5506" s="1">
        <f>12.8132227330039*(38.9/42.5)</f>
        <v>11.72786739562005</v>
      </c>
      <c r="G5506" s="1">
        <v>0.76450327866432044</v>
      </c>
      <c r="H5506" s="1">
        <v>6.8970433359819427</v>
      </c>
      <c r="I5506" s="1">
        <v>9.7125446234457105</v>
      </c>
      <c r="J5506" s="1">
        <v>3.9928547355424851E-2</v>
      </c>
      <c r="K5506" s="1">
        <v>3.9505375515069971</v>
      </c>
      <c r="L5506" s="1">
        <v>2.0753716217022977</v>
      </c>
      <c r="M5506" s="1">
        <v>0.77978533532880934</v>
      </c>
      <c r="N5506" s="1">
        <v>1.4187698704847909</v>
      </c>
      <c r="O5506" s="1">
        <v>0.30306666666666665</v>
      </c>
      <c r="P5506" s="1">
        <v>0.11840355191322247</v>
      </c>
      <c r="Q5506" s="1">
        <v>1.2218088928425226</v>
      </c>
      <c r="R5506" s="2">
        <f t="shared" si="343"/>
        <v>37.551061510576346</v>
      </c>
      <c r="S5506" s="2">
        <f t="shared" si="342"/>
        <v>4.1088696507756444</v>
      </c>
      <c r="T5506" s="2">
        <f t="shared" si="344"/>
        <v>4.576993494182565</v>
      </c>
      <c r="U5506" s="2">
        <f t="shared" si="345"/>
        <v>46.236924655534558</v>
      </c>
    </row>
    <row r="5507" spans="1:21" x14ac:dyDescent="0.25">
      <c r="A5507">
        <v>5847945</v>
      </c>
      <c r="B5507">
        <v>7</v>
      </c>
      <c r="C5507" s="1">
        <f>2.16795920304041*(10.3/7.3)</f>
        <v>3.0589013412761918</v>
      </c>
      <c r="D5507" s="1">
        <f>4.00005242251357*(10.3/7.3)</f>
        <v>5.6439095824506555</v>
      </c>
      <c r="E5507" s="1">
        <f>13.7606495066497*(10.3/7.3)</f>
        <v>19.415710947738607</v>
      </c>
      <c r="F5507" s="1">
        <f>36.4829477424488*(38.9/42.5)</f>
        <v>33.392627463088473</v>
      </c>
      <c r="G5507" s="1">
        <v>1.8401082388818772</v>
      </c>
      <c r="H5507" s="1">
        <v>9.6679293865146327</v>
      </c>
      <c r="I5507" s="1">
        <v>26.191094947718899</v>
      </c>
      <c r="J5507" s="1">
        <v>2.9776379280297253E-2</v>
      </c>
      <c r="K5507" s="1">
        <v>1.889367301831635</v>
      </c>
      <c r="L5507" s="1">
        <v>2.4486205504982146</v>
      </c>
      <c r="M5507" s="1">
        <v>0.15471954697615481</v>
      </c>
      <c r="N5507" s="1">
        <v>1.457916500316895</v>
      </c>
      <c r="O5507" s="1">
        <v>0.12457142857142857</v>
      </c>
      <c r="P5507" s="1">
        <v>8.9930288478676304E-2</v>
      </c>
      <c r="Q5507" s="1">
        <v>2.9408122539208112</v>
      </c>
      <c r="R5507" s="2">
        <f t="shared" si="343"/>
        <v>102.15109416159014</v>
      </c>
      <c r="S5507" s="2">
        <f t="shared" si="342"/>
        <v>2.0090739695906086</v>
      </c>
      <c r="T5507" s="2">
        <f t="shared" si="344"/>
        <v>4.1858280263626924</v>
      </c>
      <c r="U5507" s="2">
        <f t="shared" si="345"/>
        <v>108.34599615754342</v>
      </c>
    </row>
    <row r="5508" spans="1:21" x14ac:dyDescent="0.25">
      <c r="A5508">
        <v>5847953</v>
      </c>
      <c r="B5508">
        <v>13</v>
      </c>
      <c r="C5508" s="1">
        <f>3.04408300342684*(10.3/7.3)</f>
        <v>4.295076018533754</v>
      </c>
      <c r="D5508" s="1">
        <f>4.76186423276304*(10.3/7.3)</f>
        <v>6.7187947393779943</v>
      </c>
      <c r="E5508" s="1">
        <f>16.4801854127441*(10.3/7.3)</f>
        <v>23.252864349488284</v>
      </c>
      <c r="F5508" s="1">
        <f>43.3030377886471*(38.9/42.5)</f>
        <v>39.63501576419695</v>
      </c>
      <c r="G5508" s="1">
        <v>2.1368200181498902</v>
      </c>
      <c r="H5508" s="1">
        <v>8.8103658038185717</v>
      </c>
      <c r="I5508" s="1">
        <v>32.082881988713709</v>
      </c>
      <c r="J5508" s="1">
        <v>3.5364165713813962E-2</v>
      </c>
      <c r="K5508" s="1">
        <v>2.0810012246674807</v>
      </c>
      <c r="L5508" s="1">
        <v>3.0080258074302639</v>
      </c>
      <c r="M5508" s="1">
        <v>0.16585906955404678</v>
      </c>
      <c r="N5508" s="1">
        <v>1.9276709443427138</v>
      </c>
      <c r="O5508" s="1">
        <v>0.13417846153846152</v>
      </c>
      <c r="P5508" s="1">
        <v>9.6026428761587054E-2</v>
      </c>
      <c r="Q5508" s="1">
        <v>3.4150091614267688</v>
      </c>
      <c r="R5508" s="2">
        <f t="shared" si="343"/>
        <v>120.34682784370592</v>
      </c>
      <c r="S5508" s="2">
        <f t="shared" si="342"/>
        <v>2.2123918191428817</v>
      </c>
      <c r="T5508" s="2">
        <f t="shared" si="344"/>
        <v>5.2357342828654856</v>
      </c>
      <c r="U5508" s="2">
        <f t="shared" si="345"/>
        <v>127.79495394571428</v>
      </c>
    </row>
    <row r="5509" spans="1:21" x14ac:dyDescent="0.25">
      <c r="A5509">
        <v>5848105</v>
      </c>
      <c r="B5509">
        <v>18</v>
      </c>
      <c r="C5509" s="1">
        <f>7.81736180062729*(10.3/7.3)</f>
        <v>11.029976239241252</v>
      </c>
      <c r="D5509" s="1">
        <f>10.8122548508638*(10.3/7.3)</f>
        <v>15.255647255328389</v>
      </c>
      <c r="E5509" s="1">
        <f>37.8945470633695*(10.3/7.3)</f>
        <v>53.467648596261107</v>
      </c>
      <c r="F5509" s="1">
        <f>84.4232040312674*(38.9/42.5)</f>
        <v>77.272062042736479</v>
      </c>
      <c r="G5509" s="1">
        <v>3.5734580114262928</v>
      </c>
      <c r="H5509" s="1">
        <v>7.2194222843404754</v>
      </c>
      <c r="I5509" s="1">
        <v>62.293431492577916</v>
      </c>
      <c r="J5509" s="1">
        <v>3.9904031067049824E-2</v>
      </c>
      <c r="K5509" s="1">
        <v>2.4286224999060781</v>
      </c>
      <c r="L5509" s="1">
        <v>2.7082994227898394</v>
      </c>
      <c r="M5509" s="1">
        <v>0.15686310781173585</v>
      </c>
      <c r="N5509" s="1">
        <v>1.6867949293988904</v>
      </c>
      <c r="O5509" s="1">
        <v>0.14103111111111113</v>
      </c>
      <c r="P5509" s="1">
        <v>0.10194738172069108</v>
      </c>
      <c r="Q5509" s="1">
        <v>5.7110059543342651</v>
      </c>
      <c r="R5509" s="2">
        <f t="shared" si="343"/>
        <v>235.8226518762462</v>
      </c>
      <c r="S5509" s="2">
        <f t="shared" si="342"/>
        <v>2.570473912693819</v>
      </c>
      <c r="T5509" s="2">
        <f t="shared" si="344"/>
        <v>4.6929885711115773</v>
      </c>
      <c r="U5509" s="2">
        <f t="shared" si="345"/>
        <v>243.0861143600516</v>
      </c>
    </row>
    <row r="5510" spans="1:21" x14ac:dyDescent="0.25">
      <c r="A5510">
        <v>5848113</v>
      </c>
      <c r="B5510">
        <v>1</v>
      </c>
      <c r="C5510" s="1">
        <f>9.8417905451131*(10.3/7.3)</f>
        <v>13.886362002008896</v>
      </c>
      <c r="D5510" s="1">
        <f>13.7967141838954*(10.3/7.3)</f>
        <v>19.466596725222303</v>
      </c>
      <c r="E5510" s="1">
        <f>48.3360648010229*(10.3/7.3)</f>
        <v>68.200201020621378</v>
      </c>
      <c r="F5510" s="1">
        <f>107.273479678657*(38.9/42.5)</f>
        <v>98.186784929406016</v>
      </c>
      <c r="G5510" s="1">
        <v>4.5332112590530214</v>
      </c>
      <c r="H5510" s="1">
        <v>12.085991439358594</v>
      </c>
      <c r="I5510" s="1">
        <v>78.785971153583986</v>
      </c>
      <c r="J5510" s="1">
        <v>4.8168849051942936E-2</v>
      </c>
      <c r="K5510" s="1">
        <v>2.8124005109847277</v>
      </c>
      <c r="L5510" s="1">
        <v>3.2457363172173217</v>
      </c>
      <c r="M5510" s="1">
        <v>0.18155926572883152</v>
      </c>
      <c r="N5510" s="1">
        <v>1.9975945131180484</v>
      </c>
      <c r="O5510" s="1">
        <v>0.16362666666666667</v>
      </c>
      <c r="P5510" s="1">
        <v>0.11576953787905185</v>
      </c>
      <c r="Q5510" s="1">
        <v>7.2448581765687621</v>
      </c>
      <c r="R5510" s="2">
        <f t="shared" si="343"/>
        <v>302.38997670582296</v>
      </c>
      <c r="S5510" s="2">
        <f t="shared" si="342"/>
        <v>2.9763388979157224</v>
      </c>
      <c r="T5510" s="2">
        <f t="shared" si="344"/>
        <v>5.5885167627308681</v>
      </c>
      <c r="U5510" s="2">
        <f t="shared" si="345"/>
        <v>310.95483236646953</v>
      </c>
    </row>
    <row r="5511" spans="1:21" x14ac:dyDescent="0.25">
      <c r="A5511">
        <v>5848121</v>
      </c>
      <c r="B5511">
        <v>15</v>
      </c>
      <c r="C5511" s="1">
        <f>10.0308463893899*(10.3/7.3)</f>
        <v>14.153112028865237</v>
      </c>
      <c r="D5511" s="1">
        <f>14.2629574984566*(10.3/7.3)</f>
        <v>20.124446881384028</v>
      </c>
      <c r="E5511" s="1">
        <f>49.921866774984*(10.3/7.3)</f>
        <v>70.437702435936373</v>
      </c>
      <c r="F5511" s="1">
        <f>111.764272392989*(38.9/42.5)</f>
        <v>102.2971810844066</v>
      </c>
      <c r="G5511" s="1">
        <v>4.7740526367134786</v>
      </c>
      <c r="H5511" s="1">
        <v>8.6879400385650545</v>
      </c>
      <c r="I5511" s="1">
        <v>81.913897055378456</v>
      </c>
      <c r="J5511" s="1">
        <v>4.7649480912059408E-2</v>
      </c>
      <c r="K5511" s="1">
        <v>2.7640888966040866</v>
      </c>
      <c r="L5511" s="1">
        <v>3.1732844879165412</v>
      </c>
      <c r="M5511" s="1">
        <v>0.17567709422191372</v>
      </c>
      <c r="N5511" s="1">
        <v>1.990827728074277</v>
      </c>
      <c r="O5511" s="1">
        <v>0.15925688888888889</v>
      </c>
      <c r="P5511" s="1">
        <v>0.11373087340114671</v>
      </c>
      <c r="Q5511" s="1">
        <v>7.629764487898262</v>
      </c>
      <c r="R5511" s="2">
        <f t="shared" si="343"/>
        <v>310.01809664914754</v>
      </c>
      <c r="S5511" s="2">
        <f t="shared" si="342"/>
        <v>2.9254692509172928</v>
      </c>
      <c r="T5511" s="2">
        <f t="shared" si="344"/>
        <v>5.4990461991016204</v>
      </c>
      <c r="U5511" s="2">
        <f t="shared" si="345"/>
        <v>318.44261209916641</v>
      </c>
    </row>
    <row r="5512" spans="1:21" x14ac:dyDescent="0.25">
      <c r="A5512">
        <v>5848129</v>
      </c>
      <c r="B5512">
        <v>47</v>
      </c>
      <c r="C5512" s="1">
        <f>6.7424870879339*(10.3/7.3)</f>
        <v>9.5133721925642636</v>
      </c>
      <c r="D5512" s="1">
        <f>9.55055059729002*(10.3/7.3)</f>
        <v>13.475434404395504</v>
      </c>
      <c r="E5512" s="1">
        <f>33.3854742123362*(10.3/7.3)</f>
        <v>47.105532107816778</v>
      </c>
      <c r="F5512" s="1">
        <f>77.1558722845698*(38.9/42.5)</f>
        <v>70.620316043994478</v>
      </c>
      <c r="G5512" s="1">
        <v>3.3936020129146511</v>
      </c>
      <c r="H5512" s="1">
        <v>7.0904587933445677</v>
      </c>
      <c r="I5512" s="1">
        <v>56.998816403289091</v>
      </c>
      <c r="J5512" s="1">
        <v>3.4923011416803255E-2</v>
      </c>
      <c r="K5512" s="1">
        <v>2.1330950816931225</v>
      </c>
      <c r="L5512" s="1">
        <v>2.3171639526364696</v>
      </c>
      <c r="M5512" s="1">
        <v>0.13522094815223792</v>
      </c>
      <c r="N5512" s="1">
        <v>1.5010400364355019</v>
      </c>
      <c r="O5512" s="1">
        <v>0.12166581560283689</v>
      </c>
      <c r="P5512" s="1">
        <v>8.9917683050771607E-2</v>
      </c>
      <c r="Q5512" s="1">
        <v>5.4235648608225056</v>
      </c>
      <c r="R5512" s="2">
        <f t="shared" si="343"/>
        <v>213.6210968191418</v>
      </c>
      <c r="S5512" s="2">
        <f t="shared" si="342"/>
        <v>2.2579357761606973</v>
      </c>
      <c r="T5512" s="2">
        <f t="shared" si="344"/>
        <v>4.0750907528270464</v>
      </c>
      <c r="U5512" s="2">
        <f t="shared" si="345"/>
        <v>219.95412334812954</v>
      </c>
    </row>
    <row r="5513" spans="1:21" x14ac:dyDescent="0.25">
      <c r="A5513">
        <v>5848137</v>
      </c>
      <c r="B5513">
        <v>1</v>
      </c>
      <c r="C5513" s="1">
        <f>7.89812652810979*(10.3/7.3)</f>
        <v>11.143931950620658</v>
      </c>
      <c r="D5513" s="1">
        <f>10.9335034036438*(10.3/7.3)</f>
        <v>15.426723980483725</v>
      </c>
      <c r="E5513" s="1">
        <f>38.2231571804241*(10.3/7.3)</f>
        <v>53.931303966899733</v>
      </c>
      <c r="F5513" s="1">
        <f>89.9702672647494*(38.9/42.5)</f>
        <v>82.34925639055885</v>
      </c>
      <c r="G5513" s="1">
        <v>4.0096119467647666</v>
      </c>
      <c r="H5513" s="1">
        <v>9.1871002186341713</v>
      </c>
      <c r="I5513" s="1">
        <v>67.128979899623559</v>
      </c>
      <c r="J5513" s="1">
        <v>3.287634271092793E-2</v>
      </c>
      <c r="K5513" s="1">
        <v>1.9844753114219869</v>
      </c>
      <c r="L5513" s="1">
        <v>2.1400297411304461</v>
      </c>
      <c r="M5513" s="1">
        <v>0.12432906092557552</v>
      </c>
      <c r="N5513" s="1">
        <v>1.4467033399947804</v>
      </c>
      <c r="O5513" s="1">
        <v>0.11530666666666667</v>
      </c>
      <c r="P5513" s="1">
        <v>8.458304276833431E-2</v>
      </c>
      <c r="Q5513" s="1">
        <v>6.4080556226834231</v>
      </c>
      <c r="R5513" s="2">
        <f t="shared" si="343"/>
        <v>249.58496397626891</v>
      </c>
      <c r="S5513" s="2">
        <f t="shared" ref="S5513:S5576" si="346">J5513+K5513+P5513</f>
        <v>2.1019346969012491</v>
      </c>
      <c r="T5513" s="2">
        <f t="shared" si="344"/>
        <v>3.826368808717469</v>
      </c>
      <c r="U5513" s="2">
        <f t="shared" si="345"/>
        <v>255.51326748188762</v>
      </c>
    </row>
    <row r="5514" spans="1:21" x14ac:dyDescent="0.25">
      <c r="A5514">
        <v>5859653</v>
      </c>
      <c r="B5514">
        <v>46</v>
      </c>
      <c r="C5514" s="1">
        <f>0.461797703647823*(10.3/7.3)</f>
        <v>0.65157758185925763</v>
      </c>
      <c r="D5514" s="1">
        <f>0.742786376512072*(10.3/7.3)</f>
        <v>1.0480410517910057</v>
      </c>
      <c r="E5514" s="1">
        <f>2.55891032000634*(10.3/7.3)</f>
        <v>3.6105173008308604</v>
      </c>
      <c r="F5514" s="1">
        <f>7.19427155141507*(38.9/42.5)</f>
        <v>6.5848744317657948</v>
      </c>
      <c r="G5514" s="1">
        <v>0.37230411542320913</v>
      </c>
      <c r="H5514" s="1">
        <v>1.4648462894505969</v>
      </c>
      <c r="I5514" s="1">
        <v>5.3725653210908542</v>
      </c>
      <c r="J5514" s="1">
        <v>3.0960443970983888E-2</v>
      </c>
      <c r="K5514" s="1">
        <v>7.8416670519997069</v>
      </c>
      <c r="L5514" s="1">
        <v>1.7058341835558035</v>
      </c>
      <c r="M5514" s="1">
        <v>0.6054112032601473</v>
      </c>
      <c r="N5514" s="1">
        <v>1.0534340977898613</v>
      </c>
      <c r="O5514" s="1">
        <v>0.7295999999999998</v>
      </c>
      <c r="P5514" s="1">
        <v>0.11925694445757021</v>
      </c>
      <c r="Q5514" s="1">
        <v>0.59500657716038041</v>
      </c>
      <c r="R5514" s="2">
        <f t="shared" ref="R5514:R5577" si="347">C5514+D5514+E5514+F5514+G5514+H5514+I5514+Q5514</f>
        <v>19.699732669371958</v>
      </c>
      <c r="S5514" s="2">
        <f t="shared" si="346"/>
        <v>7.9918844404282607</v>
      </c>
      <c r="T5514" s="2">
        <f t="shared" ref="T5514:T5577" si="348">L5514+M5514+N5514+O5514</f>
        <v>4.0942794846058117</v>
      </c>
      <c r="U5514" s="2">
        <f t="shared" ref="U5514:U5577" si="349">R5514+S5514+T5514</f>
        <v>31.785896594406033</v>
      </c>
    </row>
    <row r="5515" spans="1:21" x14ac:dyDescent="0.25">
      <c r="A5515">
        <v>5859661</v>
      </c>
      <c r="B5515">
        <v>63</v>
      </c>
      <c r="C5515" s="1">
        <f>0.841388280740698*(10.3/7.3)</f>
        <v>1.1871642865245469</v>
      </c>
      <c r="D5515" s="1">
        <f>1.47705596976931*(10.3/7.3)</f>
        <v>2.084065272414231</v>
      </c>
      <c r="E5515" s="1">
        <f>5.04730786748264*(10.3/7.3)</f>
        <v>7.1215439774070122</v>
      </c>
      <c r="F5515" s="1">
        <f>15.5277852693837*(38.9/42.5)</f>
        <v>14.212490517153563</v>
      </c>
      <c r="G5515" s="1">
        <v>0.8524531973011461</v>
      </c>
      <c r="H5515" s="1">
        <v>2.9086432338986659</v>
      </c>
      <c r="I5515" s="1">
        <v>11.61699994374605</v>
      </c>
      <c r="J5515" s="1">
        <v>4.9701655894907631E-2</v>
      </c>
      <c r="K5515" s="1">
        <v>14.939564992570844</v>
      </c>
      <c r="L5515" s="1">
        <v>2.6328285513022704</v>
      </c>
      <c r="M5515" s="1">
        <v>0.95103381794886643</v>
      </c>
      <c r="N5515" s="1">
        <v>1.5476008507376979</v>
      </c>
      <c r="O5515" s="1">
        <v>1.0903026455026457</v>
      </c>
      <c r="P5515" s="1">
        <v>0.15327590671983699</v>
      </c>
      <c r="Q5515" s="1">
        <v>1.3623681235406471</v>
      </c>
      <c r="R5515" s="2">
        <f t="shared" si="347"/>
        <v>41.345728551985864</v>
      </c>
      <c r="S5515" s="2">
        <f t="shared" si="346"/>
        <v>15.142542555185589</v>
      </c>
      <c r="T5515" s="2">
        <f t="shared" si="348"/>
        <v>6.2217658654914807</v>
      </c>
      <c r="U5515" s="2">
        <f t="shared" si="349"/>
        <v>62.710036972662934</v>
      </c>
    </row>
    <row r="5516" spans="1:21" x14ac:dyDescent="0.25">
      <c r="A5516">
        <v>5859669</v>
      </c>
      <c r="B5516">
        <v>1</v>
      </c>
      <c r="C5516" s="1">
        <f>0.615759133255559*(10.3/7.3)</f>
        <v>0.86881083185373353</v>
      </c>
      <c r="D5516" s="1">
        <f>1.06479358302745*(10.3/7.3)</f>
        <v>1.5023799870113292</v>
      </c>
      <c r="E5516" s="1">
        <f>3.64132465778243*(10.3/7.3)</f>
        <v>5.1377594486519191</v>
      </c>
      <c r="F5516" s="1">
        <f>11.1519827521696*(38.9/42.5)</f>
        <v>10.207344213162269</v>
      </c>
      <c r="G5516" s="1">
        <v>0.61007903476865033</v>
      </c>
      <c r="H5516" s="1">
        <v>3.2472284392517934</v>
      </c>
      <c r="I5516" s="1">
        <v>8.357084136023202</v>
      </c>
      <c r="J5516" s="1">
        <v>4.3153382210910821E-2</v>
      </c>
      <c r="K5516" s="1">
        <v>11.091932368328948</v>
      </c>
      <c r="L5516" s="1">
        <v>2.0552846980822577</v>
      </c>
      <c r="M5516" s="1">
        <v>0.77247360258835429</v>
      </c>
      <c r="N5516" s="1">
        <v>1.3875158899724656</v>
      </c>
      <c r="O5516" s="1">
        <v>0.80053333333333321</v>
      </c>
      <c r="P5516" s="1">
        <v>0.13449645344655439</v>
      </c>
      <c r="Q5516" s="1">
        <v>0.97501215602295821</v>
      </c>
      <c r="R5516" s="2">
        <f t="shared" si="347"/>
        <v>30.905698246745853</v>
      </c>
      <c r="S5516" s="2">
        <f t="shared" si="346"/>
        <v>11.269582203986412</v>
      </c>
      <c r="T5516" s="2">
        <f t="shared" si="348"/>
        <v>5.0158075239764104</v>
      </c>
      <c r="U5516" s="2">
        <f t="shared" si="349"/>
        <v>47.19108797470868</v>
      </c>
    </row>
    <row r="5517" spans="1:21" x14ac:dyDescent="0.25">
      <c r="A5517">
        <v>5859733</v>
      </c>
      <c r="B5517">
        <v>39</v>
      </c>
      <c r="C5517" s="1">
        <f>0.515073007027965*(10.3/7.3)</f>
        <v>0.72674684553260771</v>
      </c>
      <c r="D5517" s="1">
        <f>0.998043798032081*(10.3/7.3)</f>
        <v>1.4081987835247174</v>
      </c>
      <c r="E5517" s="1">
        <f>3.37151460090415*(10.3/7.3)</f>
        <v>4.7570685464812046</v>
      </c>
      <c r="F5517" s="1">
        <f>11.8417752479092*(38.9/42.5)</f>
        <v>10.838707226909829</v>
      </c>
      <c r="G5517" s="1">
        <v>0.69694942088053502</v>
      </c>
      <c r="H5517" s="1">
        <v>3.3248922302529866</v>
      </c>
      <c r="I5517" s="1">
        <v>8.9501629875688842</v>
      </c>
      <c r="J5517" s="1">
        <v>4.2338251889139533E-2</v>
      </c>
      <c r="K5517" s="1">
        <v>4.5426134039927462</v>
      </c>
      <c r="L5517" s="1">
        <v>2.0877460300635002</v>
      </c>
      <c r="M5517" s="1">
        <v>0.81512512858811492</v>
      </c>
      <c r="N5517" s="1">
        <v>1.4877408413309461</v>
      </c>
      <c r="O5517" s="1">
        <v>0.33938051282051274</v>
      </c>
      <c r="P5517" s="1">
        <v>0.12178715770171775</v>
      </c>
      <c r="Q5517" s="1">
        <v>1.1138461064300802</v>
      </c>
      <c r="R5517" s="2">
        <f t="shared" si="347"/>
        <v>31.816572147580846</v>
      </c>
      <c r="S5517" s="2">
        <f t="shared" si="346"/>
        <v>4.7067388135836037</v>
      </c>
      <c r="T5517" s="2">
        <f t="shared" si="348"/>
        <v>4.729992512803074</v>
      </c>
      <c r="U5517" s="2">
        <f t="shared" si="349"/>
        <v>41.25330347396752</v>
      </c>
    </row>
    <row r="5518" spans="1:21" x14ac:dyDescent="0.25">
      <c r="A5518">
        <v>5859741</v>
      </c>
      <c r="B5518">
        <v>21</v>
      </c>
      <c r="C5518" s="1">
        <f>0.53314203276701*(10.3/7.3)</f>
        <v>0.75224149828769959</v>
      </c>
      <c r="D5518" s="1">
        <f>1.03197086711949*(10.3/7.3)</f>
        <v>1.456068483743945</v>
      </c>
      <c r="E5518" s="1">
        <f>3.48609026184218*(10.3/7.3)</f>
        <v>4.9187300954759587</v>
      </c>
      <c r="F5518" s="1">
        <f>12.2516086028131*(38.9/42.5)</f>
        <v>11.21382528586896</v>
      </c>
      <c r="G5518" s="1">
        <v>0.72121615655723459</v>
      </c>
      <c r="H5518" s="1">
        <v>5.3718183449532759</v>
      </c>
      <c r="I5518" s="1">
        <v>9.2622219187376498</v>
      </c>
      <c r="J5518" s="1">
        <v>3.937369794983811E-2</v>
      </c>
      <c r="K5518" s="1">
        <v>4.1512182246603073</v>
      </c>
      <c r="L5518" s="1">
        <v>2.0841124142453618</v>
      </c>
      <c r="M5518" s="1">
        <v>0.79460807418529289</v>
      </c>
      <c r="N5518" s="1">
        <v>1.4338392405471221</v>
      </c>
      <c r="O5518" s="1">
        <v>0.31537015873015872</v>
      </c>
      <c r="P5518" s="1">
        <v>0.12042940027346923</v>
      </c>
      <c r="Q5518" s="1">
        <v>1.1526285607079101</v>
      </c>
      <c r="R5518" s="2">
        <f t="shared" si="347"/>
        <v>34.848750344332636</v>
      </c>
      <c r="S5518" s="2">
        <f t="shared" si="346"/>
        <v>4.3110213228836143</v>
      </c>
      <c r="T5518" s="2">
        <f t="shared" si="348"/>
        <v>4.6279298877079347</v>
      </c>
      <c r="U5518" s="2">
        <f t="shared" si="349"/>
        <v>43.787701554924183</v>
      </c>
    </row>
    <row r="5519" spans="1:21" x14ac:dyDescent="0.25">
      <c r="A5519">
        <v>5860157</v>
      </c>
      <c r="B5519">
        <v>16</v>
      </c>
      <c r="C5519" s="1">
        <f>2.34096009424938*(10.3/7.3)</f>
        <v>3.3029984891463897</v>
      </c>
      <c r="D5519" s="1">
        <f>5.6641033711043*(10.3/7.3)</f>
        <v>7.9918170852567512</v>
      </c>
      <c r="E5519" s="1">
        <f>19.1448912404665*(10.3/7.3)</f>
        <v>27.012654763945914</v>
      </c>
      <c r="F5519" s="1">
        <f>60.8197444062065*(38.9/42.5)</f>
        <v>55.667954291798416</v>
      </c>
      <c r="G5519" s="1">
        <v>3.4601947892881184</v>
      </c>
      <c r="H5519" s="1">
        <v>11.560924308490128</v>
      </c>
      <c r="I5519" s="1">
        <v>43.75021927039883</v>
      </c>
      <c r="J5519" s="1">
        <v>3.1935412277764759E-2</v>
      </c>
      <c r="K5519" s="1">
        <v>2.1126156023421858</v>
      </c>
      <c r="L5519" s="1">
        <v>2.4732200043724024</v>
      </c>
      <c r="M5519" s="1">
        <v>0.18216786780051802</v>
      </c>
      <c r="N5519" s="1">
        <v>1.6849088402244621</v>
      </c>
      <c r="O5519" s="1">
        <v>0.14698333333333335</v>
      </c>
      <c r="P5519" s="1">
        <v>0.10144456086071303</v>
      </c>
      <c r="Q5519" s="1">
        <v>5.5299916723782792</v>
      </c>
      <c r="R5519" s="2">
        <f t="shared" si="347"/>
        <v>158.27675467070284</v>
      </c>
      <c r="S5519" s="2">
        <f t="shared" si="346"/>
        <v>2.2459955754806633</v>
      </c>
      <c r="T5519" s="2">
        <f t="shared" si="348"/>
        <v>4.4872800457307154</v>
      </c>
      <c r="U5519" s="2">
        <f t="shared" si="349"/>
        <v>165.01003029191423</v>
      </c>
    </row>
    <row r="5520" spans="1:21" x14ac:dyDescent="0.25">
      <c r="A5520">
        <v>5860173</v>
      </c>
      <c r="B5520">
        <v>27</v>
      </c>
      <c r="C5520" s="1">
        <f>2.09002888021451*(10.3/7.3)</f>
        <v>2.9489448583848561</v>
      </c>
      <c r="D5520" s="1">
        <f>4.56294505434304*(10.3/7.3)</f>
        <v>6.4381279533881246</v>
      </c>
      <c r="E5520" s="1">
        <f>15.5930403855505*(10.3/7.3)</f>
        <v>22.001139174132835</v>
      </c>
      <c r="F5520" s="1">
        <f>42.8049474035665*(38.9/42.5)</f>
        <v>39.179116564676114</v>
      </c>
      <c r="G5520" s="1">
        <v>2.2365034377339827</v>
      </c>
      <c r="H5520" s="1">
        <v>9.7581448391708481</v>
      </c>
      <c r="I5520" s="1">
        <v>30.106294280219892</v>
      </c>
      <c r="J5520" s="1">
        <v>3.1412594570382313E-2</v>
      </c>
      <c r="K5520" s="1">
        <v>2.0036824202503078</v>
      </c>
      <c r="L5520" s="1">
        <v>2.5099780631497088</v>
      </c>
      <c r="M5520" s="1">
        <v>0.16582161551363139</v>
      </c>
      <c r="N5520" s="1">
        <v>1.5580830730294795</v>
      </c>
      <c r="O5520" s="1">
        <v>0.13334320987654319</v>
      </c>
      <c r="P5520" s="1">
        <v>9.5509536931198361E-2</v>
      </c>
      <c r="Q5520" s="1">
        <v>3.5743205625885599</v>
      </c>
      <c r="R5520" s="2">
        <f t="shared" si="347"/>
        <v>116.24259167029521</v>
      </c>
      <c r="S5520" s="2">
        <f t="shared" si="346"/>
        <v>2.1306045517518886</v>
      </c>
      <c r="T5520" s="2">
        <f t="shared" si="348"/>
        <v>4.3672259615693623</v>
      </c>
      <c r="U5520" s="2">
        <f t="shared" si="349"/>
        <v>122.74042218361646</v>
      </c>
    </row>
    <row r="5521" spans="1:21" x14ac:dyDescent="0.25">
      <c r="A5521">
        <v>5860181</v>
      </c>
      <c r="B5521">
        <v>15</v>
      </c>
      <c r="C5521" s="1">
        <f>2.30292322670352*(10.3/7.3)</f>
        <v>3.2493300321981158</v>
      </c>
      <c r="D5521" s="1">
        <f>4.02193394084432*(10.3/7.3)</f>
        <v>5.6747835055748643</v>
      </c>
      <c r="E5521" s="1">
        <f>13.8783570813791*(10.3/7.3)</f>
        <v>19.581791498384227</v>
      </c>
      <c r="F5521" s="1">
        <f>35.8645454737333*(38.9/42.5)</f>
        <v>32.826607504193539</v>
      </c>
      <c r="G5521" s="1">
        <v>1.7685067482260652</v>
      </c>
      <c r="H5521" s="1">
        <v>7.3310932323565359</v>
      </c>
      <c r="I5521" s="1">
        <v>25.866961344502162</v>
      </c>
      <c r="J5521" s="1">
        <v>3.2757533005725814E-2</v>
      </c>
      <c r="K5521" s="1">
        <v>2.0328686560541844</v>
      </c>
      <c r="L5521" s="1">
        <v>2.8424584306976195</v>
      </c>
      <c r="M5521" s="1">
        <v>0.1632046817241074</v>
      </c>
      <c r="N5521" s="1">
        <v>1.6794997047562328</v>
      </c>
      <c r="O5521" s="1">
        <v>0.13159466666666664</v>
      </c>
      <c r="P5521" s="1">
        <v>9.4750567223916005E-2</v>
      </c>
      <c r="Q5521" s="1">
        <v>2.8263806478498794</v>
      </c>
      <c r="R5521" s="2">
        <f t="shared" si="347"/>
        <v>99.125454513285376</v>
      </c>
      <c r="S5521" s="2">
        <f t="shared" si="346"/>
        <v>2.1603767562838265</v>
      </c>
      <c r="T5521" s="2">
        <f t="shared" si="348"/>
        <v>4.8167574838446257</v>
      </c>
      <c r="U5521" s="2">
        <f t="shared" si="349"/>
        <v>106.10258875341383</v>
      </c>
    </row>
    <row r="5522" spans="1:21" x14ac:dyDescent="0.25">
      <c r="A5522">
        <v>5860325</v>
      </c>
      <c r="B5522">
        <v>5</v>
      </c>
      <c r="C5522" s="1">
        <f>5.66291290855597*(10.3/7.3)</f>
        <v>7.99013739152418</v>
      </c>
      <c r="D5522" s="1">
        <f>7.65480905378946*(10.3/7.3)</f>
        <v>10.800620993702932</v>
      </c>
      <c r="E5522" s="1">
        <f>26.818926591751*(10.3/7.3)</f>
        <v>37.840403273292459</v>
      </c>
      <c r="F5522" s="1">
        <f>61.5211016168571*(38.9/42.5)</f>
        <v>56.309902421076217</v>
      </c>
      <c r="G5522" s="1">
        <v>2.6686397736134135</v>
      </c>
      <c r="H5522" s="1">
        <v>10.468927437438854</v>
      </c>
      <c r="I5522" s="1">
        <v>45.96569383536054</v>
      </c>
      <c r="J5522" s="1">
        <v>3.4843491972774372E-2</v>
      </c>
      <c r="K5522" s="1">
        <v>2.2706076478835251</v>
      </c>
      <c r="L5522" s="1">
        <v>2.2387092410217559</v>
      </c>
      <c r="M5522" s="1">
        <v>0.13764106648351201</v>
      </c>
      <c r="N5522" s="1">
        <v>1.5838403944238195</v>
      </c>
      <c r="O5522" s="1">
        <v>0.12308266666666665</v>
      </c>
      <c r="P5522" s="1">
        <v>8.9855689603389854E-2</v>
      </c>
      <c r="Q5522" s="1">
        <v>4.2649494098844567</v>
      </c>
      <c r="R5522" s="2">
        <f t="shared" si="347"/>
        <v>176.30927453589302</v>
      </c>
      <c r="S5522" s="2">
        <f t="shared" si="346"/>
        <v>2.3953068294596895</v>
      </c>
      <c r="T5522" s="2">
        <f t="shared" si="348"/>
        <v>4.0832733685957541</v>
      </c>
      <c r="U5522" s="2">
        <f t="shared" si="349"/>
        <v>182.78785473394845</v>
      </c>
    </row>
    <row r="5523" spans="1:21" x14ac:dyDescent="0.25">
      <c r="A5523">
        <v>5860333</v>
      </c>
      <c r="B5523">
        <v>13</v>
      </c>
      <c r="C5523" s="1">
        <f>8.583494814055*(10.3/7.3)</f>
        <v>12.110958436269382</v>
      </c>
      <c r="D5523" s="1">
        <f>11.7654229398873*(10.3/7.3)</f>
        <v>16.600528257649238</v>
      </c>
      <c r="E5523" s="1">
        <f>41.2453741207736*(10.3/7.3)</f>
        <v>58.195527869036773</v>
      </c>
      <c r="F5523" s="1">
        <f>92.1466489323847*(38.9/42.5)</f>
        <v>84.341285728700356</v>
      </c>
      <c r="G5523" s="1">
        <v>3.9055358539533716</v>
      </c>
      <c r="H5523" s="1">
        <v>7.6587160871977726</v>
      </c>
      <c r="I5523" s="1">
        <v>68.208016831224157</v>
      </c>
      <c r="J5523" s="1">
        <v>4.2048190832299936E-2</v>
      </c>
      <c r="K5523" s="1">
        <v>2.5411010735298487</v>
      </c>
      <c r="L5523" s="1">
        <v>2.8493839488085566</v>
      </c>
      <c r="M5523" s="1">
        <v>0.16450421140846777</v>
      </c>
      <c r="N5523" s="1">
        <v>1.7571112676129244</v>
      </c>
      <c r="O5523" s="1">
        <v>0.14782358974358975</v>
      </c>
      <c r="P5523" s="1">
        <v>0.10621412854423216</v>
      </c>
      <c r="Q5523" s="1">
        <v>6.2417239675053944</v>
      </c>
      <c r="R5523" s="2">
        <f t="shared" si="347"/>
        <v>257.26229303153644</v>
      </c>
      <c r="S5523" s="2">
        <f t="shared" si="346"/>
        <v>2.6893633929063809</v>
      </c>
      <c r="T5523" s="2">
        <f t="shared" si="348"/>
        <v>4.9188230175735388</v>
      </c>
      <c r="U5523" s="2">
        <f t="shared" si="349"/>
        <v>264.87047944201635</v>
      </c>
    </row>
    <row r="5524" spans="1:21" x14ac:dyDescent="0.25">
      <c r="A5524">
        <v>5860341</v>
      </c>
      <c r="B5524">
        <v>4</v>
      </c>
      <c r="C5524" s="1">
        <f>9.79598698733536*(10.3/7.3)</f>
        <v>13.821735064322496</v>
      </c>
      <c r="D5524" s="1">
        <f>13.644664626986*(10.3/7.3)</f>
        <v>19.252061049035106</v>
      </c>
      <c r="E5524" s="1">
        <f>47.8170327538094*(10.3/7.3)</f>
        <v>67.467868132087204</v>
      </c>
      <c r="F5524" s="1">
        <f>106.059407367825*(38.9/42.5)</f>
        <v>97.075551684903616</v>
      </c>
      <c r="G5524" s="1">
        <v>4.4747355161847633</v>
      </c>
      <c r="H5524" s="1">
        <v>8.1877721326949899</v>
      </c>
      <c r="I5524" s="1">
        <v>78.026830807439126</v>
      </c>
      <c r="J5524" s="1">
        <v>4.7960932067839232E-2</v>
      </c>
      <c r="K5524" s="1">
        <v>2.817293108100253</v>
      </c>
      <c r="L5524" s="1">
        <v>3.2441754074294984</v>
      </c>
      <c r="M5524" s="1">
        <v>0.17824332400550619</v>
      </c>
      <c r="N5524" s="1">
        <v>1.9932102075072939</v>
      </c>
      <c r="O5524" s="1">
        <v>0.1636</v>
      </c>
      <c r="P5524" s="1">
        <v>0.11608290468026622</v>
      </c>
      <c r="Q5524" s="1">
        <v>7.1514037929893544</v>
      </c>
      <c r="R5524" s="2">
        <f t="shared" si="347"/>
        <v>295.45795817965666</v>
      </c>
      <c r="S5524" s="2">
        <f t="shared" si="346"/>
        <v>2.9813369448483584</v>
      </c>
      <c r="T5524" s="2">
        <f t="shared" si="348"/>
        <v>5.5792289389422978</v>
      </c>
      <c r="U5524" s="2">
        <f t="shared" si="349"/>
        <v>304.01852406344733</v>
      </c>
    </row>
    <row r="5525" spans="1:21" x14ac:dyDescent="0.25">
      <c r="A5525">
        <v>5860349</v>
      </c>
      <c r="B5525">
        <v>21</v>
      </c>
      <c r="C5525" s="1">
        <f>8.79940398798486*(10.3/7.3)</f>
        <v>12.415597407704666</v>
      </c>
      <c r="D5525" s="1">
        <f>12.4852172705409*(10.3/7.3)</f>
        <v>17.616128477612484</v>
      </c>
      <c r="E5525" s="1">
        <f>43.7074594745004*(10.3/7.3)</f>
        <v>61.669429121555325</v>
      </c>
      <c r="F5525" s="1">
        <f>97.6415883668401*(38.9/42.5)</f>
        <v>89.370771469884261</v>
      </c>
      <c r="G5525" s="1">
        <v>4.1607445351477352</v>
      </c>
      <c r="H5525" s="1">
        <v>7.9391197902232067</v>
      </c>
      <c r="I5525" s="1">
        <v>71.57189385290674</v>
      </c>
      <c r="J5525" s="1">
        <v>4.3150957523049552E-2</v>
      </c>
      <c r="K5525" s="1">
        <v>2.5633802582086123</v>
      </c>
      <c r="L5525" s="1">
        <v>2.9052685366607811</v>
      </c>
      <c r="M5525" s="1">
        <v>0.1660436687638954</v>
      </c>
      <c r="N5525" s="1">
        <v>1.85891168324295</v>
      </c>
      <c r="O5525" s="1">
        <v>0.14826158730158731</v>
      </c>
      <c r="P5525" s="1">
        <v>0.10665501230069763</v>
      </c>
      <c r="Q5525" s="1">
        <v>6.649591722838851</v>
      </c>
      <c r="R5525" s="2">
        <f t="shared" si="347"/>
        <v>271.39327637787329</v>
      </c>
      <c r="S5525" s="2">
        <f t="shared" si="346"/>
        <v>2.7131862280323595</v>
      </c>
      <c r="T5525" s="2">
        <f t="shared" si="348"/>
        <v>5.078485475969214</v>
      </c>
      <c r="U5525" s="2">
        <f t="shared" si="349"/>
        <v>279.18494808187489</v>
      </c>
    </row>
    <row r="5526" spans="1:21" x14ac:dyDescent="0.25">
      <c r="A5526">
        <v>5860357</v>
      </c>
      <c r="B5526">
        <v>18</v>
      </c>
      <c r="C5526" s="1">
        <f>9.42623942672373*(10.3/7.3)</f>
        <v>13.30003645140472</v>
      </c>
      <c r="D5526" s="1">
        <f>13.4417579103931*(10.3/7.3)</f>
        <v>18.965768010554651</v>
      </c>
      <c r="E5526" s="1">
        <f>47.0341638759565*(10.3/7.3)</f>
        <v>66.363272318130456</v>
      </c>
      <c r="F5526" s="1">
        <f>105.707271449768*(38.9/42.5)</f>
        <v>96.753243750493354</v>
      </c>
      <c r="G5526" s="1">
        <v>4.5341649918622888</v>
      </c>
      <c r="H5526" s="1">
        <v>8.1192841014084003</v>
      </c>
      <c r="I5526" s="1">
        <v>77.479162176869352</v>
      </c>
      <c r="J5526" s="1">
        <v>4.5139673036373146E-2</v>
      </c>
      <c r="K5526" s="1">
        <v>2.6448438190423391</v>
      </c>
      <c r="L5526" s="1">
        <v>3.0078831381760605</v>
      </c>
      <c r="M5526" s="1">
        <v>0.16540534386142042</v>
      </c>
      <c r="N5526" s="1">
        <v>1.8688251109428775</v>
      </c>
      <c r="O5526" s="1">
        <v>0.15215703703703698</v>
      </c>
      <c r="P5526" s="1">
        <v>0.10898650182784662</v>
      </c>
      <c r="Q5526" s="1">
        <v>7.2463824070858562</v>
      </c>
      <c r="R5526" s="2">
        <f t="shared" si="347"/>
        <v>292.76131420780905</v>
      </c>
      <c r="S5526" s="2">
        <f t="shared" si="346"/>
        <v>2.7989699939065589</v>
      </c>
      <c r="T5526" s="2">
        <f t="shared" si="348"/>
        <v>5.194270630017396</v>
      </c>
      <c r="U5526" s="2">
        <f t="shared" si="349"/>
        <v>300.754554831733</v>
      </c>
    </row>
    <row r="5527" spans="1:21" x14ac:dyDescent="0.25">
      <c r="A5527">
        <v>5860365</v>
      </c>
      <c r="B5527">
        <v>48</v>
      </c>
      <c r="C5527" s="1">
        <f>6.85302542265569*(10.3/7.3)</f>
        <v>9.6693372401854241</v>
      </c>
      <c r="D5527" s="1">
        <f>9.67739187081927*(10.3/7.3)</f>
        <v>13.654402228690207</v>
      </c>
      <c r="E5527" s="1">
        <f>33.8620109018006*(10.3/7.3)</f>
        <v>47.777905792951529</v>
      </c>
      <c r="F5527" s="1">
        <f>76.785316435645*(38.9/42.5)</f>
        <v>70.281148455213923</v>
      </c>
      <c r="G5527" s="1">
        <v>3.316799571207127</v>
      </c>
      <c r="H5527" s="1">
        <v>7.0256683375194919</v>
      </c>
      <c r="I5527" s="1">
        <v>56.542671233941206</v>
      </c>
      <c r="J5527" s="1">
        <v>3.4707108332011107E-2</v>
      </c>
      <c r="K5527" s="1">
        <v>2.1006150576498768</v>
      </c>
      <c r="L5527" s="1">
        <v>2.272937350624332</v>
      </c>
      <c r="M5527" s="1">
        <v>0.13282698610240171</v>
      </c>
      <c r="N5527" s="1">
        <v>1.5333206192919304</v>
      </c>
      <c r="O5527" s="1">
        <v>0.11997777777777778</v>
      </c>
      <c r="P5527" s="1">
        <v>8.8750123128934891E-2</v>
      </c>
      <c r="Q5527" s="1">
        <v>5.3008212325228117</v>
      </c>
      <c r="R5527" s="2">
        <f t="shared" si="347"/>
        <v>213.56875409223173</v>
      </c>
      <c r="S5527" s="2">
        <f t="shared" si="346"/>
        <v>2.2240722891108224</v>
      </c>
      <c r="T5527" s="2">
        <f t="shared" si="348"/>
        <v>4.0590627337964422</v>
      </c>
      <c r="U5527" s="2">
        <f t="shared" si="349"/>
        <v>219.85188911513902</v>
      </c>
    </row>
    <row r="5528" spans="1:21" x14ac:dyDescent="0.25">
      <c r="A5528">
        <v>5860373</v>
      </c>
      <c r="B5528">
        <v>4</v>
      </c>
      <c r="C5528" s="1">
        <f>8.81419768366463*(10.3/7.3)</f>
        <v>12.436470704348721</v>
      </c>
      <c r="D5528" s="1">
        <f>12.2036104639432*(10.3/7.3)</f>
        <v>17.218792846385636</v>
      </c>
      <c r="E5528" s="1">
        <f>42.7953391195352*(10.3/7.3)</f>
        <v>60.382464785097547</v>
      </c>
      <c r="F5528" s="1">
        <f>94.0124675414024*(38.9/42.5)</f>
        <v>86.049058526130693</v>
      </c>
      <c r="G5528" s="1">
        <v>3.924580705988447</v>
      </c>
      <c r="H5528" s="1">
        <v>11.100939468932827</v>
      </c>
      <c r="I5528" s="1">
        <v>69.13905279203523</v>
      </c>
      <c r="J5528" s="1">
        <v>3.8753179914675376E-2</v>
      </c>
      <c r="K5528" s="1">
        <v>2.259382719462502</v>
      </c>
      <c r="L5528" s="1">
        <v>2.4817423475936682</v>
      </c>
      <c r="M5528" s="1">
        <v>0.14063516326452064</v>
      </c>
      <c r="N5528" s="1">
        <v>2.0790368841373636</v>
      </c>
      <c r="O5528" s="1">
        <v>0.12926666666666664</v>
      </c>
      <c r="P5528" s="1">
        <v>9.4150116768542846E-2</v>
      </c>
      <c r="Q5528" s="1">
        <v>6.2721609456436429</v>
      </c>
      <c r="R5528" s="2">
        <f t="shared" si="347"/>
        <v>266.52352077456271</v>
      </c>
      <c r="S5528" s="2">
        <f t="shared" si="346"/>
        <v>2.3922860161457202</v>
      </c>
      <c r="T5528" s="2">
        <f t="shared" si="348"/>
        <v>4.8306810616622187</v>
      </c>
      <c r="U5528" s="2">
        <f t="shared" si="349"/>
        <v>273.74648785237065</v>
      </c>
    </row>
    <row r="5529" spans="1:21" x14ac:dyDescent="0.25">
      <c r="A5529">
        <v>5871889</v>
      </c>
      <c r="B5529">
        <v>71</v>
      </c>
      <c r="C5529" s="1">
        <f>0.512794530489197*(10.3/7.3)</f>
        <v>0.7235320087724284</v>
      </c>
      <c r="D5529" s="1">
        <f>0.84642178080348*(10.3/7.3)</f>
        <v>1.1942663482569653</v>
      </c>
      <c r="E5529" s="1">
        <f>2.90910647671137*(10.3/7.3)</f>
        <v>4.1046296863187886</v>
      </c>
      <c r="F5529" s="1">
        <f>8.39387706544209*(38.9/42.5)</f>
        <v>7.6828663022516972</v>
      </c>
      <c r="G5529" s="1">
        <v>0.44232263885025164</v>
      </c>
      <c r="H5529" s="1">
        <v>1.6835407870329206</v>
      </c>
      <c r="I5529" s="1">
        <v>6.2693616038857307</v>
      </c>
      <c r="J5529" s="1">
        <v>3.292833689781216E-2</v>
      </c>
      <c r="K5529" s="1">
        <v>8.1555503181509472</v>
      </c>
      <c r="L5529" s="1">
        <v>1.8042938421551464</v>
      </c>
      <c r="M5529" s="1">
        <v>0.63770340530811787</v>
      </c>
      <c r="N5529" s="1">
        <v>1.1120297595946982</v>
      </c>
      <c r="O5529" s="1">
        <v>0.7328600938967138</v>
      </c>
      <c r="P5529" s="1">
        <v>0.12170225331968429</v>
      </c>
      <c r="Q5529" s="1">
        <v>0.70690832692962646</v>
      </c>
      <c r="R5529" s="2">
        <f t="shared" si="347"/>
        <v>22.807427702298408</v>
      </c>
      <c r="S5529" s="2">
        <f t="shared" si="346"/>
        <v>8.3101809083684444</v>
      </c>
      <c r="T5529" s="2">
        <f t="shared" si="348"/>
        <v>4.2868871009546767</v>
      </c>
      <c r="U5529" s="2">
        <f t="shared" si="349"/>
        <v>35.404495711621529</v>
      </c>
    </row>
    <row r="5530" spans="1:21" x14ac:dyDescent="0.25">
      <c r="A5530">
        <v>5871897</v>
      </c>
      <c r="B5530">
        <v>63</v>
      </c>
      <c r="C5530" s="1">
        <f>0.890744854318453*(10.3/7.3)</f>
        <v>1.2568043834904201</v>
      </c>
      <c r="D5530" s="1">
        <f>1.60023187743788*(10.3/7.3)</f>
        <v>2.2578614161109862</v>
      </c>
      <c r="E5530" s="1">
        <f>5.4553195429268*(10.3/7.3)</f>
        <v>7.697231683855617</v>
      </c>
      <c r="F5530" s="1">
        <f>17.2384653641989*(38.9/42.5)</f>
        <v>15.778265945113796</v>
      </c>
      <c r="G5530" s="1">
        <v>0.96120087778365315</v>
      </c>
      <c r="H5530" s="1">
        <v>3.7028964534038451</v>
      </c>
      <c r="I5530" s="1">
        <v>12.915254643241877</v>
      </c>
      <c r="J5530" s="1">
        <v>5.5262138685200239E-2</v>
      </c>
      <c r="K5530" s="1">
        <v>14.452863427767964</v>
      </c>
      <c r="L5530" s="1">
        <v>2.8580212983340036</v>
      </c>
      <c r="M5530" s="1">
        <v>1.0346560192227114</v>
      </c>
      <c r="N5530" s="1">
        <v>1.6791591973231432</v>
      </c>
      <c r="O5530" s="1">
        <v>1.0991407407407408</v>
      </c>
      <c r="P5530" s="1">
        <v>0.15858895297436179</v>
      </c>
      <c r="Q5530" s="1">
        <v>1.5361657864122338</v>
      </c>
      <c r="R5530" s="2">
        <f t="shared" si="347"/>
        <v>46.105681189412429</v>
      </c>
      <c r="S5530" s="2">
        <f t="shared" si="346"/>
        <v>14.666714519427527</v>
      </c>
      <c r="T5530" s="2">
        <f t="shared" si="348"/>
        <v>6.6709772556205991</v>
      </c>
      <c r="U5530" s="2">
        <f t="shared" si="349"/>
        <v>67.443372964460565</v>
      </c>
    </row>
    <row r="5531" spans="1:21" x14ac:dyDescent="0.25">
      <c r="A5531">
        <v>5871961</v>
      </c>
      <c r="B5531">
        <v>5</v>
      </c>
      <c r="C5531" s="1">
        <f>0.505750936227625*(10.3/7.3)</f>
        <v>0.7135937867321287</v>
      </c>
      <c r="D5531" s="1">
        <f>1.07003621937106*(10.3/7.3)</f>
        <v>1.5097771314413544</v>
      </c>
      <c r="E5531" s="1">
        <f>3.58182617375875*(10.3/7.3)</f>
        <v>5.0538095328376924</v>
      </c>
      <c r="F5531" s="1">
        <f>13.8224045545713*(38.9/42.5)</f>
        <v>12.651565580537005</v>
      </c>
      <c r="G5531" s="1">
        <v>0.84833818084801449</v>
      </c>
      <c r="H5531" s="1">
        <v>3.9475978709100104</v>
      </c>
      <c r="I5531" s="1">
        <v>10.510204633221957</v>
      </c>
      <c r="J5531" s="1">
        <v>4.1327107313804033E-2</v>
      </c>
      <c r="K5531" s="1">
        <v>4.7075338227796113</v>
      </c>
      <c r="L5531" s="1">
        <v>2.0971957785451889</v>
      </c>
      <c r="M5531" s="1">
        <v>0.80179695143067864</v>
      </c>
      <c r="N5531" s="1">
        <v>1.5146497179041329</v>
      </c>
      <c r="O5531" s="1">
        <v>0.35329066666666664</v>
      </c>
      <c r="P5531" s="1">
        <v>0.12362999028628734</v>
      </c>
      <c r="Q5531" s="1">
        <v>1.3557916132274219</v>
      </c>
      <c r="R5531" s="2">
        <f t="shared" si="347"/>
        <v>36.590678329755583</v>
      </c>
      <c r="S5531" s="2">
        <f t="shared" si="346"/>
        <v>4.8724909203797022</v>
      </c>
      <c r="T5531" s="2">
        <f t="shared" si="348"/>
        <v>4.7669331145466671</v>
      </c>
      <c r="U5531" s="2">
        <f t="shared" si="349"/>
        <v>46.230102364681954</v>
      </c>
    </row>
    <row r="5532" spans="1:21" x14ac:dyDescent="0.25">
      <c r="A5532">
        <v>5871969</v>
      </c>
      <c r="B5532">
        <v>24</v>
      </c>
      <c r="C5532" s="1">
        <f>0.516866596734702*(10.3/7.3)</f>
        <v>0.72927752689964753</v>
      </c>
      <c r="D5532" s="1">
        <f>1.01251031200755*(10.3/7.3)</f>
        <v>1.4286104402298256</v>
      </c>
      <c r="E5532" s="1">
        <f>3.41679260962787*(10.3/7.3)</f>
        <v>4.8209539560502899</v>
      </c>
      <c r="F5532" s="1">
        <f>12.1304338901571*(38.9/42.5)</f>
        <v>11.102914784167366</v>
      </c>
      <c r="G5532" s="1">
        <v>0.71763327191884529</v>
      </c>
      <c r="H5532" s="1">
        <v>4.3711506235247386</v>
      </c>
      <c r="I5532" s="1">
        <v>9.1730270575199029</v>
      </c>
      <c r="J5532" s="1">
        <v>3.8542080527753757E-2</v>
      </c>
      <c r="K5532" s="1">
        <v>4.2154374159660941</v>
      </c>
      <c r="L5532" s="1">
        <v>2.0363046514048433</v>
      </c>
      <c r="M5532" s="1">
        <v>0.77354293175826561</v>
      </c>
      <c r="N5532" s="1">
        <v>1.4099133414478402</v>
      </c>
      <c r="O5532" s="1">
        <v>0.32034666666666661</v>
      </c>
      <c r="P5532" s="1">
        <v>0.11937951283907278</v>
      </c>
      <c r="Q5532" s="1">
        <v>1.1469024893680186</v>
      </c>
      <c r="R5532" s="2">
        <f t="shared" si="347"/>
        <v>33.490470149678629</v>
      </c>
      <c r="S5532" s="2">
        <f t="shared" si="346"/>
        <v>4.3733590093329209</v>
      </c>
      <c r="T5532" s="2">
        <f t="shared" si="348"/>
        <v>4.5401075912776152</v>
      </c>
      <c r="U5532" s="2">
        <f t="shared" si="349"/>
        <v>42.403936750289169</v>
      </c>
    </row>
    <row r="5533" spans="1:21" x14ac:dyDescent="0.25">
      <c r="A5533">
        <v>5871977</v>
      </c>
      <c r="B5533">
        <v>10</v>
      </c>
      <c r="C5533" s="1">
        <f>0.555059461904881*(10.3/7.3)</f>
        <v>0.78316609008496962</v>
      </c>
      <c r="D5533" s="1">
        <f>1.11295864526866*(10.3/7.3)</f>
        <v>1.5703389104475589</v>
      </c>
      <c r="E5533" s="1">
        <f>3.74600658107266*(10.3/7.3)</f>
        <v>5.2854613404175899</v>
      </c>
      <c r="F5533" s="1">
        <f>13.6751136954606*(38.9/42.5)</f>
        <v>12.516751123609815</v>
      </c>
      <c r="G5533" s="1">
        <v>0.8193685467664924</v>
      </c>
      <c r="H5533" s="1">
        <v>6.7937514413848676</v>
      </c>
      <c r="I5533" s="1">
        <v>10.362275272742366</v>
      </c>
      <c r="J5533" s="1">
        <v>3.963661493692823E-2</v>
      </c>
      <c r="K5533" s="1">
        <v>4.1817806544245011</v>
      </c>
      <c r="L5533" s="1">
        <v>2.1479257677203316</v>
      </c>
      <c r="M5533" s="1">
        <v>0.79812080768066207</v>
      </c>
      <c r="N5533" s="1">
        <v>1.4749731980996184</v>
      </c>
      <c r="O5533" s="1">
        <v>0.31762666666666667</v>
      </c>
      <c r="P5533" s="1">
        <v>0.12349424498671317</v>
      </c>
      <c r="Q5533" s="1">
        <v>1.3094931112706514</v>
      </c>
      <c r="R5533" s="2">
        <f t="shared" si="347"/>
        <v>39.440605836724316</v>
      </c>
      <c r="S5533" s="2">
        <f t="shared" si="346"/>
        <v>4.3449115143481425</v>
      </c>
      <c r="T5533" s="2">
        <f t="shared" si="348"/>
        <v>4.7386464401672788</v>
      </c>
      <c r="U5533" s="2">
        <f t="shared" si="349"/>
        <v>48.524163791239737</v>
      </c>
    </row>
    <row r="5534" spans="1:21" x14ac:dyDescent="0.25">
      <c r="A5534">
        <v>5872385</v>
      </c>
      <c r="B5534">
        <v>48</v>
      </c>
      <c r="C5534" s="1">
        <f>1.97972602100731*(10.3/7.3)</f>
        <v>2.7933120570377157</v>
      </c>
      <c r="D5534" s="1">
        <f>4.45156215017009*(10.3/7.3)</f>
        <v>6.2809712529797137</v>
      </c>
      <c r="E5534" s="1">
        <f>15.1872830871849*(10.3/7.3)</f>
        <v>21.428632301096499</v>
      </c>
      <c r="F5534" s="1">
        <f>42.3814022935199*(38.9/42.5)</f>
        <v>38.791448216892292</v>
      </c>
      <c r="G5534" s="1">
        <v>2.2407877843381159</v>
      </c>
      <c r="H5534" s="1">
        <v>8.7266255123680789</v>
      </c>
      <c r="I5534" s="1">
        <v>29.801745639838757</v>
      </c>
      <c r="J5534" s="1">
        <v>2.8509909244593675E-2</v>
      </c>
      <c r="K5534" s="1">
        <v>1.9128006610254547</v>
      </c>
      <c r="L5534" s="1">
        <v>2.3008275577777417</v>
      </c>
      <c r="M5534" s="1">
        <v>0.16602141911709375</v>
      </c>
      <c r="N5534" s="1">
        <v>1.4789245450136435</v>
      </c>
      <c r="O5534" s="1">
        <v>0.13308111111111109</v>
      </c>
      <c r="P5534" s="1">
        <v>9.3303400634386038E-2</v>
      </c>
      <c r="Q5534" s="1">
        <v>3.5811676918645747</v>
      </c>
      <c r="R5534" s="2">
        <f t="shared" si="347"/>
        <v>113.64469045641574</v>
      </c>
      <c r="S5534" s="2">
        <f t="shared" si="346"/>
        <v>2.0346139709044344</v>
      </c>
      <c r="T5534" s="2">
        <f t="shared" si="348"/>
        <v>4.0788546330195903</v>
      </c>
      <c r="U5534" s="2">
        <f t="shared" si="349"/>
        <v>119.75815906033976</v>
      </c>
    </row>
    <row r="5535" spans="1:21" x14ac:dyDescent="0.25">
      <c r="A5535">
        <v>5872393</v>
      </c>
      <c r="B5535">
        <v>9</v>
      </c>
      <c r="C5535" s="1">
        <f>1.97796136703013*(10.3/7.3)</f>
        <v>2.7908222027959333</v>
      </c>
      <c r="D5535" s="1">
        <f>5.27217207248608*(10.3/7.3)</f>
        <v>7.4388181296721365</v>
      </c>
      <c r="E5535" s="1">
        <f>17.5877626063638*(10.3/7.3)</f>
        <v>24.815610252814739</v>
      </c>
      <c r="F5535" s="1">
        <f>65.8526751278186*(38.9/42.5)</f>
        <v>60.274566175815103</v>
      </c>
      <c r="G5535" s="1">
        <v>4.03369370019879</v>
      </c>
      <c r="H5535" s="1">
        <v>9.4864321046932663</v>
      </c>
      <c r="I5535" s="1">
        <v>48.621665815592841</v>
      </c>
      <c r="J5535" s="1">
        <v>2.9548728031100455E-2</v>
      </c>
      <c r="K5535" s="1">
        <v>1.9769080513929849</v>
      </c>
      <c r="L5535" s="1">
        <v>2.3293828756423398</v>
      </c>
      <c r="M5535" s="1">
        <v>0.16927369733222333</v>
      </c>
      <c r="N5535" s="1">
        <v>1.5303128301214817</v>
      </c>
      <c r="O5535" s="1">
        <v>0.13566222222222224</v>
      </c>
      <c r="P5535" s="1">
        <v>9.5532427950823784E-2</v>
      </c>
      <c r="Q5535" s="1">
        <v>6.4465424432400802</v>
      </c>
      <c r="R5535" s="2">
        <f t="shared" si="347"/>
        <v>163.90815082482288</v>
      </c>
      <c r="S5535" s="2">
        <f t="shared" si="346"/>
        <v>2.1019892073749089</v>
      </c>
      <c r="T5535" s="2">
        <f t="shared" si="348"/>
        <v>4.1646316253182674</v>
      </c>
      <c r="U5535" s="2">
        <f t="shared" si="349"/>
        <v>170.17477165751606</v>
      </c>
    </row>
    <row r="5536" spans="1:21" x14ac:dyDescent="0.25">
      <c r="A5536">
        <v>5872401</v>
      </c>
      <c r="B5536">
        <v>12</v>
      </c>
      <c r="C5536" s="1">
        <f>2.12963309977773*(10.3/7.3)</f>
        <v>3.0048247846178904</v>
      </c>
      <c r="D5536" s="1">
        <f>7.75258767167175*(10.3/7.3)</f>
        <v>10.93858260523549</v>
      </c>
      <c r="E5536" s="1">
        <f>26.4289967445168*(10.3/7.3)</f>
        <v>37.290228283359362</v>
      </c>
      <c r="F5536" s="1">
        <f>61.5288706880867*(38.9/42.5)</f>
        <v>56.317013406272288</v>
      </c>
      <c r="G5536" s="1">
        <v>2.9684039563964739</v>
      </c>
      <c r="H5536" s="1">
        <v>10.688331738211717</v>
      </c>
      <c r="I5536" s="1">
        <v>37.916749939484944</v>
      </c>
      <c r="J5536" s="1">
        <v>3.2051039580148953E-2</v>
      </c>
      <c r="K5536" s="1">
        <v>2.0333393324230427</v>
      </c>
      <c r="L5536" s="1">
        <v>2.4786378796475979</v>
      </c>
      <c r="M5536" s="1">
        <v>0.16991993301034233</v>
      </c>
      <c r="N5536" s="1">
        <v>1.5842519387872542</v>
      </c>
      <c r="O5536" s="1">
        <v>0.13624888888888886</v>
      </c>
      <c r="P5536" s="1">
        <v>9.6963197064902321E-2</v>
      </c>
      <c r="Q5536" s="1">
        <v>4.7440245878482514</v>
      </c>
      <c r="R5536" s="2">
        <f t="shared" si="347"/>
        <v>163.8681593014264</v>
      </c>
      <c r="S5536" s="2">
        <f t="shared" si="346"/>
        <v>2.162353569068094</v>
      </c>
      <c r="T5536" s="2">
        <f t="shared" si="348"/>
        <v>4.3690586403340834</v>
      </c>
      <c r="U5536" s="2">
        <f t="shared" si="349"/>
        <v>170.39957151082859</v>
      </c>
    </row>
    <row r="5537" spans="1:21" x14ac:dyDescent="0.25">
      <c r="A5537">
        <v>5872409</v>
      </c>
      <c r="B5537">
        <v>33</v>
      </c>
      <c r="C5537" s="1">
        <f>2.19491373037861*(10.3/7.3)</f>
        <v>3.0969330716300996</v>
      </c>
      <c r="D5537" s="1">
        <f>4.30426374817817*(10.3/7.3)</f>
        <v>6.0731392611281052</v>
      </c>
      <c r="E5537" s="1">
        <f>14.7841754910633*(10.3/7.3)</f>
        <v>20.859864049034549</v>
      </c>
      <c r="F5537" s="1">
        <f>38.9842976717006*(38.9/42.5)</f>
        <v>35.682098339509494</v>
      </c>
      <c r="G5537" s="1">
        <v>1.9692848451735583</v>
      </c>
      <c r="H5537" s="1">
        <v>9.4283436679518058</v>
      </c>
      <c r="I5537" s="1">
        <v>27.632864427824764</v>
      </c>
      <c r="J5537" s="1">
        <v>3.1795225826361496E-2</v>
      </c>
      <c r="K5537" s="1">
        <v>1.9933444567459135</v>
      </c>
      <c r="L5537" s="1">
        <v>2.5614652494319734</v>
      </c>
      <c r="M5537" s="1">
        <v>0.1642184974959435</v>
      </c>
      <c r="N5537" s="1">
        <v>1.5280526874733686</v>
      </c>
      <c r="O5537" s="1">
        <v>0.1320840404040404</v>
      </c>
      <c r="P5537" s="1">
        <v>9.4485100759097454E-2</v>
      </c>
      <c r="Q5537" s="1">
        <v>3.1472588849805754</v>
      </c>
      <c r="R5537" s="2">
        <f t="shared" si="347"/>
        <v>107.88978654723294</v>
      </c>
      <c r="S5537" s="2">
        <f t="shared" si="346"/>
        <v>2.1196247833313726</v>
      </c>
      <c r="T5537" s="2">
        <f t="shared" si="348"/>
        <v>4.3858204748053256</v>
      </c>
      <c r="U5537" s="2">
        <f t="shared" si="349"/>
        <v>114.39523180536965</v>
      </c>
    </row>
    <row r="5538" spans="1:21" x14ac:dyDescent="0.25">
      <c r="A5538">
        <v>5872561</v>
      </c>
      <c r="B5538">
        <v>29</v>
      </c>
      <c r="C5538" s="1">
        <f>7.4762118969457*(10.3/7.3)</f>
        <v>10.548627745005572</v>
      </c>
      <c r="D5538" s="1">
        <f>10.1360500715957*(10.3/7.3)</f>
        <v>14.301550101018545</v>
      </c>
      <c r="E5538" s="1">
        <f>35.537965486457*(10.3/7.3)</f>
        <v>50.142608837055825</v>
      </c>
      <c r="F5538" s="1">
        <f>79.9823255516121*(38.9/42.5)</f>
        <v>73.20735209312258</v>
      </c>
      <c r="G5538" s="1">
        <v>3.4084642908815308</v>
      </c>
      <c r="H5538" s="1">
        <v>9.6033952219219643</v>
      </c>
      <c r="I5538" s="1">
        <v>59.479941262779171</v>
      </c>
      <c r="J5538" s="1">
        <v>4.0497136658892124E-2</v>
      </c>
      <c r="K5538" s="1">
        <v>2.4742684457087969</v>
      </c>
      <c r="L5538" s="1">
        <v>2.6607194330773032</v>
      </c>
      <c r="M5538" s="1">
        <v>0.15716267229272801</v>
      </c>
      <c r="N5538" s="1">
        <v>1.7495202968442627</v>
      </c>
      <c r="O5538" s="1">
        <v>0.14188137931034481</v>
      </c>
      <c r="P5538" s="1">
        <v>0.10120218939228016</v>
      </c>
      <c r="Q5538" s="1">
        <v>5.447317359856334</v>
      </c>
      <c r="R5538" s="2">
        <f t="shared" si="347"/>
        <v>226.13925691164152</v>
      </c>
      <c r="S5538" s="2">
        <f t="shared" si="346"/>
        <v>2.6159677717599692</v>
      </c>
      <c r="T5538" s="2">
        <f t="shared" si="348"/>
        <v>4.7092837815246389</v>
      </c>
      <c r="U5538" s="2">
        <f t="shared" si="349"/>
        <v>233.46450846492613</v>
      </c>
    </row>
    <row r="5539" spans="1:21" x14ac:dyDescent="0.25">
      <c r="A5539">
        <v>5872569</v>
      </c>
      <c r="B5539">
        <v>7</v>
      </c>
      <c r="C5539" s="1">
        <f>7.04521307334164*(10.3/7.3)</f>
        <v>9.9405061171806768</v>
      </c>
      <c r="D5539" s="1">
        <f>9.63879375183168*(10.3/7.3)</f>
        <v>13.599941869022777</v>
      </c>
      <c r="E5539" s="1">
        <f>33.7900978927491*(10.3/7.3)</f>
        <v>47.676439492509054</v>
      </c>
      <c r="F5539" s="1">
        <f>75.6273598829943*(38.9/42.5)</f>
        <v>69.221277634081815</v>
      </c>
      <c r="G5539" s="1">
        <v>3.2101113575096343</v>
      </c>
      <c r="H5539" s="1">
        <v>7.0886312055191434</v>
      </c>
      <c r="I5539" s="1">
        <v>56.031460681435973</v>
      </c>
      <c r="J5539" s="1">
        <v>3.5810215023061774E-2</v>
      </c>
      <c r="K5539" s="1">
        <v>2.2233828741291992</v>
      </c>
      <c r="L5539" s="1">
        <v>2.4182190969234001</v>
      </c>
      <c r="M5539" s="1">
        <v>0.14362296942982131</v>
      </c>
      <c r="N5539" s="1">
        <v>1.5242962184966153</v>
      </c>
      <c r="O5539" s="1">
        <v>0.12967619047619047</v>
      </c>
      <c r="P5539" s="1">
        <v>9.4804702263728918E-2</v>
      </c>
      <c r="Q5539" s="1">
        <v>5.1303149549240787</v>
      </c>
      <c r="R5539" s="2">
        <f t="shared" si="347"/>
        <v>211.89868331218315</v>
      </c>
      <c r="S5539" s="2">
        <f t="shared" si="346"/>
        <v>2.3539977914159897</v>
      </c>
      <c r="T5539" s="2">
        <f t="shared" si="348"/>
        <v>4.2158144753260274</v>
      </c>
      <c r="U5539" s="2">
        <f t="shared" si="349"/>
        <v>218.46849557892517</v>
      </c>
    </row>
    <row r="5540" spans="1:21" x14ac:dyDescent="0.25">
      <c r="A5540">
        <v>5872577</v>
      </c>
      <c r="B5540">
        <v>1</v>
      </c>
      <c r="C5540" s="1">
        <f>10.1803385808616*(10.3/7.3)</f>
        <v>14.364039367517096</v>
      </c>
      <c r="D5540" s="1">
        <f>14.3095149441705*(10.3/7.3)</f>
        <v>20.190137523966587</v>
      </c>
      <c r="E5540" s="1">
        <f>50.1198644634746*(10.3/7.3)</f>
        <v>70.71706903750524</v>
      </c>
      <c r="F5540" s="1">
        <f>111.605419045413*(38.9/42.5)</f>
        <v>102.15178354980135</v>
      </c>
      <c r="G5540" s="1">
        <v>4.7338527988028236</v>
      </c>
      <c r="H5540" s="1">
        <v>9.1031230685552487</v>
      </c>
      <c r="I5540" s="1">
        <v>81.965518530730208</v>
      </c>
      <c r="J5540" s="1">
        <v>5.0027372297604573E-2</v>
      </c>
      <c r="K5540" s="1">
        <v>2.894158564728015</v>
      </c>
      <c r="L5540" s="1">
        <v>3.3287637068390254</v>
      </c>
      <c r="M5540" s="1">
        <v>0.18818921718023365</v>
      </c>
      <c r="N5540" s="1">
        <v>2.0657693703283253</v>
      </c>
      <c r="O5540" s="1">
        <v>0.16816</v>
      </c>
      <c r="P5540" s="1">
        <v>0.11880211982628777</v>
      </c>
      <c r="Q5540" s="1">
        <v>7.5655181716026929</v>
      </c>
      <c r="R5540" s="2">
        <f t="shared" si="347"/>
        <v>310.7910420484813</v>
      </c>
      <c r="S5540" s="2">
        <f t="shared" si="346"/>
        <v>3.0629880568519074</v>
      </c>
      <c r="T5540" s="2">
        <f t="shared" si="348"/>
        <v>5.7508822943475852</v>
      </c>
      <c r="U5540" s="2">
        <f t="shared" si="349"/>
        <v>319.60491239968081</v>
      </c>
    </row>
    <row r="5541" spans="1:21" x14ac:dyDescent="0.25">
      <c r="A5541">
        <v>5872585</v>
      </c>
      <c r="B5541">
        <v>45</v>
      </c>
      <c r="C5541" s="1">
        <f>6.08492520514394*(10.3/7.3)</f>
        <v>8.5855793990387124</v>
      </c>
      <c r="D5541" s="1">
        <f>8.71699282624074*(10.3/7.3)</f>
        <v>12.299318645243781</v>
      </c>
      <c r="E5541" s="1">
        <f>30.4724510209314*(10.3/7.3)</f>
        <v>42.995376098026519</v>
      </c>
      <c r="F5541" s="1">
        <f>69.6872658491258*(38.9/42.5)</f>
        <v>63.784344506611646</v>
      </c>
      <c r="G5541" s="1">
        <v>3.0406432558684844</v>
      </c>
      <c r="H5541" s="1">
        <v>6.4799008391565751</v>
      </c>
      <c r="I5541" s="1">
        <v>51.209028137130048</v>
      </c>
      <c r="J5541" s="1">
        <v>3.3543185754728991E-2</v>
      </c>
      <c r="K5541" s="1">
        <v>2.093934001121224</v>
      </c>
      <c r="L5541" s="1">
        <v>2.2653643547080353</v>
      </c>
      <c r="M5541" s="1">
        <v>0.13553889687085111</v>
      </c>
      <c r="N5541" s="1">
        <v>1.4795095075112601</v>
      </c>
      <c r="O5541" s="1">
        <v>0.12115081481481484</v>
      </c>
      <c r="P5541" s="1">
        <v>8.9262653281379195E-2</v>
      </c>
      <c r="Q5541" s="1">
        <v>4.8594755230774913</v>
      </c>
      <c r="R5541" s="2">
        <f t="shared" si="347"/>
        <v>193.25366640415325</v>
      </c>
      <c r="S5541" s="2">
        <f t="shared" si="346"/>
        <v>2.2167398401573322</v>
      </c>
      <c r="T5541" s="2">
        <f t="shared" si="348"/>
        <v>4.0015635739049618</v>
      </c>
      <c r="U5541" s="2">
        <f t="shared" si="349"/>
        <v>199.47196981821557</v>
      </c>
    </row>
    <row r="5542" spans="1:21" x14ac:dyDescent="0.25">
      <c r="A5542">
        <v>5872593</v>
      </c>
      <c r="B5542">
        <v>28</v>
      </c>
      <c r="C5542" s="1">
        <f>8.58987404821277*(10.3/7.3)</f>
        <v>12.119959273505685</v>
      </c>
      <c r="D5542" s="1">
        <f>12.4786392413288*(10.3/7.3)</f>
        <v>17.606847148724267</v>
      </c>
      <c r="E5542" s="1">
        <f>43.5724401299853*(10.3/7.3)</f>
        <v>61.478922375184794</v>
      </c>
      <c r="F5542" s="1">
        <f>100.956728424685*(38.9/42.5)</f>
        <v>92.405099664005448</v>
      </c>
      <c r="G5542" s="1">
        <v>4.4668416740937662</v>
      </c>
      <c r="H5542" s="1">
        <v>9.0863276385394656</v>
      </c>
      <c r="I5542" s="1">
        <v>74.121942840413141</v>
      </c>
      <c r="J5542" s="1">
        <v>4.1954070977531302E-2</v>
      </c>
      <c r="K5542" s="1">
        <v>2.4606522543180289</v>
      </c>
      <c r="L5542" s="1">
        <v>2.7618144203613992</v>
      </c>
      <c r="M5542" s="1">
        <v>0.1573877149693769</v>
      </c>
      <c r="N5542" s="1">
        <v>1.7460742513492544</v>
      </c>
      <c r="O5542" s="1">
        <v>0.14171619047619047</v>
      </c>
      <c r="P5542" s="1">
        <v>0.10213282183748551</v>
      </c>
      <c r="Q5542" s="1">
        <v>7.1387880636201819</v>
      </c>
      <c r="R5542" s="2">
        <f t="shared" si="347"/>
        <v>278.42472867808669</v>
      </c>
      <c r="S5542" s="2">
        <f t="shared" si="346"/>
        <v>2.6047391471330457</v>
      </c>
      <c r="T5542" s="2">
        <f t="shared" si="348"/>
        <v>4.8069925771562207</v>
      </c>
      <c r="U5542" s="2">
        <f t="shared" si="349"/>
        <v>285.83646040237596</v>
      </c>
    </row>
    <row r="5543" spans="1:21" x14ac:dyDescent="0.25">
      <c r="A5543">
        <v>5872601</v>
      </c>
      <c r="B5543">
        <v>24</v>
      </c>
      <c r="C5543" s="1">
        <f>8.41042936455866*(10.3/7.3)</f>
        <v>11.866770199308796</v>
      </c>
      <c r="D5543" s="1">
        <f>11.8844407527674*(10.3/7.3)</f>
        <v>16.768457500480039</v>
      </c>
      <c r="E5543" s="1">
        <f>41.6149491996229*(10.3/7.3)</f>
        <v>58.7169831172762</v>
      </c>
      <c r="F5543" s="1">
        <f>92.773550203442*(38.9/42.5)</f>
        <v>84.915084774444566</v>
      </c>
      <c r="G5543" s="1">
        <v>3.9427761397402672</v>
      </c>
      <c r="H5543" s="1">
        <v>8.7453804092190381</v>
      </c>
      <c r="I5543" s="1">
        <v>68.0506197124203</v>
      </c>
      <c r="J5543" s="1">
        <v>3.930762520561857E-2</v>
      </c>
      <c r="K5543" s="1">
        <v>2.2654555849874223</v>
      </c>
      <c r="L5543" s="1">
        <v>2.4974455372711106</v>
      </c>
      <c r="M5543" s="1">
        <v>0.14286154679924382</v>
      </c>
      <c r="N5543" s="1">
        <v>1.8367411463034984</v>
      </c>
      <c r="O5543" s="1">
        <v>0.12928666666666666</v>
      </c>
      <c r="P5543" s="1">
        <v>9.4532799728551206E-2</v>
      </c>
      <c r="Q5543" s="1">
        <v>6.3012404059776017</v>
      </c>
      <c r="R5543" s="2">
        <f t="shared" si="347"/>
        <v>259.30731225886677</v>
      </c>
      <c r="S5543" s="2">
        <f t="shared" si="346"/>
        <v>2.3992960099215916</v>
      </c>
      <c r="T5543" s="2">
        <f t="shared" si="348"/>
        <v>4.6063348970405196</v>
      </c>
      <c r="U5543" s="2">
        <f t="shared" si="349"/>
        <v>266.31294316582893</v>
      </c>
    </row>
    <row r="5544" spans="1:21" x14ac:dyDescent="0.25">
      <c r="A5544">
        <v>588097</v>
      </c>
      <c r="B5544">
        <v>14</v>
      </c>
      <c r="C5544" s="1">
        <f>1.22176011724542*(10.3/7.3)</f>
        <v>1.7238533161134071</v>
      </c>
      <c r="D5544" s="1">
        <f>1.79522768924704*(10.3/7.3)</f>
        <v>2.5329924930471908</v>
      </c>
      <c r="E5544" s="1">
        <f>6.20706967862033*(10.3/7.3)</f>
        <v>8.7579202314779998</v>
      </c>
      <c r="F5544" s="1">
        <f>17.3610749650844*(38.9/42.5)</f>
        <v>15.890489791571374</v>
      </c>
      <c r="G5544" s="1">
        <v>0.887781333960174</v>
      </c>
      <c r="H5544" s="1">
        <v>4.6558131677327443</v>
      </c>
      <c r="I5544" s="1">
        <v>13.1932903430284</v>
      </c>
      <c r="J5544" s="1">
        <v>3.4377224497052598E-2</v>
      </c>
      <c r="K5544" s="1">
        <v>4.2820263883663978</v>
      </c>
      <c r="L5544" s="1">
        <v>1.4404856187461623</v>
      </c>
      <c r="M5544" s="1">
        <v>8.7476121080102817E-2</v>
      </c>
      <c r="N5544" s="1">
        <v>1.0536038803829229</v>
      </c>
      <c r="O5544" s="1">
        <v>7.0700952380952378E-2</v>
      </c>
      <c r="P5544" s="1">
        <v>6.1347688417123694E-2</v>
      </c>
      <c r="Q5544" s="1">
        <v>1.4188286159180878</v>
      </c>
      <c r="R5544" s="2">
        <f t="shared" si="347"/>
        <v>49.060969292849379</v>
      </c>
      <c r="S5544" s="2">
        <f t="shared" si="346"/>
        <v>4.3777513012805738</v>
      </c>
      <c r="T5544" s="2">
        <f t="shared" si="348"/>
        <v>2.6522665725901402</v>
      </c>
      <c r="U5544" s="2">
        <f t="shared" si="349"/>
        <v>56.090987166720097</v>
      </c>
    </row>
    <row r="5545" spans="1:21" x14ac:dyDescent="0.25">
      <c r="A5545">
        <v>588121</v>
      </c>
      <c r="B5545">
        <v>9</v>
      </c>
      <c r="C5545" s="1">
        <f>1.26010676730766*(10.3/7.3)</f>
        <v>1.7779588634614927</v>
      </c>
      <c r="D5545" s="1">
        <f>2.17731132269565*(10.3/7.3)</f>
        <v>3.072096797776052</v>
      </c>
      <c r="E5545" s="1">
        <f>7.39442612141604*(10.3/7.3)</f>
        <v>10.433231376792502</v>
      </c>
      <c r="F5545" s="1">
        <f>25.3065788425664*(38.9/42.5)</f>
        <v>23.162962752372547</v>
      </c>
      <c r="G5545" s="1">
        <v>1.4625492630128196</v>
      </c>
      <c r="H5545" s="1">
        <v>6.4871415356522668</v>
      </c>
      <c r="I5545" s="1">
        <v>19.349868750142427</v>
      </c>
      <c r="J5545" s="1">
        <v>3.0347393271625785E-2</v>
      </c>
      <c r="K5545" s="1">
        <v>3.4926570538636059</v>
      </c>
      <c r="L5545" s="1">
        <v>1.3667547515289185</v>
      </c>
      <c r="M5545" s="1">
        <v>8.125018832583232E-2</v>
      </c>
      <c r="N5545" s="1">
        <v>0.95537576925195511</v>
      </c>
      <c r="O5545" s="1">
        <v>6.9682962962962947E-2</v>
      </c>
      <c r="P5545" s="1">
        <v>6.0306982636879454E-2</v>
      </c>
      <c r="Q5545" s="1">
        <v>2.3374074979656956</v>
      </c>
      <c r="R5545" s="2">
        <f t="shared" si="347"/>
        <v>68.083216837175797</v>
      </c>
      <c r="S5545" s="2">
        <f t="shared" si="346"/>
        <v>3.5833114297721114</v>
      </c>
      <c r="T5545" s="2">
        <f t="shared" si="348"/>
        <v>2.473063672069669</v>
      </c>
      <c r="U5545" s="2">
        <f t="shared" si="349"/>
        <v>74.139591939017578</v>
      </c>
    </row>
    <row r="5546" spans="1:21" x14ac:dyDescent="0.25">
      <c r="A5546">
        <v>588129</v>
      </c>
      <c r="B5546">
        <v>27</v>
      </c>
      <c r="C5546" s="1">
        <f>1.12057187100503*(10.3/7.3)</f>
        <v>1.5810808590892906</v>
      </c>
      <c r="D5546" s="1">
        <f>1.71195189781694*(10.3/7.3)</f>
        <v>2.4154937736321229</v>
      </c>
      <c r="E5546" s="1">
        <f>5.90989115613822*(10.3/7.3)</f>
        <v>8.3386135490717344</v>
      </c>
      <c r="F5546" s="1">
        <f>16.5561179431537*(38.9/42.5)</f>
        <v>15.153717364439544</v>
      </c>
      <c r="G5546" s="1">
        <v>0.85073761364066514</v>
      </c>
      <c r="H5546" s="1">
        <v>4.0174917418942178</v>
      </c>
      <c r="I5546" s="1">
        <v>12.483679929196876</v>
      </c>
      <c r="J5546" s="1">
        <v>2.6597344084413013E-2</v>
      </c>
      <c r="K5546" s="1">
        <v>3.1755753111395726</v>
      </c>
      <c r="L5546" s="1">
        <v>1.2447122947375229</v>
      </c>
      <c r="M5546" s="1">
        <v>7.4603464438563277E-2</v>
      </c>
      <c r="N5546" s="1">
        <v>0.87044100464209839</v>
      </c>
      <c r="O5546" s="1">
        <v>6.5212839506172848E-2</v>
      </c>
      <c r="P5546" s="1">
        <v>5.7087997087410629E-2</v>
      </c>
      <c r="Q5546" s="1">
        <v>1.3596263231700141</v>
      </c>
      <c r="R5546" s="2">
        <f t="shared" si="347"/>
        <v>46.20044115413446</v>
      </c>
      <c r="S5546" s="2">
        <f t="shared" si="346"/>
        <v>3.2592606523113963</v>
      </c>
      <c r="T5546" s="2">
        <f t="shared" si="348"/>
        <v>2.2549696033243576</v>
      </c>
      <c r="U5546" s="2">
        <f t="shared" si="349"/>
        <v>51.714671409770212</v>
      </c>
    </row>
    <row r="5547" spans="1:21" x14ac:dyDescent="0.25">
      <c r="A5547">
        <v>588137</v>
      </c>
      <c r="B5547">
        <v>10</v>
      </c>
      <c r="C5547" s="1">
        <f>1.135928232888*(10.3/7.3)</f>
        <v>1.6027480546227995</v>
      </c>
      <c r="D5547" s="1">
        <f>2.02142538320138*(10.3/7.3)</f>
        <v>2.85214814342112</v>
      </c>
      <c r="E5547" s="1">
        <f>6.86564034147112*(10.3/7.3)</f>
        <v>9.6871363722126702</v>
      </c>
      <c r="F5547" s="1">
        <f>23.1228049930533*(38.9/42.5)</f>
        <v>21.164167393641701</v>
      </c>
      <c r="G5547" s="1">
        <v>1.3289980577309903</v>
      </c>
      <c r="H5547" s="1">
        <v>9.0886789987416741</v>
      </c>
      <c r="I5547" s="1">
        <v>17.554076747673566</v>
      </c>
      <c r="J5547" s="1">
        <v>2.7472198405734609E-2</v>
      </c>
      <c r="K5547" s="1">
        <v>3.069788381346418</v>
      </c>
      <c r="L5547" s="1">
        <v>1.2333475907248808</v>
      </c>
      <c r="M5547" s="1">
        <v>7.1672713095739859E-2</v>
      </c>
      <c r="N5547" s="1">
        <v>0.86454833620364036</v>
      </c>
      <c r="O5547" s="1">
        <v>6.5749333333333326E-2</v>
      </c>
      <c r="P5547" s="1">
        <v>5.71800542541097E-2</v>
      </c>
      <c r="Q5547" s="1">
        <v>2.123969498656836</v>
      </c>
      <c r="R5547" s="2">
        <f t="shared" si="347"/>
        <v>65.40192326670136</v>
      </c>
      <c r="S5547" s="2">
        <f t="shared" si="346"/>
        <v>3.1544406340062623</v>
      </c>
      <c r="T5547" s="2">
        <f t="shared" si="348"/>
        <v>2.2353179733575943</v>
      </c>
      <c r="U5547" s="2">
        <f t="shared" si="349"/>
        <v>70.791681874065219</v>
      </c>
    </row>
    <row r="5548" spans="1:21" x14ac:dyDescent="0.25">
      <c r="A5548">
        <v>588145</v>
      </c>
      <c r="B5548">
        <v>29</v>
      </c>
      <c r="C5548" s="1">
        <f>1.00199231221378*(10.3/7.3)</f>
        <v>1.4137699747673858</v>
      </c>
      <c r="D5548" s="1">
        <f>1.59332777360239*(10.3/7.3)</f>
        <v>2.2481200093294014</v>
      </c>
      <c r="E5548" s="1">
        <f>5.46626304602186*(10.3/7.3)</f>
        <v>7.7126725169897492</v>
      </c>
      <c r="F5548" s="1">
        <f>16.6509405662479*(38.9/42.5)</f>
        <v>15.240507953577447</v>
      </c>
      <c r="G5548" s="1">
        <v>0.90232825521557802</v>
      </c>
      <c r="H5548" s="1">
        <v>4.3497847129845422</v>
      </c>
      <c r="I5548" s="1">
        <v>12.649619686669073</v>
      </c>
      <c r="J5548" s="1">
        <v>2.3567338937074574E-2</v>
      </c>
      <c r="K5548" s="1">
        <v>2.6175245767501902</v>
      </c>
      <c r="L5548" s="1">
        <v>1.0565112930225047</v>
      </c>
      <c r="M5548" s="1">
        <v>6.3136266149274936E-2</v>
      </c>
      <c r="N5548" s="1">
        <v>0.77814046029975292</v>
      </c>
      <c r="O5548" s="1">
        <v>5.7046436781609193E-2</v>
      </c>
      <c r="P5548" s="1">
        <v>5.1363233510759318E-2</v>
      </c>
      <c r="Q5548" s="1">
        <v>1.4420771202075462</v>
      </c>
      <c r="R5548" s="2">
        <f t="shared" si="347"/>
        <v>45.958880229740728</v>
      </c>
      <c r="S5548" s="2">
        <f t="shared" si="346"/>
        <v>2.6924551491980244</v>
      </c>
      <c r="T5548" s="2">
        <f t="shared" si="348"/>
        <v>1.9548344562531419</v>
      </c>
      <c r="U5548" s="2">
        <f t="shared" si="349"/>
        <v>50.606169835191892</v>
      </c>
    </row>
    <row r="5549" spans="1:21" x14ac:dyDescent="0.25">
      <c r="A5549">
        <v>588153</v>
      </c>
      <c r="B5549">
        <v>4</v>
      </c>
      <c r="C5549" s="1">
        <f>1.12457691639526*(10.3/7.3)</f>
        <v>1.5867318135439952</v>
      </c>
      <c r="D5549" s="1">
        <f>1.80359864600756*(10.3/7.3)</f>
        <v>2.5448035690243622</v>
      </c>
      <c r="E5549" s="1">
        <f>6.19378892255106*(10.3/7.3)</f>
        <v>8.7391816304487584</v>
      </c>
      <c r="F5549" s="1">
        <f>18.4533992336*(38.9/42.5)</f>
        <v>16.890287769106781</v>
      </c>
      <c r="G5549" s="1">
        <v>0.98834734941460112</v>
      </c>
      <c r="H5549" s="1">
        <v>5.377896691054227</v>
      </c>
      <c r="I5549" s="1">
        <v>13.941273581553201</v>
      </c>
      <c r="J5549" s="1">
        <v>2.4636041014409856E-2</v>
      </c>
      <c r="K5549" s="1">
        <v>2.7379087938072706</v>
      </c>
      <c r="L5549" s="1">
        <v>1.1537568859106322</v>
      </c>
      <c r="M5549" s="1">
        <v>6.5201746978054836E-2</v>
      </c>
      <c r="N5549" s="1">
        <v>0.83505148141564556</v>
      </c>
      <c r="O5549" s="1">
        <v>6.2560000000000004E-2</v>
      </c>
      <c r="P5549" s="1">
        <v>5.3847103845046845E-2</v>
      </c>
      <c r="Q5549" s="1">
        <v>1.5795505584251637</v>
      </c>
      <c r="R5549" s="2">
        <f t="shared" si="347"/>
        <v>51.648072962571085</v>
      </c>
      <c r="S5549" s="2">
        <f t="shared" si="346"/>
        <v>2.8163919386667273</v>
      </c>
      <c r="T5549" s="2">
        <f t="shared" si="348"/>
        <v>2.1165701143043325</v>
      </c>
      <c r="U5549" s="2">
        <f t="shared" si="349"/>
        <v>56.581035015542142</v>
      </c>
    </row>
    <row r="5550" spans="1:21" x14ac:dyDescent="0.25">
      <c r="A5550">
        <v>5884117</v>
      </c>
      <c r="B5550">
        <v>26</v>
      </c>
      <c r="C5550" s="1">
        <f>0.481220756605719*(10.3/7.3)</f>
        <v>0.67898271137519295</v>
      </c>
      <c r="D5550" s="1">
        <f>0.783694565181381*(10.3/7.3)</f>
        <v>1.1057608248449624</v>
      </c>
      <c r="E5550" s="1">
        <f>2.69702778317916*(10.3/7.3)</f>
        <v>3.8053953653075765</v>
      </c>
      <c r="F5550" s="1">
        <f>7.66630641306527*(38.9/42.5)</f>
        <v>7.0169251639585601</v>
      </c>
      <c r="G5550" s="1">
        <v>0.39987999180904654</v>
      </c>
      <c r="H5550" s="1">
        <v>1.5526341484668804</v>
      </c>
      <c r="I5550" s="1">
        <v>5.7236609519232022</v>
      </c>
      <c r="J5550" s="1">
        <v>3.1325941338098143E-2</v>
      </c>
      <c r="K5550" s="1">
        <v>7.2042411289561548</v>
      </c>
      <c r="L5550" s="1">
        <v>1.7480914256577524</v>
      </c>
      <c r="M5550" s="1">
        <v>0.61111906857914811</v>
      </c>
      <c r="N5550" s="1">
        <v>1.0843783874496575</v>
      </c>
      <c r="O5550" s="1">
        <v>0.673148717948718</v>
      </c>
      <c r="P5550" s="1">
        <v>0.1224427735553674</v>
      </c>
      <c r="Q5550" s="1">
        <v>0.63907761248021222</v>
      </c>
      <c r="R5550" s="2">
        <f t="shared" si="347"/>
        <v>20.922316770165633</v>
      </c>
      <c r="S5550" s="2">
        <f t="shared" si="346"/>
        <v>7.3580098438496204</v>
      </c>
      <c r="T5550" s="2">
        <f t="shared" si="348"/>
        <v>4.1167375996352753</v>
      </c>
      <c r="U5550" s="2">
        <f t="shared" si="349"/>
        <v>32.397064213650523</v>
      </c>
    </row>
    <row r="5551" spans="1:21" x14ac:dyDescent="0.25">
      <c r="A5551">
        <v>5884125</v>
      </c>
      <c r="B5551">
        <v>59</v>
      </c>
      <c r="C5551" s="1">
        <f>1.0214497166323*(10.3/7.3)</f>
        <v>1.4412235727825597</v>
      </c>
      <c r="D5551" s="1">
        <f>1.85101728456952*(10.3/7.3)</f>
        <v>2.6117093193241208</v>
      </c>
      <c r="E5551" s="1">
        <f>6.30818853595149*(10.3/7.3)</f>
        <v>8.9005947836027879</v>
      </c>
      <c r="F5551" s="1">
        <f>19.9513323803823*(38.9/42.5)</f>
        <v>18.261337166985172</v>
      </c>
      <c r="G5551" s="1">
        <v>1.1136287415485067</v>
      </c>
      <c r="H5551" s="1">
        <v>3.4442530667522138</v>
      </c>
      <c r="I5551" s="1">
        <v>14.929932576903333</v>
      </c>
      <c r="J5551" s="1">
        <v>5.8703932875330891E-2</v>
      </c>
      <c r="K5551" s="1">
        <v>13.40156303230458</v>
      </c>
      <c r="L5551" s="1">
        <v>3.2156191665270568</v>
      </c>
      <c r="M5551" s="1">
        <v>1.1289702299808946</v>
      </c>
      <c r="N5551" s="1">
        <v>1.7716787295717262</v>
      </c>
      <c r="O5551" s="1">
        <v>1.1850576271186435</v>
      </c>
      <c r="P5551" s="1">
        <v>0.16921748611182719</v>
      </c>
      <c r="Q5551" s="1">
        <v>1.7797719613788934</v>
      </c>
      <c r="R5551" s="2">
        <f t="shared" si="347"/>
        <v>52.482451189277583</v>
      </c>
      <c r="S5551" s="2">
        <f t="shared" si="346"/>
        <v>13.629484451291738</v>
      </c>
      <c r="T5551" s="2">
        <f t="shared" si="348"/>
        <v>7.3013257531983209</v>
      </c>
      <c r="U5551" s="2">
        <f t="shared" si="349"/>
        <v>73.413261393767655</v>
      </c>
    </row>
    <row r="5552" spans="1:21" x14ac:dyDescent="0.25">
      <c r="A5552">
        <v>5884133</v>
      </c>
      <c r="B5552">
        <v>52</v>
      </c>
      <c r="C5552" s="1">
        <f>0.942120971608705*(10.3/7.3)</f>
        <v>1.3292939736396792</v>
      </c>
      <c r="D5552" s="1">
        <f>1.73766735318105*(10.3/7.3)</f>
        <v>2.4517772243513436</v>
      </c>
      <c r="E5552" s="1">
        <f>5.90833630108329*(10.3/7.3)</f>
        <v>8.3364197124873893</v>
      </c>
      <c r="F5552" s="1">
        <f>19.2180402214002*(38.9/42.5)</f>
        <v>17.590159167352162</v>
      </c>
      <c r="G5552" s="1">
        <v>1.088969370470122</v>
      </c>
      <c r="H5552" s="1">
        <v>3.8064968794350942</v>
      </c>
      <c r="I5552" s="1">
        <v>14.419627521459478</v>
      </c>
      <c r="J5552" s="1">
        <v>6.2359264817092738E-2</v>
      </c>
      <c r="K5552" s="1">
        <v>13.926353933030196</v>
      </c>
      <c r="L5552" s="1">
        <v>3.1198990004655176</v>
      </c>
      <c r="M5552" s="1">
        <v>1.1314606732443813</v>
      </c>
      <c r="N5552" s="1">
        <v>1.8429945344201211</v>
      </c>
      <c r="O5552" s="1">
        <v>1.1228717948717948</v>
      </c>
      <c r="P5552" s="1">
        <v>0.16535325235756576</v>
      </c>
      <c r="Q5552" s="1">
        <v>1.7403620076006538</v>
      </c>
      <c r="R5552" s="2">
        <f t="shared" si="347"/>
        <v>50.763105856795917</v>
      </c>
      <c r="S5552" s="2">
        <f t="shared" si="346"/>
        <v>14.154066450204855</v>
      </c>
      <c r="T5552" s="2">
        <f t="shared" si="348"/>
        <v>7.2172260030018158</v>
      </c>
      <c r="U5552" s="2">
        <f t="shared" si="349"/>
        <v>72.134398310002581</v>
      </c>
    </row>
    <row r="5553" spans="1:21" x14ac:dyDescent="0.25">
      <c r="A5553">
        <v>5884197</v>
      </c>
      <c r="B5553">
        <v>28</v>
      </c>
      <c r="C5553" s="1">
        <f>0.50156318237366*(10.3/7.3)</f>
        <v>0.70768503814365735</v>
      </c>
      <c r="D5553" s="1">
        <f>1.02228807830515*(10.3/7.3)</f>
        <v>1.4424064666497292</v>
      </c>
      <c r="E5553" s="1">
        <f>3.43544459038526*(10.3/7.3)</f>
        <v>4.8472711343792003</v>
      </c>
      <c r="F5553" s="1">
        <f>12.7386239462819*(38.9/42.5)</f>
        <v>11.65958756494982</v>
      </c>
      <c r="G5553" s="1">
        <v>0.7686456297810037</v>
      </c>
      <c r="H5553" s="1">
        <v>4.3405629463364672</v>
      </c>
      <c r="I5553" s="1">
        <v>9.6601624428100514</v>
      </c>
      <c r="J5553" s="1">
        <v>3.8726811434184091E-2</v>
      </c>
      <c r="K5553" s="1">
        <v>4.3961588326606407</v>
      </c>
      <c r="L5553" s="1">
        <v>2.0266661488835731</v>
      </c>
      <c r="M5553" s="1">
        <v>0.76617761731181644</v>
      </c>
      <c r="N5553" s="1">
        <v>1.4328637417060659</v>
      </c>
      <c r="O5553" s="1">
        <v>0.33541333333333329</v>
      </c>
      <c r="P5553" s="1">
        <v>0.11984475038148033</v>
      </c>
      <c r="Q5553" s="1">
        <v>1.2284290886911029</v>
      </c>
      <c r="R5553" s="2">
        <f t="shared" si="347"/>
        <v>34.654750311741026</v>
      </c>
      <c r="S5553" s="2">
        <f t="shared" si="346"/>
        <v>4.5547303944763051</v>
      </c>
      <c r="T5553" s="2">
        <f t="shared" si="348"/>
        <v>4.5611208412347883</v>
      </c>
      <c r="U5553" s="2">
        <f t="shared" si="349"/>
        <v>43.770601547452124</v>
      </c>
    </row>
    <row r="5554" spans="1:21" x14ac:dyDescent="0.25">
      <c r="A5554">
        <v>5884205</v>
      </c>
      <c r="B5554">
        <v>29</v>
      </c>
      <c r="C5554" s="1">
        <f>0.518603400805859*(10.3/7.3)</f>
        <v>0.73172808606854123</v>
      </c>
      <c r="D5554" s="1">
        <f>1.04039684357735*(10.3/7.3)</f>
        <v>1.4679571902529707</v>
      </c>
      <c r="E5554" s="1">
        <f>3.50222120464726*(10.3/7.3)</f>
        <v>4.9414901928584687</v>
      </c>
      <c r="F5554" s="1">
        <f>12.7593276109253*(38.9/42.5)</f>
        <v>11.678537507411651</v>
      </c>
      <c r="G5554" s="1">
        <v>0.76389188249165496</v>
      </c>
      <c r="H5554" s="1">
        <v>5.5858125315944553</v>
      </c>
      <c r="I5554" s="1">
        <v>9.664246156873924</v>
      </c>
      <c r="J5554" s="1">
        <v>3.8598522453593312E-2</v>
      </c>
      <c r="K5554" s="1">
        <v>4.3281912551144561</v>
      </c>
      <c r="L5554" s="1">
        <v>2.0889228354303495</v>
      </c>
      <c r="M5554" s="1">
        <v>0.77542292450766859</v>
      </c>
      <c r="N5554" s="1">
        <v>1.4514587253565068</v>
      </c>
      <c r="O5554" s="1">
        <v>0.32627310344827576</v>
      </c>
      <c r="P5554" s="1">
        <v>0.12253961523895998</v>
      </c>
      <c r="Q5554" s="1">
        <v>1.2208317756715956</v>
      </c>
      <c r="R5554" s="2">
        <f t="shared" si="347"/>
        <v>36.054495323223264</v>
      </c>
      <c r="S5554" s="2">
        <f t="shared" si="346"/>
        <v>4.4893293928070097</v>
      </c>
      <c r="T5554" s="2">
        <f t="shared" si="348"/>
        <v>4.6420775887428007</v>
      </c>
      <c r="U5554" s="2">
        <f t="shared" si="349"/>
        <v>45.185902304773073</v>
      </c>
    </row>
    <row r="5555" spans="1:21" x14ac:dyDescent="0.25">
      <c r="A5555">
        <v>5884213</v>
      </c>
      <c r="B5555">
        <v>10</v>
      </c>
      <c r="C5555" s="1">
        <f>0.595207276026589*(10.3/7.3)</f>
        <v>0.83981300590052999</v>
      </c>
      <c r="D5555" s="1">
        <f>1.26278410420118*(10.3/7.3)</f>
        <v>1.7817364757907002</v>
      </c>
      <c r="E5555" s="1">
        <f>4.22713572053067*(10.3/7.3)</f>
        <v>5.9643147837624531</v>
      </c>
      <c r="F5555" s="1">
        <f>16.2904859277399*(38.9/42.5)</f>
        <v>14.910585943272515</v>
      </c>
      <c r="G5555" s="1">
        <v>0.99943091682430951</v>
      </c>
      <c r="H5555" s="1">
        <v>7.0550883324304765</v>
      </c>
      <c r="I5555" s="1">
        <v>12.380152946520209</v>
      </c>
      <c r="J5555" s="1">
        <v>4.1938128654843476E-2</v>
      </c>
      <c r="K5555" s="1">
        <v>4.5010859875661389</v>
      </c>
      <c r="L5555" s="1">
        <v>2.3256997709101119</v>
      </c>
      <c r="M5555" s="1">
        <v>0.8490239263865289</v>
      </c>
      <c r="N5555" s="1">
        <v>1.5915297032305276</v>
      </c>
      <c r="O5555" s="1">
        <v>0.34378133333333338</v>
      </c>
      <c r="P5555" s="1">
        <v>0.13134833994691794</v>
      </c>
      <c r="Q5555" s="1">
        <v>1.5972640223219576</v>
      </c>
      <c r="R5555" s="2">
        <f t="shared" si="347"/>
        <v>45.528386426823154</v>
      </c>
      <c r="S5555" s="2">
        <f t="shared" si="346"/>
        <v>4.6743724561678999</v>
      </c>
      <c r="T5555" s="2">
        <f t="shared" si="348"/>
        <v>5.1100347338605019</v>
      </c>
      <c r="U5555" s="2">
        <f t="shared" si="349"/>
        <v>55.312793616851557</v>
      </c>
    </row>
    <row r="5556" spans="1:21" x14ac:dyDescent="0.25">
      <c r="A5556">
        <v>5884613</v>
      </c>
      <c r="B5556">
        <v>13</v>
      </c>
      <c r="C5556" s="1">
        <f>2.09792549754574*(10.3/7.3)</f>
        <v>2.9600866609207084</v>
      </c>
      <c r="D5556" s="1">
        <f>4.89132271577099*(10.3/7.3)</f>
        <v>6.9014553386905746</v>
      </c>
      <c r="E5556" s="1">
        <f>16.6592629720061*(10.3/7.3)</f>
        <v>23.505535426255211</v>
      </c>
      <c r="F5556" s="1">
        <f>47.1632609666418*(38.9/42.5)</f>
        <v>43.168255331820376</v>
      </c>
      <c r="G5556" s="1">
        <v>2.52044069966247</v>
      </c>
      <c r="H5556" s="1">
        <v>9.4152596756178308</v>
      </c>
      <c r="I5556" s="1">
        <v>33.112658802494529</v>
      </c>
      <c r="J5556" s="1">
        <v>2.9502016523072272E-2</v>
      </c>
      <c r="K5556" s="1">
        <v>1.9601862172781519</v>
      </c>
      <c r="L5556" s="1">
        <v>2.3792648028535117</v>
      </c>
      <c r="M5556" s="1">
        <v>0.17071406681434761</v>
      </c>
      <c r="N5556" s="1">
        <v>1.6107481618871342</v>
      </c>
      <c r="O5556" s="1">
        <v>0.1374482051282051</v>
      </c>
      <c r="P5556" s="1">
        <v>9.5333712396667353E-2</v>
      </c>
      <c r="Q5556" s="1">
        <v>4.0281015748030393</v>
      </c>
      <c r="R5556" s="2">
        <f t="shared" si="347"/>
        <v>125.61179351026475</v>
      </c>
      <c r="S5556" s="2">
        <f t="shared" si="346"/>
        <v>2.0850219461978918</v>
      </c>
      <c r="T5556" s="2">
        <f t="shared" si="348"/>
        <v>4.2981752366831989</v>
      </c>
      <c r="U5556" s="2">
        <f t="shared" si="349"/>
        <v>131.99499069314584</v>
      </c>
    </row>
    <row r="5557" spans="1:21" x14ac:dyDescent="0.25">
      <c r="A5557">
        <v>5884621</v>
      </c>
      <c r="B5557">
        <v>39</v>
      </c>
      <c r="C5557" s="1">
        <f>2.14625157009965*(10.3/7.3)</f>
        <v>3.0282727632912918</v>
      </c>
      <c r="D5557" s="1">
        <f>5.28946908946739*(10.3/7.3)</f>
        <v>7.4632235097964505</v>
      </c>
      <c r="E5557" s="1">
        <f>17.7963006283012*(10.3/7.3)</f>
        <v>25.109848831712664</v>
      </c>
      <c r="F5557" s="1">
        <f>60.3856118256631*(38.9/42.5)</f>
        <v>55.27059529454808</v>
      </c>
      <c r="G5557" s="1">
        <v>3.543484206742705</v>
      </c>
      <c r="H5557" s="1">
        <v>9.2720248032268078</v>
      </c>
      <c r="I5557" s="1">
        <v>44.007754168153646</v>
      </c>
      <c r="J5557" s="1">
        <v>2.8439692382418943E-2</v>
      </c>
      <c r="K5557" s="1">
        <v>1.9166601643464527</v>
      </c>
      <c r="L5557" s="1">
        <v>2.4357156986622077</v>
      </c>
      <c r="M5557" s="1">
        <v>0.16519251769424534</v>
      </c>
      <c r="N5557" s="1">
        <v>1.3951443907348209</v>
      </c>
      <c r="O5557" s="1">
        <v>0.13313094017094018</v>
      </c>
      <c r="P5557" s="1">
        <v>9.3064644828206505E-2</v>
      </c>
      <c r="Q5557" s="1">
        <v>5.6631026135157443</v>
      </c>
      <c r="R5557" s="2">
        <f t="shared" si="347"/>
        <v>153.35830619098741</v>
      </c>
      <c r="S5557" s="2">
        <f t="shared" si="346"/>
        <v>2.0381645015570782</v>
      </c>
      <c r="T5557" s="2">
        <f t="shared" si="348"/>
        <v>4.1291835472622136</v>
      </c>
      <c r="U5557" s="2">
        <f t="shared" si="349"/>
        <v>159.5256542398067</v>
      </c>
    </row>
    <row r="5558" spans="1:21" x14ac:dyDescent="0.25">
      <c r="A5558">
        <v>5884629</v>
      </c>
      <c r="B5558">
        <v>1</v>
      </c>
      <c r="C5558" s="1">
        <f>1.89069120670384*(10.3/7.3)</f>
        <v>2.6676875930204869</v>
      </c>
      <c r="D5558" s="1">
        <f>4.13697604680576*(10.3/7.3)</f>
        <v>5.8371031893286816</v>
      </c>
      <c r="E5558" s="1">
        <f>14.1059033913077*(10.3/7.3)</f>
        <v>19.902849990475229</v>
      </c>
      <c r="F5558" s="1">
        <f>40.2915889126486*(38.9/42.5)</f>
        <v>36.878654322400756</v>
      </c>
      <c r="G5558" s="1">
        <v>2.1555553655473418</v>
      </c>
      <c r="H5558" s="1">
        <v>9.109841240561563</v>
      </c>
      <c r="I5558" s="1">
        <v>28.624666412122195</v>
      </c>
      <c r="J5558" s="1">
        <v>3.1425167025959246E-2</v>
      </c>
      <c r="K5558" s="1">
        <v>2.0566444727702842</v>
      </c>
      <c r="L5558" s="1">
        <v>2.5237578536372252</v>
      </c>
      <c r="M5558" s="1">
        <v>0.17373823553368367</v>
      </c>
      <c r="N5558" s="1">
        <v>1.6577908864500053</v>
      </c>
      <c r="O5558" s="1">
        <v>0.14010666666666666</v>
      </c>
      <c r="P5558" s="1">
        <v>9.8296095292753377E-2</v>
      </c>
      <c r="Q5558" s="1">
        <v>3.4449514974500932</v>
      </c>
      <c r="R5558" s="2">
        <f t="shared" si="347"/>
        <v>108.62130961090635</v>
      </c>
      <c r="S5558" s="2">
        <f t="shared" si="346"/>
        <v>2.1863657350889967</v>
      </c>
      <c r="T5558" s="2">
        <f t="shared" si="348"/>
        <v>4.4953936422875813</v>
      </c>
      <c r="U5558" s="2">
        <f t="shared" si="349"/>
        <v>115.30306898828293</v>
      </c>
    </row>
    <row r="5559" spans="1:21" x14ac:dyDescent="0.25">
      <c r="A5559">
        <v>5884637</v>
      </c>
      <c r="B5559">
        <v>53</v>
      </c>
      <c r="C5559" s="1">
        <f>2.03221255208045*(10.3/7.3)</f>
        <v>2.8673683954011833</v>
      </c>
      <c r="D5559" s="1">
        <f>4.54461570194059*(10.3/7.3)</f>
        <v>6.4122659904093187</v>
      </c>
      <c r="E5559" s="1">
        <f>15.583217571093*(10.3/7.3)</f>
        <v>21.987279586610732</v>
      </c>
      <c r="F5559" s="1">
        <f>39.5756366059365*(38.9/42.5)</f>
        <v>36.223347387551286</v>
      </c>
      <c r="G5559" s="1">
        <v>1.9692670547030597</v>
      </c>
      <c r="H5559" s="1">
        <v>8.6403931268750842</v>
      </c>
      <c r="I5559" s="1">
        <v>27.117100429110746</v>
      </c>
      <c r="J5559" s="1">
        <v>3.0764027844315672E-2</v>
      </c>
      <c r="K5559" s="1">
        <v>1.9405549633186994</v>
      </c>
      <c r="L5559" s="1">
        <v>2.5296129436665717</v>
      </c>
      <c r="M5559" s="1">
        <v>0.1614236919054679</v>
      </c>
      <c r="N5559" s="1">
        <v>1.4587755646932816</v>
      </c>
      <c r="O5559" s="1">
        <v>0.12986666666666663</v>
      </c>
      <c r="P5559" s="1">
        <v>9.2681153909057873E-2</v>
      </c>
      <c r="Q5559" s="1">
        <v>3.1472304527217867</v>
      </c>
      <c r="R5559" s="2">
        <f t="shared" si="347"/>
        <v>108.36425242338319</v>
      </c>
      <c r="S5559" s="2">
        <f t="shared" si="346"/>
        <v>2.0640001450720731</v>
      </c>
      <c r="T5559" s="2">
        <f t="shared" si="348"/>
        <v>4.2796788669319881</v>
      </c>
      <c r="U5559" s="2">
        <f t="shared" si="349"/>
        <v>114.70793143538725</v>
      </c>
    </row>
    <row r="5560" spans="1:21" x14ac:dyDescent="0.25">
      <c r="A5560">
        <v>5884789</v>
      </c>
      <c r="B5560">
        <v>31</v>
      </c>
      <c r="C5560" s="1">
        <f>5.37209564900501*(10.3/7.3)</f>
        <v>7.5798061896919977</v>
      </c>
      <c r="D5560" s="1">
        <f>7.22314770703339*(10.3/7.3)</f>
        <v>10.19156457293753</v>
      </c>
      <c r="E5560" s="1">
        <f>25.3210464522558*(10.3/7.3)</f>
        <v>35.726955953182795</v>
      </c>
      <c r="F5560" s="1">
        <f>57.6378403554997*(38.9/42.5)</f>
        <v>52.755576231269117</v>
      </c>
      <c r="G5560" s="1">
        <v>2.4799322002092614</v>
      </c>
      <c r="H5560" s="1">
        <v>8.7824928916732716</v>
      </c>
      <c r="I5560" s="1">
        <v>43.062705235557409</v>
      </c>
      <c r="J5560" s="1">
        <v>3.5081439889275916E-2</v>
      </c>
      <c r="K5560" s="1">
        <v>2.1590496693960026</v>
      </c>
      <c r="L5560" s="1">
        <v>2.1436917946574749</v>
      </c>
      <c r="M5560" s="1">
        <v>0.13342008301174221</v>
      </c>
      <c r="N5560" s="1">
        <v>1.5194649272093823</v>
      </c>
      <c r="O5560" s="1">
        <v>0.11837935483870965</v>
      </c>
      <c r="P5560" s="1">
        <v>8.7191900999543048E-2</v>
      </c>
      <c r="Q5560" s="1">
        <v>3.9633619638047595</v>
      </c>
      <c r="R5560" s="2">
        <f t="shared" si="347"/>
        <v>164.54239523832615</v>
      </c>
      <c r="S5560" s="2">
        <f t="shared" si="346"/>
        <v>2.2813230102848219</v>
      </c>
      <c r="T5560" s="2">
        <f t="shared" si="348"/>
        <v>3.9149561597173088</v>
      </c>
      <c r="U5560" s="2">
        <f t="shared" si="349"/>
        <v>170.73867440832828</v>
      </c>
    </row>
    <row r="5561" spans="1:21" x14ac:dyDescent="0.25">
      <c r="A5561">
        <v>5884797</v>
      </c>
      <c r="B5561">
        <v>49</v>
      </c>
      <c r="C5561" s="1">
        <f>6.22624383459477*(10.3/7.3)</f>
        <v>8.7849741775789276</v>
      </c>
      <c r="D5561" s="1">
        <f>8.46014087411978*(10.3/7.3)</f>
        <v>11.936911096360781</v>
      </c>
      <c r="E5561" s="1">
        <f>29.6638066004602*(10.3/7.3)</f>
        <v>41.85441205270417</v>
      </c>
      <c r="F5561" s="1">
        <f>66.5343220973299*(38.9/42.5)</f>
        <v>60.898473637320741</v>
      </c>
      <c r="G5561" s="1">
        <v>2.8269589333535659</v>
      </c>
      <c r="H5561" s="1">
        <v>6.5881959438243358</v>
      </c>
      <c r="I5561" s="1">
        <v>49.413161653259465</v>
      </c>
      <c r="J5561" s="1">
        <v>3.5084713776572463E-2</v>
      </c>
      <c r="K5561" s="1">
        <v>2.1905812690207318</v>
      </c>
      <c r="L5561" s="1">
        <v>2.3421831919844847</v>
      </c>
      <c r="M5561" s="1">
        <v>0.14157216004650061</v>
      </c>
      <c r="N5561" s="1">
        <v>1.5209172312985129</v>
      </c>
      <c r="O5561" s="1">
        <v>0.12583945578231293</v>
      </c>
      <c r="P5561" s="1">
        <v>9.2451369632670297E-2</v>
      </c>
      <c r="Q5561" s="1">
        <v>4.5179708980536502</v>
      </c>
      <c r="R5561" s="2">
        <f t="shared" si="347"/>
        <v>186.82105839245565</v>
      </c>
      <c r="S5561" s="2">
        <f t="shared" si="346"/>
        <v>2.3181173524299745</v>
      </c>
      <c r="T5561" s="2">
        <f t="shared" si="348"/>
        <v>4.1305120391118111</v>
      </c>
      <c r="U5561" s="2">
        <f t="shared" si="349"/>
        <v>193.26968778399743</v>
      </c>
    </row>
    <row r="5562" spans="1:21" x14ac:dyDescent="0.25">
      <c r="A5562">
        <v>5884813</v>
      </c>
      <c r="B5562">
        <v>43</v>
      </c>
      <c r="C5562" s="1">
        <f>6.95436019808468*(10.3/7.3)</f>
        <v>9.8123164438729091</v>
      </c>
      <c r="D5562" s="1">
        <f>9.95116646969981*(10.3/7.3)</f>
        <v>14.040686936699736</v>
      </c>
      <c r="E5562" s="1">
        <f>34.7975563062619*(10.3/7.3)</f>
        <v>49.097921911575035</v>
      </c>
      <c r="F5562" s="1">
        <f>79.1128584172616*(38.9/42.5)</f>
        <v>72.411533939564109</v>
      </c>
      <c r="G5562" s="1">
        <v>3.4325148778263981</v>
      </c>
      <c r="H5562" s="1">
        <v>7.7881580757380293</v>
      </c>
      <c r="I5562" s="1">
        <v>58.0787976343534</v>
      </c>
      <c r="J5562" s="1">
        <v>3.6769235460282927E-2</v>
      </c>
      <c r="K5562" s="1">
        <v>2.2660337246558626</v>
      </c>
      <c r="L5562" s="1">
        <v>2.4946675543099781</v>
      </c>
      <c r="M5562" s="1">
        <v>0.1466985195393799</v>
      </c>
      <c r="N5562" s="1">
        <v>1.5688780791425554</v>
      </c>
      <c r="O5562" s="1">
        <v>0.13148775193798454</v>
      </c>
      <c r="P5562" s="1">
        <v>9.5854979262486026E-2</v>
      </c>
      <c r="Q5562" s="1">
        <v>5.4857543709554353</v>
      </c>
      <c r="R5562" s="2">
        <f t="shared" si="347"/>
        <v>220.1476841905851</v>
      </c>
      <c r="S5562" s="2">
        <f t="shared" si="346"/>
        <v>2.3986579393786314</v>
      </c>
      <c r="T5562" s="2">
        <f t="shared" si="348"/>
        <v>4.3417319049298984</v>
      </c>
      <c r="U5562" s="2">
        <f t="shared" si="349"/>
        <v>226.88807403489363</v>
      </c>
    </row>
    <row r="5563" spans="1:21" x14ac:dyDescent="0.25">
      <c r="A5563">
        <v>5884821</v>
      </c>
      <c r="B5563">
        <v>15</v>
      </c>
      <c r="C5563" s="1">
        <f>7.43823225523414*(10.3/7.3)</f>
        <v>10.495040031357755</v>
      </c>
      <c r="D5563" s="1">
        <f>10.7733072841708*(10.3/7.3)</f>
        <v>15.200693839309467</v>
      </c>
      <c r="E5563" s="1">
        <f>37.6291656338769*(10.3/7.3)</f>
        <v>53.093206305333155</v>
      </c>
      <c r="F5563" s="1">
        <f>86.8342605202454*(38.9/42.5)</f>
        <v>79.47888786441284</v>
      </c>
      <c r="G5563" s="1">
        <v>3.8263521874638777</v>
      </c>
      <c r="H5563" s="1">
        <v>7.2370388242681427</v>
      </c>
      <c r="I5563" s="1">
        <v>63.747412022785916</v>
      </c>
      <c r="J5563" s="1">
        <v>3.9138179935580317E-2</v>
      </c>
      <c r="K5563" s="1">
        <v>2.3489944275568901</v>
      </c>
      <c r="L5563" s="1">
        <v>2.6043985783673187</v>
      </c>
      <c r="M5563" s="1">
        <v>0.15088220087277851</v>
      </c>
      <c r="N5563" s="1">
        <v>1.6988906268985207</v>
      </c>
      <c r="O5563" s="1">
        <v>0.13599644444444442</v>
      </c>
      <c r="P5563" s="1">
        <v>9.8234860242805491E-2</v>
      </c>
      <c r="Q5563" s="1">
        <v>6.1151747288235567</v>
      </c>
      <c r="R5563" s="2">
        <f t="shared" si="347"/>
        <v>239.19380580375471</v>
      </c>
      <c r="S5563" s="2">
        <f t="shared" si="346"/>
        <v>2.4863674677352758</v>
      </c>
      <c r="T5563" s="2">
        <f t="shared" si="348"/>
        <v>4.5901678505830628</v>
      </c>
      <c r="U5563" s="2">
        <f t="shared" si="349"/>
        <v>246.27034112207306</v>
      </c>
    </row>
    <row r="5564" spans="1:21" x14ac:dyDescent="0.25">
      <c r="A5564">
        <v>5884829</v>
      </c>
      <c r="B5564">
        <v>3</v>
      </c>
      <c r="C5564" s="1">
        <f>7.87290138034813*(10.3/7.3)</f>
        <v>11.108340303778869</v>
      </c>
      <c r="D5564" s="1">
        <f>11.5539637286508*(10.3/7.3)</f>
        <v>16.302168000699108</v>
      </c>
      <c r="E5564" s="1">
        <f>40.3275649612364*(10.3/7.3)</f>
        <v>56.900536863114326</v>
      </c>
      <c r="F5564" s="1">
        <f>93.4478803331783*(38.9/42.5)</f>
        <v>85.532295175544405</v>
      </c>
      <c r="G5564" s="1">
        <v>4.1408694246403064</v>
      </c>
      <c r="H5564" s="1">
        <v>8.4481012979396493</v>
      </c>
      <c r="I5564" s="1">
        <v>68.427248464431656</v>
      </c>
      <c r="J5564" s="1">
        <v>3.6768774957549578E-2</v>
      </c>
      <c r="K5564" s="1">
        <v>2.1771796263054108</v>
      </c>
      <c r="L5564" s="1">
        <v>2.3873919406791799</v>
      </c>
      <c r="M5564" s="1">
        <v>0.13856177853096249</v>
      </c>
      <c r="N5564" s="1">
        <v>1.6096026566157</v>
      </c>
      <c r="O5564" s="1">
        <v>0.12497777777777778</v>
      </c>
      <c r="P5564" s="1">
        <v>9.1426089925831719E-2</v>
      </c>
      <c r="Q5564" s="1">
        <v>6.6178278475986687</v>
      </c>
      <c r="R5564" s="2">
        <f t="shared" si="347"/>
        <v>257.47738737774699</v>
      </c>
      <c r="S5564" s="2">
        <f t="shared" si="346"/>
        <v>2.3053744911887923</v>
      </c>
      <c r="T5564" s="2">
        <f t="shared" si="348"/>
        <v>4.2605341536036203</v>
      </c>
      <c r="U5564" s="2">
        <f t="shared" si="349"/>
        <v>264.04329602253938</v>
      </c>
    </row>
    <row r="5565" spans="1:21" x14ac:dyDescent="0.25">
      <c r="A5565">
        <v>5896353</v>
      </c>
      <c r="B5565">
        <v>66</v>
      </c>
      <c r="C5565" s="1">
        <f>0.681658323101797*(10.3/7.3)</f>
        <v>0.96179188054089115</v>
      </c>
      <c r="D5565" s="1">
        <f>1.17327678678831*(10.3/7.3)</f>
        <v>1.6554453293040505</v>
      </c>
      <c r="E5565" s="1">
        <f>4.01808930847621*(10.3/7.3)</f>
        <v>5.6693588873020548</v>
      </c>
      <c r="F5565" s="1">
        <f>12.0398656150958*(38.9/42.5)</f>
        <v>11.020018174758299</v>
      </c>
      <c r="G5565" s="1">
        <v>0.65059913182150919</v>
      </c>
      <c r="H5565" s="1">
        <v>2.2851149546081913</v>
      </c>
      <c r="I5565" s="1">
        <v>8.9913704386918454</v>
      </c>
      <c r="J5565" s="1">
        <v>3.8876361405566752E-2</v>
      </c>
      <c r="K5565" s="1">
        <v>8.8087292148444352</v>
      </c>
      <c r="L5565" s="1">
        <v>2.15681218334695</v>
      </c>
      <c r="M5565" s="1">
        <v>0.74566308332787146</v>
      </c>
      <c r="N5565" s="1">
        <v>1.2890585034189701</v>
      </c>
      <c r="O5565" s="1">
        <v>0.80363636363636348</v>
      </c>
      <c r="P5565" s="1">
        <v>0.13817449748715377</v>
      </c>
      <c r="Q5565" s="1">
        <v>1.0397703019978464</v>
      </c>
      <c r="R5565" s="2">
        <f t="shared" si="347"/>
        <v>32.273469099024688</v>
      </c>
      <c r="S5565" s="2">
        <f t="shared" si="346"/>
        <v>8.9857800737371551</v>
      </c>
      <c r="T5565" s="2">
        <f t="shared" si="348"/>
        <v>4.9951701337301557</v>
      </c>
      <c r="U5565" s="2">
        <f t="shared" si="349"/>
        <v>46.254419306491997</v>
      </c>
    </row>
    <row r="5566" spans="1:21" x14ac:dyDescent="0.25">
      <c r="A5566">
        <v>5896361</v>
      </c>
      <c r="B5566">
        <v>65</v>
      </c>
      <c r="C5566" s="1">
        <f>1.03620209204081*(10.3/7.3)</f>
        <v>1.4620385682219685</v>
      </c>
      <c r="D5566" s="1">
        <f>1.9030168955998*(10.3/7.3)</f>
        <v>2.6850786335175263</v>
      </c>
      <c r="E5566" s="1">
        <f>6.47586717020029*(10.3/7.3)</f>
        <v>9.1371824456250632</v>
      </c>
      <c r="F5566" s="1">
        <f>20.8336328510182*(38.9/42.5)</f>
        <v>19.068901597755499</v>
      </c>
      <c r="G5566" s="1">
        <v>1.1738627785144873</v>
      </c>
      <c r="H5566" s="1">
        <v>3.5982735978801723</v>
      </c>
      <c r="I5566" s="1">
        <v>15.609138172206885</v>
      </c>
      <c r="J5566" s="1">
        <v>6.070810367504343E-2</v>
      </c>
      <c r="K5566" s="1">
        <v>13.146722947893634</v>
      </c>
      <c r="L5566" s="1">
        <v>3.23993708438045</v>
      </c>
      <c r="M5566" s="1">
        <v>1.1437461651045686</v>
      </c>
      <c r="N5566" s="1">
        <v>1.8208062339324458</v>
      </c>
      <c r="O5566" s="1">
        <v>1.1189579487179486</v>
      </c>
      <c r="P5566" s="1">
        <v>0.16951071125949299</v>
      </c>
      <c r="Q5566" s="1">
        <v>1.8760364040185888</v>
      </c>
      <c r="R5566" s="2">
        <f t="shared" si="347"/>
        <v>54.610512197740199</v>
      </c>
      <c r="S5566" s="2">
        <f t="shared" si="346"/>
        <v>13.376941762828171</v>
      </c>
      <c r="T5566" s="2">
        <f t="shared" si="348"/>
        <v>7.3234474321354135</v>
      </c>
      <c r="U5566" s="2">
        <f t="shared" si="349"/>
        <v>75.310901392703784</v>
      </c>
    </row>
    <row r="5567" spans="1:21" x14ac:dyDescent="0.25">
      <c r="A5567">
        <v>5896369</v>
      </c>
      <c r="B5567">
        <v>30</v>
      </c>
      <c r="C5567" s="1">
        <f>0.712690082628108*(10.3/7.3)</f>
        <v>1.0055764179547275</v>
      </c>
      <c r="D5567" s="1">
        <f>1.30489705804958*(10.3/7.3)</f>
        <v>1.8411561230014564</v>
      </c>
      <c r="E5567" s="1">
        <f>4.43816313049277*(10.3/7.3)</f>
        <v>6.2620657868596634</v>
      </c>
      <c r="F5567" s="1">
        <f>14.4205206777789*(38.9/42.5)</f>
        <v>13.199017749778799</v>
      </c>
      <c r="G5567" s="1">
        <v>0.81631421744481103</v>
      </c>
      <c r="H5567" s="1">
        <v>3.6523230142791738</v>
      </c>
      <c r="I5567" s="1">
        <v>10.829714128340722</v>
      </c>
      <c r="J5567" s="1">
        <v>5.1651104935366808E-2</v>
      </c>
      <c r="K5567" s="1">
        <v>10.580822911495451</v>
      </c>
      <c r="L5567" s="1">
        <v>2.4185397509275179</v>
      </c>
      <c r="M5567" s="1">
        <v>0.87160864884066303</v>
      </c>
      <c r="N5567" s="1">
        <v>1.7500895032048762</v>
      </c>
      <c r="O5567" s="1">
        <v>0.86563555555555571</v>
      </c>
      <c r="P5567" s="1">
        <v>0.14526818375295686</v>
      </c>
      <c r="Q5567" s="1">
        <v>1.3046117630396532</v>
      </c>
      <c r="R5567" s="2">
        <f t="shared" si="347"/>
        <v>38.910779200699004</v>
      </c>
      <c r="S5567" s="2">
        <f t="shared" si="346"/>
        <v>10.777742200183775</v>
      </c>
      <c r="T5567" s="2">
        <f t="shared" si="348"/>
        <v>5.905873458528613</v>
      </c>
      <c r="U5567" s="2">
        <f t="shared" si="349"/>
        <v>55.594394859411388</v>
      </c>
    </row>
    <row r="5568" spans="1:21" x14ac:dyDescent="0.25">
      <c r="A5568">
        <v>5896433</v>
      </c>
      <c r="B5568">
        <v>12</v>
      </c>
      <c r="C5568" s="1">
        <f>0.518443168469805*(10.3/7.3)</f>
        <v>0.73150200482725947</v>
      </c>
      <c r="D5568" s="1">
        <f>1.06462862979828*(10.3/7.3)</f>
        <v>1.5021472447838782</v>
      </c>
      <c r="E5568" s="1">
        <f>3.57595138852394*(10.3/7.3)</f>
        <v>5.0455204523009067</v>
      </c>
      <c r="F5568" s="1">
        <f>13.3133495385905*(38.9/42.5)</f>
        <v>12.185630518851092</v>
      </c>
      <c r="G5568" s="1">
        <v>0.80489088272180076</v>
      </c>
      <c r="H5568" s="1">
        <v>7.2696219584987638</v>
      </c>
      <c r="I5568" s="1">
        <v>10.09422790550625</v>
      </c>
      <c r="J5568" s="1">
        <v>3.8913714456823463E-2</v>
      </c>
      <c r="K5568" s="1">
        <v>4.4129028723442891</v>
      </c>
      <c r="L5568" s="1">
        <v>2.0832687448309586</v>
      </c>
      <c r="M5568" s="1">
        <v>0.77828544750929318</v>
      </c>
      <c r="N5568" s="1">
        <v>1.4696729692578632</v>
      </c>
      <c r="O5568" s="1">
        <v>0.33551555555555557</v>
      </c>
      <c r="P5568" s="1">
        <v>0.12302847861977752</v>
      </c>
      <c r="Q5568" s="1">
        <v>1.2863552920211438</v>
      </c>
      <c r="R5568" s="2">
        <f t="shared" si="347"/>
        <v>38.919896259511091</v>
      </c>
      <c r="S5568" s="2">
        <f t="shared" si="346"/>
        <v>4.5748450654208899</v>
      </c>
      <c r="T5568" s="2">
        <f t="shared" si="348"/>
        <v>4.66674271715367</v>
      </c>
      <c r="U5568" s="2">
        <f t="shared" si="349"/>
        <v>48.161484042085647</v>
      </c>
    </row>
    <row r="5569" spans="1:21" x14ac:dyDescent="0.25">
      <c r="A5569">
        <v>5896441</v>
      </c>
      <c r="B5569">
        <v>2</v>
      </c>
      <c r="C5569" s="1">
        <f>0.521563120956115*(10.3/7.3)</f>
        <v>0.73590412956821738</v>
      </c>
      <c r="D5569" s="1">
        <f>1.07916616211841*(10.3/7.3)</f>
        <v>1.5226591054547387</v>
      </c>
      <c r="E5569" s="1">
        <f>3.6199678739593*(10.3/7.3)</f>
        <v>5.1076259043535304</v>
      </c>
      <c r="F5569" s="1">
        <f>13.6886071822141*(38.9/42.5)</f>
        <v>12.529101632661824</v>
      </c>
      <c r="G5569" s="1">
        <v>0.83287697984376508</v>
      </c>
      <c r="H5569" s="1">
        <v>5.618071340279946</v>
      </c>
      <c r="I5569" s="1">
        <v>10.397968616827924</v>
      </c>
      <c r="J5569" s="1">
        <v>3.8171860999936455E-2</v>
      </c>
      <c r="K5569" s="1">
        <v>4.2362723269212239</v>
      </c>
      <c r="L5569" s="1">
        <v>2.1277417346263734</v>
      </c>
      <c r="M5569" s="1">
        <v>0.76058051898568457</v>
      </c>
      <c r="N5569" s="1">
        <v>1.4673978766473392</v>
      </c>
      <c r="O5569" s="1">
        <v>0.31765333333333334</v>
      </c>
      <c r="P5569" s="1">
        <v>0.12381021229915166</v>
      </c>
      <c r="Q5569" s="1">
        <v>1.3310819312571602</v>
      </c>
      <c r="R5569" s="2">
        <f t="shared" si="347"/>
        <v>38.075289640247107</v>
      </c>
      <c r="S5569" s="2">
        <f t="shared" si="346"/>
        <v>4.3982544002203117</v>
      </c>
      <c r="T5569" s="2">
        <f t="shared" si="348"/>
        <v>4.6733734635927311</v>
      </c>
      <c r="U5569" s="2">
        <f t="shared" si="349"/>
        <v>47.146917504060148</v>
      </c>
    </row>
    <row r="5570" spans="1:21" x14ac:dyDescent="0.25">
      <c r="A5570">
        <v>5896849</v>
      </c>
      <c r="B5570">
        <v>52</v>
      </c>
      <c r="C5570" s="1">
        <f>1.9040339822304*(10.3/7.3)</f>
        <v>2.6865137009552211</v>
      </c>
      <c r="D5570" s="1">
        <f>4.19711546248208*(10.3/7.3)</f>
        <v>5.9219574333651304</v>
      </c>
      <c r="E5570" s="1">
        <f>14.3399756812286*(10.3/7.3)</f>
        <v>20.233116372144472</v>
      </c>
      <c r="F5570" s="1">
        <f>39.3286146402079*(38.9/42.5)</f>
        <v>35.997249635390325</v>
      </c>
      <c r="G5570" s="1">
        <v>2.0550695265323755</v>
      </c>
      <c r="H5570" s="1">
        <v>8.434341964888258</v>
      </c>
      <c r="I5570" s="1">
        <v>27.611846485438466</v>
      </c>
      <c r="J5570" s="1">
        <v>2.9951632921192919E-2</v>
      </c>
      <c r="K5570" s="1">
        <v>1.9868522863360338</v>
      </c>
      <c r="L5570" s="1">
        <v>2.6332416212023282</v>
      </c>
      <c r="M5570" s="1">
        <v>0.17205315255531176</v>
      </c>
      <c r="N5570" s="1">
        <v>1.4831899182011943</v>
      </c>
      <c r="O5570" s="1">
        <v>0.13799794871794871</v>
      </c>
      <c r="P5570" s="1">
        <v>9.6129847804006102E-2</v>
      </c>
      <c r="Q5570" s="1">
        <v>3.284357690805169</v>
      </c>
      <c r="R5570" s="2">
        <f t="shared" si="347"/>
        <v>106.22445280951942</v>
      </c>
      <c r="S5570" s="2">
        <f t="shared" si="346"/>
        <v>2.1129337670612327</v>
      </c>
      <c r="T5570" s="2">
        <f t="shared" si="348"/>
        <v>4.4264826406767837</v>
      </c>
      <c r="U5570" s="2">
        <f t="shared" si="349"/>
        <v>112.76386921725744</v>
      </c>
    </row>
    <row r="5571" spans="1:21" x14ac:dyDescent="0.25">
      <c r="A5571">
        <v>5896857</v>
      </c>
      <c r="B5571">
        <v>49</v>
      </c>
      <c r="C5571" s="1">
        <f>1.95191434728626*(10.3/7.3)</f>
        <v>2.7540709283628098</v>
      </c>
      <c r="D5571" s="1">
        <f>4.25285501457856*(10.3/7.3)</f>
        <v>6.0006036507067408</v>
      </c>
      <c r="E5571" s="1">
        <f>14.4877796761596*(10.3/7.3)</f>
        <v>20.441661734855295</v>
      </c>
      <c r="F5571" s="1">
        <f>42.1450049376537*(38.9/42.5)</f>
        <v>38.575075107640643</v>
      </c>
      <c r="G5571" s="1">
        <v>2.2774774536546096</v>
      </c>
      <c r="H5571" s="1">
        <v>8.9552547316407694</v>
      </c>
      <c r="I5571" s="1">
        <v>30.098855877032729</v>
      </c>
      <c r="J5571" s="1">
        <v>2.8736188187813431E-2</v>
      </c>
      <c r="K5571" s="1">
        <v>1.9209067423205946</v>
      </c>
      <c r="L5571" s="1">
        <v>2.493546760625974</v>
      </c>
      <c r="M5571" s="1">
        <v>0.16450969505319421</v>
      </c>
      <c r="N5571" s="1">
        <v>1.4161306192131768</v>
      </c>
      <c r="O5571" s="1">
        <v>0.13224925170068025</v>
      </c>
      <c r="P5571" s="1">
        <v>9.2926090659056118E-2</v>
      </c>
      <c r="Q5571" s="1">
        <v>3.6398041496763218</v>
      </c>
      <c r="R5571" s="2">
        <f t="shared" si="347"/>
        <v>112.74280363356992</v>
      </c>
      <c r="S5571" s="2">
        <f t="shared" si="346"/>
        <v>2.0425690211674641</v>
      </c>
      <c r="T5571" s="2">
        <f t="shared" si="348"/>
        <v>4.2064363265930256</v>
      </c>
      <c r="U5571" s="2">
        <f t="shared" si="349"/>
        <v>118.99180898133041</v>
      </c>
    </row>
    <row r="5572" spans="1:21" x14ac:dyDescent="0.25">
      <c r="A5572">
        <v>5896873</v>
      </c>
      <c r="B5572">
        <v>6</v>
      </c>
      <c r="C5572" s="1">
        <f>2.1611313434959*(10.3/7.3)</f>
        <v>3.0492675120558581</v>
      </c>
      <c r="D5572" s="1">
        <f>4.47568295768934*(10.3/7.3)</f>
        <v>6.315004721123322</v>
      </c>
      <c r="E5572" s="1">
        <f>15.3514249045755*(10.3/7.3)</f>
        <v>21.660229659880436</v>
      </c>
      <c r="F5572" s="1">
        <f>40.361189398257*(38.9/42.5)</f>
        <v>36.942359237463492</v>
      </c>
      <c r="G5572" s="1">
        <v>2.0437898019612217</v>
      </c>
      <c r="H5572" s="1">
        <v>8.3282938971603873</v>
      </c>
      <c r="I5572" s="1">
        <v>28.308114831451547</v>
      </c>
      <c r="J5572" s="1">
        <v>3.4401067261021732E-2</v>
      </c>
      <c r="K5572" s="1">
        <v>2.1024452021715736</v>
      </c>
      <c r="L5572" s="1">
        <v>2.5645378675121542</v>
      </c>
      <c r="M5572" s="1">
        <v>0.17331526406694009</v>
      </c>
      <c r="N5572" s="1">
        <v>1.6470993215600593</v>
      </c>
      <c r="O5572" s="1">
        <v>0.1407022222222222</v>
      </c>
      <c r="P5572" s="1">
        <v>9.8813072534078464E-2</v>
      </c>
      <c r="Q5572" s="1">
        <v>3.2663307337279837</v>
      </c>
      <c r="R5572" s="2">
        <f t="shared" si="347"/>
        <v>109.91339039482426</v>
      </c>
      <c r="S5572" s="2">
        <f t="shared" si="346"/>
        <v>2.2356593419666737</v>
      </c>
      <c r="T5572" s="2">
        <f t="shared" si="348"/>
        <v>4.5256546753613751</v>
      </c>
      <c r="U5572" s="2">
        <f t="shared" si="349"/>
        <v>116.67470441215232</v>
      </c>
    </row>
    <row r="5573" spans="1:21" x14ac:dyDescent="0.25">
      <c r="A5573">
        <v>5896921</v>
      </c>
      <c r="B5573">
        <v>8</v>
      </c>
      <c r="C5573" s="1">
        <f>3.16761473918594*(10.3/7.3)</f>
        <v>4.4693742210431706</v>
      </c>
      <c r="D5573" s="1">
        <f>6.39617967131288*(10.3/7.3)</f>
        <v>9.0247466595236485</v>
      </c>
      <c r="E5573" s="1">
        <f>22.1712373527917*(10.3/7.3)</f>
        <v>31.282704758048578</v>
      </c>
      <c r="F5573" s="1">
        <f>47.2028174214971*(38.9/42.5)</f>
        <v>43.204461122264433</v>
      </c>
      <c r="G5573" s="1">
        <v>2.012853093960584</v>
      </c>
      <c r="H5573" s="1">
        <v>7.4046852082090329</v>
      </c>
      <c r="I5573" s="1">
        <v>31.17268401755911</v>
      </c>
      <c r="J5573" s="1">
        <v>3.4950208547268408E-2</v>
      </c>
      <c r="K5573" s="1">
        <v>1.9729946182161244</v>
      </c>
      <c r="L5573" s="1">
        <v>2.1041225262640992</v>
      </c>
      <c r="M5573" s="1">
        <v>0.15095343077060433</v>
      </c>
      <c r="N5573" s="1">
        <v>1.8434664788794648</v>
      </c>
      <c r="O5573" s="1">
        <v>0.12511333333333333</v>
      </c>
      <c r="P5573" s="1">
        <v>9.0664091615863099E-2</v>
      </c>
      <c r="Q5573" s="1">
        <v>3.2168885063297039</v>
      </c>
      <c r="R5573" s="2">
        <f t="shared" si="347"/>
        <v>131.78839758693826</v>
      </c>
      <c r="S5573" s="2">
        <f t="shared" si="346"/>
        <v>2.0986089183792562</v>
      </c>
      <c r="T5573" s="2">
        <f t="shared" si="348"/>
        <v>4.2236557692475021</v>
      </c>
      <c r="U5573" s="2">
        <f t="shared" si="349"/>
        <v>138.11066227456502</v>
      </c>
    </row>
    <row r="5574" spans="1:21" x14ac:dyDescent="0.25">
      <c r="A5574">
        <v>5897025</v>
      </c>
      <c r="B5574">
        <v>11</v>
      </c>
      <c r="C5574" s="1">
        <f>4.79507126996552*(10.3/7.3)</f>
        <v>6.7656485041979249</v>
      </c>
      <c r="D5574" s="1">
        <f>6.42361887713516*(10.3/7.3)</f>
        <v>9.0634622513002991</v>
      </c>
      <c r="E5574" s="1">
        <f>22.5283975198109*(10.3/7.3)</f>
        <v>31.786643075897604</v>
      </c>
      <c r="F5574" s="1">
        <f>50.9439898619902*(38.9/42.5)</f>
        <v>46.628734250150991</v>
      </c>
      <c r="G5574" s="1">
        <v>2.1768192720448898</v>
      </c>
      <c r="H5574" s="1">
        <v>6.2711081964391333</v>
      </c>
      <c r="I5574" s="1">
        <v>38.051510218533139</v>
      </c>
      <c r="J5574" s="1">
        <v>3.1912749712243255E-2</v>
      </c>
      <c r="K5574" s="1">
        <v>1.979257885433362</v>
      </c>
      <c r="L5574" s="1">
        <v>2.0138175028953302</v>
      </c>
      <c r="M5574" s="1">
        <v>0.1276543918252567</v>
      </c>
      <c r="N5574" s="1">
        <v>1.3799250363020439</v>
      </c>
      <c r="O5574" s="1">
        <v>0.11155878787878787</v>
      </c>
      <c r="P5574" s="1">
        <v>8.3408343925742673E-2</v>
      </c>
      <c r="Q5574" s="1">
        <v>3.4789349096607869</v>
      </c>
      <c r="R5574" s="2">
        <f t="shared" si="347"/>
        <v>144.22286067822478</v>
      </c>
      <c r="S5574" s="2">
        <f t="shared" si="346"/>
        <v>2.0945789790713478</v>
      </c>
      <c r="T5574" s="2">
        <f t="shared" si="348"/>
        <v>3.6329557189014188</v>
      </c>
      <c r="U5574" s="2">
        <f t="shared" si="349"/>
        <v>149.95039537619755</v>
      </c>
    </row>
    <row r="5575" spans="1:21" x14ac:dyDescent="0.25">
      <c r="A5575">
        <v>5897033</v>
      </c>
      <c r="B5575">
        <v>33</v>
      </c>
      <c r="C5575" s="1">
        <f>8.25296831958953*(10.3/7.3)</f>
        <v>11.644599135859194</v>
      </c>
      <c r="D5575" s="1">
        <f>11.3023351309122*(10.3/7.3)</f>
        <v>15.947130390191129</v>
      </c>
      <c r="E5575" s="1">
        <f>39.6195272059791*(10.3/7.3)</f>
        <v>55.901524687888305</v>
      </c>
      <c r="F5575" s="1">
        <f>88.7110267098154*(38.9/42.5)</f>
        <v>81.19668091792515</v>
      </c>
      <c r="G5575" s="1">
        <v>3.76758057066729</v>
      </c>
      <c r="H5575" s="1">
        <v>8.0769731898332822</v>
      </c>
      <c r="I5575" s="1">
        <v>65.71209428544266</v>
      </c>
      <c r="J5575" s="1">
        <v>4.1786556273358345E-2</v>
      </c>
      <c r="K5575" s="1">
        <v>2.5120197056513049</v>
      </c>
      <c r="L5575" s="1">
        <v>2.7963982242320631</v>
      </c>
      <c r="M5575" s="1">
        <v>0.16416033195077903</v>
      </c>
      <c r="N5575" s="1">
        <v>1.7693832397224065</v>
      </c>
      <c r="O5575" s="1">
        <v>0.14617212121212114</v>
      </c>
      <c r="P5575" s="1">
        <v>0.10492295970431841</v>
      </c>
      <c r="Q5575" s="1">
        <v>6.0212474873678223</v>
      </c>
      <c r="R5575" s="2">
        <f t="shared" si="347"/>
        <v>248.26783066517481</v>
      </c>
      <c r="S5575" s="2">
        <f t="shared" si="346"/>
        <v>2.6587292216289815</v>
      </c>
      <c r="T5575" s="2">
        <f t="shared" si="348"/>
        <v>4.8761139171173697</v>
      </c>
      <c r="U5575" s="2">
        <f t="shared" si="349"/>
        <v>255.80267380392118</v>
      </c>
    </row>
    <row r="5576" spans="1:21" x14ac:dyDescent="0.25">
      <c r="A5576">
        <v>5897041</v>
      </c>
      <c r="B5576">
        <v>24</v>
      </c>
      <c r="C5576" s="1">
        <f>8.55149104612055*(10.3/7.3)</f>
        <v>12.065802434937211</v>
      </c>
      <c r="D5576" s="1">
        <f>12.0866031053219*(10.3/7.3)</f>
        <v>17.053700271892556</v>
      </c>
      <c r="E5576" s="1">
        <f>42.2976392163626*(10.3/7.3)</f>
        <v>59.680230675141758</v>
      </c>
      <c r="F5576" s="1">
        <f>95.5534142404851*(38.9/42.5)</f>
        <v>87.459477975408745</v>
      </c>
      <c r="G5576" s="1">
        <v>4.1133303897726856</v>
      </c>
      <c r="H5576" s="1">
        <v>8.3946358457227355</v>
      </c>
      <c r="I5576" s="1">
        <v>70.288444008499582</v>
      </c>
      <c r="J5576" s="1">
        <v>4.2860247551349651E-2</v>
      </c>
      <c r="K5576" s="1">
        <v>2.554170266736115</v>
      </c>
      <c r="L5576" s="1">
        <v>2.8805294025444597</v>
      </c>
      <c r="M5576" s="1">
        <v>0.16624750531075591</v>
      </c>
      <c r="N5576" s="1">
        <v>1.7925738792921624</v>
      </c>
      <c r="O5576" s="1">
        <v>0.14890444444444442</v>
      </c>
      <c r="P5576" s="1">
        <v>0.10643496158745026</v>
      </c>
      <c r="Q5576" s="1">
        <v>6.5738156914175407</v>
      </c>
      <c r="R5576" s="2">
        <f t="shared" si="347"/>
        <v>265.62943729279283</v>
      </c>
      <c r="S5576" s="2">
        <f t="shared" si="346"/>
        <v>2.703465475874915</v>
      </c>
      <c r="T5576" s="2">
        <f t="shared" si="348"/>
        <v>4.9882552315918227</v>
      </c>
      <c r="U5576" s="2">
        <f t="shared" si="349"/>
        <v>273.32115800025957</v>
      </c>
    </row>
    <row r="5577" spans="1:21" x14ac:dyDescent="0.25">
      <c r="A5577">
        <v>5897049</v>
      </c>
      <c r="B5577">
        <v>9</v>
      </c>
      <c r="C5577" s="1">
        <f>5.23355434086549*(10.3/7.3)</f>
        <v>7.3843300973855488</v>
      </c>
      <c r="D5577" s="1">
        <f>8.7220172428737*(10.3/7.3)</f>
        <v>12.306407890630014</v>
      </c>
      <c r="E5577" s="1">
        <f>29.8796449334273*(10.3/7.3)</f>
        <v>42.158951070452275</v>
      </c>
      <c r="F5577" s="1">
        <f>90.7106228540492*(38.9/42.5)</f>
        <v>83.026899506412065</v>
      </c>
      <c r="G5577" s="1">
        <v>4.9249570104599432</v>
      </c>
      <c r="H5577" s="1">
        <v>8.6186682205443965</v>
      </c>
      <c r="I5577" s="1">
        <v>68.296447782089558</v>
      </c>
      <c r="J5577" s="1">
        <v>3.1309186123261938E-2</v>
      </c>
      <c r="K5577" s="1">
        <v>1.9898308439053893</v>
      </c>
      <c r="L5577" s="1">
        <v>2.115950509897158</v>
      </c>
      <c r="M5577" s="1">
        <v>0.12811352537244008</v>
      </c>
      <c r="N5577" s="1">
        <v>1.3814787783447313</v>
      </c>
      <c r="O5577" s="1">
        <v>0.11500444444444444</v>
      </c>
      <c r="P5577" s="1">
        <v>8.5512392749201527E-2</v>
      </c>
      <c r="Q5577" s="1">
        <v>7.8709358614656715</v>
      </c>
      <c r="R5577" s="2">
        <f t="shared" si="347"/>
        <v>234.58759743943949</v>
      </c>
      <c r="S5577" s="2">
        <f t="shared" ref="S5577:S5640" si="350">J5577+K5577+P5577</f>
        <v>2.1066524227778527</v>
      </c>
      <c r="T5577" s="2">
        <f t="shared" si="348"/>
        <v>3.7405472580587737</v>
      </c>
      <c r="U5577" s="2">
        <f t="shared" si="349"/>
        <v>240.4347971202761</v>
      </c>
    </row>
    <row r="5578" spans="1:21" x14ac:dyDescent="0.25">
      <c r="A5578">
        <v>5897065</v>
      </c>
      <c r="B5578">
        <v>6</v>
      </c>
      <c r="C5578" s="1">
        <f>5.46987414621152*(10.3/7.3)</f>
        <v>7.7177676309559757</v>
      </c>
      <c r="D5578" s="1">
        <f>7.88704241203821*(10.3/7.3)</f>
        <v>11.128292718355281</v>
      </c>
      <c r="E5578" s="1">
        <f>27.5922339818483*(10.3/7.3)</f>
        <v>38.931508220964098</v>
      </c>
      <c r="F5578" s="1">
        <f>61.6710209828232*(38.9/42.5)</f>
        <v>56.447122734866397</v>
      </c>
      <c r="G5578" s="1">
        <v>2.6357002267133125</v>
      </c>
      <c r="H5578" s="1">
        <v>6.5787699371828241</v>
      </c>
      <c r="I5578" s="1">
        <v>45.008115848199516</v>
      </c>
      <c r="J5578" s="1">
        <v>2.8596364521147E-2</v>
      </c>
      <c r="K5578" s="1">
        <v>1.7933913427276595</v>
      </c>
      <c r="L5578" s="1">
        <v>1.8587125955781605</v>
      </c>
      <c r="M5578" s="1">
        <v>0.11401240137497969</v>
      </c>
      <c r="N5578" s="1">
        <v>1.4367728856231976</v>
      </c>
      <c r="O5578" s="1">
        <v>0.10119111111111112</v>
      </c>
      <c r="P5578" s="1">
        <v>7.7398230364454423E-2</v>
      </c>
      <c r="Q5578" s="1">
        <v>4.2123062984002759</v>
      </c>
      <c r="R5578" s="2">
        <f t="shared" ref="R5578:R5641" si="351">C5578+D5578+E5578+F5578+G5578+H5578+I5578+Q5578</f>
        <v>172.6595836156377</v>
      </c>
      <c r="S5578" s="2">
        <f t="shared" si="350"/>
        <v>1.8993859376132611</v>
      </c>
      <c r="T5578" s="2">
        <f t="shared" ref="T5578:T5641" si="352">L5578+M5578+N5578+O5578</f>
        <v>3.5106889936874488</v>
      </c>
      <c r="U5578" s="2">
        <f t="shared" ref="U5578:U5641" si="353">R5578+S5578+T5578</f>
        <v>178.0696585469384</v>
      </c>
    </row>
    <row r="5579" spans="1:21" x14ac:dyDescent="0.25">
      <c r="A5579">
        <v>5908581</v>
      </c>
      <c r="B5579">
        <v>12</v>
      </c>
      <c r="C5579" s="1">
        <f>0.439365649335406*(10.3/7.3)</f>
        <v>0.61992687508968292</v>
      </c>
      <c r="D5579" s="1">
        <f>0.712758400635449*(10.3/7.3)</f>
        <v>1.0056728118554972</v>
      </c>
      <c r="E5579" s="1">
        <f>2.4537347196489*(10.3/7.3)</f>
        <v>3.4621188510114553</v>
      </c>
      <c r="F5579" s="1">
        <f>6.94936080767389*(38.9/42.5)</f>
        <v>6.3607090686709231</v>
      </c>
      <c r="G5579" s="1">
        <v>0.36154818633346736</v>
      </c>
      <c r="H5579" s="1">
        <v>1.422796861403832</v>
      </c>
      <c r="I5579" s="1">
        <v>5.1885440338910165</v>
      </c>
      <c r="J5579" s="1">
        <v>3.0153620300046143E-2</v>
      </c>
      <c r="K5579" s="1">
        <v>6.1264820418217845</v>
      </c>
      <c r="L5579" s="1">
        <v>1.7004497629730351</v>
      </c>
      <c r="M5579" s="1">
        <v>0.58355859756062778</v>
      </c>
      <c r="N5579" s="1">
        <v>1.0487951727983529</v>
      </c>
      <c r="O5579" s="1">
        <v>0.60030666666666677</v>
      </c>
      <c r="P5579" s="1">
        <v>0.11873424919822197</v>
      </c>
      <c r="Q5579" s="1">
        <v>0.57781673614937767</v>
      </c>
      <c r="R5579" s="2">
        <f t="shared" si="351"/>
        <v>18.999133424405247</v>
      </c>
      <c r="S5579" s="2">
        <f t="shared" si="350"/>
        <v>6.2753699113200527</v>
      </c>
      <c r="T5579" s="2">
        <f t="shared" si="352"/>
        <v>3.9331101999986826</v>
      </c>
      <c r="U5579" s="2">
        <f t="shared" si="353"/>
        <v>29.207613535723983</v>
      </c>
    </row>
    <row r="5580" spans="1:21" x14ac:dyDescent="0.25">
      <c r="A5580">
        <v>5908589</v>
      </c>
      <c r="B5580">
        <v>51</v>
      </c>
      <c r="C5580" s="1">
        <f>1.07345889637238*(10.3/7.3)</f>
        <v>1.5146063880322558</v>
      </c>
      <c r="D5580" s="1">
        <f>1.97061957659536*(10.3/7.3)</f>
        <v>2.7804632382098933</v>
      </c>
      <c r="E5580" s="1">
        <f>6.70861787569605*(10.3/7.3)</f>
        <v>9.465584125982101</v>
      </c>
      <c r="F5580" s="1">
        <f>21.4472351781635*(38.9/42.5)</f>
        <v>19.630528198366147</v>
      </c>
      <c r="G5580" s="1">
        <v>1.204648691000701</v>
      </c>
      <c r="H5580" s="1">
        <v>3.6298415078976531</v>
      </c>
      <c r="I5580" s="1">
        <v>16.050451837213675</v>
      </c>
      <c r="J5580" s="1">
        <v>6.0255989354710979E-2</v>
      </c>
      <c r="K5580" s="1">
        <v>11.593261842438446</v>
      </c>
      <c r="L5580" s="1">
        <v>3.3459347197086258</v>
      </c>
      <c r="M5580" s="1">
        <v>1.1623588073515572</v>
      </c>
      <c r="N5580" s="1">
        <v>1.8198361360684721</v>
      </c>
      <c r="O5580" s="1">
        <v>1.1239738562091499</v>
      </c>
      <c r="P5580" s="1">
        <v>0.17171775888315549</v>
      </c>
      <c r="Q5580" s="1">
        <v>1.9252376340193871</v>
      </c>
      <c r="R5580" s="2">
        <f t="shared" si="351"/>
        <v>56.201361620721805</v>
      </c>
      <c r="S5580" s="2">
        <f t="shared" si="350"/>
        <v>11.825235590676312</v>
      </c>
      <c r="T5580" s="2">
        <f t="shared" si="352"/>
        <v>7.4521035193378049</v>
      </c>
      <c r="U5580" s="2">
        <f t="shared" si="353"/>
        <v>75.478700730735923</v>
      </c>
    </row>
    <row r="5581" spans="1:21" x14ac:dyDescent="0.25">
      <c r="A5581">
        <v>5908597</v>
      </c>
      <c r="B5581">
        <v>55</v>
      </c>
      <c r="C5581" s="1">
        <f>1.01785281635582*(10.3/7.3)</f>
        <v>1.4361484943102611</v>
      </c>
      <c r="D5581" s="1">
        <f>1.9132355729076*(10.3/7.3)</f>
        <v>2.6994967672531915</v>
      </c>
      <c r="E5581" s="1">
        <f>6.49521645891046*(10.3/7.3)</f>
        <v>9.1644834968188658</v>
      </c>
      <c r="F5581" s="1">
        <f>21.4525103124452*(38.9/42.5)</f>
        <v>19.635356497743935</v>
      </c>
      <c r="G5581" s="1">
        <v>1.225953947170715</v>
      </c>
      <c r="H5581" s="1">
        <v>3.7556596966896238</v>
      </c>
      <c r="I5581" s="1">
        <v>16.097949163788453</v>
      </c>
      <c r="J5581" s="1">
        <v>6.2672890985707538E-2</v>
      </c>
      <c r="K5581" s="1">
        <v>12.289885555976452</v>
      </c>
      <c r="L5581" s="1">
        <v>3.2397703513502303</v>
      </c>
      <c r="M5581" s="1">
        <v>1.15065863482035</v>
      </c>
      <c r="N5581" s="1">
        <v>1.876871596122629</v>
      </c>
      <c r="O5581" s="1">
        <v>1.0466618181818181</v>
      </c>
      <c r="P5581" s="1">
        <v>0.16853257690986467</v>
      </c>
      <c r="Q5581" s="1">
        <v>1.95928713018151</v>
      </c>
      <c r="R5581" s="2">
        <f t="shared" si="351"/>
        <v>55.974335193956563</v>
      </c>
      <c r="S5581" s="2">
        <f t="shared" si="350"/>
        <v>12.521091023872025</v>
      </c>
      <c r="T5581" s="2">
        <f t="shared" si="352"/>
        <v>7.3139624004750274</v>
      </c>
      <c r="U5581" s="2">
        <f t="shared" si="353"/>
        <v>75.809388618303615</v>
      </c>
    </row>
    <row r="5582" spans="1:21" x14ac:dyDescent="0.25">
      <c r="A5582">
        <v>5909077</v>
      </c>
      <c r="B5582">
        <v>4</v>
      </c>
      <c r="C5582" s="1">
        <f>1.93300971117241*(10.3/7.3)</f>
        <v>2.7273972637090118</v>
      </c>
      <c r="D5582" s="1">
        <f>4.2615606720302*(10.3/7.3)</f>
        <v>6.0128869756042596</v>
      </c>
      <c r="E5582" s="1">
        <f>14.5601141043711*(10.3/7.3)</f>
        <v>20.543722640414028</v>
      </c>
      <c r="F5582" s="1">
        <f>39.9321424388427*(38.9/42.5)</f>
        <v>36.549655079317191</v>
      </c>
      <c r="G5582" s="1">
        <v>2.0866183659274231</v>
      </c>
      <c r="H5582" s="1">
        <v>8.6051385685872361</v>
      </c>
      <c r="I5582" s="1">
        <v>28.034929317334708</v>
      </c>
      <c r="J5582" s="1">
        <v>2.8524937257900489E-2</v>
      </c>
      <c r="K5582" s="1">
        <v>1.9100309959505819</v>
      </c>
      <c r="L5582" s="1">
        <v>2.5339015040020447</v>
      </c>
      <c r="M5582" s="1">
        <v>0.16674384954128471</v>
      </c>
      <c r="N5582" s="1">
        <v>1.4847311578206441</v>
      </c>
      <c r="O5582" s="1">
        <v>0.13354666666666665</v>
      </c>
      <c r="P5582" s="1">
        <v>9.2877876437345311E-2</v>
      </c>
      <c r="Q5582" s="1">
        <v>3.334778210386296</v>
      </c>
      <c r="R5582" s="2">
        <f t="shared" si="351"/>
        <v>107.89512642128015</v>
      </c>
      <c r="S5582" s="2">
        <f t="shared" si="350"/>
        <v>2.0314338096458275</v>
      </c>
      <c r="T5582" s="2">
        <f t="shared" si="352"/>
        <v>4.3189231780306399</v>
      </c>
      <c r="U5582" s="2">
        <f t="shared" si="353"/>
        <v>114.24548340895663</v>
      </c>
    </row>
    <row r="5583" spans="1:21" x14ac:dyDescent="0.25">
      <c r="A5583">
        <v>5909085</v>
      </c>
      <c r="B5583">
        <v>12</v>
      </c>
      <c r="C5583" s="1">
        <f>1.99540876089861*(10.3/7.3)</f>
        <v>2.8154397585281696</v>
      </c>
      <c r="D5583" s="1">
        <f>4.38699434434138*(10.3/7.3)</f>
        <v>6.1898687324268753</v>
      </c>
      <c r="E5583" s="1">
        <f>14.9671807151186*(10.3/7.3)</f>
        <v>21.118076899413872</v>
      </c>
      <c r="F5583" s="1">
        <f>42.2046416971284*(38.9/42.5)</f>
        <v>38.629660282783391</v>
      </c>
      <c r="G5583" s="1">
        <v>2.2418383806358264</v>
      </c>
      <c r="H5583" s="1">
        <v>10.524856219391415</v>
      </c>
      <c r="I5583" s="1">
        <v>29.862473302593902</v>
      </c>
      <c r="J5583" s="1">
        <v>3.2288658990553186E-2</v>
      </c>
      <c r="K5583" s="1">
        <v>2.0861910592112385</v>
      </c>
      <c r="L5583" s="1">
        <v>2.6275925051310765</v>
      </c>
      <c r="M5583" s="1">
        <v>0.17892492613403643</v>
      </c>
      <c r="N5583" s="1">
        <v>1.5738523575958032</v>
      </c>
      <c r="O5583" s="1">
        <v>0.14459111111111114</v>
      </c>
      <c r="P5583" s="1">
        <v>9.980082635280578E-2</v>
      </c>
      <c r="Q5583" s="1">
        <v>3.5828467270435627</v>
      </c>
      <c r="R5583" s="2">
        <f t="shared" si="351"/>
        <v>114.96506030281701</v>
      </c>
      <c r="S5583" s="2">
        <f t="shared" si="350"/>
        <v>2.2182805445545974</v>
      </c>
      <c r="T5583" s="2">
        <f t="shared" si="352"/>
        <v>4.5249608999720277</v>
      </c>
      <c r="U5583" s="2">
        <f t="shared" si="353"/>
        <v>121.70830174734364</v>
      </c>
    </row>
    <row r="5584" spans="1:21" x14ac:dyDescent="0.25">
      <c r="A5584">
        <v>5909093</v>
      </c>
      <c r="B5584">
        <v>25</v>
      </c>
      <c r="C5584" s="1">
        <f>2.04226513668556*(10.3/7.3)</f>
        <v>2.8815521791590744</v>
      </c>
      <c r="D5584" s="1">
        <f>4.32444322946962*(10.3/7.3)</f>
        <v>6.1016116799365845</v>
      </c>
      <c r="E5584" s="1">
        <f>14.7819211492147*(10.3/7.3)</f>
        <v>20.856683265330389</v>
      </c>
      <c r="F5584" s="1">
        <f>40.9963571576196*(38.9/42.5)</f>
        <v>37.523724551327163</v>
      </c>
      <c r="G5584" s="1">
        <v>2.1507914701650468</v>
      </c>
      <c r="H5584" s="1">
        <v>10.317096750096159</v>
      </c>
      <c r="I5584" s="1">
        <v>29.054962021186142</v>
      </c>
      <c r="J5584" s="1">
        <v>3.1034792280295154E-2</v>
      </c>
      <c r="K5584" s="1">
        <v>2.0136390406289379</v>
      </c>
      <c r="L5584" s="1">
        <v>2.6767821015483846</v>
      </c>
      <c r="M5584" s="1">
        <v>0.17070221367220856</v>
      </c>
      <c r="N5584" s="1">
        <v>1.5150719300037927</v>
      </c>
      <c r="O5584" s="1">
        <v>0.13791360000000003</v>
      </c>
      <c r="P5584" s="1">
        <v>9.6405144704507464E-2</v>
      </c>
      <c r="Q5584" s="1">
        <v>3.4373379660172021</v>
      </c>
      <c r="R5584" s="2">
        <f t="shared" si="351"/>
        <v>112.32375988321775</v>
      </c>
      <c r="S5584" s="2">
        <f t="shared" si="350"/>
        <v>2.1410789776137404</v>
      </c>
      <c r="T5584" s="2">
        <f t="shared" si="352"/>
        <v>4.5004698452243863</v>
      </c>
      <c r="U5584" s="2">
        <f t="shared" si="353"/>
        <v>118.96530870605588</v>
      </c>
    </row>
    <row r="5585" spans="1:21" x14ac:dyDescent="0.25">
      <c r="A5585">
        <v>5909101</v>
      </c>
      <c r="B5585">
        <v>43</v>
      </c>
      <c r="C5585" s="1">
        <f>2.11309549908025*(10.3/7.3)</f>
        <v>2.9814909096611797</v>
      </c>
      <c r="D5585" s="1">
        <f>4.66489339791969*(10.3/7.3)</f>
        <v>6.5819728765168248</v>
      </c>
      <c r="E5585" s="1">
        <f>15.8872930474366*(10.3/7.3)</f>
        <v>22.416317587478989</v>
      </c>
      <c r="F5585" s="1">
        <f>46.1476878829985*(38.9/42.5)</f>
        <v>42.238707262320958</v>
      </c>
      <c r="G5585" s="1">
        <v>2.4937839529504724</v>
      </c>
      <c r="H5585" s="1">
        <v>8.8829857579297578</v>
      </c>
      <c r="I5585" s="1">
        <v>32.880834567758384</v>
      </c>
      <c r="J5585" s="1">
        <v>3.2105066418685636E-2</v>
      </c>
      <c r="K5585" s="1">
        <v>1.988810377354798</v>
      </c>
      <c r="L5585" s="1">
        <v>2.6769816970818656</v>
      </c>
      <c r="M5585" s="1">
        <v>0.16626350018269934</v>
      </c>
      <c r="N5585" s="1">
        <v>1.5330246775708225</v>
      </c>
      <c r="O5585" s="1">
        <v>0.13397457364341084</v>
      </c>
      <c r="P5585" s="1">
        <v>9.4547240997967533E-2</v>
      </c>
      <c r="Q5585" s="1">
        <v>3.9854994681856892</v>
      </c>
      <c r="R5585" s="2">
        <f t="shared" si="351"/>
        <v>122.46159238280225</v>
      </c>
      <c r="S5585" s="2">
        <f t="shared" si="350"/>
        <v>2.1154626847714515</v>
      </c>
      <c r="T5585" s="2">
        <f t="shared" si="352"/>
        <v>4.5102444484787991</v>
      </c>
      <c r="U5585" s="2">
        <f t="shared" si="353"/>
        <v>129.0872995160525</v>
      </c>
    </row>
    <row r="5586" spans="1:21" x14ac:dyDescent="0.25">
      <c r="A5586">
        <v>5909149</v>
      </c>
      <c r="B5586">
        <v>12</v>
      </c>
      <c r="C5586" s="1">
        <f>3.1744520818687*(10.3/7.3)</f>
        <v>4.4790214305818656</v>
      </c>
      <c r="D5586" s="1">
        <f>6.58933854685896*(10.3/7.3)</f>
        <v>9.2972858948831885</v>
      </c>
      <c r="E5586" s="1">
        <f>22.8286462092054*(10.3/7.3)</f>
        <v>32.21028163764602</v>
      </c>
      <c r="F5586" s="1">
        <f>48.3230465007499*(38.9/42.5)</f>
        <v>44.229800208921681</v>
      </c>
      <c r="G5586" s="1">
        <v>2.0555922454759163</v>
      </c>
      <c r="H5586" s="1">
        <v>7.3989467696203066</v>
      </c>
      <c r="I5586" s="1">
        <v>31.64311168780473</v>
      </c>
      <c r="J5586" s="1">
        <v>3.7273009004032361E-2</v>
      </c>
      <c r="K5586" s="1">
        <v>1.9669457261146874</v>
      </c>
      <c r="L5586" s="1">
        <v>2.0994164713278072</v>
      </c>
      <c r="M5586" s="1">
        <v>0.15175211654528087</v>
      </c>
      <c r="N5586" s="1">
        <v>1.8646072595319738</v>
      </c>
      <c r="O5586" s="1">
        <v>0.12538666666666667</v>
      </c>
      <c r="P5586" s="1">
        <v>9.0668904275277129E-2</v>
      </c>
      <c r="Q5586" s="1">
        <v>3.2851930863770384</v>
      </c>
      <c r="R5586" s="2">
        <f t="shared" si="351"/>
        <v>134.59923296131075</v>
      </c>
      <c r="S5586" s="2">
        <f t="shared" si="350"/>
        <v>2.0948876393939972</v>
      </c>
      <c r="T5586" s="2">
        <f t="shared" si="352"/>
        <v>4.2411625140717284</v>
      </c>
      <c r="U5586" s="2">
        <f t="shared" si="353"/>
        <v>140.93528311477647</v>
      </c>
    </row>
    <row r="5587" spans="1:21" x14ac:dyDescent="0.25">
      <c r="A5587">
        <v>5909253</v>
      </c>
      <c r="B5587">
        <v>1</v>
      </c>
      <c r="C5587" s="1">
        <f>3.94547863779403*(10.3/7.3)</f>
        <v>5.5669082149696534</v>
      </c>
      <c r="D5587" s="1">
        <f>5.26702112982917*(10.3/7.3)</f>
        <v>7.4315503612658196</v>
      </c>
      <c r="E5587" s="1">
        <f>18.4719285493378*(10.3/7.3)</f>
        <v>26.063132062764225</v>
      </c>
      <c r="F5587" s="1">
        <f>41.9169014347494*(38.9/42.5)</f>
        <v>38.366293313217717</v>
      </c>
      <c r="G5587" s="1">
        <v>1.7961173130543804</v>
      </c>
      <c r="H5587" s="1">
        <v>5.4988237871678756</v>
      </c>
      <c r="I5587" s="1">
        <v>31.361899838852501</v>
      </c>
      <c r="J5587" s="1">
        <v>3.573626204329311E-2</v>
      </c>
      <c r="K5587" s="1">
        <v>1.9330316580616067</v>
      </c>
      <c r="L5587" s="1">
        <v>1.9032404210846379</v>
      </c>
      <c r="M5587" s="1">
        <v>0.12460042177912165</v>
      </c>
      <c r="N5587" s="1">
        <v>1.4246723234117065</v>
      </c>
      <c r="O5587" s="1">
        <v>0.10623999999999999</v>
      </c>
      <c r="P5587" s="1">
        <v>8.0429849587262653E-2</v>
      </c>
      <c r="Q5587" s="1">
        <v>2.8705071213197892</v>
      </c>
      <c r="R5587" s="2">
        <f t="shared" si="351"/>
        <v>118.95523201261197</v>
      </c>
      <c r="S5587" s="2">
        <f t="shared" si="350"/>
        <v>2.0491977696921624</v>
      </c>
      <c r="T5587" s="2">
        <f t="shared" si="352"/>
        <v>3.5587531662754661</v>
      </c>
      <c r="U5587" s="2">
        <f t="shared" si="353"/>
        <v>124.56318294857959</v>
      </c>
    </row>
    <row r="5588" spans="1:21" x14ac:dyDescent="0.25">
      <c r="A5588">
        <v>5909261</v>
      </c>
      <c r="B5588">
        <v>5</v>
      </c>
      <c r="C5588" s="1">
        <f>6.26513012038159*(10.3/7.3)</f>
        <v>8.8398411287575858</v>
      </c>
      <c r="D5588" s="1">
        <f>8.41107278748424*(10.3/7.3)</f>
        <v>11.867678042614749</v>
      </c>
      <c r="E5588" s="1">
        <f>29.4958512582297*(10.3/7.3)</f>
        <v>41.617433967091159</v>
      </c>
      <c r="F5588" s="1">
        <f>66.7047914971757*(38.9/42.5)</f>
        <v>61.054503276238471</v>
      </c>
      <c r="G5588" s="1">
        <v>2.8514703531501322</v>
      </c>
      <c r="H5588" s="1">
        <v>7.1528377351223424</v>
      </c>
      <c r="I5588" s="1">
        <v>49.793756743057529</v>
      </c>
      <c r="J5588" s="1">
        <v>3.4901199543872538E-2</v>
      </c>
      <c r="K5588" s="1">
        <v>2.1780683967948251</v>
      </c>
      <c r="L5588" s="1">
        <v>2.3277518809442226</v>
      </c>
      <c r="M5588" s="1">
        <v>0.14294194624688872</v>
      </c>
      <c r="N5588" s="1">
        <v>1.5305827932922131</v>
      </c>
      <c r="O5588" s="1">
        <v>0.12664533333333333</v>
      </c>
      <c r="P5588" s="1">
        <v>9.2497791678022426E-2</v>
      </c>
      <c r="Q5588" s="1">
        <v>4.557144400011631</v>
      </c>
      <c r="R5588" s="2">
        <f t="shared" si="351"/>
        <v>187.7346656460436</v>
      </c>
      <c r="S5588" s="2">
        <f t="shared" si="350"/>
        <v>2.3054673880167202</v>
      </c>
      <c r="T5588" s="2">
        <f t="shared" si="352"/>
        <v>4.1279219538166574</v>
      </c>
      <c r="U5588" s="2">
        <f t="shared" si="353"/>
        <v>194.16805498787699</v>
      </c>
    </row>
    <row r="5589" spans="1:21" x14ac:dyDescent="0.25">
      <c r="A5589">
        <v>5909269</v>
      </c>
      <c r="B5589">
        <v>19</v>
      </c>
      <c r="C5589" s="1">
        <f>8.45866983931199*(10.3/7.3)</f>
        <v>11.934835526700482</v>
      </c>
      <c r="D5589" s="1">
        <f>11.9661508083178*(10.3/7.3)</f>
        <v>16.883747030914179</v>
      </c>
      <c r="E5589" s="1">
        <f>41.8355569026839*(10.3/7.3)</f>
        <v>59.028251520225169</v>
      </c>
      <c r="F5589" s="1">
        <f>96.4904134681859*(38.9/42.5)</f>
        <v>88.317107856763059</v>
      </c>
      <c r="G5589" s="1">
        <v>4.2354395621487972</v>
      </c>
      <c r="H5589" s="1">
        <v>8.824142136293057</v>
      </c>
      <c r="I5589" s="1">
        <v>71.276452941610245</v>
      </c>
      <c r="J5589" s="1">
        <v>4.263973122977386E-2</v>
      </c>
      <c r="K5589" s="1">
        <v>2.5536325627813428</v>
      </c>
      <c r="L5589" s="1">
        <v>2.8660014027902263</v>
      </c>
      <c r="M5589" s="1">
        <v>0.16748200627384097</v>
      </c>
      <c r="N5589" s="1">
        <v>1.808200226416443</v>
      </c>
      <c r="O5589" s="1">
        <v>0.14906666666666668</v>
      </c>
      <c r="P5589" s="1">
        <v>0.10661220507027701</v>
      </c>
      <c r="Q5589" s="1">
        <v>6.7689673367674921</v>
      </c>
      <c r="R5589" s="2">
        <f t="shared" si="351"/>
        <v>267.26894391142247</v>
      </c>
      <c r="S5589" s="2">
        <f t="shared" si="350"/>
        <v>2.7028844990813936</v>
      </c>
      <c r="T5589" s="2">
        <f t="shared" si="352"/>
        <v>4.9907503021471769</v>
      </c>
      <c r="U5589" s="2">
        <f t="shared" si="353"/>
        <v>274.96257871265107</v>
      </c>
    </row>
    <row r="5590" spans="1:21" x14ac:dyDescent="0.25">
      <c r="A5590">
        <v>5909285</v>
      </c>
      <c r="B5590">
        <v>9</v>
      </c>
      <c r="C5590" s="1">
        <f>6.10979631574403*(10.3/7.3)</f>
        <v>8.6206715139950028</v>
      </c>
      <c r="D5590" s="1">
        <f>9.07370940497806*(10.3/7.3)</f>
        <v>12.802631078256722</v>
      </c>
      <c r="E5590" s="1">
        <f>31.6131792139046*(10.3/7.3)</f>
        <v>44.604896699070871</v>
      </c>
      <c r="F5590" s="1">
        <f>75.4343686508516*(38.9/42.5)</f>
        <v>69.044633894544205</v>
      </c>
      <c r="G5590" s="1">
        <v>3.434630279377187</v>
      </c>
      <c r="H5590" s="1">
        <v>8.9818227406634694</v>
      </c>
      <c r="I5590" s="1">
        <v>55.424704942780913</v>
      </c>
      <c r="J5590" s="1">
        <v>3.418324946815119E-2</v>
      </c>
      <c r="K5590" s="1">
        <v>2.1336279779594438</v>
      </c>
      <c r="L5590" s="1">
        <v>2.3057079192487424</v>
      </c>
      <c r="M5590" s="1">
        <v>0.13729015346059212</v>
      </c>
      <c r="N5590" s="1">
        <v>1.4980998711796298</v>
      </c>
      <c r="O5590" s="1">
        <v>0.12357925925925925</v>
      </c>
      <c r="P5590" s="1">
        <v>9.0682223567734282E-2</v>
      </c>
      <c r="Q5590" s="1">
        <v>5.4891351496895737</v>
      </c>
      <c r="R5590" s="2">
        <f t="shared" si="351"/>
        <v>208.40312629837791</v>
      </c>
      <c r="S5590" s="2">
        <f t="shared" si="350"/>
        <v>2.2584934509953292</v>
      </c>
      <c r="T5590" s="2">
        <f t="shared" si="352"/>
        <v>4.0646772031482232</v>
      </c>
      <c r="U5590" s="2">
        <f t="shared" si="353"/>
        <v>214.72629695252147</v>
      </c>
    </row>
    <row r="5591" spans="1:21" x14ac:dyDescent="0.25">
      <c r="A5591">
        <v>5920817</v>
      </c>
      <c r="B5591">
        <v>66</v>
      </c>
      <c r="C5591" s="1">
        <f>0.561784558714831*(10.3/7.3)</f>
        <v>0.79265492530996706</v>
      </c>
      <c r="D5591" s="1">
        <f>0.945875256224392*(10.3/7.3)</f>
        <v>1.3345911149467455</v>
      </c>
      <c r="E5591" s="1">
        <f>3.24574927270909*(10.3/7.3)</f>
        <v>4.5796188368361079</v>
      </c>
      <c r="F5591" s="1">
        <f>9.51757889627987*(38.9/42.5)</f>
        <v>8.7113839780067526</v>
      </c>
      <c r="G5591" s="1">
        <v>0.50714742132837765</v>
      </c>
      <c r="H5591" s="1">
        <v>1.8854142573780002</v>
      </c>
      <c r="I5591" s="1">
        <v>7.105264343559651</v>
      </c>
      <c r="J5591" s="1">
        <v>3.2597448500339854E-2</v>
      </c>
      <c r="K5591" s="1">
        <v>6.8225725122918339</v>
      </c>
      <c r="L5591" s="1">
        <v>1.820998300281691</v>
      </c>
      <c r="M5591" s="1">
        <v>0.62030084978478217</v>
      </c>
      <c r="N5591" s="1">
        <v>1.1260884883721913</v>
      </c>
      <c r="O5591" s="1">
        <v>0.59923393939393921</v>
      </c>
      <c r="P5591" s="1">
        <v>0.1256657328780503</v>
      </c>
      <c r="Q5591" s="1">
        <v>0.81050957746544405</v>
      </c>
      <c r="R5591" s="2">
        <f t="shared" si="351"/>
        <v>25.726584454831048</v>
      </c>
      <c r="S5591" s="2">
        <f t="shared" si="350"/>
        <v>6.9808356936702243</v>
      </c>
      <c r="T5591" s="2">
        <f t="shared" si="352"/>
        <v>4.1666215778326032</v>
      </c>
      <c r="U5591" s="2">
        <f t="shared" si="353"/>
        <v>36.874041726333871</v>
      </c>
    </row>
    <row r="5592" spans="1:21" x14ac:dyDescent="0.25">
      <c r="A5592">
        <v>5920825</v>
      </c>
      <c r="B5592">
        <v>68</v>
      </c>
      <c r="C5592" s="1">
        <f>0.866395967126065*(10.3/7.3)</f>
        <v>1.2224491043011607</v>
      </c>
      <c r="D5592" s="1">
        <f>1.58056709756123*(10.3/7.3)</f>
        <v>2.2301152198466618</v>
      </c>
      <c r="E5592" s="1">
        <f>5.38283788601893*(10.3/7.3)</f>
        <v>7.5949630446568506</v>
      </c>
      <c r="F5592" s="1">
        <f>17.155578372911*(38.9/42.5)</f>
        <v>15.70239996955852</v>
      </c>
      <c r="G5592" s="1">
        <v>0.96170980243397708</v>
      </c>
      <c r="H5592" s="1">
        <v>3.0975120001581455</v>
      </c>
      <c r="I5592" s="1">
        <v>12.843440145945278</v>
      </c>
      <c r="J5592" s="1">
        <v>5.0269234911766013E-2</v>
      </c>
      <c r="K5592" s="1">
        <v>9.9727958496066034</v>
      </c>
      <c r="L5592" s="1">
        <v>2.7102834477595716</v>
      </c>
      <c r="M5592" s="1">
        <v>0.93546909759053865</v>
      </c>
      <c r="N5592" s="1">
        <v>1.5718302995528539</v>
      </c>
      <c r="O5592" s="1">
        <v>0.83937803921568632</v>
      </c>
      <c r="P5592" s="1">
        <v>0.15348644753669022</v>
      </c>
      <c r="Q5592" s="1">
        <v>1.5369791363100109</v>
      </c>
      <c r="R5592" s="2">
        <f t="shared" si="351"/>
        <v>45.189568423210602</v>
      </c>
      <c r="S5592" s="2">
        <f t="shared" si="350"/>
        <v>10.176551532055059</v>
      </c>
      <c r="T5592" s="2">
        <f t="shared" si="352"/>
        <v>6.0569608841186504</v>
      </c>
      <c r="U5592" s="2">
        <f t="shared" si="353"/>
        <v>61.423080839384312</v>
      </c>
    </row>
    <row r="5593" spans="1:21" x14ac:dyDescent="0.25">
      <c r="A5593">
        <v>5920833</v>
      </c>
      <c r="B5593">
        <v>51</v>
      </c>
      <c r="C5593" s="1">
        <f>0.963280449121159*(10.3/7.3)</f>
        <v>1.3591491268421827</v>
      </c>
      <c r="D5593" s="1">
        <f>1.866563842616*(10.3/7.3)</f>
        <v>2.6336448738280565</v>
      </c>
      <c r="E5593" s="1">
        <f>6.31579971899489*(10.3/7.3)</f>
        <v>8.9113338500886741</v>
      </c>
      <c r="F5593" s="1">
        <f>21.6464250209492*(38.9/42.5)</f>
        <v>19.812845489762882</v>
      </c>
      <c r="G5593" s="1">
        <v>1.2604441641652651</v>
      </c>
      <c r="H5593" s="1">
        <v>3.9680817090861247</v>
      </c>
      <c r="I5593" s="1">
        <v>16.287164269744217</v>
      </c>
      <c r="J5593" s="1">
        <v>6.3492971420952879E-2</v>
      </c>
      <c r="K5593" s="1">
        <v>11.021439186603812</v>
      </c>
      <c r="L5593" s="1">
        <v>3.1703124048645748</v>
      </c>
      <c r="M5593" s="1">
        <v>1.1322773508524602</v>
      </c>
      <c r="N5593" s="1">
        <v>2.0843690077304782</v>
      </c>
      <c r="O5593" s="1">
        <v>0.96498823529411759</v>
      </c>
      <c r="P5593" s="1">
        <v>0.16395865157032982</v>
      </c>
      <c r="Q5593" s="1">
        <v>2.0144084815426639</v>
      </c>
      <c r="R5593" s="2">
        <f t="shared" si="351"/>
        <v>56.247071965060073</v>
      </c>
      <c r="S5593" s="2">
        <f t="shared" si="350"/>
        <v>11.248890809595094</v>
      </c>
      <c r="T5593" s="2">
        <f t="shared" si="352"/>
        <v>7.3519469987416306</v>
      </c>
      <c r="U5593" s="2">
        <f t="shared" si="353"/>
        <v>74.847909773396793</v>
      </c>
    </row>
    <row r="5594" spans="1:21" x14ac:dyDescent="0.25">
      <c r="A5594">
        <v>5921313</v>
      </c>
      <c r="B5594">
        <v>14</v>
      </c>
      <c r="C5594" s="1">
        <f>2.29751783789745*(10.3/7.3)</f>
        <v>3.241703250732018</v>
      </c>
      <c r="D5594" s="1">
        <f>5.33422038734663*(10.3/7.3)</f>
        <v>7.5263657520096237</v>
      </c>
      <c r="E5594" s="1">
        <f>18.1058080344936*(10.3/7.3)</f>
        <v>25.546551062367627</v>
      </c>
      <c r="F5594" s="1">
        <f>54.5316898540614*(38.9/42.5)</f>
        <v>49.912534948776212</v>
      </c>
      <c r="G5594" s="1">
        <v>3.0140681723759464</v>
      </c>
      <c r="H5594" s="1">
        <v>10.536732987759722</v>
      </c>
      <c r="I5594" s="1">
        <v>38.928227379600528</v>
      </c>
      <c r="J5594" s="1">
        <v>3.2929079671910493E-2</v>
      </c>
      <c r="K5594" s="1">
        <v>2.0661586394877314</v>
      </c>
      <c r="L5594" s="1">
        <v>2.866212627619896</v>
      </c>
      <c r="M5594" s="1">
        <v>0.17890906952411045</v>
      </c>
      <c r="N5594" s="1">
        <v>1.4923615257308431</v>
      </c>
      <c r="O5594" s="1">
        <v>0.14493714285714288</v>
      </c>
      <c r="P5594" s="1">
        <v>9.8488771934006666E-2</v>
      </c>
      <c r="Q5594" s="1">
        <v>4.8170039284547119</v>
      </c>
      <c r="R5594" s="2">
        <f t="shared" si="351"/>
        <v>143.52318748207637</v>
      </c>
      <c r="S5594" s="2">
        <f t="shared" si="350"/>
        <v>2.1975764910936486</v>
      </c>
      <c r="T5594" s="2">
        <f t="shared" si="352"/>
        <v>4.6824203657319918</v>
      </c>
      <c r="U5594" s="2">
        <f t="shared" si="353"/>
        <v>150.40318433890201</v>
      </c>
    </row>
    <row r="5595" spans="1:21" x14ac:dyDescent="0.25">
      <c r="A5595">
        <v>5921321</v>
      </c>
      <c r="B5595">
        <v>16</v>
      </c>
      <c r="C5595" s="1">
        <f>1.89400200734756*(10.3/7.3)</f>
        <v>2.6723589966684718</v>
      </c>
      <c r="D5595" s="1">
        <f>4.03911185281315*(10.3/7.3)</f>
        <v>5.6990208334212982</v>
      </c>
      <c r="E5595" s="1">
        <f>13.788360012965*(10.3/7.3)</f>
        <v>19.454809333361531</v>
      </c>
      <c r="F5595" s="1">
        <f>39.0392496374437*(38.9/42.5)</f>
        <v>35.732395550507277</v>
      </c>
      <c r="G5595" s="1">
        <v>2.0744135663838184</v>
      </c>
      <c r="H5595" s="1">
        <v>8.6861765184133954</v>
      </c>
      <c r="I5595" s="1">
        <v>27.783168983471366</v>
      </c>
      <c r="J5595" s="1">
        <v>3.0222218760787838E-2</v>
      </c>
      <c r="K5595" s="1">
        <v>1.9970840502412317</v>
      </c>
      <c r="L5595" s="1">
        <v>2.6972111510559662</v>
      </c>
      <c r="M5595" s="1">
        <v>0.17051924464987073</v>
      </c>
      <c r="N5595" s="1">
        <v>1.4999464378530794</v>
      </c>
      <c r="O5595" s="1">
        <v>0.13706333333333334</v>
      </c>
      <c r="P5595" s="1">
        <v>9.5970749001865543E-2</v>
      </c>
      <c r="Q5595" s="1">
        <v>3.3152728229878416</v>
      </c>
      <c r="R5595" s="2">
        <f t="shared" si="351"/>
        <v>105.417616605215</v>
      </c>
      <c r="S5595" s="2">
        <f t="shared" si="350"/>
        <v>2.1232770180038854</v>
      </c>
      <c r="T5595" s="2">
        <f t="shared" si="352"/>
        <v>4.5047401668922502</v>
      </c>
      <c r="U5595" s="2">
        <f t="shared" si="353"/>
        <v>112.04563379011114</v>
      </c>
    </row>
    <row r="5596" spans="1:21" x14ac:dyDescent="0.25">
      <c r="A5596">
        <v>5921329</v>
      </c>
      <c r="B5596">
        <v>51</v>
      </c>
      <c r="C5596" s="1">
        <f>2.24170343311107*(10.3/7.3)</f>
        <v>3.162951419321097</v>
      </c>
      <c r="D5596" s="1">
        <f>4.83886307578711*(10.3/7.3)</f>
        <v>6.8274369425489416</v>
      </c>
      <c r="E5596" s="1">
        <f>16.5083769718921*(10.3/7.3)</f>
        <v>23.292641480888896</v>
      </c>
      <c r="F5596" s="1">
        <f>46.9839099120587*(38.9/42.5)</f>
        <v>43.004096366566657</v>
      </c>
      <c r="G5596" s="1">
        <v>2.5061363258483484</v>
      </c>
      <c r="H5596" s="1">
        <v>11.296342770890979</v>
      </c>
      <c r="I5596" s="1">
        <v>33.41807497589339</v>
      </c>
      <c r="J5596" s="1">
        <v>3.3886058804998564E-2</v>
      </c>
      <c r="K5596" s="1">
        <v>2.1164606828818893</v>
      </c>
      <c r="L5596" s="1">
        <v>2.8684437221509036</v>
      </c>
      <c r="M5596" s="1">
        <v>0.17802113199651876</v>
      </c>
      <c r="N5596" s="1">
        <v>1.6306295406594655</v>
      </c>
      <c r="O5596" s="1">
        <v>0.14519006535947707</v>
      </c>
      <c r="P5596" s="1">
        <v>9.9990710806019539E-2</v>
      </c>
      <c r="Q5596" s="1">
        <v>4.0052407034106086</v>
      </c>
      <c r="R5596" s="2">
        <f t="shared" si="351"/>
        <v>127.51292098536891</v>
      </c>
      <c r="S5596" s="2">
        <f t="shared" si="350"/>
        <v>2.2503374524929072</v>
      </c>
      <c r="T5596" s="2">
        <f t="shared" si="352"/>
        <v>4.8222844601663652</v>
      </c>
      <c r="U5596" s="2">
        <f t="shared" si="353"/>
        <v>134.58554289802819</v>
      </c>
    </row>
    <row r="5597" spans="1:21" x14ac:dyDescent="0.25">
      <c r="A5597">
        <v>5921385</v>
      </c>
      <c r="B5597">
        <v>7</v>
      </c>
      <c r="C5597" s="1">
        <f>3.78405665839595*(10.3/7.3)</f>
        <v>5.3391484358189381</v>
      </c>
      <c r="D5597" s="1">
        <f>6.87351910910821*(10.3/7.3)</f>
        <v>9.6982529895636418</v>
      </c>
      <c r="E5597" s="1">
        <f>23.8232810568658*(10.3/7.3)</f>
        <v>33.613670532290136</v>
      </c>
      <c r="F5597" s="1">
        <f>54.6745623862608*(38.9/42.5)</f>
        <v>50.043305337071679</v>
      </c>
      <c r="G5597" s="1">
        <v>2.4674770870071185</v>
      </c>
      <c r="H5597" s="1">
        <v>7.8429859479423829</v>
      </c>
      <c r="I5597" s="1">
        <v>37.89965386836014</v>
      </c>
      <c r="J5597" s="1">
        <v>3.62090761762403E-2</v>
      </c>
      <c r="K5597" s="1">
        <v>2.0182197043655328</v>
      </c>
      <c r="L5597" s="1">
        <v>2.1699647684655292</v>
      </c>
      <c r="M5597" s="1">
        <v>0.15453642055199879</v>
      </c>
      <c r="N5597" s="1">
        <v>2.4556389373793794</v>
      </c>
      <c r="O5597" s="1">
        <v>0.12992761904761904</v>
      </c>
      <c r="P5597" s="1">
        <v>9.2438049731142655E-2</v>
      </c>
      <c r="Q5597" s="1">
        <v>3.9434565317465404</v>
      </c>
      <c r="R5597" s="2">
        <f t="shared" si="351"/>
        <v>150.84795072980057</v>
      </c>
      <c r="S5597" s="2">
        <f t="shared" si="350"/>
        <v>2.1468668302729159</v>
      </c>
      <c r="T5597" s="2">
        <f t="shared" si="352"/>
        <v>4.9100677454445263</v>
      </c>
      <c r="U5597" s="2">
        <f t="shared" si="353"/>
        <v>157.90488530551804</v>
      </c>
    </row>
    <row r="5598" spans="1:21" x14ac:dyDescent="0.25">
      <c r="A5598">
        <v>5921497</v>
      </c>
      <c r="B5598">
        <v>10</v>
      </c>
      <c r="C5598" s="1">
        <f>5.11804971690422*(10.3/7.3)</f>
        <v>7.2213578197415753</v>
      </c>
      <c r="D5598" s="1">
        <f>6.97949663926034*(10.3/7.3)</f>
        <v>9.8477829293673356</v>
      </c>
      <c r="E5598" s="1">
        <f>24.4463419521195*(10.3/7.3)</f>
        <v>34.492783850250866</v>
      </c>
      <c r="F5598" s="1">
        <f>55.9579933051224*(38.9/42.5)</f>
        <v>51.218022107512056</v>
      </c>
      <c r="G5598" s="1">
        <v>2.4257240270927971</v>
      </c>
      <c r="H5598" s="1">
        <v>7.7302646190650162</v>
      </c>
      <c r="I5598" s="1">
        <v>41.688483514576575</v>
      </c>
      <c r="J5598" s="1">
        <v>3.0733524813532653E-2</v>
      </c>
      <c r="K5598" s="1">
        <v>1.9699169723746621</v>
      </c>
      <c r="L5598" s="1">
        <v>2.0590522614474538</v>
      </c>
      <c r="M5598" s="1">
        <v>0.12889364040394158</v>
      </c>
      <c r="N5598" s="1">
        <v>1.3866023971570516</v>
      </c>
      <c r="O5598" s="1">
        <v>0.11392533333333332</v>
      </c>
      <c r="P5598" s="1">
        <v>8.4950996622233599E-2</v>
      </c>
      <c r="Q5598" s="1">
        <v>3.8767278971802739</v>
      </c>
      <c r="R5598" s="2">
        <f t="shared" si="351"/>
        <v>158.50114676478648</v>
      </c>
      <c r="S5598" s="2">
        <f t="shared" si="350"/>
        <v>2.0856014938104286</v>
      </c>
      <c r="T5598" s="2">
        <f t="shared" si="352"/>
        <v>3.6884736323417804</v>
      </c>
      <c r="U5598" s="2">
        <f t="shared" si="353"/>
        <v>164.2752218909387</v>
      </c>
    </row>
    <row r="5599" spans="1:21" x14ac:dyDescent="0.25">
      <c r="A5599">
        <v>5921505</v>
      </c>
      <c r="B5599">
        <v>8</v>
      </c>
      <c r="C5599" s="1">
        <f>7.92401549554938*(10.3/7.3)</f>
        <v>11.180460219747756</v>
      </c>
      <c r="D5599" s="1">
        <f>11.4975638583509*(10.3/7.3)</f>
        <v>16.222590101508761</v>
      </c>
      <c r="E5599" s="1">
        <f>40.1024446068618*(10.3/7.3)</f>
        <v>56.582901294613201</v>
      </c>
      <c r="F5599" s="1">
        <f>95.2628578717115*(38.9/42.5)</f>
        <v>87.193533440225323</v>
      </c>
      <c r="G5599" s="1">
        <v>4.3076236455107964</v>
      </c>
      <c r="H5599" s="1">
        <v>10.727661036832014</v>
      </c>
      <c r="I5599" s="1">
        <v>70.340141240733644</v>
      </c>
      <c r="J5599" s="1">
        <v>4.0949037859035871E-2</v>
      </c>
      <c r="K5599" s="1">
        <v>2.4745591482693579</v>
      </c>
      <c r="L5599" s="1">
        <v>2.7546583393901072</v>
      </c>
      <c r="M5599" s="1">
        <v>0.16221989718049357</v>
      </c>
      <c r="N5599" s="1">
        <v>1.7490834940459563</v>
      </c>
      <c r="O5599" s="1">
        <v>0.14444000000000001</v>
      </c>
      <c r="P5599" s="1">
        <v>0.10368469881931675</v>
      </c>
      <c r="Q5599" s="1">
        <v>6.884330027072056</v>
      </c>
      <c r="R5599" s="2">
        <f t="shared" si="351"/>
        <v>263.43924100624355</v>
      </c>
      <c r="S5599" s="2">
        <f t="shared" si="350"/>
        <v>2.6191928849477106</v>
      </c>
      <c r="T5599" s="2">
        <f t="shared" si="352"/>
        <v>4.8104017306165572</v>
      </c>
      <c r="U5599" s="2">
        <f t="shared" si="353"/>
        <v>270.86883562180782</v>
      </c>
    </row>
    <row r="5600" spans="1:21" x14ac:dyDescent="0.25">
      <c r="A5600">
        <v>5921521</v>
      </c>
      <c r="B5600">
        <v>34</v>
      </c>
      <c r="C5600" s="1">
        <f>5.97742286231986*(10.3/7.3)</f>
        <v>8.4338980112184387</v>
      </c>
      <c r="D5600" s="1">
        <f>8.92687025435501*(10.3/7.3)</f>
        <v>12.595447071213238</v>
      </c>
      <c r="E5600" s="1">
        <f>31.1006699840908*(10.3/7.3)</f>
        <v>43.881767237826807</v>
      </c>
      <c r="F5600" s="1">
        <f>73.920890736521*(38.9/42.5)</f>
        <v>67.659356462368635</v>
      </c>
      <c r="G5600" s="1">
        <v>3.3569746892048942</v>
      </c>
      <c r="H5600" s="1">
        <v>9.6383045061758672</v>
      </c>
      <c r="I5600" s="1">
        <v>54.189848350800972</v>
      </c>
      <c r="J5600" s="1">
        <v>3.3906942023489962E-2</v>
      </c>
      <c r="K5600" s="1">
        <v>2.1131957918588506</v>
      </c>
      <c r="L5600" s="1">
        <v>2.2725683983516944</v>
      </c>
      <c r="M5600" s="1">
        <v>0.13640320559760599</v>
      </c>
      <c r="N5600" s="1">
        <v>1.4992141523831568</v>
      </c>
      <c r="O5600" s="1">
        <v>0.12157019607843139</v>
      </c>
      <c r="P5600" s="1">
        <v>8.9569542238378624E-2</v>
      </c>
      <c r="Q5600" s="1">
        <v>5.3650280421082845</v>
      </c>
      <c r="R5600" s="2">
        <f t="shared" si="351"/>
        <v>205.12062437091714</v>
      </c>
      <c r="S5600" s="2">
        <f t="shared" si="350"/>
        <v>2.2366722761207192</v>
      </c>
      <c r="T5600" s="2">
        <f t="shared" si="352"/>
        <v>4.0297559524108886</v>
      </c>
      <c r="U5600" s="2">
        <f t="shared" si="353"/>
        <v>211.38705259944874</v>
      </c>
    </row>
    <row r="5601" spans="1:21" x14ac:dyDescent="0.25">
      <c r="A5601">
        <v>5933045</v>
      </c>
      <c r="B5601">
        <v>1</v>
      </c>
      <c r="C5601" s="1">
        <f>0.320067295914726*(10.3/7.3)</f>
        <v>0.45160180108516185</v>
      </c>
      <c r="D5601" s="1">
        <f>0.495718486027851*(10.3/7.3)</f>
        <v>0.69943841179272082</v>
      </c>
      <c r="E5601" s="1">
        <f>1.71332666837995*(10.3/7.3)</f>
        <v>2.4174335183991023</v>
      </c>
      <c r="F5601" s="1">
        <f>4.6508423687656*(38.9/42.5)</f>
        <v>4.2568886622348634</v>
      </c>
      <c r="G5601" s="1">
        <v>0.234439446178245</v>
      </c>
      <c r="H5601" s="1">
        <v>1.008397618147707</v>
      </c>
      <c r="I5601" s="1">
        <v>3.4758625238995977</v>
      </c>
      <c r="J5601" s="1">
        <v>2.6163594367008471E-2</v>
      </c>
      <c r="K5601" s="1">
        <v>4.6522400571988269</v>
      </c>
      <c r="L5601" s="1">
        <v>1.513212982801414</v>
      </c>
      <c r="M5601" s="1">
        <v>0.50630435574203703</v>
      </c>
      <c r="N5601" s="1">
        <v>0.91320905252070295</v>
      </c>
      <c r="O5601" s="1">
        <v>0.44917333333333331</v>
      </c>
      <c r="P5601" s="1">
        <v>0.10592086698374284</v>
      </c>
      <c r="Q5601" s="1">
        <v>0.37467491398349695</v>
      </c>
      <c r="R5601" s="2">
        <f t="shared" si="351"/>
        <v>12.918736895720897</v>
      </c>
      <c r="S5601" s="2">
        <f t="shared" si="350"/>
        <v>4.7843245185495782</v>
      </c>
      <c r="T5601" s="2">
        <f t="shared" si="352"/>
        <v>3.3818997243974875</v>
      </c>
      <c r="U5601" s="2">
        <f t="shared" si="353"/>
        <v>21.084961138667964</v>
      </c>
    </row>
    <row r="5602" spans="1:21" x14ac:dyDescent="0.25">
      <c r="A5602">
        <v>5933053</v>
      </c>
      <c r="B5602">
        <v>65</v>
      </c>
      <c r="C5602" s="1">
        <f>0.590464539742981*(10.3/7.3)</f>
        <v>0.83312119991132938</v>
      </c>
      <c r="D5602" s="1">
        <f>1.01430597675337*(10.3/7.3)</f>
        <v>1.4311440493917453</v>
      </c>
      <c r="E5602" s="1">
        <f>3.47393425598355*(10.3/7.3)</f>
        <v>4.9015784707713088</v>
      </c>
      <c r="F5602" s="1">
        <f>10.4072933698298*(38.9/42.5)</f>
        <v>9.5257344020324588</v>
      </c>
      <c r="G5602" s="1">
        <v>0.56223209382922001</v>
      </c>
      <c r="H5602" s="1">
        <v>2.0847262909284874</v>
      </c>
      <c r="I5602" s="1">
        <v>7.7745362394362116</v>
      </c>
      <c r="J5602" s="1">
        <v>3.4034672056590741E-2</v>
      </c>
      <c r="K5602" s="1">
        <v>6.9255052230083081</v>
      </c>
      <c r="L5602" s="1">
        <v>1.8675629744808611</v>
      </c>
      <c r="M5602" s="1">
        <v>0.63812744032682034</v>
      </c>
      <c r="N5602" s="1">
        <v>1.169885150959177</v>
      </c>
      <c r="O5602" s="1">
        <v>0.56093948717948705</v>
      </c>
      <c r="P5602" s="1">
        <v>0.12729619372933126</v>
      </c>
      <c r="Q5602" s="1">
        <v>0.89854444219281815</v>
      </c>
      <c r="R5602" s="2">
        <f t="shared" si="351"/>
        <v>28.011617188493577</v>
      </c>
      <c r="S5602" s="2">
        <f t="shared" si="350"/>
        <v>7.0868360887942305</v>
      </c>
      <c r="T5602" s="2">
        <f t="shared" si="352"/>
        <v>4.2365150529463458</v>
      </c>
      <c r="U5602" s="2">
        <f t="shared" si="353"/>
        <v>39.334968330234155</v>
      </c>
    </row>
    <row r="5603" spans="1:21" x14ac:dyDescent="0.25">
      <c r="A5603">
        <v>5933061</v>
      </c>
      <c r="B5603">
        <v>63</v>
      </c>
      <c r="C5603" s="1">
        <f>1.00579428764341*(10.3/7.3)</f>
        <v>1.4191344058530373</v>
      </c>
      <c r="D5603" s="1">
        <f>1.90625293069053*(10.3/7.3)</f>
        <v>2.6896445460428033</v>
      </c>
      <c r="E5603" s="1">
        <f>6.46798779442271*(10.3/7.3)</f>
        <v>9.1260649702128624</v>
      </c>
      <c r="F5603" s="1">
        <f>21.4610381845478*(38.9/42.5)</f>
        <v>19.643162008915521</v>
      </c>
      <c r="G5603" s="1">
        <v>1.2297124285730057</v>
      </c>
      <c r="H5603" s="1">
        <v>3.7273644624014453</v>
      </c>
      <c r="I5603" s="1">
        <v>16.099201433447998</v>
      </c>
      <c r="J5603" s="1">
        <v>6.0027323856997057E-2</v>
      </c>
      <c r="K5603" s="1">
        <v>10.537394513020406</v>
      </c>
      <c r="L5603" s="1">
        <v>3.1504372459431003</v>
      </c>
      <c r="M5603" s="1">
        <v>1.0969799984695345</v>
      </c>
      <c r="N5603" s="1">
        <v>1.8070389351772356</v>
      </c>
      <c r="O5603" s="1">
        <v>0.92936296296296295</v>
      </c>
      <c r="P5603" s="1">
        <v>0.16543603257189068</v>
      </c>
      <c r="Q5603" s="1">
        <v>1.9652938356189606</v>
      </c>
      <c r="R5603" s="2">
        <f t="shared" si="351"/>
        <v>55.899578091065628</v>
      </c>
      <c r="S5603" s="2">
        <f t="shared" si="350"/>
        <v>10.762857869449295</v>
      </c>
      <c r="T5603" s="2">
        <f t="shared" si="352"/>
        <v>6.9838191425528331</v>
      </c>
      <c r="U5603" s="2">
        <f t="shared" si="353"/>
        <v>73.646255103067759</v>
      </c>
    </row>
    <row r="5604" spans="1:21" x14ac:dyDescent="0.25">
      <c r="A5604">
        <v>5933069</v>
      </c>
      <c r="B5604">
        <v>14</v>
      </c>
      <c r="C5604" s="1">
        <f>0.721733203269278*(10.3/7.3)</f>
        <v>1.0183358895443244</v>
      </c>
      <c r="D5604" s="1">
        <f>1.58611879067336*(10.3/7.3)</f>
        <v>2.2379484306761137</v>
      </c>
      <c r="E5604" s="1">
        <f>5.29289086759318*(10.3/7.3)</f>
        <v>7.4680514981109214</v>
      </c>
      <c r="F5604" s="1">
        <f>21.0058408700052*(38.9/42.5)</f>
        <v>19.226522584545968</v>
      </c>
      <c r="G5604" s="1">
        <v>1.3044995571212035</v>
      </c>
      <c r="H5604" s="1">
        <v>3.9296267607931212</v>
      </c>
      <c r="I5604" s="1">
        <v>15.984316575044801</v>
      </c>
      <c r="J5604" s="1">
        <v>5.5062842813492142E-2</v>
      </c>
      <c r="K5604" s="1">
        <v>8.8388881969686608</v>
      </c>
      <c r="L5604" s="1">
        <v>2.5947840687410415</v>
      </c>
      <c r="M5604" s="1">
        <v>0.92270018354956562</v>
      </c>
      <c r="N5604" s="1">
        <v>2.3503421974881809</v>
      </c>
      <c r="O5604" s="1">
        <v>0.7713523809523809</v>
      </c>
      <c r="P5604" s="1">
        <v>0.14645307741713751</v>
      </c>
      <c r="Q5604" s="1">
        <v>2.0848166438010125</v>
      </c>
      <c r="R5604" s="2">
        <f t="shared" si="351"/>
        <v>53.254117939637467</v>
      </c>
      <c r="S5604" s="2">
        <f t="shared" si="350"/>
        <v>9.040404117199289</v>
      </c>
      <c r="T5604" s="2">
        <f t="shared" si="352"/>
        <v>6.6391788307311685</v>
      </c>
      <c r="U5604" s="2">
        <f t="shared" si="353"/>
        <v>68.933700887567923</v>
      </c>
    </row>
    <row r="5605" spans="1:21" x14ac:dyDescent="0.25">
      <c r="A5605">
        <v>5933541</v>
      </c>
      <c r="B5605">
        <v>21</v>
      </c>
      <c r="C5605" s="1">
        <f>1.93558438320898*(10.3/7.3)</f>
        <v>2.7310300201441793</v>
      </c>
      <c r="D5605" s="1">
        <f>4.09974591514167*(10.3/7.3)</f>
        <v>5.7845730035560621</v>
      </c>
      <c r="E5605" s="1">
        <f>14.0189920929268*(10.3/7.3)</f>
        <v>19.78022172015698</v>
      </c>
      <c r="F5605" s="1">
        <f>38.6115067815063*(38.9/42.5)</f>
        <v>35.34088503060223</v>
      </c>
      <c r="G5605" s="1">
        <v>2.0171959844313587</v>
      </c>
      <c r="H5605" s="1">
        <v>9.0848880302523973</v>
      </c>
      <c r="I5605" s="1">
        <v>27.314153085952459</v>
      </c>
      <c r="J5605" s="1">
        <v>3.0060875989352656E-2</v>
      </c>
      <c r="K5605" s="1">
        <v>1.9997794076204907</v>
      </c>
      <c r="L5605" s="1">
        <v>2.736318834898249</v>
      </c>
      <c r="M5605" s="1">
        <v>0.17318176469944191</v>
      </c>
      <c r="N5605" s="1">
        <v>1.4491037763441144</v>
      </c>
      <c r="O5605" s="1">
        <v>0.13849142857142857</v>
      </c>
      <c r="P5605" s="1">
        <v>9.5903306992468212E-2</v>
      </c>
      <c r="Q5605" s="1">
        <v>3.2238291988629051</v>
      </c>
      <c r="R5605" s="2">
        <f t="shared" si="351"/>
        <v>105.27677607395856</v>
      </c>
      <c r="S5605" s="2">
        <f t="shared" si="350"/>
        <v>2.1257435906023114</v>
      </c>
      <c r="T5605" s="2">
        <f t="shared" si="352"/>
        <v>4.4970958045132337</v>
      </c>
      <c r="U5605" s="2">
        <f t="shared" si="353"/>
        <v>111.89961546907411</v>
      </c>
    </row>
    <row r="5606" spans="1:21" x14ac:dyDescent="0.25">
      <c r="A5606">
        <v>5933557</v>
      </c>
      <c r="B5606">
        <v>15</v>
      </c>
      <c r="C5606" s="1">
        <f>2.04214830442224*(10.3/7.3)</f>
        <v>2.8813873336368605</v>
      </c>
      <c r="D5606" s="1">
        <f>4.27336693692639*(10.3/7.3)</f>
        <v>6.0295451301838137</v>
      </c>
      <c r="E5606" s="1">
        <f>14.6134012063272*(10.3/7.3)</f>
        <v>20.618908551393229</v>
      </c>
      <c r="F5606" s="1">
        <f>40.4594660507357*(38.9/42.5)</f>
        <v>37.032311279379286</v>
      </c>
      <c r="G5606" s="1">
        <v>2.1186459058286617</v>
      </c>
      <c r="H5606" s="1">
        <v>9.7225385275373846</v>
      </c>
      <c r="I5606" s="1">
        <v>28.717063370609143</v>
      </c>
      <c r="J5606" s="1">
        <v>3.0665350673166676E-2</v>
      </c>
      <c r="K5606" s="1">
        <v>1.9933516092424985</v>
      </c>
      <c r="L5606" s="1">
        <v>2.7500599049098153</v>
      </c>
      <c r="M5606" s="1">
        <v>0.1689226726502624</v>
      </c>
      <c r="N5606" s="1">
        <v>1.5321859050810138</v>
      </c>
      <c r="O5606" s="1">
        <v>0.13634133333333329</v>
      </c>
      <c r="P5606" s="1">
        <v>9.5456053995068776E-2</v>
      </c>
      <c r="Q5606" s="1">
        <v>3.3859637764385035</v>
      </c>
      <c r="R5606" s="2">
        <f t="shared" si="351"/>
        <v>110.50636387500687</v>
      </c>
      <c r="S5606" s="2">
        <f t="shared" si="350"/>
        <v>2.1194730139107341</v>
      </c>
      <c r="T5606" s="2">
        <f t="shared" si="352"/>
        <v>4.5875098159744248</v>
      </c>
      <c r="U5606" s="2">
        <f t="shared" si="353"/>
        <v>117.21334670489203</v>
      </c>
    </row>
    <row r="5607" spans="1:21" x14ac:dyDescent="0.25">
      <c r="A5607">
        <v>5933565</v>
      </c>
      <c r="B5607">
        <v>4</v>
      </c>
      <c r="C5607" s="1">
        <f>2.14579710893553*(10.3/7.3)</f>
        <v>3.0276315372651936</v>
      </c>
      <c r="D5607" s="1">
        <f>4.52674787347241*(10.3/7.3)</f>
        <v>6.3870552187350516</v>
      </c>
      <c r="E5607" s="1">
        <f>15.4538328446471*(10.3/7.3)</f>
        <v>21.804723054776016</v>
      </c>
      <c r="F5607" s="1">
        <f>43.9452502237018*(38.9/42.5)</f>
        <v>40.22282902828232</v>
      </c>
      <c r="G5607" s="1">
        <v>2.3392979520829229</v>
      </c>
      <c r="H5607" s="1">
        <v>10.237654366121498</v>
      </c>
      <c r="I5607" s="1">
        <v>31.36235837058085</v>
      </c>
      <c r="J5607" s="1">
        <v>3.1221493245612762E-2</v>
      </c>
      <c r="K5607" s="1">
        <v>1.9475777723239314</v>
      </c>
      <c r="L5607" s="1">
        <v>2.7447952538224278</v>
      </c>
      <c r="M5607" s="1">
        <v>0.16300738664683734</v>
      </c>
      <c r="N5607" s="1">
        <v>1.5296297667110013</v>
      </c>
      <c r="O5607" s="1">
        <v>0.13202666666666668</v>
      </c>
      <c r="P5607" s="1">
        <v>9.2951527744237178E-2</v>
      </c>
      <c r="Q5607" s="1">
        <v>3.7386040330092412</v>
      </c>
      <c r="R5607" s="2">
        <f t="shared" si="351"/>
        <v>119.12015356085308</v>
      </c>
      <c r="S5607" s="2">
        <f t="shared" si="350"/>
        <v>2.0717507933137811</v>
      </c>
      <c r="T5607" s="2">
        <f t="shared" si="352"/>
        <v>4.5694590738469332</v>
      </c>
      <c r="U5607" s="2">
        <f t="shared" si="353"/>
        <v>125.76136342801379</v>
      </c>
    </row>
    <row r="5608" spans="1:21" x14ac:dyDescent="0.25">
      <c r="A5608">
        <v>5933613</v>
      </c>
      <c r="B5608">
        <v>5</v>
      </c>
      <c r="C5608" s="1">
        <f>3.31458441588147*(10.3/7.3)</f>
        <v>4.676742395010848</v>
      </c>
      <c r="D5608" s="1">
        <f>5.42403255511065*(10.3/7.3)</f>
        <v>7.6530870298136628</v>
      </c>
      <c r="E5608" s="1">
        <f>18.713053472873*(10.3/7.3)</f>
        <v>26.40334942062908</v>
      </c>
      <c r="F5608" s="1">
        <f>50.6375892107338*(38.9/42.5)</f>
        <v>46.348287536412847</v>
      </c>
      <c r="G5608" s="1">
        <v>2.5609156528065684</v>
      </c>
      <c r="H5608" s="1">
        <v>6.8350681992236986</v>
      </c>
      <c r="I5608" s="1">
        <v>37.393067163567061</v>
      </c>
      <c r="J5608" s="1">
        <v>3.7913874211497577E-2</v>
      </c>
      <c r="K5608" s="1">
        <v>2.0202754307528612</v>
      </c>
      <c r="L5608" s="1">
        <v>2.1686060328577077</v>
      </c>
      <c r="M5608" s="1">
        <v>0.15800171747150821</v>
      </c>
      <c r="N5608" s="1">
        <v>3.0976201960462122</v>
      </c>
      <c r="O5608" s="1">
        <v>0.12981333333333334</v>
      </c>
      <c r="P5608" s="1">
        <v>9.280393920129841E-2</v>
      </c>
      <c r="Q5608" s="1">
        <v>4.0927875729785379</v>
      </c>
      <c r="R5608" s="2">
        <f t="shared" si="351"/>
        <v>135.96330497044232</v>
      </c>
      <c r="S5608" s="2">
        <f t="shared" si="350"/>
        <v>2.1509932441656572</v>
      </c>
      <c r="T5608" s="2">
        <f t="shared" si="352"/>
        <v>5.5540412797087608</v>
      </c>
      <c r="U5608" s="2">
        <f t="shared" si="353"/>
        <v>143.66833949431674</v>
      </c>
    </row>
    <row r="5609" spans="1:21" x14ac:dyDescent="0.25">
      <c r="A5609">
        <v>5933725</v>
      </c>
      <c r="B5609">
        <v>4</v>
      </c>
      <c r="C5609" s="1">
        <f>10.5646901743879*(10.3/7.3)</f>
        <v>14.906343670711694</v>
      </c>
      <c r="D5609" s="1">
        <f>13.5373313104284*(10.3/7.3)</f>
        <v>19.100618150330497</v>
      </c>
      <c r="E5609" s="1">
        <f>47.4756799955357*(10.3/7.3)</f>
        <v>66.986233418358651</v>
      </c>
      <c r="F5609" s="1">
        <f>112.049762417023*(38.9/42.5)</f>
        <v>102.55848842405146</v>
      </c>
      <c r="G5609" s="1">
        <v>4.9481744435355672</v>
      </c>
      <c r="H5609" s="1">
        <v>13.221362508425631</v>
      </c>
      <c r="I5609" s="1">
        <v>85.433852056225462</v>
      </c>
      <c r="J5609" s="1">
        <v>4.4233277567122892E-2</v>
      </c>
      <c r="K5609" s="1">
        <v>2.5631696999641802</v>
      </c>
      <c r="L5609" s="1">
        <v>2.8438749973844808</v>
      </c>
      <c r="M5609" s="1">
        <v>0.16673631010735518</v>
      </c>
      <c r="N5609" s="1">
        <v>1.9577646879830344</v>
      </c>
      <c r="O5609" s="1">
        <v>0.14886666666666665</v>
      </c>
      <c r="P5609" s="1">
        <v>0.10594252828336594</v>
      </c>
      <c r="Q5609" s="1">
        <v>7.9080413481162104</v>
      </c>
      <c r="R5609" s="2">
        <f t="shared" si="351"/>
        <v>315.06311401975523</v>
      </c>
      <c r="S5609" s="2">
        <f t="shared" si="350"/>
        <v>2.7133455058146692</v>
      </c>
      <c r="T5609" s="2">
        <f t="shared" si="352"/>
        <v>5.1172426621415372</v>
      </c>
      <c r="U5609" s="2">
        <f t="shared" si="353"/>
        <v>322.89370218771148</v>
      </c>
    </row>
    <row r="5610" spans="1:21" x14ac:dyDescent="0.25">
      <c r="A5610">
        <v>5933733</v>
      </c>
      <c r="B5610">
        <v>41</v>
      </c>
      <c r="C5610" s="1">
        <f>4.75259269811342*(10.3/7.3)</f>
        <v>6.7057129850093409</v>
      </c>
      <c r="D5610" s="1">
        <f>6.61824120147585*(10.3/7.3)</f>
        <v>9.3380663527672887</v>
      </c>
      <c r="E5610" s="1">
        <f>23.1732843791047*(10.3/7.3)</f>
        <v>32.696551932161391</v>
      </c>
      <c r="F5610" s="1">
        <f>52.4243080961368*(38.9/42.5)</f>
        <v>47.983660822111069</v>
      </c>
      <c r="G5610" s="1">
        <v>2.2546592537738324</v>
      </c>
      <c r="H5610" s="1">
        <v>6.8553210299549256</v>
      </c>
      <c r="I5610" s="1">
        <v>38.734221394392534</v>
      </c>
      <c r="J5610" s="1">
        <v>2.9345997184922239E-2</v>
      </c>
      <c r="K5610" s="1">
        <v>1.885427189505525</v>
      </c>
      <c r="L5610" s="1">
        <v>1.9579176058042467</v>
      </c>
      <c r="M5610" s="1">
        <v>0.12375751128604216</v>
      </c>
      <c r="N5610" s="1">
        <v>1.3375972860984187</v>
      </c>
      <c r="O5610" s="1">
        <v>0.10866211382113822</v>
      </c>
      <c r="P5610" s="1">
        <v>8.1729245228100239E-2</v>
      </c>
      <c r="Q5610" s="1">
        <v>3.6033367069444839</v>
      </c>
      <c r="R5610" s="2">
        <f t="shared" si="351"/>
        <v>148.17153047711486</v>
      </c>
      <c r="S5610" s="2">
        <f t="shared" si="350"/>
        <v>1.9965024319185474</v>
      </c>
      <c r="T5610" s="2">
        <f t="shared" si="352"/>
        <v>3.5279345170098457</v>
      </c>
      <c r="U5610" s="2">
        <f t="shared" si="353"/>
        <v>153.69596742604324</v>
      </c>
    </row>
    <row r="5611" spans="1:21" x14ac:dyDescent="0.25">
      <c r="A5611">
        <v>5933749</v>
      </c>
      <c r="B5611">
        <v>9</v>
      </c>
      <c r="C5611" s="1">
        <f>7.17456307915705*(10.3/7.3)</f>
        <v>10.12301365963255</v>
      </c>
      <c r="D5611" s="1">
        <f>10.753398999382*(10.3/7.3)</f>
        <v>15.17260406762113</v>
      </c>
      <c r="E5611" s="1">
        <f>37.4736051105437*(10.3/7.3)</f>
        <v>52.873716799808278</v>
      </c>
      <c r="F5611" s="1">
        <f>88.3285654494514*(38.9/42.5)</f>
        <v>80.846616376086075</v>
      </c>
      <c r="G5611" s="1">
        <v>3.9845764605214762</v>
      </c>
      <c r="H5611" s="1">
        <v>7.9337879076785116</v>
      </c>
      <c r="I5611" s="1">
        <v>64.573236277102552</v>
      </c>
      <c r="J5611" s="1">
        <v>3.793235572119568E-2</v>
      </c>
      <c r="K5611" s="1">
        <v>2.3159152632566422</v>
      </c>
      <c r="L5611" s="1">
        <v>2.5441996990797673</v>
      </c>
      <c r="M5611" s="1">
        <v>0.14997167831137984</v>
      </c>
      <c r="N5611" s="1">
        <v>1.6409541743022087</v>
      </c>
      <c r="O5611" s="1">
        <v>0.13484444444444443</v>
      </c>
      <c r="P5611" s="1">
        <v>9.7303199723311792E-2</v>
      </c>
      <c r="Q5611" s="1">
        <v>6.3680445716096701</v>
      </c>
      <c r="R5611" s="2">
        <f t="shared" si="351"/>
        <v>241.87559612006024</v>
      </c>
      <c r="S5611" s="2">
        <f t="shared" si="350"/>
        <v>2.4511508187011497</v>
      </c>
      <c r="T5611" s="2">
        <f t="shared" si="352"/>
        <v>4.4699699961377997</v>
      </c>
      <c r="U5611" s="2">
        <f t="shared" si="353"/>
        <v>248.79671693489917</v>
      </c>
    </row>
    <row r="5612" spans="1:21" x14ac:dyDescent="0.25">
      <c r="A5612">
        <v>5945281</v>
      </c>
      <c r="B5612">
        <v>61</v>
      </c>
      <c r="C5612" s="1">
        <f>0.522429568870172*(10.3/7.3)</f>
        <v>0.73712665196750238</v>
      </c>
      <c r="D5612" s="1">
        <f>0.875918733508683*(10.3/7.3)</f>
        <v>1.2358853363204705</v>
      </c>
      <c r="E5612" s="1">
        <f>3.00684847206391*(10.3/7.3)</f>
        <v>4.2425396249668852</v>
      </c>
      <c r="F5612" s="1">
        <f>8.77983702651598*(38.9/42.5)</f>
        <v>8.0361331842699233</v>
      </c>
      <c r="G5612" s="1">
        <v>0.46652895725430954</v>
      </c>
      <c r="H5612" s="1">
        <v>1.7574022097729443</v>
      </c>
      <c r="I5612" s="1">
        <v>6.5540600314715594</v>
      </c>
      <c r="J5612" s="1">
        <v>3.0710361094661291E-2</v>
      </c>
      <c r="K5612" s="1">
        <v>5.8646837708367698</v>
      </c>
      <c r="L5612" s="1">
        <v>1.7323434401616788</v>
      </c>
      <c r="M5612" s="1">
        <v>0.57645065829225717</v>
      </c>
      <c r="N5612" s="1">
        <v>1.0684327193947822</v>
      </c>
      <c r="O5612" s="1">
        <v>0.50698054644808754</v>
      </c>
      <c r="P5612" s="1">
        <v>0.12122373466170014</v>
      </c>
      <c r="Q5612" s="1">
        <v>0.7455942239224127</v>
      </c>
      <c r="R5612" s="2">
        <f t="shared" si="351"/>
        <v>23.775270219946005</v>
      </c>
      <c r="S5612" s="2">
        <f t="shared" si="350"/>
        <v>6.0166178665931307</v>
      </c>
      <c r="T5612" s="2">
        <f t="shared" si="352"/>
        <v>3.8842073642968056</v>
      </c>
      <c r="U5612" s="2">
        <f t="shared" si="353"/>
        <v>33.676095450835938</v>
      </c>
    </row>
    <row r="5613" spans="1:21" x14ac:dyDescent="0.25">
      <c r="A5613">
        <v>5945289</v>
      </c>
      <c r="B5613">
        <v>70</v>
      </c>
      <c r="C5613" s="1">
        <f>0.731218238153191*(10.3/7.3)</f>
        <v>1.031718883969571</v>
      </c>
      <c r="D5613" s="1">
        <f>1.32340618942074*(10.3/7.3)</f>
        <v>1.8672717467169391</v>
      </c>
      <c r="E5613" s="1">
        <f>4.51078698152041*(10.3/7.3)</f>
        <v>6.3645350561178331</v>
      </c>
      <c r="F5613" s="1">
        <f>14.2409982479161*(38.9/42.5)</f>
        <v>13.034701925739693</v>
      </c>
      <c r="G5613" s="1">
        <v>0.79410212093581467</v>
      </c>
      <c r="H5613" s="1">
        <v>2.6541578119229867</v>
      </c>
      <c r="I5613" s="1">
        <v>10.655200239412366</v>
      </c>
      <c r="J5613" s="1">
        <v>4.2690751766980957E-2</v>
      </c>
      <c r="K5613" s="1">
        <v>7.7306694881052422</v>
      </c>
      <c r="L5613" s="1">
        <v>2.3077047079199877</v>
      </c>
      <c r="M5613" s="1">
        <v>0.78264951286279272</v>
      </c>
      <c r="N5613" s="1">
        <v>1.3786929277352735</v>
      </c>
      <c r="O5613" s="1">
        <v>0.65867504761904749</v>
      </c>
      <c r="P5613" s="1">
        <v>0.13982356479322844</v>
      </c>
      <c r="Q5613" s="1">
        <v>1.2691129786645452</v>
      </c>
      <c r="R5613" s="2">
        <f t="shared" si="351"/>
        <v>37.670800763479747</v>
      </c>
      <c r="S5613" s="2">
        <f t="shared" si="350"/>
        <v>7.9131838046654508</v>
      </c>
      <c r="T5613" s="2">
        <f t="shared" si="352"/>
        <v>5.1277221961371016</v>
      </c>
      <c r="U5613" s="2">
        <f t="shared" si="353"/>
        <v>50.711706764282297</v>
      </c>
    </row>
    <row r="5614" spans="1:21" x14ac:dyDescent="0.25">
      <c r="A5614">
        <v>5945297</v>
      </c>
      <c r="B5614">
        <v>66</v>
      </c>
      <c r="C5614" s="1">
        <f>1.01012836919435*(10.3/7.3)</f>
        <v>1.4252496168084696</v>
      </c>
      <c r="D5614" s="1">
        <f>2.02320605313782*(10.3/7.3)</f>
        <v>2.8546605955232218</v>
      </c>
      <c r="E5614" s="1">
        <f>6.82518178385174*(10.3/7.3)</f>
        <v>9.6300510100921795</v>
      </c>
      <c r="F5614" s="1">
        <f>24.1214277680134*(38.9/42.5)</f>
        <v>22.07820094531106</v>
      </c>
      <c r="G5614" s="1">
        <v>1.4259546434999257</v>
      </c>
      <c r="H5614" s="1">
        <v>4.1062943264621863</v>
      </c>
      <c r="I5614" s="1">
        <v>18.173478786323425</v>
      </c>
      <c r="J5614" s="1">
        <v>6.6033894107220589E-2</v>
      </c>
      <c r="K5614" s="1">
        <v>10.231869993717641</v>
      </c>
      <c r="L5614" s="1">
        <v>3.2903761555552662</v>
      </c>
      <c r="M5614" s="1">
        <v>1.1497707805678832</v>
      </c>
      <c r="N5614" s="1">
        <v>1.970735895239943</v>
      </c>
      <c r="O5614" s="1">
        <v>0.9326545454545454</v>
      </c>
      <c r="P5614" s="1">
        <v>0.16805982791140692</v>
      </c>
      <c r="Q5614" s="1">
        <v>2.2789229462327607</v>
      </c>
      <c r="R5614" s="2">
        <f t="shared" si="351"/>
        <v>61.972812870253229</v>
      </c>
      <c r="S5614" s="2">
        <f t="shared" si="350"/>
        <v>10.465963715736269</v>
      </c>
      <c r="T5614" s="2">
        <f t="shared" si="352"/>
        <v>7.343537376817638</v>
      </c>
      <c r="U5614" s="2">
        <f t="shared" si="353"/>
        <v>79.782313962807137</v>
      </c>
    </row>
    <row r="5615" spans="1:21" x14ac:dyDescent="0.25">
      <c r="A5615">
        <v>5945769</v>
      </c>
      <c r="B5615">
        <v>18</v>
      </c>
      <c r="C5615" s="1">
        <f>2.0256236199061*(10.3/7.3)</f>
        <v>2.8580716828812052</v>
      </c>
      <c r="D5615" s="1">
        <f>4.14339813435862*(10.3/7.3)</f>
        <v>5.8461644909443553</v>
      </c>
      <c r="E5615" s="1">
        <f>14.1931424872459*(10.3/7.3)</f>
        <v>20.025940769675763</v>
      </c>
      <c r="F5615" s="1">
        <f>38.5151987545327*(38.9/42.5)</f>
        <v>35.252734860031104</v>
      </c>
      <c r="G5615" s="1">
        <v>1.9886521239254025</v>
      </c>
      <c r="H5615" s="1">
        <v>7.8471981351526905</v>
      </c>
      <c r="I5615" s="1">
        <v>27.299764254647229</v>
      </c>
      <c r="J5615" s="1">
        <v>3.2495868774030684E-2</v>
      </c>
      <c r="K5615" s="1">
        <v>2.0609376959685082</v>
      </c>
      <c r="L5615" s="1">
        <v>2.7491341641840052</v>
      </c>
      <c r="M5615" s="1">
        <v>0.17793427972203368</v>
      </c>
      <c r="N5615" s="1">
        <v>1.5225795786209901</v>
      </c>
      <c r="O5615" s="1">
        <v>0.13931259259259257</v>
      </c>
      <c r="P5615" s="1">
        <v>9.7164245534856877E-2</v>
      </c>
      <c r="Q5615" s="1">
        <v>3.1782111569584095</v>
      </c>
      <c r="R5615" s="2">
        <f t="shared" si="351"/>
        <v>104.29673747421617</v>
      </c>
      <c r="S5615" s="2">
        <f t="shared" si="350"/>
        <v>2.1905978102773958</v>
      </c>
      <c r="T5615" s="2">
        <f t="shared" si="352"/>
        <v>4.5889606151196212</v>
      </c>
      <c r="U5615" s="2">
        <f t="shared" si="353"/>
        <v>111.07629589961319</v>
      </c>
    </row>
    <row r="5616" spans="1:21" x14ac:dyDescent="0.25">
      <c r="A5616">
        <v>5945777</v>
      </c>
      <c r="B5616">
        <v>25</v>
      </c>
      <c r="C5616" s="1">
        <f>1.92402026509377*(10.3/7.3)</f>
        <v>2.7147135247213412</v>
      </c>
      <c r="D5616" s="1">
        <f>4.14017225796702*(10.3/7.3)</f>
        <v>5.8416129119260649</v>
      </c>
      <c r="E5616" s="1">
        <f>14.1197952087573*(10.3/7.3)</f>
        <v>19.922450774000023</v>
      </c>
      <c r="F5616" s="1">
        <f>40.4983063004797*(38.9/42.5)</f>
        <v>37.067861531497861</v>
      </c>
      <c r="G5616" s="1">
        <v>2.1693749539536382</v>
      </c>
      <c r="H5616" s="1">
        <v>9.3694314068855267</v>
      </c>
      <c r="I5616" s="1">
        <v>28.875387198663404</v>
      </c>
      <c r="J5616" s="1">
        <v>3.1249668118560697E-2</v>
      </c>
      <c r="K5616" s="1">
        <v>2.0595246730019046</v>
      </c>
      <c r="L5616" s="1">
        <v>2.5624158540960891</v>
      </c>
      <c r="M5616" s="1">
        <v>0.17747919774877677</v>
      </c>
      <c r="N5616" s="1">
        <v>1.5472147797808184</v>
      </c>
      <c r="O5616" s="1">
        <v>0.14229546666666665</v>
      </c>
      <c r="P5616" s="1">
        <v>9.8202513857304274E-2</v>
      </c>
      <c r="Q5616" s="1">
        <v>3.4670375976428045</v>
      </c>
      <c r="R5616" s="2">
        <f t="shared" si="351"/>
        <v>109.42786989929066</v>
      </c>
      <c r="S5616" s="2">
        <f t="shared" si="350"/>
        <v>2.1889768549777697</v>
      </c>
      <c r="T5616" s="2">
        <f t="shared" si="352"/>
        <v>4.4294052982923517</v>
      </c>
      <c r="U5616" s="2">
        <f t="shared" si="353"/>
        <v>116.04625205256077</v>
      </c>
    </row>
    <row r="5617" spans="1:21" x14ac:dyDescent="0.25">
      <c r="A5617">
        <v>5945793</v>
      </c>
      <c r="B5617">
        <v>3</v>
      </c>
      <c r="C5617" s="1">
        <f>2.09620977899354*(10.3/7.3)</f>
        <v>2.9576658525525223</v>
      </c>
      <c r="D5617" s="1">
        <f>4.49258003308624*(10.3/7.3)</f>
        <v>6.338845800107979</v>
      </c>
      <c r="E5617" s="1">
        <f>15.3262202845792*(10.3/7.3)</f>
        <v>21.624666976872021</v>
      </c>
      <c r="F5617" s="1">
        <f>43.8091378825937*(38.9/42.5)</f>
        <v>40.098246203126983</v>
      </c>
      <c r="G5617" s="1">
        <v>2.3415332633546453</v>
      </c>
      <c r="H5617" s="1">
        <v>9.7503069718301489</v>
      </c>
      <c r="I5617" s="1">
        <v>31.228693849973023</v>
      </c>
      <c r="J5617" s="1">
        <v>3.2121052442143062E-2</v>
      </c>
      <c r="K5617" s="1">
        <v>2.0228569114805972</v>
      </c>
      <c r="L5617" s="1">
        <v>2.8624714177783659</v>
      </c>
      <c r="M5617" s="1">
        <v>0.17043058620821547</v>
      </c>
      <c r="N5617" s="1">
        <v>1.6298260431440805</v>
      </c>
      <c r="O5617" s="1">
        <v>0.13813333333333333</v>
      </c>
      <c r="P5617" s="1">
        <v>9.6332133609360035E-2</v>
      </c>
      <c r="Q5617" s="1">
        <v>3.7421764482836832</v>
      </c>
      <c r="R5617" s="2">
        <f t="shared" si="351"/>
        <v>118.08213536610101</v>
      </c>
      <c r="S5617" s="2">
        <f t="shared" si="350"/>
        <v>2.1513100975321002</v>
      </c>
      <c r="T5617" s="2">
        <f t="shared" si="352"/>
        <v>4.8008613804639948</v>
      </c>
      <c r="U5617" s="2">
        <f t="shared" si="353"/>
        <v>125.03430684409712</v>
      </c>
    </row>
    <row r="5618" spans="1:21" x14ac:dyDescent="0.25">
      <c r="A5618">
        <v>5945841</v>
      </c>
      <c r="B5618">
        <v>20</v>
      </c>
      <c r="C5618" s="1">
        <f>2.86120885224318*(10.3/7.3)</f>
        <v>4.037048106589693</v>
      </c>
      <c r="D5618" s="1">
        <f>4.59574646047346*(10.3/7.3)</f>
        <v>6.4844093894351591</v>
      </c>
      <c r="E5618" s="1">
        <f>15.8946858425443*(10.3/7.3)</f>
        <v>22.426748517562441</v>
      </c>
      <c r="F5618" s="1">
        <f>41.5339667824849*(38.9/42.5)</f>
        <v>38.015795478556726</v>
      </c>
      <c r="G5618" s="1">
        <v>2.0471338276237185</v>
      </c>
      <c r="H5618" s="1">
        <v>7.8051722369354151</v>
      </c>
      <c r="I5618" s="1">
        <v>30.561674469635438</v>
      </c>
      <c r="J5618" s="1">
        <v>3.7681770965977732E-2</v>
      </c>
      <c r="K5618" s="1">
        <v>2.0154127056558666</v>
      </c>
      <c r="L5618" s="1">
        <v>2.157090470373872</v>
      </c>
      <c r="M5618" s="1">
        <v>0.15927312265192509</v>
      </c>
      <c r="N5618" s="1">
        <v>1.8464279612490373</v>
      </c>
      <c r="O5618" s="1">
        <v>0.12889333333333333</v>
      </c>
      <c r="P5618" s="1">
        <v>9.2781411449690404E-2</v>
      </c>
      <c r="Q5618" s="1">
        <v>3.2716750669785499</v>
      </c>
      <c r="R5618" s="2">
        <f t="shared" si="351"/>
        <v>114.64965709331715</v>
      </c>
      <c r="S5618" s="2">
        <f t="shared" si="350"/>
        <v>2.1458758880715347</v>
      </c>
      <c r="T5618" s="2">
        <f t="shared" si="352"/>
        <v>4.2916848876081675</v>
      </c>
      <c r="U5618" s="2">
        <f t="shared" si="353"/>
        <v>121.08721786899685</v>
      </c>
    </row>
    <row r="5619" spans="1:21" x14ac:dyDescent="0.25">
      <c r="A5619">
        <v>5945961</v>
      </c>
      <c r="B5619">
        <v>36</v>
      </c>
      <c r="C5619" s="1">
        <f>7.76436686300522*(10.3/7.3)</f>
        <v>10.955202560130651</v>
      </c>
      <c r="D5619" s="1">
        <f>10.2320990542538*(10.3/7.3)</f>
        <v>14.437071268330753</v>
      </c>
      <c r="E5619" s="1">
        <f>35.9072002757582*(10.3/7.3)</f>
        <v>50.663583950727357</v>
      </c>
      <c r="F5619" s="1">
        <f>81.3528034626781*(38.9/42.5)</f>
        <v>74.461742463486516</v>
      </c>
      <c r="G5619" s="1">
        <v>3.4733756747537092</v>
      </c>
      <c r="H5619" s="1">
        <v>8.1817071163003998</v>
      </c>
      <c r="I5619" s="1">
        <v>61.074633438077399</v>
      </c>
      <c r="J5619" s="1">
        <v>3.6388301020652325E-2</v>
      </c>
      <c r="K5619" s="1">
        <v>2.2169694957018535</v>
      </c>
      <c r="L5619" s="1">
        <v>2.3859669695343255</v>
      </c>
      <c r="M5619" s="1">
        <v>0.14521520381986075</v>
      </c>
      <c r="N5619" s="1">
        <v>1.7197201135827642</v>
      </c>
      <c r="O5619" s="1">
        <v>0.13008148148148152</v>
      </c>
      <c r="P5619" s="1">
        <v>9.3959497331859432E-2</v>
      </c>
      <c r="Q5619" s="1">
        <v>5.551057014446573</v>
      </c>
      <c r="R5619" s="2">
        <f t="shared" si="351"/>
        <v>228.79837348625333</v>
      </c>
      <c r="S5619" s="2">
        <f t="shared" si="350"/>
        <v>2.3473172940543656</v>
      </c>
      <c r="T5619" s="2">
        <f t="shared" si="352"/>
        <v>4.3809837684184325</v>
      </c>
      <c r="U5619" s="2">
        <f t="shared" si="353"/>
        <v>235.52667454872613</v>
      </c>
    </row>
    <row r="5620" spans="1:21" x14ac:dyDescent="0.25">
      <c r="A5620">
        <v>5945969</v>
      </c>
      <c r="B5620">
        <v>29</v>
      </c>
      <c r="C5620" s="1">
        <f>5.42908814958564*(10.3/7.3)</f>
        <v>7.6602202658537131</v>
      </c>
      <c r="D5620" s="1">
        <f>8.17402554143633*(10.3/7.3)</f>
        <v>11.533214120108799</v>
      </c>
      <c r="E5620" s="1">
        <f>28.5916634217137*(10.3/7.3)</f>
        <v>40.34166208817134</v>
      </c>
      <c r="F5620" s="1">
        <f>61.7227257167278*(38.9/42.5)</f>
        <v>56.494447773663772</v>
      </c>
      <c r="G5620" s="1">
        <v>2.5652740473082325</v>
      </c>
      <c r="H5620" s="1">
        <v>6.253344001808018</v>
      </c>
      <c r="I5620" s="1">
        <v>44.139395865489185</v>
      </c>
      <c r="J5620" s="1">
        <v>3.2157924419619573E-2</v>
      </c>
      <c r="K5620" s="1">
        <v>2.0135230522184986</v>
      </c>
      <c r="L5620" s="1">
        <v>2.1295189732136603</v>
      </c>
      <c r="M5620" s="1">
        <v>0.13185587849802011</v>
      </c>
      <c r="N5620" s="1">
        <v>1.4620230620368886</v>
      </c>
      <c r="O5620" s="1">
        <v>0.11698206896551727</v>
      </c>
      <c r="P5620" s="1">
        <v>8.6350804400313425E-2</v>
      </c>
      <c r="Q5620" s="1">
        <v>4.0997530436432985</v>
      </c>
      <c r="R5620" s="2">
        <f t="shared" si="351"/>
        <v>173.08731120604634</v>
      </c>
      <c r="S5620" s="2">
        <f t="shared" si="350"/>
        <v>2.1320317810384317</v>
      </c>
      <c r="T5620" s="2">
        <f t="shared" si="352"/>
        <v>3.8403799827140861</v>
      </c>
      <c r="U5620" s="2">
        <f t="shared" si="353"/>
        <v>179.05972296979886</v>
      </c>
    </row>
    <row r="5621" spans="1:21" x14ac:dyDescent="0.25">
      <c r="A5621">
        <v>5945985</v>
      </c>
      <c r="B5621">
        <v>1</v>
      </c>
      <c r="C5621" s="1">
        <f>9.36782329506516*(10.3/7.3)</f>
        <v>13.217613690297419</v>
      </c>
      <c r="D5621" s="1">
        <f>13.8980838070773*(10.3/7.3)</f>
        <v>19.609625097657037</v>
      </c>
      <c r="E5621" s="1">
        <f>48.5234628172336*(10.3/7.3)</f>
        <v>68.464611920206323</v>
      </c>
      <c r="F5621" s="1">
        <f>110.695327192045*(38.9/42.5)</f>
        <v>101.31878182989576</v>
      </c>
      <c r="G5621" s="1">
        <v>4.8432936386663519</v>
      </c>
      <c r="H5621" s="1">
        <v>10.137721557527581</v>
      </c>
      <c r="I5621" s="1">
        <v>80.53990044584134</v>
      </c>
      <c r="J5621" s="1">
        <v>4.5767195725357333E-2</v>
      </c>
      <c r="K5621" s="1">
        <v>2.6920773491225982</v>
      </c>
      <c r="L5621" s="1">
        <v>3.0440879946034043</v>
      </c>
      <c r="M5621" s="1">
        <v>0.17508162112719086</v>
      </c>
      <c r="N5621" s="1">
        <v>1.9478531886209727</v>
      </c>
      <c r="O5621" s="1">
        <v>0.15546666666666664</v>
      </c>
      <c r="P5621" s="1">
        <v>0.11088852503064356</v>
      </c>
      <c r="Q5621" s="1">
        <v>7.7404236234393826</v>
      </c>
      <c r="R5621" s="2">
        <f t="shared" si="351"/>
        <v>305.87197180353121</v>
      </c>
      <c r="S5621" s="2">
        <f t="shared" si="350"/>
        <v>2.8487330698785991</v>
      </c>
      <c r="T5621" s="2">
        <f t="shared" si="352"/>
        <v>5.3224894710182342</v>
      </c>
      <c r="U5621" s="2">
        <f t="shared" si="353"/>
        <v>314.04319434442806</v>
      </c>
    </row>
    <row r="5622" spans="1:21" x14ac:dyDescent="0.25">
      <c r="A5622">
        <v>5957517</v>
      </c>
      <c r="B5622">
        <v>59</v>
      </c>
      <c r="C5622" s="1">
        <f>0.536133175304192*(10.3/7.3)</f>
        <v>0.75646187748399685</v>
      </c>
      <c r="D5622" s="1">
        <f>0.917341903050324*(10.3/7.3)</f>
        <v>1.2943317262216907</v>
      </c>
      <c r="E5622" s="1">
        <f>3.14299911475738*(10.3/7.3)</f>
        <v>4.4346425865754817</v>
      </c>
      <c r="F5622" s="1">
        <f>9.37741343384723*(38.9/42.5)</f>
        <v>8.5830913547448748</v>
      </c>
      <c r="G5622" s="1">
        <v>0.50528279286144373</v>
      </c>
      <c r="H5622" s="1">
        <v>1.8999616704127307</v>
      </c>
      <c r="I5622" s="1">
        <v>7.004400110822699</v>
      </c>
      <c r="J5622" s="1">
        <v>3.2865698742181003E-2</v>
      </c>
      <c r="K5622" s="1">
        <v>6.0119248255916569</v>
      </c>
      <c r="L5622" s="1">
        <v>1.8148899282126958</v>
      </c>
      <c r="M5622" s="1">
        <v>0.60177672708156216</v>
      </c>
      <c r="N5622" s="1">
        <v>1.1362834964290787</v>
      </c>
      <c r="O5622" s="1">
        <v>0.51170079096045185</v>
      </c>
      <c r="P5622" s="1">
        <v>0.12395775330961148</v>
      </c>
      <c r="Q5622" s="1">
        <v>0.80752957763244515</v>
      </c>
      <c r="R5622" s="2">
        <f t="shared" si="351"/>
        <v>25.285701696755361</v>
      </c>
      <c r="S5622" s="2">
        <f t="shared" si="350"/>
        <v>6.1687482776434495</v>
      </c>
      <c r="T5622" s="2">
        <f t="shared" si="352"/>
        <v>4.0646509426837891</v>
      </c>
      <c r="U5622" s="2">
        <f t="shared" si="353"/>
        <v>35.519100917082596</v>
      </c>
    </row>
    <row r="5623" spans="1:21" x14ac:dyDescent="0.25">
      <c r="A5623">
        <v>5957525</v>
      </c>
      <c r="B5623">
        <v>59</v>
      </c>
      <c r="C5623" s="1">
        <f>1.14089675440966*(10.3/7.3)</f>
        <v>1.6097584343040359</v>
      </c>
      <c r="D5623" s="1">
        <f>2.20698930270982*(10.3/7.3)</f>
        <v>3.1139712079330408</v>
      </c>
      <c r="E5623" s="1">
        <f>7.47717784797351*(10.3/7.3)</f>
        <v>10.549990662209193</v>
      </c>
      <c r="F5623" s="1">
        <f>25.1534069253172*(38.9/42.5)</f>
        <v>23.022765397525657</v>
      </c>
      <c r="G5623" s="1">
        <v>1.4522461198042211</v>
      </c>
      <c r="H5623" s="1">
        <v>4.1670885210688331</v>
      </c>
      <c r="I5623" s="1">
        <v>18.863925946808248</v>
      </c>
      <c r="J5623" s="1">
        <v>6.614018341920995E-2</v>
      </c>
      <c r="K5623" s="1">
        <v>10.130958318250901</v>
      </c>
      <c r="L5623" s="1">
        <v>3.5052509991064253</v>
      </c>
      <c r="M5623" s="1">
        <v>1.1954135167159281</v>
      </c>
      <c r="N5623" s="1">
        <v>1.9346014349329856</v>
      </c>
      <c r="O5623" s="1">
        <v>0.96888587570621465</v>
      </c>
      <c r="P5623" s="1">
        <v>0.17473223183033137</v>
      </c>
      <c r="Q5623" s="1">
        <v>2.3209412873583459</v>
      </c>
      <c r="R5623" s="2">
        <f t="shared" si="351"/>
        <v>65.100687577011584</v>
      </c>
      <c r="S5623" s="2">
        <f t="shared" si="350"/>
        <v>10.371830733500442</v>
      </c>
      <c r="T5623" s="2">
        <f t="shared" si="352"/>
        <v>7.6041518264615533</v>
      </c>
      <c r="U5623" s="2">
        <f t="shared" si="353"/>
        <v>83.076670136973576</v>
      </c>
    </row>
    <row r="5624" spans="1:21" x14ac:dyDescent="0.25">
      <c r="A5624">
        <v>5957533</v>
      </c>
      <c r="B5624">
        <v>23</v>
      </c>
      <c r="C5624" s="1">
        <f>0.632141048438071*(10.3/7.3)</f>
        <v>0.89192504094686686</v>
      </c>
      <c r="D5624" s="1">
        <f>1.34330569750444*(10.3/7.3)</f>
        <v>1.8953491348350318</v>
      </c>
      <c r="E5624" s="1">
        <f>4.49735307144315*(10.3/7.3)</f>
        <v>6.3455803610773263</v>
      </c>
      <c r="F5624" s="1">
        <f>17.2863439297711*(38.9/42.5)</f>
        <v>15.822088914543455</v>
      </c>
      <c r="G5624" s="1">
        <v>1.059565532781036</v>
      </c>
      <c r="H5624" s="1">
        <v>3.3212451690952678</v>
      </c>
      <c r="I5624" s="1">
        <v>13.128604355150465</v>
      </c>
      <c r="J5624" s="1">
        <v>5.3045950553065754E-2</v>
      </c>
      <c r="K5624" s="1">
        <v>7.848268000379635</v>
      </c>
      <c r="L5624" s="1">
        <v>2.2461376647272324</v>
      </c>
      <c r="M5624" s="1">
        <v>0.78628632207836713</v>
      </c>
      <c r="N5624" s="1">
        <v>1.7596061899194151</v>
      </c>
      <c r="O5624" s="1">
        <v>0.65177275362318843</v>
      </c>
      <c r="P5624" s="1">
        <v>0.13888798370985606</v>
      </c>
      <c r="Q5624" s="1">
        <v>1.6933695729377305</v>
      </c>
      <c r="R5624" s="2">
        <f t="shared" si="351"/>
        <v>44.157728081367175</v>
      </c>
      <c r="S5624" s="2">
        <f t="shared" si="350"/>
        <v>8.0402019346425568</v>
      </c>
      <c r="T5624" s="2">
        <f t="shared" si="352"/>
        <v>5.4438029303482027</v>
      </c>
      <c r="U5624" s="2">
        <f t="shared" si="353"/>
        <v>57.641732946357941</v>
      </c>
    </row>
    <row r="5625" spans="1:21" x14ac:dyDescent="0.25">
      <c r="A5625">
        <v>5957997</v>
      </c>
      <c r="B5625">
        <v>20</v>
      </c>
      <c r="C5625" s="1">
        <f>1.9449584653753*(10.3/7.3)</f>
        <v>2.7442564648445948</v>
      </c>
      <c r="D5625" s="1">
        <f>3.87007782651981*(10.3/7.3)</f>
        <v>5.4605207689252051</v>
      </c>
      <c r="E5625" s="1">
        <f>13.2926491605479*(10.3/7.3)</f>
        <v>18.755381692279872</v>
      </c>
      <c r="F5625" s="1">
        <f>34.7740259753551*(38.9/42.5)</f>
        <v>31.828461422148532</v>
      </c>
      <c r="G5625" s="1">
        <v>1.7493903662302954</v>
      </c>
      <c r="H5625" s="1">
        <v>7.1723204339406506</v>
      </c>
      <c r="I5625" s="1">
        <v>24.53189924556569</v>
      </c>
      <c r="J5625" s="1">
        <v>3.5359465549652122E-2</v>
      </c>
      <c r="K5625" s="1">
        <v>2.1706276015079387</v>
      </c>
      <c r="L5625" s="1">
        <v>2.7185399837895456</v>
      </c>
      <c r="M5625" s="1">
        <v>0.17680221104017574</v>
      </c>
      <c r="N5625" s="1">
        <v>1.9667866332975428</v>
      </c>
      <c r="O5625" s="1">
        <v>0.13822400000000001</v>
      </c>
      <c r="P5625" s="1">
        <v>9.6329532327956408E-2</v>
      </c>
      <c r="Q5625" s="1">
        <v>2.795829352422849</v>
      </c>
      <c r="R5625" s="2">
        <f t="shared" si="351"/>
        <v>95.038059746357689</v>
      </c>
      <c r="S5625" s="2">
        <f t="shared" si="350"/>
        <v>2.3023165993855472</v>
      </c>
      <c r="T5625" s="2">
        <f t="shared" si="352"/>
        <v>5.0003528281272649</v>
      </c>
      <c r="U5625" s="2">
        <f t="shared" si="353"/>
        <v>102.3407291738705</v>
      </c>
    </row>
    <row r="5626" spans="1:21" x14ac:dyDescent="0.25">
      <c r="A5626">
        <v>5958005</v>
      </c>
      <c r="B5626">
        <v>24</v>
      </c>
      <c r="C5626" s="1">
        <f>1.93251184641395*(10.3/7.3)</f>
        <v>2.7266947969950293</v>
      </c>
      <c r="D5626" s="1">
        <f>3.97592526018581*(10.3/7.3)</f>
        <v>5.6098671479334019</v>
      </c>
      <c r="E5626" s="1">
        <f>13.6074762227124*(10.3/7.3)</f>
        <v>19.19958973889565</v>
      </c>
      <c r="F5626" s="1">
        <f>37.4265726545218*(38.9/42.5)</f>
        <v>34.256321794374045</v>
      </c>
      <c r="G5626" s="1">
        <v>1.949549078745406</v>
      </c>
      <c r="H5626" s="1">
        <v>8.1670577690088564</v>
      </c>
      <c r="I5626" s="1">
        <v>26.594124138379744</v>
      </c>
      <c r="J5626" s="1">
        <v>3.1439664638796411E-2</v>
      </c>
      <c r="K5626" s="1">
        <v>2.0650120493486077</v>
      </c>
      <c r="L5626" s="1">
        <v>2.6281914082930804</v>
      </c>
      <c r="M5626" s="1">
        <v>0.17856465085150519</v>
      </c>
      <c r="N5626" s="1">
        <v>1.5247864426956896</v>
      </c>
      <c r="O5626" s="1">
        <v>0.1413888888888889</v>
      </c>
      <c r="P5626" s="1">
        <v>9.7985851810263536E-2</v>
      </c>
      <c r="Q5626" s="1">
        <v>3.1157177057575001</v>
      </c>
      <c r="R5626" s="2">
        <f t="shared" si="351"/>
        <v>101.61892217008963</v>
      </c>
      <c r="S5626" s="2">
        <f t="shared" si="350"/>
        <v>2.1944375657976676</v>
      </c>
      <c r="T5626" s="2">
        <f t="shared" si="352"/>
        <v>4.4729313907291637</v>
      </c>
      <c r="U5626" s="2">
        <f t="shared" si="353"/>
        <v>108.28629112661646</v>
      </c>
    </row>
    <row r="5627" spans="1:21" x14ac:dyDescent="0.25">
      <c r="A5627">
        <v>5958069</v>
      </c>
      <c r="B5627">
        <v>24</v>
      </c>
      <c r="C5627" s="1">
        <f>2.76607021600106*(10.3/7.3)</f>
        <v>3.9028114006590364</v>
      </c>
      <c r="D5627" s="1">
        <f>4.45210111186033*(10.3/7.3)</f>
        <v>6.2817317057755355</v>
      </c>
      <c r="E5627" s="1">
        <f>15.3967727272797*(10.3/7.3)</f>
        <v>21.724213574106944</v>
      </c>
      <c r="F5627" s="1">
        <f>40.2319612848947*(38.9/42.5)</f>
        <v>36.824077505468338</v>
      </c>
      <c r="G5627" s="1">
        <v>1.9833469851738483</v>
      </c>
      <c r="H5627" s="1">
        <v>6.6665260590152995</v>
      </c>
      <c r="I5627" s="1">
        <v>29.590431638451587</v>
      </c>
      <c r="J5627" s="1">
        <v>3.7415509930212275E-2</v>
      </c>
      <c r="K5627" s="1">
        <v>1.9766557292298039</v>
      </c>
      <c r="L5627" s="1">
        <v>2.1114803847816535</v>
      </c>
      <c r="M5627" s="1">
        <v>0.15705976151610077</v>
      </c>
      <c r="N5627" s="1">
        <v>1.6535252284759092</v>
      </c>
      <c r="O5627" s="1">
        <v>0.12725555555555554</v>
      </c>
      <c r="P5627" s="1">
        <v>9.130165538674119E-2</v>
      </c>
      <c r="Q5627" s="1">
        <v>3.1697326247070667</v>
      </c>
      <c r="R5627" s="2">
        <f t="shared" si="351"/>
        <v>110.14287149335766</v>
      </c>
      <c r="S5627" s="2">
        <f t="shared" si="350"/>
        <v>2.1053728945467576</v>
      </c>
      <c r="T5627" s="2">
        <f t="shared" si="352"/>
        <v>4.0493209303292188</v>
      </c>
      <c r="U5627" s="2">
        <f t="shared" si="353"/>
        <v>116.29756531823364</v>
      </c>
    </row>
    <row r="5628" spans="1:21" x14ac:dyDescent="0.25">
      <c r="A5628">
        <v>5958077</v>
      </c>
      <c r="B5628">
        <v>3</v>
      </c>
      <c r="C5628" s="1">
        <f>2.83875847073531*(10.3/7.3)</f>
        <v>4.0053715409005024</v>
      </c>
      <c r="D5628" s="1">
        <f>4.56015643408776*(10.3/7.3)</f>
        <v>6.4341933248087537</v>
      </c>
      <c r="E5628" s="1">
        <f>15.7623158053552*(10.3/7.3)</f>
        <v>22.239979834953211</v>
      </c>
      <c r="F5628" s="1">
        <f>41.6591802862215*(38.9/42.5)</f>
        <v>38.130402661976859</v>
      </c>
      <c r="G5628" s="1">
        <v>2.0697194127132019</v>
      </c>
      <c r="H5628" s="1">
        <v>6.3968194453451588</v>
      </c>
      <c r="I5628" s="1">
        <v>30.727681005007298</v>
      </c>
      <c r="J5628" s="1">
        <v>3.6302022544255554E-2</v>
      </c>
      <c r="K5628" s="1">
        <v>2.0046864789573866</v>
      </c>
      <c r="L5628" s="1">
        <v>2.1357907152169142</v>
      </c>
      <c r="M5628" s="1">
        <v>0.15625625779256347</v>
      </c>
      <c r="N5628" s="1">
        <v>1.968764309962199</v>
      </c>
      <c r="O5628" s="1">
        <v>0.12725333333333336</v>
      </c>
      <c r="P5628" s="1">
        <v>9.2203969337959546E-2</v>
      </c>
      <c r="Q5628" s="1">
        <v>3.3077707509115126</v>
      </c>
      <c r="R5628" s="2">
        <f t="shared" si="351"/>
        <v>113.31193797661649</v>
      </c>
      <c r="S5628" s="2">
        <f t="shared" si="350"/>
        <v>2.1331924708396017</v>
      </c>
      <c r="T5628" s="2">
        <f t="shared" si="352"/>
        <v>4.3880646163050097</v>
      </c>
      <c r="U5628" s="2">
        <f t="shared" si="353"/>
        <v>119.83319506376111</v>
      </c>
    </row>
    <row r="5629" spans="1:21" x14ac:dyDescent="0.25">
      <c r="A5629">
        <v>5958197</v>
      </c>
      <c r="B5629">
        <v>26</v>
      </c>
      <c r="C5629" s="1">
        <f>5.59171058863927*(10.3/7.3)</f>
        <v>7.8896738442444487</v>
      </c>
      <c r="D5629" s="1">
        <f>7.75598927298799*(10.3/7.3)</f>
        <v>10.943382124900861</v>
      </c>
      <c r="E5629" s="1">
        <f>27.2239351883696*(10.3/7.3)</f>
        <v>38.411853758932502</v>
      </c>
      <c r="F5629" s="1">
        <f>58.4157073841085*(38.9/42.5)</f>
        <v>53.467553346866382</v>
      </c>
      <c r="G5629" s="1">
        <v>2.3805446034568281</v>
      </c>
      <c r="H5629" s="1">
        <v>5.620526056974561</v>
      </c>
      <c r="I5629" s="1">
        <v>42.715064390208411</v>
      </c>
      <c r="J5629" s="1">
        <v>3.0751150429139562E-2</v>
      </c>
      <c r="K5629" s="1">
        <v>1.9118070630832897</v>
      </c>
      <c r="L5629" s="1">
        <v>1.989746848200453</v>
      </c>
      <c r="M5629" s="1">
        <v>0.12593899687963345</v>
      </c>
      <c r="N5629" s="1">
        <v>1.4410032445065448</v>
      </c>
      <c r="O5629" s="1">
        <v>0.11108307692307692</v>
      </c>
      <c r="P5629" s="1">
        <v>8.2643901231522779E-2</v>
      </c>
      <c r="Q5629" s="1">
        <v>3.8045233388579485</v>
      </c>
      <c r="R5629" s="2">
        <f t="shared" si="351"/>
        <v>165.23312146444195</v>
      </c>
      <c r="S5629" s="2">
        <f t="shared" si="350"/>
        <v>2.0252021147439523</v>
      </c>
      <c r="T5629" s="2">
        <f t="shared" si="352"/>
        <v>3.6677721665097081</v>
      </c>
      <c r="U5629" s="2">
        <f t="shared" si="353"/>
        <v>170.92609574569562</v>
      </c>
    </row>
    <row r="5630" spans="1:21" x14ac:dyDescent="0.25">
      <c r="A5630">
        <v>5969745</v>
      </c>
      <c r="B5630">
        <v>44</v>
      </c>
      <c r="C5630" s="1">
        <f>0.501173296075806*(10.3/7.3)</f>
        <v>0.70713492460010996</v>
      </c>
      <c r="D5630" s="1">
        <f>0.841477042567224*(10.3/7.3)</f>
        <v>1.1872895258140281</v>
      </c>
      <c r="E5630" s="1">
        <f>2.88834356739949*(10.3/7.3)</f>
        <v>4.0753340745499624</v>
      </c>
      <c r="F5630" s="1">
        <f>8.44068879944724*(38.9/42.5)</f>
        <v>7.7257128070234691</v>
      </c>
      <c r="G5630" s="1">
        <v>0.448773283517925</v>
      </c>
      <c r="H5630" s="1">
        <v>1.6920403283674765</v>
      </c>
      <c r="I5630" s="1">
        <v>6.3002673120907131</v>
      </c>
      <c r="J5630" s="1">
        <v>3.0080842926513241E-2</v>
      </c>
      <c r="K5630" s="1">
        <v>5.3034622757395331</v>
      </c>
      <c r="L5630" s="1">
        <v>1.7016402493624183</v>
      </c>
      <c r="M5630" s="1">
        <v>0.54755791537467247</v>
      </c>
      <c r="N5630" s="1">
        <v>1.0463861598761737</v>
      </c>
      <c r="O5630" s="1">
        <v>0.46523151515151501</v>
      </c>
      <c r="P5630" s="1">
        <v>0.11933065606221414</v>
      </c>
      <c r="Q5630" s="1">
        <v>0.71721757639851125</v>
      </c>
      <c r="R5630" s="2">
        <f t="shared" si="351"/>
        <v>22.853769832362193</v>
      </c>
      <c r="S5630" s="2">
        <f t="shared" si="350"/>
        <v>5.4528737747282605</v>
      </c>
      <c r="T5630" s="2">
        <f t="shared" si="352"/>
        <v>3.7608158397647795</v>
      </c>
      <c r="U5630" s="2">
        <f t="shared" si="353"/>
        <v>32.067459446855231</v>
      </c>
    </row>
    <row r="5631" spans="1:21" x14ac:dyDescent="0.25">
      <c r="A5631">
        <v>5969753</v>
      </c>
      <c r="B5631">
        <v>65</v>
      </c>
      <c r="C5631" s="1">
        <f>0.721091997228721*(10.3/7.3)</f>
        <v>1.0174311741720308</v>
      </c>
      <c r="D5631" s="1">
        <f>1.31396507451403*(10.3/7.3)</f>
        <v>1.8539507215745927</v>
      </c>
      <c r="E5631" s="1">
        <f>4.47695044074203*(10.3/7.3)</f>
        <v>6.31679308762231</v>
      </c>
      <c r="F5631" s="1">
        <f>14.1703048466388*(38.9/42.5)</f>
        <v>12.969996671394057</v>
      </c>
      <c r="G5631" s="1">
        <v>0.79154614320842642</v>
      </c>
      <c r="H5631" s="1">
        <v>2.6718738529818342</v>
      </c>
      <c r="I5631" s="1">
        <v>10.596273837011946</v>
      </c>
      <c r="J5631" s="1">
        <v>4.2395219619582598E-2</v>
      </c>
      <c r="K5631" s="1">
        <v>7.0733231340327309</v>
      </c>
      <c r="L5631" s="1">
        <v>2.2999921525591596</v>
      </c>
      <c r="M5631" s="1">
        <v>0.74995621284646607</v>
      </c>
      <c r="N5631" s="1">
        <v>1.3679287798198585</v>
      </c>
      <c r="O5631" s="1">
        <v>0.62997579487179489</v>
      </c>
      <c r="P5631" s="1">
        <v>0.13978198802173405</v>
      </c>
      <c r="Q5631" s="1">
        <v>1.2650280827531943</v>
      </c>
      <c r="R5631" s="2">
        <f t="shared" si="351"/>
        <v>37.482893570718396</v>
      </c>
      <c r="S5631" s="2">
        <f t="shared" si="350"/>
        <v>7.2555003416740478</v>
      </c>
      <c r="T5631" s="2">
        <f t="shared" si="352"/>
        <v>5.0478529400972789</v>
      </c>
      <c r="U5631" s="2">
        <f t="shared" si="353"/>
        <v>49.786246852489725</v>
      </c>
    </row>
    <row r="5632" spans="1:21" x14ac:dyDescent="0.25">
      <c r="A5632">
        <v>5969761</v>
      </c>
      <c r="B5632">
        <v>63</v>
      </c>
      <c r="C5632" s="1">
        <f>0.999105514126665*(10.3/7.3)</f>
        <v>1.4096968213020071</v>
      </c>
      <c r="D5632" s="1">
        <f>1.97248807776556*(10.3/7.3)</f>
        <v>2.7830996165733275</v>
      </c>
      <c r="E5632" s="1">
        <f>6.6675183387901*(10.3/7.3)</f>
        <v>9.4075943684298622</v>
      </c>
      <c r="F5632" s="1">
        <f>23.0096118093147*(38.9/42.5)</f>
        <v>21.060562338408026</v>
      </c>
      <c r="G5632" s="1">
        <v>1.3452963295848026</v>
      </c>
      <c r="H5632" s="1">
        <v>4.0445154999249038</v>
      </c>
      <c r="I5632" s="1">
        <v>17.291636609572517</v>
      </c>
      <c r="J5632" s="1">
        <v>6.5798080966814013E-2</v>
      </c>
      <c r="K5632" s="1">
        <v>9.2143801521414446</v>
      </c>
      <c r="L5632" s="1">
        <v>3.1963818463325993</v>
      </c>
      <c r="M5632" s="1">
        <v>1.0969879989906273</v>
      </c>
      <c r="N5632" s="1">
        <v>1.8854374893399386</v>
      </c>
      <c r="O5632" s="1">
        <v>0.86171428571428599</v>
      </c>
      <c r="P5632" s="1">
        <v>0.16552222015537177</v>
      </c>
      <c r="Q5632" s="1">
        <v>2.1500169650898697</v>
      </c>
      <c r="R5632" s="2">
        <f t="shared" si="351"/>
        <v>59.492418548885318</v>
      </c>
      <c r="S5632" s="2">
        <f t="shared" si="350"/>
        <v>9.4457004532636315</v>
      </c>
      <c r="T5632" s="2">
        <f t="shared" si="352"/>
        <v>7.0405216203774517</v>
      </c>
      <c r="U5632" s="2">
        <f t="shared" si="353"/>
        <v>75.978640622526399</v>
      </c>
    </row>
    <row r="5633" spans="1:21" x14ac:dyDescent="0.25">
      <c r="A5633">
        <v>5970233</v>
      </c>
      <c r="B5633">
        <v>1</v>
      </c>
      <c r="C5633" s="1">
        <f>1.83293889472321*(10.3/7.3)</f>
        <v>2.5862014541985006</v>
      </c>
      <c r="D5633" s="1">
        <f>3.69646805538029*(10.3/7.3)</f>
        <v>5.2155645164954807</v>
      </c>
      <c r="E5633" s="1">
        <f>12.6825626826019*(10.3/7.3)</f>
        <v>17.894574743945139</v>
      </c>
      <c r="F5633" s="1">
        <f>33.632999407331*(38.9/42.5)</f>
        <v>30.7840865163571</v>
      </c>
      <c r="G5633" s="1">
        <v>1.7092084108098138</v>
      </c>
      <c r="H5633" s="1">
        <v>6.7148129203106803</v>
      </c>
      <c r="I5633" s="1">
        <v>23.755014416299176</v>
      </c>
      <c r="J5633" s="1">
        <v>3.570231641323536E-2</v>
      </c>
      <c r="K5633" s="1">
        <v>2.186406068135093</v>
      </c>
      <c r="L5633" s="1">
        <v>2.9823484754127993</v>
      </c>
      <c r="M5633" s="1">
        <v>0.18288745981597346</v>
      </c>
      <c r="N5633" s="1">
        <v>1.7447993792610661</v>
      </c>
      <c r="O5633" s="1">
        <v>0.14245333333333332</v>
      </c>
      <c r="P5633" s="1">
        <v>9.9538004028131996E-2</v>
      </c>
      <c r="Q5633" s="1">
        <v>2.7316116154494767</v>
      </c>
      <c r="R5633" s="2">
        <f t="shared" si="351"/>
        <v>91.391074593865369</v>
      </c>
      <c r="S5633" s="2">
        <f t="shared" si="350"/>
        <v>2.3216463885764602</v>
      </c>
      <c r="T5633" s="2">
        <f t="shared" si="352"/>
        <v>5.0524886478231723</v>
      </c>
      <c r="U5633" s="2">
        <f t="shared" si="353"/>
        <v>98.765209630264991</v>
      </c>
    </row>
    <row r="5634" spans="1:21" x14ac:dyDescent="0.25">
      <c r="A5634">
        <v>5970281</v>
      </c>
      <c r="B5634">
        <v>2</v>
      </c>
      <c r="C5634" s="1">
        <f>2.73765873378531*(10.3/7.3)</f>
        <v>3.86272396684776</v>
      </c>
      <c r="D5634" s="1">
        <f>5.81585734358186*(10.3/7.3)</f>
        <v>8.2059357039579712</v>
      </c>
      <c r="E5634" s="1">
        <f>19.6238065324632*(10.3/7.3)</f>
        <v>27.6883845595029</v>
      </c>
      <c r="F5634" s="1">
        <f>67.4591200520065*(38.9/42.5)</f>
        <v>61.744935765248336</v>
      </c>
      <c r="G5634" s="1">
        <v>3.9527456280121491</v>
      </c>
      <c r="H5634" s="1">
        <v>10.886797736231571</v>
      </c>
      <c r="I5634" s="1">
        <v>50.179085388688449</v>
      </c>
      <c r="J5634" s="1">
        <v>3.5867801359766881E-2</v>
      </c>
      <c r="K5634" s="1">
        <v>1.9957535955099839</v>
      </c>
      <c r="L5634" s="1">
        <v>2.3367496395168006</v>
      </c>
      <c r="M5634" s="1">
        <v>0.16262427492743928</v>
      </c>
      <c r="N5634" s="1">
        <v>1.5483163851794863</v>
      </c>
      <c r="O5634" s="1">
        <v>0.13119999999999998</v>
      </c>
      <c r="P5634" s="1">
        <v>9.2779675657547245E-2</v>
      </c>
      <c r="Q5634" s="1">
        <v>6.3171733781016144</v>
      </c>
      <c r="R5634" s="2">
        <f t="shared" si="351"/>
        <v>172.83778212659075</v>
      </c>
      <c r="S5634" s="2">
        <f t="shared" si="350"/>
        <v>2.1244010725272982</v>
      </c>
      <c r="T5634" s="2">
        <f t="shared" si="352"/>
        <v>4.1788902996237258</v>
      </c>
      <c r="U5634" s="2">
        <f t="shared" si="353"/>
        <v>179.14107349874178</v>
      </c>
    </row>
    <row r="5635" spans="1:21" x14ac:dyDescent="0.25">
      <c r="A5635">
        <v>5970297</v>
      </c>
      <c r="B5635">
        <v>2</v>
      </c>
      <c r="C5635" s="1">
        <f>3.00829801648075*(10.3/7.3)</f>
        <v>4.2445848725687245</v>
      </c>
      <c r="D5635" s="1">
        <f>4.63424264271145*(10.3/7.3)</f>
        <v>6.5387259205380674</v>
      </c>
      <c r="E5635" s="1">
        <f>16.056310689658*(10.3/7.3)</f>
        <v>22.654794534722949</v>
      </c>
      <c r="F5635" s="1">
        <f>41.7402300893479*(38.9/42.5)</f>
        <v>38.204587070014895</v>
      </c>
      <c r="G5635" s="1">
        <v>2.0407497786316795</v>
      </c>
      <c r="H5635" s="1">
        <v>8.8931801933579422</v>
      </c>
      <c r="I5635" s="1">
        <v>30.960746872594648</v>
      </c>
      <c r="J5635" s="1">
        <v>3.9881872114095454E-2</v>
      </c>
      <c r="K5635" s="1">
        <v>2.0448352895745017</v>
      </c>
      <c r="L5635" s="1">
        <v>2.1952961375349149</v>
      </c>
      <c r="M5635" s="1">
        <v>0.16500062663453224</v>
      </c>
      <c r="N5635" s="1">
        <v>1.7056572176670726</v>
      </c>
      <c r="O5635" s="1">
        <v>0.13218666666666667</v>
      </c>
      <c r="P5635" s="1">
        <v>9.4151557967011107E-2</v>
      </c>
      <c r="Q5635" s="1">
        <v>3.2614722489547425</v>
      </c>
      <c r="R5635" s="2">
        <f t="shared" si="351"/>
        <v>116.79884149138367</v>
      </c>
      <c r="S5635" s="2">
        <f t="shared" si="350"/>
        <v>2.178868719655608</v>
      </c>
      <c r="T5635" s="2">
        <f t="shared" si="352"/>
        <v>4.1981406485031867</v>
      </c>
      <c r="U5635" s="2">
        <f t="shared" si="353"/>
        <v>123.17585085954246</v>
      </c>
    </row>
    <row r="5636" spans="1:21" x14ac:dyDescent="0.25">
      <c r="A5636">
        <v>5970305</v>
      </c>
      <c r="B5636">
        <v>1</v>
      </c>
      <c r="C5636" s="1">
        <f>3.5810416346059*(10.3/7.3)</f>
        <v>5.0527025803343584</v>
      </c>
      <c r="D5636" s="1">
        <f>5.77664038817042*(10.3/7.3)</f>
        <v>8.1506021915281242</v>
      </c>
      <c r="E5636" s="1">
        <f>19.9634687415527*(10.3/7.3)</f>
        <v>28.16763397780721</v>
      </c>
      <c r="F5636" s="1">
        <f>52.7988464141412*(38.9/42.5)</f>
        <v>48.326473541413968</v>
      </c>
      <c r="G5636" s="1">
        <v>2.6255072073142585</v>
      </c>
      <c r="H5636" s="1">
        <v>8.2331197937376075</v>
      </c>
      <c r="I5636" s="1">
        <v>38.915644014531139</v>
      </c>
      <c r="J5636" s="1">
        <v>4.162582885831221E-2</v>
      </c>
      <c r="K5636" s="1">
        <v>2.169691638851011</v>
      </c>
      <c r="L5636" s="1">
        <v>2.3870003447518324</v>
      </c>
      <c r="M5636" s="1">
        <v>0.17186854407103924</v>
      </c>
      <c r="N5636" s="1">
        <v>1.8326664422930612</v>
      </c>
      <c r="O5636" s="1">
        <v>0.14357333333333333</v>
      </c>
      <c r="P5636" s="1">
        <v>9.8573354151582665E-2</v>
      </c>
      <c r="Q5636" s="1">
        <v>4.1960160847488188</v>
      </c>
      <c r="R5636" s="2">
        <f t="shared" si="351"/>
        <v>143.66769939141545</v>
      </c>
      <c r="S5636" s="2">
        <f t="shared" si="350"/>
        <v>2.3098908218609058</v>
      </c>
      <c r="T5636" s="2">
        <f t="shared" si="352"/>
        <v>4.5351086644492664</v>
      </c>
      <c r="U5636" s="2">
        <f t="shared" si="353"/>
        <v>150.51269887772563</v>
      </c>
    </row>
    <row r="5637" spans="1:21" x14ac:dyDescent="0.25">
      <c r="A5637">
        <v>5970425</v>
      </c>
      <c r="B5637">
        <v>9</v>
      </c>
      <c r="C5637" s="1">
        <f>14.4495842029088*(10.3/7.3)</f>
        <v>20.387769491775373</v>
      </c>
      <c r="D5637" s="1">
        <f>13.7405711089985*(10.3/7.3)</f>
        <v>19.387381153792433</v>
      </c>
      <c r="E5637" s="1">
        <f>49.3019893060152*(10.3/7.3)</f>
        <v>69.563080801637895</v>
      </c>
      <c r="F5637" s="1">
        <f>97.2544083496287*(38.9/42.5)</f>
        <v>89.016387877660136</v>
      </c>
      <c r="G5637" s="1">
        <v>3.2623622907031145</v>
      </c>
      <c r="H5637" s="1">
        <v>7.1164103135769956</v>
      </c>
      <c r="I5637" s="1">
        <v>80.04350837958259</v>
      </c>
      <c r="J5637" s="1">
        <v>3.3565627587933848E-2</v>
      </c>
      <c r="K5637" s="1">
        <v>2.0374663245530282</v>
      </c>
      <c r="L5637" s="1">
        <v>2.1538270060598816</v>
      </c>
      <c r="M5637" s="1">
        <v>0.13493701372007189</v>
      </c>
      <c r="N5637" s="1">
        <v>2.3315719755066455</v>
      </c>
      <c r="O5637" s="1">
        <v>0.12001185185185184</v>
      </c>
      <c r="P5637" s="1">
        <v>8.7452602737331103E-2</v>
      </c>
      <c r="Q5637" s="1">
        <v>5.2138210125392295</v>
      </c>
      <c r="R5637" s="2">
        <f t="shared" si="351"/>
        <v>293.99072132126781</v>
      </c>
      <c r="S5637" s="2">
        <f t="shared" si="350"/>
        <v>2.1584845548782932</v>
      </c>
      <c r="T5637" s="2">
        <f t="shared" si="352"/>
        <v>4.7403478471384508</v>
      </c>
      <c r="U5637" s="2">
        <f t="shared" si="353"/>
        <v>300.88955372328451</v>
      </c>
    </row>
    <row r="5638" spans="1:21" x14ac:dyDescent="0.25">
      <c r="A5638">
        <v>5970433</v>
      </c>
      <c r="B5638">
        <v>2</v>
      </c>
      <c r="C5638" s="1">
        <f>9.40366955767383*(10.3/7.3)</f>
        <v>13.268191293704172</v>
      </c>
      <c r="D5638" s="1">
        <f>17.3014530113995*(10.3/7.3)</f>
        <v>24.411639180467809</v>
      </c>
      <c r="E5638" s="1">
        <f>60.4119480608807*(10.3/7.3)</f>
        <v>85.238776031105701</v>
      </c>
      <c r="F5638" s="1">
        <f>114.785591942046*(38.9/42.5)</f>
        <v>105.06257709519025</v>
      </c>
      <c r="G5638" s="1">
        <v>4.2590726846889861</v>
      </c>
      <c r="H5638" s="1">
        <v>7.8988907364234944</v>
      </c>
      <c r="I5638" s="1">
        <v>74.519172204231467</v>
      </c>
      <c r="J5638" s="1">
        <v>4.6497026771598893E-2</v>
      </c>
      <c r="K5638" s="1">
        <v>2.6664437330565818</v>
      </c>
      <c r="L5638" s="1">
        <v>3.0133652413824406</v>
      </c>
      <c r="M5638" s="1">
        <v>0.17607609670425894</v>
      </c>
      <c r="N5638" s="1">
        <v>2.0541310461168942</v>
      </c>
      <c r="O5638" s="1">
        <v>0.15674666666666665</v>
      </c>
      <c r="P5638" s="1">
        <v>0.11039465028740986</v>
      </c>
      <c r="Q5638" s="1">
        <v>6.806737167311173</v>
      </c>
      <c r="R5638" s="2">
        <f t="shared" si="351"/>
        <v>321.46505639312301</v>
      </c>
      <c r="S5638" s="2">
        <f t="shared" si="350"/>
        <v>2.8233354101155905</v>
      </c>
      <c r="T5638" s="2">
        <f t="shared" si="352"/>
        <v>5.4003190508702605</v>
      </c>
      <c r="U5638" s="2">
        <f t="shared" si="353"/>
        <v>329.68871085410888</v>
      </c>
    </row>
    <row r="5639" spans="1:21" x14ac:dyDescent="0.25">
      <c r="A5639">
        <v>5981981</v>
      </c>
      <c r="B5639">
        <v>55</v>
      </c>
      <c r="C5639" s="1">
        <f>0.490883789331545*(10.3/7.3)</f>
        <v>0.69261685344039969</v>
      </c>
      <c r="D5639" s="1">
        <f>0.835227084615668*(10.3/7.3)</f>
        <v>1.1784710919919705</v>
      </c>
      <c r="E5639" s="1">
        <f>2.86322978512049*(10.3/7.3)</f>
        <v>4.0398995598275391</v>
      </c>
      <c r="F5639" s="1">
        <f>8.48936726421975*(38.9/42.5)</f>
        <v>7.7702679194858399</v>
      </c>
      <c r="G5639" s="1">
        <v>0.45561918846072547</v>
      </c>
      <c r="H5639" s="1">
        <v>1.7253914718070023</v>
      </c>
      <c r="I5639" s="1">
        <v>6.3395433112588497</v>
      </c>
      <c r="J5639" s="1">
        <v>3.1040655616396046E-2</v>
      </c>
      <c r="K5639" s="1">
        <v>5.2579012928077722</v>
      </c>
      <c r="L5639" s="1">
        <v>1.7182056655496432</v>
      </c>
      <c r="M5639" s="1">
        <v>0.54844980164787127</v>
      </c>
      <c r="N5639" s="1">
        <v>1.0754626192891064</v>
      </c>
      <c r="O5639" s="1">
        <v>0.4575796363636363</v>
      </c>
      <c r="P5639" s="1">
        <v>0.11896889860030088</v>
      </c>
      <c r="Q5639" s="1">
        <v>0.7281585203710228</v>
      </c>
      <c r="R5639" s="2">
        <f t="shared" si="351"/>
        <v>22.929967916643349</v>
      </c>
      <c r="S5639" s="2">
        <f t="shared" si="350"/>
        <v>5.4079108470244686</v>
      </c>
      <c r="T5639" s="2">
        <f t="shared" si="352"/>
        <v>3.7996977228502571</v>
      </c>
      <c r="U5639" s="2">
        <f t="shared" si="353"/>
        <v>32.137576486518071</v>
      </c>
    </row>
    <row r="5640" spans="1:21" x14ac:dyDescent="0.25">
      <c r="A5640">
        <v>5981989</v>
      </c>
      <c r="B5640">
        <v>55</v>
      </c>
      <c r="C5640" s="1">
        <f>1.07528649489104*(10.3/7.3)</f>
        <v>1.5171850544352985</v>
      </c>
      <c r="D5640" s="1">
        <f>2.08695353239719*(10.3/7.3)</f>
        <v>2.9446056689987747</v>
      </c>
      <c r="E5640" s="1">
        <f>7.0702224164007*(10.3/7.3)</f>
        <v>9.9757932724557765</v>
      </c>
      <c r="F5640" s="1">
        <f>23.7630959828509*(38.9/42.5)</f>
        <v>21.750221970185866</v>
      </c>
      <c r="G5640" s="1">
        <v>1.3716760836435464</v>
      </c>
      <c r="H5640" s="1">
        <v>4.0211435320918572</v>
      </c>
      <c r="I5640" s="1">
        <v>17.810030863164137</v>
      </c>
      <c r="J5640" s="1">
        <v>6.2656843960589334E-2</v>
      </c>
      <c r="K5640" s="1">
        <v>8.8703671160448092</v>
      </c>
      <c r="L5640" s="1">
        <v>3.3207594822561353</v>
      </c>
      <c r="M5640" s="1">
        <v>1.1065832006793175</v>
      </c>
      <c r="N5640" s="1">
        <v>1.8368399427006348</v>
      </c>
      <c r="O5640" s="1">
        <v>0.87556848484848449</v>
      </c>
      <c r="P5640" s="1">
        <v>0.16884428978552035</v>
      </c>
      <c r="Q5640" s="1">
        <v>2.1921763893846657</v>
      </c>
      <c r="R5640" s="2">
        <f t="shared" si="351"/>
        <v>61.58283283435992</v>
      </c>
      <c r="S5640" s="2">
        <f t="shared" si="350"/>
        <v>9.1018682497909182</v>
      </c>
      <c r="T5640" s="2">
        <f t="shared" si="352"/>
        <v>7.1397511104845712</v>
      </c>
      <c r="U5640" s="2">
        <f t="shared" si="353"/>
        <v>77.824452194635413</v>
      </c>
    </row>
    <row r="5641" spans="1:21" x14ac:dyDescent="0.25">
      <c r="A5641">
        <v>5981997</v>
      </c>
      <c r="B5641">
        <v>3</v>
      </c>
      <c r="C5641" s="1">
        <f>0.600491280662978*(10.3/7.3)</f>
        <v>0.84726851929159908</v>
      </c>
      <c r="D5641" s="1">
        <f>1.15608323240173*(10.3/7.3)</f>
        <v>1.6311859306490124</v>
      </c>
      <c r="E5641" s="1">
        <f>3.91176025803924*(10.3/7.3)</f>
        <v>5.51933296682249</v>
      </c>
      <c r="F5641" s="1">
        <f>13.4470025248607*(38.9/42.5)</f>
        <v>12.307962310990177</v>
      </c>
      <c r="G5641" s="1">
        <v>0.78375377933639367</v>
      </c>
      <c r="H5641" s="1">
        <v>3.0569922019396731</v>
      </c>
      <c r="I5641" s="1">
        <v>10.132287271975123</v>
      </c>
      <c r="J5641" s="1">
        <v>5.1939642790857665E-2</v>
      </c>
      <c r="K5641" s="1">
        <v>6.8309436930724088</v>
      </c>
      <c r="L5641" s="1">
        <v>2.0752415634312662</v>
      </c>
      <c r="M5641" s="1">
        <v>0.71501705968521156</v>
      </c>
      <c r="N5641" s="1">
        <v>1.487841846628206</v>
      </c>
      <c r="O5641" s="1">
        <v>0.56867555555555549</v>
      </c>
      <c r="P5641" s="1">
        <v>0.13171610722482316</v>
      </c>
      <c r="Q5641" s="1">
        <v>1.2525745331860187</v>
      </c>
      <c r="R5641" s="2">
        <f t="shared" si="351"/>
        <v>35.531357514190489</v>
      </c>
      <c r="S5641" s="2">
        <f t="shared" ref="S5641:S5704" si="354">J5641+K5641+P5641</f>
        <v>7.0145994430880894</v>
      </c>
      <c r="T5641" s="2">
        <f t="shared" si="352"/>
        <v>4.8467760253002385</v>
      </c>
      <c r="U5641" s="2">
        <f t="shared" si="353"/>
        <v>47.392732982578814</v>
      </c>
    </row>
    <row r="5642" spans="1:21" x14ac:dyDescent="0.25">
      <c r="A5642">
        <v>5982461</v>
      </c>
      <c r="B5642">
        <v>14</v>
      </c>
      <c r="C5642" s="1">
        <f>2.00323709152915*(10.3/7.3)</f>
        <v>2.8264852113356493</v>
      </c>
      <c r="D5642" s="1">
        <f>3.82956703300439*(10.3/7.3)</f>
        <v>5.4033617041020907</v>
      </c>
      <c r="E5642" s="1">
        <f>13.17753331533*(10.3/7.3)</f>
        <v>18.592957965465612</v>
      </c>
      <c r="F5642" s="1">
        <f>34.0367019130894*(38.9/42.5)</f>
        <v>31.153593045157162</v>
      </c>
      <c r="G5642" s="1">
        <v>1.6917346632685779</v>
      </c>
      <c r="H5642" s="1">
        <v>6.9988956222919514</v>
      </c>
      <c r="I5642" s="1">
        <v>24.111191151292918</v>
      </c>
      <c r="J5642" s="1">
        <v>3.6238172430575519E-2</v>
      </c>
      <c r="K5642" s="1">
        <v>2.413929818181451</v>
      </c>
      <c r="L5642" s="1">
        <v>2.5536522476314603</v>
      </c>
      <c r="M5642" s="1">
        <v>0.17326690565101524</v>
      </c>
      <c r="N5642" s="1">
        <v>1.555018012247076</v>
      </c>
      <c r="O5642" s="1">
        <v>0.13614095238095236</v>
      </c>
      <c r="P5642" s="1">
        <v>9.4188281502901677E-2</v>
      </c>
      <c r="Q5642" s="1">
        <v>2.7036855349041224</v>
      </c>
      <c r="R5642" s="2">
        <f t="shared" ref="R5642:R5705" si="355">C5642+D5642+E5642+F5642+G5642+H5642+I5642+Q5642</f>
        <v>93.481904897818083</v>
      </c>
      <c r="S5642" s="2">
        <f t="shared" si="354"/>
        <v>2.5443562721149284</v>
      </c>
      <c r="T5642" s="2">
        <f t="shared" ref="T5642:T5705" si="356">L5642+M5642+N5642+O5642</f>
        <v>4.418078117910504</v>
      </c>
      <c r="U5642" s="2">
        <f t="shared" ref="U5642:U5705" si="357">R5642+S5642+T5642</f>
        <v>100.44433928784352</v>
      </c>
    </row>
    <row r="5643" spans="1:21" x14ac:dyDescent="0.25">
      <c r="A5643">
        <v>5982517</v>
      </c>
      <c r="B5643">
        <v>12</v>
      </c>
      <c r="C5643" s="1">
        <f>2.43157148028796*(10.3/7.3)</f>
        <v>3.4308474310912316</v>
      </c>
      <c r="D5643" s="1">
        <f>4.48555271400958*(10.3/7.3)</f>
        <v>6.3289305416847457</v>
      </c>
      <c r="E5643" s="1">
        <f>15.3781673289165*(10.3/7.3)</f>
        <v>21.697962121621977</v>
      </c>
      <c r="F5643" s="1">
        <f>43.4683889652796*(38.9/42.5)</f>
        <v>39.786360723514726</v>
      </c>
      <c r="G5643" s="1">
        <v>2.2832363453881248</v>
      </c>
      <c r="H5643" s="1">
        <v>7.8714582007310447</v>
      </c>
      <c r="I5643" s="1">
        <v>31.679290374417644</v>
      </c>
      <c r="J5643" s="1">
        <v>3.5454796194064296E-2</v>
      </c>
      <c r="K5643" s="1">
        <v>2.0109970046263168</v>
      </c>
      <c r="L5643" s="1">
        <v>2.4451786568934724</v>
      </c>
      <c r="M5643" s="1">
        <v>0.16401516662718035</v>
      </c>
      <c r="N5643" s="1">
        <v>1.5772829560170119</v>
      </c>
      <c r="O5643" s="1">
        <v>0.13163111111111112</v>
      </c>
      <c r="P5643" s="1">
        <v>9.3276444350410603E-2</v>
      </c>
      <c r="Q5643" s="1">
        <v>3.6490078579262311</v>
      </c>
      <c r="R5643" s="2">
        <f t="shared" si="355"/>
        <v>116.72709359637572</v>
      </c>
      <c r="S5643" s="2">
        <f t="shared" si="354"/>
        <v>2.1397282451707915</v>
      </c>
      <c r="T5643" s="2">
        <f t="shared" si="356"/>
        <v>4.3181078906487755</v>
      </c>
      <c r="U5643" s="2">
        <f t="shared" si="357"/>
        <v>123.18492973219529</v>
      </c>
    </row>
    <row r="5644" spans="1:21" x14ac:dyDescent="0.25">
      <c r="A5644">
        <v>5982533</v>
      </c>
      <c r="B5644">
        <v>14</v>
      </c>
      <c r="C5644" s="1">
        <f>2.6780572098447*(10.3/7.3)</f>
        <v>3.7786286659452664</v>
      </c>
      <c r="D5644" s="1">
        <f>4.29075401048549*(10.3/7.3)</f>
        <v>6.0540775764384334</v>
      </c>
      <c r="E5644" s="1">
        <f>14.828546826001*(10.3/7.3)</f>
        <v>20.922470179152143</v>
      </c>
      <c r="F5644" s="1">
        <f>39.393205720734*(38.9/42.5)</f>
        <v>36.056369471448271</v>
      </c>
      <c r="G5644" s="1">
        <v>1.9635740603245553</v>
      </c>
      <c r="H5644" s="1">
        <v>7.5706600469721597</v>
      </c>
      <c r="I5644" s="1">
        <v>29.103915063727122</v>
      </c>
      <c r="J5644" s="1">
        <v>3.5785361972483783E-2</v>
      </c>
      <c r="K5644" s="1">
        <v>1.9663562438279474</v>
      </c>
      <c r="L5644" s="1">
        <v>2.0973479505570487</v>
      </c>
      <c r="M5644" s="1">
        <v>0.15646379762182458</v>
      </c>
      <c r="N5644" s="1">
        <v>1.657282143146406</v>
      </c>
      <c r="O5644" s="1">
        <v>0.12669714285714284</v>
      </c>
      <c r="P5644" s="1">
        <v>9.1059976415948402E-2</v>
      </c>
      <c r="Q5644" s="1">
        <v>3.1381320598794296</v>
      </c>
      <c r="R5644" s="2">
        <f t="shared" si="355"/>
        <v>108.58782712388738</v>
      </c>
      <c r="S5644" s="2">
        <f t="shared" si="354"/>
        <v>2.0932015822163796</v>
      </c>
      <c r="T5644" s="2">
        <f t="shared" si="356"/>
        <v>4.0377910341824226</v>
      </c>
      <c r="U5644" s="2">
        <f t="shared" si="357"/>
        <v>114.71881974028618</v>
      </c>
    </row>
    <row r="5645" spans="1:21" x14ac:dyDescent="0.25">
      <c r="A5645">
        <v>5994209</v>
      </c>
      <c r="B5645">
        <v>32</v>
      </c>
      <c r="C5645" s="1">
        <f>0.495423976475399*(10.3/7.3)</f>
        <v>0.69902287091734372</v>
      </c>
      <c r="D5645" s="1">
        <f>0.837553568661799*(10.3/7.3)</f>
        <v>1.1817536653721274</v>
      </c>
      <c r="E5645" s="1">
        <f>2.87320904025315*(10.3/7.3)</f>
        <v>4.0539798787133519</v>
      </c>
      <c r="F5645" s="1">
        <f>8.44781106171171*(38.9/42.5)</f>
        <v>7.732231771778479</v>
      </c>
      <c r="G5645" s="1">
        <v>0.4509908139045315</v>
      </c>
      <c r="H5645" s="1">
        <v>1.69738814597023</v>
      </c>
      <c r="I5645" s="1">
        <v>6.3053325942584397</v>
      </c>
      <c r="J5645" s="1">
        <v>3.0661125149425109E-2</v>
      </c>
      <c r="K5645" s="1">
        <v>4.9135196983422649</v>
      </c>
      <c r="L5645" s="1">
        <v>1.6824488927448866</v>
      </c>
      <c r="M5645" s="1">
        <v>0.52358901306222327</v>
      </c>
      <c r="N5645" s="1">
        <v>1.0280012374777778</v>
      </c>
      <c r="O5645" s="1">
        <v>0.43367666666666665</v>
      </c>
      <c r="P5645" s="1">
        <v>0.11785479935045856</v>
      </c>
      <c r="Q5645" s="1">
        <v>0.72076157473326996</v>
      </c>
      <c r="R5645" s="2">
        <f t="shared" si="355"/>
        <v>22.841461315647773</v>
      </c>
      <c r="S5645" s="2">
        <f t="shared" si="354"/>
        <v>5.0620356228421484</v>
      </c>
      <c r="T5645" s="2">
        <f t="shared" si="356"/>
        <v>3.6677158099515546</v>
      </c>
      <c r="U5645" s="2">
        <f t="shared" si="357"/>
        <v>31.571212748441479</v>
      </c>
    </row>
    <row r="5646" spans="1:21" x14ac:dyDescent="0.25">
      <c r="A5646">
        <v>5994217</v>
      </c>
      <c r="B5646">
        <v>68</v>
      </c>
      <c r="C5646" s="1">
        <f>0.648050055765622*(10.3/7.3)</f>
        <v>0.91437199649121981</v>
      </c>
      <c r="D5646" s="1">
        <f>1.1720441040629*(10.3/7.3)</f>
        <v>1.6537060646366886</v>
      </c>
      <c r="E5646" s="1">
        <f>3.99644979390166*(10.3/7.3)</f>
        <v>5.6388264215324808</v>
      </c>
      <c r="F5646" s="1">
        <f>12.5405045593389*(38.9/42.5)</f>
        <v>11.478250055488996</v>
      </c>
      <c r="G5646" s="1">
        <v>0.69707156395255954</v>
      </c>
      <c r="H5646" s="1">
        <v>2.4233928376481289</v>
      </c>
      <c r="I5646" s="1">
        <v>9.3728310938293351</v>
      </c>
      <c r="J5646" s="1">
        <v>3.7924881581244248E-2</v>
      </c>
      <c r="K5646" s="1">
        <v>5.9835085224939935</v>
      </c>
      <c r="L5646" s="1">
        <v>2.0618582744501635</v>
      </c>
      <c r="M5646" s="1">
        <v>0.65694698381693217</v>
      </c>
      <c r="N5646" s="1">
        <v>1.2486618697899894</v>
      </c>
      <c r="O5646" s="1">
        <v>0.53372156862745102</v>
      </c>
      <c r="P5646" s="1">
        <v>0.13071303181672156</v>
      </c>
      <c r="Q5646" s="1">
        <v>1.1140413122529498</v>
      </c>
      <c r="R5646" s="2">
        <f t="shared" si="355"/>
        <v>33.29249134583236</v>
      </c>
      <c r="S5646" s="2">
        <f t="shared" si="354"/>
        <v>6.1521464358919591</v>
      </c>
      <c r="T5646" s="2">
        <f t="shared" si="356"/>
        <v>4.5011886966845358</v>
      </c>
      <c r="U5646" s="2">
        <f t="shared" si="357"/>
        <v>43.945826478408854</v>
      </c>
    </row>
    <row r="5647" spans="1:21" x14ac:dyDescent="0.25">
      <c r="A5647">
        <v>5994225</v>
      </c>
      <c r="B5647">
        <v>49</v>
      </c>
      <c r="C5647" s="1">
        <f>0.960858662805127*(10.3/7.3)</f>
        <v>1.3557320858757274</v>
      </c>
      <c r="D5647" s="1">
        <f>1.8966637395643*(10.3/7.3)</f>
        <v>2.6761145914400415</v>
      </c>
      <c r="E5647" s="1">
        <f>6.41364724152524*(10.3/7.3)</f>
        <v>9.049392683247941</v>
      </c>
      <c r="F5647" s="1">
        <f>22.0086913485498*(38.9/42.5)</f>
        <v>20.14442572843739</v>
      </c>
      <c r="G5647" s="1">
        <v>1.2835606209228247</v>
      </c>
      <c r="H5647" s="1">
        <v>4.2526988538824622</v>
      </c>
      <c r="I5647" s="1">
        <v>16.522212764762923</v>
      </c>
      <c r="J5647" s="1">
        <v>6.154446644663579E-2</v>
      </c>
      <c r="K5647" s="1">
        <v>8.1170655118624744</v>
      </c>
      <c r="L5647" s="1">
        <v>3.04799783545905</v>
      </c>
      <c r="M5647" s="1">
        <v>1.0210143285305024</v>
      </c>
      <c r="N5647" s="1">
        <v>1.7712308798226437</v>
      </c>
      <c r="O5647" s="1">
        <v>0.77829659863945577</v>
      </c>
      <c r="P5647" s="1">
        <v>0.15949235577673154</v>
      </c>
      <c r="Q5647" s="1">
        <v>2.0513525905159313</v>
      </c>
      <c r="R5647" s="2">
        <f t="shared" si="355"/>
        <v>57.335489919085248</v>
      </c>
      <c r="S5647" s="2">
        <f t="shared" si="354"/>
        <v>8.3381023340858409</v>
      </c>
      <c r="T5647" s="2">
        <f t="shared" si="356"/>
        <v>6.6185396424516512</v>
      </c>
      <c r="U5647" s="2">
        <f t="shared" si="357"/>
        <v>72.292131895622745</v>
      </c>
    </row>
    <row r="5648" spans="1:21" x14ac:dyDescent="0.25">
      <c r="A5648">
        <v>5994689</v>
      </c>
      <c r="B5648">
        <v>1</v>
      </c>
      <c r="C5648" s="1">
        <f>1.97273931889701*(10.3/7.3)</f>
        <v>2.7834541074848267</v>
      </c>
      <c r="D5648" s="1">
        <f>3.55214561192109*(10.3/7.3)</f>
        <v>5.0119314798338621</v>
      </c>
      <c r="E5648" s="1">
        <f>12.2540980739004*(10.3/7.3)</f>
        <v>17.290028789201902</v>
      </c>
      <c r="F5648" s="1">
        <f>31.2135210986498*(38.9/42.5)</f>
        <v>28.569552252646503</v>
      </c>
      <c r="G5648" s="1">
        <v>1.5278799604476927</v>
      </c>
      <c r="H5648" s="1">
        <v>4.9445745966469836</v>
      </c>
      <c r="I5648" s="1">
        <v>22.294073610591525</v>
      </c>
      <c r="J5648" s="1">
        <v>4.540228020223655E-2</v>
      </c>
      <c r="K5648" s="1">
        <v>2.1114476932994539</v>
      </c>
      <c r="L5648" s="1">
        <v>2.4177913640907764</v>
      </c>
      <c r="M5648" s="1">
        <v>0.1655783201491533</v>
      </c>
      <c r="N5648" s="1">
        <v>1.5394591667944686</v>
      </c>
      <c r="O5648" s="1">
        <v>0.13029333333333332</v>
      </c>
      <c r="P5648" s="1">
        <v>9.0284296829137828E-2</v>
      </c>
      <c r="Q5648" s="1">
        <v>2.4418172883867264</v>
      </c>
      <c r="R5648" s="2">
        <f t="shared" si="355"/>
        <v>84.863312085240025</v>
      </c>
      <c r="S5648" s="2">
        <f t="shared" si="354"/>
        <v>2.2471342703308284</v>
      </c>
      <c r="T5648" s="2">
        <f t="shared" si="356"/>
        <v>4.253122184367732</v>
      </c>
      <c r="U5648" s="2">
        <f t="shared" si="357"/>
        <v>91.363568539938584</v>
      </c>
    </row>
    <row r="5649" spans="1:21" x14ac:dyDescent="0.25">
      <c r="A5649">
        <v>5994753</v>
      </c>
      <c r="B5649">
        <v>21</v>
      </c>
      <c r="C5649" s="1">
        <f>2.33019673232853*(10.3/7.3)</f>
        <v>3.2878118278060033</v>
      </c>
      <c r="D5649" s="1">
        <f>4.13126763903587*(10.3/7.3)</f>
        <v>5.8290488605574646</v>
      </c>
      <c r="E5649" s="1">
        <f>14.2118693340568*(10.3/7.3)</f>
        <v>20.052363580929523</v>
      </c>
      <c r="F5649" s="1">
        <f>38.6052086046737*(38.9/42.5)</f>
        <v>35.335120346395435</v>
      </c>
      <c r="G5649" s="1">
        <v>1.9716211809027557</v>
      </c>
      <c r="H5649" s="1">
        <v>7.5107563465825296</v>
      </c>
      <c r="I5649" s="1">
        <v>28.086088799072627</v>
      </c>
      <c r="J5649" s="1">
        <v>3.5550773421906143E-2</v>
      </c>
      <c r="K5649" s="1">
        <v>2.0442377226533113</v>
      </c>
      <c r="L5649" s="1">
        <v>2.3637085277785488</v>
      </c>
      <c r="M5649" s="1">
        <v>0.16544057071859664</v>
      </c>
      <c r="N5649" s="1">
        <v>1.597694859055828</v>
      </c>
      <c r="O5649" s="1">
        <v>0.13392761904761902</v>
      </c>
      <c r="P5649" s="1">
        <v>9.411869151777405E-2</v>
      </c>
      <c r="Q5649" s="1">
        <v>3.1509927548674219</v>
      </c>
      <c r="R5649" s="2">
        <f t="shared" si="355"/>
        <v>105.22380369711375</v>
      </c>
      <c r="S5649" s="2">
        <f t="shared" si="354"/>
        <v>2.1739071875929916</v>
      </c>
      <c r="T5649" s="2">
        <f t="shared" si="356"/>
        <v>4.2607715766005922</v>
      </c>
      <c r="U5649" s="2">
        <f t="shared" si="357"/>
        <v>111.65848246130733</v>
      </c>
    </row>
    <row r="5650" spans="1:21" x14ac:dyDescent="0.25">
      <c r="A5650">
        <v>5994761</v>
      </c>
      <c r="B5650">
        <v>25</v>
      </c>
      <c r="C5650" s="1">
        <f>2.52332198089388*(10.3/7.3)</f>
        <v>3.5603036168776647</v>
      </c>
      <c r="D5650" s="1">
        <f>4.30784719452602*(10.3/7.3)</f>
        <v>6.0781953566600073</v>
      </c>
      <c r="E5650" s="1">
        <f>14.8153601038708*(10.3/7.3)</f>
        <v>20.903864256146424</v>
      </c>
      <c r="F5650" s="1">
        <f>41.388227254197*(38.9/42.5)</f>
        <v>37.882400945606221</v>
      </c>
      <c r="G5650" s="1">
        <v>2.1446541995374062</v>
      </c>
      <c r="H5650" s="1">
        <v>7.4457500345976255</v>
      </c>
      <c r="I5650" s="1">
        <v>30.514922302142008</v>
      </c>
      <c r="J5650" s="1">
        <v>3.421210325370027E-2</v>
      </c>
      <c r="K5650" s="1">
        <v>1.9834899405997299</v>
      </c>
      <c r="L5650" s="1">
        <v>2.1328753803841196</v>
      </c>
      <c r="M5650" s="1">
        <v>0.1583904776202088</v>
      </c>
      <c r="N5650" s="1">
        <v>1.5530258125903758</v>
      </c>
      <c r="O5650" s="1">
        <v>0.12902826666666664</v>
      </c>
      <c r="P5650" s="1">
        <v>9.1597608139690118E-2</v>
      </c>
      <c r="Q5650" s="1">
        <v>3.4275295426396934</v>
      </c>
      <c r="R5650" s="2">
        <f t="shared" si="355"/>
        <v>111.95762025420706</v>
      </c>
      <c r="S5650" s="2">
        <f t="shared" si="354"/>
        <v>2.1092996519931204</v>
      </c>
      <c r="T5650" s="2">
        <f t="shared" si="356"/>
        <v>3.9733199372613708</v>
      </c>
      <c r="U5650" s="2">
        <f t="shared" si="357"/>
        <v>118.04023984346155</v>
      </c>
    </row>
    <row r="5651" spans="1:21" x14ac:dyDescent="0.25">
      <c r="A5651">
        <v>600325</v>
      </c>
      <c r="B5651">
        <v>15</v>
      </c>
      <c r="C5651" s="1">
        <f>1.19049421041453*(10.3/7.3)</f>
        <v>1.6797384064752974</v>
      </c>
      <c r="D5651" s="1">
        <f>1.57011881106838*(10.3/7.3)</f>
        <v>2.2153731169868935</v>
      </c>
      <c r="E5651" s="1">
        <f>5.49683523546038*(10.3/7.3)</f>
        <v>7.7558086198961504</v>
      </c>
      <c r="F5651" s="1">
        <f>13.1107769771493*(38.9/42.5)</f>
        <v>12.000217044967242</v>
      </c>
      <c r="G5651" s="1">
        <v>0.58698916345626662</v>
      </c>
      <c r="H5651" s="1">
        <v>2.9011306113931918</v>
      </c>
      <c r="I5651" s="1">
        <v>9.9358952821877207</v>
      </c>
      <c r="J5651" s="1">
        <v>3.3465299392429836E-2</v>
      </c>
      <c r="K5651" s="1">
        <v>4.0907115393531299</v>
      </c>
      <c r="L5651" s="1">
        <v>1.3347742335946198</v>
      </c>
      <c r="M5651" s="1">
        <v>8.5528047955725536E-2</v>
      </c>
      <c r="N5651" s="1">
        <v>0.98690366191923184</v>
      </c>
      <c r="O5651" s="1">
        <v>6.5759999999999985E-2</v>
      </c>
      <c r="P5651" s="1">
        <v>5.7637926550301102E-2</v>
      </c>
      <c r="Q5651" s="1">
        <v>0.93811053520408016</v>
      </c>
      <c r="R5651" s="2">
        <f t="shared" si="355"/>
        <v>38.013262780566848</v>
      </c>
      <c r="S5651" s="2">
        <f t="shared" si="354"/>
        <v>4.1818147652958606</v>
      </c>
      <c r="T5651" s="2">
        <f t="shared" si="356"/>
        <v>2.472965943469577</v>
      </c>
      <c r="U5651" s="2">
        <f t="shared" si="357"/>
        <v>44.668043489332284</v>
      </c>
    </row>
    <row r="5652" spans="1:21" x14ac:dyDescent="0.25">
      <c r="A5652">
        <v>600349</v>
      </c>
      <c r="B5652">
        <v>15</v>
      </c>
      <c r="C5652" s="1">
        <f>1.26752384584249*(10.3/7.3)</f>
        <v>1.7884240564626914</v>
      </c>
      <c r="D5652" s="1">
        <f>1.92292955150841*(10.3/7.3)</f>
        <v>2.7131745726762553</v>
      </c>
      <c r="E5652" s="1">
        <f>6.62858973117019*(10.3/7.3)</f>
        <v>9.3526677028839735</v>
      </c>
      <c r="F5652" s="1">
        <f>19.1521165786242*(38.9/42.5)</f>
        <v>17.52981964490548</v>
      </c>
      <c r="G5652" s="1">
        <v>1.0025281641224082</v>
      </c>
      <c r="H5652" s="1">
        <v>7.0964050902693065</v>
      </c>
      <c r="I5652" s="1">
        <v>14.543150892676511</v>
      </c>
      <c r="J5652" s="1">
        <v>3.4195130438671395E-2</v>
      </c>
      <c r="K5652" s="1">
        <v>3.658806668963912</v>
      </c>
      <c r="L5652" s="1">
        <v>1.3838403807994024</v>
      </c>
      <c r="M5652" s="1">
        <v>8.4364729869689403E-2</v>
      </c>
      <c r="N5652" s="1">
        <v>1.0462203670594781</v>
      </c>
      <c r="O5652" s="1">
        <v>6.9635555555555548E-2</v>
      </c>
      <c r="P5652" s="1">
        <v>6.0777562683717049E-2</v>
      </c>
      <c r="Q5652" s="1">
        <v>1.6022139609262247</v>
      </c>
      <c r="R5652" s="2">
        <f t="shared" si="355"/>
        <v>55.628384084922843</v>
      </c>
      <c r="S5652" s="2">
        <f t="shared" si="354"/>
        <v>3.7537793620863007</v>
      </c>
      <c r="T5652" s="2">
        <f t="shared" si="356"/>
        <v>2.5840610332841254</v>
      </c>
      <c r="U5652" s="2">
        <f t="shared" si="357"/>
        <v>61.966224480293263</v>
      </c>
    </row>
    <row r="5653" spans="1:21" x14ac:dyDescent="0.25">
      <c r="A5653">
        <v>600357</v>
      </c>
      <c r="B5653">
        <v>31</v>
      </c>
      <c r="C5653" s="1">
        <f>1.32608045031033*(10.3/7.3)</f>
        <v>1.8710450189310091</v>
      </c>
      <c r="D5653" s="1">
        <f>2.09581987240936*(10.3/7.3)</f>
        <v>2.9571157103858074</v>
      </c>
      <c r="E5653" s="1">
        <f>7.19664255634294*(10.3/7.3)</f>
        <v>10.154166894566069</v>
      </c>
      <c r="F5653" s="1">
        <f>21.6699928432297*(38.9/42.5)</f>
        <v>19.834416978862027</v>
      </c>
      <c r="G5653" s="1">
        <v>1.1661921753199656</v>
      </c>
      <c r="H5653" s="1">
        <v>6.0038786213844704</v>
      </c>
      <c r="I5653" s="1">
        <v>16.447180671338636</v>
      </c>
      <c r="J5653" s="1">
        <v>3.0877109353575304E-2</v>
      </c>
      <c r="K5653" s="1">
        <v>3.6446643980583051</v>
      </c>
      <c r="L5653" s="1">
        <v>1.414443385285217</v>
      </c>
      <c r="M5653" s="1">
        <v>8.4781720084304485E-2</v>
      </c>
      <c r="N5653" s="1">
        <v>0.98464618927482783</v>
      </c>
      <c r="O5653" s="1">
        <v>7.2070537634408599E-2</v>
      </c>
      <c r="P5653" s="1">
        <v>6.2210134421854434E-2</v>
      </c>
      <c r="Q5653" s="1">
        <v>1.8637774491414993</v>
      </c>
      <c r="R5653" s="2">
        <f t="shared" si="355"/>
        <v>60.297773519929486</v>
      </c>
      <c r="S5653" s="2">
        <f t="shared" si="354"/>
        <v>3.7377516418337349</v>
      </c>
      <c r="T5653" s="2">
        <f t="shared" si="356"/>
        <v>2.5559418322787577</v>
      </c>
      <c r="U5653" s="2">
        <f t="shared" si="357"/>
        <v>66.59146699404198</v>
      </c>
    </row>
    <row r="5654" spans="1:21" x14ac:dyDescent="0.25">
      <c r="A5654">
        <v>600365</v>
      </c>
      <c r="B5654">
        <v>14</v>
      </c>
      <c r="C5654" s="1">
        <f>1.20762075810534*(10.3/7.3)</f>
        <v>1.7039032614363001</v>
      </c>
      <c r="D5654" s="1">
        <f>1.88512585784957*(10.3/7.3)</f>
        <v>2.6598351145000745</v>
      </c>
      <c r="E5654" s="1">
        <f>6.49746428231654*(10.3/7.3)</f>
        <v>9.1676550832685386</v>
      </c>
      <c r="F5654" s="1">
        <f>18.4628622287906*(38.9/42.5)</f>
        <v>16.898949192940083</v>
      </c>
      <c r="G5654" s="1">
        <v>0.95916312545099369</v>
      </c>
      <c r="H5654" s="1">
        <v>7.0468825651941938</v>
      </c>
      <c r="I5654" s="1">
        <v>13.897993509038534</v>
      </c>
      <c r="J5654" s="1">
        <v>3.1485784222490938E-2</v>
      </c>
      <c r="K5654" s="1">
        <v>3.2778684721310296</v>
      </c>
      <c r="L5654" s="1">
        <v>1.2976231834911147</v>
      </c>
      <c r="M5654" s="1">
        <v>7.6090297294551495E-2</v>
      </c>
      <c r="N5654" s="1">
        <v>0.91237366180789192</v>
      </c>
      <c r="O5654" s="1">
        <v>6.7683809523809521E-2</v>
      </c>
      <c r="P5654" s="1">
        <v>5.8932350483879556E-2</v>
      </c>
      <c r="Q5654" s="1">
        <v>1.5329091046020462</v>
      </c>
      <c r="R5654" s="2">
        <f t="shared" si="355"/>
        <v>53.867290956430764</v>
      </c>
      <c r="S5654" s="2">
        <f t="shared" si="354"/>
        <v>3.3682866068374002</v>
      </c>
      <c r="T5654" s="2">
        <f t="shared" si="356"/>
        <v>2.3537709521173675</v>
      </c>
      <c r="U5654" s="2">
        <f t="shared" si="357"/>
        <v>59.589348515385531</v>
      </c>
    </row>
    <row r="5655" spans="1:21" x14ac:dyDescent="0.25">
      <c r="A5655">
        <v>600381</v>
      </c>
      <c r="B5655">
        <v>20</v>
      </c>
      <c r="C5655" s="1">
        <f>1.10922276724455*(10.3/7.3)</f>
        <v>1.5650677400847703</v>
      </c>
      <c r="D5655" s="1">
        <f>1.70787538380566*(10.3/7.3)</f>
        <v>2.4097419798901805</v>
      </c>
      <c r="E5655" s="1">
        <f>5.89321529092598*(10.3/7.3)</f>
        <v>8.3150845885667923</v>
      </c>
      <c r="F5655" s="1">
        <f>16.5555199510007*(38.9/42.5)</f>
        <v>15.153170025739474</v>
      </c>
      <c r="G5655" s="1">
        <v>0.85284993311885893</v>
      </c>
      <c r="H5655" s="1">
        <v>5.2403421192249509</v>
      </c>
      <c r="I5655" s="1">
        <v>12.469895566757602</v>
      </c>
      <c r="J5655" s="1">
        <v>2.489572508435162E-2</v>
      </c>
      <c r="K5655" s="1">
        <v>2.8236694322775238</v>
      </c>
      <c r="L5655" s="1">
        <v>1.1649538956343435</v>
      </c>
      <c r="M5655" s="1">
        <v>6.6618744773795147E-2</v>
      </c>
      <c r="N5655" s="1">
        <v>0.82904188514704436</v>
      </c>
      <c r="O5655" s="1">
        <v>6.262666666666665E-2</v>
      </c>
      <c r="P5655" s="1">
        <v>5.4369284274950067E-2</v>
      </c>
      <c r="Q5655" s="1">
        <v>1.3630021762173563</v>
      </c>
      <c r="R5655" s="2">
        <f t="shared" si="355"/>
        <v>47.369154129599984</v>
      </c>
      <c r="S5655" s="2">
        <f t="shared" si="354"/>
        <v>2.9029344416368255</v>
      </c>
      <c r="T5655" s="2">
        <f t="shared" si="356"/>
        <v>2.1232411922218497</v>
      </c>
      <c r="U5655" s="2">
        <f t="shared" si="357"/>
        <v>52.395329763458655</v>
      </c>
    </row>
    <row r="5656" spans="1:21" x14ac:dyDescent="0.25">
      <c r="A5656">
        <v>600389</v>
      </c>
      <c r="B5656">
        <v>2</v>
      </c>
      <c r="C5656" s="1">
        <f>1.00668254159342*(10.3/7.3)</f>
        <v>1.4203876956729051</v>
      </c>
      <c r="D5656" s="1">
        <f>1.57762760850573*(10.3/7.3)</f>
        <v>2.2259677215902749</v>
      </c>
      <c r="E5656" s="1">
        <f>5.43270002988103*(10.3/7.3)</f>
        <v>7.6653164805170748</v>
      </c>
      <c r="F5656" s="1">
        <f>15.649443459992*(38.9/42.5)</f>
        <v>14.323843543380903</v>
      </c>
      <c r="G5656" s="1">
        <v>0.82010888185968689</v>
      </c>
      <c r="H5656" s="1">
        <v>4.0560963488119786</v>
      </c>
      <c r="I5656" s="1">
        <v>11.801178945058485</v>
      </c>
      <c r="J5656" s="1">
        <v>2.3032109994181309E-2</v>
      </c>
      <c r="K5656" s="1">
        <v>2.5851169198477089</v>
      </c>
      <c r="L5656" s="1">
        <v>1.0617386695958708</v>
      </c>
      <c r="M5656" s="1">
        <v>6.1783534388376762E-2</v>
      </c>
      <c r="N5656" s="1">
        <v>0.79988224164303023</v>
      </c>
      <c r="O5656" s="1">
        <v>5.7493333333333334E-2</v>
      </c>
      <c r="P5656" s="1">
        <v>5.1090341291075939E-2</v>
      </c>
      <c r="Q5656" s="1">
        <v>1.3106762952095465</v>
      </c>
      <c r="R5656" s="2">
        <f t="shared" si="355"/>
        <v>43.623575912100847</v>
      </c>
      <c r="S5656" s="2">
        <f t="shared" si="354"/>
        <v>2.6592393711329665</v>
      </c>
      <c r="T5656" s="2">
        <f t="shared" si="356"/>
        <v>1.9808977789606113</v>
      </c>
      <c r="U5656" s="2">
        <f t="shared" si="357"/>
        <v>48.263713062194427</v>
      </c>
    </row>
    <row r="5657" spans="1:21" x14ac:dyDescent="0.25">
      <c r="A5657">
        <v>600405</v>
      </c>
      <c r="B5657">
        <v>2</v>
      </c>
      <c r="C5657" s="1">
        <f>1.89447497886809*(10.3/7.3)</f>
        <v>2.6730263400467549</v>
      </c>
      <c r="D5657" s="1">
        <f>2.52920863441047*(10.3/7.3)</f>
        <v>3.568609443072301</v>
      </c>
      <c r="E5657" s="1">
        <f>8.81323395935483*(10.3/7.3)</f>
        <v>12.435110928952707</v>
      </c>
      <c r="F5657" s="1">
        <f>22.8867514294028*(38.9/42.5)</f>
        <v>20.948108955382786</v>
      </c>
      <c r="G5657" s="1">
        <v>1.0996122032758553</v>
      </c>
      <c r="H5657" s="1">
        <v>6.2680544818908093</v>
      </c>
      <c r="I5657" s="1">
        <v>17.549253451204347</v>
      </c>
      <c r="J5657" s="1">
        <v>2.8696787010067833E-2</v>
      </c>
      <c r="K5657" s="1">
        <v>2.7395547445836796</v>
      </c>
      <c r="L5657" s="1">
        <v>1.1984445341366514</v>
      </c>
      <c r="M5657" s="1">
        <v>6.4684390972838471E-2</v>
      </c>
      <c r="N5657" s="1">
        <v>1.0405322501506933</v>
      </c>
      <c r="O5657" s="1">
        <v>6.117333333333333E-2</v>
      </c>
      <c r="P5657" s="1">
        <v>5.4237006082993582E-2</v>
      </c>
      <c r="Q5657" s="1">
        <v>1.757371101125798</v>
      </c>
      <c r="R5657" s="2">
        <f t="shared" si="355"/>
        <v>66.299146904951357</v>
      </c>
      <c r="S5657" s="2">
        <f t="shared" si="354"/>
        <v>2.8224885376767412</v>
      </c>
      <c r="T5657" s="2">
        <f t="shared" si="356"/>
        <v>2.3648345085935167</v>
      </c>
      <c r="U5657" s="2">
        <f t="shared" si="357"/>
        <v>71.486469951221622</v>
      </c>
    </row>
    <row r="5658" spans="1:21" x14ac:dyDescent="0.25">
      <c r="A5658">
        <v>6006445</v>
      </c>
      <c r="B5658">
        <v>65</v>
      </c>
      <c r="C5658" s="1">
        <f>0.56474101659235*(10.3/7.3)</f>
        <v>0.79682636587687805</v>
      </c>
      <c r="D5658" s="1">
        <f>0.988776016581231*(10.3/7.3)</f>
        <v>1.3951223247652986</v>
      </c>
      <c r="E5658" s="1">
        <f>3.38170134738793*(10.3/7.3)</f>
        <v>4.7714416271363982</v>
      </c>
      <c r="F5658" s="1">
        <f>10.2684357268504*(38.9/42.5)</f>
        <v>9.3986388182230556</v>
      </c>
      <c r="G5658" s="1">
        <v>0.55966361800979836</v>
      </c>
      <c r="H5658" s="1">
        <v>2.0264590683352659</v>
      </c>
      <c r="I5658" s="1">
        <v>7.6660530087869754</v>
      </c>
      <c r="J5658" s="1">
        <v>3.509482019531731E-2</v>
      </c>
      <c r="K5658" s="1">
        <v>5.1797887184424063</v>
      </c>
      <c r="L5658" s="1">
        <v>1.8342926761400038</v>
      </c>
      <c r="M5658" s="1">
        <v>0.56911361055547238</v>
      </c>
      <c r="N5658" s="1">
        <v>1.1352194226180519</v>
      </c>
      <c r="O5658" s="1">
        <v>0.4627552820512818</v>
      </c>
      <c r="P5658" s="1">
        <v>0.12362314780387886</v>
      </c>
      <c r="Q5658" s="1">
        <v>0.89443957216177894</v>
      </c>
      <c r="R5658" s="2">
        <f t="shared" si="355"/>
        <v>27.508644403295449</v>
      </c>
      <c r="S5658" s="2">
        <f t="shared" si="354"/>
        <v>5.338506686441602</v>
      </c>
      <c r="T5658" s="2">
        <f t="shared" si="356"/>
        <v>4.00138099136481</v>
      </c>
      <c r="U5658" s="2">
        <f t="shared" si="357"/>
        <v>36.848532081101865</v>
      </c>
    </row>
    <row r="5659" spans="1:21" x14ac:dyDescent="0.25">
      <c r="A5659">
        <v>6006453</v>
      </c>
      <c r="B5659">
        <v>64</v>
      </c>
      <c r="C5659" s="1">
        <f>0.957275687626367*(10.3/7.3)</f>
        <v>1.3506766551440526</v>
      </c>
      <c r="D5659" s="1">
        <f>1.86267755245843*(10.3/7.3)</f>
        <v>2.6281614781262821</v>
      </c>
      <c r="E5659" s="1">
        <f>6.3096988601914*(10.3/7.3)</f>
        <v>8.9027257890371825</v>
      </c>
      <c r="F5659" s="1">
        <f>21.2194314711726*(38.9/42.5)</f>
        <v>19.422020805379116</v>
      </c>
      <c r="G5659" s="1">
        <v>1.225358521210963</v>
      </c>
      <c r="H5659" s="1">
        <v>3.7120839535136709</v>
      </c>
      <c r="I5659" s="1">
        <v>15.899736772320598</v>
      </c>
      <c r="J5659" s="1">
        <v>5.6672494581643376E-2</v>
      </c>
      <c r="K5659" s="1">
        <v>7.639105642474278</v>
      </c>
      <c r="L5659" s="1">
        <v>3.0173600971690457</v>
      </c>
      <c r="M5659" s="1">
        <v>0.97784792439159229</v>
      </c>
      <c r="N5659" s="1">
        <v>1.7014168697707734</v>
      </c>
      <c r="O5659" s="1">
        <v>0.7660166666666669</v>
      </c>
      <c r="P5659" s="1">
        <v>0.16001201896210959</v>
      </c>
      <c r="Q5659" s="1">
        <v>1.9583355361819061</v>
      </c>
      <c r="R5659" s="2">
        <f t="shared" si="355"/>
        <v>55.099099510913774</v>
      </c>
      <c r="S5659" s="2">
        <f t="shared" si="354"/>
        <v>7.8557901560180303</v>
      </c>
      <c r="T5659" s="2">
        <f t="shared" si="356"/>
        <v>6.4626415579980785</v>
      </c>
      <c r="U5659" s="2">
        <f t="shared" si="357"/>
        <v>69.417531224929888</v>
      </c>
    </row>
    <row r="5660" spans="1:21" x14ac:dyDescent="0.25">
      <c r="A5660">
        <v>6006925</v>
      </c>
      <c r="B5660">
        <v>2</v>
      </c>
      <c r="C5660" s="1">
        <f>2.56758813229751*(10.3/7.3)</f>
        <v>3.6227613373512884</v>
      </c>
      <c r="D5660" s="1">
        <f>4.68883862294432*(10.3/7.3)</f>
        <v>6.6157586049762349</v>
      </c>
      <c r="E5660" s="1">
        <f>16.1576487909437*(10.3/7.3)</f>
        <v>22.79777843105758</v>
      </c>
      <c r="F5660" s="1">
        <f>41.6972601461742*(38.9/42.5)</f>
        <v>38.165256933792413</v>
      </c>
      <c r="G5660" s="1">
        <v>2.0627452415454277</v>
      </c>
      <c r="H5660" s="1">
        <v>6.3083635139286933</v>
      </c>
      <c r="I5660" s="1">
        <v>29.795151464231179</v>
      </c>
      <c r="J5660" s="1">
        <v>5.0676582472458986E-2</v>
      </c>
      <c r="K5660" s="1">
        <v>2.3401716830169335</v>
      </c>
      <c r="L5660" s="1">
        <v>2.7224032039340917</v>
      </c>
      <c r="M5660" s="1">
        <v>0.17796034302084199</v>
      </c>
      <c r="N5660" s="1">
        <v>2.2059958189186784</v>
      </c>
      <c r="O5660" s="1">
        <v>0.14328000000000002</v>
      </c>
      <c r="P5660" s="1">
        <v>9.6132847727378526E-2</v>
      </c>
      <c r="Q5660" s="1">
        <v>3.2966248152552535</v>
      </c>
      <c r="R5660" s="2">
        <f t="shared" si="355"/>
        <v>112.66444034213808</v>
      </c>
      <c r="S5660" s="2">
        <f t="shared" si="354"/>
        <v>2.4869811132167707</v>
      </c>
      <c r="T5660" s="2">
        <f t="shared" si="356"/>
        <v>5.2496393658736116</v>
      </c>
      <c r="U5660" s="2">
        <f t="shared" si="357"/>
        <v>120.40106082122846</v>
      </c>
    </row>
    <row r="5661" spans="1:21" x14ac:dyDescent="0.25">
      <c r="A5661">
        <v>6006989</v>
      </c>
      <c r="B5661">
        <v>53</v>
      </c>
      <c r="C5661" s="1">
        <f>2.17985105841376*(10.3/7.3)</f>
        <v>3.0756802605016058</v>
      </c>
      <c r="D5661" s="1">
        <f>3.87167853052529*(10.3/7.3)</f>
        <v>5.4627792964945838</v>
      </c>
      <c r="E5661" s="1">
        <f>13.3016286764588*(10.3/7.3)</f>
        <v>18.768051420208948</v>
      </c>
      <c r="F5661" s="1">
        <f>36.9753267937901*(38.9/42.5)</f>
        <v>33.843299112433726</v>
      </c>
      <c r="G5661" s="1">
        <v>1.9165103346356616</v>
      </c>
      <c r="H5661" s="1">
        <v>6.8050012105463837</v>
      </c>
      <c r="I5661" s="1">
        <v>27.031000573779441</v>
      </c>
      <c r="J5661" s="1">
        <v>3.2638723300523698E-2</v>
      </c>
      <c r="K5661" s="1">
        <v>1.9486204652147399</v>
      </c>
      <c r="L5661" s="1">
        <v>2.1546526512615181</v>
      </c>
      <c r="M5661" s="1">
        <v>0.15739680330487052</v>
      </c>
      <c r="N5661" s="1">
        <v>1.4947417662878126</v>
      </c>
      <c r="O5661" s="1">
        <v>0.12702490566037733</v>
      </c>
      <c r="P5661" s="1">
        <v>9.0145663639648543E-2</v>
      </c>
      <c r="Q5661" s="1">
        <v>3.0629160599200103</v>
      </c>
      <c r="R5661" s="2">
        <f t="shared" si="355"/>
        <v>99.965238268520352</v>
      </c>
      <c r="S5661" s="2">
        <f t="shared" si="354"/>
        <v>2.0714048521549122</v>
      </c>
      <c r="T5661" s="2">
        <f t="shared" si="356"/>
        <v>3.9338161265145786</v>
      </c>
      <c r="U5661" s="2">
        <f t="shared" si="357"/>
        <v>105.97045924718984</v>
      </c>
    </row>
    <row r="5662" spans="1:21" x14ac:dyDescent="0.25">
      <c r="A5662">
        <v>6006997</v>
      </c>
      <c r="B5662">
        <v>19</v>
      </c>
      <c r="C5662" s="1">
        <f>3.21048351522964*(10.3/7.3)</f>
        <v>4.5298603023103086</v>
      </c>
      <c r="D5662" s="1">
        <f>5.70372588271991*(10.3/7.3)</f>
        <v>8.0477228208239886</v>
      </c>
      <c r="E5662" s="1">
        <f>19.5332163221353*(10.3/7.3)</f>
        <v>27.560565495615609</v>
      </c>
      <c r="F5662" s="1">
        <f>57.4992896637145*(38.9/42.5)</f>
        <v>52.6287615980822</v>
      </c>
      <c r="G5662" s="1">
        <v>3.0837130765880825</v>
      </c>
      <c r="H5662" s="1">
        <v>9.6739908950917606</v>
      </c>
      <c r="I5662" s="1">
        <v>42.552558969760007</v>
      </c>
      <c r="J5662" s="1">
        <v>3.8191067080100706E-2</v>
      </c>
      <c r="K5662" s="1">
        <v>2.1960304287608108</v>
      </c>
      <c r="L5662" s="1">
        <v>2.4261221352933817</v>
      </c>
      <c r="M5662" s="1">
        <v>0.17614774201134931</v>
      </c>
      <c r="N5662" s="1">
        <v>1.9909946469835573</v>
      </c>
      <c r="O5662" s="1">
        <v>0.14634666666666668</v>
      </c>
      <c r="P5662" s="1">
        <v>9.9924411819620793E-2</v>
      </c>
      <c r="Q5662" s="1">
        <v>4.9283085698896345</v>
      </c>
      <c r="R5662" s="2">
        <f t="shared" si="355"/>
        <v>153.00548172816158</v>
      </c>
      <c r="S5662" s="2">
        <f t="shared" si="354"/>
        <v>2.3341459076605324</v>
      </c>
      <c r="T5662" s="2">
        <f t="shared" si="356"/>
        <v>4.739611190954955</v>
      </c>
      <c r="U5662" s="2">
        <f t="shared" si="357"/>
        <v>160.07923882677707</v>
      </c>
    </row>
    <row r="5663" spans="1:21" x14ac:dyDescent="0.25">
      <c r="A5663">
        <v>6018673</v>
      </c>
      <c r="B5663">
        <v>18</v>
      </c>
      <c r="C5663" s="1">
        <f>0.461201997641186*(10.3/7.3)</f>
        <v>0.65073706516496155</v>
      </c>
      <c r="D5663" s="1">
        <f>0.778556805162637*(10.3/7.3)</f>
        <v>1.0985116565993369</v>
      </c>
      <c r="E5663" s="1">
        <f>2.6713044071607*(10.3/7.3)</f>
        <v>3.769100738870574</v>
      </c>
      <c r="F5663" s="1">
        <f>7.83616288926694*(38.9/42.5)</f>
        <v>7.1723937974702148</v>
      </c>
      <c r="G5663" s="1">
        <v>0.41773497045948149</v>
      </c>
      <c r="H5663" s="1">
        <v>1.5869441974247671</v>
      </c>
      <c r="I5663" s="1">
        <v>5.8477015902445446</v>
      </c>
      <c r="J5663" s="1">
        <v>3.351800941243617E-2</v>
      </c>
      <c r="K5663" s="1">
        <v>4.4727054495906184</v>
      </c>
      <c r="L5663" s="1">
        <v>1.6392138708833466</v>
      </c>
      <c r="M5663" s="1">
        <v>0.49775594878906659</v>
      </c>
      <c r="N5663" s="1">
        <v>1.0046752906896386</v>
      </c>
      <c r="O5663" s="1">
        <v>0.39873481481481482</v>
      </c>
      <c r="P5663" s="1">
        <v>0.11477311873820491</v>
      </c>
      <c r="Q5663" s="1">
        <v>0.66761296648775659</v>
      </c>
      <c r="R5663" s="2">
        <f t="shared" si="355"/>
        <v>21.210736982721635</v>
      </c>
      <c r="S5663" s="2">
        <f t="shared" si="354"/>
        <v>4.6209965777412592</v>
      </c>
      <c r="T5663" s="2">
        <f t="shared" si="356"/>
        <v>3.5403799251768664</v>
      </c>
      <c r="U5663" s="2">
        <f t="shared" si="357"/>
        <v>29.372113485639758</v>
      </c>
    </row>
    <row r="5664" spans="1:21" x14ac:dyDescent="0.25">
      <c r="A5664">
        <v>6018681</v>
      </c>
      <c r="B5664">
        <v>60</v>
      </c>
      <c r="C5664" s="1">
        <f>0.856725676347158*(10.3/7.3)</f>
        <v>1.2088047214213331</v>
      </c>
      <c r="D5664" s="1">
        <f>1.61971704169114*(10.3/7.3)</f>
        <v>2.2853541821121497</v>
      </c>
      <c r="E5664" s="1">
        <f>5.50262899821606*(10.3/7.3)</f>
        <v>7.7639833810445724</v>
      </c>
      <c r="F5664" s="1">
        <f>17.9235258656998*(38.9/42.5)</f>
        <v>16.405297792369932</v>
      </c>
      <c r="G5664" s="1">
        <v>1.0178874349326674</v>
      </c>
      <c r="H5664" s="1">
        <v>3.214007078680571</v>
      </c>
      <c r="I5664" s="1">
        <v>13.402661492936952</v>
      </c>
      <c r="J5664" s="1">
        <v>4.8668274134167529E-2</v>
      </c>
      <c r="K5664" s="1">
        <v>6.6794923615063562</v>
      </c>
      <c r="L5664" s="1">
        <v>2.6768715927972351</v>
      </c>
      <c r="M5664" s="1">
        <v>0.83874920672264941</v>
      </c>
      <c r="N5664" s="1">
        <v>1.541095812155403</v>
      </c>
      <c r="O5664" s="1">
        <v>0.68643022222222205</v>
      </c>
      <c r="P5664" s="1">
        <v>0.15008835424671124</v>
      </c>
      <c r="Q5664" s="1">
        <v>1.6267607407599718</v>
      </c>
      <c r="R5664" s="2">
        <f t="shared" si="355"/>
        <v>46.924756824258147</v>
      </c>
      <c r="S5664" s="2">
        <f t="shared" si="354"/>
        <v>6.8782489898872354</v>
      </c>
      <c r="T5664" s="2">
        <f t="shared" si="356"/>
        <v>5.7431468338975087</v>
      </c>
      <c r="U5664" s="2">
        <f t="shared" si="357"/>
        <v>59.546152648042892</v>
      </c>
    </row>
    <row r="5665" spans="1:21" x14ac:dyDescent="0.25">
      <c r="A5665">
        <v>6018689</v>
      </c>
      <c r="B5665">
        <v>19</v>
      </c>
      <c r="C5665" s="1">
        <f>0.847648815698297*(10.3/7.3)</f>
        <v>1.1959976440674598</v>
      </c>
      <c r="D5665" s="1">
        <f>1.7114758252615*(10.3/7.3)</f>
        <v>2.414822054821022</v>
      </c>
      <c r="E5665" s="1">
        <f>5.77531795201736*(10.3/7.3)</f>
        <v>8.148736288462846</v>
      </c>
      <c r="F5665" s="1">
        <f>20.2515700640004*(38.9/42.5)</f>
        <v>18.536142952696853</v>
      </c>
      <c r="G5665" s="1">
        <v>1.1937013959170408</v>
      </c>
      <c r="H5665" s="1">
        <v>3.8732913526401767</v>
      </c>
      <c r="I5665" s="1">
        <v>15.219944785821999</v>
      </c>
      <c r="J5665" s="1">
        <v>5.3561291047826871E-2</v>
      </c>
      <c r="K5665" s="1">
        <v>6.7605743036928763</v>
      </c>
      <c r="L5665" s="1">
        <v>2.7235695980003727</v>
      </c>
      <c r="M5665" s="1">
        <v>0.87428256858413156</v>
      </c>
      <c r="N5665" s="1">
        <v>1.6603742214453683</v>
      </c>
      <c r="O5665" s="1">
        <v>0.66521543859649124</v>
      </c>
      <c r="P5665" s="1">
        <v>0.14973597547527748</v>
      </c>
      <c r="Q5665" s="1">
        <v>1.9077419569450449</v>
      </c>
      <c r="R5665" s="2">
        <f t="shared" si="355"/>
        <v>52.490378431372442</v>
      </c>
      <c r="S5665" s="2">
        <f t="shared" si="354"/>
        <v>6.9638715702159804</v>
      </c>
      <c r="T5665" s="2">
        <f t="shared" si="356"/>
        <v>5.9234418266263633</v>
      </c>
      <c r="U5665" s="2">
        <f t="shared" si="357"/>
        <v>65.377691828214779</v>
      </c>
    </row>
    <row r="5666" spans="1:21" x14ac:dyDescent="0.25">
      <c r="A5666">
        <v>6019153</v>
      </c>
      <c r="B5666">
        <v>7</v>
      </c>
      <c r="C5666" s="1">
        <f>1.95709214077418*(10.3/7.3)</f>
        <v>2.761376582188229</v>
      </c>
      <c r="D5666" s="1">
        <f>3.58430823803964*(10.3/7.3)</f>
        <v>5.0573116235353881</v>
      </c>
      <c r="E5666" s="1">
        <f>12.348398751538*(10.3/7.3)</f>
        <v>17.423083169978323</v>
      </c>
      <c r="F5666" s="1">
        <f>31.9661445395885*(38.9/42.5)</f>
        <v>29.258424060941</v>
      </c>
      <c r="G5666" s="1">
        <v>1.5852061146619221</v>
      </c>
      <c r="H5666" s="1">
        <v>5.8452895149220598</v>
      </c>
      <c r="I5666" s="1">
        <v>22.846414518464854</v>
      </c>
      <c r="J5666" s="1">
        <v>5.2846071936328211E-2</v>
      </c>
      <c r="K5666" s="1">
        <v>2.0989589919541607</v>
      </c>
      <c r="L5666" s="1">
        <v>2.6922409787775656</v>
      </c>
      <c r="M5666" s="1">
        <v>0.17870066135224466</v>
      </c>
      <c r="N5666" s="1">
        <v>1.6972788264981116</v>
      </c>
      <c r="O5666" s="1">
        <v>0.13887238095238094</v>
      </c>
      <c r="P5666" s="1">
        <v>9.5238753448557797E-2</v>
      </c>
      <c r="Q5666" s="1">
        <v>2.5334344298249922</v>
      </c>
      <c r="R5666" s="2">
        <f t="shared" si="355"/>
        <v>87.310540014516775</v>
      </c>
      <c r="S5666" s="2">
        <f t="shared" si="354"/>
        <v>2.2470438173390468</v>
      </c>
      <c r="T5666" s="2">
        <f t="shared" si="356"/>
        <v>4.7070928475803031</v>
      </c>
      <c r="U5666" s="2">
        <f t="shared" si="357"/>
        <v>94.264676679436121</v>
      </c>
    </row>
    <row r="5667" spans="1:21" x14ac:dyDescent="0.25">
      <c r="A5667">
        <v>6019217</v>
      </c>
      <c r="B5667">
        <v>29</v>
      </c>
      <c r="C5667" s="1">
        <f>2.22297644714603*(10.3/7.3)</f>
        <v>3.1365284117265868</v>
      </c>
      <c r="D5667" s="1">
        <f>4.08078011997268*(10.3/7.3)</f>
        <v>5.7578130459888497</v>
      </c>
      <c r="E5667" s="1">
        <f>13.9810890923627*(10.3/7.3)</f>
        <v>19.726742144018594</v>
      </c>
      <c r="F5667" s="1">
        <f>40.1087458262264*(38.9/42.5)</f>
        <v>36.711299120946073</v>
      </c>
      <c r="G5667" s="1">
        <v>2.1245878256670938</v>
      </c>
      <c r="H5667" s="1">
        <v>7.1599497310048896</v>
      </c>
      <c r="I5667" s="1">
        <v>29.352472533815906</v>
      </c>
      <c r="J5667" s="1">
        <v>3.1787156201661254E-2</v>
      </c>
      <c r="K5667" s="1">
        <v>1.9386663203161532</v>
      </c>
      <c r="L5667" s="1">
        <v>2.3044700220554826</v>
      </c>
      <c r="M5667" s="1">
        <v>0.15769439308495825</v>
      </c>
      <c r="N5667" s="1">
        <v>1.4822207152581479</v>
      </c>
      <c r="O5667" s="1">
        <v>0.12728275862068969</v>
      </c>
      <c r="P5667" s="1">
        <v>8.994030543190458E-2</v>
      </c>
      <c r="Q5667" s="1">
        <v>3.3954599953583733</v>
      </c>
      <c r="R5667" s="2">
        <f t="shared" si="355"/>
        <v>107.36485280852636</v>
      </c>
      <c r="S5667" s="2">
        <f t="shared" si="354"/>
        <v>2.0603937819497191</v>
      </c>
      <c r="T5667" s="2">
        <f t="shared" si="356"/>
        <v>4.0716678890192783</v>
      </c>
      <c r="U5667" s="2">
        <f t="shared" si="357"/>
        <v>113.49691447949536</v>
      </c>
    </row>
    <row r="5668" spans="1:21" x14ac:dyDescent="0.25">
      <c r="A5668">
        <v>6019225</v>
      </c>
      <c r="B5668">
        <v>6</v>
      </c>
      <c r="C5668" s="1">
        <f>2.36426016494502*(10.3/7.3)</f>
        <v>3.3358739313607777</v>
      </c>
      <c r="D5668" s="1">
        <f>4.18264723931485*(10.3/7.3)</f>
        <v>5.901543365060685</v>
      </c>
      <c r="E5668" s="1">
        <f>14.3508733665842*(10.3/7.3)</f>
        <v>20.248492558331115</v>
      </c>
      <c r="F5668" s="1">
        <f>40.9661016177995*(38.9/42.5)</f>
        <v>37.49603183370354</v>
      </c>
      <c r="G5668" s="1">
        <v>2.1573436145647196</v>
      </c>
      <c r="H5668" s="1">
        <v>7.4717269663553729</v>
      </c>
      <c r="I5668" s="1">
        <v>30.144116589652246</v>
      </c>
      <c r="J5668" s="1">
        <v>3.2807037049560027E-2</v>
      </c>
      <c r="K5668" s="1">
        <v>1.95447147100362</v>
      </c>
      <c r="L5668" s="1">
        <v>2.1030389091019708</v>
      </c>
      <c r="M5668" s="1">
        <v>0.1571539303681585</v>
      </c>
      <c r="N5668" s="1">
        <v>1.5153446780443873</v>
      </c>
      <c r="O5668" s="1">
        <v>0.12727111111111111</v>
      </c>
      <c r="P5668" s="1">
        <v>9.034687391693795E-2</v>
      </c>
      <c r="Q5668" s="1">
        <v>3.4478094296696469</v>
      </c>
      <c r="R5668" s="2">
        <f t="shared" si="355"/>
        <v>110.20293828869811</v>
      </c>
      <c r="S5668" s="2">
        <f t="shared" si="354"/>
        <v>2.077625381970118</v>
      </c>
      <c r="T5668" s="2">
        <f t="shared" si="356"/>
        <v>3.9028086286256274</v>
      </c>
      <c r="U5668" s="2">
        <f t="shared" si="357"/>
        <v>116.18337229929385</v>
      </c>
    </row>
    <row r="5669" spans="1:21" x14ac:dyDescent="0.25">
      <c r="A5669">
        <v>6030909</v>
      </c>
      <c r="B5669">
        <v>58</v>
      </c>
      <c r="C5669" s="1">
        <f>0.562394898249437*(10.3/7.3)</f>
        <v>0.79351608931084905</v>
      </c>
      <c r="D5669" s="1">
        <f>0.984876882610093*(10.3/7.3)</f>
        <v>1.389620806970405</v>
      </c>
      <c r="E5669" s="1">
        <f>3.36879767222591*(10.3/7.3)</f>
        <v>4.7532350717708107</v>
      </c>
      <c r="F5669" s="1">
        <f>10.205818663173*(38.9/42.5)</f>
        <v>9.3413257881748155</v>
      </c>
      <c r="G5669" s="1">
        <v>0.5555658050678649</v>
      </c>
      <c r="H5669" s="1">
        <v>2.0217296178035005</v>
      </c>
      <c r="I5669" s="1">
        <v>7.6155914531477489</v>
      </c>
      <c r="J5669" s="1">
        <v>3.3623292889569292E-2</v>
      </c>
      <c r="K5669" s="1">
        <v>4.8664772114414712</v>
      </c>
      <c r="L5669" s="1">
        <v>1.7595588061556802</v>
      </c>
      <c r="M5669" s="1">
        <v>0.53331534860502638</v>
      </c>
      <c r="N5669" s="1">
        <v>1.0809833184201743</v>
      </c>
      <c r="O5669" s="1">
        <v>0.42313563218390804</v>
      </c>
      <c r="P5669" s="1">
        <v>0.12163950059849932</v>
      </c>
      <c r="Q5669" s="1">
        <v>0.88789055604453393</v>
      </c>
      <c r="R5669" s="2">
        <f t="shared" si="355"/>
        <v>27.35847518829053</v>
      </c>
      <c r="S5669" s="2">
        <f t="shared" si="354"/>
        <v>5.0217400049295398</v>
      </c>
      <c r="T5669" s="2">
        <f t="shared" si="356"/>
        <v>3.7969931053647894</v>
      </c>
      <c r="U5669" s="2">
        <f t="shared" si="357"/>
        <v>36.177208298584858</v>
      </c>
    </row>
    <row r="5670" spans="1:21" x14ac:dyDescent="0.25">
      <c r="A5670">
        <v>6030917</v>
      </c>
      <c r="B5670">
        <v>39</v>
      </c>
      <c r="C5670" s="1">
        <f>0.926069301165635*(10.3/7.3)</f>
        <v>1.3066457263021976</v>
      </c>
      <c r="D5670" s="1">
        <f>1.83223376168327*(10.3/7.3)</f>
        <v>2.5852065404572118</v>
      </c>
      <c r="E5670" s="1">
        <f>6.19705572855114*(10.3/7.3)</f>
        <v>8.7437909594625722</v>
      </c>
      <c r="F5670" s="1">
        <f>21.1773289102847*(38.9/42.5)</f>
        <v>19.3834845790606</v>
      </c>
      <c r="G5670" s="1">
        <v>1.2329591813493923</v>
      </c>
      <c r="H5670" s="1">
        <v>3.6365378939766466</v>
      </c>
      <c r="I5670" s="1">
        <v>15.880655044923754</v>
      </c>
      <c r="J5670" s="1">
        <v>5.3874326103956545E-2</v>
      </c>
      <c r="K5670" s="1">
        <v>6.8670184664518432</v>
      </c>
      <c r="L5670" s="1">
        <v>2.9119578685520482</v>
      </c>
      <c r="M5670" s="1">
        <v>0.924664380692239</v>
      </c>
      <c r="N5670" s="1">
        <v>1.6695186077312718</v>
      </c>
      <c r="O5670" s="1">
        <v>0.70294290598290621</v>
      </c>
      <c r="P5670" s="1">
        <v>0.15509668278701041</v>
      </c>
      <c r="Q5670" s="1">
        <v>1.970482709919122</v>
      </c>
      <c r="R5670" s="2">
        <f t="shared" si="355"/>
        <v>54.739762635451498</v>
      </c>
      <c r="S5670" s="2">
        <f t="shared" si="354"/>
        <v>7.0759894753428103</v>
      </c>
      <c r="T5670" s="2">
        <f t="shared" si="356"/>
        <v>6.2090837629584659</v>
      </c>
      <c r="U5670" s="2">
        <f t="shared" si="357"/>
        <v>68.024835873752778</v>
      </c>
    </row>
    <row r="5671" spans="1:21" x14ac:dyDescent="0.25">
      <c r="A5671">
        <v>6030925</v>
      </c>
      <c r="B5671">
        <v>1</v>
      </c>
      <c r="C5671" s="1">
        <f>0.651605395864226*(10.3/7.3)</f>
        <v>0.91938843526048375</v>
      </c>
      <c r="D5671" s="1">
        <f>1.41694624935143*(10.3/7.3)</f>
        <v>1.9992529271670818</v>
      </c>
      <c r="E5671" s="1">
        <f>4.74485821404363*(10.3/7.3)</f>
        <v>6.6947999458423846</v>
      </c>
      <c r="F5671" s="1">
        <f>18.0346706652083*(38.9/42.5)</f>
        <v>16.507027973567112</v>
      </c>
      <c r="G5671" s="1">
        <v>1.1019190445082727</v>
      </c>
      <c r="H5671" s="1">
        <v>6.2411817938655547</v>
      </c>
      <c r="I5671" s="1">
        <v>13.634996013441704</v>
      </c>
      <c r="J5671" s="1">
        <v>4.8126417014370752E-2</v>
      </c>
      <c r="K5671" s="1">
        <v>5.4073572584044793</v>
      </c>
      <c r="L5671" s="1">
        <v>2.1684580264400064</v>
      </c>
      <c r="M5671" s="1">
        <v>0.67470592576917443</v>
      </c>
      <c r="N5671" s="1">
        <v>1.4131976360175953</v>
      </c>
      <c r="O5671" s="1">
        <v>0.52144000000000001</v>
      </c>
      <c r="P5671" s="1">
        <v>0.12614962688210138</v>
      </c>
      <c r="Q5671" s="1">
        <v>1.7610578336890224</v>
      </c>
      <c r="R5671" s="2">
        <f t="shared" si="355"/>
        <v>48.859623967341619</v>
      </c>
      <c r="S5671" s="2">
        <f t="shared" si="354"/>
        <v>5.5816333023009514</v>
      </c>
      <c r="T5671" s="2">
        <f t="shared" si="356"/>
        <v>4.7778015882267759</v>
      </c>
      <c r="U5671" s="2">
        <f t="shared" si="357"/>
        <v>59.219058857869342</v>
      </c>
    </row>
    <row r="5672" spans="1:21" x14ac:dyDescent="0.25">
      <c r="A5672">
        <v>6031381</v>
      </c>
      <c r="B5672">
        <v>14</v>
      </c>
      <c r="C5672" s="1">
        <f>1.77828756895238*(10.3/7.3)</f>
        <v>2.5090906794807486</v>
      </c>
      <c r="D5672" s="1">
        <f>3.29312541658042*(10.3/7.3)</f>
        <v>4.6464646288737415</v>
      </c>
      <c r="E5672" s="1">
        <f>11.3323958875545*(10.3/7.3)</f>
        <v>15.989544882439921</v>
      </c>
      <c r="F5672" s="1">
        <f>29.7923090543282*(38.9/42.5)</f>
        <v>27.268725228549791</v>
      </c>
      <c r="G5672" s="1">
        <v>1.4946185287244635</v>
      </c>
      <c r="H5672" s="1">
        <v>5.5501698160732742</v>
      </c>
      <c r="I5672" s="1">
        <v>21.328638273396738</v>
      </c>
      <c r="J5672" s="1">
        <v>4.0348624527389479E-2</v>
      </c>
      <c r="K5672" s="1">
        <v>1.9101798230706464</v>
      </c>
      <c r="L5672" s="1">
        <v>2.3963559985423415</v>
      </c>
      <c r="M5672" s="1">
        <v>0.16970304395185609</v>
      </c>
      <c r="N5672" s="1">
        <v>1.3224469712342575</v>
      </c>
      <c r="O5672" s="1">
        <v>0.13102857142857144</v>
      </c>
      <c r="P5672" s="1">
        <v>9.0154328618802973E-2</v>
      </c>
      <c r="Q5672" s="1">
        <v>2.3886597491030259</v>
      </c>
      <c r="R5672" s="2">
        <f t="shared" si="355"/>
        <v>81.175911786641706</v>
      </c>
      <c r="S5672" s="2">
        <f t="shared" si="354"/>
        <v>2.0406827762168387</v>
      </c>
      <c r="T5672" s="2">
        <f t="shared" si="356"/>
        <v>4.019534585157027</v>
      </c>
      <c r="U5672" s="2">
        <f t="shared" si="357"/>
        <v>87.236129148015578</v>
      </c>
    </row>
    <row r="5673" spans="1:21" x14ac:dyDescent="0.25">
      <c r="A5673">
        <v>6031453</v>
      </c>
      <c r="B5673">
        <v>36</v>
      </c>
      <c r="C5673" s="1">
        <f>2.15443782841002*(10.3/7.3)</f>
        <v>3.0398232373456473</v>
      </c>
      <c r="D5673" s="1">
        <f>4.09555633974962*(10.3/7.3)</f>
        <v>5.7786616848522074</v>
      </c>
      <c r="E5673" s="1">
        <f>13.9697702753606*(10.3/7.3)</f>
        <v>19.710771758385462</v>
      </c>
      <c r="F5673" s="1">
        <f>42.4857902947613*(38.9/42.5)</f>
        <v>38.886993940381529</v>
      </c>
      <c r="G5673" s="1">
        <v>2.3311912232041423</v>
      </c>
      <c r="H5673" s="1">
        <v>7.4869361613141097</v>
      </c>
      <c r="I5673" s="1">
        <v>31.304618944635781</v>
      </c>
      <c r="J5673" s="1">
        <v>3.0456773635145189E-2</v>
      </c>
      <c r="K5673" s="1">
        <v>1.9099312607167696</v>
      </c>
      <c r="L5673" s="1">
        <v>2.1972799574733974</v>
      </c>
      <c r="M5673" s="1">
        <v>0.15416177252027752</v>
      </c>
      <c r="N5673" s="1">
        <v>1.4370277394859599</v>
      </c>
      <c r="O5673" s="1">
        <v>0.12493777777777781</v>
      </c>
      <c r="P5673" s="1">
        <v>8.8444723313608364E-2</v>
      </c>
      <c r="Q5673" s="1">
        <v>3.7256480736139306</v>
      </c>
      <c r="R5673" s="2">
        <f t="shared" si="355"/>
        <v>112.2646450237328</v>
      </c>
      <c r="S5673" s="2">
        <f t="shared" si="354"/>
        <v>2.0288327576655232</v>
      </c>
      <c r="T5673" s="2">
        <f t="shared" si="356"/>
        <v>3.9134072472574126</v>
      </c>
      <c r="U5673" s="2">
        <f t="shared" si="357"/>
        <v>118.20688502865573</v>
      </c>
    </row>
    <row r="5674" spans="1:21" x14ac:dyDescent="0.25">
      <c r="A5674">
        <v>6043137</v>
      </c>
      <c r="B5674">
        <v>9</v>
      </c>
      <c r="C5674" s="1">
        <f>0.410112222494796*(10.3/7.3)</f>
        <v>0.57865149201320487</v>
      </c>
      <c r="D5674" s="1">
        <f>0.683354487022167*(10.3/7.3)</f>
        <v>0.96418509812716668</v>
      </c>
      <c r="E5674" s="1">
        <f>2.34718885640575*(10.3/7.3)</f>
        <v>3.3117870165724996</v>
      </c>
      <c r="F5674" s="1">
        <f>6.80857552205964*(38.9/42.5)</f>
        <v>6.2318491248969439</v>
      </c>
      <c r="G5674" s="1">
        <v>0.36020103874037601</v>
      </c>
      <c r="H5674" s="1">
        <v>1.3880489828600646</v>
      </c>
      <c r="I5674" s="1">
        <v>5.0816989802497803</v>
      </c>
      <c r="J5674" s="1">
        <v>2.9122521787042072E-2</v>
      </c>
      <c r="K5674" s="1">
        <v>4.0056551650227608</v>
      </c>
      <c r="L5674" s="1">
        <v>1.5638633615070259</v>
      </c>
      <c r="M5674" s="1">
        <v>0.46162436867523421</v>
      </c>
      <c r="N5674" s="1">
        <v>0.94603250077240675</v>
      </c>
      <c r="O5674" s="1">
        <v>0.36383407407407403</v>
      </c>
      <c r="P5674" s="1">
        <v>0.10920632454731968</v>
      </c>
      <c r="Q5674" s="1">
        <v>0.5756637605439805</v>
      </c>
      <c r="R5674" s="2">
        <f t="shared" si="355"/>
        <v>18.492085494004019</v>
      </c>
      <c r="S5674" s="2">
        <f t="shared" si="354"/>
        <v>4.1439840113571229</v>
      </c>
      <c r="T5674" s="2">
        <f t="shared" si="356"/>
        <v>3.3353543050287411</v>
      </c>
      <c r="U5674" s="2">
        <f t="shared" si="357"/>
        <v>25.971423810389883</v>
      </c>
    </row>
    <row r="5675" spans="1:21" x14ac:dyDescent="0.25">
      <c r="A5675">
        <v>6043145</v>
      </c>
      <c r="B5675">
        <v>56</v>
      </c>
      <c r="C5675" s="1">
        <f>0.754770086169529*(10.3/7.3)</f>
        <v>1.0649495736364594</v>
      </c>
      <c r="D5675" s="1">
        <f>1.4190163203647*(10.3/7.3)</f>
        <v>2.0021737122954004</v>
      </c>
      <c r="E5675" s="1">
        <f>4.82345046813089*(10.3/7.3)</f>
        <v>6.8056903865408502</v>
      </c>
      <c r="F5675" s="1">
        <f>15.6160710287737*(38.9/42.5)</f>
        <v>14.2932979533952</v>
      </c>
      <c r="G5675" s="1">
        <v>0.88393404393135777</v>
      </c>
      <c r="H5675" s="1">
        <v>2.8543053524003761</v>
      </c>
      <c r="I5675" s="1">
        <v>11.673067931706823</v>
      </c>
      <c r="J5675" s="1">
        <v>4.1817076113369676E-2</v>
      </c>
      <c r="K5675" s="1">
        <v>5.6741277775610452</v>
      </c>
      <c r="L5675" s="1">
        <v>2.3257937152091928</v>
      </c>
      <c r="M5675" s="1">
        <v>0.71072564657635662</v>
      </c>
      <c r="N5675" s="1">
        <v>1.3294357120156735</v>
      </c>
      <c r="O5675" s="1">
        <v>0.56151428571428574</v>
      </c>
      <c r="P5675" s="1">
        <v>0.13845820230802325</v>
      </c>
      <c r="Q5675" s="1">
        <v>1.4126799788857336</v>
      </c>
      <c r="R5675" s="2">
        <f t="shared" si="355"/>
        <v>40.990098932792201</v>
      </c>
      <c r="S5675" s="2">
        <f t="shared" si="354"/>
        <v>5.8544030559824387</v>
      </c>
      <c r="T5675" s="2">
        <f t="shared" si="356"/>
        <v>4.9274693595155084</v>
      </c>
      <c r="U5675" s="2">
        <f t="shared" si="357"/>
        <v>51.771971348290144</v>
      </c>
    </row>
    <row r="5676" spans="1:21" x14ac:dyDescent="0.25">
      <c r="A5676">
        <v>6043153</v>
      </c>
      <c r="B5676">
        <v>63</v>
      </c>
      <c r="C5676" s="1">
        <f>0.931408551161301*(10.3/7.3)</f>
        <v>1.3141791886248499</v>
      </c>
      <c r="D5676" s="1">
        <f>1.91657755801232*(10.3/7.3)</f>
        <v>2.7042121708940976</v>
      </c>
      <c r="E5676" s="1">
        <f>6.45811292531507*(10.3/7.3)</f>
        <v>9.1121319357185175</v>
      </c>
      <c r="F5676" s="1">
        <f>22.9506250238617*(38.9/42.5)</f>
        <v>21.00657208066399</v>
      </c>
      <c r="G5676" s="1">
        <v>1.3617890948079345</v>
      </c>
      <c r="H5676" s="1">
        <v>4.5186584870943216</v>
      </c>
      <c r="I5676" s="1">
        <v>17.250288470106288</v>
      </c>
      <c r="J5676" s="1">
        <v>5.8818751663036309E-2</v>
      </c>
      <c r="K5676" s="1">
        <v>6.9764296379848068</v>
      </c>
      <c r="L5676" s="1">
        <v>2.9849261043074331</v>
      </c>
      <c r="M5676" s="1">
        <v>0.95917016755442885</v>
      </c>
      <c r="N5676" s="1">
        <v>1.7742170238300077</v>
      </c>
      <c r="O5676" s="1">
        <v>0.71063703703703718</v>
      </c>
      <c r="P5676" s="1">
        <v>0.15754242503562182</v>
      </c>
      <c r="Q5676" s="1">
        <v>2.1763752656747819</v>
      </c>
      <c r="R5676" s="2">
        <f t="shared" si="355"/>
        <v>59.444206693584775</v>
      </c>
      <c r="S5676" s="2">
        <f t="shared" si="354"/>
        <v>7.1927908146834652</v>
      </c>
      <c r="T5676" s="2">
        <f t="shared" si="356"/>
        <v>6.4289503327289061</v>
      </c>
      <c r="U5676" s="2">
        <f t="shared" si="357"/>
        <v>73.06594784099714</v>
      </c>
    </row>
    <row r="5677" spans="1:21" x14ac:dyDescent="0.25">
      <c r="A5677">
        <v>6043609</v>
      </c>
      <c r="B5677">
        <v>11</v>
      </c>
      <c r="C5677" s="1">
        <f>1.6504850388797*(10.3/7.3)</f>
        <v>2.3287665617069702</v>
      </c>
      <c r="D5677" s="1">
        <f>3.18369279957265*(10.3/7.3)</f>
        <v>4.4920597035066114</v>
      </c>
      <c r="E5677" s="1">
        <f>10.919280861746*(10.3/7.3)</f>
        <v>15.406656558353898</v>
      </c>
      <c r="F5677" s="1">
        <f>29.881668084447*(38.9/42.5)</f>
        <v>27.350515023176165</v>
      </c>
      <c r="G5677" s="1">
        <v>1.5440717424595873</v>
      </c>
      <c r="H5677" s="1">
        <v>5.4676758987749654</v>
      </c>
      <c r="I5677" s="1">
        <v>21.442908737012427</v>
      </c>
      <c r="J5677" s="1">
        <v>3.4053638880657967E-2</v>
      </c>
      <c r="K5677" s="1">
        <v>2.1456347375679132</v>
      </c>
      <c r="L5677" s="1">
        <v>2.7233447567224545</v>
      </c>
      <c r="M5677" s="1">
        <v>0.18170607065503452</v>
      </c>
      <c r="N5677" s="1">
        <v>1.3476556335449106</v>
      </c>
      <c r="O5677" s="1">
        <v>0.13923393939393938</v>
      </c>
      <c r="P5677" s="1">
        <v>9.4535164354786427E-2</v>
      </c>
      <c r="Q5677" s="1">
        <v>2.4676945655746856</v>
      </c>
      <c r="R5677" s="2">
        <f t="shared" si="355"/>
        <v>80.500348790565312</v>
      </c>
      <c r="S5677" s="2">
        <f t="shared" si="354"/>
        <v>2.2742235408033573</v>
      </c>
      <c r="T5677" s="2">
        <f t="shared" si="356"/>
        <v>4.3919404003163391</v>
      </c>
      <c r="U5677" s="2">
        <f t="shared" si="357"/>
        <v>87.166512731685017</v>
      </c>
    </row>
    <row r="5678" spans="1:21" x14ac:dyDescent="0.25">
      <c r="A5678">
        <v>6043617</v>
      </c>
      <c r="B5678">
        <v>4</v>
      </c>
      <c r="C5678" s="1">
        <f>2.0104774675878*(10.3/7.3)</f>
        <v>2.8367010844047109</v>
      </c>
      <c r="D5678" s="1">
        <f>3.70055866334793*(10.3/7.3)</f>
        <v>5.2213361962306468</v>
      </c>
      <c r="E5678" s="1">
        <f>12.7350756659431*(10.3/7.3)</f>
        <v>17.968668405371822</v>
      </c>
      <c r="F5678" s="1">
        <f>33.5712924453709*(38.9/42.5)</f>
        <v>30.727606497057142</v>
      </c>
      <c r="G5678" s="1">
        <v>1.6864082358382451</v>
      </c>
      <c r="H5678" s="1">
        <v>7.038964719615322</v>
      </c>
      <c r="I5678" s="1">
        <v>24.078207398811173</v>
      </c>
      <c r="J5678" s="1">
        <v>4.4076279028105812E-2</v>
      </c>
      <c r="K5678" s="1">
        <v>2.0942654308970945</v>
      </c>
      <c r="L5678" s="1">
        <v>2.6030081321113103</v>
      </c>
      <c r="M5678" s="1">
        <v>0.18157868730083926</v>
      </c>
      <c r="N5678" s="1">
        <v>1.6931456520277979</v>
      </c>
      <c r="O5678" s="1">
        <v>0.14181333333333335</v>
      </c>
      <c r="P5678" s="1">
        <v>9.6836115033635664E-2</v>
      </c>
      <c r="Q5678" s="1">
        <v>2.6951729796501662</v>
      </c>
      <c r="R5678" s="2">
        <f t="shared" si="355"/>
        <v>92.25306551697922</v>
      </c>
      <c r="S5678" s="2">
        <f t="shared" si="354"/>
        <v>2.2351778249588361</v>
      </c>
      <c r="T5678" s="2">
        <f t="shared" si="356"/>
        <v>4.6195458047732814</v>
      </c>
      <c r="U5678" s="2">
        <f t="shared" si="357"/>
        <v>99.10778914671134</v>
      </c>
    </row>
    <row r="5679" spans="1:21" x14ac:dyDescent="0.25">
      <c r="A5679">
        <v>6055373</v>
      </c>
      <c r="B5679">
        <v>53</v>
      </c>
      <c r="C5679" s="1">
        <f>0.573681482605988*(10.3/7.3)</f>
        <v>0.80944099600570907</v>
      </c>
      <c r="D5679" s="1">
        <f>1.0182527349252*(10.3/7.3)</f>
        <v>1.4367127629766541</v>
      </c>
      <c r="E5679" s="1">
        <f>3.47899381529404*(10.3/7.3)</f>
        <v>4.9087173010313121</v>
      </c>
      <c r="F5679" s="1">
        <f>10.66574738879*(38.9/42.5)</f>
        <v>9.7622958452689446</v>
      </c>
      <c r="G5679" s="1">
        <v>0.58491533444486821</v>
      </c>
      <c r="H5679" s="1">
        <v>2.0831783811955376</v>
      </c>
      <c r="I5679" s="1">
        <v>7.9595271133501759</v>
      </c>
      <c r="J5679" s="1">
        <v>3.3094747613752307E-2</v>
      </c>
      <c r="K5679" s="1">
        <v>4.6979454480113469</v>
      </c>
      <c r="L5679" s="1">
        <v>1.8220101234878763</v>
      </c>
      <c r="M5679" s="1">
        <v>0.54361471339362433</v>
      </c>
      <c r="N5679" s="1">
        <v>1.0915785608768915</v>
      </c>
      <c r="O5679" s="1">
        <v>0.42325534591194958</v>
      </c>
      <c r="P5679" s="1">
        <v>0.12268774881984623</v>
      </c>
      <c r="Q5679" s="1">
        <v>0.93479619660138835</v>
      </c>
      <c r="R5679" s="2">
        <f t="shared" si="355"/>
        <v>28.479583930874593</v>
      </c>
      <c r="S5679" s="2">
        <f t="shared" si="354"/>
        <v>4.8537279444449455</v>
      </c>
      <c r="T5679" s="2">
        <f t="shared" si="356"/>
        <v>3.8804587436703417</v>
      </c>
      <c r="U5679" s="2">
        <f t="shared" si="357"/>
        <v>37.213770618989876</v>
      </c>
    </row>
    <row r="5680" spans="1:21" x14ac:dyDescent="0.25">
      <c r="A5680">
        <v>6055381</v>
      </c>
      <c r="B5680">
        <v>55</v>
      </c>
      <c r="C5680" s="1">
        <f>0.828333988027251*(10.3/7.3)</f>
        <v>1.1687452159836549</v>
      </c>
      <c r="D5680" s="1">
        <f>1.62056316732851*(10.3/7.3)</f>
        <v>2.286548030614203</v>
      </c>
      <c r="E5680" s="1">
        <f>5.48721348596044*(10.3/7.3)</f>
        <v>7.7422327267661029</v>
      </c>
      <c r="F5680" s="1">
        <f>18.5292326590059*(38.9/42.5)</f>
        <v>16.959697657301888</v>
      </c>
      <c r="G5680" s="1">
        <v>1.0723407554884721</v>
      </c>
      <c r="H5680" s="1">
        <v>3.3532961603732945</v>
      </c>
      <c r="I5680" s="1">
        <v>13.884452083285485</v>
      </c>
      <c r="J5680" s="1">
        <v>4.7521721904387533E-2</v>
      </c>
      <c r="K5680" s="1">
        <v>6.1022410891959753</v>
      </c>
      <c r="L5680" s="1">
        <v>2.5865518549148314</v>
      </c>
      <c r="M5680" s="1">
        <v>0.80377354173308491</v>
      </c>
      <c r="N5680" s="1">
        <v>1.4891667179982735</v>
      </c>
      <c r="O5680" s="1">
        <v>0.61149963636363636</v>
      </c>
      <c r="P5680" s="1">
        <v>0.14556477334811463</v>
      </c>
      <c r="Q5680" s="1">
        <v>1.7137865955295237</v>
      </c>
      <c r="R5680" s="2">
        <f t="shared" si="355"/>
        <v>48.181099225342621</v>
      </c>
      <c r="S5680" s="2">
        <f t="shared" si="354"/>
        <v>6.2953275844484775</v>
      </c>
      <c r="T5680" s="2">
        <f t="shared" si="356"/>
        <v>5.4909917510098261</v>
      </c>
      <c r="U5680" s="2">
        <f t="shared" si="357"/>
        <v>59.967418560800922</v>
      </c>
    </row>
    <row r="5681" spans="1:21" x14ac:dyDescent="0.25">
      <c r="A5681">
        <v>6055389</v>
      </c>
      <c r="B5681">
        <v>18</v>
      </c>
      <c r="C5681" s="1">
        <f>0.627508741555066*(10.3/7.3)</f>
        <v>0.88538904630372373</v>
      </c>
      <c r="D5681" s="1">
        <f>1.3007518709036*(10.3/7.3)</f>
        <v>1.8353074342886357</v>
      </c>
      <c r="E5681" s="1">
        <f>4.37528334633785*(10.3/7.3)</f>
        <v>6.173344995517783</v>
      </c>
      <c r="F5681" s="1">
        <f>15.9048376553457*(38.9/42.5)</f>
        <v>14.557604348069392</v>
      </c>
      <c r="G5681" s="1">
        <v>0.95289829306011298</v>
      </c>
      <c r="H5681" s="1">
        <v>5.0501991898573628</v>
      </c>
      <c r="I5681" s="1">
        <v>11.993919207716868</v>
      </c>
      <c r="J5681" s="1">
        <v>4.3909615413863956E-2</v>
      </c>
      <c r="K5681" s="1">
        <v>5.4247411888737727</v>
      </c>
      <c r="L5681" s="1">
        <v>2.1450696087867955</v>
      </c>
      <c r="M5681" s="1">
        <v>0.65668086174222184</v>
      </c>
      <c r="N5681" s="1">
        <v>1.8154665450626308</v>
      </c>
      <c r="O5681" s="1">
        <v>0.49876740740740744</v>
      </c>
      <c r="P5681" s="1">
        <v>0.13011477398888485</v>
      </c>
      <c r="Q5681" s="1">
        <v>1.5228968153928761</v>
      </c>
      <c r="R5681" s="2">
        <f t="shared" si="355"/>
        <v>42.971559330206752</v>
      </c>
      <c r="S5681" s="2">
        <f t="shared" si="354"/>
        <v>5.598765578276522</v>
      </c>
      <c r="T5681" s="2">
        <f t="shared" si="356"/>
        <v>5.1159844229990554</v>
      </c>
      <c r="U5681" s="2">
        <f t="shared" si="357"/>
        <v>53.686309331482327</v>
      </c>
    </row>
    <row r="5682" spans="1:21" x14ac:dyDescent="0.25">
      <c r="A5682">
        <v>6055461</v>
      </c>
      <c r="B5682">
        <v>1</v>
      </c>
      <c r="C5682" s="1">
        <f>0.506228886395741*(10.3/7.3)</f>
        <v>0.71426815477755201</v>
      </c>
      <c r="D5682" s="1">
        <f>1.26132804535552*(10.3/7.3)</f>
        <v>1.7796820365975206</v>
      </c>
      <c r="E5682" s="1">
        <f>4.20663424417811*(10.3/7.3)</f>
        <v>5.9353880431554105</v>
      </c>
      <c r="F5682" s="1">
        <f>16.1406939722074*(38.9/42.5)</f>
        <v>14.773482247502804</v>
      </c>
      <c r="G5682" s="1">
        <v>0.99516057817081116</v>
      </c>
      <c r="H5682" s="1">
        <v>7.1716486167400211</v>
      </c>
      <c r="I5682" s="1">
        <v>12.053354362113353</v>
      </c>
      <c r="J5682" s="1">
        <v>3.287634271092793E-2</v>
      </c>
      <c r="K5682" s="1">
        <v>3.6064309609255338</v>
      </c>
      <c r="L5682" s="1">
        <v>1.832068913966534</v>
      </c>
      <c r="M5682" s="1">
        <v>0.55297959791029472</v>
      </c>
      <c r="N5682" s="1">
        <v>1.2358633832558523</v>
      </c>
      <c r="O5682" s="1">
        <v>0.28111999999999998</v>
      </c>
      <c r="P5682" s="1">
        <v>0.1122748539828694</v>
      </c>
      <c r="Q5682" s="1">
        <v>1.5904392801816631</v>
      </c>
      <c r="R5682" s="2">
        <f t="shared" si="355"/>
        <v>45.013423319239138</v>
      </c>
      <c r="S5682" s="2">
        <f t="shared" si="354"/>
        <v>3.7515821576193313</v>
      </c>
      <c r="T5682" s="2">
        <f t="shared" si="356"/>
        <v>3.9020318951326813</v>
      </c>
      <c r="U5682" s="2">
        <f t="shared" si="357"/>
        <v>52.66703737199115</v>
      </c>
    </row>
    <row r="5683" spans="1:21" x14ac:dyDescent="0.25">
      <c r="A5683">
        <v>6055837</v>
      </c>
      <c r="B5683">
        <v>12</v>
      </c>
      <c r="C5683" s="1">
        <f>1.59824544758813*(10.3/7.3)</f>
        <v>2.2550586452270815</v>
      </c>
      <c r="D5683" s="1">
        <f>3.18854880851213*(10.3/7.3)</f>
        <v>4.4989113325582046</v>
      </c>
      <c r="E5683" s="1">
        <f>10.9007465155735*(10.3/7.3)</f>
        <v>15.38050535759001</v>
      </c>
      <c r="F5683" s="1">
        <f>31.0819164045427*(38.9/42.5)</f>
        <v>28.449095250275551</v>
      </c>
      <c r="G5683" s="1">
        <v>1.6507326679415557</v>
      </c>
      <c r="H5683" s="1">
        <v>6.146007690442775</v>
      </c>
      <c r="I5683" s="1">
        <v>22.397308521642568</v>
      </c>
      <c r="J5683" s="1">
        <v>2.8997347276204136E-2</v>
      </c>
      <c r="K5683" s="1">
        <v>2.1770857683720792</v>
      </c>
      <c r="L5683" s="1">
        <v>2.8493938594947035</v>
      </c>
      <c r="M5683" s="1">
        <v>0.18437726036752186</v>
      </c>
      <c r="N5683" s="1">
        <v>1.3043045234296435</v>
      </c>
      <c r="O5683" s="1">
        <v>0.14142666666666667</v>
      </c>
      <c r="P5683" s="1">
        <v>9.5453164762788811E-2</v>
      </c>
      <c r="Q5683" s="1">
        <v>2.638157231870069</v>
      </c>
      <c r="R5683" s="2">
        <f t="shared" si="355"/>
        <v>83.415776697547813</v>
      </c>
      <c r="S5683" s="2">
        <f t="shared" si="354"/>
        <v>2.3015362804110722</v>
      </c>
      <c r="T5683" s="2">
        <f t="shared" si="356"/>
        <v>4.4795023099585354</v>
      </c>
      <c r="U5683" s="2">
        <f t="shared" si="357"/>
        <v>90.196815287917417</v>
      </c>
    </row>
    <row r="5684" spans="1:21" x14ac:dyDescent="0.25">
      <c r="A5684">
        <v>6055845</v>
      </c>
      <c r="B5684">
        <v>2</v>
      </c>
      <c r="C5684" s="1">
        <f>1.87515782624008*(10.3/7.3)</f>
        <v>2.6457706315442282</v>
      </c>
      <c r="D5684" s="1">
        <f>3.57730323080796*(10.3/7.3)</f>
        <v>5.0474278462084978</v>
      </c>
      <c r="E5684" s="1">
        <f>12.2751543202778*(10.3/7.3)</f>
        <v>17.319738287515278</v>
      </c>
      <c r="F5684" s="1">
        <f>33.4981734678338*(38.9/42.5)</f>
        <v>30.660681127029054</v>
      </c>
      <c r="G5684" s="1">
        <v>1.7263756013766416</v>
      </c>
      <c r="H5684" s="1">
        <v>6.9600261985411347</v>
      </c>
      <c r="I5684" s="1">
        <v>24.069055785763773</v>
      </c>
      <c r="J5684" s="1">
        <v>4.0200112395886833E-2</v>
      </c>
      <c r="K5684" s="1">
        <v>2.1419692813010522</v>
      </c>
      <c r="L5684" s="1">
        <v>2.6971232656662236</v>
      </c>
      <c r="M5684" s="1">
        <v>0.18875543625919586</v>
      </c>
      <c r="N5684" s="1">
        <v>1.4841601633207038</v>
      </c>
      <c r="O5684" s="1">
        <v>0.14506666666666668</v>
      </c>
      <c r="P5684" s="1">
        <v>9.8261428548836544E-2</v>
      </c>
      <c r="Q5684" s="1">
        <v>2.7590477647571925</v>
      </c>
      <c r="R5684" s="2">
        <f t="shared" si="355"/>
        <v>91.188123242735813</v>
      </c>
      <c r="S5684" s="2">
        <f t="shared" si="354"/>
        <v>2.2804308222457754</v>
      </c>
      <c r="T5684" s="2">
        <f t="shared" si="356"/>
        <v>4.5151055319127895</v>
      </c>
      <c r="U5684" s="2">
        <f t="shared" si="357"/>
        <v>97.983659596894384</v>
      </c>
    </row>
    <row r="5685" spans="1:21" x14ac:dyDescent="0.25">
      <c r="A5685">
        <v>6055917</v>
      </c>
      <c r="B5685">
        <v>21</v>
      </c>
      <c r="C5685" s="1">
        <f>2.13539410626841*(10.3/7.3)</f>
        <v>3.012953328022546</v>
      </c>
      <c r="D5685" s="1">
        <f>4.14490915526742*(10.3/7.3)</f>
        <v>5.8482964793499184</v>
      </c>
      <c r="E5685" s="1">
        <f>14.1148819142347*(10.3/7.3)</f>
        <v>19.915518317344851</v>
      </c>
      <c r="F5685" s="1">
        <f>43.6708082045175*(38.9/42.5)</f>
        <v>39.971633862487799</v>
      </c>
      <c r="G5685" s="1">
        <v>2.4212891695297007</v>
      </c>
      <c r="H5685" s="1">
        <v>8.2249620134442267</v>
      </c>
      <c r="I5685" s="1">
        <v>32.190300498390471</v>
      </c>
      <c r="J5685" s="1">
        <v>3.1149156724418276E-2</v>
      </c>
      <c r="K5685" s="1">
        <v>2.0127912300808828</v>
      </c>
      <c r="L5685" s="1">
        <v>2.3095470414394383</v>
      </c>
      <c r="M5685" s="1">
        <v>0.16003753547920446</v>
      </c>
      <c r="N5685" s="1">
        <v>1.5497250795338384</v>
      </c>
      <c r="O5685" s="1">
        <v>0.12949587301587301</v>
      </c>
      <c r="P5685" s="1">
        <v>9.0867706732063874E-2</v>
      </c>
      <c r="Q5685" s="1">
        <v>3.8696402252757811</v>
      </c>
      <c r="R5685" s="2">
        <f t="shared" si="355"/>
        <v>115.4545938938453</v>
      </c>
      <c r="S5685" s="2">
        <f t="shared" si="354"/>
        <v>2.134808093537365</v>
      </c>
      <c r="T5685" s="2">
        <f t="shared" si="356"/>
        <v>4.1488055294683548</v>
      </c>
      <c r="U5685" s="2">
        <f t="shared" si="357"/>
        <v>121.73820751685102</v>
      </c>
    </row>
    <row r="5686" spans="1:21" x14ac:dyDescent="0.25">
      <c r="A5686">
        <v>6067601</v>
      </c>
      <c r="B5686">
        <v>2</v>
      </c>
      <c r="C5686" s="1">
        <f>0.321720206912793*(10.3/7.3)</f>
        <v>0.4539339905755842</v>
      </c>
      <c r="D5686" s="1">
        <f>0.518204319619896*(10.3/7.3)</f>
        <v>0.73116499891574382</v>
      </c>
      <c r="E5686" s="1">
        <f>1.78528668139463*(10.3/7.3)</f>
        <v>2.5189661395020062</v>
      </c>
      <c r="F5686" s="1">
        <f>5.01137500962358*(38.9/42.5)</f>
        <v>4.5868820676319402</v>
      </c>
      <c r="G5686" s="1">
        <v>0.25911728261806022</v>
      </c>
      <c r="H5686" s="1">
        <v>1.0665098060023217</v>
      </c>
      <c r="I5686" s="1">
        <v>3.7402176494830215</v>
      </c>
      <c r="J5686" s="1">
        <v>2.5085820612675003E-2</v>
      </c>
      <c r="K5686" s="1">
        <v>3.5001318557221444</v>
      </c>
      <c r="L5686" s="1">
        <v>1.4543714524283051</v>
      </c>
      <c r="M5686" s="1">
        <v>0.42200160349634996</v>
      </c>
      <c r="N5686" s="1">
        <v>0.87207521960529899</v>
      </c>
      <c r="O5686" s="1">
        <v>0.32266666666666666</v>
      </c>
      <c r="P5686" s="1">
        <v>0.10157416619270468</v>
      </c>
      <c r="Q5686" s="1">
        <v>0.41411437861333872</v>
      </c>
      <c r="R5686" s="2">
        <f t="shared" si="355"/>
        <v>13.770906313342019</v>
      </c>
      <c r="S5686" s="2">
        <f t="shared" si="354"/>
        <v>3.6267918425275241</v>
      </c>
      <c r="T5686" s="2">
        <f t="shared" si="356"/>
        <v>3.0711149421966208</v>
      </c>
      <c r="U5686" s="2">
        <f t="shared" si="357"/>
        <v>20.468813098066164</v>
      </c>
    </row>
    <row r="5687" spans="1:21" x14ac:dyDescent="0.25">
      <c r="A5687">
        <v>6067609</v>
      </c>
      <c r="B5687">
        <v>68</v>
      </c>
      <c r="C5687" s="1">
        <f>0.79476494284948*(10.3/7.3)</f>
        <v>1.1213806727876228</v>
      </c>
      <c r="D5687" s="1">
        <f>1.51719847269991*(10.3/7.3)</f>
        <v>2.1407046943574106</v>
      </c>
      <c r="E5687" s="1">
        <f>5.15093591898901*(10.3/7.3)</f>
        <v>7.2677588993954529</v>
      </c>
      <c r="F5687" s="1">
        <f>16.8764748705415*(38.9/42.5)</f>
        <v>15.446938175625061</v>
      </c>
      <c r="G5687" s="1">
        <v>0.96168771229905659</v>
      </c>
      <c r="H5687" s="1">
        <v>3.0606065126146396</v>
      </c>
      <c r="I5687" s="1">
        <v>12.616219537073206</v>
      </c>
      <c r="J5687" s="1">
        <v>4.4217552753199087E-2</v>
      </c>
      <c r="K5687" s="1">
        <v>5.6989568611948798</v>
      </c>
      <c r="L5687" s="1">
        <v>2.4887619993409875</v>
      </c>
      <c r="M5687" s="1">
        <v>0.74986819654041492</v>
      </c>
      <c r="N5687" s="1">
        <v>1.4001831707011085</v>
      </c>
      <c r="O5687" s="1">
        <v>0.58567215686274476</v>
      </c>
      <c r="P5687" s="1">
        <v>0.14376239333359644</v>
      </c>
      <c r="Q5687" s="1">
        <v>1.5369438324414153</v>
      </c>
      <c r="R5687" s="2">
        <f t="shared" si="355"/>
        <v>44.152240036593867</v>
      </c>
      <c r="S5687" s="2">
        <f t="shared" si="354"/>
        <v>5.8869368072816757</v>
      </c>
      <c r="T5687" s="2">
        <f t="shared" si="356"/>
        <v>5.2244855234452556</v>
      </c>
      <c r="U5687" s="2">
        <f t="shared" si="357"/>
        <v>55.263662367320798</v>
      </c>
    </row>
    <row r="5688" spans="1:21" x14ac:dyDescent="0.25">
      <c r="A5688">
        <v>6067617</v>
      </c>
      <c r="B5688">
        <v>64</v>
      </c>
      <c r="C5688" s="1">
        <f>0.76368719961112*(10.3/7.3)</f>
        <v>1.0775312542458264</v>
      </c>
      <c r="D5688" s="1">
        <f>1.54918285094771*(10.3/7.3)</f>
        <v>2.1858333376385448</v>
      </c>
      <c r="E5688" s="1">
        <f>5.22615560765973*(10.3/7.3)</f>
        <v>7.3738907888897627</v>
      </c>
      <c r="F5688" s="1">
        <f>18.3683389697867*(38.9/42.5)</f>
        <v>16.812432609993042</v>
      </c>
      <c r="G5688" s="1">
        <v>1.0840309660563143</v>
      </c>
      <c r="H5688" s="1">
        <v>5.3066893163591802</v>
      </c>
      <c r="I5688" s="1">
        <v>13.802342694990571</v>
      </c>
      <c r="J5688" s="1">
        <v>4.6836880872528588E-2</v>
      </c>
      <c r="K5688" s="1">
        <v>5.8757121947218929</v>
      </c>
      <c r="L5688" s="1">
        <v>2.4420165822828555</v>
      </c>
      <c r="M5688" s="1">
        <v>0.74981211938985703</v>
      </c>
      <c r="N5688" s="1">
        <v>1.5324243183677146</v>
      </c>
      <c r="O5688" s="1">
        <v>0.56388416666666685</v>
      </c>
      <c r="P5688" s="1">
        <v>0.14209767452131655</v>
      </c>
      <c r="Q5688" s="1">
        <v>1.7324695804552983</v>
      </c>
      <c r="R5688" s="2">
        <f t="shared" si="355"/>
        <v>49.37522054862854</v>
      </c>
      <c r="S5688" s="2">
        <f t="shared" si="354"/>
        <v>6.0646467501157382</v>
      </c>
      <c r="T5688" s="2">
        <f t="shared" si="356"/>
        <v>5.2881371867070941</v>
      </c>
      <c r="U5688" s="2">
        <f t="shared" si="357"/>
        <v>60.728004485451372</v>
      </c>
    </row>
    <row r="5689" spans="1:21" x14ac:dyDescent="0.25">
      <c r="A5689">
        <v>6067697</v>
      </c>
      <c r="B5689">
        <v>4</v>
      </c>
      <c r="C5689" s="1">
        <f>0.511406679883659*(10.3/7.3)</f>
        <v>0.72157380860297127</v>
      </c>
      <c r="D5689" s="1">
        <f>1.31430790432475*(10.3/7.3)</f>
        <v>1.8544344403486186</v>
      </c>
      <c r="E5689" s="1">
        <f>4.40352086687796*(10.3/7.3)</f>
        <v>6.2131869765538292</v>
      </c>
      <c r="F5689" s="1">
        <f>15.6779179843262*(38.9/42.5)</f>
        <v>14.349906108006758</v>
      </c>
      <c r="G5689" s="1">
        <v>0.94038651076852542</v>
      </c>
      <c r="H5689" s="1">
        <v>8.9754778004352858</v>
      </c>
      <c r="I5689" s="1">
        <v>11.49463435524471</v>
      </c>
      <c r="J5689" s="1">
        <v>3.1843122596045256E-2</v>
      </c>
      <c r="K5689" s="1">
        <v>3.4988066011241483</v>
      </c>
      <c r="L5689" s="1">
        <v>1.8156671501385915</v>
      </c>
      <c r="M5689" s="1">
        <v>0.53183748496280414</v>
      </c>
      <c r="N5689" s="1">
        <v>1.2172893424216289</v>
      </c>
      <c r="O5689" s="1">
        <v>0.27294666666666667</v>
      </c>
      <c r="P5689" s="1">
        <v>0.11148781954279641</v>
      </c>
      <c r="Q5689" s="1">
        <v>1.5029008162967317</v>
      </c>
      <c r="R5689" s="2">
        <f t="shared" si="355"/>
        <v>46.052500816257435</v>
      </c>
      <c r="S5689" s="2">
        <f t="shared" si="354"/>
        <v>3.6421375432629901</v>
      </c>
      <c r="T5689" s="2">
        <f t="shared" si="356"/>
        <v>3.8377406441896911</v>
      </c>
      <c r="U5689" s="2">
        <f t="shared" si="357"/>
        <v>53.532379003710119</v>
      </c>
    </row>
    <row r="5690" spans="1:21" x14ac:dyDescent="0.25">
      <c r="A5690">
        <v>6068065</v>
      </c>
      <c r="B5690">
        <v>6</v>
      </c>
      <c r="C5690" s="1">
        <f>1.54012803478463*(10.3/7.3)</f>
        <v>2.1730573641481752</v>
      </c>
      <c r="D5690" s="1">
        <f>3.1516029285924*(10.3/7.3)</f>
        <v>4.446782214315304</v>
      </c>
      <c r="E5690" s="1">
        <f>10.7420751498569*(10.3/7.3)</f>
        <v>15.156626581305002</v>
      </c>
      <c r="F5690" s="1">
        <f>31.892029221194*(38.9/42.5)</f>
        <v>29.190586745987002</v>
      </c>
      <c r="G5690" s="1">
        <v>1.7358533211687444</v>
      </c>
      <c r="H5690" s="1">
        <v>6.6274766842286006</v>
      </c>
      <c r="I5690" s="1">
        <v>23.106909456183633</v>
      </c>
      <c r="J5690" s="1">
        <v>2.7145188836178322E-2</v>
      </c>
      <c r="K5690" s="1">
        <v>2.0011980711406632</v>
      </c>
      <c r="L5690" s="1">
        <v>2.8441510093526272</v>
      </c>
      <c r="M5690" s="1">
        <v>0.18199106217767383</v>
      </c>
      <c r="N5690" s="1">
        <v>1.2517161313576246</v>
      </c>
      <c r="O5690" s="1">
        <v>0.13935999999999998</v>
      </c>
      <c r="P5690" s="1">
        <v>9.4012928537596463E-2</v>
      </c>
      <c r="Q5690" s="1">
        <v>2.774194805520827</v>
      </c>
      <c r="R5690" s="2">
        <f t="shared" si="355"/>
        <v>85.211487172857275</v>
      </c>
      <c r="S5690" s="2">
        <f t="shared" si="354"/>
        <v>2.1223561885144377</v>
      </c>
      <c r="T5690" s="2">
        <f t="shared" si="356"/>
        <v>4.4172182028879252</v>
      </c>
      <c r="U5690" s="2">
        <f t="shared" si="357"/>
        <v>91.751061564259643</v>
      </c>
    </row>
    <row r="5691" spans="1:21" x14ac:dyDescent="0.25">
      <c r="A5691">
        <v>6068145</v>
      </c>
      <c r="B5691">
        <v>3</v>
      </c>
      <c r="C5691" s="1">
        <f>2.09674083473589*(10.3/7.3)</f>
        <v>2.9584151503807705</v>
      </c>
      <c r="D5691" s="1">
        <f>3.92565174715443*(10.3/7.3)</f>
        <v>5.5389332870809032</v>
      </c>
      <c r="E5691" s="1">
        <f>13.4361665336859*(10.3/7.3)</f>
        <v>18.957878807803336</v>
      </c>
      <c r="F5691" s="1">
        <f>38.8155587007252*(38.9/42.5)</f>
        <v>35.527652551957921</v>
      </c>
      <c r="G5691" s="1">
        <v>2.0675735138923481</v>
      </c>
      <c r="H5691" s="1">
        <v>9.146791186596289</v>
      </c>
      <c r="I5691" s="1">
        <v>28.353799321732271</v>
      </c>
      <c r="J5691" s="1">
        <v>3.0689678374708058E-2</v>
      </c>
      <c r="K5691" s="1">
        <v>2.0648972929272622</v>
      </c>
      <c r="L5691" s="1">
        <v>2.255765180583813</v>
      </c>
      <c r="M5691" s="1">
        <v>0.16005601005987835</v>
      </c>
      <c r="N5691" s="1">
        <v>1.5432029520095494</v>
      </c>
      <c r="O5691" s="1">
        <v>0.12949333333333335</v>
      </c>
      <c r="P5691" s="1">
        <v>9.0601993964827973E-2</v>
      </c>
      <c r="Q5691" s="1">
        <v>3.3043412322480488</v>
      </c>
      <c r="R5691" s="2">
        <f t="shared" si="355"/>
        <v>105.85538505169188</v>
      </c>
      <c r="S5691" s="2">
        <f t="shared" si="354"/>
        <v>2.1861889652667985</v>
      </c>
      <c r="T5691" s="2">
        <f t="shared" si="356"/>
        <v>4.0885174759865741</v>
      </c>
      <c r="U5691" s="2">
        <f t="shared" si="357"/>
        <v>112.13009149294525</v>
      </c>
    </row>
    <row r="5692" spans="1:21" x14ac:dyDescent="0.25">
      <c r="A5692">
        <v>6068153</v>
      </c>
      <c r="B5692">
        <v>2</v>
      </c>
      <c r="C5692" s="1">
        <f>3.09532477625846*(10.3/7.3)</f>
        <v>4.3673760541728903</v>
      </c>
      <c r="D5692" s="1">
        <f>5.95851909826801*(10.3/7.3)</f>
        <v>8.4072255770082887</v>
      </c>
      <c r="E5692" s="1">
        <f>20.3144279718013*(10.3/7.3)</f>
        <v>28.662823028705947</v>
      </c>
      <c r="F5692" s="1">
        <f>61.8943699777578*(38.9/42.5)</f>
        <v>56.651552756112473</v>
      </c>
      <c r="G5692" s="1">
        <v>3.4023225804632258</v>
      </c>
      <c r="H5692" s="1">
        <v>12.193482191459616</v>
      </c>
      <c r="I5692" s="1">
        <v>45.533036879279379</v>
      </c>
      <c r="J5692" s="1">
        <v>3.4582110621329709E-2</v>
      </c>
      <c r="K5692" s="1">
        <v>2.1825540342929663</v>
      </c>
      <c r="L5692" s="1">
        <v>2.4507146864147575</v>
      </c>
      <c r="M5692" s="1">
        <v>0.1733879909958117</v>
      </c>
      <c r="N5692" s="1">
        <v>1.6929256880211527</v>
      </c>
      <c r="O5692" s="1">
        <v>0.14549333333333334</v>
      </c>
      <c r="P5692" s="1">
        <v>9.7007964232152327E-2</v>
      </c>
      <c r="Q5692" s="1">
        <v>5.4375018409229696</v>
      </c>
      <c r="R5692" s="2">
        <f t="shared" si="355"/>
        <v>164.65532090812482</v>
      </c>
      <c r="S5692" s="2">
        <f t="shared" si="354"/>
        <v>2.3141441091464485</v>
      </c>
      <c r="T5692" s="2">
        <f t="shared" si="356"/>
        <v>4.4625216987650553</v>
      </c>
      <c r="U5692" s="2">
        <f t="shared" si="357"/>
        <v>171.43198671603631</v>
      </c>
    </row>
    <row r="5693" spans="1:21" x14ac:dyDescent="0.25">
      <c r="A5693">
        <v>6079837</v>
      </c>
      <c r="B5693">
        <v>51</v>
      </c>
      <c r="C5693" s="1">
        <f>0.504909056683134*(10.3/7.3)</f>
        <v>0.7124059292926409</v>
      </c>
      <c r="D5693" s="1">
        <f>0.882637715324949*(10.3/7.3)</f>
        <v>1.2453655435406814</v>
      </c>
      <c r="E5693" s="1">
        <f>3.02006704057332*(10.3/7.3)</f>
        <v>4.2611904819048245</v>
      </c>
      <c r="F5693" s="1">
        <f>9.10781769315739*(38.9/42.5)</f>
        <v>8.3363319591487652</v>
      </c>
      <c r="G5693" s="1">
        <v>0.4944971373972088</v>
      </c>
      <c r="H5693" s="1">
        <v>1.8178319618182288</v>
      </c>
      <c r="I5693" s="1">
        <v>6.792205878870532</v>
      </c>
      <c r="J5693" s="1">
        <v>2.9009369686849584E-2</v>
      </c>
      <c r="K5693" s="1">
        <v>4.1808109850234247</v>
      </c>
      <c r="L5693" s="1">
        <v>1.64680395685957</v>
      </c>
      <c r="M5693" s="1">
        <v>0.47657984145076421</v>
      </c>
      <c r="N5693" s="1">
        <v>1.0080979393299039</v>
      </c>
      <c r="O5693" s="1">
        <v>0.36254326797385605</v>
      </c>
      <c r="P5693" s="1">
        <v>0.11572978336305802</v>
      </c>
      <c r="Q5693" s="1">
        <v>0.79029222871700089</v>
      </c>
      <c r="R5693" s="2">
        <f t="shared" si="355"/>
        <v>24.450121120689882</v>
      </c>
      <c r="S5693" s="2">
        <f t="shared" si="354"/>
        <v>4.3255501380733321</v>
      </c>
      <c r="T5693" s="2">
        <f t="shared" si="356"/>
        <v>3.4940250056140942</v>
      </c>
      <c r="U5693" s="2">
        <f t="shared" si="357"/>
        <v>32.269696264377309</v>
      </c>
    </row>
    <row r="5694" spans="1:21" x14ac:dyDescent="0.25">
      <c r="A5694">
        <v>6079845</v>
      </c>
      <c r="B5694">
        <v>65</v>
      </c>
      <c r="C5694" s="1">
        <f>0.968523122722396*(10.3/7.3)</f>
        <v>1.3665463238411888</v>
      </c>
      <c r="D5694" s="1">
        <f>1.94088457981657*(10.3/7.3)</f>
        <v>2.7385083797411842</v>
      </c>
      <c r="E5694" s="1">
        <f>6.56085928974977*(10.3/7.3)</f>
        <v>9.2571028334825574</v>
      </c>
      <c r="F5694" s="1">
        <f>22.4860934233599*(38.9/42.5)</f>
        <v>20.581389039263524</v>
      </c>
      <c r="G5694" s="1">
        <v>1.3117747436565403</v>
      </c>
      <c r="H5694" s="1">
        <v>3.9240532619401907</v>
      </c>
      <c r="I5694" s="1">
        <v>16.842748651231091</v>
      </c>
      <c r="J5694" s="1">
        <v>5.2939646236328047E-2</v>
      </c>
      <c r="K5694" s="1">
        <v>6.2700815429000185</v>
      </c>
      <c r="L5694" s="1">
        <v>2.9319916748891139</v>
      </c>
      <c r="M5694" s="1">
        <v>0.90173264825872035</v>
      </c>
      <c r="N5694" s="1">
        <v>1.613536909954346</v>
      </c>
      <c r="O5694" s="1">
        <v>0.67625353846153857</v>
      </c>
      <c r="P5694" s="1">
        <v>0.15561859759013566</v>
      </c>
      <c r="Q5694" s="1">
        <v>2.0964436542456144</v>
      </c>
      <c r="R5694" s="2">
        <f t="shared" si="355"/>
        <v>58.11856688740189</v>
      </c>
      <c r="S5694" s="2">
        <f t="shared" si="354"/>
        <v>6.4786397867264824</v>
      </c>
      <c r="T5694" s="2">
        <f t="shared" si="356"/>
        <v>6.1235147715637188</v>
      </c>
      <c r="U5694" s="2">
        <f t="shared" si="357"/>
        <v>70.720721445692092</v>
      </c>
    </row>
    <row r="5695" spans="1:21" x14ac:dyDescent="0.25">
      <c r="A5695">
        <v>6079853</v>
      </c>
      <c r="B5695">
        <v>36</v>
      </c>
      <c r="C5695" s="1">
        <f>0.525966458153106*(10.3/7.3)</f>
        <v>0.74211705739410827</v>
      </c>
      <c r="D5695" s="1">
        <f>1.08384167114057*(10.3/7.3)</f>
        <v>1.5292560565408058</v>
      </c>
      <c r="E5695" s="1">
        <f>3.64561097092377*(10.3/7.3)</f>
        <v>5.1438072603445022</v>
      </c>
      <c r="F5695" s="1">
        <f>13.2867256154543*(38.9/42.5)</f>
        <v>12.161261798615808</v>
      </c>
      <c r="G5695" s="1">
        <v>0.79664407433665974</v>
      </c>
      <c r="H5695" s="1">
        <v>4.1831071229091243</v>
      </c>
      <c r="I5695" s="1">
        <v>10.031476666568336</v>
      </c>
      <c r="J5695" s="1">
        <v>3.743425074680666E-2</v>
      </c>
      <c r="K5695" s="1">
        <v>4.8408530951999689</v>
      </c>
      <c r="L5695" s="1">
        <v>1.8492209459993465</v>
      </c>
      <c r="M5695" s="1">
        <v>0.565771891032815</v>
      </c>
      <c r="N5695" s="1">
        <v>1.6564266987633702</v>
      </c>
      <c r="O5695" s="1">
        <v>0.41157777777777776</v>
      </c>
      <c r="P5695" s="1">
        <v>0.12221112750611421</v>
      </c>
      <c r="Q5695" s="1">
        <v>1.273175461268635</v>
      </c>
      <c r="R5695" s="2">
        <f t="shared" si="355"/>
        <v>35.860845497977976</v>
      </c>
      <c r="S5695" s="2">
        <f t="shared" si="354"/>
        <v>5.0004984734528897</v>
      </c>
      <c r="T5695" s="2">
        <f t="shared" si="356"/>
        <v>4.4829973135733097</v>
      </c>
      <c r="U5695" s="2">
        <f t="shared" si="357"/>
        <v>45.344341285004177</v>
      </c>
    </row>
    <row r="5696" spans="1:21" x14ac:dyDescent="0.25">
      <c r="A5696">
        <v>6080285</v>
      </c>
      <c r="B5696">
        <v>1</v>
      </c>
      <c r="C5696" s="1">
        <f>1.45535826191191*(10.3/7.3)</f>
        <v>2.0534506983140637</v>
      </c>
      <c r="D5696" s="1">
        <f>3.27291519690033*(10.3/7.3)</f>
        <v>4.6179488394621115</v>
      </c>
      <c r="E5696" s="1">
        <f>11.0444091165412*(10.3/7.3)</f>
        <v>15.583207383612892</v>
      </c>
      <c r="F5696" s="1">
        <f>37.0578071697452*(38.9/42.5)</f>
        <v>33.918792915366815</v>
      </c>
      <c r="G5696" s="1">
        <v>2.1544824161369154</v>
      </c>
      <c r="H5696" s="1">
        <v>8.6899554901669482</v>
      </c>
      <c r="I5696" s="1">
        <v>27.233891440627758</v>
      </c>
      <c r="J5696" s="1">
        <v>2.4432367234063373E-2</v>
      </c>
      <c r="K5696" s="1">
        <v>1.8720489926998833</v>
      </c>
      <c r="L5696" s="1">
        <v>2.5732442099398738</v>
      </c>
      <c r="M5696" s="1">
        <v>0.18235403813163675</v>
      </c>
      <c r="N5696" s="1">
        <v>1.1097755874578918</v>
      </c>
      <c r="O5696" s="1">
        <v>0.13685333333333333</v>
      </c>
      <c r="P5696" s="1">
        <v>9.1659067311884779E-2</v>
      </c>
      <c r="Q5696" s="1">
        <v>3.4432367381183613</v>
      </c>
      <c r="R5696" s="2">
        <f t="shared" si="355"/>
        <v>97.69496592180586</v>
      </c>
      <c r="S5696" s="2">
        <f t="shared" si="354"/>
        <v>1.9881404272458316</v>
      </c>
      <c r="T5696" s="2">
        <f t="shared" si="356"/>
        <v>4.0022271688627358</v>
      </c>
      <c r="U5696" s="2">
        <f t="shared" si="357"/>
        <v>103.68533351791443</v>
      </c>
    </row>
    <row r="5697" spans="1:21" x14ac:dyDescent="0.25">
      <c r="A5697">
        <v>6080293</v>
      </c>
      <c r="B5697">
        <v>1</v>
      </c>
      <c r="C5697" s="1">
        <f>1.57564238755433*(10.3/7.3)</f>
        <v>2.2231666564122703</v>
      </c>
      <c r="D5697" s="1">
        <f>3.45298477088625*(10.3/7.3)</f>
        <v>4.8720196082367666</v>
      </c>
      <c r="E5697" s="1">
        <f>11.681005710767*(10.3/7.3)</f>
        <v>16.481419016561659</v>
      </c>
      <c r="F5697" s="1">
        <f>38.0978554329331*(38.9/42.5)</f>
        <v>34.870742972731719</v>
      </c>
      <c r="G5697" s="1">
        <v>2.1834520502184374</v>
      </c>
      <c r="H5697" s="1">
        <v>6.3621088899792042</v>
      </c>
      <c r="I5697" s="1">
        <v>27.91923611066202</v>
      </c>
      <c r="J5697" s="1">
        <v>2.6180567182037342E-2</v>
      </c>
      <c r="K5697" s="1">
        <v>1.9452735127867031</v>
      </c>
      <c r="L5697" s="1">
        <v>2.8003194245621366</v>
      </c>
      <c r="M5697" s="1">
        <v>0.18428627824653693</v>
      </c>
      <c r="N5697" s="1">
        <v>1.2191602435640851</v>
      </c>
      <c r="O5697" s="1">
        <v>0.13978666666666667</v>
      </c>
      <c r="P5697" s="1">
        <v>9.3842526313894642E-2</v>
      </c>
      <c r="Q5697" s="1">
        <v>3.4895352400751318</v>
      </c>
      <c r="R5697" s="2">
        <f t="shared" si="355"/>
        <v>98.401680544877195</v>
      </c>
      <c r="S5697" s="2">
        <f t="shared" si="354"/>
        <v>2.0652966062826352</v>
      </c>
      <c r="T5697" s="2">
        <f t="shared" si="356"/>
        <v>4.3435526130394253</v>
      </c>
      <c r="U5697" s="2">
        <f t="shared" si="357"/>
        <v>104.81052976419925</v>
      </c>
    </row>
    <row r="5698" spans="1:21" x14ac:dyDescent="0.25">
      <c r="A5698">
        <v>6080301</v>
      </c>
      <c r="B5698">
        <v>2</v>
      </c>
      <c r="C5698" s="1">
        <f>1.53760552000846*(10.3/7.3)</f>
        <v>2.1694981994639964</v>
      </c>
      <c r="D5698" s="1">
        <f>3.13047232529951*(10.3/7.3)</f>
        <v>4.416967801449994</v>
      </c>
      <c r="E5698" s="1">
        <f>10.6781915867075*(10.3/7.3)</f>
        <v>15.066489499053002</v>
      </c>
      <c r="F5698" s="1">
        <f>31.3622159406452*(38.9/42.5)</f>
        <v>28.705651766849343</v>
      </c>
      <c r="G5698" s="1">
        <v>1.6963330178846925</v>
      </c>
      <c r="H5698" s="1">
        <v>6.6627470872617476</v>
      </c>
      <c r="I5698" s="1">
        <v>22.683952776412582</v>
      </c>
      <c r="J5698" s="1">
        <v>2.8382789932033674E-2</v>
      </c>
      <c r="K5698" s="1">
        <v>2.1072419992892613</v>
      </c>
      <c r="L5698" s="1">
        <v>2.9719436031948323</v>
      </c>
      <c r="M5698" s="1">
        <v>0.18608652562141231</v>
      </c>
      <c r="N5698" s="1">
        <v>1.3090500140004782</v>
      </c>
      <c r="O5698" s="1">
        <v>0.14343999999999998</v>
      </c>
      <c r="P5698" s="1">
        <v>9.6384115914833354E-2</v>
      </c>
      <c r="Q5698" s="1">
        <v>2.7110345034686896</v>
      </c>
      <c r="R5698" s="2">
        <f t="shared" si="355"/>
        <v>84.112674651844046</v>
      </c>
      <c r="S5698" s="2">
        <f t="shared" si="354"/>
        <v>2.2320089051361283</v>
      </c>
      <c r="T5698" s="2">
        <f t="shared" si="356"/>
        <v>4.6105201428167231</v>
      </c>
      <c r="U5698" s="2">
        <f t="shared" si="357"/>
        <v>90.955203699796897</v>
      </c>
    </row>
    <row r="5699" spans="1:21" x14ac:dyDescent="0.25">
      <c r="A5699">
        <v>6080381</v>
      </c>
      <c r="B5699">
        <v>46</v>
      </c>
      <c r="C5699" s="1">
        <f>2.12700812587736*(10.3/7.3)</f>
        <v>3.0011210543201097</v>
      </c>
      <c r="D5699" s="1">
        <f>3.95015757708532*(10.3/7.3)</f>
        <v>5.5735100060244944</v>
      </c>
      <c r="E5699" s="1">
        <f>13.5297513406884*(10.3/7.3)</f>
        <v>19.089923124532895</v>
      </c>
      <c r="F5699" s="1">
        <f>38.7600828102397*(38.9/42.5)</f>
        <v>35.47687579572532</v>
      </c>
      <c r="G5699" s="1">
        <v>2.0532986217362361</v>
      </c>
      <c r="H5699" s="1">
        <v>7.5967190433568978</v>
      </c>
      <c r="I5699" s="1">
        <v>28.299825751679556</v>
      </c>
      <c r="J5699" s="1">
        <v>3.0728174687056155E-2</v>
      </c>
      <c r="K5699" s="1">
        <v>2.0871144427415724</v>
      </c>
      <c r="L5699" s="1">
        <v>2.2602586317171109</v>
      </c>
      <c r="M5699" s="1">
        <v>0.15865179885677266</v>
      </c>
      <c r="N5699" s="1">
        <v>1.5235161084991342</v>
      </c>
      <c r="O5699" s="1">
        <v>0.12841623188405799</v>
      </c>
      <c r="P5699" s="1">
        <v>8.9996358258944212E-2</v>
      </c>
      <c r="Q5699" s="1">
        <v>3.2815274776606538</v>
      </c>
      <c r="R5699" s="2">
        <f t="shared" si="355"/>
        <v>104.37280087503618</v>
      </c>
      <c r="S5699" s="2">
        <f t="shared" si="354"/>
        <v>2.2078389756875727</v>
      </c>
      <c r="T5699" s="2">
        <f t="shared" si="356"/>
        <v>4.0708427709570758</v>
      </c>
      <c r="U5699" s="2">
        <f t="shared" si="357"/>
        <v>110.65148262168083</v>
      </c>
    </row>
    <row r="5700" spans="1:21" x14ac:dyDescent="0.25">
      <c r="A5700">
        <v>6092073</v>
      </c>
      <c r="B5700">
        <v>69</v>
      </c>
      <c r="C5700" s="1">
        <f>0.652494336998161*(10.3/7.3)</f>
        <v>0.92064269466863824</v>
      </c>
      <c r="D5700" s="1">
        <f>1.21712352949329*(10.3/7.3)</f>
        <v>1.7173112813398408</v>
      </c>
      <c r="E5700" s="1">
        <f>4.14122434474025*(10.3/7.3)</f>
        <v>5.843097363126657</v>
      </c>
      <c r="F5700" s="1">
        <f>13.2499694693454*(38.9/42.5)</f>
        <v>12.127619114294951</v>
      </c>
      <c r="G5700" s="1">
        <v>0.74529554046874957</v>
      </c>
      <c r="H5700" s="1">
        <v>2.5826843900533318</v>
      </c>
      <c r="I5700" s="1">
        <v>9.8932661507164834</v>
      </c>
      <c r="J5700" s="1">
        <v>3.6270167768223116E-2</v>
      </c>
      <c r="K5700" s="1">
        <v>4.85108481267494</v>
      </c>
      <c r="L5700" s="1">
        <v>2.0300590138831458</v>
      </c>
      <c r="M5700" s="1">
        <v>0.59493792597051853</v>
      </c>
      <c r="N5700" s="1">
        <v>1.2074664148592613</v>
      </c>
      <c r="O5700" s="1">
        <v>0.45674666666666663</v>
      </c>
      <c r="P5700" s="1">
        <v>0.13008633891833088</v>
      </c>
      <c r="Q5700" s="1">
        <v>1.1911115943564501</v>
      </c>
      <c r="R5700" s="2">
        <f t="shared" si="355"/>
        <v>35.021028129025098</v>
      </c>
      <c r="S5700" s="2">
        <f t="shared" si="354"/>
        <v>5.0174413193614944</v>
      </c>
      <c r="T5700" s="2">
        <f t="shared" si="356"/>
        <v>4.2892100213795921</v>
      </c>
      <c r="U5700" s="2">
        <f t="shared" si="357"/>
        <v>44.327679469766181</v>
      </c>
    </row>
    <row r="5701" spans="1:21" x14ac:dyDescent="0.25">
      <c r="A5701">
        <v>6092081</v>
      </c>
      <c r="B5701">
        <v>67</v>
      </c>
      <c r="C5701" s="1">
        <f>0.729444693144143*(10.3/7.3)</f>
        <v>1.029216484847215</v>
      </c>
      <c r="D5701" s="1">
        <f>1.48230740096337*(10.3/7.3)</f>
        <v>2.0914748260168108</v>
      </c>
      <c r="E5701" s="1">
        <f>5.00131509102151*(10.3/7.3)</f>
        <v>7.0566500599344666</v>
      </c>
      <c r="F5701" s="1">
        <f>17.5255779792355*(38.9/42.5)</f>
        <v>16.04105843275908</v>
      </c>
      <c r="G5701" s="1">
        <v>1.0330693221165159</v>
      </c>
      <c r="H5701" s="1">
        <v>3.8483995490317082</v>
      </c>
      <c r="I5701" s="1">
        <v>13.158735736594654</v>
      </c>
      <c r="J5701" s="1">
        <v>4.4119692702368096E-2</v>
      </c>
      <c r="K5701" s="1">
        <v>5.3618994048397566</v>
      </c>
      <c r="L5701" s="1">
        <v>2.3091020039249956</v>
      </c>
      <c r="M5701" s="1">
        <v>0.69176345674225903</v>
      </c>
      <c r="N5701" s="1">
        <v>1.4462778125734119</v>
      </c>
      <c r="O5701" s="1">
        <v>0.51349890547263677</v>
      </c>
      <c r="P5701" s="1">
        <v>0.13647601672590456</v>
      </c>
      <c r="Q5701" s="1">
        <v>1.651024030779821</v>
      </c>
      <c r="R5701" s="2">
        <f t="shared" si="355"/>
        <v>45.909628442080276</v>
      </c>
      <c r="S5701" s="2">
        <f t="shared" si="354"/>
        <v>5.5424951142680285</v>
      </c>
      <c r="T5701" s="2">
        <f t="shared" si="356"/>
        <v>4.9606421787133028</v>
      </c>
      <c r="U5701" s="2">
        <f t="shared" si="357"/>
        <v>56.412765735061605</v>
      </c>
    </row>
    <row r="5702" spans="1:21" x14ac:dyDescent="0.25">
      <c r="A5702">
        <v>6092513</v>
      </c>
      <c r="B5702">
        <v>17</v>
      </c>
      <c r="C5702" s="1">
        <f>1.43741170167777*(10.3/7.3)</f>
        <v>2.0281288393535597</v>
      </c>
      <c r="D5702" s="1">
        <f>2.86208620255212*(10.3/7.3)</f>
        <v>4.0382860118201203</v>
      </c>
      <c r="E5702" s="1">
        <f>9.79697785695968*(10.3/7.3)</f>
        <v>13.823133140641746</v>
      </c>
      <c r="F5702" s="1">
        <f>27.3308647697169*(38.9/42.5)</f>
        <v>25.015779753929088</v>
      </c>
      <c r="G5702" s="1">
        <v>1.4325768069333169</v>
      </c>
      <c r="H5702" s="1">
        <v>8.2629563811774123</v>
      </c>
      <c r="I5702" s="1">
        <v>19.597012413423446</v>
      </c>
      <c r="J5702" s="1">
        <v>2.5157206275884678E-2</v>
      </c>
      <c r="K5702" s="1">
        <v>1.9342461338128412</v>
      </c>
      <c r="L5702" s="1">
        <v>2.8134012116153331</v>
      </c>
      <c r="M5702" s="1">
        <v>0.19062177823868881</v>
      </c>
      <c r="N5702" s="1">
        <v>1.1517589246981945</v>
      </c>
      <c r="O5702" s="1">
        <v>0.14147450980392157</v>
      </c>
      <c r="P5702" s="1">
        <v>9.4441567431315002E-2</v>
      </c>
      <c r="Q5702" s="1">
        <v>2.289506312450508</v>
      </c>
      <c r="R5702" s="2">
        <f t="shared" si="355"/>
        <v>76.4873796597292</v>
      </c>
      <c r="S5702" s="2">
        <f t="shared" si="354"/>
        <v>2.0538449075200407</v>
      </c>
      <c r="T5702" s="2">
        <f t="shared" si="356"/>
        <v>4.2972564243561377</v>
      </c>
      <c r="U5702" s="2">
        <f t="shared" si="357"/>
        <v>82.83848099160538</v>
      </c>
    </row>
    <row r="5703" spans="1:21" x14ac:dyDescent="0.25">
      <c r="A5703">
        <v>6092521</v>
      </c>
      <c r="B5703">
        <v>4</v>
      </c>
      <c r="C5703" s="1">
        <f>1.4500808954723*(10.3/7.3)</f>
        <v>2.0460045511458476</v>
      </c>
      <c r="D5703" s="1">
        <f>3.1427031142273*(10.3/7.3)</f>
        <v>4.4342249419919453</v>
      </c>
      <c r="E5703" s="1">
        <f>10.6542623382916*(10.3/7.3)</f>
        <v>15.032726312931983</v>
      </c>
      <c r="F5703" s="1">
        <f>33.7256722186964*(38.9/42.5)</f>
        <v>30.868909395465675</v>
      </c>
      <c r="G5703" s="1">
        <v>1.9042169661548753</v>
      </c>
      <c r="H5703" s="1">
        <v>10.401409808775398</v>
      </c>
      <c r="I5703" s="1">
        <v>24.589380982252226</v>
      </c>
      <c r="J5703" s="1">
        <v>2.652638828825064E-2</v>
      </c>
      <c r="K5703" s="1">
        <v>1.9904077052065006</v>
      </c>
      <c r="L5703" s="1">
        <v>2.77975642766752</v>
      </c>
      <c r="M5703" s="1">
        <v>0.19104171633989611</v>
      </c>
      <c r="N5703" s="1">
        <v>1.2649021956856941</v>
      </c>
      <c r="O5703" s="1">
        <v>0.14357333333333333</v>
      </c>
      <c r="P5703" s="1">
        <v>9.6293139900502936E-2</v>
      </c>
      <c r="Q5703" s="1">
        <v>3.0432691239918133</v>
      </c>
      <c r="R5703" s="2">
        <f t="shared" si="355"/>
        <v>92.320142082709765</v>
      </c>
      <c r="S5703" s="2">
        <f t="shared" si="354"/>
        <v>2.113227233395254</v>
      </c>
      <c r="T5703" s="2">
        <f t="shared" si="356"/>
        <v>4.3792736730264439</v>
      </c>
      <c r="U5703" s="2">
        <f t="shared" si="357"/>
        <v>98.812642989131461</v>
      </c>
    </row>
    <row r="5704" spans="1:21" x14ac:dyDescent="0.25">
      <c r="A5704">
        <v>6092529</v>
      </c>
      <c r="B5704">
        <v>9</v>
      </c>
      <c r="C5704" s="1">
        <f>1.51704923731497*(10.3/7.3)</f>
        <v>2.1404941293622235</v>
      </c>
      <c r="D5704" s="1">
        <f>3.32518533179651*(10.3/7.3)</f>
        <v>4.6916998517128903</v>
      </c>
      <c r="E5704" s="1">
        <f>11.2486578242816*(10.3/7.3)</f>
        <v>15.871393916452062</v>
      </c>
      <c r="F5704" s="1">
        <f>36.6859292315226*(38.9/42.5)</f>
        <v>33.578415226028966</v>
      </c>
      <c r="G5704" s="1">
        <v>2.1025039780317969</v>
      </c>
      <c r="H5704" s="1">
        <v>6.707348284748111</v>
      </c>
      <c r="I5704" s="1">
        <v>26.883607883193818</v>
      </c>
      <c r="J5704" s="1">
        <v>2.7116900811130194E-2</v>
      </c>
      <c r="K5704" s="1">
        <v>2.0025926494915787</v>
      </c>
      <c r="L5704" s="1">
        <v>2.9183311849412057</v>
      </c>
      <c r="M5704" s="1">
        <v>0.18883837955499949</v>
      </c>
      <c r="N5704" s="1">
        <v>1.2794063656645207</v>
      </c>
      <c r="O5704" s="1">
        <v>0.14282074074074072</v>
      </c>
      <c r="P5704" s="1">
        <v>9.593805712665808E-2</v>
      </c>
      <c r="Q5704" s="1">
        <v>3.3601661749366647</v>
      </c>
      <c r="R5704" s="2">
        <f t="shared" si="355"/>
        <v>95.335629444466534</v>
      </c>
      <c r="S5704" s="2">
        <f t="shared" si="354"/>
        <v>2.1256476074293666</v>
      </c>
      <c r="T5704" s="2">
        <f t="shared" si="356"/>
        <v>4.529396670901467</v>
      </c>
      <c r="U5704" s="2">
        <f t="shared" si="357"/>
        <v>101.99067372279737</v>
      </c>
    </row>
    <row r="5705" spans="1:21" x14ac:dyDescent="0.25">
      <c r="A5705">
        <v>6092609</v>
      </c>
      <c r="B5705">
        <v>11</v>
      </c>
      <c r="C5705" s="1">
        <f>2.35716332911542*(10.3/7.3)</f>
        <v>3.325860587656007</v>
      </c>
      <c r="D5705" s="1">
        <f>4.3884603579*(10.3/7.3)</f>
        <v>6.1919372173109579</v>
      </c>
      <c r="E5705" s="1">
        <f>15.0329329901841*(10.3/7.3)</f>
        <v>21.21085065738302</v>
      </c>
      <c r="F5705" s="1">
        <f>42.9077247172872*(38.9/42.5)</f>
        <v>39.273188035352248</v>
      </c>
      <c r="G5705" s="1">
        <v>2.2685076762086309</v>
      </c>
      <c r="H5705" s="1">
        <v>7.0788156944709577</v>
      </c>
      <c r="I5705" s="1">
        <v>31.288850360216465</v>
      </c>
      <c r="J5705" s="1">
        <v>3.3838392726428163E-2</v>
      </c>
      <c r="K5705" s="1">
        <v>2.1391459934091839</v>
      </c>
      <c r="L5705" s="1">
        <v>2.3035660953830335</v>
      </c>
      <c r="M5705" s="1">
        <v>0.15952578261955827</v>
      </c>
      <c r="N5705" s="1">
        <v>1.4935508245712592</v>
      </c>
      <c r="O5705" s="1">
        <v>0.12979393939393938</v>
      </c>
      <c r="P5705" s="1">
        <v>8.9669377430804123E-2</v>
      </c>
      <c r="Q5705" s="1">
        <v>3.6254688889179065</v>
      </c>
      <c r="R5705" s="2">
        <f t="shared" si="355"/>
        <v>114.2634791175162</v>
      </c>
      <c r="S5705" s="2">
        <f t="shared" ref="S5705:S5768" si="358">J5705+K5705+P5705</f>
        <v>2.2626537635664161</v>
      </c>
      <c r="T5705" s="2">
        <f t="shared" si="356"/>
        <v>4.0864366419677909</v>
      </c>
      <c r="U5705" s="2">
        <f t="shared" si="357"/>
        <v>120.61256952305041</v>
      </c>
    </row>
    <row r="5706" spans="1:21" x14ac:dyDescent="0.25">
      <c r="A5706">
        <v>6104301</v>
      </c>
      <c r="B5706">
        <v>36</v>
      </c>
      <c r="C5706" s="1">
        <f>0.490165556555764*(10.3/7.3)</f>
        <v>0.6916034565101874</v>
      </c>
      <c r="D5706" s="1">
        <f>0.860292577071444*(10.3/7.3)</f>
        <v>1.2138374717583391</v>
      </c>
      <c r="E5706" s="1">
        <f>2.94306118908321*(10.3/7.3)</f>
        <v>4.1525383900763089</v>
      </c>
      <c r="F5706" s="1">
        <f>8.88411166324436*(38.9/42.5)</f>
        <v>8.1315751458871919</v>
      </c>
      <c r="G5706" s="1">
        <v>0.48274974390128456</v>
      </c>
      <c r="H5706" s="1">
        <v>1.7806514902734831</v>
      </c>
      <c r="I5706" s="1">
        <v>6.6221381645228741</v>
      </c>
      <c r="J5706" s="1">
        <v>2.8320792010469869E-2</v>
      </c>
      <c r="K5706" s="1">
        <v>3.948033707931121</v>
      </c>
      <c r="L5706" s="1">
        <v>1.6146346489641303</v>
      </c>
      <c r="M5706" s="1">
        <v>0.4584204479869316</v>
      </c>
      <c r="N5706" s="1">
        <v>0.98759667824710151</v>
      </c>
      <c r="O5706" s="1">
        <v>0.3436177777777778</v>
      </c>
      <c r="P5706" s="1">
        <v>0.11397678486152259</v>
      </c>
      <c r="Q5706" s="1">
        <v>0.77151785554999919</v>
      </c>
      <c r="R5706" s="2">
        <f t="shared" ref="R5706:R5769" si="359">C5706+D5706+E5706+F5706+G5706+H5706+I5706+Q5706</f>
        <v>23.846611718479668</v>
      </c>
      <c r="S5706" s="2">
        <f t="shared" si="358"/>
        <v>4.0903312848031135</v>
      </c>
      <c r="T5706" s="2">
        <f t="shared" ref="T5706:T5769" si="360">L5706+M5706+N5706+O5706</f>
        <v>3.4042695529759412</v>
      </c>
      <c r="U5706" s="2">
        <f t="shared" ref="U5706:U5769" si="361">R5706+S5706+T5706</f>
        <v>31.341212556258721</v>
      </c>
    </row>
    <row r="5707" spans="1:21" x14ac:dyDescent="0.25">
      <c r="A5707">
        <v>6104309</v>
      </c>
      <c r="B5707">
        <v>47</v>
      </c>
      <c r="C5707" s="1">
        <f>0.791939700544968*(10.3/7.3)</f>
        <v>1.1173943720018045</v>
      </c>
      <c r="D5707" s="1">
        <f>1.57094174949104*(10.3/7.3)</f>
        <v>2.2165342492818745</v>
      </c>
      <c r="E5707" s="1">
        <f>5.31601859829264*(10.3/7.3)</f>
        <v>7.5006837756731777</v>
      </c>
      <c r="F5707" s="1">
        <f>18.0048696609102*(38.9/42.5)</f>
        <v>16.479751289633096</v>
      </c>
      <c r="G5707" s="1">
        <v>1.0442194778092599</v>
      </c>
      <c r="H5707" s="1">
        <v>3.4308918267180202</v>
      </c>
      <c r="I5707" s="1">
        <v>13.473850278592577</v>
      </c>
      <c r="J5707" s="1">
        <v>4.5219190474159121E-2</v>
      </c>
      <c r="K5707" s="1">
        <v>5.4098263944338472</v>
      </c>
      <c r="L5707" s="1">
        <v>2.4693611710922072</v>
      </c>
      <c r="M5707" s="1">
        <v>0.73254783268426416</v>
      </c>
      <c r="N5707" s="1">
        <v>1.4211785640764578</v>
      </c>
      <c r="O5707" s="1">
        <v>0.55888340425531935</v>
      </c>
      <c r="P5707" s="1">
        <v>0.14218366437139934</v>
      </c>
      <c r="Q5707" s="1">
        <v>1.6688439143070382</v>
      </c>
      <c r="R5707" s="2">
        <f t="shared" si="359"/>
        <v>46.93216918401685</v>
      </c>
      <c r="S5707" s="2">
        <f t="shared" si="358"/>
        <v>5.5972292492794056</v>
      </c>
      <c r="T5707" s="2">
        <f t="shared" si="360"/>
        <v>5.1819709721082488</v>
      </c>
      <c r="U5707" s="2">
        <f t="shared" si="361"/>
        <v>57.711369405404504</v>
      </c>
    </row>
    <row r="5708" spans="1:21" x14ac:dyDescent="0.25">
      <c r="A5708">
        <v>6104317</v>
      </c>
      <c r="B5708">
        <v>5</v>
      </c>
      <c r="C5708" s="1">
        <f>0.462098154206403*(10.3/7.3)</f>
        <v>0.65200150525013034</v>
      </c>
      <c r="D5708" s="1">
        <f>0.939677318503643*(10.3/7.3)</f>
        <v>1.3258460795325375</v>
      </c>
      <c r="E5708" s="1">
        <f>3.16471391193202*(10.3/7.3)</f>
        <v>4.4652812729999702</v>
      </c>
      <c r="F5708" s="1">
        <f>11.3861467458588*(38.9/42.5)</f>
        <v>10.421673139150785</v>
      </c>
      <c r="G5708" s="1">
        <v>0.67866196108312826</v>
      </c>
      <c r="H5708" s="1">
        <v>3.7058108604027753</v>
      </c>
      <c r="I5708" s="1">
        <v>8.5902747861716442</v>
      </c>
      <c r="J5708" s="1">
        <v>3.4069531607457737E-2</v>
      </c>
      <c r="K5708" s="1">
        <v>4.246422291973599</v>
      </c>
      <c r="L5708" s="1">
        <v>1.6639505084001853</v>
      </c>
      <c r="M5708" s="1">
        <v>0.49359469683961227</v>
      </c>
      <c r="N5708" s="1">
        <v>1.7502935580815773</v>
      </c>
      <c r="O5708" s="1">
        <v>0.35310933333333339</v>
      </c>
      <c r="P5708" s="1">
        <v>0.11363922011018138</v>
      </c>
      <c r="Q5708" s="1">
        <v>1.0846195725072838</v>
      </c>
      <c r="R5708" s="2">
        <f t="shared" si="359"/>
        <v>30.924169177098253</v>
      </c>
      <c r="S5708" s="2">
        <f t="shared" si="358"/>
        <v>4.3941310436912389</v>
      </c>
      <c r="T5708" s="2">
        <f t="shared" si="360"/>
        <v>4.2609480966547082</v>
      </c>
      <c r="U5708" s="2">
        <f t="shared" si="361"/>
        <v>39.579248317444204</v>
      </c>
    </row>
    <row r="5709" spans="1:21" x14ac:dyDescent="0.25">
      <c r="A5709">
        <v>6104845</v>
      </c>
      <c r="B5709">
        <v>2</v>
      </c>
      <c r="C5709" s="1">
        <f>2.5010734005681*(10.3/7.3)</f>
        <v>3.5289117843632076</v>
      </c>
      <c r="D5709" s="1">
        <f>4.68298872072022*(10.3/7.3)</f>
        <v>6.6075046333449725</v>
      </c>
      <c r="E5709" s="1">
        <f>16.0304959037885*(10.3/7.3)</f>
        <v>22.618370932742618</v>
      </c>
      <c r="F5709" s="1">
        <f>46.1943712272093*(38.9/42.5)</f>
        <v>42.281436252669209</v>
      </c>
      <c r="G5709" s="1">
        <v>2.4570541498772585</v>
      </c>
      <c r="H5709" s="1">
        <v>8.1424244716523706</v>
      </c>
      <c r="I5709" s="1">
        <v>33.724619152265824</v>
      </c>
      <c r="J5709" s="1">
        <v>3.4565137806300841E-2</v>
      </c>
      <c r="K5709" s="1">
        <v>2.138656834750031</v>
      </c>
      <c r="L5709" s="1">
        <v>2.2945584416445488</v>
      </c>
      <c r="M5709" s="1">
        <v>0.16381849040871788</v>
      </c>
      <c r="N5709" s="1">
        <v>1.5408826199985068</v>
      </c>
      <c r="O5709" s="1">
        <v>0.13407999999999998</v>
      </c>
      <c r="P5709" s="1">
        <v>9.173416270541819E-2</v>
      </c>
      <c r="Q5709" s="1">
        <v>3.9267988696668557</v>
      </c>
      <c r="R5709" s="2">
        <f t="shared" si="359"/>
        <v>123.28712024658232</v>
      </c>
      <c r="S5709" s="2">
        <f t="shared" si="358"/>
        <v>2.26495613526175</v>
      </c>
      <c r="T5709" s="2">
        <f t="shared" si="360"/>
        <v>4.1333395520517735</v>
      </c>
      <c r="U5709" s="2">
        <f t="shared" si="361"/>
        <v>129.68541593389585</v>
      </c>
    </row>
    <row r="5710" spans="1:21" x14ac:dyDescent="0.25">
      <c r="A5710">
        <v>6116537</v>
      </c>
      <c r="B5710">
        <v>65</v>
      </c>
      <c r="C5710" s="1">
        <f>0.537277264624479*(10.3/7.3)</f>
        <v>0.75807614049755256</v>
      </c>
      <c r="D5710" s="1">
        <f>0.974424282995643*(10.3/7.3)</f>
        <v>1.3748726184733044</v>
      </c>
      <c r="E5710" s="1">
        <f>3.32384080881773*(10.3/7.3)</f>
        <v>4.6898027850441979</v>
      </c>
      <c r="F5710" s="1">
        <f>10.3509167682534*(38.9/42.5)</f>
        <v>9.4741332302366619</v>
      </c>
      <c r="G5710" s="1">
        <v>0.5732190957919896</v>
      </c>
      <c r="H5710" s="1">
        <v>2.0984623687690886</v>
      </c>
      <c r="I5710" s="1">
        <v>7.7213567500754809</v>
      </c>
      <c r="J5710" s="1">
        <v>2.985870675890984E-2</v>
      </c>
      <c r="K5710" s="1">
        <v>4.0850650997593165</v>
      </c>
      <c r="L5710" s="1">
        <v>1.6682945824314588</v>
      </c>
      <c r="M5710" s="1">
        <v>0.46944572710844912</v>
      </c>
      <c r="N5710" s="1">
        <v>1.0345176876824382</v>
      </c>
      <c r="O5710" s="1">
        <v>0.34929805128205121</v>
      </c>
      <c r="P5710" s="1">
        <v>0.11680794716904072</v>
      </c>
      <c r="Q5710" s="1">
        <v>0.91610357774975615</v>
      </c>
      <c r="R5710" s="2">
        <f t="shared" si="359"/>
        <v>27.606026566638032</v>
      </c>
      <c r="S5710" s="2">
        <f t="shared" si="358"/>
        <v>4.2317317536872672</v>
      </c>
      <c r="T5710" s="2">
        <f t="shared" si="360"/>
        <v>3.5215560485043973</v>
      </c>
      <c r="U5710" s="2">
        <f t="shared" si="361"/>
        <v>35.3593143688297</v>
      </c>
    </row>
    <row r="5711" spans="1:21" x14ac:dyDescent="0.25">
      <c r="A5711">
        <v>6116545</v>
      </c>
      <c r="B5711">
        <v>46</v>
      </c>
      <c r="C5711" s="1">
        <f>0.487405269267421*(10.3/7.3)</f>
        <v>0.68770880458279926</v>
      </c>
      <c r="D5711" s="1">
        <f>0.925824066886758*(10.3/7.3)</f>
        <v>1.3062997108128229</v>
      </c>
      <c r="E5711" s="1">
        <f>3.14091314857812*(10.3/7.3)</f>
        <v>4.4316993740211839</v>
      </c>
      <c r="F5711" s="1">
        <f>10.4336682470115*(38.9/42.5)</f>
        <v>9.5498751719704948</v>
      </c>
      <c r="G5711" s="1">
        <v>0.59824860126933632</v>
      </c>
      <c r="H5711" s="1">
        <v>3.3518347588066257</v>
      </c>
      <c r="I5711" s="1">
        <v>7.8261292038793959</v>
      </c>
      <c r="J5711" s="1">
        <v>3.3558576080240689E-2</v>
      </c>
      <c r="K5711" s="1">
        <v>4.085160034340257</v>
      </c>
      <c r="L5711" s="1">
        <v>1.6479357361809492</v>
      </c>
      <c r="M5711" s="1">
        <v>0.47158916289768998</v>
      </c>
      <c r="N5711" s="1">
        <v>1.1286447373016579</v>
      </c>
      <c r="O5711" s="1">
        <v>0.34570318840579711</v>
      </c>
      <c r="P5711" s="1">
        <v>0.1134102770250283</v>
      </c>
      <c r="Q5711" s="1">
        <v>0.95610507052177118</v>
      </c>
      <c r="R5711" s="2">
        <f t="shared" si="359"/>
        <v>28.707900695864431</v>
      </c>
      <c r="S5711" s="2">
        <f t="shared" si="358"/>
        <v>4.2321288874455263</v>
      </c>
      <c r="T5711" s="2">
        <f t="shared" si="360"/>
        <v>3.5938728247860943</v>
      </c>
      <c r="U5711" s="2">
        <f t="shared" si="361"/>
        <v>36.533902408096054</v>
      </c>
    </row>
    <row r="5712" spans="1:21" x14ac:dyDescent="0.25">
      <c r="A5712">
        <v>612561</v>
      </c>
      <c r="B5712">
        <v>16</v>
      </c>
      <c r="C5712" s="1">
        <f>1.26751388854732*(10.3/7.3)</f>
        <v>1.7884100071284121</v>
      </c>
      <c r="D5712" s="1">
        <f>1.70924193513126*(10.3/7.3)</f>
        <v>2.4116701276509556</v>
      </c>
      <c r="E5712" s="1">
        <f>5.96293294297421*(10.3/7.3)</f>
        <v>8.4134533304978554</v>
      </c>
      <c r="F5712" s="1">
        <f>15.0019488465927*(38.9/42.5)</f>
        <v>13.731195532528332</v>
      </c>
      <c r="G5712" s="1">
        <v>0.7043309345408254</v>
      </c>
      <c r="H5712" s="1">
        <v>3.3114709590621692</v>
      </c>
      <c r="I5712" s="1">
        <v>11.412048428799013</v>
      </c>
      <c r="J5712" s="1">
        <v>3.2557041628197246E-2</v>
      </c>
      <c r="K5712" s="1">
        <v>4.2307839631880411</v>
      </c>
      <c r="L5712" s="1">
        <v>1.3807798653731913</v>
      </c>
      <c r="M5712" s="1">
        <v>8.9400097350307489E-2</v>
      </c>
      <c r="N5712" s="1">
        <v>0.99753596498454888</v>
      </c>
      <c r="O5712" s="1">
        <v>6.7766666666666669E-2</v>
      </c>
      <c r="P5712" s="1">
        <v>5.9247625202049847E-2</v>
      </c>
      <c r="Q5712" s="1">
        <v>1.125643046069813</v>
      </c>
      <c r="R5712" s="2">
        <f t="shared" si="359"/>
        <v>42.898222366277373</v>
      </c>
      <c r="S5712" s="2">
        <f t="shared" si="358"/>
        <v>4.3225886300182887</v>
      </c>
      <c r="T5712" s="2">
        <f t="shared" si="360"/>
        <v>2.5354825943747143</v>
      </c>
      <c r="U5712" s="2">
        <f t="shared" si="361"/>
        <v>49.756293590670374</v>
      </c>
    </row>
    <row r="5713" spans="1:21" x14ac:dyDescent="0.25">
      <c r="A5713">
        <v>612585</v>
      </c>
      <c r="B5713">
        <v>50</v>
      </c>
      <c r="C5713" s="1">
        <f>1.58594221367722*(10.3/7.3)</f>
        <v>2.237699287791143</v>
      </c>
      <c r="D5713" s="1">
        <f>2.42681898449436*(10.3/7.3)</f>
        <v>3.4241418548345051</v>
      </c>
      <c r="E5713" s="1">
        <f>8.36296110035572*(10.3/7.3)</f>
        <v>11.799794429269026</v>
      </c>
      <c r="F5713" s="1">
        <f>24.1587475835115*(38.9/42.5)</f>
        <v>22.112359552908167</v>
      </c>
      <c r="G5713" s="1">
        <v>1.2654644313419814</v>
      </c>
      <c r="H5713" s="1">
        <v>6.2464891497505404</v>
      </c>
      <c r="I5713" s="1">
        <v>18.313004815853034</v>
      </c>
      <c r="J5713" s="1">
        <v>3.9166977145079322E-2</v>
      </c>
      <c r="K5713" s="1">
        <v>4.1979833517553411</v>
      </c>
      <c r="L5713" s="1">
        <v>1.6010626829968584</v>
      </c>
      <c r="M5713" s="1">
        <v>9.7836545471101835E-2</v>
      </c>
      <c r="N5713" s="1">
        <v>1.1997693487458194</v>
      </c>
      <c r="O5713" s="1">
        <v>7.8516266666666668E-2</v>
      </c>
      <c r="P5713" s="1">
        <v>6.7397487171966072E-2</v>
      </c>
      <c r="Q5713" s="1">
        <v>2.0224317395876428</v>
      </c>
      <c r="R5713" s="2">
        <f t="shared" si="359"/>
        <v>67.421385261336042</v>
      </c>
      <c r="S5713" s="2">
        <f t="shared" si="358"/>
        <v>4.3045478160723869</v>
      </c>
      <c r="T5713" s="2">
        <f t="shared" si="360"/>
        <v>2.9771848438804462</v>
      </c>
      <c r="U5713" s="2">
        <f t="shared" si="361"/>
        <v>74.703117921288879</v>
      </c>
    </row>
    <row r="5714" spans="1:21" x14ac:dyDescent="0.25">
      <c r="A5714">
        <v>612593</v>
      </c>
      <c r="B5714">
        <v>5</v>
      </c>
      <c r="C5714" s="1">
        <f>0.985134954847541*(10.3/7.3)</f>
        <v>1.3899849362917363</v>
      </c>
      <c r="D5714" s="1">
        <f>1.43588135590835*(10.3/7.3)</f>
        <v>2.0259695843638306</v>
      </c>
      <c r="E5714" s="1">
        <f>4.9777206313105*(10.3/7.3)</f>
        <v>7.0233592469175568</v>
      </c>
      <c r="F5714" s="1">
        <f>13.3305444074066*(38.9/42.5)</f>
        <v>12.201368881132122</v>
      </c>
      <c r="G5714" s="1">
        <v>0.6616020654573429</v>
      </c>
      <c r="H5714" s="1">
        <v>3.5965062018600498</v>
      </c>
      <c r="I5714" s="1">
        <v>10.068576094658891</v>
      </c>
      <c r="J5714" s="1">
        <v>2.5625556130593176E-2</v>
      </c>
      <c r="K5714" s="1">
        <v>2.9017291819164801</v>
      </c>
      <c r="L5714" s="1">
        <v>1.110211958813055</v>
      </c>
      <c r="M5714" s="1">
        <v>7.0360227672626702E-2</v>
      </c>
      <c r="N5714" s="1">
        <v>0.83113021295278922</v>
      </c>
      <c r="O5714" s="1">
        <v>5.914666666666666E-2</v>
      </c>
      <c r="P5714" s="1">
        <v>5.2862582181040604E-2</v>
      </c>
      <c r="Q5714" s="1">
        <v>1.0573548991327408</v>
      </c>
      <c r="R5714" s="2">
        <f t="shared" si="359"/>
        <v>38.024721909814268</v>
      </c>
      <c r="S5714" s="2">
        <f t="shared" si="358"/>
        <v>2.9802173202281139</v>
      </c>
      <c r="T5714" s="2">
        <f t="shared" si="360"/>
        <v>2.0708490661051373</v>
      </c>
      <c r="U5714" s="2">
        <f t="shared" si="361"/>
        <v>43.075788296147522</v>
      </c>
    </row>
    <row r="5715" spans="1:21" x14ac:dyDescent="0.25">
      <c r="A5715">
        <v>612609</v>
      </c>
      <c r="B5715">
        <v>1</v>
      </c>
      <c r="C5715" s="1">
        <f>1.01484752363206*(10.3/7.3)</f>
        <v>1.4319081497822204</v>
      </c>
      <c r="D5715" s="1">
        <f>1.54377039519857*(10.3/7.3)</f>
        <v>2.1781965850062011</v>
      </c>
      <c r="E5715" s="1">
        <f>5.32941975696503*(10.3/7.3)</f>
        <v>7.5195922598273723</v>
      </c>
      <c r="F5715" s="1">
        <f>14.9680002171481*(38.9/42.5)</f>
        <v>13.70012255169557</v>
      </c>
      <c r="G5715" s="1">
        <v>0.77005579186327877</v>
      </c>
      <c r="H5715" s="1">
        <v>5.1394015848300851</v>
      </c>
      <c r="I5715" s="1">
        <v>11.301495182214264</v>
      </c>
      <c r="J5715" s="1">
        <v>2.2769031361233771E-2</v>
      </c>
      <c r="K5715" s="1">
        <v>2.6048945981424234</v>
      </c>
      <c r="L5715" s="1">
        <v>1.0596269990844243</v>
      </c>
      <c r="M5715" s="1">
        <v>6.3536007120289548E-2</v>
      </c>
      <c r="N5715" s="1">
        <v>0.77877867071972573</v>
      </c>
      <c r="O5715" s="1">
        <v>5.7279999999999998E-2</v>
      </c>
      <c r="P5715" s="1">
        <v>5.1091785377717469E-2</v>
      </c>
      <c r="Q5715" s="1">
        <v>1.2306827723842368</v>
      </c>
      <c r="R5715" s="2">
        <f t="shared" si="359"/>
        <v>43.271454877603226</v>
      </c>
      <c r="S5715" s="2">
        <f t="shared" si="358"/>
        <v>2.6787554148813748</v>
      </c>
      <c r="T5715" s="2">
        <f t="shared" si="360"/>
        <v>1.9592216769244395</v>
      </c>
      <c r="U5715" s="2">
        <f t="shared" si="361"/>
        <v>47.909431969409042</v>
      </c>
    </row>
    <row r="5716" spans="1:21" x14ac:dyDescent="0.25">
      <c r="A5716">
        <v>612617</v>
      </c>
      <c r="B5716">
        <v>10</v>
      </c>
      <c r="C5716" s="1">
        <f>1.16269344230248*(10.3/7.3)</f>
        <v>1.6405126651665063</v>
      </c>
      <c r="D5716" s="1">
        <f>1.8309336785953*(10.3/7.3)</f>
        <v>2.5833721766481683</v>
      </c>
      <c r="E5716" s="1">
        <f>6.30237710899588*(10.3/7.3)</f>
        <v>8.8923950989941929</v>
      </c>
      <c r="F5716" s="1">
        <f>18.2318079103092*(38.9/42.5)</f>
        <v>16.687466534377123</v>
      </c>
      <c r="G5716" s="1">
        <v>0.95829403642854805</v>
      </c>
      <c r="H5716" s="1">
        <v>5.4739665507445139</v>
      </c>
      <c r="I5716" s="1">
        <v>13.746499716111765</v>
      </c>
      <c r="J5716" s="1">
        <v>2.5892029326546488E-2</v>
      </c>
      <c r="K5716" s="1">
        <v>2.8921527187343328</v>
      </c>
      <c r="L5716" s="1">
        <v>1.1990875578082543</v>
      </c>
      <c r="M5716" s="1">
        <v>6.7474261653825501E-2</v>
      </c>
      <c r="N5716" s="1">
        <v>0.87241555281388727</v>
      </c>
      <c r="O5716" s="1">
        <v>6.4351999999999993E-2</v>
      </c>
      <c r="P5716" s="1">
        <v>5.5546561613008548E-2</v>
      </c>
      <c r="Q5716" s="1">
        <v>1.531520149543343</v>
      </c>
      <c r="R5716" s="2">
        <f t="shared" si="359"/>
        <v>51.514026928014154</v>
      </c>
      <c r="S5716" s="2">
        <f t="shared" si="358"/>
        <v>2.9735913096738877</v>
      </c>
      <c r="T5716" s="2">
        <f t="shared" si="360"/>
        <v>2.203329372275967</v>
      </c>
      <c r="U5716" s="2">
        <f t="shared" si="361"/>
        <v>56.690947609964006</v>
      </c>
    </row>
    <row r="5717" spans="1:21" x14ac:dyDescent="0.25">
      <c r="A5717">
        <v>612633</v>
      </c>
      <c r="B5717">
        <v>24</v>
      </c>
      <c r="C5717" s="1">
        <f>1.43212457318407*(10.3/7.3)</f>
        <v>2.0206689183282061</v>
      </c>
      <c r="D5717" s="1">
        <f>2.12378604039611*(10.3/7.3)</f>
        <v>2.9965748241205339</v>
      </c>
      <c r="E5717" s="1">
        <f>7.3647609869683*(10.3/7.3)</f>
        <v>10.391375091201844</v>
      </c>
      <c r="F5717" s="1">
        <f>19.3539633161972*(38.9/42.5)</f>
        <v>17.714568776472216</v>
      </c>
      <c r="G5717" s="1">
        <v>0.94966305254617367</v>
      </c>
      <c r="H5717" s="1">
        <v>6.8609331614480054</v>
      </c>
      <c r="I5717" s="1">
        <v>14.509663824215039</v>
      </c>
      <c r="J5717" s="1">
        <v>3.0420942136750895E-2</v>
      </c>
      <c r="K5717" s="1">
        <v>2.9152556458737249</v>
      </c>
      <c r="L5717" s="1">
        <v>1.228520892662649</v>
      </c>
      <c r="M5717" s="1">
        <v>6.7132130924642888E-2</v>
      </c>
      <c r="N5717" s="1">
        <v>1.1353132985440382</v>
      </c>
      <c r="O5717" s="1">
        <v>6.2298888888888869E-2</v>
      </c>
      <c r="P5717" s="1">
        <v>5.5863794282298533E-2</v>
      </c>
      <c r="Q5717" s="1">
        <v>1.5177263396856668</v>
      </c>
      <c r="R5717" s="2">
        <f t="shared" si="359"/>
        <v>56.961173988017677</v>
      </c>
      <c r="S5717" s="2">
        <f t="shared" si="358"/>
        <v>3.0015403822927742</v>
      </c>
      <c r="T5717" s="2">
        <f t="shared" si="360"/>
        <v>2.4932652110202191</v>
      </c>
      <c r="U5717" s="2">
        <f t="shared" si="361"/>
        <v>62.455979581330666</v>
      </c>
    </row>
    <row r="5718" spans="1:21" x14ac:dyDescent="0.25">
      <c r="A5718">
        <v>612641</v>
      </c>
      <c r="B5718">
        <v>14</v>
      </c>
      <c r="C5718" s="1">
        <f>1.74002310608836*(10.3/7.3)</f>
        <v>2.4551010948917962</v>
      </c>
      <c r="D5718" s="1">
        <f>2.8127621472039*(10.3/7.3)</f>
        <v>3.9686917967397539</v>
      </c>
      <c r="E5718" s="1">
        <f>9.79884123991787*(10.3/7.3)</f>
        <v>13.825762297418361</v>
      </c>
      <c r="F5718" s="1">
        <f>21.8801406050401*(38.9/42.5)</f>
        <v>20.026763989083783</v>
      </c>
      <c r="G5718" s="1">
        <v>0.94963686747127618</v>
      </c>
      <c r="H5718" s="1">
        <v>4.8203843884159818</v>
      </c>
      <c r="I5718" s="1">
        <v>15.485076117873136</v>
      </c>
      <c r="J5718" s="1">
        <v>3.5510159900229911E-2</v>
      </c>
      <c r="K5718" s="1">
        <v>3.5140494857857187</v>
      </c>
      <c r="L5718" s="1">
        <v>1.3812237844339819</v>
      </c>
      <c r="M5718" s="1">
        <v>7.3759443848186765E-2</v>
      </c>
      <c r="N5718" s="1">
        <v>1.3308812353361534</v>
      </c>
      <c r="O5718" s="1">
        <v>7.012190476190476E-2</v>
      </c>
      <c r="P5718" s="1">
        <v>6.1120347672569124E-2</v>
      </c>
      <c r="Q5718" s="1">
        <v>1.5176844913924519</v>
      </c>
      <c r="R5718" s="2">
        <f t="shared" si="359"/>
        <v>63.049101043286534</v>
      </c>
      <c r="S5718" s="2">
        <f t="shared" si="358"/>
        <v>3.6106799933585179</v>
      </c>
      <c r="T5718" s="2">
        <f t="shared" si="360"/>
        <v>2.8559863683802269</v>
      </c>
      <c r="U5718" s="2">
        <f t="shared" si="361"/>
        <v>69.515767405025287</v>
      </c>
    </row>
    <row r="5719" spans="1:21" x14ac:dyDescent="0.25">
      <c r="A5719">
        <v>6128765</v>
      </c>
      <c r="B5719">
        <v>28</v>
      </c>
      <c r="C5719" s="1">
        <f>0.457193475100265*(10.3/7.3)</f>
        <v>0.64508120459352425</v>
      </c>
      <c r="D5719" s="1">
        <f>0.800154295452796*(10.3/7.3)</f>
        <v>1.1289848278306571</v>
      </c>
      <c r="E5719" s="1">
        <f>2.73780718827197*(10.3/7.3)</f>
        <v>3.8629334300275775</v>
      </c>
      <c r="F5719" s="1">
        <f>8.25285904227736*(38.9/42.5)</f>
        <v>7.5537933351668061</v>
      </c>
      <c r="G5719" s="1">
        <v>0.44800619436150951</v>
      </c>
      <c r="H5719" s="1">
        <v>1.6639112549280541</v>
      </c>
      <c r="I5719" s="1">
        <v>6.1528469958833112</v>
      </c>
      <c r="J5719" s="1">
        <v>2.7417461077266499E-2</v>
      </c>
      <c r="K5719" s="1">
        <v>3.6805870550415554</v>
      </c>
      <c r="L5719" s="1">
        <v>1.5612123603415096</v>
      </c>
      <c r="M5719" s="1">
        <v>0.43176679862117739</v>
      </c>
      <c r="N5719" s="1">
        <v>0.95384107642474836</v>
      </c>
      <c r="O5719" s="1">
        <v>0.32145142857142861</v>
      </c>
      <c r="P5719" s="1">
        <v>0.11083468040353087</v>
      </c>
      <c r="Q5719" s="1">
        <v>0.71599163482433126</v>
      </c>
      <c r="R5719" s="2">
        <f t="shared" si="359"/>
        <v>22.17154887761577</v>
      </c>
      <c r="S5719" s="2">
        <f t="shared" si="358"/>
        <v>3.8188391965223527</v>
      </c>
      <c r="T5719" s="2">
        <f t="shared" si="360"/>
        <v>3.2682716639588643</v>
      </c>
      <c r="U5719" s="2">
        <f t="shared" si="361"/>
        <v>29.258659738096988</v>
      </c>
    </row>
    <row r="5720" spans="1:21" x14ac:dyDescent="0.25">
      <c r="A5720">
        <v>6128773</v>
      </c>
      <c r="B5720">
        <v>52</v>
      </c>
      <c r="C5720" s="1">
        <f>0.6030674116439*(10.3/7.3)</f>
        <v>0.85090333423728348</v>
      </c>
      <c r="D5720" s="1">
        <f>1.15554751344105*(10.3/7.3)</f>
        <v>1.6304300532113389</v>
      </c>
      <c r="E5720" s="1">
        <f>3.92182400074273*(10.3/7.3)</f>
        <v>5.5335324941986475</v>
      </c>
      <c r="F5720" s="1">
        <f>12.8938192352688*(38.9/42.5)</f>
        <v>11.80163690004599</v>
      </c>
      <c r="G5720" s="1">
        <v>0.73611138657302788</v>
      </c>
      <c r="H5720" s="1">
        <v>4.1324574173568207</v>
      </c>
      <c r="I5720" s="1">
        <v>9.6402055454760802</v>
      </c>
      <c r="J5720" s="1">
        <v>3.5921004606876625E-2</v>
      </c>
      <c r="K5720" s="1">
        <v>4.4362781910664033</v>
      </c>
      <c r="L5720" s="1">
        <v>1.9343916030041428</v>
      </c>
      <c r="M5720" s="1">
        <v>0.55528361347004485</v>
      </c>
      <c r="N5720" s="1">
        <v>1.1880916618509669</v>
      </c>
      <c r="O5720" s="1">
        <v>0.41480820512820499</v>
      </c>
      <c r="P5720" s="1">
        <v>0.12467622017189212</v>
      </c>
      <c r="Q5720" s="1">
        <v>1.1764337228336077</v>
      </c>
      <c r="R5720" s="2">
        <f t="shared" si="359"/>
        <v>35.501710853932799</v>
      </c>
      <c r="S5720" s="2">
        <f t="shared" si="358"/>
        <v>4.5968754158451723</v>
      </c>
      <c r="T5720" s="2">
        <f t="shared" si="360"/>
        <v>4.0925750834533599</v>
      </c>
      <c r="U5720" s="2">
        <f t="shared" si="361"/>
        <v>44.19116135323133</v>
      </c>
    </row>
    <row r="5721" spans="1:21" x14ac:dyDescent="0.25">
      <c r="A5721">
        <v>6128781</v>
      </c>
      <c r="B5721">
        <v>8</v>
      </c>
      <c r="C5721" s="1">
        <f>0.670374897257932*(10.3/7.3)</f>
        <v>0.94587143037762944</v>
      </c>
      <c r="D5721" s="1">
        <f>1.46696326940578*(10.3/7.3)</f>
        <v>2.0698248869697982</v>
      </c>
      <c r="E5721" s="1">
        <f>4.91494970911284*(10.3/7.3)</f>
        <v>6.9347920553235971</v>
      </c>
      <c r="F5721" s="1">
        <f>18.5025730088529*(38.9/42.5)</f>
        <v>16.935296236338342</v>
      </c>
      <c r="G5721" s="1">
        <v>1.1267041758891307</v>
      </c>
      <c r="H5721" s="1">
        <v>9.1270565563277426</v>
      </c>
      <c r="I5721" s="1">
        <v>13.954717808541378</v>
      </c>
      <c r="J5721" s="1">
        <v>4.9031280215597571E-2</v>
      </c>
      <c r="K5721" s="1">
        <v>4.6384335628717999</v>
      </c>
      <c r="L5721" s="1">
        <v>2.1854955020435534</v>
      </c>
      <c r="M5721" s="1">
        <v>0.61709599452336583</v>
      </c>
      <c r="N5721" s="1">
        <v>1.5992162039905995</v>
      </c>
      <c r="O5721" s="1">
        <v>0.46364666666666665</v>
      </c>
      <c r="P5721" s="1">
        <v>0.12589547196545009</v>
      </c>
      <c r="Q5721" s="1">
        <v>1.8006687742520375</v>
      </c>
      <c r="R5721" s="2">
        <f t="shared" si="359"/>
        <v>52.894931924019652</v>
      </c>
      <c r="S5721" s="2">
        <f t="shared" si="358"/>
        <v>4.8133603150528472</v>
      </c>
      <c r="T5721" s="2">
        <f t="shared" si="360"/>
        <v>4.865454367224185</v>
      </c>
      <c r="U5721" s="2">
        <f t="shared" si="361"/>
        <v>62.57374660629668</v>
      </c>
    </row>
    <row r="5722" spans="1:21" x14ac:dyDescent="0.25">
      <c r="A5722">
        <v>6129301</v>
      </c>
      <c r="B5722">
        <v>15</v>
      </c>
      <c r="C5722" s="1">
        <f>2.1908173594933*(10.3/7.3)</f>
        <v>3.0911532606549317</v>
      </c>
      <c r="D5722" s="1">
        <f>4.24970917364068*(10.3/7.3)</f>
        <v>5.9961649984245176</v>
      </c>
      <c r="E5722" s="1">
        <f>14.4966097128133*(10.3/7.3)</f>
        <v>20.454120553695432</v>
      </c>
      <c r="F5722" s="1">
        <f>43.5850186327567*(38.9/42.5)</f>
        <v>39.893111172099701</v>
      </c>
      <c r="G5722" s="1">
        <v>2.380087912169313</v>
      </c>
      <c r="H5722" s="1">
        <v>8.967192054960833</v>
      </c>
      <c r="I5722" s="1">
        <v>31.933315806873882</v>
      </c>
      <c r="J5722" s="1">
        <v>3.1386695311893802E-2</v>
      </c>
      <c r="K5722" s="1">
        <v>1.924252388509555</v>
      </c>
      <c r="L5722" s="1">
        <v>2.2126612764690683</v>
      </c>
      <c r="M5722" s="1">
        <v>0.15970620807706506</v>
      </c>
      <c r="N5722" s="1">
        <v>1.5686766085611794</v>
      </c>
      <c r="O5722" s="1">
        <v>0.1284231111111111</v>
      </c>
      <c r="P5722" s="1">
        <v>8.8447495639052007E-2</v>
      </c>
      <c r="Q5722" s="1">
        <v>3.8037934669372628</v>
      </c>
      <c r="R5722" s="2">
        <f t="shared" si="359"/>
        <v>116.51893922581587</v>
      </c>
      <c r="S5722" s="2">
        <f t="shared" si="358"/>
        <v>2.044086579460501</v>
      </c>
      <c r="T5722" s="2">
        <f t="shared" si="360"/>
        <v>4.0694672042184239</v>
      </c>
      <c r="U5722" s="2">
        <f t="shared" si="361"/>
        <v>122.63249300949479</v>
      </c>
    </row>
    <row r="5723" spans="1:21" x14ac:dyDescent="0.25">
      <c r="A5723">
        <v>6141001</v>
      </c>
      <c r="B5723">
        <v>71</v>
      </c>
      <c r="C5723" s="1">
        <f>0.606514275543652*(10.3/7.3)</f>
        <v>0.85576671754789291</v>
      </c>
      <c r="D5723" s="1">
        <f>1.13532797776939*(10.3/7.3)</f>
        <v>1.6019011193184616</v>
      </c>
      <c r="E5723" s="1">
        <f>3.86292571638576*(10.3/7.3)</f>
        <v>5.4504294354484042</v>
      </c>
      <c r="F5723" s="1">
        <f>12.3376905750605*(38.9/42.5)</f>
        <v>11.292615608702432</v>
      </c>
      <c r="G5723" s="1">
        <v>0.69352880856185539</v>
      </c>
      <c r="H5723" s="1">
        <v>2.4468765223756677</v>
      </c>
      <c r="I5723" s="1">
        <v>9.2040111042867174</v>
      </c>
      <c r="J5723" s="1">
        <v>3.3347756672011571E-2</v>
      </c>
      <c r="K5723" s="1">
        <v>4.2431121658225566</v>
      </c>
      <c r="L5723" s="1">
        <v>1.85348571986238</v>
      </c>
      <c r="M5723" s="1">
        <v>0.52052702927594419</v>
      </c>
      <c r="N5723" s="1">
        <v>1.1124254574914418</v>
      </c>
      <c r="O5723" s="1">
        <v>0.38590197183098585</v>
      </c>
      <c r="P5723" s="1">
        <v>0.12376294453655777</v>
      </c>
      <c r="Q5723" s="1">
        <v>1.1083793744139254</v>
      </c>
      <c r="R5723" s="2">
        <f t="shared" si="359"/>
        <v>32.653508690655357</v>
      </c>
      <c r="S5723" s="2">
        <f t="shared" si="358"/>
        <v>4.4002228670311254</v>
      </c>
      <c r="T5723" s="2">
        <f t="shared" si="360"/>
        <v>3.8723401784607523</v>
      </c>
      <c r="U5723" s="2">
        <f t="shared" si="361"/>
        <v>40.926071736147236</v>
      </c>
    </row>
    <row r="5724" spans="1:21" x14ac:dyDescent="0.25">
      <c r="A5724">
        <v>6141009</v>
      </c>
      <c r="B5724">
        <v>35</v>
      </c>
      <c r="C5724" s="1">
        <f>0.501847676521348*(10.3/7.3)</f>
        <v>0.70808644769450457</v>
      </c>
      <c r="D5724" s="1">
        <f>0.973699365166282*(10.3/7.3)</f>
        <v>1.3738497892072195</v>
      </c>
      <c r="E5724" s="1">
        <f>3.29742746202933*(10.3/7.3)</f>
        <v>4.652534638205764</v>
      </c>
      <c r="F5724" s="1">
        <f>11.1511572533347*(38.9/42.5)</f>
        <v>10.206588638934585</v>
      </c>
      <c r="G5724" s="1">
        <v>0.64547410303375685</v>
      </c>
      <c r="H5724" s="1">
        <v>3.8551846162688737</v>
      </c>
      <c r="I5724" s="1">
        <v>8.367762933988983</v>
      </c>
      <c r="J5724" s="1">
        <v>3.4956239958323296E-2</v>
      </c>
      <c r="K5724" s="1">
        <v>4.0430585486495323</v>
      </c>
      <c r="L5724" s="1">
        <v>1.7146330404799486</v>
      </c>
      <c r="M5724" s="1">
        <v>0.49069925043652207</v>
      </c>
      <c r="N5724" s="1">
        <v>1.1778906510046543</v>
      </c>
      <c r="O5724" s="1">
        <v>0.3582811428571428</v>
      </c>
      <c r="P5724" s="1">
        <v>0.11635658038880128</v>
      </c>
      <c r="Q5724" s="1">
        <v>1.031579616720617</v>
      </c>
      <c r="R5724" s="2">
        <f t="shared" si="359"/>
        <v>30.841060784054303</v>
      </c>
      <c r="S5724" s="2">
        <f t="shared" si="358"/>
        <v>4.1943713689966575</v>
      </c>
      <c r="T5724" s="2">
        <f t="shared" si="360"/>
        <v>3.7415040847782679</v>
      </c>
      <c r="U5724" s="2">
        <f t="shared" si="361"/>
        <v>38.776936237829233</v>
      </c>
    </row>
    <row r="5725" spans="1:21" x14ac:dyDescent="0.25">
      <c r="A5725">
        <v>6141529</v>
      </c>
      <c r="B5725">
        <v>2</v>
      </c>
      <c r="C5725" s="1">
        <f>1.93151611689705*(10.3/7.3)</f>
        <v>2.7252898635670637</v>
      </c>
      <c r="D5725" s="1">
        <f>3.7943446752446*(10.3/7.3)</f>
        <v>5.3536644047971782</v>
      </c>
      <c r="E5725" s="1">
        <f>12.9308820006775*(10.3/7.3)</f>
        <v>18.244943096846274</v>
      </c>
      <c r="F5725" s="1">
        <f>39.2682198964012*(38.9/42.5)</f>
        <v>35.941970681647248</v>
      </c>
      <c r="G5725" s="1">
        <v>2.1577012643681952</v>
      </c>
      <c r="H5725" s="1">
        <v>7.890493021415601</v>
      </c>
      <c r="I5725" s="1">
        <v>28.776566760331466</v>
      </c>
      <c r="J5725" s="1">
        <v>2.9910343284632289E-2</v>
      </c>
      <c r="K5725" s="1">
        <v>1.9392530106019368</v>
      </c>
      <c r="L5725" s="1">
        <v>2.1968151507692211</v>
      </c>
      <c r="M5725" s="1">
        <v>0.16194158028702044</v>
      </c>
      <c r="N5725" s="1">
        <v>1.5081453557254456</v>
      </c>
      <c r="O5725" s="1">
        <v>0.12946666666666667</v>
      </c>
      <c r="P5725" s="1">
        <v>8.941495667093019E-2</v>
      </c>
      <c r="Q5725" s="1">
        <v>3.448381016113558</v>
      </c>
      <c r="R5725" s="2">
        <f t="shared" si="359"/>
        <v>104.53901010908658</v>
      </c>
      <c r="S5725" s="2">
        <f t="shared" si="358"/>
        <v>2.0585783105574995</v>
      </c>
      <c r="T5725" s="2">
        <f t="shared" si="360"/>
        <v>3.9963687534483538</v>
      </c>
      <c r="U5725" s="2">
        <f t="shared" si="361"/>
        <v>110.59395717309242</v>
      </c>
    </row>
    <row r="5726" spans="1:21" x14ac:dyDescent="0.25">
      <c r="A5726">
        <v>6141537</v>
      </c>
      <c r="B5726">
        <v>12</v>
      </c>
      <c r="C5726" s="1">
        <f>2.17098906571328*(10.3/7.3)</f>
        <v>3.063176352992715</v>
      </c>
      <c r="D5726" s="1">
        <f>4.1101425604127*(10.3/7.3)</f>
        <v>5.7992422427740804</v>
      </c>
      <c r="E5726" s="1">
        <f>14.0513667828146*(10.3/7.3)</f>
        <v>19.825901077121937</v>
      </c>
      <c r="F5726" s="1">
        <f>41.1829197776622*(38.9/42.5)</f>
        <v>37.694484220024961</v>
      </c>
      <c r="G5726" s="1">
        <v>2.2136734586121247</v>
      </c>
      <c r="H5726" s="1">
        <v>7.9047691369290192</v>
      </c>
      <c r="I5726" s="1">
        <v>30.123130964452951</v>
      </c>
      <c r="J5726" s="1">
        <v>3.1927279470563424E-2</v>
      </c>
      <c r="K5726" s="1">
        <v>1.9733076398326055</v>
      </c>
      <c r="L5726" s="1">
        <v>2.250179026082042</v>
      </c>
      <c r="M5726" s="1">
        <v>0.15850819292350879</v>
      </c>
      <c r="N5726" s="1">
        <v>1.7944115286875666</v>
      </c>
      <c r="O5726" s="1">
        <v>0.13192444444444443</v>
      </c>
      <c r="P5726" s="1">
        <v>9.0224127515131383E-2</v>
      </c>
      <c r="Q5726" s="1">
        <v>3.5378342945855903</v>
      </c>
      <c r="R5726" s="2">
        <f t="shared" si="359"/>
        <v>110.16221174749339</v>
      </c>
      <c r="S5726" s="2">
        <f t="shared" si="358"/>
        <v>2.0954590468183003</v>
      </c>
      <c r="T5726" s="2">
        <f t="shared" si="360"/>
        <v>4.3350231921375615</v>
      </c>
      <c r="U5726" s="2">
        <f t="shared" si="361"/>
        <v>116.59269398644925</v>
      </c>
    </row>
    <row r="5727" spans="1:21" x14ac:dyDescent="0.25">
      <c r="A5727">
        <v>6153229</v>
      </c>
      <c r="B5727">
        <v>18</v>
      </c>
      <c r="C5727" s="1">
        <f>0.420454533077074*(10.3/7.3)</f>
        <v>0.59324406721833778</v>
      </c>
      <c r="D5727" s="1">
        <f>0.732767219046699*(10.3/7.3)</f>
        <v>1.033904432353562</v>
      </c>
      <c r="E5727" s="1">
        <f>2.50830500265285*(10.3/7.3)</f>
        <v>3.5391152777156658</v>
      </c>
      <c r="F5727" s="1">
        <f>7.52374770549205*(38.9/42.5)</f>
        <v>6.8864420174974255</v>
      </c>
      <c r="G5727" s="1">
        <v>0.40718430125695193</v>
      </c>
      <c r="H5727" s="1">
        <v>1.5442651435957675</v>
      </c>
      <c r="I5727" s="1">
        <v>5.6077965673567052</v>
      </c>
      <c r="J5727" s="1">
        <v>2.6875981131137018E-2</v>
      </c>
      <c r="K5727" s="1">
        <v>3.451206781777977</v>
      </c>
      <c r="L5727" s="1">
        <v>1.5097033581060686</v>
      </c>
      <c r="M5727" s="1">
        <v>0.41780746736076413</v>
      </c>
      <c r="N5727" s="1">
        <v>0.92549406047699334</v>
      </c>
      <c r="O5727" s="1">
        <v>0.30165925925925924</v>
      </c>
      <c r="P5727" s="1">
        <v>0.10783412132971325</v>
      </c>
      <c r="Q5727" s="1">
        <v>0.65075116639238961</v>
      </c>
      <c r="R5727" s="2">
        <f t="shared" si="359"/>
        <v>20.262702973386805</v>
      </c>
      <c r="S5727" s="2">
        <f t="shared" si="358"/>
        <v>3.5859168842388276</v>
      </c>
      <c r="T5727" s="2">
        <f t="shared" si="360"/>
        <v>3.1546641452030855</v>
      </c>
      <c r="U5727" s="2">
        <f t="shared" si="361"/>
        <v>27.003284002828718</v>
      </c>
    </row>
    <row r="5728" spans="1:21" x14ac:dyDescent="0.25">
      <c r="A5728">
        <v>6153237</v>
      </c>
      <c r="B5728">
        <v>65</v>
      </c>
      <c r="C5728" s="1">
        <f>0.597566389035878*(10.3/7.3)</f>
        <v>0.8431416174067865</v>
      </c>
      <c r="D5728" s="1">
        <f>1.15776666315988*(10.3/7.3)</f>
        <v>1.6335611822666767</v>
      </c>
      <c r="E5728" s="1">
        <f>3.92555559096982*(10.3/7.3)</f>
        <v>5.5387976146560467</v>
      </c>
      <c r="F5728" s="1">
        <f>13.0357629687985*(38.9/42.5)</f>
        <v>11.931557164382584</v>
      </c>
      <c r="G5728" s="1">
        <v>0.74821219255839044</v>
      </c>
      <c r="H5728" s="1">
        <v>2.7346060760469468</v>
      </c>
      <c r="I5728" s="1">
        <v>9.7498320397509186</v>
      </c>
      <c r="J5728" s="1">
        <v>3.6975799780863301E-2</v>
      </c>
      <c r="K5728" s="1">
        <v>4.3760145833440323</v>
      </c>
      <c r="L5728" s="1">
        <v>1.9571485985954207</v>
      </c>
      <c r="M5728" s="1">
        <v>0.55243545665664984</v>
      </c>
      <c r="N5728" s="1">
        <v>1.2079958257599526</v>
      </c>
      <c r="O5728" s="1">
        <v>0.41368287179487179</v>
      </c>
      <c r="P5728" s="1">
        <v>0.12591440240836721</v>
      </c>
      <c r="Q5728" s="1">
        <v>1.1957729104814476</v>
      </c>
      <c r="R5728" s="2">
        <f t="shared" si="359"/>
        <v>34.375480797549791</v>
      </c>
      <c r="S5728" s="2">
        <f t="shared" si="358"/>
        <v>4.5389047855332629</v>
      </c>
      <c r="T5728" s="2">
        <f t="shared" si="360"/>
        <v>4.1312627528068946</v>
      </c>
      <c r="U5728" s="2">
        <f t="shared" si="361"/>
        <v>43.04564833588995</v>
      </c>
    </row>
    <row r="5729" spans="1:21" x14ac:dyDescent="0.25">
      <c r="A5729">
        <v>6153245</v>
      </c>
      <c r="B5729">
        <v>12</v>
      </c>
      <c r="C5729" s="1">
        <f>0.550605231865915*(10.3/7.3)</f>
        <v>0.77688135455053819</v>
      </c>
      <c r="D5729" s="1">
        <f>1.1800924914279*(10.3/7.3)</f>
        <v>1.6650620084530645</v>
      </c>
      <c r="E5729" s="1">
        <f>3.95916194210208*(10.3/7.3)</f>
        <v>5.5862147950207408</v>
      </c>
      <c r="F5729" s="1">
        <f>14.7389021406397*(38.9/42.5)</f>
        <v>13.490430429903119</v>
      </c>
      <c r="G5729" s="1">
        <v>0.89282802815135964</v>
      </c>
      <c r="H5729" s="1">
        <v>6.2806510544026493</v>
      </c>
      <c r="I5729" s="1">
        <v>11.119484997445083</v>
      </c>
      <c r="J5729" s="1">
        <v>4.6407212292071114E-2</v>
      </c>
      <c r="K5729" s="1">
        <v>4.5910154003781729</v>
      </c>
      <c r="L5729" s="1">
        <v>2.000833249295408</v>
      </c>
      <c r="M5729" s="1">
        <v>0.5696485541781543</v>
      </c>
      <c r="N5729" s="1">
        <v>1.7163322570142834</v>
      </c>
      <c r="O5729" s="1">
        <v>0.43561777777777771</v>
      </c>
      <c r="P5729" s="1">
        <v>0.12714894013303205</v>
      </c>
      <c r="Q5729" s="1">
        <v>1.4268941089176996</v>
      </c>
      <c r="R5729" s="2">
        <f t="shared" si="359"/>
        <v>41.238446776844256</v>
      </c>
      <c r="S5729" s="2">
        <f t="shared" si="358"/>
        <v>4.7645715528032762</v>
      </c>
      <c r="T5729" s="2">
        <f t="shared" si="360"/>
        <v>4.7224318382656234</v>
      </c>
      <c r="U5729" s="2">
        <f t="shared" si="361"/>
        <v>50.725450167913152</v>
      </c>
    </row>
    <row r="5730" spans="1:21" x14ac:dyDescent="0.25">
      <c r="A5730">
        <v>6153765</v>
      </c>
      <c r="B5730">
        <v>37</v>
      </c>
      <c r="C5730" s="1">
        <f>2.00877934508735*(10.3/7.3)</f>
        <v>2.834305103342424</v>
      </c>
      <c r="D5730" s="1">
        <f>4.00636792997836*(10.3/7.3)</f>
        <v>5.6528205039420643</v>
      </c>
      <c r="E5730" s="1">
        <f>13.62219116539*(10.3/7.3)</f>
        <v>19.220351918290014</v>
      </c>
      <c r="F5730" s="1">
        <f>42.6687401270818*(38.9/42.5)</f>
        <v>39.054446845729018</v>
      </c>
      <c r="G5730" s="1">
        <v>2.3847895571533813</v>
      </c>
      <c r="H5730" s="1">
        <v>8.0962143425819182</v>
      </c>
      <c r="I5730" s="1">
        <v>31.405830160749137</v>
      </c>
      <c r="J5730" s="1">
        <v>2.9338886951599339E-2</v>
      </c>
      <c r="K5730" s="1">
        <v>1.9276024385493313</v>
      </c>
      <c r="L5730" s="1">
        <v>2.2198473813324857</v>
      </c>
      <c r="M5730" s="1">
        <v>0.16014050936715571</v>
      </c>
      <c r="N5730" s="1">
        <v>1.449250128496137</v>
      </c>
      <c r="O5730" s="1">
        <v>0.1291171171171171</v>
      </c>
      <c r="P5730" s="1">
        <v>8.8830094243584817E-2</v>
      </c>
      <c r="Q5730" s="1">
        <v>3.8113075114323478</v>
      </c>
      <c r="R5730" s="2">
        <f t="shared" si="359"/>
        <v>112.4600659432203</v>
      </c>
      <c r="S5730" s="2">
        <f t="shared" si="358"/>
        <v>2.0457714197445154</v>
      </c>
      <c r="T5730" s="2">
        <f t="shared" si="360"/>
        <v>3.9583551363128957</v>
      </c>
      <c r="U5730" s="2">
        <f t="shared" si="361"/>
        <v>118.4641924992777</v>
      </c>
    </row>
    <row r="5731" spans="1:21" x14ac:dyDescent="0.25">
      <c r="A5731">
        <v>6165465</v>
      </c>
      <c r="B5731">
        <v>68</v>
      </c>
      <c r="C5731" s="1">
        <f>0.518732320511872*(10.3/7.3)</f>
        <v>0.73190998647565508</v>
      </c>
      <c r="D5731" s="1">
        <f>0.948471263256328*(10.3/7.3)</f>
        <v>1.3382539741835855</v>
      </c>
      <c r="E5731" s="1">
        <f>3.23378808556116*(10.3/7.3)</f>
        <v>4.5627420933260261</v>
      </c>
      <c r="F5731" s="1">
        <f>10.1065237762183*(38.9/42.5)</f>
        <v>9.250441762232791</v>
      </c>
      <c r="G5731" s="1">
        <v>0.56103262377790752</v>
      </c>
      <c r="H5731" s="1">
        <v>2.0464688092674193</v>
      </c>
      <c r="I5731" s="1">
        <v>7.5346324688339372</v>
      </c>
      <c r="J5731" s="1">
        <v>3.1205643631578444E-2</v>
      </c>
      <c r="K5731" s="1">
        <v>3.7554569673787142</v>
      </c>
      <c r="L5731" s="1">
        <v>1.6348476173684796</v>
      </c>
      <c r="M5731" s="1">
        <v>0.44941034274270503</v>
      </c>
      <c r="N5731" s="1">
        <v>1.015844387176654</v>
      </c>
      <c r="O5731" s="1">
        <v>0.32264078431372556</v>
      </c>
      <c r="P5731" s="1">
        <v>0.11540749660855139</v>
      </c>
      <c r="Q5731" s="1">
        <v>0.89662748092359779</v>
      </c>
      <c r="R5731" s="2">
        <f t="shared" si="359"/>
        <v>26.92210919902092</v>
      </c>
      <c r="S5731" s="2">
        <f t="shared" si="358"/>
        <v>3.9020701076188442</v>
      </c>
      <c r="T5731" s="2">
        <f t="shared" si="360"/>
        <v>3.4227431316015648</v>
      </c>
      <c r="U5731" s="2">
        <f t="shared" si="361"/>
        <v>34.246922438241327</v>
      </c>
    </row>
    <row r="5732" spans="1:21" x14ac:dyDescent="0.25">
      <c r="A5732">
        <v>6165473</v>
      </c>
      <c r="B5732">
        <v>29</v>
      </c>
      <c r="C5732" s="1">
        <f>0.498372923862347*(10.3/7.3)</f>
        <v>0.70318371449070871</v>
      </c>
      <c r="D5732" s="1">
        <f>0.995291037043827*(10.3/7.3)</f>
        <v>1.4043147508974552</v>
      </c>
      <c r="E5732" s="1">
        <f>3.36070994547146*(10.3/7.3)</f>
        <v>4.7418236216926095</v>
      </c>
      <c r="F5732" s="1">
        <f>11.7283282694645*(38.9/42.5)</f>
        <v>10.734869874874537</v>
      </c>
      <c r="G5732" s="1">
        <v>0.68949209044244264</v>
      </c>
      <c r="H5732" s="1">
        <v>3.167050531272992</v>
      </c>
      <c r="I5732" s="1">
        <v>8.8189407982883914</v>
      </c>
      <c r="J5732" s="1">
        <v>3.4081119943236066E-2</v>
      </c>
      <c r="K5732" s="1">
        <v>3.9490878003527281</v>
      </c>
      <c r="L5732" s="1">
        <v>1.7039738845058905</v>
      </c>
      <c r="M5732" s="1">
        <v>0.48034521308307321</v>
      </c>
      <c r="N5732" s="1">
        <v>1.172274681970447</v>
      </c>
      <c r="O5732" s="1">
        <v>0.34830896551724139</v>
      </c>
      <c r="P5732" s="1">
        <v>0.11641409868127434</v>
      </c>
      <c r="Q5732" s="1">
        <v>1.1019279984239962</v>
      </c>
      <c r="R5732" s="2">
        <f t="shared" si="359"/>
        <v>31.361603380383134</v>
      </c>
      <c r="S5732" s="2">
        <f t="shared" si="358"/>
        <v>4.0995830189772384</v>
      </c>
      <c r="T5732" s="2">
        <f t="shared" si="360"/>
        <v>3.7049027450766525</v>
      </c>
      <c r="U5732" s="2">
        <f t="shared" si="361"/>
        <v>39.166089144437024</v>
      </c>
    </row>
    <row r="5733" spans="1:21" x14ac:dyDescent="0.25">
      <c r="A5733">
        <v>6166001</v>
      </c>
      <c r="B5733">
        <v>14</v>
      </c>
      <c r="C5733" s="1">
        <f>2.07618139099631*(10.3/7.3)</f>
        <v>2.9294066201728772</v>
      </c>
      <c r="D5733" s="1">
        <f>3.97657581518305*(10.3/7.3)</f>
        <v>5.6107850542993658</v>
      </c>
      <c r="E5733" s="1">
        <f>13.5767357794689*(10.3/7.3)</f>
        <v>19.156216236784875</v>
      </c>
      <c r="F5733" s="1">
        <f>40.4732711028027*(38.9/42.5)</f>
        <v>37.044946962329988</v>
      </c>
      <c r="G5733" s="1">
        <v>2.1980135065028006</v>
      </c>
      <c r="H5733" s="1">
        <v>8.0315746335481926</v>
      </c>
      <c r="I5733" s="1">
        <v>29.658269252467271</v>
      </c>
      <c r="J5733" s="1">
        <v>2.8677995679143007E-2</v>
      </c>
      <c r="K5733" s="1">
        <v>1.8906987403718767</v>
      </c>
      <c r="L5733" s="1">
        <v>2.2290954602491371</v>
      </c>
      <c r="M5733" s="1">
        <v>0.15735072721243334</v>
      </c>
      <c r="N5733" s="1">
        <v>1.5842399398322153</v>
      </c>
      <c r="O5733" s="1">
        <v>0.12688380952380951</v>
      </c>
      <c r="P5733" s="1">
        <v>8.7232735457470234E-2</v>
      </c>
      <c r="Q5733" s="1">
        <v>3.5128069738629262</v>
      </c>
      <c r="R5733" s="2">
        <f t="shared" si="359"/>
        <v>108.14201923996831</v>
      </c>
      <c r="S5733" s="2">
        <f t="shared" si="358"/>
        <v>2.0066094715084901</v>
      </c>
      <c r="T5733" s="2">
        <f t="shared" si="360"/>
        <v>4.0975699368175951</v>
      </c>
      <c r="U5733" s="2">
        <f t="shared" si="361"/>
        <v>114.24619864829438</v>
      </c>
    </row>
    <row r="5734" spans="1:21" x14ac:dyDescent="0.25">
      <c r="A5734">
        <v>6166009</v>
      </c>
      <c r="B5734">
        <v>7</v>
      </c>
      <c r="C5734" s="1">
        <f>2.19731899908179*(10.3/7.3)</f>
        <v>3.1003268069236265</v>
      </c>
      <c r="D5734" s="1">
        <f>3.82765389140295*(10.3/7.3)</f>
        <v>5.4006623399247164</v>
      </c>
      <c r="E5734" s="1">
        <f>13.1530369215183*(10.3/7.3)</f>
        <v>18.558394560498481</v>
      </c>
      <c r="F5734" s="1">
        <f>36.8511504991161*(38.9/42.5)</f>
        <v>33.729641280367403</v>
      </c>
      <c r="G5734" s="1">
        <v>1.9162876470221766</v>
      </c>
      <c r="H5734" s="1">
        <v>9.2902721458739901</v>
      </c>
      <c r="I5734" s="1">
        <v>27.084015806174058</v>
      </c>
      <c r="J5734" s="1">
        <v>2.9175056690702882E-2</v>
      </c>
      <c r="K5734" s="1">
        <v>1.9308917512090058</v>
      </c>
      <c r="L5734" s="1">
        <v>2.0613935043193958</v>
      </c>
      <c r="M5734" s="1">
        <v>0.1573840017465698</v>
      </c>
      <c r="N5734" s="1">
        <v>1.4596465552451345</v>
      </c>
      <c r="O5734" s="1">
        <v>0.12899809523809525</v>
      </c>
      <c r="P5734" s="1">
        <v>8.8607505940217171E-2</v>
      </c>
      <c r="Q5734" s="1">
        <v>3.0625601664738009</v>
      </c>
      <c r="R5734" s="2">
        <f t="shared" si="359"/>
        <v>102.14216075325824</v>
      </c>
      <c r="S5734" s="2">
        <f t="shared" si="358"/>
        <v>2.0486743138399262</v>
      </c>
      <c r="T5734" s="2">
        <f t="shared" si="360"/>
        <v>3.8074221565491957</v>
      </c>
      <c r="U5734" s="2">
        <f t="shared" si="361"/>
        <v>107.99825722364736</v>
      </c>
    </row>
    <row r="5735" spans="1:21" x14ac:dyDescent="0.25">
      <c r="A5735">
        <v>6177693</v>
      </c>
      <c r="B5735">
        <v>8</v>
      </c>
      <c r="C5735" s="1">
        <f>0.378048625684246*(10.3/7.3)</f>
        <v>0.53341107459558057</v>
      </c>
      <c r="D5735" s="1">
        <f>0.651798625256793*(10.3/7.3)</f>
        <v>0.91966107399246144</v>
      </c>
      <c r="E5735" s="1">
        <f>2.23325263811796*(10.3/7.3)</f>
        <v>3.1510276948787674</v>
      </c>
      <c r="F5735" s="1">
        <f>6.63101003360398*(38.9/42.5)</f>
        <v>6.0693244778163482</v>
      </c>
      <c r="G5735" s="1">
        <v>0.35654108908480919</v>
      </c>
      <c r="H5735" s="1">
        <v>1.3858749077524655</v>
      </c>
      <c r="I5735" s="1">
        <v>4.9416644707276367</v>
      </c>
      <c r="J5735" s="1">
        <v>2.8205636175169808E-2</v>
      </c>
      <c r="K5735" s="1">
        <v>3.1877673384708345</v>
      </c>
      <c r="L5735" s="1">
        <v>1.4454321569170581</v>
      </c>
      <c r="M5735" s="1">
        <v>0.39062177304239509</v>
      </c>
      <c r="N5735" s="1">
        <v>0.88720007958768654</v>
      </c>
      <c r="O5735" s="1">
        <v>0.28181333333333336</v>
      </c>
      <c r="P5735" s="1">
        <v>0.10409698555547667</v>
      </c>
      <c r="Q5735" s="1">
        <v>0.56981452593462723</v>
      </c>
      <c r="R5735" s="2">
        <f t="shared" si="359"/>
        <v>17.927319314782697</v>
      </c>
      <c r="S5735" s="2">
        <f t="shared" si="358"/>
        <v>3.3200699602014807</v>
      </c>
      <c r="T5735" s="2">
        <f t="shared" si="360"/>
        <v>3.0050673428804733</v>
      </c>
      <c r="U5735" s="2">
        <f t="shared" si="361"/>
        <v>24.252456617864649</v>
      </c>
    </row>
    <row r="5736" spans="1:21" x14ac:dyDescent="0.25">
      <c r="A5736">
        <v>6177701</v>
      </c>
      <c r="B5736">
        <v>50</v>
      </c>
      <c r="C5736" s="1">
        <f>0.488130506696431*(10.3/7.3)</f>
        <v>0.68873208479085501</v>
      </c>
      <c r="D5736" s="1">
        <f>0.919871318805329*(10.3/7.3)</f>
        <v>1.2979006279034091</v>
      </c>
      <c r="E5736" s="1">
        <f>3.12600741892025*(10.3/7.3)</f>
        <v>4.4106680020381583</v>
      </c>
      <c r="F5736" s="1">
        <f>10.1490328115131*(38.9/42.5)</f>
        <v>9.2893500321849061</v>
      </c>
      <c r="G5736" s="1">
        <v>0.57534551645431553</v>
      </c>
      <c r="H5736" s="1">
        <v>2.3083840558854534</v>
      </c>
      <c r="I5736" s="1">
        <v>7.5879449889465027</v>
      </c>
      <c r="J5736" s="1">
        <v>3.4317334706879296E-2</v>
      </c>
      <c r="K5736" s="1">
        <v>3.7932728086123575</v>
      </c>
      <c r="L5736" s="1">
        <v>1.6483085813089737</v>
      </c>
      <c r="M5736" s="1">
        <v>0.45522989584599644</v>
      </c>
      <c r="N5736" s="1">
        <v>1.0920478245773881</v>
      </c>
      <c r="O5736" s="1">
        <v>0.33437226666666658</v>
      </c>
      <c r="P5736" s="1">
        <v>0.11476768856167029</v>
      </c>
      <c r="Q5736" s="1">
        <v>0.91950196693612152</v>
      </c>
      <c r="R5736" s="2">
        <f t="shared" si="359"/>
        <v>27.077827275139722</v>
      </c>
      <c r="S5736" s="2">
        <f t="shared" si="358"/>
        <v>3.9423578318809072</v>
      </c>
      <c r="T5736" s="2">
        <f t="shared" si="360"/>
        <v>3.5299585683990249</v>
      </c>
      <c r="U5736" s="2">
        <f t="shared" si="361"/>
        <v>34.550143675419655</v>
      </c>
    </row>
    <row r="5737" spans="1:21" x14ac:dyDescent="0.25">
      <c r="A5737">
        <v>6178229</v>
      </c>
      <c r="B5737">
        <v>55</v>
      </c>
      <c r="C5737" s="1">
        <f>1.93605302265954*(10.3/7.3)</f>
        <v>2.7316912511497566</v>
      </c>
      <c r="D5737" s="1">
        <f>3.95091330582611*(10.3/7.3)</f>
        <v>5.574576308220407</v>
      </c>
      <c r="E5737" s="1">
        <f>13.4030744611081*(10.3/7.3)</f>
        <v>18.911187253344295</v>
      </c>
      <c r="F5737" s="1">
        <f>43.1075619435167*(38.9/42.5)</f>
        <v>39.456097873007074</v>
      </c>
      <c r="G5737" s="1">
        <v>2.4444128550053223</v>
      </c>
      <c r="H5737" s="1">
        <v>9.1198574242800685</v>
      </c>
      <c r="I5737" s="1">
        <v>31.801415279623921</v>
      </c>
      <c r="J5737" s="1">
        <v>2.7980302768371705E-2</v>
      </c>
      <c r="K5737" s="1">
        <v>1.910312212931069</v>
      </c>
      <c r="L5737" s="1">
        <v>2.1510028198045767</v>
      </c>
      <c r="M5737" s="1">
        <v>0.15897732934882253</v>
      </c>
      <c r="N5737" s="1">
        <v>1.4206916681420898</v>
      </c>
      <c r="O5737" s="1">
        <v>0.12814254545454545</v>
      </c>
      <c r="P5737" s="1">
        <v>8.7875518301254368E-2</v>
      </c>
      <c r="Q5737" s="1">
        <v>3.9065958869948099</v>
      </c>
      <c r="R5737" s="2">
        <f t="shared" si="359"/>
        <v>113.94583413162566</v>
      </c>
      <c r="S5737" s="2">
        <f t="shared" si="358"/>
        <v>2.0261680340006949</v>
      </c>
      <c r="T5737" s="2">
        <f t="shared" si="360"/>
        <v>3.8588143627500346</v>
      </c>
      <c r="U5737" s="2">
        <f t="shared" si="361"/>
        <v>119.83081652837639</v>
      </c>
    </row>
    <row r="5738" spans="1:21" x14ac:dyDescent="0.25">
      <c r="A5738">
        <v>6178237</v>
      </c>
      <c r="B5738">
        <v>3</v>
      </c>
      <c r="C5738" s="1">
        <f>2.05691165405959*(10.3/7.3)</f>
        <v>2.9022178132621588</v>
      </c>
      <c r="D5738" s="1">
        <f>3.76884917165017*(10.3/7.3)</f>
        <v>5.317691296985851</v>
      </c>
      <c r="E5738" s="1">
        <f>12.9196556091632*(10.3/7.3)</f>
        <v>18.22910311977822</v>
      </c>
      <c r="F5738" s="1">
        <f>36.7294097398759*(38.9/42.5)</f>
        <v>33.618212679557018</v>
      </c>
      <c r="G5738" s="1">
        <v>1.9348854368029069</v>
      </c>
      <c r="H5738" s="1">
        <v>8.8881415643532069</v>
      </c>
      <c r="I5738" s="1">
        <v>26.834361428790398</v>
      </c>
      <c r="J5738" s="1">
        <v>2.8251250615559904E-2</v>
      </c>
      <c r="K5738" s="1">
        <v>1.8950780617632326</v>
      </c>
      <c r="L5738" s="1">
        <v>2.0388609683895735</v>
      </c>
      <c r="M5738" s="1">
        <v>0.15589180039737696</v>
      </c>
      <c r="N5738" s="1">
        <v>1.3808739542410351</v>
      </c>
      <c r="O5738" s="1">
        <v>0.12721777777777779</v>
      </c>
      <c r="P5738" s="1">
        <v>8.7217056802504953E-2</v>
      </c>
      <c r="Q5738" s="1">
        <v>3.0922826615571601</v>
      </c>
      <c r="R5738" s="2">
        <f t="shared" si="359"/>
        <v>100.81689600108693</v>
      </c>
      <c r="S5738" s="2">
        <f t="shared" si="358"/>
        <v>2.0105463691812973</v>
      </c>
      <c r="T5738" s="2">
        <f t="shared" si="360"/>
        <v>3.7028445008057633</v>
      </c>
      <c r="U5738" s="2">
        <f t="shared" si="361"/>
        <v>106.530286871074</v>
      </c>
    </row>
    <row r="5739" spans="1:21" x14ac:dyDescent="0.25">
      <c r="A5739">
        <v>6178245</v>
      </c>
      <c r="B5739">
        <v>1</v>
      </c>
      <c r="C5739" s="1">
        <f>2.25592479350549*(10.3/7.3)</f>
        <v>3.1830171743981541</v>
      </c>
      <c r="D5739" s="1">
        <f>3.89490026144323*(10.3/7.3)</f>
        <v>5.4955442045020888</v>
      </c>
      <c r="E5739" s="1">
        <f>13.3884388743471*(10.3/7.3)</f>
        <v>18.890537041886979</v>
      </c>
      <c r="F5739" s="1">
        <f>37.4903588196137*(38.9/42.5)</f>
        <v>34.314704896069969</v>
      </c>
      <c r="G5739" s="1">
        <v>1.9474031799245521</v>
      </c>
      <c r="H5739" s="1">
        <v>9.3550545187920182</v>
      </c>
      <c r="I5739" s="1">
        <v>27.596442438803038</v>
      </c>
      <c r="J5739" s="1">
        <v>2.8981081661801467E-2</v>
      </c>
      <c r="K5739" s="1">
        <v>1.9327491387828393</v>
      </c>
      <c r="L5739" s="1">
        <v>2.0543459205338492</v>
      </c>
      <c r="M5739" s="1">
        <v>0.15737307511184506</v>
      </c>
      <c r="N5739" s="1">
        <v>1.4481282172410817</v>
      </c>
      <c r="O5739" s="1">
        <v>0.1288</v>
      </c>
      <c r="P5739" s="1">
        <v>8.8707354216575163E-2</v>
      </c>
      <c r="Q5739" s="1">
        <v>3.1122881870940362</v>
      </c>
      <c r="R5739" s="2">
        <f t="shared" si="359"/>
        <v>103.89499164147084</v>
      </c>
      <c r="S5739" s="2">
        <f t="shared" si="358"/>
        <v>2.050437574661216</v>
      </c>
      <c r="T5739" s="2">
        <f t="shared" si="360"/>
        <v>3.7886472128867759</v>
      </c>
      <c r="U5739" s="2">
        <f t="shared" si="361"/>
        <v>109.73407642901883</v>
      </c>
    </row>
    <row r="5740" spans="1:21" x14ac:dyDescent="0.25">
      <c r="A5740">
        <v>6189929</v>
      </c>
      <c r="B5740">
        <v>39</v>
      </c>
      <c r="C5740" s="1">
        <f>0.498283475481341*(10.3/7.3)</f>
        <v>0.70305750650106968</v>
      </c>
      <c r="D5740" s="1">
        <f>0.93078180815754*(10.3/7.3)</f>
        <v>1.3132948800031041</v>
      </c>
      <c r="E5740" s="1">
        <f>3.16716054289835*(10.3/7.3)</f>
        <v>4.4687333687469861</v>
      </c>
      <c r="F5740" s="1">
        <f>10.1157500289328*(38.9/42.5)</f>
        <v>9.2588864970702769</v>
      </c>
      <c r="G5740" s="1">
        <v>0.56855864373746945</v>
      </c>
      <c r="H5740" s="1">
        <v>1.9500786204480971</v>
      </c>
      <c r="I5740" s="1">
        <v>7.5488561585209251</v>
      </c>
      <c r="J5740" s="1">
        <v>4.380291878605426E-2</v>
      </c>
      <c r="K5740" s="1">
        <v>3.596952784553515</v>
      </c>
      <c r="L5740" s="1">
        <v>1.6608834933601611</v>
      </c>
      <c r="M5740" s="1">
        <v>0.44687867589048891</v>
      </c>
      <c r="N5740" s="1">
        <v>1.0177037116107717</v>
      </c>
      <c r="O5740" s="1">
        <v>0.33114803418803418</v>
      </c>
      <c r="P5740" s="1">
        <v>0.11272436705097653</v>
      </c>
      <c r="Q5740" s="1">
        <v>0.90865536670371916</v>
      </c>
      <c r="R5740" s="2">
        <f t="shared" si="359"/>
        <v>26.720121041731645</v>
      </c>
      <c r="S5740" s="2">
        <f t="shared" si="358"/>
        <v>3.7534800703905455</v>
      </c>
      <c r="T5740" s="2">
        <f t="shared" si="360"/>
        <v>3.4566139150494557</v>
      </c>
      <c r="U5740" s="2">
        <f t="shared" si="361"/>
        <v>33.930215027171641</v>
      </c>
    </row>
    <row r="5741" spans="1:21" x14ac:dyDescent="0.25">
      <c r="A5741">
        <v>6189937</v>
      </c>
      <c r="B5741">
        <v>1</v>
      </c>
      <c r="C5741" s="1">
        <f>0.472772374627651*(10.3/7.3)</f>
        <v>0.66706239159791825</v>
      </c>
      <c r="D5741" s="1">
        <f>0.901373718360424*(10.3/7.3)</f>
        <v>1.2718012738510094</v>
      </c>
      <c r="E5741" s="1">
        <f>3.05952966744904*(10.3/7.3)</f>
        <v>4.3168706266746772</v>
      </c>
      <c r="F5741" s="1">
        <f>10.064505781639*(38.9/42.5)</f>
        <v>9.2119829389590322</v>
      </c>
      <c r="G5741" s="1">
        <v>0.57456440928352492</v>
      </c>
      <c r="H5741" s="1">
        <v>2.9200534625443093</v>
      </c>
      <c r="I5741" s="1">
        <v>7.5310755986545441</v>
      </c>
      <c r="J5741" s="1">
        <v>3.720441054329067E-2</v>
      </c>
      <c r="K5741" s="1">
        <v>3.7321841351484633</v>
      </c>
      <c r="L5741" s="1">
        <v>1.6798981051665831</v>
      </c>
      <c r="M5741" s="1">
        <v>0.45604838443321316</v>
      </c>
      <c r="N5741" s="1">
        <v>1.2005558481162431</v>
      </c>
      <c r="O5741" s="1">
        <v>0.33797333333333335</v>
      </c>
      <c r="P5741" s="1">
        <v>0.11646847581355767</v>
      </c>
      <c r="Q5741" s="1">
        <v>0.91825362214262063</v>
      </c>
      <c r="R5741" s="2">
        <f t="shared" si="359"/>
        <v>27.41166432370764</v>
      </c>
      <c r="S5741" s="2">
        <f t="shared" si="358"/>
        <v>3.8858570215053114</v>
      </c>
      <c r="T5741" s="2">
        <f t="shared" si="360"/>
        <v>3.6744756710493727</v>
      </c>
      <c r="U5741" s="2">
        <f t="shared" si="361"/>
        <v>34.971997016262328</v>
      </c>
    </row>
    <row r="5742" spans="1:21" x14ac:dyDescent="0.25">
      <c r="A5742">
        <v>6190457</v>
      </c>
      <c r="B5742">
        <v>30</v>
      </c>
      <c r="C5742" s="1">
        <f>1.84506024204236*(10.3/7.3)</f>
        <v>2.603304177128265</v>
      </c>
      <c r="D5742" s="1">
        <f>3.79844188741772*(10.3/7.3)</f>
        <v>5.3594454027948668</v>
      </c>
      <c r="E5742" s="1">
        <f>12.8851201107417*(10.3/7.3)</f>
        <v>18.180374950772606</v>
      </c>
      <c r="F5742" s="1">
        <f>41.3146108296595*(38.9/42.5)</f>
        <v>37.815020265264828</v>
      </c>
      <c r="G5742" s="1">
        <v>2.3404603139442184</v>
      </c>
      <c r="H5742" s="1">
        <v>9.8430177455172778</v>
      </c>
      <c r="I5742" s="1">
        <v>30.421570247623098</v>
      </c>
      <c r="J5742" s="1">
        <v>2.8260868544076272E-2</v>
      </c>
      <c r="K5742" s="1">
        <v>1.9865585878682641</v>
      </c>
      <c r="L5742" s="1">
        <v>2.1364623057412389</v>
      </c>
      <c r="M5742" s="1">
        <v>0.16281459743630586</v>
      </c>
      <c r="N5742" s="1">
        <v>1.3768028146977189</v>
      </c>
      <c r="O5742" s="1">
        <v>0.13034666666666667</v>
      </c>
      <c r="P5742" s="1">
        <v>8.8697958026160859E-2</v>
      </c>
      <c r="Q5742" s="1">
        <v>3.7404616889519522</v>
      </c>
      <c r="R5742" s="2">
        <f t="shared" si="359"/>
        <v>110.3036547919971</v>
      </c>
      <c r="S5742" s="2">
        <f t="shared" si="358"/>
        <v>2.1035174144385014</v>
      </c>
      <c r="T5742" s="2">
        <f t="shared" si="360"/>
        <v>3.8064263845419304</v>
      </c>
      <c r="U5742" s="2">
        <f t="shared" si="361"/>
        <v>116.21359859097754</v>
      </c>
    </row>
    <row r="5743" spans="1:21" x14ac:dyDescent="0.25">
      <c r="A5743">
        <v>6190465</v>
      </c>
      <c r="B5743">
        <v>1</v>
      </c>
      <c r="C5743" s="1">
        <f>2.08943881827856*(10.3/7.3)</f>
        <v>2.9481123052423581</v>
      </c>
      <c r="D5743" s="1">
        <f>4.53929283712359*(10.3/7.3)</f>
        <v>6.404755646900413</v>
      </c>
      <c r="E5743" s="1">
        <f>15.2923060568277*(10.3/7.3)</f>
        <v>21.57681539525009</v>
      </c>
      <c r="F5743" s="1">
        <f>53.3455386858605*(38.9/42.5)</f>
        <v>48.826857761881769</v>
      </c>
      <c r="G5743" s="1">
        <v>3.1491065196025128</v>
      </c>
      <c r="H5743" s="1">
        <v>8.3170969438165301</v>
      </c>
      <c r="I5743" s="1">
        <v>39.686756816380168</v>
      </c>
      <c r="J5743" s="1">
        <v>2.9159296219604634E-2</v>
      </c>
      <c r="K5743" s="1">
        <v>1.9819665729349847</v>
      </c>
      <c r="L5743" s="1">
        <v>2.3075444784158901</v>
      </c>
      <c r="M5743" s="1">
        <v>0.1649370054678039</v>
      </c>
      <c r="N5743" s="1">
        <v>2.3402248083142982</v>
      </c>
      <c r="O5743" s="1">
        <v>0.13333333333333333</v>
      </c>
      <c r="P5743" s="1">
        <v>9.0613554359755724E-2</v>
      </c>
      <c r="Q5743" s="1">
        <v>5.0328186386341578</v>
      </c>
      <c r="R5743" s="2">
        <f t="shared" si="359"/>
        <v>135.94232002770801</v>
      </c>
      <c r="S5743" s="2">
        <f t="shared" si="358"/>
        <v>2.1017394235143452</v>
      </c>
      <c r="T5743" s="2">
        <f t="shared" si="360"/>
        <v>4.9460396255313261</v>
      </c>
      <c r="U5743" s="2">
        <f t="shared" si="361"/>
        <v>142.99009907675367</v>
      </c>
    </row>
    <row r="5744" spans="1:21" x14ac:dyDescent="0.25">
      <c r="A5744">
        <v>6190473</v>
      </c>
      <c r="B5744">
        <v>22</v>
      </c>
      <c r="C5744" s="1">
        <f>2.08456879573224*(10.3/7.3)</f>
        <v>2.941240903567401</v>
      </c>
      <c r="D5744" s="1">
        <f>3.75876778585988*(10.3/7.3)</f>
        <v>5.303466875939284</v>
      </c>
      <c r="E5744" s="1">
        <f>12.8987401985138*(10.3/7.3)</f>
        <v>18.199592334889381</v>
      </c>
      <c r="F5744" s="1">
        <f>36.3035093738862*(38.9/42.5)</f>
        <v>33.228388579862873</v>
      </c>
      <c r="G5744" s="1">
        <v>1.8984864408946414</v>
      </c>
      <c r="H5744" s="1">
        <v>7.6872683182246071</v>
      </c>
      <c r="I5744" s="1">
        <v>26.539813572010143</v>
      </c>
      <c r="J5744" s="1">
        <v>2.8574891338496833E-2</v>
      </c>
      <c r="K5744" s="1">
        <v>1.9229088419559752</v>
      </c>
      <c r="L5744" s="1">
        <v>2.0517097488106226</v>
      </c>
      <c r="M5744" s="1">
        <v>0.1573229104623165</v>
      </c>
      <c r="N5744" s="1">
        <v>1.4021106605512541</v>
      </c>
      <c r="O5744" s="1">
        <v>0.12851878787878787</v>
      </c>
      <c r="P5744" s="1">
        <v>8.8265726790593621E-2</v>
      </c>
      <c r="Q5744" s="1">
        <v>3.0341107502882436</v>
      </c>
      <c r="R5744" s="2">
        <f t="shared" si="359"/>
        <v>98.832367775676587</v>
      </c>
      <c r="S5744" s="2">
        <f t="shared" si="358"/>
        <v>2.0397494600850656</v>
      </c>
      <c r="T5744" s="2">
        <f t="shared" si="360"/>
        <v>3.7396621077029808</v>
      </c>
      <c r="U5744" s="2">
        <f t="shared" si="361"/>
        <v>104.61177934346463</v>
      </c>
    </row>
    <row r="5745" spans="1:21" x14ac:dyDescent="0.25">
      <c r="A5745">
        <v>6202165</v>
      </c>
      <c r="B5745">
        <v>42</v>
      </c>
      <c r="C5745" s="1">
        <f>0.620159309406464*(10.3/7.3)</f>
        <v>0.87501929957350388</v>
      </c>
      <c r="D5745" s="1">
        <f>1.23922222325334*(10.3/7.3)</f>
        <v>1.7484916300697841</v>
      </c>
      <c r="E5745" s="1">
        <f>4.1929146243922*(10.3/7.3)</f>
        <v>5.9160302234574855</v>
      </c>
      <c r="F5745" s="1">
        <f>14.1850186086096*(38.9/42.5)</f>
        <v>12.983464091174403</v>
      </c>
      <c r="G5745" s="1">
        <v>0.82259965727674911</v>
      </c>
      <c r="H5745" s="1">
        <v>3.1931951415438697</v>
      </c>
      <c r="I5745" s="1">
        <v>10.602494213011871</v>
      </c>
      <c r="J5745" s="1">
        <v>5.2037842649238997E-2</v>
      </c>
      <c r="K5745" s="1">
        <v>4.1912918447699044</v>
      </c>
      <c r="L5745" s="1">
        <v>2.1031095041429899</v>
      </c>
      <c r="M5745" s="1">
        <v>0.5672404816720138</v>
      </c>
      <c r="N5745" s="1">
        <v>1.5391728294244258</v>
      </c>
      <c r="O5745" s="1">
        <v>0.43105777777777782</v>
      </c>
      <c r="P5745" s="1">
        <v>0.12709516571603652</v>
      </c>
      <c r="Q5745" s="1">
        <v>1.3146569865153535</v>
      </c>
      <c r="R5745" s="2">
        <f t="shared" si="359"/>
        <v>37.455951242623023</v>
      </c>
      <c r="S5745" s="2">
        <f t="shared" si="358"/>
        <v>4.3704248531351793</v>
      </c>
      <c r="T5745" s="2">
        <f t="shared" si="360"/>
        <v>4.6405805930172077</v>
      </c>
      <c r="U5745" s="2">
        <f t="shared" si="361"/>
        <v>46.466956688775404</v>
      </c>
    </row>
    <row r="5746" spans="1:21" x14ac:dyDescent="0.25">
      <c r="A5746">
        <v>6202685</v>
      </c>
      <c r="B5746">
        <v>3</v>
      </c>
      <c r="C5746" s="1">
        <f>1.85497770803076*(10.3/7.3)</f>
        <v>2.6172973140707989</v>
      </c>
      <c r="D5746" s="1">
        <f>3.80430118008525*(10.3/7.3)</f>
        <v>5.3677126239559056</v>
      </c>
      <c r="E5746" s="1">
        <f>12.9155860010285*(10.3/7.3)</f>
        <v>18.223361069944392</v>
      </c>
      <c r="F5746" s="1">
        <f>40.9361839999558*(38.9/42.5)</f>
        <v>37.468648414077215</v>
      </c>
      <c r="G5746" s="1">
        <v>2.3054106332036111</v>
      </c>
      <c r="H5746" s="1">
        <v>9.7581448391708481</v>
      </c>
      <c r="I5746" s="1">
        <v>30.084975657638903</v>
      </c>
      <c r="J5746" s="1">
        <v>2.9436518865076238E-2</v>
      </c>
      <c r="K5746" s="1">
        <v>2.1338095780264759</v>
      </c>
      <c r="L5746" s="1">
        <v>2.1568759101931421</v>
      </c>
      <c r="M5746" s="1">
        <v>0.16651774977794745</v>
      </c>
      <c r="N5746" s="1">
        <v>1.4353417225300185</v>
      </c>
      <c r="O5746" s="1">
        <v>0.13436444444444443</v>
      </c>
      <c r="P5746" s="1">
        <v>9.0544232424615179E-2</v>
      </c>
      <c r="Q5746" s="1">
        <v>3.684446217448698</v>
      </c>
      <c r="R5746" s="2">
        <f t="shared" si="359"/>
        <v>109.50999676951038</v>
      </c>
      <c r="S5746" s="2">
        <f t="shared" si="358"/>
        <v>2.2537903293161672</v>
      </c>
      <c r="T5746" s="2">
        <f t="shared" si="360"/>
        <v>3.8930998269455523</v>
      </c>
      <c r="U5746" s="2">
        <f t="shared" si="361"/>
        <v>115.6568869257721</v>
      </c>
    </row>
    <row r="5747" spans="1:21" x14ac:dyDescent="0.25">
      <c r="A5747">
        <v>6202693</v>
      </c>
      <c r="B5747">
        <v>46</v>
      </c>
      <c r="C5747" s="1">
        <f>1.89449229590317*(10.3/7.3)</f>
        <v>2.6730507736715894</v>
      </c>
      <c r="D5747" s="1">
        <f>3.78180176850939*(10.3/7.3)</f>
        <v>5.3359668788557144</v>
      </c>
      <c r="E5747" s="1">
        <f>12.8718077060596*(10.3/7.3)</f>
        <v>18.16159169485125</v>
      </c>
      <c r="F5747" s="1">
        <f>39.6215837413391*(38.9/42.5)</f>
        <v>36.265402530308045</v>
      </c>
      <c r="G5747" s="1">
        <v>2.1949279439125675</v>
      </c>
      <c r="H5747" s="1">
        <v>8.7323091832502318</v>
      </c>
      <c r="I5747" s="1">
        <v>29.050123603143515</v>
      </c>
      <c r="J5747" s="1">
        <v>2.8376886344197546E-2</v>
      </c>
      <c r="K5747" s="1">
        <v>1.9663340357901973</v>
      </c>
      <c r="L5747" s="1">
        <v>2.2299930287534084</v>
      </c>
      <c r="M5747" s="1">
        <v>0.16356456286590965</v>
      </c>
      <c r="N5747" s="1">
        <v>1.6117708597744842</v>
      </c>
      <c r="O5747" s="1">
        <v>0.13112347826086954</v>
      </c>
      <c r="P5747" s="1">
        <v>8.9116772117655729E-2</v>
      </c>
      <c r="Q5747" s="1">
        <v>3.5078757094493112</v>
      </c>
      <c r="R5747" s="2">
        <f t="shared" si="359"/>
        <v>105.92124831744222</v>
      </c>
      <c r="S5747" s="2">
        <f t="shared" si="358"/>
        <v>2.0838276942520504</v>
      </c>
      <c r="T5747" s="2">
        <f t="shared" si="360"/>
        <v>4.1364519296546716</v>
      </c>
      <c r="U5747" s="2">
        <f t="shared" si="361"/>
        <v>112.14152794134894</v>
      </c>
    </row>
    <row r="5748" spans="1:21" x14ac:dyDescent="0.25">
      <c r="A5748">
        <v>6202701</v>
      </c>
      <c r="B5748">
        <v>15</v>
      </c>
      <c r="C5748" s="1">
        <f>2.40732878564965*(10.3/7.3)</f>
        <v>3.3966419852317022</v>
      </c>
      <c r="D5748" s="1">
        <f>4.63150757928908*(10.3/7.3)</f>
        <v>6.5348668584489813</v>
      </c>
      <c r="E5748" s="1">
        <f>15.8211644082042*(10.3/7.3)</f>
        <v>22.323012795137434</v>
      </c>
      <c r="F5748" s="1">
        <f>46.6245186212893*(38.9/42.5)</f>
        <v>42.675147632191852</v>
      </c>
      <c r="G5748" s="1">
        <v>2.5167816670576806</v>
      </c>
      <c r="H5748" s="1">
        <v>11.962153135375539</v>
      </c>
      <c r="I5748" s="1">
        <v>34.054694555122644</v>
      </c>
      <c r="J5748" s="1">
        <v>3.0731544651779286E-2</v>
      </c>
      <c r="K5748" s="1">
        <v>2.0640698439764305</v>
      </c>
      <c r="L5748" s="1">
        <v>2.2547423783393801</v>
      </c>
      <c r="M5748" s="1">
        <v>0.17139732398176363</v>
      </c>
      <c r="N5748" s="1">
        <v>1.4752610636399486</v>
      </c>
      <c r="O5748" s="1">
        <v>0.14135822222222222</v>
      </c>
      <c r="P5748" s="1">
        <v>9.3719683062010659E-2</v>
      </c>
      <c r="Q5748" s="1">
        <v>4.0222538057999513</v>
      </c>
      <c r="R5748" s="2">
        <f t="shared" si="359"/>
        <v>127.48555243436579</v>
      </c>
      <c r="S5748" s="2">
        <f t="shared" si="358"/>
        <v>2.1885210716902201</v>
      </c>
      <c r="T5748" s="2">
        <f t="shared" si="360"/>
        <v>4.0427589881833139</v>
      </c>
      <c r="U5748" s="2">
        <f t="shared" si="361"/>
        <v>133.71683249423933</v>
      </c>
    </row>
    <row r="5749" spans="1:21" x14ac:dyDescent="0.25">
      <c r="A5749">
        <v>6202709</v>
      </c>
      <c r="B5749">
        <v>20</v>
      </c>
      <c r="C5749" s="1">
        <f>2.13566058245341*(10.3/7.3)</f>
        <v>3.0133293149685079</v>
      </c>
      <c r="D5749" s="1">
        <f>3.87173997223168*(10.3/7.3)</f>
        <v>5.462865988217299</v>
      </c>
      <c r="E5749" s="1">
        <f>13.2894233914475*(10.3/7.3)</f>
        <v>18.750830264645057</v>
      </c>
      <c r="F5749" s="1">
        <f>37.1327171505677*(38.9/42.5)</f>
        <v>33.987357580166702</v>
      </c>
      <c r="G5749" s="1">
        <v>1.9340986072352606</v>
      </c>
      <c r="H5749" s="1">
        <v>7.7252259900602827</v>
      </c>
      <c r="I5749" s="1">
        <v>27.075644019928951</v>
      </c>
      <c r="J5749" s="1">
        <v>2.8323385079432613E-2</v>
      </c>
      <c r="K5749" s="1">
        <v>1.9287391077716982</v>
      </c>
      <c r="L5749" s="1">
        <v>2.0415150273317897</v>
      </c>
      <c r="M5749" s="1">
        <v>0.15680341762004629</v>
      </c>
      <c r="N5749" s="1">
        <v>1.3942664716280249</v>
      </c>
      <c r="O5749" s="1">
        <v>0.12876799999999999</v>
      </c>
      <c r="P5749" s="1">
        <v>8.8552548128601971E-2</v>
      </c>
      <c r="Q5749" s="1">
        <v>3.0910251713805565</v>
      </c>
      <c r="R5749" s="2">
        <f t="shared" si="359"/>
        <v>101.04037693660263</v>
      </c>
      <c r="S5749" s="2">
        <f t="shared" si="358"/>
        <v>2.0456150409797327</v>
      </c>
      <c r="T5749" s="2">
        <f t="shared" si="360"/>
        <v>3.7213529165798604</v>
      </c>
      <c r="U5749" s="2">
        <f t="shared" si="361"/>
        <v>106.80734489416221</v>
      </c>
    </row>
    <row r="5750" spans="1:21" x14ac:dyDescent="0.25">
      <c r="A5750">
        <v>6214393</v>
      </c>
      <c r="B5750">
        <v>18</v>
      </c>
      <c r="C5750" s="1">
        <f>0.532965330290835*(10.3/7.3)</f>
        <v>0.75199217835556209</v>
      </c>
      <c r="D5750" s="1">
        <f>1.01873587575153*(10.3/7.3)</f>
        <v>1.4373944548275075</v>
      </c>
      <c r="E5750" s="1">
        <f>3.46067060729643*(10.3/7.3)</f>
        <v>4.8828640075552423</v>
      </c>
      <c r="F5750" s="1">
        <f>11.2265144420239*(38.9/42.5)</f>
        <v>10.275562630464201</v>
      </c>
      <c r="G5750" s="1">
        <v>0.636741827617755</v>
      </c>
      <c r="H5750" s="1">
        <v>2.0682452369104345</v>
      </c>
      <c r="I5750" s="1">
        <v>8.3746815195264634</v>
      </c>
      <c r="J5750" s="1">
        <v>3.7557539389308045E-2</v>
      </c>
      <c r="K5750" s="1">
        <v>3.4083339247269686</v>
      </c>
      <c r="L5750" s="1">
        <v>1.7320083389857923</v>
      </c>
      <c r="M5750" s="1">
        <v>0.44546510545720786</v>
      </c>
      <c r="N5750" s="1">
        <v>1.0041074454292114</v>
      </c>
      <c r="O5750" s="1">
        <v>0.33638222222222214</v>
      </c>
      <c r="P5750" s="1">
        <v>0.11282392235935911</v>
      </c>
      <c r="Q5750" s="1">
        <v>1.0176239254165045</v>
      </c>
      <c r="R5750" s="2">
        <f t="shared" si="359"/>
        <v>29.445105780673668</v>
      </c>
      <c r="S5750" s="2">
        <f t="shared" si="358"/>
        <v>3.5587153864756358</v>
      </c>
      <c r="T5750" s="2">
        <f t="shared" si="360"/>
        <v>3.5179631120944341</v>
      </c>
      <c r="U5750" s="2">
        <f t="shared" si="361"/>
        <v>36.521784279243739</v>
      </c>
    </row>
    <row r="5751" spans="1:21" x14ac:dyDescent="0.25">
      <c r="A5751">
        <v>6214401</v>
      </c>
      <c r="B5751">
        <v>26</v>
      </c>
      <c r="C5751" s="1">
        <f>0.524826049988443*(10.3/7.3)</f>
        <v>0.74050798833985731</v>
      </c>
      <c r="D5751" s="1">
        <f>1.03546258003753*(10.3/7.3)</f>
        <v>1.4609951471762481</v>
      </c>
      <c r="E5751" s="1">
        <f>3.50405018376355*(10.3/7.3)</f>
        <v>4.9440708072280239</v>
      </c>
      <c r="F5751" s="1">
        <f>11.892411950441*(38.9/42.5)</f>
        <v>10.885054702874248</v>
      </c>
      <c r="G5751" s="1">
        <v>0.69014994788599759</v>
      </c>
      <c r="H5751" s="1">
        <v>3.9845219778216361</v>
      </c>
      <c r="I5751" s="1">
        <v>8.909674545419854</v>
      </c>
      <c r="J5751" s="1">
        <v>3.6984416748493343E-2</v>
      </c>
      <c r="K5751" s="1">
        <v>3.5338087717523439</v>
      </c>
      <c r="L5751" s="1">
        <v>1.7139860569373939</v>
      </c>
      <c r="M5751" s="1">
        <v>0.45217055277324747</v>
      </c>
      <c r="N5751" s="1">
        <v>1.2335562720652362</v>
      </c>
      <c r="O5751" s="1">
        <v>0.33547897435897439</v>
      </c>
      <c r="P5751" s="1">
        <v>0.11470691250022053</v>
      </c>
      <c r="Q5751" s="1">
        <v>1.1029793687675771</v>
      </c>
      <c r="R5751" s="2">
        <f t="shared" si="359"/>
        <v>32.717954485513445</v>
      </c>
      <c r="S5751" s="2">
        <f t="shared" si="358"/>
        <v>3.685500101001058</v>
      </c>
      <c r="T5751" s="2">
        <f t="shared" si="360"/>
        <v>3.7351918561348523</v>
      </c>
      <c r="U5751" s="2">
        <f t="shared" si="361"/>
        <v>40.13864644264936</v>
      </c>
    </row>
    <row r="5752" spans="1:21" x14ac:dyDescent="0.25">
      <c r="A5752">
        <v>6214921</v>
      </c>
      <c r="B5752">
        <v>28</v>
      </c>
      <c r="C5752" s="1">
        <f>1.77238431538785*(10.3/7.3)</f>
        <v>2.5007614313006679</v>
      </c>
      <c r="D5752" s="1">
        <f>3.57442184671839*(10.3/7.3)</f>
        <v>5.043362331671152</v>
      </c>
      <c r="E5752" s="1">
        <f>12.1570174829735*(10.3/7.3)</f>
        <v>17.153052065017413</v>
      </c>
      <c r="F5752" s="1">
        <f>37.6992621768458*(38.9/42.5)</f>
        <v>34.505912910101202</v>
      </c>
      <c r="G5752" s="1">
        <v>2.0977693758715006</v>
      </c>
      <c r="H5752" s="1">
        <v>9.1082816649172411</v>
      </c>
      <c r="I5752" s="1">
        <v>27.64301558642148</v>
      </c>
      <c r="J5752" s="1">
        <v>2.8061215704433061E-2</v>
      </c>
      <c r="K5752" s="1">
        <v>1.9980854820099692</v>
      </c>
      <c r="L5752" s="1">
        <v>2.2122089949529422</v>
      </c>
      <c r="M5752" s="1">
        <v>0.16362342465270791</v>
      </c>
      <c r="N5752" s="1">
        <v>1.3646819757765318</v>
      </c>
      <c r="O5752" s="1">
        <v>0.12968761904761902</v>
      </c>
      <c r="P5752" s="1">
        <v>8.8057433533837451E-2</v>
      </c>
      <c r="Q5752" s="1">
        <v>3.3525994591553707</v>
      </c>
      <c r="R5752" s="2">
        <f t="shared" si="359"/>
        <v>101.40475482445603</v>
      </c>
      <c r="S5752" s="2">
        <f t="shared" si="358"/>
        <v>2.1142041312482394</v>
      </c>
      <c r="T5752" s="2">
        <f t="shared" si="360"/>
        <v>3.8702020144298013</v>
      </c>
      <c r="U5752" s="2">
        <f t="shared" si="361"/>
        <v>107.38916097013409</v>
      </c>
    </row>
    <row r="5753" spans="1:21" x14ac:dyDescent="0.25">
      <c r="A5753">
        <v>6214937</v>
      </c>
      <c r="B5753">
        <v>40</v>
      </c>
      <c r="C5753" s="1">
        <f>2.17735177732632*(10.3/7.3)</f>
        <v>3.0721538775974135</v>
      </c>
      <c r="D5753" s="1">
        <f>4.08404006182909*(10.3/7.3)</f>
        <v>5.7624126899780332</v>
      </c>
      <c r="E5753" s="1">
        <f>13.9893556257517*(10.3/7.3)</f>
        <v>19.738405882909934</v>
      </c>
      <c r="F5753" s="1">
        <f>39.8044668056965*(38.9/42.5)</f>
        <v>36.432794323331642</v>
      </c>
      <c r="G5753" s="1">
        <v>2.1017469526144401</v>
      </c>
      <c r="H5753" s="1">
        <v>8.0534926697187927</v>
      </c>
      <c r="I5753" s="1">
        <v>28.968065191566826</v>
      </c>
      <c r="J5753" s="1">
        <v>2.9123865468231858E-2</v>
      </c>
      <c r="K5753" s="1">
        <v>1.9878502515645557</v>
      </c>
      <c r="L5753" s="1">
        <v>2.130898176755919</v>
      </c>
      <c r="M5753" s="1">
        <v>0.16551868650797955</v>
      </c>
      <c r="N5753" s="1">
        <v>1.4194701936829064</v>
      </c>
      <c r="O5753" s="1">
        <v>0.13447333333333333</v>
      </c>
      <c r="P5753" s="1">
        <v>9.0806046054769857E-2</v>
      </c>
      <c r="Q5753" s="1">
        <v>3.3589563169637211</v>
      </c>
      <c r="R5753" s="2">
        <f t="shared" si="359"/>
        <v>107.48802790468079</v>
      </c>
      <c r="S5753" s="2">
        <f t="shared" si="358"/>
        <v>2.1077801630875577</v>
      </c>
      <c r="T5753" s="2">
        <f t="shared" si="360"/>
        <v>3.8503603902801382</v>
      </c>
      <c r="U5753" s="2">
        <f t="shared" si="361"/>
        <v>113.44616845804849</v>
      </c>
    </row>
    <row r="5754" spans="1:21" x14ac:dyDescent="0.25">
      <c r="A5754">
        <v>6214945</v>
      </c>
      <c r="B5754">
        <v>23</v>
      </c>
      <c r="C5754" s="1">
        <f>2.60245598242435*(10.3/7.3)</f>
        <v>3.6719584409549078</v>
      </c>
      <c r="D5754" s="1">
        <f>4.82967793111363*(10.3/7.3)</f>
        <v>6.8144770808863546</v>
      </c>
      <c r="E5754" s="1">
        <f>16.5495105575108*(10.3/7.3)</f>
        <v>23.350679279775544</v>
      </c>
      <c r="F5754" s="1">
        <f>47.0550971186819*(38.9/42.5)</f>
        <v>43.069253598040603</v>
      </c>
      <c r="G5754" s="1">
        <v>2.4814987364452423</v>
      </c>
      <c r="H5754" s="1">
        <v>10.37534038044655</v>
      </c>
      <c r="I5754" s="1">
        <v>34.302554483997817</v>
      </c>
      <c r="J5754" s="1">
        <v>3.0987563577606122E-2</v>
      </c>
      <c r="K5754" s="1">
        <v>2.0810029568345034</v>
      </c>
      <c r="L5754" s="1">
        <v>2.2402383379884974</v>
      </c>
      <c r="M5754" s="1">
        <v>0.16669090028747408</v>
      </c>
      <c r="N5754" s="1">
        <v>1.4895075887185616</v>
      </c>
      <c r="O5754" s="1">
        <v>0.1411246376811594</v>
      </c>
      <c r="P5754" s="1">
        <v>9.4577377553020786E-2</v>
      </c>
      <c r="Q5754" s="1">
        <v>3.965865560528929</v>
      </c>
      <c r="R5754" s="2">
        <f t="shared" si="359"/>
        <v>128.03162756107594</v>
      </c>
      <c r="S5754" s="2">
        <f t="shared" si="358"/>
        <v>2.2065678979651304</v>
      </c>
      <c r="T5754" s="2">
        <f t="shared" si="360"/>
        <v>4.0375614646756919</v>
      </c>
      <c r="U5754" s="2">
        <f t="shared" si="361"/>
        <v>134.27575692371676</v>
      </c>
    </row>
    <row r="5755" spans="1:21" x14ac:dyDescent="0.25">
      <c r="A5755">
        <v>6226629</v>
      </c>
      <c r="B5755">
        <v>60</v>
      </c>
      <c r="C5755" s="1">
        <f>0.48794729246532*(10.3/7.3)</f>
        <v>0.68847357704010925</v>
      </c>
      <c r="D5755" s="1">
        <f>0.920504766470426*(10.3/7.3)</f>
        <v>1.2987943965267656</v>
      </c>
      <c r="E5755" s="1">
        <f>3.12912869277925*(10.3/7.3)</f>
        <v>4.4150719911816791</v>
      </c>
      <c r="F5755" s="1">
        <f>10.1038440494481*(38.9/42.5)</f>
        <v>9.2479890240831129</v>
      </c>
      <c r="G5755" s="1">
        <v>0.5713044313248451</v>
      </c>
      <c r="H5755" s="1">
        <v>2.0963271958968259</v>
      </c>
      <c r="I5755" s="1">
        <v>7.544933014902953</v>
      </c>
      <c r="J5755" s="1">
        <v>3.4983093376386852E-2</v>
      </c>
      <c r="K5755" s="1">
        <v>3.4325604843936857</v>
      </c>
      <c r="L5755" s="1">
        <v>1.6043382972411899</v>
      </c>
      <c r="M5755" s="1">
        <v>0.42005530903426502</v>
      </c>
      <c r="N5755" s="1">
        <v>1.0194521819001015</v>
      </c>
      <c r="O5755" s="1">
        <v>0.31249777777777771</v>
      </c>
      <c r="P5755" s="1">
        <v>0.11120285465255809</v>
      </c>
      <c r="Q5755" s="1">
        <v>0.91304361170637405</v>
      </c>
      <c r="R5755" s="2">
        <f t="shared" si="359"/>
        <v>26.775937242662664</v>
      </c>
      <c r="S5755" s="2">
        <f t="shared" si="358"/>
        <v>3.5787464324226308</v>
      </c>
      <c r="T5755" s="2">
        <f t="shared" si="360"/>
        <v>3.3563435659533343</v>
      </c>
      <c r="U5755" s="2">
        <f t="shared" si="361"/>
        <v>33.711027241038629</v>
      </c>
    </row>
    <row r="5756" spans="1:21" x14ac:dyDescent="0.25">
      <c r="A5756">
        <v>6227157</v>
      </c>
      <c r="B5756">
        <v>36</v>
      </c>
      <c r="C5756" s="1">
        <f>1.86235717011717*(10.3/7.3)</f>
        <v>2.6277094318091629</v>
      </c>
      <c r="D5756" s="1">
        <f>3.77110076122732*(10.3/7.3)</f>
        <v>5.3208681973481431</v>
      </c>
      <c r="E5756" s="1">
        <f>12.8228779575612*(10.3/7.3)</f>
        <v>18.092553830531546</v>
      </c>
      <c r="F5756" s="1">
        <f>39.8463051778113*(38.9/42.5)</f>
        <v>36.471088739220214</v>
      </c>
      <c r="G5756" s="1">
        <v>2.2201409592249735</v>
      </c>
      <c r="H5756" s="1">
        <v>9.9111698682035509</v>
      </c>
      <c r="I5756" s="1">
        <v>29.213028560501087</v>
      </c>
      <c r="J5756" s="1">
        <v>2.8750062790575126E-2</v>
      </c>
      <c r="K5756" s="1">
        <v>2.009434491641807</v>
      </c>
      <c r="L5756" s="1">
        <v>2.2711483242200057</v>
      </c>
      <c r="M5756" s="1">
        <v>0.16634132754093692</v>
      </c>
      <c r="N5756" s="1">
        <v>1.5923026022520737</v>
      </c>
      <c r="O5756" s="1">
        <v>0.13350666666666672</v>
      </c>
      <c r="P5756" s="1">
        <v>8.9705538512660291E-2</v>
      </c>
      <c r="Q5756" s="1">
        <v>3.5481704827796445</v>
      </c>
      <c r="R5756" s="2">
        <f t="shared" si="359"/>
        <v>107.40473006961832</v>
      </c>
      <c r="S5756" s="2">
        <f t="shared" si="358"/>
        <v>2.1278900929450422</v>
      </c>
      <c r="T5756" s="2">
        <f t="shared" si="360"/>
        <v>4.1632989206796829</v>
      </c>
      <c r="U5756" s="2">
        <f t="shared" si="361"/>
        <v>113.69591908324304</v>
      </c>
    </row>
    <row r="5757" spans="1:21" x14ac:dyDescent="0.25">
      <c r="A5757">
        <v>6227165</v>
      </c>
      <c r="B5757">
        <v>35</v>
      </c>
      <c r="C5757" s="1">
        <f>2.24925625068369*(10.3/7.3)</f>
        <v>3.1736081345262965</v>
      </c>
      <c r="D5757" s="1">
        <f>4.35142516356335*(10.3/7.3)</f>
        <v>6.1396820800962315</v>
      </c>
      <c r="E5757" s="1">
        <f>14.8677517222139*(10.3/7.3)</f>
        <v>20.977786676548444</v>
      </c>
      <c r="F5757" s="1">
        <f>43.5171229075607*(38.9/42.5)</f>
        <v>39.830966614214411</v>
      </c>
      <c r="G5757" s="1">
        <v>2.3409916793665251</v>
      </c>
      <c r="H5757" s="1">
        <v>10.007676942262503</v>
      </c>
      <c r="I5757" s="1">
        <v>31.707990006677289</v>
      </c>
      <c r="J5757" s="1">
        <v>3.0108803986077046E-2</v>
      </c>
      <c r="K5757" s="1">
        <v>2.0514778686053465</v>
      </c>
      <c r="L5757" s="1">
        <v>2.235218223482442</v>
      </c>
      <c r="M5757" s="1">
        <v>0.17209435643128107</v>
      </c>
      <c r="N5757" s="1">
        <v>1.4527953393536908</v>
      </c>
      <c r="O5757" s="1">
        <v>0.14053790476190478</v>
      </c>
      <c r="P5757" s="1">
        <v>9.3226106955894436E-2</v>
      </c>
      <c r="Q5757" s="1">
        <v>3.7413109030971912</v>
      </c>
      <c r="R5757" s="2">
        <f t="shared" si="359"/>
        <v>117.9200130367889</v>
      </c>
      <c r="S5757" s="2">
        <f t="shared" si="358"/>
        <v>2.174812779547318</v>
      </c>
      <c r="T5757" s="2">
        <f t="shared" si="360"/>
        <v>4.0006458240293181</v>
      </c>
      <c r="U5757" s="2">
        <f t="shared" si="361"/>
        <v>124.09547164036555</v>
      </c>
    </row>
    <row r="5758" spans="1:21" x14ac:dyDescent="0.25">
      <c r="A5758">
        <v>6227173</v>
      </c>
      <c r="B5758">
        <v>7</v>
      </c>
      <c r="C5758" s="1">
        <f>2.14736182674781*(10.3/7.3)</f>
        <v>3.0298392897948534</v>
      </c>
      <c r="D5758" s="1">
        <f>4.01470660376605*(10.3/7.3)</f>
        <v>5.6645860299712716</v>
      </c>
      <c r="E5758" s="1">
        <f>13.758937941639*(10.3/7.3)</f>
        <v>19.413295999846774</v>
      </c>
      <c r="F5758" s="1">
        <f>38.855952295623*(38.9/42.5)</f>
        <v>35.564624571758465</v>
      </c>
      <c r="G5758" s="1">
        <v>2.0419760065293104</v>
      </c>
      <c r="H5758" s="1">
        <v>9.0426595204984253</v>
      </c>
      <c r="I5758" s="1">
        <v>28.245436313405524</v>
      </c>
      <c r="J5758" s="1">
        <v>2.9249009670471539E-2</v>
      </c>
      <c r="K5758" s="1">
        <v>1.9981736123132048</v>
      </c>
      <c r="L5758" s="1">
        <v>2.1340657983175837</v>
      </c>
      <c r="M5758" s="1">
        <v>0.1667468774882106</v>
      </c>
      <c r="N5758" s="1">
        <v>1.4364240610793086</v>
      </c>
      <c r="O5758" s="1">
        <v>0.13500190476190477</v>
      </c>
      <c r="P5758" s="1">
        <v>9.147835018360051E-2</v>
      </c>
      <c r="Q5758" s="1">
        <v>3.2634319739052935</v>
      </c>
      <c r="R5758" s="2">
        <f t="shared" si="359"/>
        <v>106.26584970570993</v>
      </c>
      <c r="S5758" s="2">
        <f t="shared" si="358"/>
        <v>2.1189009721672765</v>
      </c>
      <c r="T5758" s="2">
        <f t="shared" si="360"/>
        <v>3.8722386416470074</v>
      </c>
      <c r="U5758" s="2">
        <f t="shared" si="361"/>
        <v>112.25698931952421</v>
      </c>
    </row>
    <row r="5759" spans="1:21" x14ac:dyDescent="0.25">
      <c r="A5759">
        <v>6238857</v>
      </c>
      <c r="B5759">
        <v>48</v>
      </c>
      <c r="C5759" s="1">
        <f>0.429912027346968*(10.3/7.3)</f>
        <v>0.60658820296900928</v>
      </c>
      <c r="D5759" s="1">
        <f>0.769320711177787*(10.3/7.3)</f>
        <v>1.0854799075522195</v>
      </c>
      <c r="E5759" s="1">
        <f>2.6282942703475*(10.3/7.3)</f>
        <v>3.7084152033670175</v>
      </c>
      <c r="F5759" s="1">
        <f>8.03209820292812*(38.9/42.5)</f>
        <v>7.3517322375036187</v>
      </c>
      <c r="G5759" s="1">
        <v>0.43999420010329321</v>
      </c>
      <c r="H5759" s="1">
        <v>1.6388630704610607</v>
      </c>
      <c r="I5759" s="1">
        <v>5.982269977216963</v>
      </c>
      <c r="J5759" s="1">
        <v>2.7832234244534598E-2</v>
      </c>
      <c r="K5759" s="1">
        <v>3.1690003663371837</v>
      </c>
      <c r="L5759" s="1">
        <v>1.4774212904880966</v>
      </c>
      <c r="M5759" s="1">
        <v>0.37908444877518804</v>
      </c>
      <c r="N5759" s="1">
        <v>0.91615387981957863</v>
      </c>
      <c r="O5759" s="1">
        <v>0.27847555555555559</v>
      </c>
      <c r="P5759" s="1">
        <v>0.10680717576169131</v>
      </c>
      <c r="Q5759" s="1">
        <v>0.70318707779065182</v>
      </c>
      <c r="R5759" s="2">
        <f t="shared" si="359"/>
        <v>21.516529876963833</v>
      </c>
      <c r="S5759" s="2">
        <f t="shared" si="358"/>
        <v>3.3036397763434096</v>
      </c>
      <c r="T5759" s="2">
        <f t="shared" si="360"/>
        <v>3.0511351746384188</v>
      </c>
      <c r="U5759" s="2">
        <f t="shared" si="361"/>
        <v>27.871304827945661</v>
      </c>
    </row>
    <row r="5760" spans="1:21" x14ac:dyDescent="0.25">
      <c r="A5760">
        <v>6238865</v>
      </c>
      <c r="B5760">
        <v>63</v>
      </c>
      <c r="C5760" s="1">
        <f>0.497573942213859*(10.3/7.3)</f>
        <v>0.70205638421955496</v>
      </c>
      <c r="D5760" s="1">
        <f>0.969323301505527*(10.3/7.3)</f>
        <v>1.367675343220127</v>
      </c>
      <c r="E5760" s="1">
        <f>3.28375595978552*(10.3/7.3)</f>
        <v>4.6332447103823071</v>
      </c>
      <c r="F5760" s="1">
        <f>11.025083720647*(38.9/42.5)</f>
        <v>10.091194276074585</v>
      </c>
      <c r="G5760" s="1">
        <v>0.63623004777992442</v>
      </c>
      <c r="H5760" s="1">
        <v>2.6673595531036485</v>
      </c>
      <c r="I5760" s="1">
        <v>8.2571574896256728</v>
      </c>
      <c r="J5760" s="1">
        <v>3.2915945945995305E-2</v>
      </c>
      <c r="K5760" s="1">
        <v>3.4603377614836179</v>
      </c>
      <c r="L5760" s="1">
        <v>1.615618926981724</v>
      </c>
      <c r="M5760" s="1">
        <v>0.42501300950813126</v>
      </c>
      <c r="N5760" s="1">
        <v>1.0661860071256002</v>
      </c>
      <c r="O5760" s="1">
        <v>0.30957968253968254</v>
      </c>
      <c r="P5760" s="1">
        <v>0.11231344933011156</v>
      </c>
      <c r="Q5760" s="1">
        <v>1.0168060124336706</v>
      </c>
      <c r="R5760" s="2">
        <f t="shared" si="359"/>
        <v>29.371723816839488</v>
      </c>
      <c r="S5760" s="2">
        <f t="shared" si="358"/>
        <v>3.6055671567597249</v>
      </c>
      <c r="T5760" s="2">
        <f t="shared" si="360"/>
        <v>3.4163976261551379</v>
      </c>
      <c r="U5760" s="2">
        <f t="shared" si="361"/>
        <v>36.393688599754348</v>
      </c>
    </row>
    <row r="5761" spans="1:21" x14ac:dyDescent="0.25">
      <c r="A5761">
        <v>6239369</v>
      </c>
      <c r="B5761">
        <v>4</v>
      </c>
      <c r="C5761" s="1">
        <f>2.65391788141339*(10.3/7.3)</f>
        <v>3.7445690655558797</v>
      </c>
      <c r="D5761" s="1">
        <f>5.52518256076174*(10.3/7.3)</f>
        <v>7.7958055309378009</v>
      </c>
      <c r="E5761" s="1">
        <f>18.7483638524365*(10.3/7.3)</f>
        <v>26.453170915081664</v>
      </c>
      <c r="F5761" s="1">
        <f>59.515243618337*(38.9/42.5)</f>
        <v>54.473952394195507</v>
      </c>
      <c r="G5761" s="1">
        <v>3.357258705225302</v>
      </c>
      <c r="H5761" s="1">
        <v>14.096404412248008</v>
      </c>
      <c r="I5761" s="1">
        <v>43.66110969136205</v>
      </c>
      <c r="J5761" s="1">
        <v>3.4618177853266069E-2</v>
      </c>
      <c r="K5761" s="1">
        <v>2.0188985070175933</v>
      </c>
      <c r="L5761" s="1">
        <v>2.6248622902550878</v>
      </c>
      <c r="M5761" s="1">
        <v>0.17491631065161495</v>
      </c>
      <c r="N5761" s="1">
        <v>1.2554986882803219</v>
      </c>
      <c r="O5761" s="1">
        <v>0.14263999999999999</v>
      </c>
      <c r="P5761" s="1">
        <v>9.1101651312336634E-2</v>
      </c>
      <c r="Q5761" s="1">
        <v>5.3654819489902152</v>
      </c>
      <c r="R5761" s="2">
        <f t="shared" si="359"/>
        <v>158.94775266359642</v>
      </c>
      <c r="S5761" s="2">
        <f t="shared" si="358"/>
        <v>2.1446183361831959</v>
      </c>
      <c r="T5761" s="2">
        <f t="shared" si="360"/>
        <v>4.1979172891870249</v>
      </c>
      <c r="U5761" s="2">
        <f t="shared" si="361"/>
        <v>165.29028828896662</v>
      </c>
    </row>
    <row r="5762" spans="1:21" x14ac:dyDescent="0.25">
      <c r="A5762">
        <v>6239377</v>
      </c>
      <c r="B5762">
        <v>1</v>
      </c>
      <c r="C5762" s="1">
        <f>1.77717804177639*(10.3/7.3)</f>
        <v>2.507525182232444</v>
      </c>
      <c r="D5762" s="1">
        <f>3.52851706827472*(10.3/7.3)</f>
        <v>4.9785925757848801</v>
      </c>
      <c r="E5762" s="1">
        <f>12.0250651617533*(10.3/7.3)</f>
        <v>16.966872762473891</v>
      </c>
      <c r="F5762" s="1">
        <f>36.3205853172888*(38.9/42.5)</f>
        <v>33.244018090412546</v>
      </c>
      <c r="G5762" s="1">
        <v>1.991394105752049</v>
      </c>
      <c r="H5762" s="1">
        <v>9.7514266671645355</v>
      </c>
      <c r="I5762" s="1">
        <v>26.541265896288806</v>
      </c>
      <c r="J5762" s="1">
        <v>2.7173476861226439E-2</v>
      </c>
      <c r="K5762" s="1">
        <v>1.9511852593590926</v>
      </c>
      <c r="L5762" s="1">
        <v>2.4856572541899147</v>
      </c>
      <c r="M5762" s="1">
        <v>0.15542878267677565</v>
      </c>
      <c r="N5762" s="1">
        <v>1.2167257714220092</v>
      </c>
      <c r="O5762" s="1">
        <v>0.12437333333333332</v>
      </c>
      <c r="P5762" s="1">
        <v>8.3944173061770044E-2</v>
      </c>
      <c r="Q5762" s="1">
        <v>3.1825933196950587</v>
      </c>
      <c r="R5762" s="2">
        <f t="shared" si="359"/>
        <v>99.163688599804203</v>
      </c>
      <c r="S5762" s="2">
        <f t="shared" si="358"/>
        <v>2.062302909282089</v>
      </c>
      <c r="T5762" s="2">
        <f t="shared" si="360"/>
        <v>3.9821851416220326</v>
      </c>
      <c r="U5762" s="2">
        <f t="shared" si="361"/>
        <v>105.20817665070834</v>
      </c>
    </row>
    <row r="5763" spans="1:21" x14ac:dyDescent="0.25">
      <c r="A5763">
        <v>6239385</v>
      </c>
      <c r="B5763">
        <v>8</v>
      </c>
      <c r="C5763" s="1">
        <f>1.72654519584165*(10.3/7.3)</f>
        <v>2.4360843174204092</v>
      </c>
      <c r="D5763" s="1">
        <f>3.43965370784582*(10.3/7.3)</f>
        <v>4.8532100261386217</v>
      </c>
      <c r="E5763" s="1">
        <f>11.718977482903*(10.3/7.3)</f>
        <v>16.534995626561802</v>
      </c>
      <c r="F5763" s="1">
        <f>35.5040091505607*(38.9/42.5)</f>
        <v>32.496610728395581</v>
      </c>
      <c r="G5763" s="1">
        <v>1.9502196721269225</v>
      </c>
      <c r="H5763" s="1">
        <v>8.4737143287137222</v>
      </c>
      <c r="I5763" s="1">
        <v>25.948485960822119</v>
      </c>
      <c r="J5763" s="1">
        <v>2.8451741993088475E-2</v>
      </c>
      <c r="K5763" s="1">
        <v>1.9925136314059797</v>
      </c>
      <c r="L5763" s="1">
        <v>2.3915599898308799</v>
      </c>
      <c r="M5763" s="1">
        <v>0.16371746713625512</v>
      </c>
      <c r="N5763" s="1">
        <v>1.4420366062616299</v>
      </c>
      <c r="O5763" s="1">
        <v>0.13159333333333331</v>
      </c>
      <c r="P5763" s="1">
        <v>8.8575940888108287E-2</v>
      </c>
      <c r="Q5763" s="1">
        <v>3.1167894303398334</v>
      </c>
      <c r="R5763" s="2">
        <f t="shared" si="359"/>
        <v>95.810110090519018</v>
      </c>
      <c r="S5763" s="2">
        <f t="shared" si="358"/>
        <v>2.1095413142871764</v>
      </c>
      <c r="T5763" s="2">
        <f t="shared" si="360"/>
        <v>4.1289073965620977</v>
      </c>
      <c r="U5763" s="2">
        <f t="shared" si="361"/>
        <v>102.04855880136829</v>
      </c>
    </row>
    <row r="5764" spans="1:21" x14ac:dyDescent="0.25">
      <c r="A5764">
        <v>6239393</v>
      </c>
      <c r="B5764">
        <v>13</v>
      </c>
      <c r="C5764" s="1">
        <f>2.05144790747964*(10.3/7.3)</f>
        <v>2.8945086913753757</v>
      </c>
      <c r="D5764" s="1">
        <f>4.04311178356737*(10.3/7.3)</f>
        <v>5.7046645713347761</v>
      </c>
      <c r="E5764" s="1">
        <f>13.7919207049707*(10.3/7.3)</f>
        <v>19.45983332345175</v>
      </c>
      <c r="F5764" s="1">
        <f>41.1327195159194*(38.9/42.5)</f>
        <v>37.648536215747399</v>
      </c>
      <c r="G5764" s="1">
        <v>2.2387502121404315</v>
      </c>
      <c r="H5764" s="1">
        <v>11.187565129129622</v>
      </c>
      <c r="I5764" s="1">
        <v>30.007627723764163</v>
      </c>
      <c r="J5764" s="1">
        <v>3.0116301867001889E-2</v>
      </c>
      <c r="K5764" s="1">
        <v>2.0710001585657238</v>
      </c>
      <c r="L5764" s="1">
        <v>2.282842160335893</v>
      </c>
      <c r="M5764" s="1">
        <v>0.17496290579235987</v>
      </c>
      <c r="N5764" s="1">
        <v>1.4799216246438849</v>
      </c>
      <c r="O5764" s="1">
        <v>0.1410748717948718</v>
      </c>
      <c r="P5764" s="1">
        <v>9.3379974698584667E-2</v>
      </c>
      <c r="Q5764" s="1">
        <v>3.5779112979413319</v>
      </c>
      <c r="R5764" s="2">
        <f t="shared" si="359"/>
        <v>112.71939716488484</v>
      </c>
      <c r="S5764" s="2">
        <f t="shared" si="358"/>
        <v>2.1944964351313105</v>
      </c>
      <c r="T5764" s="2">
        <f t="shared" si="360"/>
        <v>4.0788015625670093</v>
      </c>
      <c r="U5764" s="2">
        <f t="shared" si="361"/>
        <v>118.99269516258316</v>
      </c>
    </row>
    <row r="5765" spans="1:21" x14ac:dyDescent="0.25">
      <c r="A5765">
        <v>6239401</v>
      </c>
      <c r="B5765">
        <v>22</v>
      </c>
      <c r="C5765" s="1">
        <f>2.06472662208623*(10.3/7.3)</f>
        <v>2.9132444119846745</v>
      </c>
      <c r="D5765" s="1">
        <f>3.9287240163252*(10.3/7.3)</f>
        <v>5.5432681326232265</v>
      </c>
      <c r="E5765" s="1">
        <f>13.4500047822492*(10.3/7.3)</f>
        <v>18.977404007831083</v>
      </c>
      <c r="F5765" s="1">
        <f>38.3461884704841*(38.9/42.5)</f>
        <v>35.098040741219606</v>
      </c>
      <c r="G5765" s="1">
        <v>2.029337498538959</v>
      </c>
      <c r="H5765" s="1">
        <v>9.0664784939753549</v>
      </c>
      <c r="I5765" s="1">
        <v>27.850872613857742</v>
      </c>
      <c r="J5765" s="1">
        <v>2.9070960432295269E-2</v>
      </c>
      <c r="K5765" s="1">
        <v>2.0001099110255445</v>
      </c>
      <c r="L5765" s="1">
        <v>2.1518847527828879</v>
      </c>
      <c r="M5765" s="1">
        <v>0.16703867571147366</v>
      </c>
      <c r="N5765" s="1">
        <v>1.4226607483209515</v>
      </c>
      <c r="O5765" s="1">
        <v>0.1357818181818182</v>
      </c>
      <c r="P5765" s="1">
        <v>9.1392042038681065E-2</v>
      </c>
      <c r="Q5765" s="1">
        <v>3.2432334451535896</v>
      </c>
      <c r="R5765" s="2">
        <f t="shared" si="359"/>
        <v>104.72187934518425</v>
      </c>
      <c r="S5765" s="2">
        <f t="shared" si="358"/>
        <v>2.1205729134965208</v>
      </c>
      <c r="T5765" s="2">
        <f t="shared" si="360"/>
        <v>3.8773659949971311</v>
      </c>
      <c r="U5765" s="2">
        <f t="shared" si="361"/>
        <v>110.7198182536779</v>
      </c>
    </row>
    <row r="5766" spans="1:21" x14ac:dyDescent="0.25">
      <c r="A5766">
        <v>624797</v>
      </c>
      <c r="B5766">
        <v>1</v>
      </c>
      <c r="C5766" s="1">
        <f>1.02042360892674*(10.3/7.3)</f>
        <v>1.4397757769788262</v>
      </c>
      <c r="D5766" s="1">
        <f>1.74295003084096*(10.3/7.3)</f>
        <v>2.4592308654331378</v>
      </c>
      <c r="E5766" s="1">
        <f>5.90733308898952*(10.3/7.3)</f>
        <v>8.3350042214509603</v>
      </c>
      <c r="F5766" s="1">
        <f>20.9548996006566*(38.9/42.5)</f>
        <v>19.179896340365662</v>
      </c>
      <c r="G5766" s="1">
        <v>1.2296000243490561</v>
      </c>
      <c r="H5766" s="1">
        <v>4.8941883065996299</v>
      </c>
      <c r="I5766" s="1">
        <v>16.144379455005307</v>
      </c>
      <c r="J5766" s="1">
        <v>3.7798459069301238E-2</v>
      </c>
      <c r="K5766" s="1">
        <v>3.7115506196898127</v>
      </c>
      <c r="L5766" s="1">
        <v>1.2147706315257292</v>
      </c>
      <c r="M5766" s="1">
        <v>8.6974743301750382E-2</v>
      </c>
      <c r="N5766" s="1">
        <v>1.0081745976904413</v>
      </c>
      <c r="O5766" s="1">
        <v>6.1280000000000001E-2</v>
      </c>
      <c r="P5766" s="1">
        <v>5.4938832190782459E-2</v>
      </c>
      <c r="Q5766" s="1">
        <v>1.96511419416516</v>
      </c>
      <c r="R5766" s="2">
        <f t="shared" si="359"/>
        <v>55.647189184347738</v>
      </c>
      <c r="S5766" s="2">
        <f t="shared" si="358"/>
        <v>3.8042879109498964</v>
      </c>
      <c r="T5766" s="2">
        <f t="shared" si="360"/>
        <v>2.3711999725179211</v>
      </c>
      <c r="U5766" s="2">
        <f t="shared" si="361"/>
        <v>61.822677067815555</v>
      </c>
    </row>
    <row r="5767" spans="1:21" x14ac:dyDescent="0.25">
      <c r="A5767">
        <v>624805</v>
      </c>
      <c r="B5767">
        <v>2</v>
      </c>
      <c r="C5767" s="1">
        <f>1.36315370864628*(10.3/7.3)</f>
        <v>1.923353862884478</v>
      </c>
      <c r="D5767" s="1">
        <f>1.94504705540098*(10.3/7.3)</f>
        <v>2.7443814617301543</v>
      </c>
      <c r="E5767" s="1">
        <f>6.75255843781534*(10.3/7.3)</f>
        <v>9.5275824533558868</v>
      </c>
      <c r="F5767" s="1">
        <f>17.8746116565088*(38.9/42.5)</f>
        <v>16.360526904428063</v>
      </c>
      <c r="G5767" s="1">
        <v>0.87783356014064595</v>
      </c>
      <c r="H5767" s="1">
        <v>4.280819202423177</v>
      </c>
      <c r="I5767" s="1">
        <v>13.536895164358087</v>
      </c>
      <c r="J5767" s="1">
        <v>3.8765909525947023E-2</v>
      </c>
      <c r="K5767" s="1">
        <v>4.0025333133638545</v>
      </c>
      <c r="L5767" s="1">
        <v>1.4468300412148856</v>
      </c>
      <c r="M5767" s="1">
        <v>9.4366224104633606E-2</v>
      </c>
      <c r="N5767" s="1">
        <v>1.1020804677772755</v>
      </c>
      <c r="O5767" s="1">
        <v>7.1013333333333317E-2</v>
      </c>
      <c r="P5767" s="1">
        <v>6.1055983204349767E-2</v>
      </c>
      <c r="Q5767" s="1">
        <v>1.4029303472567416</v>
      </c>
      <c r="R5767" s="2">
        <f t="shared" si="359"/>
        <v>50.654322956577232</v>
      </c>
      <c r="S5767" s="2">
        <f t="shared" si="358"/>
        <v>4.1023552060941508</v>
      </c>
      <c r="T5767" s="2">
        <f t="shared" si="360"/>
        <v>2.7142900664301282</v>
      </c>
      <c r="U5767" s="2">
        <f t="shared" si="361"/>
        <v>57.470968229101516</v>
      </c>
    </row>
    <row r="5768" spans="1:21" x14ac:dyDescent="0.25">
      <c r="A5768">
        <v>624813</v>
      </c>
      <c r="B5768">
        <v>9</v>
      </c>
      <c r="C5768" s="1">
        <f>1.35667040312508*(10.3/7.3)</f>
        <v>1.9142061852312817</v>
      </c>
      <c r="D5768" s="1">
        <f>1.94504926013283*(10.3/7.3)</f>
        <v>2.7443845725161884</v>
      </c>
      <c r="E5768" s="1">
        <f>6.75306169706401*(10.3/7.3)</f>
        <v>9.528292531473884</v>
      </c>
      <c r="F5768" s="1">
        <f>17.7853504818278*(38.9/42.5)</f>
        <v>16.278826676308231</v>
      </c>
      <c r="G5768" s="1">
        <v>0.8707580548618874</v>
      </c>
      <c r="H5768" s="1">
        <v>6.6244908300035714</v>
      </c>
      <c r="I5768" s="1">
        <v>13.442057673672066</v>
      </c>
      <c r="J5768" s="1">
        <v>3.749766306962287E-2</v>
      </c>
      <c r="K5768" s="1">
        <v>3.8015494323473513</v>
      </c>
      <c r="L5768" s="1">
        <v>1.4255198657230506</v>
      </c>
      <c r="M5768" s="1">
        <v>8.7975662127864618E-2</v>
      </c>
      <c r="N5768" s="1">
        <v>1.2803155991343445</v>
      </c>
      <c r="O5768" s="1">
        <v>7.1194074074074076E-2</v>
      </c>
      <c r="P5768" s="1">
        <v>6.1949392115066039E-2</v>
      </c>
      <c r="Q5768" s="1">
        <v>1.3916224621080402</v>
      </c>
      <c r="R5768" s="2">
        <f t="shared" si="359"/>
        <v>52.794638986175151</v>
      </c>
      <c r="S5768" s="2">
        <f t="shared" si="358"/>
        <v>3.9009964875320402</v>
      </c>
      <c r="T5768" s="2">
        <f t="shared" si="360"/>
        <v>2.8650052010593337</v>
      </c>
      <c r="U5768" s="2">
        <f t="shared" si="361"/>
        <v>59.560640674766525</v>
      </c>
    </row>
    <row r="5769" spans="1:21" x14ac:dyDescent="0.25">
      <c r="A5769">
        <v>624821</v>
      </c>
      <c r="B5769">
        <v>30</v>
      </c>
      <c r="C5769" s="1">
        <f>1.27801219675392*(10.3/7.3)</f>
        <v>1.8032226885705929</v>
      </c>
      <c r="D5769" s="1">
        <f>1.85443294888392*(10.3/7.3)</f>
        <v>2.6165286813019661</v>
      </c>
      <c r="E5769" s="1">
        <f>6.43053206696765*(10.3/7.3)</f>
        <v>9.0732164780502416</v>
      </c>
      <c r="F5769" s="1">
        <f>17.1849953719208*(38.9/42.5)</f>
        <v>15.729325175711047</v>
      </c>
      <c r="G5769" s="1">
        <v>0.85123514425616664</v>
      </c>
      <c r="H5769" s="1">
        <v>5.6447200892383238</v>
      </c>
      <c r="I5769" s="1">
        <v>12.98781029607003</v>
      </c>
      <c r="J5769" s="1">
        <v>3.2909722580484711E-2</v>
      </c>
      <c r="K5769" s="1">
        <v>3.6058273672768433</v>
      </c>
      <c r="L5769" s="1">
        <v>1.3632016276374643</v>
      </c>
      <c r="M5769" s="1">
        <v>8.4835659710756101E-2</v>
      </c>
      <c r="N5769" s="1">
        <v>1.0824923365438299</v>
      </c>
      <c r="O5769" s="1">
        <v>6.9006222222222233E-2</v>
      </c>
      <c r="P5769" s="1">
        <v>6.0361686063693173E-2</v>
      </c>
      <c r="Q5769" s="1">
        <v>1.3604214634230989</v>
      </c>
      <c r="R5769" s="2">
        <f t="shared" si="359"/>
        <v>50.066480016621469</v>
      </c>
      <c r="S5769" s="2">
        <f t="shared" ref="S5769:S5832" si="362">J5769+K5769+P5769</f>
        <v>3.6990987759210214</v>
      </c>
      <c r="T5769" s="2">
        <f t="shared" si="360"/>
        <v>2.5995358461142728</v>
      </c>
      <c r="U5769" s="2">
        <f t="shared" si="361"/>
        <v>56.365114638656763</v>
      </c>
    </row>
    <row r="5770" spans="1:21" x14ac:dyDescent="0.25">
      <c r="A5770">
        <v>624861</v>
      </c>
      <c r="B5770">
        <v>2</v>
      </c>
      <c r="C5770" s="1">
        <f>1.05965535189289*(10.3/7.3)</f>
        <v>1.4951301540406583</v>
      </c>
      <c r="D5770" s="1">
        <f>1.60224392790724*(10.3/7.3)</f>
        <v>2.2607003366362446</v>
      </c>
      <c r="E5770" s="1">
        <f>5.54655836103792*(10.3/7.3)</f>
        <v>7.8259659066699383</v>
      </c>
      <c r="F5770" s="1">
        <f>14.8585842413144*(38.9/42.5)</f>
        <v>13.599974752638314</v>
      </c>
      <c r="G5770" s="1">
        <v>0.74049603560602195</v>
      </c>
      <c r="H5770" s="1">
        <v>4.8925087635980518</v>
      </c>
      <c r="I5770" s="1">
        <v>11.133107460453649</v>
      </c>
      <c r="J5770" s="1">
        <v>2.7699634127121515E-2</v>
      </c>
      <c r="K5770" s="1">
        <v>2.5242745942000768</v>
      </c>
      <c r="L5770" s="1">
        <v>1.0470990558606736</v>
      </c>
      <c r="M5770" s="1">
        <v>6.0507992681250844E-2</v>
      </c>
      <c r="N5770" s="1">
        <v>0.95594560439609799</v>
      </c>
      <c r="O5770" s="1">
        <v>5.3976000000000003E-2</v>
      </c>
      <c r="P5770" s="1">
        <v>5.0206849083781202E-2</v>
      </c>
      <c r="Q5770" s="1">
        <v>1.1834411527950133</v>
      </c>
      <c r="R5770" s="2">
        <f t="shared" ref="R5770:R5833" si="363">C5770+D5770+E5770+F5770+G5770+H5770+I5770+Q5770</f>
        <v>43.131324562437889</v>
      </c>
      <c r="S5770" s="2">
        <f t="shared" si="362"/>
        <v>2.6021810774109797</v>
      </c>
      <c r="T5770" s="2">
        <f t="shared" ref="T5770:T5833" si="364">L5770+M5770+N5770+O5770</f>
        <v>2.1175286529380224</v>
      </c>
      <c r="U5770" s="2">
        <f t="shared" ref="U5770:U5833" si="365">R5770+S5770+T5770</f>
        <v>47.851034292786892</v>
      </c>
    </row>
    <row r="5771" spans="1:21" x14ac:dyDescent="0.25">
      <c r="A5771">
        <v>624869</v>
      </c>
      <c r="B5771">
        <v>8</v>
      </c>
      <c r="C5771" s="1">
        <f>1.55398527056159*(10.3/7.3)</f>
        <v>2.1926093543540248</v>
      </c>
      <c r="D5771" s="1">
        <f>2.34569619530514*(10.3/7.3)</f>
        <v>3.3096809331017711</v>
      </c>
      <c r="E5771" s="1">
        <f>8.17505224567572*(10.3/7.3)</f>
        <v>11.534662757597248</v>
      </c>
      <c r="F5771" s="1">
        <f>19.1208428936621*(38.9/42.5)</f>
        <v>17.501195025022515</v>
      </c>
      <c r="G5771" s="1">
        <v>0.85758164001884107</v>
      </c>
      <c r="H5771" s="1">
        <v>3.5135199821520575</v>
      </c>
      <c r="I5771" s="1">
        <v>13.928968439411641</v>
      </c>
      <c r="J5771" s="1">
        <v>3.3258231049077581E-2</v>
      </c>
      <c r="K5771" s="1">
        <v>3.0873955546861089</v>
      </c>
      <c r="L5771" s="1">
        <v>1.2892822282101939</v>
      </c>
      <c r="M5771" s="1">
        <v>6.9560516193755376E-2</v>
      </c>
      <c r="N5771" s="1">
        <v>1.3163742834863121</v>
      </c>
      <c r="O5771" s="1">
        <v>6.5640000000000004E-2</v>
      </c>
      <c r="P5771" s="1">
        <v>5.7990186325702103E-2</v>
      </c>
      <c r="Q5771" s="1">
        <v>1.3705642648702954</v>
      </c>
      <c r="R5771" s="2">
        <f t="shared" si="363"/>
        <v>54.208782396528399</v>
      </c>
      <c r="S5771" s="2">
        <f t="shared" si="362"/>
        <v>3.1786439720608888</v>
      </c>
      <c r="T5771" s="2">
        <f t="shared" si="364"/>
        <v>2.7408570278902618</v>
      </c>
      <c r="U5771" s="2">
        <f t="shared" si="365"/>
        <v>60.128283396479553</v>
      </c>
    </row>
    <row r="5772" spans="1:21" x14ac:dyDescent="0.25">
      <c r="A5772">
        <v>624877</v>
      </c>
      <c r="B5772">
        <v>4</v>
      </c>
      <c r="C5772" s="1">
        <f>1.75975277523051*(10.3/7.3)</f>
        <v>2.482938847243052</v>
      </c>
      <c r="D5772" s="1">
        <f>2.98417537473242*(10.3/7.3)</f>
        <v>4.2105488164032723</v>
      </c>
      <c r="E5772" s="1">
        <f>10.3932186013384*(10.3/7.3)</f>
        <v>14.66440432791577</v>
      </c>
      <c r="F5772" s="1">
        <f>22.4795635334794*(38.9/42.5)</f>
        <v>20.575412269467051</v>
      </c>
      <c r="G5772" s="1">
        <v>0.9523767204300444</v>
      </c>
      <c r="H5772" s="1">
        <v>3.3034931298046715</v>
      </c>
      <c r="I5772" s="1">
        <v>15.576365126375313</v>
      </c>
      <c r="J5772" s="1">
        <v>3.8445547642277034E-2</v>
      </c>
      <c r="K5772" s="1">
        <v>3.6955440729184312</v>
      </c>
      <c r="L5772" s="1">
        <v>1.443739996701247</v>
      </c>
      <c r="M5772" s="1">
        <v>7.7121937282121078E-2</v>
      </c>
      <c r="N5772" s="1">
        <v>1.4786623996411163</v>
      </c>
      <c r="O5772" s="1">
        <v>7.2679999999999995E-2</v>
      </c>
      <c r="P5772" s="1">
        <v>6.3035825989902372E-2</v>
      </c>
      <c r="Q5772" s="1">
        <v>1.5220632518288397</v>
      </c>
      <c r="R5772" s="2">
        <f t="shared" si="363"/>
        <v>63.287602489468021</v>
      </c>
      <c r="S5772" s="2">
        <f t="shared" si="362"/>
        <v>3.7970254465506108</v>
      </c>
      <c r="T5772" s="2">
        <f t="shared" si="364"/>
        <v>3.0722043336244846</v>
      </c>
      <c r="U5772" s="2">
        <f t="shared" si="365"/>
        <v>70.156832269643118</v>
      </c>
    </row>
    <row r="5773" spans="1:21" x14ac:dyDescent="0.25">
      <c r="A5773">
        <v>6251093</v>
      </c>
      <c r="B5773">
        <v>55</v>
      </c>
      <c r="C5773" s="1">
        <f>0.516997248516769*(10.3/7.3)</f>
        <v>0.72946187119489314</v>
      </c>
      <c r="D5773" s="1">
        <f>0.970536430493671*(10.3/7.3)</f>
        <v>1.369387018367783</v>
      </c>
      <c r="E5773" s="1">
        <f>3.30194571159122*(10.3/7.3)</f>
        <v>4.6589097026561053</v>
      </c>
      <c r="F5773" s="1">
        <f>10.5455840537499*(38.9/42.5)</f>
        <v>9.6523110515499404</v>
      </c>
      <c r="G5773" s="1">
        <v>0.59288843439650374</v>
      </c>
      <c r="H5773" s="1">
        <v>2.147976705862336</v>
      </c>
      <c r="I5773" s="1">
        <v>7.8636202806955966</v>
      </c>
      <c r="J5773" s="1">
        <v>2.973205157766989E-2</v>
      </c>
      <c r="K5773" s="1">
        <v>3.4254825256070958</v>
      </c>
      <c r="L5773" s="1">
        <v>1.5989114658519701</v>
      </c>
      <c r="M5773" s="1">
        <v>0.4117929612606544</v>
      </c>
      <c r="N5773" s="1">
        <v>0.99496006661334757</v>
      </c>
      <c r="O5773" s="1">
        <v>0.30049551515151518</v>
      </c>
      <c r="P5773" s="1">
        <v>0.11296055379133932</v>
      </c>
      <c r="Q5773" s="1">
        <v>0.94753859378436789</v>
      </c>
      <c r="R5773" s="2">
        <f t="shared" si="363"/>
        <v>27.962093658507527</v>
      </c>
      <c r="S5773" s="2">
        <f t="shared" si="362"/>
        <v>3.5681751309761047</v>
      </c>
      <c r="T5773" s="2">
        <f t="shared" si="364"/>
        <v>3.3061600088774874</v>
      </c>
      <c r="U5773" s="2">
        <f t="shared" si="365"/>
        <v>34.836428798361119</v>
      </c>
    </row>
    <row r="5774" spans="1:21" x14ac:dyDescent="0.25">
      <c r="A5774">
        <v>6251101</v>
      </c>
      <c r="B5774">
        <v>15</v>
      </c>
      <c r="C5774" s="1">
        <f>0.531693009241453*(10.3/7.3)</f>
        <v>0.75019698564205062</v>
      </c>
      <c r="D5774" s="1">
        <f>1.11946972368175*(10.3/7.3)</f>
        <v>1.5795257745098727</v>
      </c>
      <c r="E5774" s="1">
        <f>3.76474714276182*(10.3/7.3)</f>
        <v>5.3119035028009316</v>
      </c>
      <c r="F5774" s="1">
        <f>13.6411720052908*(38.9/42.5)</f>
        <v>12.485684494254395</v>
      </c>
      <c r="G5774" s="1">
        <v>0.8168220801657462</v>
      </c>
      <c r="H5774" s="1">
        <v>3.9236587846608457</v>
      </c>
      <c r="I5774" s="1">
        <v>10.261492364446257</v>
      </c>
      <c r="J5774" s="1">
        <v>3.691304388529501E-2</v>
      </c>
      <c r="K5774" s="1">
        <v>3.8043496576811595</v>
      </c>
      <c r="L5774" s="1">
        <v>1.8551730877157069</v>
      </c>
      <c r="M5774" s="1">
        <v>0.48721305420009647</v>
      </c>
      <c r="N5774" s="1">
        <v>1.2444527319707979</v>
      </c>
      <c r="O5774" s="1">
        <v>0.37204266666666663</v>
      </c>
      <c r="P5774" s="1">
        <v>0.12112228608211993</v>
      </c>
      <c r="Q5774" s="1">
        <v>1.3054234157900066</v>
      </c>
      <c r="R5774" s="2">
        <f t="shared" si="363"/>
        <v>36.434707402270107</v>
      </c>
      <c r="S5774" s="2">
        <f t="shared" si="362"/>
        <v>3.9623849876485746</v>
      </c>
      <c r="T5774" s="2">
        <f t="shared" si="364"/>
        <v>3.9588815405532682</v>
      </c>
      <c r="U5774" s="2">
        <f t="shared" si="365"/>
        <v>44.355973930471954</v>
      </c>
    </row>
    <row r="5775" spans="1:21" x14ac:dyDescent="0.25">
      <c r="A5775">
        <v>6251605</v>
      </c>
      <c r="B5775">
        <v>17</v>
      </c>
      <c r="C5775" s="1">
        <f>1.65736249473017*(10.3/7.3)</f>
        <v>2.3384703692768096</v>
      </c>
      <c r="D5775" s="1">
        <f>3.30415464168424*(10.3/7.3)</f>
        <v>4.6620264122394071</v>
      </c>
      <c r="E5775" s="1">
        <f>11.2615262149052*(10.3/7.3)</f>
        <v>15.889550686784046</v>
      </c>
      <c r="F5775" s="1">
        <f>33.890190082175*(38.9/42.5)</f>
        <v>31.019491628155439</v>
      </c>
      <c r="G5775" s="1">
        <v>1.8550033012854488</v>
      </c>
      <c r="H5775" s="1">
        <v>8.2319342339717867</v>
      </c>
      <c r="I5775" s="1">
        <v>24.729483797017142</v>
      </c>
      <c r="J5775" s="1">
        <v>3.0925467383491528E-2</v>
      </c>
      <c r="K5775" s="1">
        <v>2.0086473886635616</v>
      </c>
      <c r="L5775" s="1">
        <v>2.6103619865852776</v>
      </c>
      <c r="M5775" s="1">
        <v>0.16873946624467329</v>
      </c>
      <c r="N5775" s="1">
        <v>1.6944241895688399</v>
      </c>
      <c r="O5775" s="1">
        <v>0.13427137254901961</v>
      </c>
      <c r="P5775" s="1">
        <v>8.9537109411549937E-2</v>
      </c>
      <c r="Q5775" s="1">
        <v>2.9646171481730934</v>
      </c>
      <c r="R5775" s="2">
        <f t="shared" si="363"/>
        <v>91.690577576903166</v>
      </c>
      <c r="S5775" s="2">
        <f t="shared" si="362"/>
        <v>2.129109965458603</v>
      </c>
      <c r="T5775" s="2">
        <f t="shared" si="364"/>
        <v>4.6077970149478098</v>
      </c>
      <c r="U5775" s="2">
        <f t="shared" si="365"/>
        <v>98.427484557309569</v>
      </c>
    </row>
    <row r="5776" spans="1:21" x14ac:dyDescent="0.25">
      <c r="A5776">
        <v>6251613</v>
      </c>
      <c r="B5776">
        <v>25</v>
      </c>
      <c r="C5776" s="1">
        <f>1.68130123805241*(10.3/7.3)</f>
        <v>2.3722469523205221</v>
      </c>
      <c r="D5776" s="1">
        <f>3.35679362718944*(10.3/7.3)</f>
        <v>4.7362978575412669</v>
      </c>
      <c r="E5776" s="1">
        <f>11.4358598178164*(10.3/7.3)</f>
        <v>16.135528236097112</v>
      </c>
      <c r="F5776" s="1">
        <f>34.6513137622071*(38.9/42.5)</f>
        <v>31.716143655290697</v>
      </c>
      <c r="G5776" s="1">
        <v>1.903798515884809</v>
      </c>
      <c r="H5776" s="1">
        <v>9.5321455328784523</v>
      </c>
      <c r="I5776" s="1">
        <v>25.317692068074994</v>
      </c>
      <c r="J5776" s="1">
        <v>2.9886411615441574E-2</v>
      </c>
      <c r="K5776" s="1">
        <v>2.070792355461974</v>
      </c>
      <c r="L5776" s="1">
        <v>2.6773110971177245</v>
      </c>
      <c r="M5776" s="1">
        <v>0.1648477793158338</v>
      </c>
      <c r="N5776" s="1">
        <v>1.3745429363723063</v>
      </c>
      <c r="O5776" s="1">
        <v>0.13207466666666665</v>
      </c>
      <c r="P5776" s="1">
        <v>8.8655714602489125E-2</v>
      </c>
      <c r="Q5776" s="1">
        <v>3.0426003678524376</v>
      </c>
      <c r="R5776" s="2">
        <f t="shared" si="363"/>
        <v>94.756453185940288</v>
      </c>
      <c r="S5776" s="2">
        <f t="shared" si="362"/>
        <v>2.189334481679905</v>
      </c>
      <c r="T5776" s="2">
        <f t="shared" si="364"/>
        <v>4.348776479472531</v>
      </c>
      <c r="U5776" s="2">
        <f t="shared" si="365"/>
        <v>101.29456414709273</v>
      </c>
    </row>
    <row r="5777" spans="1:21" x14ac:dyDescent="0.25">
      <c r="A5777">
        <v>6251621</v>
      </c>
      <c r="B5777">
        <v>7</v>
      </c>
      <c r="C5777" s="1">
        <f>1.74036449906559*(10.3/7.3)</f>
        <v>2.4555827863528132</v>
      </c>
      <c r="D5777" s="1">
        <f>3.52187842882198*(10.3/7.3)</f>
        <v>4.969225728337868</v>
      </c>
      <c r="E5777" s="1">
        <f>11.9772348692084*(10.3/7.3)</f>
        <v>16.899386185321461</v>
      </c>
      <c r="F5777" s="1">
        <f>37.1372290170016*(38.9/42.5)</f>
        <v>33.991487264973209</v>
      </c>
      <c r="G5777" s="1">
        <v>2.0668071214563293</v>
      </c>
      <c r="H5777" s="1">
        <v>9.2821143655806111</v>
      </c>
      <c r="I5777" s="1">
        <v>27.216445611146217</v>
      </c>
      <c r="J5777" s="1">
        <v>2.8928950872784211E-2</v>
      </c>
      <c r="K5777" s="1">
        <v>1.9986397954067514</v>
      </c>
      <c r="L5777" s="1">
        <v>2.4349347991760468</v>
      </c>
      <c r="M5777" s="1">
        <v>0.16495133574434809</v>
      </c>
      <c r="N5777" s="1">
        <v>1.6595658511215257</v>
      </c>
      <c r="O5777" s="1">
        <v>0.13257904761904762</v>
      </c>
      <c r="P5777" s="1">
        <v>8.9001122699082905E-2</v>
      </c>
      <c r="Q5777" s="1">
        <v>3.303116404153954</v>
      </c>
      <c r="R5777" s="2">
        <f t="shared" si="363"/>
        <v>100.18416546732246</v>
      </c>
      <c r="S5777" s="2">
        <f t="shared" si="362"/>
        <v>2.1165698689786185</v>
      </c>
      <c r="T5777" s="2">
        <f t="shared" si="364"/>
        <v>4.3920310336609685</v>
      </c>
      <c r="U5777" s="2">
        <f t="shared" si="365"/>
        <v>106.69276636996204</v>
      </c>
    </row>
    <row r="5778" spans="1:21" x14ac:dyDescent="0.25">
      <c r="A5778">
        <v>6251629</v>
      </c>
      <c r="B5778">
        <v>25</v>
      </c>
      <c r="C5778" s="1">
        <f>2.05994929290583*(10.3/7.3)</f>
        <v>2.9065037968397385</v>
      </c>
      <c r="D5778" s="1">
        <f>3.99693430369069*(10.3/7.3)</f>
        <v>5.6395100449334397</v>
      </c>
      <c r="E5778" s="1">
        <f>13.6650187588398*(10.3/7.3)</f>
        <v>19.28077989260953</v>
      </c>
      <c r="F5778" s="1">
        <f>39.5000777999362*(38.9/42.5)</f>
        <v>36.15418885688279</v>
      </c>
      <c r="G5778" s="1">
        <v>2.1102769004273325</v>
      </c>
      <c r="H5778" s="1">
        <v>8.3232776620623383</v>
      </c>
      <c r="I5778" s="1">
        <v>28.685597648015356</v>
      </c>
      <c r="J5778" s="1">
        <v>2.9682058922493936E-2</v>
      </c>
      <c r="K5778" s="1">
        <v>2.0499305554312532</v>
      </c>
      <c r="L5778" s="1">
        <v>2.2445662907785793</v>
      </c>
      <c r="M5778" s="1">
        <v>0.17312145724096453</v>
      </c>
      <c r="N5778" s="1">
        <v>1.5430688300439603</v>
      </c>
      <c r="O5778" s="1">
        <v>0.13988053333333336</v>
      </c>
      <c r="P5778" s="1">
        <v>9.2785454430178951E-2</v>
      </c>
      <c r="Q5778" s="1">
        <v>3.3725886536509919</v>
      </c>
      <c r="R5778" s="2">
        <f t="shared" si="363"/>
        <v>106.47272345542153</v>
      </c>
      <c r="S5778" s="2">
        <f t="shared" si="362"/>
        <v>2.1723980687839259</v>
      </c>
      <c r="T5778" s="2">
        <f t="shared" si="364"/>
        <v>4.1006371113968383</v>
      </c>
      <c r="U5778" s="2">
        <f t="shared" si="365"/>
        <v>112.74575863560229</v>
      </c>
    </row>
    <row r="5779" spans="1:21" x14ac:dyDescent="0.25">
      <c r="A5779">
        <v>6251637</v>
      </c>
      <c r="B5779">
        <v>1</v>
      </c>
      <c r="C5779" s="1">
        <f>1.91339383968933*(10.3/7.3)</f>
        <v>2.6997200751780954</v>
      </c>
      <c r="D5779" s="1">
        <f>3.64171137034055*(10.3/7.3)</f>
        <v>5.1383050841791293</v>
      </c>
      <c r="E5779" s="1">
        <f>12.4727806255025*(10.3/7.3)</f>
        <v>17.598580882558295</v>
      </c>
      <c r="F5779" s="1">
        <f>35.279784400411*(38.9/42.5)</f>
        <v>32.291379133552631</v>
      </c>
      <c r="G5779" s="1">
        <v>1.8583483788591317</v>
      </c>
      <c r="H5779" s="1">
        <v>8.7907280702616557</v>
      </c>
      <c r="I5779" s="1">
        <v>25.575934509492555</v>
      </c>
      <c r="J5779" s="1">
        <v>2.7411096271630669E-2</v>
      </c>
      <c r="K5779" s="1">
        <v>1.9084034181265452</v>
      </c>
      <c r="L5779" s="1">
        <v>2.0279784614258136</v>
      </c>
      <c r="M5779" s="1">
        <v>0.15999016713942518</v>
      </c>
      <c r="N5779" s="1">
        <v>1.3677530582618322</v>
      </c>
      <c r="O5779" s="1">
        <v>0.12842666666666666</v>
      </c>
      <c r="P5779" s="1">
        <v>8.756363182012819E-2</v>
      </c>
      <c r="Q5779" s="1">
        <v>2.9699631625602594</v>
      </c>
      <c r="R5779" s="2">
        <f t="shared" si="363"/>
        <v>96.92295929664175</v>
      </c>
      <c r="S5779" s="2">
        <f t="shared" si="362"/>
        <v>2.0233781462183043</v>
      </c>
      <c r="T5779" s="2">
        <f t="shared" si="364"/>
        <v>3.6841483534937374</v>
      </c>
      <c r="U5779" s="2">
        <f t="shared" si="365"/>
        <v>102.6304857963538</v>
      </c>
    </row>
    <row r="5780" spans="1:21" x14ac:dyDescent="0.25">
      <c r="A5780">
        <v>6263321</v>
      </c>
      <c r="B5780">
        <v>40</v>
      </c>
      <c r="C5780" s="1">
        <f>0.456631599158581*(10.3/7.3)</f>
        <v>0.64428842073060077</v>
      </c>
      <c r="D5780" s="1">
        <f>0.827345234775564*(10.3/7.3)</f>
        <v>1.1673501257792203</v>
      </c>
      <c r="E5780" s="1">
        <f>2.82426581369684*(10.3/7.3)</f>
        <v>3.9849229974078768</v>
      </c>
      <c r="F5780" s="1">
        <f>8.69015231029928*(38.9/42.5)</f>
        <v>7.9540452910739248</v>
      </c>
      <c r="G5780" s="1">
        <v>0.47819745798604629</v>
      </c>
      <c r="H5780" s="1">
        <v>1.7581624094823467</v>
      </c>
      <c r="I5780" s="1">
        <v>6.4680747579415323</v>
      </c>
      <c r="J5780" s="1">
        <v>2.6618677969970132E-2</v>
      </c>
      <c r="K5780" s="1">
        <v>3.1457362329375362</v>
      </c>
      <c r="L5780" s="1">
        <v>1.5092986183339381</v>
      </c>
      <c r="M5780" s="1">
        <v>0.37803851903061964</v>
      </c>
      <c r="N5780" s="1">
        <v>0.91385240105520604</v>
      </c>
      <c r="O5780" s="1">
        <v>0.276756</v>
      </c>
      <c r="P5780" s="1">
        <v>0.10834938691118753</v>
      </c>
      <c r="Q5780" s="1">
        <v>0.76424251276308863</v>
      </c>
      <c r="R5780" s="2">
        <f t="shared" si="363"/>
        <v>23.219283973164639</v>
      </c>
      <c r="S5780" s="2">
        <f t="shared" si="362"/>
        <v>3.2807042978186938</v>
      </c>
      <c r="T5780" s="2">
        <f t="shared" si="364"/>
        <v>3.0779455384197636</v>
      </c>
      <c r="U5780" s="2">
        <f t="shared" si="365"/>
        <v>29.577933809403099</v>
      </c>
    </row>
    <row r="5781" spans="1:21" x14ac:dyDescent="0.25">
      <c r="A5781">
        <v>6263329</v>
      </c>
      <c r="B5781">
        <v>64</v>
      </c>
      <c r="C5781" s="1">
        <f>0.538397173101332*(10.3/7.3)</f>
        <v>0.75965628533475549</v>
      </c>
      <c r="D5781" s="1">
        <f>1.0583782195993*(10.3/7.3)</f>
        <v>1.4933281728592884</v>
      </c>
      <c r="E5781" s="1">
        <f>3.58502838848546*(10.3/7.3)</f>
        <v>5.0583277262192139</v>
      </c>
      <c r="F5781" s="1">
        <f>12.0089942580395*(38.9/42.5)</f>
        <v>10.991761803240855</v>
      </c>
      <c r="G5781" s="1">
        <v>0.69264081541753475</v>
      </c>
      <c r="H5781" s="1">
        <v>2.6179141737041047</v>
      </c>
      <c r="I5781" s="1">
        <v>8.9788336389267158</v>
      </c>
      <c r="J5781" s="1">
        <v>3.1480196074685683E-2</v>
      </c>
      <c r="K5781" s="1">
        <v>3.525089115881844</v>
      </c>
      <c r="L5781" s="1">
        <v>1.6827885469463062</v>
      </c>
      <c r="M5781" s="1">
        <v>0.43349479369608357</v>
      </c>
      <c r="N5781" s="1">
        <v>1.0609302757190384</v>
      </c>
      <c r="O5781" s="1">
        <v>0.32302416666666667</v>
      </c>
      <c r="P5781" s="1">
        <v>0.11529136441910538</v>
      </c>
      <c r="Q5781" s="1">
        <v>1.1069602072882996</v>
      </c>
      <c r="R5781" s="2">
        <f t="shared" si="363"/>
        <v>31.699422822990766</v>
      </c>
      <c r="S5781" s="2">
        <f t="shared" si="362"/>
        <v>3.6718606763756352</v>
      </c>
      <c r="T5781" s="2">
        <f t="shared" si="364"/>
        <v>3.5002377830280951</v>
      </c>
      <c r="U5781" s="2">
        <f t="shared" si="365"/>
        <v>38.871521282394497</v>
      </c>
    </row>
    <row r="5782" spans="1:21" x14ac:dyDescent="0.25">
      <c r="A5782">
        <v>6263833</v>
      </c>
      <c r="B5782">
        <v>8</v>
      </c>
      <c r="C5782" s="1">
        <f>1.66192235019436*(10.3/7.3)</f>
        <v>2.3449041379454623</v>
      </c>
      <c r="D5782" s="1">
        <f>3.33055720504057*(10.3/7.3)</f>
        <v>4.6992793440983371</v>
      </c>
      <c r="E5782" s="1">
        <f>11.3486987797351*(10.3/7.3)</f>
        <v>16.012547593324868</v>
      </c>
      <c r="F5782" s="1">
        <f>34.2100657266515*(38.9/42.5)</f>
        <v>31.312271923923326</v>
      </c>
      <c r="G5782" s="1">
        <v>1.8748449760444432</v>
      </c>
      <c r="H5782" s="1">
        <v>8.9133347093768833</v>
      </c>
      <c r="I5782" s="1">
        <v>24.95227092397289</v>
      </c>
      <c r="J5782" s="1">
        <v>2.8106981687814479E-2</v>
      </c>
      <c r="K5782" s="1">
        <v>1.9555736607538001</v>
      </c>
      <c r="L5782" s="1">
        <v>2.4277991927767619</v>
      </c>
      <c r="M5782" s="1">
        <v>0.17001581388607301</v>
      </c>
      <c r="N5782" s="1">
        <v>1.7143538963997387</v>
      </c>
      <c r="O5782" s="1">
        <v>0.13525333333333334</v>
      </c>
      <c r="P5782" s="1">
        <v>9.0076347630712622E-2</v>
      </c>
      <c r="Q5782" s="1">
        <v>2.9963275872856427</v>
      </c>
      <c r="R5782" s="2">
        <f t="shared" si="363"/>
        <v>93.105781195971858</v>
      </c>
      <c r="S5782" s="2">
        <f t="shared" si="362"/>
        <v>2.0737569900723272</v>
      </c>
      <c r="T5782" s="2">
        <f t="shared" si="364"/>
        <v>4.4474222363959068</v>
      </c>
      <c r="U5782" s="2">
        <f t="shared" si="365"/>
        <v>99.626960422440092</v>
      </c>
    </row>
    <row r="5783" spans="1:21" x14ac:dyDescent="0.25">
      <c r="A5783">
        <v>6263841</v>
      </c>
      <c r="B5783">
        <v>3</v>
      </c>
      <c r="C5783" s="1">
        <f>1.67773785402124*(10.3/7.3)</f>
        <v>2.3672191638929774</v>
      </c>
      <c r="D5783" s="1">
        <f>3.33496211850316*(10.3/7.3)</f>
        <v>4.7054944959702123</v>
      </c>
      <c r="E5783" s="1">
        <f>11.3715607631603*(10.3/7.3)</f>
        <v>16.044804912404288</v>
      </c>
      <c r="F5783" s="1">
        <f>34.0117198414623*(38.9/42.5)</f>
        <v>31.130727101950182</v>
      </c>
      <c r="G5783" s="1">
        <v>1.8551295306278517</v>
      </c>
      <c r="H5783" s="1">
        <v>10.256409262972459</v>
      </c>
      <c r="I5783" s="1">
        <v>24.795375859006228</v>
      </c>
      <c r="J5783" s="1">
        <v>3.1275240493204196E-2</v>
      </c>
      <c r="K5783" s="1">
        <v>1.9937244447422213</v>
      </c>
      <c r="L5783" s="1">
        <v>2.280138869029495</v>
      </c>
      <c r="M5783" s="1">
        <v>0.17156768498839139</v>
      </c>
      <c r="N5783" s="1">
        <v>1.3600860165757724</v>
      </c>
      <c r="O5783" s="1">
        <v>0.13646222222222223</v>
      </c>
      <c r="P5783" s="1">
        <v>9.05596360154583E-2</v>
      </c>
      <c r="Q5783" s="1">
        <v>2.9648188845650627</v>
      </c>
      <c r="R5783" s="2">
        <f t="shared" si="363"/>
        <v>94.11997921138925</v>
      </c>
      <c r="S5783" s="2">
        <f t="shared" si="362"/>
        <v>2.1155593212508839</v>
      </c>
      <c r="T5783" s="2">
        <f t="shared" si="364"/>
        <v>3.9482547928158813</v>
      </c>
      <c r="U5783" s="2">
        <f t="shared" si="365"/>
        <v>100.18379332545602</v>
      </c>
    </row>
    <row r="5784" spans="1:21" x14ac:dyDescent="0.25">
      <c r="A5784">
        <v>6263849</v>
      </c>
      <c r="B5784">
        <v>3</v>
      </c>
      <c r="C5784" s="1">
        <f>1.6985817919085*(10.3/7.3)</f>
        <v>2.3966291036517173</v>
      </c>
      <c r="D5784" s="1">
        <f>3.34866148065633*(10.3/7.3)</f>
        <v>4.7248237329808447</v>
      </c>
      <c r="E5784" s="1">
        <f>11.4252645974168*(10.3/7.3)</f>
        <v>16.120578815533271</v>
      </c>
      <c r="F5784" s="1">
        <f>33.9529320137204*(38.9/42.5)</f>
        <v>31.076918949028801</v>
      </c>
      <c r="G5784" s="1">
        <v>1.8444000365235844</v>
      </c>
      <c r="H5784" s="1">
        <v>10.447877165152402</v>
      </c>
      <c r="I5784" s="1">
        <v>24.748767684611192</v>
      </c>
      <c r="J5784" s="1">
        <v>3.0279502011510289E-2</v>
      </c>
      <c r="K5784" s="1">
        <v>1.9911316864118234</v>
      </c>
      <c r="L5784" s="1">
        <v>2.6995275804459564</v>
      </c>
      <c r="M5784" s="1">
        <v>0.16324880892001994</v>
      </c>
      <c r="N5784" s="1">
        <v>1.3944916317169822</v>
      </c>
      <c r="O5784" s="1">
        <v>0.13086222222222224</v>
      </c>
      <c r="P5784" s="1">
        <v>8.7661837413548382E-2</v>
      </c>
      <c r="Q5784" s="1">
        <v>2.9476712912477403</v>
      </c>
      <c r="R5784" s="2">
        <f t="shared" si="363"/>
        <v>94.307666778729569</v>
      </c>
      <c r="S5784" s="2">
        <f t="shared" si="362"/>
        <v>2.1090730258368819</v>
      </c>
      <c r="T5784" s="2">
        <f t="shared" si="364"/>
        <v>4.3881302433051816</v>
      </c>
      <c r="U5784" s="2">
        <f t="shared" si="365"/>
        <v>100.80487004787163</v>
      </c>
    </row>
    <row r="5785" spans="1:21" x14ac:dyDescent="0.25">
      <c r="A5785">
        <v>6263857</v>
      </c>
      <c r="B5785">
        <v>6</v>
      </c>
      <c r="C5785" s="1">
        <f>1.98077153700007*(10.3/7.3)</f>
        <v>2.7947872371370792</v>
      </c>
      <c r="D5785" s="1">
        <f>3.87963517172196*(10.3/7.3)</f>
        <v>5.4740057902378396</v>
      </c>
      <c r="E5785" s="1">
        <f>13.2528531735305*(10.3/7.3)</f>
        <v>18.699231190049908</v>
      </c>
      <c r="F5785" s="1">
        <f>38.6921509347199*(38.9/42.5)</f>
        <v>35.414698149661241</v>
      </c>
      <c r="G5785" s="1">
        <v>2.0802700819157316</v>
      </c>
      <c r="H5785" s="1">
        <v>9.7665425541787396</v>
      </c>
      <c r="I5785" s="1">
        <v>28.119622857845652</v>
      </c>
      <c r="J5785" s="1">
        <v>2.9382771617484805E-2</v>
      </c>
      <c r="K5785" s="1">
        <v>2.0335163584170921</v>
      </c>
      <c r="L5785" s="1">
        <v>2.2552637553327561</v>
      </c>
      <c r="M5785" s="1">
        <v>0.17167923792063633</v>
      </c>
      <c r="N5785" s="1">
        <v>1.5964371966914277</v>
      </c>
      <c r="O5785" s="1">
        <v>0.1384711111111111</v>
      </c>
      <c r="P5785" s="1">
        <v>9.1729344269657578E-2</v>
      </c>
      <c r="Q5785" s="1">
        <v>3.3246325510068804</v>
      </c>
      <c r="R5785" s="2">
        <f t="shared" si="363"/>
        <v>105.67379041203309</v>
      </c>
      <c r="S5785" s="2">
        <f t="shared" si="362"/>
        <v>2.1546284743042343</v>
      </c>
      <c r="T5785" s="2">
        <f t="shared" si="364"/>
        <v>4.1618513010559317</v>
      </c>
      <c r="U5785" s="2">
        <f t="shared" si="365"/>
        <v>111.99027018739325</v>
      </c>
    </row>
    <row r="5786" spans="1:21" x14ac:dyDescent="0.25">
      <c r="A5786">
        <v>6263865</v>
      </c>
      <c r="B5786">
        <v>8</v>
      </c>
      <c r="C5786" s="1">
        <f>1.91404106387532*(10.3/7.3)</f>
        <v>2.7006332819062728</v>
      </c>
      <c r="D5786" s="1">
        <f>3.6569859403136*(10.3/7.3)</f>
        <v>5.1598568746890505</v>
      </c>
      <c r="E5786" s="1">
        <f>12.5209949805737*(10.3/7.3)</f>
        <v>17.666609356151948</v>
      </c>
      <c r="F5786" s="1">
        <f>35.5522819134467*(38.9/42.5)</f>
        <v>32.540794504307698</v>
      </c>
      <c r="G5786" s="1">
        <v>1.87752734957051</v>
      </c>
      <c r="H5786" s="1">
        <v>7.6268047701677837</v>
      </c>
      <c r="I5786" s="1">
        <v>25.779364664568945</v>
      </c>
      <c r="J5786" s="1">
        <v>2.7759038979722577E-2</v>
      </c>
      <c r="K5786" s="1">
        <v>1.933114246910103</v>
      </c>
      <c r="L5786" s="1">
        <v>2.0700042310723052</v>
      </c>
      <c r="M5786" s="1">
        <v>0.16252081645944455</v>
      </c>
      <c r="N5786" s="1">
        <v>1.4144184243521274</v>
      </c>
      <c r="O5786" s="1">
        <v>0.13032666666666667</v>
      </c>
      <c r="P5786" s="1">
        <v>8.8534785862911011E-2</v>
      </c>
      <c r="Q5786" s="1">
        <v>3.0006144856149737</v>
      </c>
      <c r="R5786" s="2">
        <f t="shared" si="363"/>
        <v>96.352205286977181</v>
      </c>
      <c r="S5786" s="2">
        <f t="shared" si="362"/>
        <v>2.0494080717527368</v>
      </c>
      <c r="T5786" s="2">
        <f t="shared" si="364"/>
        <v>3.7772701385505436</v>
      </c>
      <c r="U5786" s="2">
        <f t="shared" si="365"/>
        <v>102.17888349728047</v>
      </c>
    </row>
    <row r="5787" spans="1:21" x14ac:dyDescent="0.25">
      <c r="A5787">
        <v>6275557</v>
      </c>
      <c r="B5787">
        <v>61</v>
      </c>
      <c r="C5787" s="1">
        <f>0.532222323817436*(10.3/7.3)</f>
        <v>0.75094382675610805</v>
      </c>
      <c r="D5787" s="1">
        <f>1.00870913654703*(10.3/7.3)</f>
        <v>1.4232471378677336</v>
      </c>
      <c r="E5787" s="1">
        <f>3.4300254272318*(10.3/7.3)</f>
        <v>4.8396249178750086</v>
      </c>
      <c r="F5787" s="1">
        <f>10.9957539242485*(38.9/42.5)</f>
        <v>10.064348885959186</v>
      </c>
      <c r="G5787" s="1">
        <v>0.61972150799481318</v>
      </c>
      <c r="H5787" s="1">
        <v>2.2063743409358785</v>
      </c>
      <c r="I5787" s="1">
        <v>8.1936136802529838</v>
      </c>
      <c r="J5787" s="1">
        <v>2.8804814804083565E-2</v>
      </c>
      <c r="K5787" s="1">
        <v>3.3725961058982827</v>
      </c>
      <c r="L5787" s="1">
        <v>1.6199653238519636</v>
      </c>
      <c r="M5787" s="1">
        <v>0.4096069977875646</v>
      </c>
      <c r="N5787" s="1">
        <v>0.98542980803893421</v>
      </c>
      <c r="O5787" s="1">
        <v>0.30167169398907112</v>
      </c>
      <c r="P5787" s="1">
        <v>0.11425338904143713</v>
      </c>
      <c r="Q5787" s="1">
        <v>0.99042250136157473</v>
      </c>
      <c r="R5787" s="2">
        <f t="shared" si="363"/>
        <v>29.088296799003288</v>
      </c>
      <c r="S5787" s="2">
        <f t="shared" si="362"/>
        <v>3.5156543097438031</v>
      </c>
      <c r="T5787" s="2">
        <f t="shared" si="364"/>
        <v>3.3166738236675339</v>
      </c>
      <c r="U5787" s="2">
        <f t="shared" si="365"/>
        <v>35.920624932414626</v>
      </c>
    </row>
    <row r="5788" spans="1:21" x14ac:dyDescent="0.25">
      <c r="A5788">
        <v>6275565</v>
      </c>
      <c r="B5788">
        <v>38</v>
      </c>
      <c r="C5788" s="1">
        <f>0.574221490355515*(10.3/7.3)</f>
        <v>0.81020292474819211</v>
      </c>
      <c r="D5788" s="1">
        <f>1.20559982664768*(10.3/7.3)</f>
        <v>1.701051810201518</v>
      </c>
      <c r="E5788" s="1">
        <f>4.05980534411237*(10.3/7.3)</f>
        <v>5.7282184992270357</v>
      </c>
      <c r="F5788" s="1">
        <f>14.4450229819926*(38.9/42.5)</f>
        <v>13.221444564694437</v>
      </c>
      <c r="G5788" s="1">
        <v>0.85839905805652139</v>
      </c>
      <c r="H5788" s="1">
        <v>3.9928924937525792</v>
      </c>
      <c r="I5788" s="1">
        <v>10.832817420040225</v>
      </c>
      <c r="J5788" s="1">
        <v>3.5943955700883268E-2</v>
      </c>
      <c r="K5788" s="1">
        <v>3.7443824225344819</v>
      </c>
      <c r="L5788" s="1">
        <v>1.8834235944948261</v>
      </c>
      <c r="M5788" s="1">
        <v>0.47794702346892426</v>
      </c>
      <c r="N5788" s="1">
        <v>1.2173458500428629</v>
      </c>
      <c r="O5788" s="1">
        <v>0.36286456140350881</v>
      </c>
      <c r="P5788" s="1">
        <v>0.12120158485211195</v>
      </c>
      <c r="Q5788" s="1">
        <v>1.371870640729602</v>
      </c>
      <c r="R5788" s="2">
        <f t="shared" si="363"/>
        <v>38.51689741145011</v>
      </c>
      <c r="S5788" s="2">
        <f t="shared" si="362"/>
        <v>3.9015279630874771</v>
      </c>
      <c r="T5788" s="2">
        <f t="shared" si="364"/>
        <v>3.9415810294101217</v>
      </c>
      <c r="U5788" s="2">
        <f t="shared" si="365"/>
        <v>46.360006403947708</v>
      </c>
    </row>
    <row r="5789" spans="1:21" x14ac:dyDescent="0.25">
      <c r="A5789">
        <v>6276061</v>
      </c>
      <c r="B5789">
        <v>9</v>
      </c>
      <c r="C5789" s="1">
        <f>1.64330774005884*(10.3/7.3)</f>
        <v>2.3186396880282221</v>
      </c>
      <c r="D5789" s="1">
        <f>3.26586285100402*(10.3/7.3)</f>
        <v>4.607998269224848</v>
      </c>
      <c r="E5789" s="1">
        <f>11.1416607175331*(10.3/7.3)</f>
        <v>15.720425395971368</v>
      </c>
      <c r="F5789" s="1">
        <f>33.0333419644084*(38.9/42.5)</f>
        <v>30.235223586246761</v>
      </c>
      <c r="G5789" s="1">
        <v>1.7931368980254172</v>
      </c>
      <c r="H5789" s="1">
        <v>5.7264951718262891</v>
      </c>
      <c r="I5789" s="1">
        <v>24.035349017830512</v>
      </c>
      <c r="J5789" s="1">
        <v>2.6742555946326702E-2</v>
      </c>
      <c r="K5789" s="1">
        <v>1.9336303931418992</v>
      </c>
      <c r="L5789" s="1">
        <v>2.2904649074197945</v>
      </c>
      <c r="M5789" s="1">
        <v>0.17453465017326128</v>
      </c>
      <c r="N5789" s="1">
        <v>1.3855115092634249</v>
      </c>
      <c r="O5789" s="1">
        <v>0.13560888888888886</v>
      </c>
      <c r="P5789" s="1">
        <v>8.9653392062672019E-2</v>
      </c>
      <c r="Q5789" s="1">
        <v>2.8657439009538659</v>
      </c>
      <c r="R5789" s="2">
        <f t="shared" si="363"/>
        <v>87.303011928107267</v>
      </c>
      <c r="S5789" s="2">
        <f t="shared" si="362"/>
        <v>2.0500263411508981</v>
      </c>
      <c r="T5789" s="2">
        <f t="shared" si="364"/>
        <v>3.9861199557453695</v>
      </c>
      <c r="U5789" s="2">
        <f t="shared" si="365"/>
        <v>93.33915822500353</v>
      </c>
    </row>
    <row r="5790" spans="1:21" x14ac:dyDescent="0.25">
      <c r="A5790">
        <v>6276069</v>
      </c>
      <c r="B5790">
        <v>44</v>
      </c>
      <c r="C5790" s="1">
        <f>1.58244955661537*(10.3/7.3)</f>
        <v>2.2327712922107246</v>
      </c>
      <c r="D5790" s="1">
        <f>3.11991893850941*(10.3/7.3)</f>
        <v>4.4020774063899957</v>
      </c>
      <c r="E5790" s="1">
        <f>10.6505854460842*(10.3/7.3)</f>
        <v>15.027538369132442</v>
      </c>
      <c r="F5790" s="1">
        <f>31.3531484580456*(38.9/42.5)</f>
        <v>28.697352353364057</v>
      </c>
      <c r="G5790" s="1">
        <v>1.6943090451332059</v>
      </c>
      <c r="H5790" s="1">
        <v>8.8280597306149229</v>
      </c>
      <c r="I5790" s="1">
        <v>22.804805520629372</v>
      </c>
      <c r="J5790" s="1">
        <v>2.8411527993843923E-2</v>
      </c>
      <c r="K5790" s="1">
        <v>1.9545490986051888</v>
      </c>
      <c r="L5790" s="1">
        <v>2.2737145474024869</v>
      </c>
      <c r="M5790" s="1">
        <v>0.17030468807954144</v>
      </c>
      <c r="N5790" s="1">
        <v>1.3735081681553589</v>
      </c>
      <c r="O5790" s="1">
        <v>0.13470424242424242</v>
      </c>
      <c r="P5790" s="1">
        <v>8.9589823747966466E-2</v>
      </c>
      <c r="Q5790" s="1">
        <v>2.7077998438201951</v>
      </c>
      <c r="R5790" s="2">
        <f t="shared" si="363"/>
        <v>86.394713561294907</v>
      </c>
      <c r="S5790" s="2">
        <f t="shared" si="362"/>
        <v>2.0725504503469994</v>
      </c>
      <c r="T5790" s="2">
        <f t="shared" si="364"/>
        <v>3.9522316460616302</v>
      </c>
      <c r="U5790" s="2">
        <f t="shared" si="365"/>
        <v>92.419495657703536</v>
      </c>
    </row>
    <row r="5791" spans="1:21" x14ac:dyDescent="0.25">
      <c r="A5791">
        <v>6276093</v>
      </c>
      <c r="B5791">
        <v>12</v>
      </c>
      <c r="C5791" s="1">
        <f>1.9298897586861*(10.3/7.3)</f>
        <v>2.722995138968054</v>
      </c>
      <c r="D5791" s="1">
        <f>3.74033155228259*(10.3/7.3)</f>
        <v>5.2774541080151609</v>
      </c>
      <c r="E5791" s="1">
        <f>12.7911444315997*(10.3/7.3)</f>
        <v>18.047779129517409</v>
      </c>
      <c r="F5791" s="1">
        <f>36.8205076572674*(38.9/42.5)</f>
        <v>33.701594067475362</v>
      </c>
      <c r="G5791" s="1">
        <v>1.962245646768789</v>
      </c>
      <c r="H5791" s="1">
        <v>7.8031567853335231</v>
      </c>
      <c r="I5791" s="1">
        <v>26.719129074628</v>
      </c>
      <c r="J5791" s="1">
        <v>2.8886316777890251E-2</v>
      </c>
      <c r="K5791" s="1">
        <v>2.0072829766137423</v>
      </c>
      <c r="L5791" s="1">
        <v>2.2003286539953169</v>
      </c>
      <c r="M5791" s="1">
        <v>0.16945380956860848</v>
      </c>
      <c r="N5791" s="1">
        <v>1.5145577628165725</v>
      </c>
      <c r="O5791" s="1">
        <v>0.13622222222222222</v>
      </c>
      <c r="P5791" s="1">
        <v>9.1077099432619379E-2</v>
      </c>
      <c r="Q5791" s="1">
        <v>3.136009024516333</v>
      </c>
      <c r="R5791" s="2">
        <f t="shared" si="363"/>
        <v>99.370362975222633</v>
      </c>
      <c r="S5791" s="2">
        <f t="shared" si="362"/>
        <v>2.1272463928242518</v>
      </c>
      <c r="T5791" s="2">
        <f t="shared" si="364"/>
        <v>4.0205624486027203</v>
      </c>
      <c r="U5791" s="2">
        <f t="shared" si="365"/>
        <v>105.5181718166496</v>
      </c>
    </row>
    <row r="5792" spans="1:21" x14ac:dyDescent="0.25">
      <c r="A5792">
        <v>6287785</v>
      </c>
      <c r="B5792">
        <v>32</v>
      </c>
      <c r="C5792" s="1">
        <f>0.451003238064262*(10.3/7.3)</f>
        <v>0.63634703452902708</v>
      </c>
      <c r="D5792" s="1">
        <f>0.821345041849713*(10.3/7.3)</f>
        <v>1.1588841001441159</v>
      </c>
      <c r="E5792" s="1">
        <f>2.80289881847486*(10.3/7.3)</f>
        <v>3.9547750452453445</v>
      </c>
      <c r="F5792" s="1">
        <f>8.6466858467588*(38.9/42.5)</f>
        <v>7.9142606926804087</v>
      </c>
      <c r="G5792" s="1">
        <v>0.47662424591300817</v>
      </c>
      <c r="H5792" s="1">
        <v>1.7374032579828369</v>
      </c>
      <c r="I5792" s="1">
        <v>6.4337205448121502</v>
      </c>
      <c r="J5792" s="1">
        <v>2.5891764126311664E-2</v>
      </c>
      <c r="K5792" s="1">
        <v>3.0608055197633064</v>
      </c>
      <c r="L5792" s="1">
        <v>1.5029294322914417</v>
      </c>
      <c r="M5792" s="1">
        <v>0.37200406945593539</v>
      </c>
      <c r="N5792" s="1">
        <v>0.90098123765446625</v>
      </c>
      <c r="O5792" s="1">
        <v>0.27068666666666663</v>
      </c>
      <c r="P5792" s="1">
        <v>0.10766369904925251</v>
      </c>
      <c r="Q5792" s="1">
        <v>0.76172824689293606</v>
      </c>
      <c r="R5792" s="2">
        <f t="shared" si="363"/>
        <v>23.07374316819983</v>
      </c>
      <c r="S5792" s="2">
        <f t="shared" si="362"/>
        <v>3.1943609829388704</v>
      </c>
      <c r="T5792" s="2">
        <f t="shared" si="364"/>
        <v>3.0466014060685103</v>
      </c>
      <c r="U5792" s="2">
        <f t="shared" si="365"/>
        <v>29.314705557207212</v>
      </c>
    </row>
    <row r="5793" spans="1:21" x14ac:dyDescent="0.25">
      <c r="A5793">
        <v>6287793</v>
      </c>
      <c r="B5793">
        <v>71</v>
      </c>
      <c r="C5793" s="1">
        <f>0.59034699403533*(10.3/7.3)</f>
        <v>0.83295534774847868</v>
      </c>
      <c r="D5793" s="1">
        <f>1.23884336985991*(10.3/7.3)</f>
        <v>1.7479570835009728</v>
      </c>
      <c r="E5793" s="1">
        <f>4.17138314774163*(10.3/7.3)</f>
        <v>5.8856501947587372</v>
      </c>
      <c r="F5793" s="1">
        <f>14.8641268891008*(38.9/42.5)</f>
        <v>13.605047905553402</v>
      </c>
      <c r="G5793" s="1">
        <v>0.88382923167003768</v>
      </c>
      <c r="H5793" s="1">
        <v>2.7449788462811804</v>
      </c>
      <c r="I5793" s="1">
        <v>11.150933700914891</v>
      </c>
      <c r="J5793" s="1">
        <v>3.2618523260102013E-2</v>
      </c>
      <c r="K5793" s="1">
        <v>3.6256612807918502</v>
      </c>
      <c r="L5793" s="1">
        <v>1.8098119708261047</v>
      </c>
      <c r="M5793" s="1">
        <v>0.45263245825691295</v>
      </c>
      <c r="N5793" s="1">
        <v>1.0908639354883118</v>
      </c>
      <c r="O5793" s="1">
        <v>0.3438227230046948</v>
      </c>
      <c r="P5793" s="1">
        <v>0.11985748356459403</v>
      </c>
      <c r="Q5793" s="1">
        <v>1.4125124707055414</v>
      </c>
      <c r="R5793" s="2">
        <f t="shared" si="363"/>
        <v>38.263864781133243</v>
      </c>
      <c r="S5793" s="2">
        <f t="shared" si="362"/>
        <v>3.7781372876165467</v>
      </c>
      <c r="T5793" s="2">
        <f t="shared" si="364"/>
        <v>3.6971310875760239</v>
      </c>
      <c r="U5793" s="2">
        <f t="shared" si="365"/>
        <v>45.739133156325813</v>
      </c>
    </row>
    <row r="5794" spans="1:21" x14ac:dyDescent="0.25">
      <c r="A5794">
        <v>6288289</v>
      </c>
      <c r="B5794">
        <v>5</v>
      </c>
      <c r="C5794" s="1">
        <f>1.61547156823062*(10.3/7.3)</f>
        <v>2.2793639935308816</v>
      </c>
      <c r="D5794" s="1">
        <f>3.18973164683095*(10.3/7.3)</f>
        <v>4.5005802688162753</v>
      </c>
      <c r="E5794" s="1">
        <f>10.8919280209007*(10.3/7.3)</f>
        <v>15.368062824010572</v>
      </c>
      <c r="F5794" s="1">
        <f>31.8842937079726*(38.9/42.5)</f>
        <v>29.183506476238406</v>
      </c>
      <c r="G5794" s="1">
        <v>1.7177920060932277</v>
      </c>
      <c r="H5794" s="1">
        <v>5.247564154131739</v>
      </c>
      <c r="I5794" s="1">
        <v>23.156018730850057</v>
      </c>
      <c r="J5794" s="1">
        <v>2.6319744265274104E-2</v>
      </c>
      <c r="K5794" s="1">
        <v>1.9154790746219912</v>
      </c>
      <c r="L5794" s="1">
        <v>2.2440472409036532</v>
      </c>
      <c r="M5794" s="1">
        <v>0.17258283087406662</v>
      </c>
      <c r="N5794" s="1">
        <v>1.2611950271730761</v>
      </c>
      <c r="O5794" s="1">
        <v>0.13513600000000001</v>
      </c>
      <c r="P5794" s="1">
        <v>8.9019278086417297E-2</v>
      </c>
      <c r="Q5794" s="1">
        <v>2.7453296901033344</v>
      </c>
      <c r="R5794" s="2">
        <f t="shared" si="363"/>
        <v>84.198218143774497</v>
      </c>
      <c r="S5794" s="2">
        <f t="shared" si="362"/>
        <v>2.0308180969736824</v>
      </c>
      <c r="T5794" s="2">
        <f t="shared" si="364"/>
        <v>3.812961098950796</v>
      </c>
      <c r="U5794" s="2">
        <f t="shared" si="365"/>
        <v>90.041997339698966</v>
      </c>
    </row>
    <row r="5795" spans="1:21" x14ac:dyDescent="0.25">
      <c r="A5795">
        <v>6288297</v>
      </c>
      <c r="B5795">
        <v>25</v>
      </c>
      <c r="C5795" s="1">
        <f>1.55456478514043*(10.3/7.3)</f>
        <v>2.1934270256091009</v>
      </c>
      <c r="D5795" s="1">
        <f>3.06441691590074*(10.3/7.3)</f>
        <v>4.3237663333941949</v>
      </c>
      <c r="E5795" s="1">
        <f>10.4659916673421*(10.3/7.3)</f>
        <v>14.767084133373112</v>
      </c>
      <c r="F5795" s="1">
        <f>30.5617393885874*(38.9/42.5)</f>
        <v>27.972980287436467</v>
      </c>
      <c r="G5795" s="1">
        <v>1.6440589226087012</v>
      </c>
      <c r="H5795" s="1">
        <v>9.0524680516276437</v>
      </c>
      <c r="I5795" s="1">
        <v>22.188816306970139</v>
      </c>
      <c r="J5795" s="1">
        <v>2.7282781790012381E-2</v>
      </c>
      <c r="K5795" s="1">
        <v>1.9415281289501718</v>
      </c>
      <c r="L5795" s="1">
        <v>2.2062708113021343</v>
      </c>
      <c r="M5795" s="1">
        <v>0.17294965002121412</v>
      </c>
      <c r="N5795" s="1">
        <v>1.2850563160539905</v>
      </c>
      <c r="O5795" s="1">
        <v>0.13511039999999999</v>
      </c>
      <c r="P5795" s="1">
        <v>8.9510960012967586E-2</v>
      </c>
      <c r="Q5795" s="1">
        <v>2.6274914288266946</v>
      </c>
      <c r="R5795" s="2">
        <f t="shared" si="363"/>
        <v>84.77009248984605</v>
      </c>
      <c r="S5795" s="2">
        <f t="shared" si="362"/>
        <v>2.0583218707531517</v>
      </c>
      <c r="T5795" s="2">
        <f t="shared" si="364"/>
        <v>3.7993871773773389</v>
      </c>
      <c r="U5795" s="2">
        <f t="shared" si="365"/>
        <v>90.627801537976538</v>
      </c>
    </row>
    <row r="5796" spans="1:21" x14ac:dyDescent="0.25">
      <c r="A5796">
        <v>6288305</v>
      </c>
      <c r="B5796">
        <v>46</v>
      </c>
      <c r="C5796" s="1">
        <f>1.62050216692039*(10.3/7.3)</f>
        <v>2.2864619615452102</v>
      </c>
      <c r="D5796" s="1">
        <f>3.1575092791553*(10.3/7.3)</f>
        <v>4.455115832232825</v>
      </c>
      <c r="E5796" s="1">
        <f>10.7937015884624*(10.3/7.3)</f>
        <v>15.229469364542798</v>
      </c>
      <c r="F5796" s="1">
        <f>31.2049426012587*(38.9/42.5)</f>
        <v>28.561700404446196</v>
      </c>
      <c r="G5796" s="1">
        <v>1.6677599085852848</v>
      </c>
      <c r="H5796" s="1">
        <v>9.2484400499961676</v>
      </c>
      <c r="I5796" s="1">
        <v>22.646622968215588</v>
      </c>
      <c r="J5796" s="1">
        <v>2.9458718815168351E-2</v>
      </c>
      <c r="K5796" s="1">
        <v>1.9646468839152946</v>
      </c>
      <c r="L5796" s="1">
        <v>2.192519815777918</v>
      </c>
      <c r="M5796" s="1">
        <v>0.17196370998148136</v>
      </c>
      <c r="N5796" s="1">
        <v>1.3025586065008172</v>
      </c>
      <c r="O5796" s="1">
        <v>0.1347188405797102</v>
      </c>
      <c r="P5796" s="1">
        <v>8.9804358777722484E-2</v>
      </c>
      <c r="Q5796" s="1">
        <v>2.665369716917124</v>
      </c>
      <c r="R5796" s="2">
        <f t="shared" si="363"/>
        <v>86.760940206481195</v>
      </c>
      <c r="S5796" s="2">
        <f t="shared" si="362"/>
        <v>2.0839099615081853</v>
      </c>
      <c r="T5796" s="2">
        <f t="shared" si="364"/>
        <v>3.8017609728399266</v>
      </c>
      <c r="U5796" s="2">
        <f t="shared" si="365"/>
        <v>92.646611140829307</v>
      </c>
    </row>
    <row r="5797" spans="1:21" x14ac:dyDescent="0.25">
      <c r="A5797">
        <v>6288313</v>
      </c>
      <c r="B5797">
        <v>16</v>
      </c>
      <c r="C5797" s="1">
        <f>3.52528078165909*(10.3/7.3)</f>
        <v>4.9740263083683018</v>
      </c>
      <c r="D5797" s="1">
        <f>6.9383331401748*(10.3/7.3)</f>
        <v>9.7897029238082833</v>
      </c>
      <c r="E5797" s="1">
        <f>23.702509268689*(10.3/7.3)</f>
        <v>33.44326650239676</v>
      </c>
      <c r="F5797" s="1">
        <f>68.9699169270445*(38.9/42.5)</f>
        <v>63.127759257930173</v>
      </c>
      <c r="G5797" s="1">
        <v>3.7024131186919575</v>
      </c>
      <c r="H5797" s="1">
        <v>9.6004777398976699</v>
      </c>
      <c r="I5797" s="1">
        <v>50.046457767093138</v>
      </c>
      <c r="J5797" s="1">
        <v>4.2752399455853685E-2</v>
      </c>
      <c r="K5797" s="1">
        <v>2.4762140747057413</v>
      </c>
      <c r="L5797" s="1">
        <v>3.0340557701227513</v>
      </c>
      <c r="M5797" s="1">
        <v>0.21290109629715329</v>
      </c>
      <c r="N5797" s="1">
        <v>1.5970714800852004</v>
      </c>
      <c r="O5797" s="1">
        <v>0.17531000000000002</v>
      </c>
      <c r="P5797" s="1">
        <v>0.10686096774840764</v>
      </c>
      <c r="Q5797" s="1">
        <v>5.917098591516833</v>
      </c>
      <c r="R5797" s="2">
        <f t="shared" si="363"/>
        <v>180.60120220970313</v>
      </c>
      <c r="S5797" s="2">
        <f t="shared" si="362"/>
        <v>2.6258274419100029</v>
      </c>
      <c r="T5797" s="2">
        <f t="shared" si="364"/>
        <v>5.0193383465051049</v>
      </c>
      <c r="U5797" s="2">
        <f t="shared" si="365"/>
        <v>188.24636799811822</v>
      </c>
    </row>
    <row r="5798" spans="1:21" x14ac:dyDescent="0.25">
      <c r="A5798">
        <v>6288321</v>
      </c>
      <c r="B5798">
        <v>6</v>
      </c>
      <c r="C5798" s="1">
        <f>1.75069163662665*(10.3/7.3)</f>
        <v>2.4701539530485674</v>
      </c>
      <c r="D5798" s="1">
        <f>3.39716750121884*(10.3/7.3)</f>
        <v>4.7932637345964428</v>
      </c>
      <c r="E5798" s="1">
        <f>11.6175969765459*(10.3/7.3)</f>
        <v>16.391951898414046</v>
      </c>
      <c r="F5798" s="1">
        <f>33.4207803468759*(38.9/42.5)</f>
        <v>30.589843658669981</v>
      </c>
      <c r="G5798" s="1">
        <v>1.7805595466031925</v>
      </c>
      <c r="H5798" s="1">
        <v>9.5879511483442315</v>
      </c>
      <c r="I5798" s="1">
        <v>24.243571324696493</v>
      </c>
      <c r="J5798" s="1">
        <v>2.7730750954674449E-2</v>
      </c>
      <c r="K5798" s="1">
        <v>1.943341737814734</v>
      </c>
      <c r="L5798" s="1">
        <v>2.1733278867246715</v>
      </c>
      <c r="M5798" s="1">
        <v>0.16339691386376551</v>
      </c>
      <c r="N5798" s="1">
        <v>1.3375305888320055</v>
      </c>
      <c r="O5798" s="1">
        <v>0.1306933333333333</v>
      </c>
      <c r="P5798" s="1">
        <v>8.8243319116977817E-2</v>
      </c>
      <c r="Q5798" s="1">
        <v>2.8456431110096712</v>
      </c>
      <c r="R5798" s="2">
        <f t="shared" si="363"/>
        <v>92.702938375382615</v>
      </c>
      <c r="S5798" s="2">
        <f t="shared" si="362"/>
        <v>2.0593158078863865</v>
      </c>
      <c r="T5798" s="2">
        <f t="shared" si="364"/>
        <v>3.8049487227537759</v>
      </c>
      <c r="U5798" s="2">
        <f t="shared" si="365"/>
        <v>98.567202906022786</v>
      </c>
    </row>
    <row r="5799" spans="1:21" x14ac:dyDescent="0.25">
      <c r="A5799">
        <v>6288329</v>
      </c>
      <c r="B5799">
        <v>2</v>
      </c>
      <c r="C5799" s="1">
        <f>1.73575569387304*(10.3/7.3)</f>
        <v>2.4490799516290886</v>
      </c>
      <c r="D5799" s="1">
        <f>3.40873103317885*(10.3/7.3)</f>
        <v>4.8095794029783727</v>
      </c>
      <c r="E5799" s="1">
        <f>11.6468669805482*(10.3/7.3)</f>
        <v>16.433250671184414</v>
      </c>
      <c r="F5799" s="1">
        <f>33.8223133928247*(38.9/42.5)</f>
        <v>30.957364493667775</v>
      </c>
      <c r="G5799" s="1">
        <v>1.8132845036212082</v>
      </c>
      <c r="H5799" s="1">
        <v>8.1407449286507934</v>
      </c>
      <c r="I5799" s="1">
        <v>24.539853467072135</v>
      </c>
      <c r="J5799" s="1">
        <v>2.7198936083769748E-2</v>
      </c>
      <c r="K5799" s="1">
        <v>1.9065727667941541</v>
      </c>
      <c r="L5799" s="1">
        <v>2.0747173301736885</v>
      </c>
      <c r="M5799" s="1">
        <v>0.16017405684687516</v>
      </c>
      <c r="N5799" s="1">
        <v>1.3292096823984645</v>
      </c>
      <c r="O5799" s="1">
        <v>0.1288</v>
      </c>
      <c r="P5799" s="1">
        <v>8.7014887560862481E-2</v>
      </c>
      <c r="Q5799" s="1">
        <v>2.897943270627505</v>
      </c>
      <c r="R5799" s="2">
        <f t="shared" si="363"/>
        <v>92.041100689431289</v>
      </c>
      <c r="S5799" s="2">
        <f t="shared" si="362"/>
        <v>2.0207865904387861</v>
      </c>
      <c r="T5799" s="2">
        <f t="shared" si="364"/>
        <v>3.6929010694190283</v>
      </c>
      <c r="U5799" s="2">
        <f t="shared" si="365"/>
        <v>97.7547883492891</v>
      </c>
    </row>
    <row r="5800" spans="1:21" x14ac:dyDescent="0.25">
      <c r="A5800">
        <v>6300021</v>
      </c>
      <c r="B5800">
        <v>64</v>
      </c>
      <c r="C5800" s="1">
        <f>0.543344704138465*(10.3/7.3)</f>
        <v>0.76663704830495805</v>
      </c>
      <c r="D5800" s="1">
        <f>1.05822623604957*(10.3/7.3)</f>
        <v>1.4931137303165167</v>
      </c>
      <c r="E5800" s="1">
        <f>3.58953898044208*(10.3/7.3)</f>
        <v>5.0646919861032105</v>
      </c>
      <c r="F5800" s="1">
        <f>11.8142433094162*(38.9/42.5)</f>
        <v>10.813507405559809</v>
      </c>
      <c r="G5800" s="1">
        <v>0.67548536023488359</v>
      </c>
      <c r="H5800" s="1">
        <v>2.2497530991862269</v>
      </c>
      <c r="I5800" s="1">
        <v>8.8143793909752297</v>
      </c>
      <c r="J5800" s="1">
        <v>2.8584739910853797E-2</v>
      </c>
      <c r="K5800" s="1">
        <v>3.3345469496459503</v>
      </c>
      <c r="L5800" s="1">
        <v>1.6465106396905886</v>
      </c>
      <c r="M5800" s="1">
        <v>0.4096281172766707</v>
      </c>
      <c r="N5800" s="1">
        <v>0.98343091771526148</v>
      </c>
      <c r="O5800" s="1">
        <v>0.3026875</v>
      </c>
      <c r="P5800" s="1">
        <v>0.11520138049229768</v>
      </c>
      <c r="Q5800" s="1">
        <v>1.0795428131607743</v>
      </c>
      <c r="R5800" s="2">
        <f t="shared" si="363"/>
        <v>30.957110833841607</v>
      </c>
      <c r="S5800" s="2">
        <f t="shared" si="362"/>
        <v>3.4783330700491017</v>
      </c>
      <c r="T5800" s="2">
        <f t="shared" si="364"/>
        <v>3.3422571746825209</v>
      </c>
      <c r="U5800" s="2">
        <f t="shared" si="365"/>
        <v>37.77770107857323</v>
      </c>
    </row>
    <row r="5801" spans="1:21" x14ac:dyDescent="0.25">
      <c r="A5801">
        <v>6300029</v>
      </c>
      <c r="B5801">
        <v>59</v>
      </c>
      <c r="C5801" s="1">
        <f>0.714035948897175*(10.3/7.3)</f>
        <v>1.0074753799508089</v>
      </c>
      <c r="D5801" s="1">
        <f>1.56000968267818*(10.3/7.3)</f>
        <v>2.201109552271947</v>
      </c>
      <c r="E5801" s="1">
        <f>5.24128666882884*(10.3/7.3)</f>
        <v>7.3952400943749392</v>
      </c>
      <c r="F5801" s="1">
        <f>18.9803248916066*(38.9/42.5)</f>
        <v>17.372579724317578</v>
      </c>
      <c r="G5801" s="1">
        <v>1.1382502026803163</v>
      </c>
      <c r="H5801" s="1">
        <v>4.4830247930810074</v>
      </c>
      <c r="I5801" s="1">
        <v>14.214306834626695</v>
      </c>
      <c r="J5801" s="1">
        <v>4.1785632226931504E-2</v>
      </c>
      <c r="K5801" s="1">
        <v>4.1367319509566656</v>
      </c>
      <c r="L5801" s="1">
        <v>2.2473000249448432</v>
      </c>
      <c r="M5801" s="1">
        <v>0.55153184896399088</v>
      </c>
      <c r="N5801" s="1">
        <v>1.3559201551341238</v>
      </c>
      <c r="O5801" s="1">
        <v>0.42804610169491542</v>
      </c>
      <c r="P5801" s="1">
        <v>0.13308320622980938</v>
      </c>
      <c r="Q5801" s="1">
        <v>1.8191213284845256</v>
      </c>
      <c r="R5801" s="2">
        <f t="shared" si="363"/>
        <v>49.631107909787822</v>
      </c>
      <c r="S5801" s="2">
        <f t="shared" si="362"/>
        <v>4.3116007894134061</v>
      </c>
      <c r="T5801" s="2">
        <f t="shared" si="364"/>
        <v>4.5827981307378733</v>
      </c>
      <c r="U5801" s="2">
        <f t="shared" si="365"/>
        <v>58.525506829939097</v>
      </c>
    </row>
    <row r="5802" spans="1:21" x14ac:dyDescent="0.25">
      <c r="A5802">
        <v>6300525</v>
      </c>
      <c r="B5802">
        <v>8</v>
      </c>
      <c r="C5802" s="1">
        <f>1.66476017931754*(10.3/7.3)</f>
        <v>2.3489081982151632</v>
      </c>
      <c r="D5802" s="1">
        <f>3.31532720606673*(10.3/7.3)</f>
        <v>4.6777904414366143</v>
      </c>
      <c r="E5802" s="1">
        <f>11.3109089288569*(10.3/7.3)</f>
        <v>15.959227666743343</v>
      </c>
      <c r="F5802" s="1">
        <f>33.4749357612575*(38.9/42.5)</f>
        <v>30.639411790892126</v>
      </c>
      <c r="G5802" s="1">
        <v>1.8155645211183655</v>
      </c>
      <c r="H5802" s="1">
        <v>5.6667780873257207</v>
      </c>
      <c r="I5802" s="1">
        <v>24.338818829448645</v>
      </c>
      <c r="J5802" s="1">
        <v>2.7086491184203466E-2</v>
      </c>
      <c r="K5802" s="1">
        <v>1.9595723460196648</v>
      </c>
      <c r="L5802" s="1">
        <v>2.2674715039708051</v>
      </c>
      <c r="M5802" s="1">
        <v>0.17715530704632013</v>
      </c>
      <c r="N5802" s="1">
        <v>1.5874744764094308</v>
      </c>
      <c r="O5802" s="1">
        <v>0.13747999999999999</v>
      </c>
      <c r="P5802" s="1">
        <v>9.0768065132010731E-2</v>
      </c>
      <c r="Q5802" s="1">
        <v>2.901587134207436</v>
      </c>
      <c r="R5802" s="2">
        <f t="shared" si="363"/>
        <v>88.348086669387413</v>
      </c>
      <c r="S5802" s="2">
        <f t="shared" si="362"/>
        <v>2.0774269023358789</v>
      </c>
      <c r="T5802" s="2">
        <f t="shared" si="364"/>
        <v>4.1695812874265563</v>
      </c>
      <c r="U5802" s="2">
        <f t="shared" si="365"/>
        <v>94.595094859149839</v>
      </c>
    </row>
    <row r="5803" spans="1:21" x14ac:dyDescent="0.25">
      <c r="A5803">
        <v>6300533</v>
      </c>
      <c r="B5803">
        <v>63</v>
      </c>
      <c r="C5803" s="1">
        <f>1.56920017563224*(10.3/7.3)</f>
        <v>2.2140769601386405</v>
      </c>
      <c r="D5803" s="1">
        <f>3.06512638014189*(10.3/7.3)</f>
        <v>4.3247673582823962</v>
      </c>
      <c r="E5803" s="1">
        <f>10.4789265800708*(10.3/7.3)</f>
        <v>14.785334763661551</v>
      </c>
      <c r="F5803" s="1">
        <f>30.202938824916*(38.9/42.5)</f>
        <v>27.644572242099567</v>
      </c>
      <c r="G5803" s="1">
        <v>1.6116722001191153</v>
      </c>
      <c r="H5803" s="1">
        <v>9.4076801995081425</v>
      </c>
      <c r="I5803" s="1">
        <v>21.895133219208134</v>
      </c>
      <c r="J5803" s="1">
        <v>2.7455952997064121E-2</v>
      </c>
      <c r="K5803" s="1">
        <v>1.9431864586436851</v>
      </c>
      <c r="L5803" s="1">
        <v>2.1610662004930332</v>
      </c>
      <c r="M5803" s="1">
        <v>0.17283717039355498</v>
      </c>
      <c r="N5803" s="1">
        <v>1.2695976892723422</v>
      </c>
      <c r="O5803" s="1">
        <v>0.13463111111111117</v>
      </c>
      <c r="P5803" s="1">
        <v>8.9447552227850863E-2</v>
      </c>
      <c r="Q5803" s="1">
        <v>2.5757318266743874</v>
      </c>
      <c r="R5803" s="2">
        <f t="shared" si="363"/>
        <v>84.458968769691936</v>
      </c>
      <c r="S5803" s="2">
        <f t="shared" si="362"/>
        <v>2.0600899638686001</v>
      </c>
      <c r="T5803" s="2">
        <f t="shared" si="364"/>
        <v>3.7381321712700419</v>
      </c>
      <c r="U5803" s="2">
        <f t="shared" si="365"/>
        <v>90.25719090483058</v>
      </c>
    </row>
    <row r="5804" spans="1:21" x14ac:dyDescent="0.25">
      <c r="A5804">
        <v>6300541</v>
      </c>
      <c r="B5804">
        <v>61</v>
      </c>
      <c r="C5804" s="1">
        <f>2.24547126592143*(10.3/7.3)</f>
        <v>3.1682676765740725</v>
      </c>
      <c r="D5804" s="1">
        <f>4.41332647581297*(10.3/7.3)</f>
        <v>6.2270222877909056</v>
      </c>
      <c r="E5804" s="1">
        <f>15.0803624693681*(10.3/7.3)</f>
        <v>21.277771703355057</v>
      </c>
      <c r="F5804" s="1">
        <f>43.7223337598547*(38.9/42.5)</f>
        <v>40.018794900196383</v>
      </c>
      <c r="G5804" s="1">
        <v>2.3420199016118337</v>
      </c>
      <c r="H5804" s="1">
        <v>8.0383478725381625</v>
      </c>
      <c r="I5804" s="1">
        <v>31.706792254767375</v>
      </c>
      <c r="J5804" s="1">
        <v>3.312119643593462E-2</v>
      </c>
      <c r="K5804" s="1">
        <v>2.1425703460767886</v>
      </c>
      <c r="L5804" s="1">
        <v>2.4431052227250647</v>
      </c>
      <c r="M5804" s="1">
        <v>0.18714625084664907</v>
      </c>
      <c r="N5804" s="1">
        <v>1.3958619529619434</v>
      </c>
      <c r="O5804" s="1">
        <v>0.15113879781420766</v>
      </c>
      <c r="P5804" s="1">
        <v>9.6358267095379507E-2</v>
      </c>
      <c r="Q5804" s="1">
        <v>3.7429541806581854</v>
      </c>
      <c r="R5804" s="2">
        <f t="shared" si="363"/>
        <v>116.52197077749199</v>
      </c>
      <c r="S5804" s="2">
        <f t="shared" si="362"/>
        <v>2.2720498096081028</v>
      </c>
      <c r="T5804" s="2">
        <f t="shared" si="364"/>
        <v>4.1772522243478649</v>
      </c>
      <c r="U5804" s="2">
        <f t="shared" si="365"/>
        <v>122.97127281144796</v>
      </c>
    </row>
    <row r="5805" spans="1:21" x14ac:dyDescent="0.25">
      <c r="A5805">
        <v>6300549</v>
      </c>
      <c r="B5805">
        <v>15</v>
      </c>
      <c r="C5805" s="1">
        <f>2.56306088209398*(10.3/7.3)</f>
        <v>3.616373573365474</v>
      </c>
      <c r="D5805" s="1">
        <f>5.05068517926408*(10.3/7.3)</f>
        <v>7.1263092255369962</v>
      </c>
      <c r="E5805" s="1">
        <f>17.2561084351134*(10.3/7.3)</f>
        <v>24.3476598468039</v>
      </c>
      <c r="F5805" s="1">
        <f>50.0716055179876*(38.9/42.5)</f>
        <v>45.83024599175809</v>
      </c>
      <c r="G5805" s="1">
        <v>2.6838756552414735</v>
      </c>
      <c r="H5805" s="1">
        <v>10.408016011248273</v>
      </c>
      <c r="I5805" s="1">
        <v>36.302674587548189</v>
      </c>
      <c r="J5805" s="1">
        <v>3.7806379716314703E-2</v>
      </c>
      <c r="K5805" s="1">
        <v>2.3792049649671254</v>
      </c>
      <c r="L5805" s="1">
        <v>2.9893670744828942</v>
      </c>
      <c r="M5805" s="1">
        <v>0.2015811216382502</v>
      </c>
      <c r="N5805" s="1">
        <v>1.6425831996592444</v>
      </c>
      <c r="O5805" s="1">
        <v>0.16472177777777777</v>
      </c>
      <c r="P5805" s="1">
        <v>0.10288327925457268</v>
      </c>
      <c r="Q5805" s="1">
        <v>4.2892989923950546</v>
      </c>
      <c r="R5805" s="2">
        <f t="shared" si="363"/>
        <v>134.60445388389746</v>
      </c>
      <c r="S5805" s="2">
        <f t="shared" si="362"/>
        <v>2.5198946239380127</v>
      </c>
      <c r="T5805" s="2">
        <f t="shared" si="364"/>
        <v>4.9982531735581661</v>
      </c>
      <c r="U5805" s="2">
        <f t="shared" si="365"/>
        <v>142.12260168139363</v>
      </c>
    </row>
    <row r="5806" spans="1:21" x14ac:dyDescent="0.25">
      <c r="A5806">
        <v>6300557</v>
      </c>
      <c r="B5806">
        <v>11</v>
      </c>
      <c r="C5806" s="1">
        <f>1.75958078558668*(10.3/7.3)</f>
        <v>2.4826961769236759</v>
      </c>
      <c r="D5806" s="1">
        <f>3.42702970039775*(10.3/7.3)</f>
        <v>4.8353980704242172</v>
      </c>
      <c r="E5806" s="1">
        <f>11.7170615657431*(10.3/7.3)</f>
        <v>16.532292346185514</v>
      </c>
      <c r="F5806" s="1">
        <f>33.7779804080499*(38.9/42.5)</f>
        <v>30.91678677348569</v>
      </c>
      <c r="G5806" s="1">
        <v>1.8022623869504606</v>
      </c>
      <c r="H5806" s="1">
        <v>7.858123647203362</v>
      </c>
      <c r="I5806" s="1">
        <v>24.499619613797282</v>
      </c>
      <c r="J5806" s="1">
        <v>2.7786812677042548E-2</v>
      </c>
      <c r="K5806" s="1">
        <v>1.9473323334681978</v>
      </c>
      <c r="L5806" s="1">
        <v>2.1587600174081967</v>
      </c>
      <c r="M5806" s="1">
        <v>0.16442529363121616</v>
      </c>
      <c r="N5806" s="1">
        <v>1.3468247821044688</v>
      </c>
      <c r="O5806" s="1">
        <v>0.13146181818181815</v>
      </c>
      <c r="P5806" s="1">
        <v>8.8572921828063256E-2</v>
      </c>
      <c r="Q5806" s="1">
        <v>2.8803280156742557</v>
      </c>
      <c r="R5806" s="2">
        <f t="shared" si="363"/>
        <v>91.807507030644445</v>
      </c>
      <c r="S5806" s="2">
        <f t="shared" si="362"/>
        <v>2.0636920679733035</v>
      </c>
      <c r="T5806" s="2">
        <f t="shared" si="364"/>
        <v>3.8014719113256996</v>
      </c>
      <c r="U5806" s="2">
        <f t="shared" si="365"/>
        <v>97.672671009943457</v>
      </c>
    </row>
    <row r="5807" spans="1:21" x14ac:dyDescent="0.25">
      <c r="A5807">
        <v>6312249</v>
      </c>
      <c r="B5807">
        <v>22</v>
      </c>
      <c r="C5807" s="1">
        <f>0.424729330645519*(10.3/7.3)</f>
        <v>0.59927563091080049</v>
      </c>
      <c r="D5807" s="1">
        <f>0.765198742515919*(10.3/7.3)</f>
        <v>1.0796639791662965</v>
      </c>
      <c r="E5807" s="1">
        <f>2.61414626658734*(10.3/7.3)</f>
        <v>3.6884529514862452</v>
      </c>
      <c r="F5807" s="1">
        <f>7.96327670950716*(38.9/42.5)</f>
        <v>7.2887403294077338</v>
      </c>
      <c r="G5807" s="1">
        <v>0.43568573923210602</v>
      </c>
      <c r="H5807" s="1">
        <v>1.6020397263419843</v>
      </c>
      <c r="I5807" s="1">
        <v>5.9206078996186369</v>
      </c>
      <c r="J5807" s="1">
        <v>2.4602866875944329E-2</v>
      </c>
      <c r="K5807" s="1">
        <v>2.9025228971758561</v>
      </c>
      <c r="L5807" s="1">
        <v>1.4492017048180663</v>
      </c>
      <c r="M5807" s="1">
        <v>0.3512139838818043</v>
      </c>
      <c r="N5807" s="1">
        <v>0.86644368220269463</v>
      </c>
      <c r="O5807" s="1">
        <v>0.25408969696969697</v>
      </c>
      <c r="P5807" s="1">
        <v>0.10453349356303333</v>
      </c>
      <c r="Q5807" s="1">
        <v>0.69630140973167698</v>
      </c>
      <c r="R5807" s="2">
        <f t="shared" si="363"/>
        <v>21.310767665895483</v>
      </c>
      <c r="S5807" s="2">
        <f t="shared" si="362"/>
        <v>3.0316592576148338</v>
      </c>
      <c r="T5807" s="2">
        <f t="shared" si="364"/>
        <v>2.9209490678722623</v>
      </c>
      <c r="U5807" s="2">
        <f t="shared" si="365"/>
        <v>27.263375991382578</v>
      </c>
    </row>
    <row r="5808" spans="1:21" x14ac:dyDescent="0.25">
      <c r="A5808">
        <v>6312257</v>
      </c>
      <c r="B5808">
        <v>68</v>
      </c>
      <c r="C5808" s="1">
        <f>0.627620028971662*(10.3/7.3)</f>
        <v>0.88554606827508464</v>
      </c>
      <c r="D5808" s="1">
        <f>1.30266935779239*(10.3/7.3)</f>
        <v>1.8380129294878982</v>
      </c>
      <c r="E5808" s="1">
        <f>4.39591053498283*(10.3/7.3)</f>
        <v>6.2024491110031672</v>
      </c>
      <c r="F5808" s="1">
        <f>15.2328836150828*(38.9/42.5)</f>
        <v>13.942568767687577</v>
      </c>
      <c r="G5808" s="1">
        <v>0.89460155041212386</v>
      </c>
      <c r="H5808" s="1">
        <v>2.8252728990993501</v>
      </c>
      <c r="I5808" s="1">
        <v>11.38215606411689</v>
      </c>
      <c r="J5808" s="1">
        <v>3.3595066547334407E-2</v>
      </c>
      <c r="K5808" s="1">
        <v>3.654660013514305</v>
      </c>
      <c r="L5808" s="1">
        <v>1.9032161639956746</v>
      </c>
      <c r="M5808" s="1">
        <v>0.46699075042992916</v>
      </c>
      <c r="N5808" s="1">
        <v>1.1128877445903269</v>
      </c>
      <c r="O5808" s="1">
        <v>0.35408000000000017</v>
      </c>
      <c r="P5808" s="1">
        <v>0.12274320207865269</v>
      </c>
      <c r="Q5808" s="1">
        <v>1.4297285052248569</v>
      </c>
      <c r="R5808" s="2">
        <f t="shared" si="363"/>
        <v>39.400335895306952</v>
      </c>
      <c r="S5808" s="2">
        <f t="shared" si="362"/>
        <v>3.8109982821402921</v>
      </c>
      <c r="T5808" s="2">
        <f t="shared" si="364"/>
        <v>3.8371746590159308</v>
      </c>
      <c r="U5808" s="2">
        <f t="shared" si="365"/>
        <v>47.048508836463171</v>
      </c>
    </row>
    <row r="5809" spans="1:21" x14ac:dyDescent="0.25">
      <c r="A5809">
        <v>6312753</v>
      </c>
      <c r="B5809">
        <v>6</v>
      </c>
      <c r="C5809" s="1">
        <f>1.61274990755108*(10.3/7.3)</f>
        <v>2.2755238421611099</v>
      </c>
      <c r="D5809" s="1">
        <f>3.24462627773348*(10.3/7.3)</f>
        <v>4.5780343370760033</v>
      </c>
      <c r="E5809" s="1">
        <f>11.0657454973272*(10.3/7.3)</f>
        <v>15.613312140064354</v>
      </c>
      <c r="F5809" s="1">
        <f>32.7865457636189*(38.9/42.5)</f>
        <v>30.009332475406445</v>
      </c>
      <c r="G5809" s="1">
        <v>1.7805595466031925</v>
      </c>
      <c r="H5809" s="1">
        <v>5.1315637174893851</v>
      </c>
      <c r="I5809" s="1">
        <v>23.806453345498667</v>
      </c>
      <c r="J5809" s="1">
        <v>2.6330493714792392E-2</v>
      </c>
      <c r="K5809" s="1">
        <v>1.916301419691014</v>
      </c>
      <c r="L5809" s="1">
        <v>2.1540923859880645</v>
      </c>
      <c r="M5809" s="1">
        <v>0.17433234815114396</v>
      </c>
      <c r="N5809" s="1">
        <v>1.2610741787607018</v>
      </c>
      <c r="O5809" s="1">
        <v>0.13546666666666665</v>
      </c>
      <c r="P5809" s="1">
        <v>8.9094370399232528E-2</v>
      </c>
      <c r="Q5809" s="1">
        <v>2.8456431110096712</v>
      </c>
      <c r="R5809" s="2">
        <f t="shared" si="363"/>
        <v>86.040422515308833</v>
      </c>
      <c r="S5809" s="2">
        <f t="shared" si="362"/>
        <v>2.0317262838050389</v>
      </c>
      <c r="T5809" s="2">
        <f t="shared" si="364"/>
        <v>3.724965579566577</v>
      </c>
      <c r="U5809" s="2">
        <f t="shared" si="365"/>
        <v>91.797114378680448</v>
      </c>
    </row>
    <row r="5810" spans="1:21" x14ac:dyDescent="0.25">
      <c r="A5810">
        <v>6312761</v>
      </c>
      <c r="B5810">
        <v>26</v>
      </c>
      <c r="C5810" s="1">
        <f>1.63167898098275*(10.3/7.3)</f>
        <v>2.302231986866071</v>
      </c>
      <c r="D5810" s="1">
        <f>3.25936432717137*(10.3/7.3)</f>
        <v>4.5988291191596007</v>
      </c>
      <c r="E5810" s="1">
        <f>11.120033242326*(10.3/7.3)</f>
        <v>15.689909917254484</v>
      </c>
      <c r="F5810" s="1">
        <f>32.8571944443707*(38.9/42.5)</f>
        <v>30.073996797318141</v>
      </c>
      <c r="G5810" s="1">
        <v>1.7808484175983077</v>
      </c>
      <c r="H5810" s="1">
        <v>9.6779143619416015</v>
      </c>
      <c r="I5810" s="1">
        <v>23.869470067940277</v>
      </c>
      <c r="J5810" s="1">
        <v>2.7860223069317784E-2</v>
      </c>
      <c r="K5810" s="1">
        <v>1.9831872823479058</v>
      </c>
      <c r="L5810" s="1">
        <v>2.2097523797561931</v>
      </c>
      <c r="M5810" s="1">
        <v>0.17833368297310501</v>
      </c>
      <c r="N5810" s="1">
        <v>1.2869469186735019</v>
      </c>
      <c r="O5810" s="1">
        <v>0.13913641025641027</v>
      </c>
      <c r="P5810" s="1">
        <v>9.1292936250794585E-2</v>
      </c>
      <c r="Q5810" s="1">
        <v>2.8461047769835996</v>
      </c>
      <c r="R5810" s="2">
        <f t="shared" si="363"/>
        <v>90.839305445062081</v>
      </c>
      <c r="S5810" s="2">
        <f t="shared" si="362"/>
        <v>2.102340441668018</v>
      </c>
      <c r="T5810" s="2">
        <f t="shared" si="364"/>
        <v>3.8141693916592101</v>
      </c>
      <c r="U5810" s="2">
        <f t="shared" si="365"/>
        <v>96.755815278389306</v>
      </c>
    </row>
    <row r="5811" spans="1:21" x14ac:dyDescent="0.25">
      <c r="A5811">
        <v>6312769</v>
      </c>
      <c r="B5811">
        <v>62</v>
      </c>
      <c r="C5811" s="1">
        <f>1.80737113035359*(10.3/7.3)</f>
        <v>2.5501263894030051</v>
      </c>
      <c r="D5811" s="1">
        <f>3.52971474759629*(10.3/7.3)</f>
        <v>4.9802824520879208</v>
      </c>
      <c r="E5811" s="1">
        <f>12.0698015679221*(10.3/7.3)</f>
        <v>17.029993993095516</v>
      </c>
      <c r="F5811" s="1">
        <f>34.6600559189283*(38.9/42.5)</f>
        <v>31.724145299913172</v>
      </c>
      <c r="G5811" s="1">
        <v>1.8455422084766193</v>
      </c>
      <c r="H5811" s="1">
        <v>8.4425208808698891</v>
      </c>
      <c r="I5811" s="1">
        <v>25.105498634971454</v>
      </c>
      <c r="J5811" s="1">
        <v>2.8705273417582264E-2</v>
      </c>
      <c r="K5811" s="1">
        <v>2.0135438691807725</v>
      </c>
      <c r="L5811" s="1">
        <v>2.2252932158264138</v>
      </c>
      <c r="M5811" s="1">
        <v>0.17876218258153967</v>
      </c>
      <c r="N5811" s="1">
        <v>1.3024191798167137</v>
      </c>
      <c r="O5811" s="1">
        <v>0.14074752688172043</v>
      </c>
      <c r="P5811" s="1">
        <v>9.2024468095135287E-2</v>
      </c>
      <c r="Q5811" s="1">
        <v>2.9494966802137781</v>
      </c>
      <c r="R5811" s="2">
        <f t="shared" si="363"/>
        <v>94.627606539031362</v>
      </c>
      <c r="S5811" s="2">
        <f t="shared" si="362"/>
        <v>2.1342736106934903</v>
      </c>
      <c r="T5811" s="2">
        <f t="shared" si="364"/>
        <v>3.847222105106388</v>
      </c>
      <c r="U5811" s="2">
        <f t="shared" si="365"/>
        <v>100.60910225483123</v>
      </c>
    </row>
    <row r="5812" spans="1:21" x14ac:dyDescent="0.25">
      <c r="A5812">
        <v>6312777</v>
      </c>
      <c r="B5812">
        <v>56</v>
      </c>
      <c r="C5812" s="1">
        <f>2.91080898442182*(10.3/7.3)</f>
        <v>4.1070318547321509</v>
      </c>
      <c r="D5812" s="1">
        <f>5.71886910358818*(10.3/7.3)</f>
        <v>8.0690892831449634</v>
      </c>
      <c r="E5812" s="1">
        <f>19.5469941858814*(10.3/7.3)</f>
        <v>27.580005495147685</v>
      </c>
      <c r="F5812" s="1">
        <f>56.3964183143667*(38.9/42.5)</f>
        <v>51.619309939502713</v>
      </c>
      <c r="G5812" s="1">
        <v>3.0124012688276052</v>
      </c>
      <c r="H5812" s="1">
        <v>9.0418797326762625</v>
      </c>
      <c r="I5812" s="1">
        <v>40.854158459728261</v>
      </c>
      <c r="J5812" s="1">
        <v>3.8072448797624482E-2</v>
      </c>
      <c r="K5812" s="1">
        <v>2.4434497042775196</v>
      </c>
      <c r="L5812" s="1">
        <v>2.9213119679084687</v>
      </c>
      <c r="M5812" s="1">
        <v>0.21324810925552026</v>
      </c>
      <c r="N5812" s="1">
        <v>1.6067808407506681</v>
      </c>
      <c r="O5812" s="1">
        <v>0.17443047619047619</v>
      </c>
      <c r="P5812" s="1">
        <v>0.10733070824521908</v>
      </c>
      <c r="Q5812" s="1">
        <v>4.8143399273500576</v>
      </c>
      <c r="R5812" s="2">
        <f t="shared" si="363"/>
        <v>149.0982159611097</v>
      </c>
      <c r="S5812" s="2">
        <f t="shared" si="362"/>
        <v>2.5888528613203632</v>
      </c>
      <c r="T5812" s="2">
        <f t="shared" si="364"/>
        <v>4.9157713941051338</v>
      </c>
      <c r="U5812" s="2">
        <f t="shared" si="365"/>
        <v>156.60284021653518</v>
      </c>
    </row>
    <row r="5813" spans="1:21" x14ac:dyDescent="0.25">
      <c r="A5813">
        <v>6312785</v>
      </c>
      <c r="B5813">
        <v>7</v>
      </c>
      <c r="C5813" s="1">
        <f>1.96255442840979*(10.3/7.3)</f>
        <v>2.7690836455644963</v>
      </c>
      <c r="D5813" s="1">
        <f>3.88761782552244*(10.3/7.3)</f>
        <v>5.4852689866960525</v>
      </c>
      <c r="E5813" s="1">
        <f>13.2709754024502*(10.3/7.3)</f>
        <v>18.724800910306509</v>
      </c>
      <c r="F5813" s="1">
        <f>38.9907810622617*(38.9/42.5)</f>
        <v>35.68803254875246</v>
      </c>
      <c r="G5813" s="1">
        <v>2.1054333002316921</v>
      </c>
      <c r="H5813" s="1">
        <v>9.3934440731138107</v>
      </c>
      <c r="I5813" s="1">
        <v>28.326109189827815</v>
      </c>
      <c r="J5813" s="1">
        <v>2.7888759780300396E-2</v>
      </c>
      <c r="K5813" s="1">
        <v>1.9824072317521573</v>
      </c>
      <c r="L5813" s="1">
        <v>2.6682826166115095</v>
      </c>
      <c r="M5813" s="1">
        <v>0.16697022705298831</v>
      </c>
      <c r="N5813" s="1">
        <v>1.5789642608020797</v>
      </c>
      <c r="O5813" s="1">
        <v>0.13401142857142859</v>
      </c>
      <c r="P5813" s="1">
        <v>8.8987917970832678E-2</v>
      </c>
      <c r="Q5813" s="1">
        <v>3.3648477400963155</v>
      </c>
      <c r="R5813" s="2">
        <f t="shared" si="363"/>
        <v>105.85702039458916</v>
      </c>
      <c r="S5813" s="2">
        <f t="shared" si="362"/>
        <v>2.0992839095032902</v>
      </c>
      <c r="T5813" s="2">
        <f t="shared" si="364"/>
        <v>4.5482285330380057</v>
      </c>
      <c r="U5813" s="2">
        <f t="shared" si="365"/>
        <v>112.50453283713044</v>
      </c>
    </row>
    <row r="5814" spans="1:21" x14ac:dyDescent="0.25">
      <c r="A5814">
        <v>6312793</v>
      </c>
      <c r="B5814">
        <v>3</v>
      </c>
      <c r="C5814" s="1">
        <f>1.72181548063634*(10.3/7.3)</f>
        <v>2.4294108836375741</v>
      </c>
      <c r="D5814" s="1">
        <f>3.42569675145168*(10.3/7.3)</f>
        <v>4.8335173342400477</v>
      </c>
      <c r="E5814" s="1">
        <f>11.6884785923291*(10.3/7.3)</f>
        <v>16.491962945341079</v>
      </c>
      <c r="F5814" s="1">
        <f>34.5562640939005*(38.9/42.5)</f>
        <v>31.629145253005362</v>
      </c>
      <c r="G5814" s="1">
        <v>1.8730120208016308</v>
      </c>
      <c r="H5814" s="1">
        <v>7.6094494924848064</v>
      </c>
      <c r="I5814" s="1">
        <v>25.122817818240605</v>
      </c>
      <c r="J5814" s="1">
        <v>2.7377150641572923E-2</v>
      </c>
      <c r="K5814" s="1">
        <v>1.9194904940388977</v>
      </c>
      <c r="L5814" s="1">
        <v>2.1037137804703101</v>
      </c>
      <c r="M5814" s="1">
        <v>0.1615357306894486</v>
      </c>
      <c r="N5814" s="1">
        <v>1.3331107373173536</v>
      </c>
      <c r="O5814" s="1">
        <v>0.12944</v>
      </c>
      <c r="P5814" s="1">
        <v>8.748469611885272E-2</v>
      </c>
      <c r="Q5814" s="1">
        <v>2.9933982067606002</v>
      </c>
      <c r="R5814" s="2">
        <f t="shared" si="363"/>
        <v>92.982713954511709</v>
      </c>
      <c r="S5814" s="2">
        <f t="shared" si="362"/>
        <v>2.0343523407993236</v>
      </c>
      <c r="T5814" s="2">
        <f t="shared" si="364"/>
        <v>3.727800248477112</v>
      </c>
      <c r="U5814" s="2">
        <f t="shared" si="365"/>
        <v>98.744866543788149</v>
      </c>
    </row>
    <row r="5815" spans="1:21" x14ac:dyDescent="0.25">
      <c r="A5815">
        <v>6324485</v>
      </c>
      <c r="B5815">
        <v>49</v>
      </c>
      <c r="C5815" s="1">
        <f>0.571215478131863*(10.3/7.3)</f>
        <v>0.80596156503536798</v>
      </c>
      <c r="D5815" s="1">
        <f>1.10577392261579*(10.3/7.3)</f>
        <v>1.5602015620469298</v>
      </c>
      <c r="E5815" s="1">
        <f>3.75672345529427*(10.3/7.3)</f>
        <v>5.3005824095247904</v>
      </c>
      <c r="F5815" s="1">
        <f>12.0938277323921*(38.9/42.5)</f>
        <v>11.069409383295334</v>
      </c>
      <c r="G5815" s="1">
        <v>0.68391985113275444</v>
      </c>
      <c r="H5815" s="1">
        <v>2.3632883851598274</v>
      </c>
      <c r="I5815" s="1">
        <v>8.9912601165003689</v>
      </c>
      <c r="J5815" s="1">
        <v>3.0140775227447764E-2</v>
      </c>
      <c r="K5815" s="1">
        <v>3.3753874995275224</v>
      </c>
      <c r="L5815" s="1">
        <v>1.737501365520574</v>
      </c>
      <c r="M5815" s="1">
        <v>0.42150405322841061</v>
      </c>
      <c r="N5815" s="1">
        <v>1.0206744801151102</v>
      </c>
      <c r="O5815" s="1">
        <v>0.32108734693877544</v>
      </c>
      <c r="P5815" s="1">
        <v>0.11789971314898907</v>
      </c>
      <c r="Q5815" s="1">
        <v>1.0930225931345399</v>
      </c>
      <c r="R5815" s="2">
        <f t="shared" si="363"/>
        <v>31.86764586582991</v>
      </c>
      <c r="S5815" s="2">
        <f t="shared" si="362"/>
        <v>3.5234279879039594</v>
      </c>
      <c r="T5815" s="2">
        <f t="shared" si="364"/>
        <v>3.5007672458028698</v>
      </c>
      <c r="U5815" s="2">
        <f t="shared" si="365"/>
        <v>38.891841099536741</v>
      </c>
    </row>
    <row r="5816" spans="1:21" x14ac:dyDescent="0.25">
      <c r="A5816">
        <v>6324493</v>
      </c>
      <c r="B5816">
        <v>55</v>
      </c>
      <c r="C5816" s="1">
        <f>0.796627063541232*(10.3/7.3)</f>
        <v>1.1240080485581772</v>
      </c>
      <c r="D5816" s="1">
        <f>1.7852567161105*(10.3/7.3)</f>
        <v>2.5189238597175492</v>
      </c>
      <c r="E5816" s="1">
        <f>5.99102907716199*(10.3/7.3)</f>
        <v>8.4530958212011598</v>
      </c>
      <c r="F5816" s="1">
        <f>21.8556238287096*(38.9/42.5)</f>
        <v>20.004323927924748</v>
      </c>
      <c r="G5816" s="1">
        <v>1.3160758451952324</v>
      </c>
      <c r="H5816" s="1">
        <v>4.2455487993900292</v>
      </c>
      <c r="I5816" s="1">
        <v>16.343195731604943</v>
      </c>
      <c r="J5816" s="1">
        <v>4.3216953118109865E-2</v>
      </c>
      <c r="K5816" s="1">
        <v>4.1769709727774105</v>
      </c>
      <c r="L5816" s="1">
        <v>2.3932082499134739</v>
      </c>
      <c r="M5816" s="1">
        <v>0.58011467405950701</v>
      </c>
      <c r="N5816" s="1">
        <v>1.3901211980545747</v>
      </c>
      <c r="O5816" s="1">
        <v>0.44173187878787884</v>
      </c>
      <c r="P5816" s="1">
        <v>0.13692755891923433</v>
      </c>
      <c r="Q5816" s="1">
        <v>2.1033175608143004</v>
      </c>
      <c r="R5816" s="2">
        <f t="shared" si="363"/>
        <v>56.108489594406137</v>
      </c>
      <c r="S5816" s="2">
        <f t="shared" si="362"/>
        <v>4.3571154848147549</v>
      </c>
      <c r="T5816" s="2">
        <f t="shared" si="364"/>
        <v>4.8051760008154343</v>
      </c>
      <c r="U5816" s="2">
        <f t="shared" si="365"/>
        <v>65.270781080036329</v>
      </c>
    </row>
    <row r="5817" spans="1:21" x14ac:dyDescent="0.25">
      <c r="A5817">
        <v>6324997</v>
      </c>
      <c r="B5817">
        <v>55</v>
      </c>
      <c r="C5817" s="1">
        <f>2.24797344070866*(10.3/7.3)</f>
        <v>3.1717981423697479</v>
      </c>
      <c r="D5817" s="1">
        <f>4.49145326419996*(10.3/7.3)</f>
        <v>6.3372559755150144</v>
      </c>
      <c r="E5817" s="1">
        <f>15.331754480973*(10.3/7.3)</f>
        <v>21.63247550055101</v>
      </c>
      <c r="F5817" s="1">
        <f>44.8760910493931*(38.9/42.5)</f>
        <v>41.074822160503359</v>
      </c>
      <c r="G5817" s="1">
        <v>2.4195594450256186</v>
      </c>
      <c r="H5817" s="1">
        <v>10.096923931161966</v>
      </c>
      <c r="I5817" s="1">
        <v>32.528886501330412</v>
      </c>
      <c r="J5817" s="1">
        <v>3.1371934106095963E-2</v>
      </c>
      <c r="K5817" s="1">
        <v>2.1916447769205893</v>
      </c>
      <c r="L5817" s="1">
        <v>2.4940702065434843</v>
      </c>
      <c r="M5817" s="1">
        <v>0.19731342404959404</v>
      </c>
      <c r="N5817" s="1">
        <v>1.3965222082490794</v>
      </c>
      <c r="O5817" s="1">
        <v>0.15706472727272727</v>
      </c>
      <c r="P5817" s="1">
        <v>9.9305374588191192E-2</v>
      </c>
      <c r="Q5817" s="1">
        <v>3.8668758253834117</v>
      </c>
      <c r="R5817" s="2">
        <f t="shared" si="363"/>
        <v>121.12859748184054</v>
      </c>
      <c r="S5817" s="2">
        <f t="shared" si="362"/>
        <v>2.3223220856148767</v>
      </c>
      <c r="T5817" s="2">
        <f t="shared" si="364"/>
        <v>4.2449705661148851</v>
      </c>
      <c r="U5817" s="2">
        <f t="shared" si="365"/>
        <v>127.6958901335703</v>
      </c>
    </row>
    <row r="5818" spans="1:21" x14ac:dyDescent="0.25">
      <c r="A5818">
        <v>6325005</v>
      </c>
      <c r="B5818">
        <v>60</v>
      </c>
      <c r="C5818" s="1">
        <f>2.1905584698189*(10.3/7.3)</f>
        <v>3.0907879779636591</v>
      </c>
      <c r="D5818" s="1">
        <f>4.29008216390977*(10.3/7.3)</f>
        <v>6.0531296285302219</v>
      </c>
      <c r="E5818" s="1">
        <f>14.6691657376802*(10.3/7.3)</f>
        <v>20.697590013439221</v>
      </c>
      <c r="F5818" s="1">
        <f>42.0984698159362*(38.9/42.5)</f>
        <v>38.532481784468644</v>
      </c>
      <c r="G5818" s="1">
        <v>2.2412661409502652</v>
      </c>
      <c r="H5818" s="1">
        <v>7.8207360020833745</v>
      </c>
      <c r="I5818" s="1">
        <v>30.474866824031107</v>
      </c>
      <c r="J5818" s="1">
        <v>3.1374814341373576E-2</v>
      </c>
      <c r="K5818" s="1">
        <v>2.167722581351208</v>
      </c>
      <c r="L5818" s="1">
        <v>2.4393478145888188</v>
      </c>
      <c r="M5818" s="1">
        <v>0.19231270475783988</v>
      </c>
      <c r="N5818" s="1">
        <v>1.4017086755899149</v>
      </c>
      <c r="O5818" s="1">
        <v>0.15372622222222229</v>
      </c>
      <c r="P5818" s="1">
        <v>9.7778624655159074E-2</v>
      </c>
      <c r="Q5818" s="1">
        <v>3.5819321887333047</v>
      </c>
      <c r="R5818" s="2">
        <f t="shared" si="363"/>
        <v>112.49279056019981</v>
      </c>
      <c r="S5818" s="2">
        <f t="shared" si="362"/>
        <v>2.2968760203477405</v>
      </c>
      <c r="T5818" s="2">
        <f t="shared" si="364"/>
        <v>4.1870954171587966</v>
      </c>
      <c r="U5818" s="2">
        <f t="shared" si="365"/>
        <v>118.97676199770635</v>
      </c>
    </row>
    <row r="5819" spans="1:21" x14ac:dyDescent="0.25">
      <c r="A5819">
        <v>6325013</v>
      </c>
      <c r="B5819">
        <v>55</v>
      </c>
      <c r="C5819" s="1">
        <f>3.06657897031399*(10.3/7.3)</f>
        <v>4.326816903319739</v>
      </c>
      <c r="D5819" s="1">
        <f>6.06648111205862*(10.3/7.3)</f>
        <v>8.5595555416717559</v>
      </c>
      <c r="E5819" s="1">
        <f>20.7250842199707*(10.3/7.3)</f>
        <v>29.242242118588859</v>
      </c>
      <c r="F5819" s="1">
        <f>60.0982007665713*(38.9/42.5)</f>
        <v>55.007529642814632</v>
      </c>
      <c r="G5819" s="1">
        <v>3.2209941301011047</v>
      </c>
      <c r="H5819" s="1">
        <v>10.392279202275908</v>
      </c>
      <c r="I5819" s="1">
        <v>43.537996725938171</v>
      </c>
      <c r="J5819" s="1">
        <v>3.8155813974818244E-2</v>
      </c>
      <c r="K5819" s="1">
        <v>2.5273084334778684</v>
      </c>
      <c r="L5819" s="1">
        <v>3.1256855595470983</v>
      </c>
      <c r="M5819" s="1">
        <v>0.21759496389471547</v>
      </c>
      <c r="N5819" s="1">
        <v>1.6917047983530642</v>
      </c>
      <c r="O5819" s="1">
        <v>0.1794763636363636</v>
      </c>
      <c r="P5819" s="1">
        <v>0.11074044061460821</v>
      </c>
      <c r="Q5819" s="1">
        <v>5.1477075138602197</v>
      </c>
      <c r="R5819" s="2">
        <f t="shared" si="363"/>
        <v>159.43512177857039</v>
      </c>
      <c r="S5819" s="2">
        <f t="shared" si="362"/>
        <v>2.6762046880672949</v>
      </c>
      <c r="T5819" s="2">
        <f t="shared" si="364"/>
        <v>5.2144616854312416</v>
      </c>
      <c r="U5819" s="2">
        <f t="shared" si="365"/>
        <v>167.32578815206892</v>
      </c>
    </row>
    <row r="5820" spans="1:21" x14ac:dyDescent="0.25">
      <c r="A5820">
        <v>6336713</v>
      </c>
      <c r="B5820">
        <v>2</v>
      </c>
      <c r="C5820" s="1">
        <f>0.375091309019031*(10.3/7.3)</f>
        <v>0.52923842231452356</v>
      </c>
      <c r="D5820" s="1">
        <f>0.6651606579024*(10.3/7.3)</f>
        <v>0.93851435293078378</v>
      </c>
      <c r="E5820" s="1">
        <f>2.27575168469012*(10.3/7.3)</f>
        <v>3.2109921030559243</v>
      </c>
      <c r="F5820" s="1">
        <f>6.81833979663053*(38.9/42.5)</f>
        <v>6.240786307974763</v>
      </c>
      <c r="G5820" s="1">
        <v>0.36925553959836621</v>
      </c>
      <c r="H5820" s="1">
        <v>1.4350015405486354</v>
      </c>
      <c r="I5820" s="1">
        <v>5.065794879669907</v>
      </c>
      <c r="J5820" s="1">
        <v>2.2943002715279725E-2</v>
      </c>
      <c r="K5820" s="1">
        <v>2.6478641041346735</v>
      </c>
      <c r="L5820" s="1">
        <v>1.3590042645831057</v>
      </c>
      <c r="M5820" s="1">
        <v>0.33088943482617605</v>
      </c>
      <c r="N5820" s="1">
        <v>0.8094643269774725</v>
      </c>
      <c r="O5820" s="1">
        <v>0.23437333333333332</v>
      </c>
      <c r="P5820" s="1">
        <v>9.8518478859204117E-2</v>
      </c>
      <c r="Q5820" s="1">
        <v>0.59013442401565441</v>
      </c>
      <c r="R5820" s="2">
        <f t="shared" si="363"/>
        <v>18.379717570108557</v>
      </c>
      <c r="S5820" s="2">
        <f t="shared" si="362"/>
        <v>2.7693255857091574</v>
      </c>
      <c r="T5820" s="2">
        <f t="shared" si="364"/>
        <v>2.7337313597200872</v>
      </c>
      <c r="U5820" s="2">
        <f t="shared" si="365"/>
        <v>23.882774515537804</v>
      </c>
    </row>
    <row r="5821" spans="1:21" x14ac:dyDescent="0.25">
      <c r="A5821">
        <v>6336721</v>
      </c>
      <c r="B5821">
        <v>64</v>
      </c>
      <c r="C5821" s="1">
        <f>0.68806776611148*(10.3/7.3)</f>
        <v>0.9708353412257873</v>
      </c>
      <c r="D5821" s="1">
        <f>1.40118360643612*(10.3/7.3)</f>
        <v>1.9770124857934235</v>
      </c>
      <c r="E5821" s="1">
        <f>4.74182409302074*(10.3/7.3)</f>
        <v>6.6905189257689885</v>
      </c>
      <c r="F5821" s="1">
        <f>15.862452334013*(38.9/42.5)</f>
        <v>14.518809312778991</v>
      </c>
      <c r="G5821" s="1">
        <v>0.91615126596051155</v>
      </c>
      <c r="H5821" s="1">
        <v>3.0144647735205385</v>
      </c>
      <c r="I5821" s="1">
        <v>11.799978472478111</v>
      </c>
      <c r="J5821" s="1">
        <v>3.6677192476456282E-2</v>
      </c>
      <c r="K5821" s="1">
        <v>3.839773196010928</v>
      </c>
      <c r="L5821" s="1">
        <v>2.07945085746349</v>
      </c>
      <c r="M5821" s="1">
        <v>0.49879826602424732</v>
      </c>
      <c r="N5821" s="1">
        <v>1.2814447158032107</v>
      </c>
      <c r="O5821" s="1">
        <v>0.38793833333333333</v>
      </c>
      <c r="P5821" s="1">
        <v>0.12974549847078909</v>
      </c>
      <c r="Q5821" s="1">
        <v>1.4641686898912298</v>
      </c>
      <c r="R5821" s="2">
        <f t="shared" si="363"/>
        <v>41.351939267417585</v>
      </c>
      <c r="S5821" s="2">
        <f t="shared" si="362"/>
        <v>4.0061958869581735</v>
      </c>
      <c r="T5821" s="2">
        <f t="shared" si="364"/>
        <v>4.2476321726242814</v>
      </c>
      <c r="U5821" s="2">
        <f t="shared" si="365"/>
        <v>49.605767327000038</v>
      </c>
    </row>
    <row r="5822" spans="1:21" x14ac:dyDescent="0.25">
      <c r="A5822">
        <v>6336729</v>
      </c>
      <c r="B5822">
        <v>20</v>
      </c>
      <c r="C5822" s="1">
        <f>0.729252383592668*(10.3/7.3)</f>
        <v>1.0289451439732167</v>
      </c>
      <c r="D5822" s="1">
        <f>1.85458324270522*(10.3/7.3)</f>
        <v>2.6167407397073705</v>
      </c>
      <c r="E5822" s="1">
        <f>6.15803112895257*(10.3/7.3)</f>
        <v>8.6887288531796578</v>
      </c>
      <c r="F5822" s="1">
        <f>24.8970539212252*(38.9/42.5)</f>
        <v>22.788127000839076</v>
      </c>
      <c r="G5822" s="1">
        <v>1.5647357726958515</v>
      </c>
      <c r="H5822" s="1">
        <v>6.6143762488162894</v>
      </c>
      <c r="I5822" s="1">
        <v>18.740624065699876</v>
      </c>
      <c r="J5822" s="1">
        <v>4.5339905107005446E-2</v>
      </c>
      <c r="K5822" s="1">
        <v>4.1419848089207871</v>
      </c>
      <c r="L5822" s="1">
        <v>2.4121675307622326</v>
      </c>
      <c r="M5822" s="1">
        <v>0.57870346991215194</v>
      </c>
      <c r="N5822" s="1">
        <v>1.5078659647166657</v>
      </c>
      <c r="O5822" s="1">
        <v>0.44317866666666667</v>
      </c>
      <c r="P5822" s="1">
        <v>0.13473790531065472</v>
      </c>
      <c r="Q5822" s="1">
        <v>2.5007192714317292</v>
      </c>
      <c r="R5822" s="2">
        <f t="shared" si="363"/>
        <v>64.542997096343072</v>
      </c>
      <c r="S5822" s="2">
        <f t="shared" si="362"/>
        <v>4.322062619338447</v>
      </c>
      <c r="T5822" s="2">
        <f t="shared" si="364"/>
        <v>4.9419156320577162</v>
      </c>
      <c r="U5822" s="2">
        <f t="shared" si="365"/>
        <v>73.80697534773924</v>
      </c>
    </row>
    <row r="5823" spans="1:21" x14ac:dyDescent="0.25">
      <c r="A5823">
        <v>6336737</v>
      </c>
      <c r="B5823">
        <v>14</v>
      </c>
      <c r="C5823" s="1">
        <f>0.655332269198937*(10.3/7.3)</f>
        <v>0.92464690037658248</v>
      </c>
      <c r="D5823" s="1">
        <f>1.52282783465917*(10.3/7.3)</f>
        <v>2.148647492738279</v>
      </c>
      <c r="E5823" s="1">
        <f>5.10751538205197*(10.3/7.3)</f>
        <v>7.2064943061829219</v>
      </c>
      <c r="F5823" s="1">
        <f>18.5373629302935*(38.9/42.5)</f>
        <v>16.967139246786299</v>
      </c>
      <c r="G5823" s="1">
        <v>1.1157754197514982</v>
      </c>
      <c r="H5823" s="1">
        <v>5.874081680663406</v>
      </c>
      <c r="I5823" s="1">
        <v>13.792297892023326</v>
      </c>
      <c r="J5823" s="1">
        <v>5.5693261657421736E-2</v>
      </c>
      <c r="K5823" s="1">
        <v>3.8570001537319842</v>
      </c>
      <c r="L5823" s="1">
        <v>2.1404138254538876</v>
      </c>
      <c r="M5823" s="1">
        <v>0.51314656571325001</v>
      </c>
      <c r="N5823" s="1">
        <v>1.3464704364491014</v>
      </c>
      <c r="O5823" s="1">
        <v>0.38852952380952377</v>
      </c>
      <c r="P5823" s="1">
        <v>0.12471503572912288</v>
      </c>
      <c r="Q5823" s="1">
        <v>1.7832027256302501</v>
      </c>
      <c r="R5823" s="2">
        <f t="shared" si="363"/>
        <v>49.812285664152562</v>
      </c>
      <c r="S5823" s="2">
        <f t="shared" si="362"/>
        <v>4.0374084511185284</v>
      </c>
      <c r="T5823" s="2">
        <f t="shared" si="364"/>
        <v>4.3885603514257632</v>
      </c>
      <c r="U5823" s="2">
        <f t="shared" si="365"/>
        <v>58.238254466696858</v>
      </c>
    </row>
    <row r="5824" spans="1:21" x14ac:dyDescent="0.25">
      <c r="A5824">
        <v>6337225</v>
      </c>
      <c r="B5824">
        <v>57</v>
      </c>
      <c r="C5824" s="1">
        <f>1.89448546023142*(10.3/7.3)</f>
        <v>2.6730411288196807</v>
      </c>
      <c r="D5824" s="1">
        <f>3.90139414784078*(10.3/7.3)</f>
        <v>5.5047068113369901</v>
      </c>
      <c r="E5824" s="1">
        <f>13.2728152396123*(10.3/7.3)</f>
        <v>18.727396844932358</v>
      </c>
      <c r="F5824" s="1">
        <f>40.5643233178466*(38.9/42.5)</f>
        <v>37.12828651915838</v>
      </c>
      <c r="G5824" s="1">
        <v>2.2431983910727267</v>
      </c>
      <c r="H5824" s="1">
        <v>9.3415592434460013</v>
      </c>
      <c r="I5824" s="1">
        <v>29.556941637040833</v>
      </c>
      <c r="J5824" s="1">
        <v>2.8055765474043145E-2</v>
      </c>
      <c r="K5824" s="1">
        <v>2.0014794400645086</v>
      </c>
      <c r="L5824" s="1">
        <v>2.2042895782840723</v>
      </c>
      <c r="M5824" s="1">
        <v>0.18113202426605207</v>
      </c>
      <c r="N5824" s="1">
        <v>1.253695710814519</v>
      </c>
      <c r="O5824" s="1">
        <v>0.1425122807017544</v>
      </c>
      <c r="P5824" s="1">
        <v>9.2161711106572702E-2</v>
      </c>
      <c r="Q5824" s="1">
        <v>3.5850202597052752</v>
      </c>
      <c r="R5824" s="2">
        <f t="shared" si="363"/>
        <v>108.76015083551225</v>
      </c>
      <c r="S5824" s="2">
        <f t="shared" si="362"/>
        <v>2.1216969166451243</v>
      </c>
      <c r="T5824" s="2">
        <f t="shared" si="364"/>
        <v>3.7816295940663975</v>
      </c>
      <c r="U5824" s="2">
        <f t="shared" si="365"/>
        <v>114.66347734622377</v>
      </c>
    </row>
    <row r="5825" spans="1:21" x14ac:dyDescent="0.25">
      <c r="A5825">
        <v>6337233</v>
      </c>
      <c r="B5825">
        <v>60</v>
      </c>
      <c r="C5825" s="1">
        <f>2.13712098574487*(10.3/7.3)</f>
        <v>3.0153898839961886</v>
      </c>
      <c r="D5825" s="1">
        <f>4.21114810908637*(10.3/7.3)</f>
        <v>5.9417569210396763</v>
      </c>
      <c r="E5825" s="1">
        <f>14.3943140106246*(10.3/7.3)</f>
        <v>20.309785521840123</v>
      </c>
      <c r="F5825" s="1">
        <f>41.4317131800734*(38.9/42.5)</f>
        <v>37.922203357761269</v>
      </c>
      <c r="G5825" s="1">
        <v>2.2105082578513664</v>
      </c>
      <c r="H5825" s="1">
        <v>7.184189204485139</v>
      </c>
      <c r="I5825" s="1">
        <v>29.982573164459822</v>
      </c>
      <c r="J5825" s="1">
        <v>3.0319388126828141E-2</v>
      </c>
      <c r="K5825" s="1">
        <v>2.1329862482966773</v>
      </c>
      <c r="L5825" s="1">
        <v>2.3816706154039928</v>
      </c>
      <c r="M5825" s="1">
        <v>0.1909256654582569</v>
      </c>
      <c r="N5825" s="1">
        <v>1.356312824667804</v>
      </c>
      <c r="O5825" s="1">
        <v>0.15264800000000003</v>
      </c>
      <c r="P5825" s="1">
        <v>9.6771326567825139E-2</v>
      </c>
      <c r="Q5825" s="1">
        <v>3.5327757545569796</v>
      </c>
      <c r="R5825" s="2">
        <f t="shared" si="363"/>
        <v>110.09918206599056</v>
      </c>
      <c r="S5825" s="2">
        <f t="shared" si="362"/>
        <v>2.2600769629913304</v>
      </c>
      <c r="T5825" s="2">
        <f t="shared" si="364"/>
        <v>4.0815571055300541</v>
      </c>
      <c r="U5825" s="2">
        <f t="shared" si="365"/>
        <v>116.44081613451195</v>
      </c>
    </row>
    <row r="5826" spans="1:21" x14ac:dyDescent="0.25">
      <c r="A5826">
        <v>6337241</v>
      </c>
      <c r="B5826">
        <v>56</v>
      </c>
      <c r="C5826" s="1">
        <f>2.00066953184627*(10.3/7.3)</f>
        <v>2.8228624901392529</v>
      </c>
      <c r="D5826" s="1">
        <f>3.89159749570539*(10.3/7.3)</f>
        <v>5.490884137776094</v>
      </c>
      <c r="E5826" s="1">
        <f>13.3164906857157*(10.3/7.3)</f>
        <v>18.78902110450295</v>
      </c>
      <c r="F5826" s="1">
        <f>37.8463161936555*(38.9/42.5)</f>
        <v>34.640510586663538</v>
      </c>
      <c r="G5826" s="1">
        <v>2.002449316641624</v>
      </c>
      <c r="H5826" s="1">
        <v>6.7182319899924652</v>
      </c>
      <c r="I5826" s="1">
        <v>27.365558775434103</v>
      </c>
      <c r="J5826" s="1">
        <v>2.9083827809922684E-2</v>
      </c>
      <c r="K5826" s="1">
        <v>2.0431221659992422</v>
      </c>
      <c r="L5826" s="1">
        <v>2.2672752323023806</v>
      </c>
      <c r="M5826" s="1">
        <v>0.17997351923707372</v>
      </c>
      <c r="N5826" s="1">
        <v>1.3215566345231091</v>
      </c>
      <c r="O5826" s="1">
        <v>0.14278476190476189</v>
      </c>
      <c r="P5826" s="1">
        <v>9.2725216158972432E-2</v>
      </c>
      <c r="Q5826" s="1">
        <v>3.2002614649523706</v>
      </c>
      <c r="R5826" s="2">
        <f t="shared" si="363"/>
        <v>101.02977986610242</v>
      </c>
      <c r="S5826" s="2">
        <f t="shared" si="362"/>
        <v>2.1649312099681373</v>
      </c>
      <c r="T5826" s="2">
        <f t="shared" si="364"/>
        <v>3.9115901479673254</v>
      </c>
      <c r="U5826" s="2">
        <f t="shared" si="365"/>
        <v>107.10630122403788</v>
      </c>
    </row>
    <row r="5827" spans="1:21" x14ac:dyDescent="0.25">
      <c r="A5827">
        <v>6337249</v>
      </c>
      <c r="B5827">
        <v>31</v>
      </c>
      <c r="C5827" s="1">
        <f>2.46596590502036*(10.3/7.3)</f>
        <v>3.4793765509191421</v>
      </c>
      <c r="D5827" s="1">
        <f>5.01173669353996*(10.3/7.3)</f>
        <v>7.0713545128029649</v>
      </c>
      <c r="E5827" s="1">
        <f>17.0673976036945*(10.3/7.3)</f>
        <v>24.081396618911405</v>
      </c>
      <c r="F5827" s="1">
        <f>51.6042815401122*(38.9/42.5)</f>
        <v>47.23309533906744</v>
      </c>
      <c r="G5827" s="1">
        <v>2.8352515114170371</v>
      </c>
      <c r="H5827" s="1">
        <v>8.5048806871543032</v>
      </c>
      <c r="I5827" s="1">
        <v>37.584440722410513</v>
      </c>
      <c r="J5827" s="1">
        <v>3.258753110035597E-2</v>
      </c>
      <c r="K5827" s="1">
        <v>2.2328541710562222</v>
      </c>
      <c r="L5827" s="1">
        <v>2.8764695957772544</v>
      </c>
      <c r="M5827" s="1">
        <v>0.1917323121054928</v>
      </c>
      <c r="N5827" s="1">
        <v>1.6204042046096507</v>
      </c>
      <c r="O5827" s="1">
        <v>0.15601892473118281</v>
      </c>
      <c r="P5827" s="1">
        <v>9.9624464010866817E-2</v>
      </c>
      <c r="Q5827" s="1">
        <v>4.5312238766938977</v>
      </c>
      <c r="R5827" s="2">
        <f t="shared" si="363"/>
        <v>135.32101981937672</v>
      </c>
      <c r="S5827" s="2">
        <f t="shared" si="362"/>
        <v>2.3650661661674452</v>
      </c>
      <c r="T5827" s="2">
        <f t="shared" si="364"/>
        <v>4.8446250372235804</v>
      </c>
      <c r="U5827" s="2">
        <f t="shared" si="365"/>
        <v>142.53071102276775</v>
      </c>
    </row>
    <row r="5828" spans="1:21" x14ac:dyDescent="0.25">
      <c r="A5828">
        <v>6348949</v>
      </c>
      <c r="B5828">
        <v>50</v>
      </c>
      <c r="C5828" s="1">
        <f>0.662438933008179*(10.3/7.3)</f>
        <v>0.93467411095674624</v>
      </c>
      <c r="D5828" s="1">
        <f>1.32096820937593*(10.3/7.3)</f>
        <v>1.863831857064671</v>
      </c>
      <c r="E5828" s="1">
        <f>4.47842842641278*(10.3/7.3)</f>
        <v>6.3188784646646097</v>
      </c>
      <c r="F5828" s="1">
        <f>14.7018769488408*(38.9/42.5)</f>
        <v>13.456541489644918</v>
      </c>
      <c r="G5828" s="1">
        <v>0.84073096952808901</v>
      </c>
      <c r="H5828" s="1">
        <v>2.6218942707320938</v>
      </c>
      <c r="I5828" s="1">
        <v>10.926851184862521</v>
      </c>
      <c r="J5828" s="1">
        <v>3.3178968002892745E-2</v>
      </c>
      <c r="K5828" s="1">
        <v>3.3716442342309629</v>
      </c>
      <c r="L5828" s="1">
        <v>1.9511613798259222</v>
      </c>
      <c r="M5828" s="1">
        <v>0.45486664400931531</v>
      </c>
      <c r="N5828" s="1">
        <v>1.107448643189167</v>
      </c>
      <c r="O5828" s="1">
        <v>0.34961386666666677</v>
      </c>
      <c r="P5828" s="1">
        <v>0.12103282865004726</v>
      </c>
      <c r="Q5828" s="1">
        <v>1.3436339695654405</v>
      </c>
      <c r="R5828" s="2">
        <f t="shared" si="363"/>
        <v>38.307036317019083</v>
      </c>
      <c r="S5828" s="2">
        <f t="shared" si="362"/>
        <v>3.5258560308839031</v>
      </c>
      <c r="T5828" s="2">
        <f t="shared" si="364"/>
        <v>3.863090533691071</v>
      </c>
      <c r="U5828" s="2">
        <f t="shared" si="365"/>
        <v>45.695982881594055</v>
      </c>
    </row>
    <row r="5829" spans="1:21" x14ac:dyDescent="0.25">
      <c r="A5829">
        <v>6348957</v>
      </c>
      <c r="B5829">
        <v>64</v>
      </c>
      <c r="C5829" s="1">
        <f>0.865606338976076*(10.3/7.3)</f>
        <v>1.2213349714319983</v>
      </c>
      <c r="D5829" s="1">
        <f>1.9027411251444*(10.3/7.3)</f>
        <v>2.6846895327379903</v>
      </c>
      <c r="E5829" s="1">
        <f>6.40181452830491*(10.3/7.3)</f>
        <v>9.0326972111699391</v>
      </c>
      <c r="F5829" s="1">
        <f>22.6593938096483*(38.9/42.5)</f>
        <v>20.740009863419299</v>
      </c>
      <c r="G5829" s="1">
        <v>1.3466152164568164</v>
      </c>
      <c r="H5829" s="1">
        <v>4.1100569163095662</v>
      </c>
      <c r="I5829" s="1">
        <v>16.882444772402778</v>
      </c>
      <c r="J5829" s="1">
        <v>4.5381859784154925E-2</v>
      </c>
      <c r="K5829" s="1">
        <v>4.2770595976332961</v>
      </c>
      <c r="L5829" s="1">
        <v>2.5693390718593041</v>
      </c>
      <c r="M5829" s="1">
        <v>0.60802083671624141</v>
      </c>
      <c r="N5829" s="1">
        <v>1.5436482104589704</v>
      </c>
      <c r="O5829" s="1">
        <v>0.46514749999999988</v>
      </c>
      <c r="P5829" s="1">
        <v>0.14219090773332319</v>
      </c>
      <c r="Q5829" s="1">
        <v>2.1521247751592978</v>
      </c>
      <c r="R5829" s="2">
        <f t="shared" si="363"/>
        <v>58.169973259087691</v>
      </c>
      <c r="S5829" s="2">
        <f t="shared" si="362"/>
        <v>4.4646323651507744</v>
      </c>
      <c r="T5829" s="2">
        <f t="shared" si="364"/>
        <v>5.1861556190345155</v>
      </c>
      <c r="U5829" s="2">
        <f t="shared" si="365"/>
        <v>67.820761243272983</v>
      </c>
    </row>
    <row r="5830" spans="1:21" x14ac:dyDescent="0.25">
      <c r="A5830">
        <v>6348965</v>
      </c>
      <c r="B5830">
        <v>1</v>
      </c>
      <c r="C5830" s="1">
        <f>0.985772221738362*(10.3/7.3)</f>
        <v>1.3908840936856341</v>
      </c>
      <c r="D5830" s="1">
        <f>2.41465875431889*(10.3/7.3)</f>
        <v>3.4069842697924031</v>
      </c>
      <c r="E5830" s="1">
        <f>8.08491226982916*(10.3/7.3)</f>
        <v>11.407478956060316</v>
      </c>
      <c r="F5830" s="1">
        <f>29.5244554084133*(38.9/42.5)</f>
        <v>27.02356036205363</v>
      </c>
      <c r="G5830" s="1">
        <v>1.7853878189501129</v>
      </c>
      <c r="H5830" s="1">
        <v>6.8760490484622121</v>
      </c>
      <c r="I5830" s="1">
        <v>21.87034591566902</v>
      </c>
      <c r="J5830" s="1">
        <v>5.9812200161750137E-2</v>
      </c>
      <c r="K5830" s="1">
        <v>4.1883066044506227</v>
      </c>
      <c r="L5830" s="1">
        <v>2.65676804214044</v>
      </c>
      <c r="M5830" s="1">
        <v>0.62518827538221677</v>
      </c>
      <c r="N5830" s="1">
        <v>1.5743229922257047</v>
      </c>
      <c r="O5830" s="1">
        <v>0.46485333333333334</v>
      </c>
      <c r="P5830" s="1">
        <v>0.13877673780477479</v>
      </c>
      <c r="Q5830" s="1">
        <v>2.8533595280024664</v>
      </c>
      <c r="R5830" s="2">
        <f t="shared" si="363"/>
        <v>76.614049992675803</v>
      </c>
      <c r="S5830" s="2">
        <f t="shared" si="362"/>
        <v>4.3868955424171476</v>
      </c>
      <c r="T5830" s="2">
        <f t="shared" si="364"/>
        <v>5.3211326430816941</v>
      </c>
      <c r="U5830" s="2">
        <f t="shared" si="365"/>
        <v>86.32207817817465</v>
      </c>
    </row>
    <row r="5831" spans="1:21" x14ac:dyDescent="0.25">
      <c r="A5831">
        <v>6348973</v>
      </c>
      <c r="B5831">
        <v>13</v>
      </c>
      <c r="C5831" s="1">
        <f>0.852712120448239*(10.3/7.3)</f>
        <v>1.2031417589886113</v>
      </c>
      <c r="D5831" s="1">
        <f>2.01323471718264*(10.3/7.3)</f>
        <v>2.8405914502713965</v>
      </c>
      <c r="E5831" s="1">
        <f>6.73773642954149*(10.3/7.3)</f>
        <v>9.5066692088051177</v>
      </c>
      <c r="F5831" s="1">
        <f>25.0767052999793*(38.9/42.5)</f>
        <v>22.952560851039834</v>
      </c>
      <c r="G5831" s="1">
        <v>1.525321388776675</v>
      </c>
      <c r="H5831" s="1">
        <v>5.481769965921079</v>
      </c>
      <c r="I5831" s="1">
        <v>18.71799961296146</v>
      </c>
      <c r="J5831" s="1">
        <v>7.4453864326465655E-2</v>
      </c>
      <c r="K5831" s="1">
        <v>4.259392895790322</v>
      </c>
      <c r="L5831" s="1">
        <v>2.6140194111904682</v>
      </c>
      <c r="M5831" s="1">
        <v>0.62437184587210026</v>
      </c>
      <c r="N5831" s="1">
        <v>1.5371956518849628</v>
      </c>
      <c r="O5831" s="1">
        <v>0.45949128205128198</v>
      </c>
      <c r="P5831" s="1">
        <v>0.13606495370644348</v>
      </c>
      <c r="Q5831" s="1">
        <v>2.4377282469033648</v>
      </c>
      <c r="R5831" s="2">
        <f t="shared" si="363"/>
        <v>64.665782483667542</v>
      </c>
      <c r="S5831" s="2">
        <f t="shared" si="362"/>
        <v>4.4699117138232314</v>
      </c>
      <c r="T5831" s="2">
        <f t="shared" si="364"/>
        <v>5.2350781909988129</v>
      </c>
      <c r="U5831" s="2">
        <f t="shared" si="365"/>
        <v>74.370772388489598</v>
      </c>
    </row>
    <row r="5832" spans="1:21" x14ac:dyDescent="0.25">
      <c r="A5832">
        <v>6349453</v>
      </c>
      <c r="B5832">
        <v>7</v>
      </c>
      <c r="C5832" s="1">
        <f>1.87686479112621*(10.3/7.3)</f>
        <v>2.6481790888493117</v>
      </c>
      <c r="D5832" s="1">
        <f>4.44809467163467*(10.3/7.3)</f>
        <v>6.2760787832653619</v>
      </c>
      <c r="E5832" s="1">
        <f>14.9161738619213*(10.3/7.3)</f>
        <v>21.046108325724589</v>
      </c>
      <c r="F5832" s="1">
        <f>53.8966395895678*(38.9/42.5)</f>
        <v>49.33127717727502</v>
      </c>
      <c r="G5832" s="1">
        <v>3.2410736119248056</v>
      </c>
      <c r="H5832" s="1">
        <v>9.7826181800509904</v>
      </c>
      <c r="I5832" s="1">
        <v>39.978794028669611</v>
      </c>
      <c r="J5832" s="1">
        <v>2.9429648916135975E-2</v>
      </c>
      <c r="K5832" s="1">
        <v>2.0755001960959003</v>
      </c>
      <c r="L5832" s="1">
        <v>2.2785913733571559</v>
      </c>
      <c r="M5832" s="1">
        <v>0.1886192919856548</v>
      </c>
      <c r="N5832" s="1">
        <v>1.3198786420498112</v>
      </c>
      <c r="O5832" s="1">
        <v>0.14755047619047618</v>
      </c>
      <c r="P5832" s="1">
        <v>9.513065324853387E-2</v>
      </c>
      <c r="Q5832" s="1">
        <v>5.1797980099254932</v>
      </c>
      <c r="R5832" s="2">
        <f t="shared" si="363"/>
        <v>137.48392720568518</v>
      </c>
      <c r="S5832" s="2">
        <f t="shared" si="362"/>
        <v>2.2000604982605703</v>
      </c>
      <c r="T5832" s="2">
        <f t="shared" si="364"/>
        <v>3.9346397835830982</v>
      </c>
      <c r="U5832" s="2">
        <f t="shared" si="365"/>
        <v>143.61862748752884</v>
      </c>
    </row>
    <row r="5833" spans="1:21" x14ac:dyDescent="0.25">
      <c r="A5833">
        <v>6349461</v>
      </c>
      <c r="B5833">
        <v>63</v>
      </c>
      <c r="C5833" s="1">
        <f>2.0744048830963*(10.3/7.3)</f>
        <v>2.926900040533142</v>
      </c>
      <c r="D5833" s="1">
        <f>4.1560276325854*(10.3/7.3)</f>
        <v>5.8639841939218673</v>
      </c>
      <c r="E5833" s="1">
        <f>14.1860444911416*(10.3/7.3)</f>
        <v>20.015925788871009</v>
      </c>
      <c r="F5833" s="1">
        <f>41.5024270224007*(38.9/42.5)</f>
        <v>37.986927321679701</v>
      </c>
      <c r="G5833" s="1">
        <v>2.2374742014862732</v>
      </c>
      <c r="H5833" s="1">
        <v>6.9844462205958324</v>
      </c>
      <c r="I5833" s="1">
        <v>30.06697704559306</v>
      </c>
      <c r="J5833" s="1">
        <v>2.9687878173360983E-2</v>
      </c>
      <c r="K5833" s="1">
        <v>2.106300678838164</v>
      </c>
      <c r="L5833" s="1">
        <v>2.3387918166222978</v>
      </c>
      <c r="M5833" s="1">
        <v>0.19046529585805469</v>
      </c>
      <c r="N5833" s="1">
        <v>1.3227656772482939</v>
      </c>
      <c r="O5833" s="1">
        <v>0.15204571428571431</v>
      </c>
      <c r="P5833" s="1">
        <v>9.6180250536125431E-2</v>
      </c>
      <c r="Q5833" s="1">
        <v>3.5758720115077467</v>
      </c>
      <c r="R5833" s="2">
        <f t="shared" si="363"/>
        <v>109.65850682418863</v>
      </c>
      <c r="S5833" s="2">
        <f t="shared" ref="S5833:S5896" si="366">J5833+K5833+P5833</f>
        <v>2.2321688075476507</v>
      </c>
      <c r="T5833" s="2">
        <f t="shared" si="364"/>
        <v>4.0040685040143602</v>
      </c>
      <c r="U5833" s="2">
        <f t="shared" si="365"/>
        <v>115.89474413575064</v>
      </c>
    </row>
    <row r="5834" spans="1:21" x14ac:dyDescent="0.25">
      <c r="A5834">
        <v>6349469</v>
      </c>
      <c r="B5834">
        <v>65</v>
      </c>
      <c r="C5834" s="1">
        <f>1.92727890482971*(10.3/7.3)</f>
        <v>2.7193113314720607</v>
      </c>
      <c r="D5834" s="1">
        <f>3.74874954906746*(10.3/7.3)</f>
        <v>5.2893315555335381</v>
      </c>
      <c r="E5834" s="1">
        <f>12.8300507960784*(10.3/7.3)</f>
        <v>18.102674410905127</v>
      </c>
      <c r="F5834" s="1">
        <f>36.3429231185594*(38.9/42.5)</f>
        <v>33.264463748516746</v>
      </c>
      <c r="G5834" s="1">
        <v>1.9191268362313061</v>
      </c>
      <c r="H5834" s="1">
        <v>6.1650597372093987</v>
      </c>
      <c r="I5834" s="1">
        <v>26.258108134549179</v>
      </c>
      <c r="J5834" s="1">
        <v>2.9179794157754884E-2</v>
      </c>
      <c r="K5834" s="1">
        <v>2.0413832927153663</v>
      </c>
      <c r="L5834" s="1">
        <v>2.2355306497536649</v>
      </c>
      <c r="M5834" s="1">
        <v>0.18164144625559039</v>
      </c>
      <c r="N5834" s="1">
        <v>1.3099186585894631</v>
      </c>
      <c r="O5834" s="1">
        <v>0.14369887179487179</v>
      </c>
      <c r="P5834" s="1">
        <v>9.2928352553045934E-2</v>
      </c>
      <c r="Q5834" s="1">
        <v>3.0670976834746919</v>
      </c>
      <c r="R5834" s="2">
        <f t="shared" ref="R5834:R5897" si="367">C5834+D5834+E5834+F5834+G5834+H5834+I5834+Q5834</f>
        <v>96.785173437892041</v>
      </c>
      <c r="S5834" s="2">
        <f t="shared" si="366"/>
        <v>2.1634914394261671</v>
      </c>
      <c r="T5834" s="2">
        <f t="shared" ref="T5834:T5897" si="368">L5834+M5834+N5834+O5834</f>
        <v>3.8707896263935901</v>
      </c>
      <c r="U5834" s="2">
        <f t="shared" ref="U5834:U5897" si="369">R5834+S5834+T5834</f>
        <v>102.8194545037118</v>
      </c>
    </row>
    <row r="5835" spans="1:21" x14ac:dyDescent="0.25">
      <c r="A5835">
        <v>6349477</v>
      </c>
      <c r="B5835">
        <v>40</v>
      </c>
      <c r="C5835" s="1">
        <f>2.45584736591016*(10.3/7.3)</f>
        <v>3.4650997080650239</v>
      </c>
      <c r="D5835" s="1">
        <f>4.83070650024532*(10.3/7.3)</f>
        <v>6.8159283496612062</v>
      </c>
      <c r="E5835" s="1">
        <f>16.5124403267614*(10.3/7.3)</f>
        <v>23.298374707622251</v>
      </c>
      <c r="F5835" s="1">
        <f>47.5519069959586*(38.9/42.5)</f>
        <v>43.523980756300965</v>
      </c>
      <c r="G5835" s="1">
        <v>2.5374448844534832</v>
      </c>
      <c r="H5835" s="1">
        <v>7.1775270172455468</v>
      </c>
      <c r="I5835" s="1">
        <v>34.425406908998816</v>
      </c>
      <c r="J5835" s="1">
        <v>3.1735981701175496E-2</v>
      </c>
      <c r="K5835" s="1">
        <v>2.1878406420552432</v>
      </c>
      <c r="L5835" s="1">
        <v>2.5394454101806585</v>
      </c>
      <c r="M5835" s="1">
        <v>0.19080334350940403</v>
      </c>
      <c r="N5835" s="1">
        <v>1.4376402498989891</v>
      </c>
      <c r="O5835" s="1">
        <v>0.15409999999999996</v>
      </c>
      <c r="P5835" s="1">
        <v>9.8314285874542232E-2</v>
      </c>
      <c r="Q5835" s="1">
        <v>4.0552772125968959</v>
      </c>
      <c r="R5835" s="2">
        <f t="shared" si="367"/>
        <v>125.29903954494419</v>
      </c>
      <c r="S5835" s="2">
        <f t="shared" si="366"/>
        <v>2.3178909096309606</v>
      </c>
      <c r="T5835" s="2">
        <f t="shared" si="368"/>
        <v>4.3219890035890511</v>
      </c>
      <c r="U5835" s="2">
        <f t="shared" si="369"/>
        <v>131.93891945816421</v>
      </c>
    </row>
    <row r="5836" spans="1:21" x14ac:dyDescent="0.25">
      <c r="A5836">
        <v>6349485</v>
      </c>
      <c r="B5836">
        <v>9</v>
      </c>
      <c r="C5836" s="1">
        <f>1.90175486800281*(10.3/7.3)</f>
        <v>2.6832979644423238</v>
      </c>
      <c r="D5836" s="1">
        <f>3.99872218405148*(10.3/7.3)</f>
        <v>5.6420326706479811</v>
      </c>
      <c r="E5836" s="1">
        <f>13.56439947115*(10.3/7.3)</f>
        <v>19.138810212718429</v>
      </c>
      <c r="F5836" s="1">
        <f>43.0900606626774*(38.9/42.5)</f>
        <v>39.440079053603576</v>
      </c>
      <c r="G5836" s="1">
        <v>2.4329723964432364</v>
      </c>
      <c r="H5836" s="1">
        <v>7.2459217405876011</v>
      </c>
      <c r="I5836" s="1">
        <v>31.572604426390953</v>
      </c>
      <c r="J5836" s="1">
        <v>2.6571884861869701E-2</v>
      </c>
      <c r="K5836" s="1">
        <v>1.8882722273060948</v>
      </c>
      <c r="L5836" s="1">
        <v>2.5471212292689178</v>
      </c>
      <c r="M5836" s="1">
        <v>0.16208561881744601</v>
      </c>
      <c r="N5836" s="1">
        <v>1.6719264843401211</v>
      </c>
      <c r="O5836" s="1">
        <v>0.12872888888888889</v>
      </c>
      <c r="P5836" s="1">
        <v>8.6364725417669513E-2</v>
      </c>
      <c r="Q5836" s="1">
        <v>3.8883120491101986</v>
      </c>
      <c r="R5836" s="2">
        <f t="shared" si="367"/>
        <v>112.04403051394431</v>
      </c>
      <c r="S5836" s="2">
        <f t="shared" si="366"/>
        <v>2.0012088375856338</v>
      </c>
      <c r="T5836" s="2">
        <f t="shared" si="368"/>
        <v>4.5098622213153732</v>
      </c>
      <c r="U5836" s="2">
        <f t="shared" si="369"/>
        <v>118.55510157284532</v>
      </c>
    </row>
    <row r="5837" spans="1:21" x14ac:dyDescent="0.25">
      <c r="A5837">
        <v>6349813</v>
      </c>
      <c r="B5837">
        <v>22</v>
      </c>
      <c r="C5837" s="1">
        <f>2.55294185631246*(10.3/7.3)</f>
        <v>3.6020960438381269</v>
      </c>
      <c r="D5837" s="1">
        <f>4.40495344614053*(10.3/7.3)</f>
        <v>6.2152082870201975</v>
      </c>
      <c r="E5837" s="1">
        <f>15.4098664680113*(10.3/7.3)</f>
        <v>21.742688304180295</v>
      </c>
      <c r="F5837" s="1">
        <f>29.4177771178811*(38.9/42.5)</f>
        <v>26.92591835024886</v>
      </c>
      <c r="G5837" s="1">
        <v>1.0863368928432118</v>
      </c>
      <c r="H5837" s="1">
        <v>5.3082719993524288</v>
      </c>
      <c r="I5837" s="1">
        <v>19.496451809878948</v>
      </c>
      <c r="J5837" s="1">
        <v>2.1970923309080601E-2</v>
      </c>
      <c r="K5837" s="1">
        <v>1.5913230636878233</v>
      </c>
      <c r="L5837" s="1">
        <v>1.4358732876505407</v>
      </c>
      <c r="M5837" s="1">
        <v>8.7525448096019087E-2</v>
      </c>
      <c r="N5837" s="1">
        <v>0.90759433685625046</v>
      </c>
      <c r="O5837" s="1">
        <v>8.2833939393939404E-2</v>
      </c>
      <c r="P5837" s="1">
        <v>6.4321089619555738E-2</v>
      </c>
      <c r="Q5837" s="1">
        <v>1.7361548515759104</v>
      </c>
      <c r="R5837" s="2">
        <f t="shared" si="367"/>
        <v>86.113126538937976</v>
      </c>
      <c r="S5837" s="2">
        <f t="shared" si="366"/>
        <v>1.6776150766164597</v>
      </c>
      <c r="T5837" s="2">
        <f t="shared" si="368"/>
        <v>2.5138270119967494</v>
      </c>
      <c r="U5837" s="2">
        <f t="shared" si="369"/>
        <v>90.304568627551191</v>
      </c>
    </row>
    <row r="5838" spans="1:21" x14ac:dyDescent="0.25">
      <c r="A5838">
        <v>6349821</v>
      </c>
      <c r="B5838">
        <v>25</v>
      </c>
      <c r="C5838" s="1">
        <f>2.96035961461875*(10.3/7.3)</f>
        <v>4.1769457576127635</v>
      </c>
      <c r="D5838" s="1">
        <f>3.89243641270074*(10.3/7.3)</f>
        <v>5.4920678151804951</v>
      </c>
      <c r="E5838" s="1">
        <f>13.7048386208816*(10.3/7.3)</f>
        <v>19.33696408151792</v>
      </c>
      <c r="F5838" s="1">
        <f>28.8227479741184*(38.9/42.5)</f>
        <v>26.381291675134229</v>
      </c>
      <c r="G5838" s="1">
        <v>1.138038813460879</v>
      </c>
      <c r="H5838" s="1">
        <v>5.0164590371145428</v>
      </c>
      <c r="I5838" s="1">
        <v>21.330371670997348</v>
      </c>
      <c r="J5838" s="1">
        <v>1.9954938629446549E-2</v>
      </c>
      <c r="K5838" s="1">
        <v>1.4894297522283215</v>
      </c>
      <c r="L5838" s="1">
        <v>1.3307411481196367</v>
      </c>
      <c r="M5838" s="1">
        <v>8.122085908713883E-2</v>
      </c>
      <c r="N5838" s="1">
        <v>0.81782052331157051</v>
      </c>
      <c r="O5838" s="1">
        <v>7.8060800000000014E-2</v>
      </c>
      <c r="P5838" s="1">
        <v>6.0730151139667142E-2</v>
      </c>
      <c r="Q5838" s="1">
        <v>1.8187834918324575</v>
      </c>
      <c r="R5838" s="2">
        <f t="shared" si="367"/>
        <v>84.690922342850641</v>
      </c>
      <c r="S5838" s="2">
        <f t="shared" si="366"/>
        <v>1.5701148419974353</v>
      </c>
      <c r="T5838" s="2">
        <f t="shared" si="368"/>
        <v>2.3078433305183457</v>
      </c>
      <c r="U5838" s="2">
        <f t="shared" si="369"/>
        <v>88.56888051536643</v>
      </c>
    </row>
    <row r="5839" spans="1:21" x14ac:dyDescent="0.25">
      <c r="A5839">
        <v>6349829</v>
      </c>
      <c r="B5839">
        <v>11</v>
      </c>
      <c r="C5839" s="1">
        <f>2.41430009921287*(10.3/7.3)</f>
        <v>3.4064782221770695</v>
      </c>
      <c r="D5839" s="1">
        <f>3.21755468499834*(10.3/7.3)</f>
        <v>4.539837432257932</v>
      </c>
      <c r="E5839" s="1">
        <f>11.2977268091396*(10.3/7.3)</f>
        <v>15.940628237553158</v>
      </c>
      <c r="F5839" s="1">
        <f>24.9946057891752*(38.9/42.5)</f>
        <v>22.877415651739145</v>
      </c>
      <c r="G5839" s="1">
        <v>1.0442528907406097</v>
      </c>
      <c r="H5839" s="1">
        <v>5.9614615412390322</v>
      </c>
      <c r="I5839" s="1">
        <v>18.615233518045269</v>
      </c>
      <c r="J5839" s="1">
        <v>2.0543278117674684E-2</v>
      </c>
      <c r="K5839" s="1">
        <v>1.5465664151126552</v>
      </c>
      <c r="L5839" s="1">
        <v>1.3851840667503266</v>
      </c>
      <c r="M5839" s="1">
        <v>8.4310978863547048E-2</v>
      </c>
      <c r="N5839" s="1">
        <v>0.86046343309712148</v>
      </c>
      <c r="O5839" s="1">
        <v>8.0300606060606058E-2</v>
      </c>
      <c r="P5839" s="1">
        <v>6.2328460890878935E-2</v>
      </c>
      <c r="Q5839" s="1">
        <v>1.6688973139690122</v>
      </c>
      <c r="R5839" s="2">
        <f t="shared" si="367"/>
        <v>74.054204807721234</v>
      </c>
      <c r="S5839" s="2">
        <f t="shared" si="366"/>
        <v>1.6294381541212088</v>
      </c>
      <c r="T5839" s="2">
        <f t="shared" si="368"/>
        <v>2.4102590847716008</v>
      </c>
      <c r="U5839" s="2">
        <f t="shared" si="369"/>
        <v>78.093902046614033</v>
      </c>
    </row>
    <row r="5840" spans="1:21" x14ac:dyDescent="0.25">
      <c r="A5840">
        <v>6361177</v>
      </c>
      <c r="B5840">
        <v>7</v>
      </c>
      <c r="C5840" s="1">
        <f>0.347270626316638*(10.3/7.3)</f>
        <v>0.48998458233717351</v>
      </c>
      <c r="D5840" s="1">
        <f>0.605053863164953*(10.3/7.3)</f>
        <v>0.85370613569849541</v>
      </c>
      <c r="E5840" s="1">
        <f>2.07326794516157*(10.3/7.3)</f>
        <v>2.9252958678307133</v>
      </c>
      <c r="F5840" s="1">
        <f>6.11001190318722*(38.9/42.5)</f>
        <v>5.592457953740773</v>
      </c>
      <c r="G5840" s="1">
        <v>0.32740284866736274</v>
      </c>
      <c r="H5840" s="1">
        <v>1.2814913102043644</v>
      </c>
      <c r="I5840" s="1">
        <v>4.5381817860677049</v>
      </c>
      <c r="J5840" s="1">
        <v>2.2668406814991167E-2</v>
      </c>
      <c r="K5840" s="1">
        <v>2.6114687639354721</v>
      </c>
      <c r="L5840" s="1">
        <v>1.3580712481867614</v>
      </c>
      <c r="M5840" s="1">
        <v>0.3197281898343185</v>
      </c>
      <c r="N5840" s="1">
        <v>0.8046244925827305</v>
      </c>
      <c r="O5840" s="1">
        <v>0.2302247619047619</v>
      </c>
      <c r="P5840" s="1">
        <v>9.8480106588965083E-2</v>
      </c>
      <c r="Q5840" s="1">
        <v>0.52324656179715556</v>
      </c>
      <c r="R5840" s="2">
        <f t="shared" si="367"/>
        <v>16.531767046343742</v>
      </c>
      <c r="S5840" s="2">
        <f t="shared" si="366"/>
        <v>2.7326172773394286</v>
      </c>
      <c r="T5840" s="2">
        <f t="shared" si="368"/>
        <v>2.712648692508572</v>
      </c>
      <c r="U5840" s="2">
        <f t="shared" si="369"/>
        <v>21.977033016191744</v>
      </c>
    </row>
    <row r="5841" spans="1:21" x14ac:dyDescent="0.25">
      <c r="A5841">
        <v>6361185</v>
      </c>
      <c r="B5841">
        <v>62</v>
      </c>
      <c r="C5841" s="1">
        <f>0.832346363336425*(10.3/7.3)</f>
        <v>1.1744065126527634</v>
      </c>
      <c r="D5841" s="1">
        <f>1.72899384022249*(10.3/7.3)</f>
        <v>2.4395392540125522</v>
      </c>
      <c r="E5841" s="1">
        <f>5.84620479952724*(10.3/7.3)</f>
        <v>8.2487547171411819</v>
      </c>
      <c r="F5841" s="1">
        <f>19.6468971083257*(38.9/42.5)</f>
        <v>17.982689353267538</v>
      </c>
      <c r="G5841" s="1">
        <v>1.1383352936108699</v>
      </c>
      <c r="H5841" s="1">
        <v>3.4918511684913702</v>
      </c>
      <c r="I5841" s="1">
        <v>14.590109387785038</v>
      </c>
      <c r="J5841" s="1">
        <v>4.2315965417792679E-2</v>
      </c>
      <c r="K5841" s="1">
        <v>4.1314629170834243</v>
      </c>
      <c r="L5841" s="1">
        <v>2.4520753243607047</v>
      </c>
      <c r="M5841" s="1">
        <v>0.58156569897713817</v>
      </c>
      <c r="N5841" s="1">
        <v>1.3618499471909913</v>
      </c>
      <c r="O5841" s="1">
        <v>0.44404301075268809</v>
      </c>
      <c r="P5841" s="1">
        <v>0.14030205404040175</v>
      </c>
      <c r="Q5841" s="1">
        <v>1.819257318556186</v>
      </c>
      <c r="R5841" s="2">
        <f t="shared" si="367"/>
        <v>50.884943005517499</v>
      </c>
      <c r="S5841" s="2">
        <f t="shared" si="366"/>
        <v>4.3140809365416182</v>
      </c>
      <c r="T5841" s="2">
        <f t="shared" si="368"/>
        <v>4.839533981281523</v>
      </c>
      <c r="U5841" s="2">
        <f t="shared" si="369"/>
        <v>60.038557923340633</v>
      </c>
    </row>
    <row r="5842" spans="1:21" x14ac:dyDescent="0.25">
      <c r="A5842">
        <v>6361193</v>
      </c>
      <c r="B5842">
        <v>59</v>
      </c>
      <c r="C5842" s="1">
        <f>0.807013458296268*(10.3/7.3)</f>
        <v>1.1386628247193913</v>
      </c>
      <c r="D5842" s="1">
        <f>1.90072232271365*(10.3/7.3)</f>
        <v>2.6818410854726862</v>
      </c>
      <c r="E5842" s="1">
        <f>6.35638974288345*(10.3/7.3)</f>
        <v>8.9686047057122664</v>
      </c>
      <c r="F5842" s="1">
        <f>23.9275646138208*(38.9/42.5)</f>
        <v>21.900759140650084</v>
      </c>
      <c r="G5842" s="1">
        <v>1.4615844167915788</v>
      </c>
      <c r="H5842" s="1">
        <v>5.7974123726518805</v>
      </c>
      <c r="I5842" s="1">
        <v>17.903948760605676</v>
      </c>
      <c r="J5842" s="1">
        <v>4.5670680819557552E-2</v>
      </c>
      <c r="K5842" s="1">
        <v>4.0935556367499419</v>
      </c>
      <c r="L5842" s="1">
        <v>2.4277051445417368</v>
      </c>
      <c r="M5842" s="1">
        <v>0.57282413788474107</v>
      </c>
      <c r="N5842" s="1">
        <v>1.4950982915079156</v>
      </c>
      <c r="O5842" s="1">
        <v>0.43582192090395477</v>
      </c>
      <c r="P5842" s="1">
        <v>0.13657290337662992</v>
      </c>
      <c r="Q5842" s="1">
        <v>2.335865506287913</v>
      </c>
      <c r="R5842" s="2">
        <f t="shared" si="367"/>
        <v>62.188678812891482</v>
      </c>
      <c r="S5842" s="2">
        <f t="shared" si="366"/>
        <v>4.2757992209461291</v>
      </c>
      <c r="T5842" s="2">
        <f t="shared" si="368"/>
        <v>4.9314494948383487</v>
      </c>
      <c r="U5842" s="2">
        <f t="shared" si="369"/>
        <v>71.395927528675955</v>
      </c>
    </row>
    <row r="5843" spans="1:21" x14ac:dyDescent="0.25">
      <c r="A5843">
        <v>6361201</v>
      </c>
      <c r="B5843">
        <v>52</v>
      </c>
      <c r="C5843" s="1">
        <f>0.915534993507276*(10.3/7.3)</f>
        <v>1.2917822511130055</v>
      </c>
      <c r="D5843" s="1">
        <f>2.15231367874947*(10.3/7.3)</f>
        <v>3.0368261494684297</v>
      </c>
      <c r="E5843" s="1">
        <f>7.21637937943181*(10.3/7.3)</f>
        <v>10.182014740842149</v>
      </c>
      <c r="F5843" s="1">
        <f>26.2093900713204*(38.9/42.5)</f>
        <v>23.989300559396817</v>
      </c>
      <c r="G5843" s="1">
        <v>1.5787852198796892</v>
      </c>
      <c r="H5843" s="1">
        <v>5.6466881691145314</v>
      </c>
      <c r="I5843" s="1">
        <v>19.478446707021856</v>
      </c>
      <c r="J5843" s="1">
        <v>6.8163804356822968E-2</v>
      </c>
      <c r="K5843" s="1">
        <v>4.4231536326412586</v>
      </c>
      <c r="L5843" s="1">
        <v>2.7192291513243392</v>
      </c>
      <c r="M5843" s="1">
        <v>0.64925374370235867</v>
      </c>
      <c r="N5843" s="1">
        <v>1.6366823958319381</v>
      </c>
      <c r="O5843" s="1">
        <v>0.47834871794871792</v>
      </c>
      <c r="P5843" s="1">
        <v>0.14288070984808746</v>
      </c>
      <c r="Q5843" s="1">
        <v>2.5231727258351233</v>
      </c>
      <c r="R5843" s="2">
        <f t="shared" si="367"/>
        <v>67.727016522671605</v>
      </c>
      <c r="S5843" s="2">
        <f t="shared" si="366"/>
        <v>4.6341981468461695</v>
      </c>
      <c r="T5843" s="2">
        <f t="shared" si="368"/>
        <v>5.4835140088073535</v>
      </c>
      <c r="U5843" s="2">
        <f t="shared" si="369"/>
        <v>77.844728678325126</v>
      </c>
    </row>
    <row r="5844" spans="1:21" x14ac:dyDescent="0.25">
      <c r="A5844">
        <v>6361689</v>
      </c>
      <c r="B5844">
        <v>68</v>
      </c>
      <c r="C5844" s="1">
        <f>2.23820666533699*(10.3/7.3)</f>
        <v>3.1580176236946533</v>
      </c>
      <c r="D5844" s="1">
        <f>4.84024021726162*(10.3/7.3)</f>
        <v>6.8293800325746172</v>
      </c>
      <c r="E5844" s="1">
        <f>16.3980046932071*(10.3/7.3)</f>
        <v>23.136910731511364</v>
      </c>
      <c r="F5844" s="1">
        <f>52.533398715929*(38.9/42.5)</f>
        <v>48.083510824697328</v>
      </c>
      <c r="G5844" s="1">
        <v>2.9831149343423733</v>
      </c>
      <c r="H5844" s="1">
        <v>8.3411045290743857</v>
      </c>
      <c r="I5844" s="1">
        <v>38.415269598779034</v>
      </c>
      <c r="J5844" s="1">
        <v>3.1748024911839368E-2</v>
      </c>
      <c r="K5844" s="1">
        <v>2.2222519357115265</v>
      </c>
      <c r="L5844" s="1">
        <v>2.4996782878521064</v>
      </c>
      <c r="M5844" s="1">
        <v>0.20242863490423565</v>
      </c>
      <c r="N5844" s="1">
        <v>1.3994224067990471</v>
      </c>
      <c r="O5844" s="1">
        <v>0.1605435294117647</v>
      </c>
      <c r="P5844" s="1">
        <v>0.10066456124624112</v>
      </c>
      <c r="Q5844" s="1">
        <v>4.7675352831955786</v>
      </c>
      <c r="R5844" s="2">
        <f t="shared" si="367"/>
        <v>135.7148435578693</v>
      </c>
      <c r="S5844" s="2">
        <f t="shared" si="366"/>
        <v>2.3546645218696072</v>
      </c>
      <c r="T5844" s="2">
        <f t="shared" si="368"/>
        <v>4.2620728589671542</v>
      </c>
      <c r="U5844" s="2">
        <f t="shared" si="369"/>
        <v>142.33158093870605</v>
      </c>
    </row>
    <row r="5845" spans="1:21" x14ac:dyDescent="0.25">
      <c r="A5845">
        <v>6361697</v>
      </c>
      <c r="B5845">
        <v>39</v>
      </c>
      <c r="C5845" s="1">
        <f>1.91279129567397*(10.3/7.3)</f>
        <v>2.6988699103345071</v>
      </c>
      <c r="D5845" s="1">
        <f>3.7596615209517*(10.3/7.3)</f>
        <v>5.3047278994249982</v>
      </c>
      <c r="E5845" s="1">
        <f>12.8564938135303*(10.3/7.3)</f>
        <v>18.139984421830423</v>
      </c>
      <c r="F5845" s="1">
        <f>36.7749614594543*(38.9/42.5)</f>
        <v>33.659905900535804</v>
      </c>
      <c r="G5845" s="1">
        <v>1.9546111990407531</v>
      </c>
      <c r="H5845" s="1">
        <v>6.0665093217013952</v>
      </c>
      <c r="I5845" s="1">
        <v>26.584784743982475</v>
      </c>
      <c r="J5845" s="1">
        <v>2.889948158954727E-2</v>
      </c>
      <c r="K5845" s="1">
        <v>2.0063395296700288</v>
      </c>
      <c r="L5845" s="1">
        <v>2.1808333538693998</v>
      </c>
      <c r="M5845" s="1">
        <v>0.17971195479650226</v>
      </c>
      <c r="N5845" s="1">
        <v>1.2732213773752004</v>
      </c>
      <c r="O5845" s="1">
        <v>0.14246290598290598</v>
      </c>
      <c r="P5845" s="1">
        <v>9.1791330392770501E-2</v>
      </c>
      <c r="Q5845" s="1">
        <v>3.1238078523482367</v>
      </c>
      <c r="R5845" s="2">
        <f t="shared" si="367"/>
        <v>97.533201249198598</v>
      </c>
      <c r="S5845" s="2">
        <f t="shared" si="366"/>
        <v>2.1270303416523468</v>
      </c>
      <c r="T5845" s="2">
        <f t="shared" si="368"/>
        <v>3.7762295920240083</v>
      </c>
      <c r="U5845" s="2">
        <f t="shared" si="369"/>
        <v>103.43646118287495</v>
      </c>
    </row>
    <row r="5846" spans="1:21" x14ac:dyDescent="0.25">
      <c r="A5846">
        <v>6361705</v>
      </c>
      <c r="B5846">
        <v>29</v>
      </c>
      <c r="C5846" s="1">
        <f>1.82013862010586*(10.3/7.3)</f>
        <v>2.5681407927521054</v>
      </c>
      <c r="D5846" s="1">
        <f>3.51010262607713*(10.3/7.3)</f>
        <v>4.9526105546019821</v>
      </c>
      <c r="E5846" s="1">
        <f>12.021901708113*(10.3/7.3)</f>
        <v>16.962409259392363</v>
      </c>
      <c r="F5846" s="1">
        <f>33.7681180021674*(38.9/42.5)</f>
        <v>30.907759771395604</v>
      </c>
      <c r="G5846" s="1">
        <v>1.7730673998579711</v>
      </c>
      <c r="H5846" s="1">
        <v>5.5365845470654333</v>
      </c>
      <c r="I5846" s="1">
        <v>24.384971527572219</v>
      </c>
      <c r="J5846" s="1">
        <v>2.6853627088354738E-2</v>
      </c>
      <c r="K5846" s="1">
        <v>1.8932402197402138</v>
      </c>
      <c r="L5846" s="1">
        <v>2.0410861368653541</v>
      </c>
      <c r="M5846" s="1">
        <v>0.16783412087489241</v>
      </c>
      <c r="N5846" s="1">
        <v>1.2160304015914538</v>
      </c>
      <c r="O5846" s="1">
        <v>0.13266206896551724</v>
      </c>
      <c r="P5846" s="1">
        <v>8.7074440598445615E-2</v>
      </c>
      <c r="Q5846" s="1">
        <v>2.8336693605036101</v>
      </c>
      <c r="R5846" s="2">
        <f t="shared" si="367"/>
        <v>89.919213213141276</v>
      </c>
      <c r="S5846" s="2">
        <f t="shared" si="366"/>
        <v>2.0071682874270143</v>
      </c>
      <c r="T5846" s="2">
        <f t="shared" si="368"/>
        <v>3.5576127282972174</v>
      </c>
      <c r="U5846" s="2">
        <f t="shared" si="369"/>
        <v>95.483994228865512</v>
      </c>
    </row>
    <row r="5847" spans="1:21" x14ac:dyDescent="0.25">
      <c r="A5847">
        <v>6361713</v>
      </c>
      <c r="B5847">
        <v>49</v>
      </c>
      <c r="C5847" s="1">
        <f>2.324959330543*(10.3/7.3)</f>
        <v>3.280422069122312</v>
      </c>
      <c r="D5847" s="1">
        <f>4.63528753097521*(10.3/7.3)</f>
        <v>6.5402002149376273</v>
      </c>
      <c r="E5847" s="1">
        <f>15.8197040829348*(10.3/7.3)</f>
        <v>22.320952336195745</v>
      </c>
      <c r="F5847" s="1">
        <f>46.5105702539883*(38.9/42.5)</f>
        <v>42.570851361885786</v>
      </c>
      <c r="G5847" s="1">
        <v>2.5135482208752387</v>
      </c>
      <c r="H5847" s="1">
        <v>6.9471382767331082</v>
      </c>
      <c r="I5847" s="1">
        <v>33.759726127599279</v>
      </c>
      <c r="J5847" s="1">
        <v>3.0082582718777333E-2</v>
      </c>
      <c r="K5847" s="1">
        <v>2.0958573710030328</v>
      </c>
      <c r="L5847" s="1">
        <v>2.4912125283695126</v>
      </c>
      <c r="M5847" s="1">
        <v>0.18217011983979203</v>
      </c>
      <c r="N5847" s="1">
        <v>1.5555637778175746</v>
      </c>
      <c r="O5847" s="1">
        <v>0.14633795918367348</v>
      </c>
      <c r="P5847" s="1">
        <v>9.4445787908878726E-2</v>
      </c>
      <c r="Q5847" s="1">
        <v>4.0170861977458197</v>
      </c>
      <c r="R5847" s="2">
        <f t="shared" si="367"/>
        <v>121.94992480509492</v>
      </c>
      <c r="S5847" s="2">
        <f t="shared" si="366"/>
        <v>2.2203857416306891</v>
      </c>
      <c r="T5847" s="2">
        <f t="shared" si="368"/>
        <v>4.375284385210553</v>
      </c>
      <c r="U5847" s="2">
        <f t="shared" si="369"/>
        <v>128.54559493193617</v>
      </c>
    </row>
    <row r="5848" spans="1:21" x14ac:dyDescent="0.25">
      <c r="A5848">
        <v>6361721</v>
      </c>
      <c r="B5848">
        <v>1</v>
      </c>
      <c r="C5848" s="1">
        <f>1.84528594073286*(10.3/7.3)</f>
        <v>2.6036226287052697</v>
      </c>
      <c r="D5848" s="1">
        <f>3.80766051510455*(10.3/7.3)</f>
        <v>5.3724525076132723</v>
      </c>
      <c r="E5848" s="1">
        <f>12.986836702541*(10.3/7.3)</f>
        <v>18.323892881667437</v>
      </c>
      <c r="F5848" s="1">
        <f>37.9574606410931*(38.9/42.5)</f>
        <v>34.742240445612282</v>
      </c>
      <c r="G5848" s="1">
        <v>2.0493333739150934</v>
      </c>
      <c r="H5848" s="1">
        <v>10.120926127511796</v>
      </c>
      <c r="I5848" s="1">
        <v>27.365452584790461</v>
      </c>
      <c r="J5848" s="1">
        <v>2.5696841953714446E-2</v>
      </c>
      <c r="K5848" s="1">
        <v>1.8135762923922185</v>
      </c>
      <c r="L5848" s="1">
        <v>2.5294677854359238</v>
      </c>
      <c r="M5848" s="1">
        <v>0.1532774998458214</v>
      </c>
      <c r="N5848" s="1">
        <v>1.3273746440922982</v>
      </c>
      <c r="O5848" s="1">
        <v>0.12314666666666667</v>
      </c>
      <c r="P5848" s="1">
        <v>8.3544455655738092E-2</v>
      </c>
      <c r="Q5848" s="1">
        <v>3.2751903236086002</v>
      </c>
      <c r="R5848" s="2">
        <f t="shared" si="367"/>
        <v>103.8531108734242</v>
      </c>
      <c r="S5848" s="2">
        <f t="shared" si="366"/>
        <v>1.9228175900016711</v>
      </c>
      <c r="T5848" s="2">
        <f t="shared" si="368"/>
        <v>4.13326659604071</v>
      </c>
      <c r="U5848" s="2">
        <f t="shared" si="369"/>
        <v>109.90919505946658</v>
      </c>
    </row>
    <row r="5849" spans="1:21" x14ac:dyDescent="0.25">
      <c r="A5849">
        <v>6362033</v>
      </c>
      <c r="B5849">
        <v>29</v>
      </c>
      <c r="C5849" s="1">
        <f>2.62008711268895*(10.3/7.3)</f>
        <v>3.6968352411912524</v>
      </c>
      <c r="D5849" s="1">
        <f>3.79244909914376*(10.3/7.3)</f>
        <v>5.3509898248192806</v>
      </c>
      <c r="E5849" s="1">
        <f>13.2991393343917*(10.3/7.3)</f>
        <v>18.764539060854101</v>
      </c>
      <c r="F5849" s="1">
        <f>28.024158835091*(38.9/42.5)</f>
        <v>25.650347733765674</v>
      </c>
      <c r="G5849" s="1">
        <v>1.1281730066337492</v>
      </c>
      <c r="H5849" s="1">
        <v>5.120057882673974</v>
      </c>
      <c r="I5849" s="1">
        <v>20.148504898241047</v>
      </c>
      <c r="J5849" s="1">
        <v>2.2906277055174149E-2</v>
      </c>
      <c r="K5849" s="1">
        <v>1.6060776247546331</v>
      </c>
      <c r="L5849" s="1">
        <v>1.4500993052963909</v>
      </c>
      <c r="M5849" s="1">
        <v>8.8926569851239645E-2</v>
      </c>
      <c r="N5849" s="1">
        <v>0.95261940778818366</v>
      </c>
      <c r="O5849" s="1">
        <v>8.4332873563218377E-2</v>
      </c>
      <c r="P5849" s="1">
        <v>6.5103369053525373E-2</v>
      </c>
      <c r="Q5849" s="1">
        <v>1.8030162206475464</v>
      </c>
      <c r="R5849" s="2">
        <f t="shared" si="367"/>
        <v>81.662463868826634</v>
      </c>
      <c r="S5849" s="2">
        <f t="shared" si="366"/>
        <v>1.6940872708633328</v>
      </c>
      <c r="T5849" s="2">
        <f t="shared" si="368"/>
        <v>2.5759781564990325</v>
      </c>
      <c r="U5849" s="2">
        <f t="shared" si="369"/>
        <v>85.932529296189003</v>
      </c>
    </row>
    <row r="5850" spans="1:21" x14ac:dyDescent="0.25">
      <c r="A5850">
        <v>6362041</v>
      </c>
      <c r="B5850">
        <v>48</v>
      </c>
      <c r="C5850" s="1">
        <f>2.57323059955999*(10.3/7.3)</f>
        <v>3.6307226267764268</v>
      </c>
      <c r="D5850" s="1">
        <f>5.16704655595456*(10.3/7.3)</f>
        <v>7.2904903460728727</v>
      </c>
      <c r="E5850" s="1">
        <f>18.0330622116341*(10.3/7.3)</f>
        <v>25.443909695867227</v>
      </c>
      <c r="F5850" s="1">
        <f>32.3431872566763*(38.9/42.5)</f>
        <v>29.603529041993095</v>
      </c>
      <c r="G5850" s="1">
        <v>1.1271221790969428</v>
      </c>
      <c r="H5850" s="1">
        <v>4.822317862323751</v>
      </c>
      <c r="I5850" s="1">
        <v>19.988989495351639</v>
      </c>
      <c r="J5850" s="1">
        <v>2.2457332685234768E-2</v>
      </c>
      <c r="K5850" s="1">
        <v>1.593713428542183</v>
      </c>
      <c r="L5850" s="1">
        <v>1.4395500027383497</v>
      </c>
      <c r="M5850" s="1">
        <v>8.7588602041117347E-2</v>
      </c>
      <c r="N5850" s="1">
        <v>0.93609723229310882</v>
      </c>
      <c r="O5850" s="1">
        <v>8.3523333333333324E-2</v>
      </c>
      <c r="P5850" s="1">
        <v>6.4640952721107453E-2</v>
      </c>
      <c r="Q5850" s="1">
        <v>1.8013368159083578</v>
      </c>
      <c r="R5850" s="2">
        <f t="shared" si="367"/>
        <v>93.708418063390312</v>
      </c>
      <c r="S5850" s="2">
        <f t="shared" si="366"/>
        <v>1.6808117139485252</v>
      </c>
      <c r="T5850" s="2">
        <f t="shared" si="368"/>
        <v>2.5467591704059092</v>
      </c>
      <c r="U5850" s="2">
        <f t="shared" si="369"/>
        <v>97.935988947744747</v>
      </c>
    </row>
    <row r="5851" spans="1:21" x14ac:dyDescent="0.25">
      <c r="A5851">
        <v>6362049</v>
      </c>
      <c r="B5851">
        <v>63</v>
      </c>
      <c r="C5851" s="1">
        <f>2.4894944887572*(10.3/7.3)</f>
        <v>3.5125744156437255</v>
      </c>
      <c r="D5851" s="1">
        <f>3.87253157673711*(10.3/7.3)</f>
        <v>5.4639829096427688</v>
      </c>
      <c r="E5851" s="1">
        <f>13.5758087543507*(10.3/7.3)</f>
        <v>19.154908242440058</v>
      </c>
      <c r="F5851" s="1">
        <f>26.9465863554563*(38.9/42.5)</f>
        <v>24.664051981817689</v>
      </c>
      <c r="G5851" s="1">
        <v>1.0256476692756511</v>
      </c>
      <c r="H5851" s="1">
        <v>4.5145582694174511</v>
      </c>
      <c r="I5851" s="1">
        <v>18.658159159530651</v>
      </c>
      <c r="J5851" s="1">
        <v>2.0556638392708236E-2</v>
      </c>
      <c r="K5851" s="1">
        <v>1.5155981626286481</v>
      </c>
      <c r="L5851" s="1">
        <v>1.3502980219090848</v>
      </c>
      <c r="M5851" s="1">
        <v>8.2553973050106796E-2</v>
      </c>
      <c r="N5851" s="1">
        <v>0.85131822685834024</v>
      </c>
      <c r="O5851" s="1">
        <v>7.8499047619047635E-2</v>
      </c>
      <c r="P5851" s="1">
        <v>6.1503833274270461E-2</v>
      </c>
      <c r="Q5851" s="1">
        <v>1.6391629417647409</v>
      </c>
      <c r="R5851" s="2">
        <f t="shared" si="367"/>
        <v>78.633045589532728</v>
      </c>
      <c r="S5851" s="2">
        <f t="shared" si="366"/>
        <v>1.5976586342956269</v>
      </c>
      <c r="T5851" s="2">
        <f t="shared" si="368"/>
        <v>2.3626692694365796</v>
      </c>
      <c r="U5851" s="2">
        <f t="shared" si="369"/>
        <v>82.593373493264934</v>
      </c>
    </row>
    <row r="5852" spans="1:21" x14ac:dyDescent="0.25">
      <c r="A5852">
        <v>6362057</v>
      </c>
      <c r="B5852">
        <v>61</v>
      </c>
      <c r="C5852" s="1">
        <f>2.52730516013646*(10.3/7.3)</f>
        <v>3.5659237190966526</v>
      </c>
      <c r="D5852" s="1">
        <f>3.36900011874979*(10.3/7.3)</f>
        <v>4.7535207154962809</v>
      </c>
      <c r="E5852" s="1">
        <f>11.8435077665099*(10.3/7.3)</f>
        <v>16.710702739048202</v>
      </c>
      <c r="F5852" s="1">
        <f>25.4854085303396*(38.9/42.5)</f>
        <v>23.326644513652031</v>
      </c>
      <c r="G5852" s="1">
        <v>1.0345237500657953</v>
      </c>
      <c r="H5852" s="1">
        <v>4.3620760435093793</v>
      </c>
      <c r="I5852" s="1">
        <v>18.871174718667142</v>
      </c>
      <c r="J5852" s="1">
        <v>1.9684430911888016E-2</v>
      </c>
      <c r="K5852" s="1">
        <v>1.4809138614989954</v>
      </c>
      <c r="L5852" s="1">
        <v>1.3138074770240562</v>
      </c>
      <c r="M5852" s="1">
        <v>8.091551028768959E-2</v>
      </c>
      <c r="N5852" s="1">
        <v>0.81693749867405308</v>
      </c>
      <c r="O5852" s="1">
        <v>7.6862076502732232E-2</v>
      </c>
      <c r="P5852" s="1">
        <v>6.0191841568663286E-2</v>
      </c>
      <c r="Q5852" s="1">
        <v>1.6533484590092629</v>
      </c>
      <c r="R5852" s="2">
        <f t="shared" si="367"/>
        <v>74.277914658544745</v>
      </c>
      <c r="S5852" s="2">
        <f t="shared" si="366"/>
        <v>1.5607901339795467</v>
      </c>
      <c r="T5852" s="2">
        <f t="shared" si="368"/>
        <v>2.2885225624885313</v>
      </c>
      <c r="U5852" s="2">
        <f t="shared" si="369"/>
        <v>78.127227355012835</v>
      </c>
    </row>
    <row r="5853" spans="1:21" x14ac:dyDescent="0.25">
      <c r="A5853">
        <v>637033</v>
      </c>
      <c r="B5853">
        <v>30</v>
      </c>
      <c r="C5853" s="1">
        <f>1.59857071923032*(10.3/7.3)</f>
        <v>2.255517590146884</v>
      </c>
      <c r="D5853" s="1">
        <f>2.26046964157794*(10.3/7.3)</f>
        <v>3.1894297682538011</v>
      </c>
      <c r="E5853" s="1">
        <f>7.86140143471296*(10.3/7.3)</f>
        <v>11.092114353088148</v>
      </c>
      <c r="F5853" s="1">
        <f>20.2488418160957*(38.9/42.5)</f>
        <v>18.533645803438187</v>
      </c>
      <c r="G5853" s="1">
        <v>0.97378384941707563</v>
      </c>
      <c r="H5853" s="1">
        <v>3.2934830535152644</v>
      </c>
      <c r="I5853" s="1">
        <v>15.290376667317464</v>
      </c>
      <c r="J5853" s="1">
        <v>5.0314778632093507E-2</v>
      </c>
      <c r="K5853" s="1">
        <v>4.8301906374956349</v>
      </c>
      <c r="L5853" s="1">
        <v>1.6644790730736476</v>
      </c>
      <c r="M5853" s="1">
        <v>0.10881072348677077</v>
      </c>
      <c r="N5853" s="1">
        <v>1.2544200642908467</v>
      </c>
      <c r="O5853" s="1">
        <v>7.8874666666666676E-2</v>
      </c>
      <c r="P5853" s="1">
        <v>6.7615795294860531E-2</v>
      </c>
      <c r="Q5853" s="1">
        <v>1.5562755584291177</v>
      </c>
      <c r="R5853" s="2">
        <f t="shared" si="367"/>
        <v>56.184626643605952</v>
      </c>
      <c r="S5853" s="2">
        <f t="shared" si="366"/>
        <v>4.9481212114225883</v>
      </c>
      <c r="T5853" s="2">
        <f t="shared" si="368"/>
        <v>3.1065845275179318</v>
      </c>
      <c r="U5853" s="2">
        <f t="shared" si="369"/>
        <v>64.239332382546479</v>
      </c>
    </row>
    <row r="5854" spans="1:21" x14ac:dyDescent="0.25">
      <c r="A5854">
        <v>637041</v>
      </c>
      <c r="B5854">
        <v>40</v>
      </c>
      <c r="C5854" s="1">
        <f>1.40550208500035*(10.3/7.3)</f>
        <v>1.9831056815758412</v>
      </c>
      <c r="D5854" s="1">
        <f>1.95854562769685*(10.3/7.3)</f>
        <v>2.7634273925037816</v>
      </c>
      <c r="E5854" s="1">
        <f>6.8245082698296*(10.3/7.3)</f>
        <v>9.6291007094855967</v>
      </c>
      <c r="F5854" s="1">
        <f>17.113585309311*(38.9/42.5)</f>
        <v>15.663963965463502</v>
      </c>
      <c r="G5854" s="1">
        <v>0.80481130564052705</v>
      </c>
      <c r="H5854" s="1">
        <v>4.6685165111925402</v>
      </c>
      <c r="I5854" s="1">
        <v>12.90435755314113</v>
      </c>
      <c r="J5854" s="1">
        <v>3.9120853520238349E-2</v>
      </c>
      <c r="K5854" s="1">
        <v>4.1102756944695917</v>
      </c>
      <c r="L5854" s="1">
        <v>1.4806384513908177</v>
      </c>
      <c r="M5854" s="1">
        <v>9.5859569749111126E-2</v>
      </c>
      <c r="N5854" s="1">
        <v>1.2147129199436335</v>
      </c>
      <c r="O5854" s="1">
        <v>7.3080000000000006E-2</v>
      </c>
      <c r="P5854" s="1">
        <v>6.3008388343713084E-2</v>
      </c>
      <c r="Q5854" s="1">
        <v>1.2862281140373741</v>
      </c>
      <c r="R5854" s="2">
        <f t="shared" si="367"/>
        <v>49.703511233040295</v>
      </c>
      <c r="S5854" s="2">
        <f t="shared" si="366"/>
        <v>4.2124049363335425</v>
      </c>
      <c r="T5854" s="2">
        <f t="shared" si="368"/>
        <v>2.8642909410835626</v>
      </c>
      <c r="U5854" s="2">
        <f t="shared" si="369"/>
        <v>56.780207110457397</v>
      </c>
    </row>
    <row r="5855" spans="1:21" x14ac:dyDescent="0.25">
      <c r="A5855">
        <v>637049</v>
      </c>
      <c r="B5855">
        <v>8</v>
      </c>
      <c r="C5855" s="1">
        <f>1.60352281402774*(10.3/7.3)</f>
        <v>2.2625047923952981</v>
      </c>
      <c r="D5855" s="1">
        <f>2.3404767422569*(10.3/7.3)</f>
        <v>3.3023164993487786</v>
      </c>
      <c r="E5855" s="1">
        <f>8.11411656300508*(10.3/7.3)</f>
        <v>11.448685013555115</v>
      </c>
      <c r="F5855" s="1">
        <f>21.683555288996*(38.9/42.5)</f>
        <v>19.846830605692773</v>
      </c>
      <c r="G5855" s="1">
        <v>1.074733188821585</v>
      </c>
      <c r="H5855" s="1">
        <v>5.1121090110544349</v>
      </c>
      <c r="I5855" s="1">
        <v>16.366037224446988</v>
      </c>
      <c r="J5855" s="1">
        <v>4.2138195711996326E-2</v>
      </c>
      <c r="K5855" s="1">
        <v>3.7226823034610317</v>
      </c>
      <c r="L5855" s="1">
        <v>1.4567958101823841</v>
      </c>
      <c r="M5855" s="1">
        <v>8.9327794754359341E-2</v>
      </c>
      <c r="N5855" s="1">
        <v>1.5833727389843613</v>
      </c>
      <c r="O5855" s="1">
        <v>7.2926666666666654E-2</v>
      </c>
      <c r="P5855" s="1">
        <v>6.2074784163826918E-2</v>
      </c>
      <c r="Q5855" s="1">
        <v>1.7176101191212565</v>
      </c>
      <c r="R5855" s="2">
        <f t="shared" si="367"/>
        <v>61.130826454436225</v>
      </c>
      <c r="S5855" s="2">
        <f t="shared" si="366"/>
        <v>3.8268952833368548</v>
      </c>
      <c r="T5855" s="2">
        <f t="shared" si="368"/>
        <v>3.2024230105877711</v>
      </c>
      <c r="U5855" s="2">
        <f t="shared" si="369"/>
        <v>68.16014474836085</v>
      </c>
    </row>
    <row r="5856" spans="1:21" x14ac:dyDescent="0.25">
      <c r="A5856">
        <v>637057</v>
      </c>
      <c r="B5856">
        <v>27</v>
      </c>
      <c r="C5856" s="1">
        <f>1.30670690869893*(10.3/7.3)</f>
        <v>1.8437097478902682</v>
      </c>
      <c r="D5856" s="1">
        <f>1.91037580748915*(10.3/7.3)</f>
        <v>2.6954617557723664</v>
      </c>
      <c r="E5856" s="1">
        <f>6.61719492612534*(10.3/7.3)</f>
        <v>9.3365901012453403</v>
      </c>
      <c r="F5856" s="1">
        <f>17.9593879101298*(38.9/42.5)</f>
        <v>16.438122110683501</v>
      </c>
      <c r="G5856" s="1">
        <v>0.89982703611104153</v>
      </c>
      <c r="H5856" s="1">
        <v>4.5517357091074171</v>
      </c>
      <c r="I5856" s="1">
        <v>13.588954675371971</v>
      </c>
      <c r="J5856" s="1">
        <v>3.2770734084081606E-2</v>
      </c>
      <c r="K5856" s="1">
        <v>3.7021855189971919</v>
      </c>
      <c r="L5856" s="1">
        <v>1.4004322702982785</v>
      </c>
      <c r="M5856" s="1">
        <v>8.4932082081141572E-2</v>
      </c>
      <c r="N5856" s="1">
        <v>1.0379875921797781</v>
      </c>
      <c r="O5856" s="1">
        <v>7.0860246913580241E-2</v>
      </c>
      <c r="P5856" s="1">
        <v>6.1456904315430619E-2</v>
      </c>
      <c r="Q5856" s="1">
        <v>1.4380797380770085</v>
      </c>
      <c r="R5856" s="2">
        <f t="shared" si="367"/>
        <v>50.792480874258914</v>
      </c>
      <c r="S5856" s="2">
        <f t="shared" si="366"/>
        <v>3.7964131573967044</v>
      </c>
      <c r="T5856" s="2">
        <f t="shared" si="368"/>
        <v>2.5942121914727787</v>
      </c>
      <c r="U5856" s="2">
        <f t="shared" si="369"/>
        <v>57.183106223128398</v>
      </c>
    </row>
    <row r="5857" spans="1:21" x14ac:dyDescent="0.25">
      <c r="A5857">
        <v>637097</v>
      </c>
      <c r="B5857">
        <v>18</v>
      </c>
      <c r="C5857" s="1">
        <f>1.20616035481387*(10.3/7.3)</f>
        <v>1.7018426924086174</v>
      </c>
      <c r="D5857" s="1">
        <f>1.8325976844492*(10.3/7.3)</f>
        <v>2.5857200205242141</v>
      </c>
      <c r="E5857" s="1">
        <f>6.34463756795718*(10.3/7.3)</f>
        <v>8.9520228698573963</v>
      </c>
      <c r="F5857" s="1">
        <f>16.9043401405445*(38.9/42.5)</f>
        <v>15.472443093345435</v>
      </c>
      <c r="G5857" s="1">
        <v>0.83972001275026475</v>
      </c>
      <c r="H5857" s="1">
        <v>4.7359193710842211</v>
      </c>
      <c r="I5857" s="1">
        <v>12.639213012619109</v>
      </c>
      <c r="J5857" s="1">
        <v>2.9108377774518017E-2</v>
      </c>
      <c r="K5857" s="1">
        <v>2.7627764471390224</v>
      </c>
      <c r="L5857" s="1">
        <v>1.1543047851066683</v>
      </c>
      <c r="M5857" s="1">
        <v>6.4757178846215929E-2</v>
      </c>
      <c r="N5857" s="1">
        <v>1.1010929038784749</v>
      </c>
      <c r="O5857" s="1">
        <v>5.8838518518518526E-2</v>
      </c>
      <c r="P5857" s="1">
        <v>5.3384739040240749E-2</v>
      </c>
      <c r="Q5857" s="1">
        <v>1.3420182852173193</v>
      </c>
      <c r="R5857" s="2">
        <f t="shared" si="367"/>
        <v>48.268899357806575</v>
      </c>
      <c r="S5857" s="2">
        <f t="shared" si="366"/>
        <v>2.8452695639537811</v>
      </c>
      <c r="T5857" s="2">
        <f t="shared" si="368"/>
        <v>2.3789933863498778</v>
      </c>
      <c r="U5857" s="2">
        <f t="shared" si="369"/>
        <v>53.493162308110229</v>
      </c>
    </row>
    <row r="5858" spans="1:21" x14ac:dyDescent="0.25">
      <c r="A5858">
        <v>637105</v>
      </c>
      <c r="B5858">
        <v>23</v>
      </c>
      <c r="C5858" s="1">
        <f>1.59981696852133*(10.3/7.3)</f>
        <v>2.257275996680784</v>
      </c>
      <c r="D5858" s="1">
        <f>2.51547180516238*(10.3/7.3)</f>
        <v>3.5492273415304805</v>
      </c>
      <c r="E5858" s="1">
        <f>8.76713482012727*(10.3/7.3)</f>
        <v>12.370066937987797</v>
      </c>
      <c r="F5858" s="1">
        <f>19.8150918515895*(38.9/42.5)</f>
        <v>18.13663701239599</v>
      </c>
      <c r="G5858" s="1">
        <v>0.86651394386064384</v>
      </c>
      <c r="H5858" s="1">
        <v>4.5933310384907937</v>
      </c>
      <c r="I5858" s="1">
        <v>14.167991848065981</v>
      </c>
      <c r="J5858" s="1">
        <v>3.5853595851536191E-2</v>
      </c>
      <c r="K5858" s="1">
        <v>3.2812126030930799</v>
      </c>
      <c r="L5858" s="1">
        <v>1.3395467018912091</v>
      </c>
      <c r="M5858" s="1">
        <v>7.1851880545601918E-2</v>
      </c>
      <c r="N5858" s="1">
        <v>1.3248557962473988</v>
      </c>
      <c r="O5858" s="1">
        <v>6.7999999999999991E-2</v>
      </c>
      <c r="P5858" s="1">
        <v>5.9702308843386252E-2</v>
      </c>
      <c r="Q5858" s="1">
        <v>1.3848396363069662</v>
      </c>
      <c r="R5858" s="2">
        <f t="shared" si="367"/>
        <v>57.325883755319438</v>
      </c>
      <c r="S5858" s="2">
        <f t="shared" si="366"/>
        <v>3.3767685077880021</v>
      </c>
      <c r="T5858" s="2">
        <f t="shared" si="368"/>
        <v>2.80425437868421</v>
      </c>
      <c r="U5858" s="2">
        <f t="shared" si="369"/>
        <v>63.506906641791652</v>
      </c>
    </row>
    <row r="5859" spans="1:21" x14ac:dyDescent="0.25">
      <c r="A5859">
        <v>6373413</v>
      </c>
      <c r="B5859">
        <v>58</v>
      </c>
      <c r="C5859" s="1">
        <f>0.476094677664063*(10.3/7.3)</f>
        <v>0.6717500246492949</v>
      </c>
      <c r="D5859" s="1">
        <f>0.881559612890138*(10.3/7.3)</f>
        <v>1.2438443853107428</v>
      </c>
      <c r="E5859" s="1">
        <f>3.00708049899568*(10.3/7.3)</f>
        <v>4.2428670054322586</v>
      </c>
      <c r="F5859" s="1">
        <f>9.26361272475047*(38.9/42.5)</f>
        <v>8.4789302351245439</v>
      </c>
      <c r="G5859" s="1">
        <v>0.51084231378083544</v>
      </c>
      <c r="H5859" s="1">
        <v>1.8450185279270792</v>
      </c>
      <c r="I5859" s="1">
        <v>6.8725215079105535</v>
      </c>
      <c r="J5859" s="1">
        <v>2.5740590847625078E-2</v>
      </c>
      <c r="K5859" s="1">
        <v>2.9271494895122214</v>
      </c>
      <c r="L5859" s="1">
        <v>1.5259159964113043</v>
      </c>
      <c r="M5859" s="1">
        <v>0.35849825267702484</v>
      </c>
      <c r="N5859" s="1">
        <v>0.89528822445947176</v>
      </c>
      <c r="O5859" s="1">
        <v>0.26303264367816087</v>
      </c>
      <c r="P5859" s="1">
        <v>0.10831765224078765</v>
      </c>
      <c r="Q5859" s="1">
        <v>0.81641465672736335</v>
      </c>
      <c r="R5859" s="2">
        <f t="shared" si="367"/>
        <v>24.682188656862674</v>
      </c>
      <c r="S5859" s="2">
        <f t="shared" si="366"/>
        <v>3.0612077326006339</v>
      </c>
      <c r="T5859" s="2">
        <f t="shared" si="368"/>
        <v>3.0427351172259618</v>
      </c>
      <c r="U5859" s="2">
        <f t="shared" si="369"/>
        <v>30.786131506689269</v>
      </c>
    </row>
    <row r="5860" spans="1:21" x14ac:dyDescent="0.25">
      <c r="A5860">
        <v>6373421</v>
      </c>
      <c r="B5860">
        <v>63</v>
      </c>
      <c r="C5860" s="1">
        <f>0.711507219182944*(10.3/7.3)</f>
        <v>1.0039074462444273</v>
      </c>
      <c r="D5860" s="1">
        <f>1.47681421700027*(10.3/7.3)</f>
        <v>2.0837241691921555</v>
      </c>
      <c r="E5860" s="1">
        <f>4.9934247620017*(10.3/7.3)</f>
        <v>7.0455171299476023</v>
      </c>
      <c r="F5860" s="1">
        <f>16.7914012629292*(38.9/42.5)</f>
        <v>15.369070803010523</v>
      </c>
      <c r="G5860" s="1">
        <v>0.97311913171090203</v>
      </c>
      <c r="H5860" s="1">
        <v>3.2319685914088816</v>
      </c>
      <c r="I5860" s="1">
        <v>12.472417399892871</v>
      </c>
      <c r="J5860" s="1">
        <v>3.6333812896214401E-2</v>
      </c>
      <c r="K5860" s="1">
        <v>3.7070397619611528</v>
      </c>
      <c r="L5860" s="1">
        <v>2.0770369599113043</v>
      </c>
      <c r="M5860" s="1">
        <v>0.48355491171582154</v>
      </c>
      <c r="N5860" s="1">
        <v>1.1945800496319203</v>
      </c>
      <c r="O5860" s="1">
        <v>0.37647322751322759</v>
      </c>
      <c r="P5860" s="1">
        <v>0.12802309476149248</v>
      </c>
      <c r="Q5860" s="1">
        <v>1.5552132241955074</v>
      </c>
      <c r="R5860" s="2">
        <f t="shared" si="367"/>
        <v>43.734937895602869</v>
      </c>
      <c r="S5860" s="2">
        <f t="shared" si="366"/>
        <v>3.8713966696188598</v>
      </c>
      <c r="T5860" s="2">
        <f t="shared" si="368"/>
        <v>4.1316451487722734</v>
      </c>
      <c r="U5860" s="2">
        <f t="shared" si="369"/>
        <v>51.737979713994001</v>
      </c>
    </row>
    <row r="5861" spans="1:21" x14ac:dyDescent="0.25">
      <c r="A5861">
        <v>6373429</v>
      </c>
      <c r="B5861">
        <v>67</v>
      </c>
      <c r="C5861" s="1">
        <f>0.71277588379842*(10.3/7.3)</f>
        <v>1.0056974798799632</v>
      </c>
      <c r="D5861" s="1">
        <f>1.59348384789498*(10.3/7.3)</f>
        <v>2.2483402237422387</v>
      </c>
      <c r="E5861" s="1">
        <f>5.35993135702499*(10.3/7.3)</f>
        <v>7.5626428736106099</v>
      </c>
      <c r="F5861" s="1">
        <f>18.9212285677968*(38.9/42.5)</f>
        <v>17.318489206759924</v>
      </c>
      <c r="G5861" s="1">
        <v>1.1241146845508325</v>
      </c>
      <c r="H5861" s="1">
        <v>4.7180669152490324</v>
      </c>
      <c r="I5861" s="1">
        <v>14.0618909248204</v>
      </c>
      <c r="J5861" s="1">
        <v>4.3766810145126005E-2</v>
      </c>
      <c r="K5861" s="1">
        <v>3.763638376364308</v>
      </c>
      <c r="L5861" s="1">
        <v>2.1034270281569034</v>
      </c>
      <c r="M5861" s="1">
        <v>0.49440783962525064</v>
      </c>
      <c r="N5861" s="1">
        <v>1.2659279870750204</v>
      </c>
      <c r="O5861" s="1">
        <v>0.37762069651741287</v>
      </c>
      <c r="P5861" s="1">
        <v>0.12670993818915169</v>
      </c>
      <c r="Q5861" s="1">
        <v>1.7965303177753047</v>
      </c>
      <c r="R5861" s="2">
        <f t="shared" si="367"/>
        <v>49.835772626388305</v>
      </c>
      <c r="S5861" s="2">
        <f t="shared" si="366"/>
        <v>3.9341151246985855</v>
      </c>
      <c r="T5861" s="2">
        <f t="shared" si="368"/>
        <v>4.2413835513745868</v>
      </c>
      <c r="U5861" s="2">
        <f t="shared" si="369"/>
        <v>58.011271302461481</v>
      </c>
    </row>
    <row r="5862" spans="1:21" x14ac:dyDescent="0.25">
      <c r="A5862">
        <v>6373437</v>
      </c>
      <c r="B5862">
        <v>3</v>
      </c>
      <c r="C5862" s="1">
        <f>0.756887196785239*(10.3/7.3)</f>
        <v>1.0679367297106801</v>
      </c>
      <c r="D5862" s="1">
        <f>1.741919074062*(10.3/7.3)</f>
        <v>2.4577762277861037</v>
      </c>
      <c r="E5862" s="1">
        <f>5.84124988024868*(10.3/7.3)</f>
        <v>8.2417635296659402</v>
      </c>
      <c r="F5862" s="1">
        <f>21.330387598217*(38.9/42.5)</f>
        <v>19.523578295779785</v>
      </c>
      <c r="G5862" s="1">
        <v>1.2864663431016738</v>
      </c>
      <c r="H5862" s="1">
        <v>4.1003243145202113</v>
      </c>
      <c r="I5862" s="1">
        <v>15.906365899397992</v>
      </c>
      <c r="J5862" s="1">
        <v>6.4522156332262534E-2</v>
      </c>
      <c r="K5862" s="1">
        <v>3.4083611647370233</v>
      </c>
      <c r="L5862" s="1">
        <v>2.1422002562987172</v>
      </c>
      <c r="M5862" s="1">
        <v>0.48195295545277556</v>
      </c>
      <c r="N5862" s="1">
        <v>1.1866823996776581</v>
      </c>
      <c r="O5862" s="1">
        <v>0.36549333333333339</v>
      </c>
      <c r="P5862" s="1">
        <v>0.11801846021669604</v>
      </c>
      <c r="Q5862" s="1">
        <v>2.0559964387469694</v>
      </c>
      <c r="R5862" s="2">
        <f t="shared" si="367"/>
        <v>54.640207778709353</v>
      </c>
      <c r="S5862" s="2">
        <f t="shared" si="366"/>
        <v>3.5909017812859818</v>
      </c>
      <c r="T5862" s="2">
        <f t="shared" si="368"/>
        <v>4.1763289447624841</v>
      </c>
      <c r="U5862" s="2">
        <f t="shared" si="369"/>
        <v>62.407438504757813</v>
      </c>
    </row>
    <row r="5863" spans="1:21" x14ac:dyDescent="0.25">
      <c r="A5863">
        <v>6373917</v>
      </c>
      <c r="B5863">
        <v>47</v>
      </c>
      <c r="C5863" s="1">
        <f>2.03392371985082*(10.3/7.3)</f>
        <v>2.8697827828032052</v>
      </c>
      <c r="D5863" s="1">
        <f>5.20697017574483*(10.3/7.3)</f>
        <v>7.3468209329002407</v>
      </c>
      <c r="E5863" s="1">
        <f>17.3498109697629*(10.3/7.3)</f>
        <v>24.479870272405247</v>
      </c>
      <c r="F5863" s="1">
        <f>66.8383902111959*(38.9/42.5)</f>
        <v>61.176785393306389</v>
      </c>
      <c r="G5863" s="1">
        <v>4.1311291746733101</v>
      </c>
      <c r="H5863" s="1">
        <v>8.6031195434895924</v>
      </c>
      <c r="I5863" s="1">
        <v>49.822075139298761</v>
      </c>
      <c r="J5863" s="1">
        <v>3.1142768273776707E-2</v>
      </c>
      <c r="K5863" s="1">
        <v>2.148350328957612</v>
      </c>
      <c r="L5863" s="1">
        <v>2.3768692917977514</v>
      </c>
      <c r="M5863" s="1">
        <v>0.19605427756949936</v>
      </c>
      <c r="N5863" s="1">
        <v>1.3743350251476409</v>
      </c>
      <c r="O5863" s="1">
        <v>0.15390297872340419</v>
      </c>
      <c r="P5863" s="1">
        <v>9.746564666147077E-2</v>
      </c>
      <c r="Q5863" s="1">
        <v>6.6022612380623746</v>
      </c>
      <c r="R5863" s="2">
        <f t="shared" si="367"/>
        <v>165.03184447693911</v>
      </c>
      <c r="S5863" s="2">
        <f t="shared" si="366"/>
        <v>2.2769587438928593</v>
      </c>
      <c r="T5863" s="2">
        <f t="shared" si="368"/>
        <v>4.1011615732382962</v>
      </c>
      <c r="U5863" s="2">
        <f t="shared" si="369"/>
        <v>171.40996479407028</v>
      </c>
    </row>
    <row r="5864" spans="1:21" x14ac:dyDescent="0.25">
      <c r="A5864">
        <v>6373925</v>
      </c>
      <c r="B5864">
        <v>62</v>
      </c>
      <c r="C5864" s="1">
        <f>1.93696372096374*(10.3/7.3)</f>
        <v>2.7329762090310283</v>
      </c>
      <c r="D5864" s="1">
        <f>3.89274188360148*(10.3/7.3)</f>
        <v>5.4924988220678479</v>
      </c>
      <c r="E5864" s="1">
        <f>13.2889854196558*(10.3/7.3)</f>
        <v>18.750212304445792</v>
      </c>
      <c r="F5864" s="1">
        <f>38.7334959827969*(38.9/42.5)</f>
        <v>35.452541028960006</v>
      </c>
      <c r="G5864" s="1">
        <v>2.0842734522965713</v>
      </c>
      <c r="H5864" s="1">
        <v>6.2619322767560233</v>
      </c>
      <c r="I5864" s="1">
        <v>28.022837426290756</v>
      </c>
      <c r="J5864" s="1">
        <v>2.9232388826261238E-2</v>
      </c>
      <c r="K5864" s="1">
        <v>2.0869131555039249</v>
      </c>
      <c r="L5864" s="1">
        <v>2.2766092134335221</v>
      </c>
      <c r="M5864" s="1">
        <v>0.1890580132238775</v>
      </c>
      <c r="N5864" s="1">
        <v>1.3135650993130221</v>
      </c>
      <c r="O5864" s="1">
        <v>0.14898924731182797</v>
      </c>
      <c r="P5864" s="1">
        <v>9.5201831094545081E-2</v>
      </c>
      <c r="Q5864" s="1">
        <v>3.3310306315242046</v>
      </c>
      <c r="R5864" s="2">
        <f t="shared" si="367"/>
        <v>102.12830215137224</v>
      </c>
      <c r="S5864" s="2">
        <f t="shared" si="366"/>
        <v>2.2113473754247313</v>
      </c>
      <c r="T5864" s="2">
        <f t="shared" si="368"/>
        <v>3.9282215732822499</v>
      </c>
      <c r="U5864" s="2">
        <f t="shared" si="369"/>
        <v>108.26787110007922</v>
      </c>
    </row>
    <row r="5865" spans="1:21" x14ac:dyDescent="0.25">
      <c r="A5865">
        <v>6373933</v>
      </c>
      <c r="B5865">
        <v>51</v>
      </c>
      <c r="C5865" s="1">
        <f>2.47475099792703*(10.3/7.3)</f>
        <v>3.4917719559792313</v>
      </c>
      <c r="D5865" s="1">
        <f>4.88369476985231*(10.3/7.3)</f>
        <v>6.890692620476548</v>
      </c>
      <c r="E5865" s="1">
        <f>16.700014069581*(10.3/7.3)</f>
        <v>23.563033550230795</v>
      </c>
      <c r="F5865" s="1">
        <f>47.6801061696545*(38.9/42.5)</f>
        <v>43.641320705871998</v>
      </c>
      <c r="G5865" s="1">
        <v>2.5322026850546</v>
      </c>
      <c r="H5865" s="1">
        <v>7.233231860131232</v>
      </c>
      <c r="I5865" s="1">
        <v>34.430266772030656</v>
      </c>
      <c r="J5865" s="1">
        <v>3.4480606531451158E-2</v>
      </c>
      <c r="K5865" s="1">
        <v>2.1969630386006971</v>
      </c>
      <c r="L5865" s="1">
        <v>2.4602600951529658</v>
      </c>
      <c r="M5865" s="1">
        <v>0.19686218876545031</v>
      </c>
      <c r="N5865" s="1">
        <v>1.4037424200976751</v>
      </c>
      <c r="O5865" s="1">
        <v>0.15851189542483665</v>
      </c>
      <c r="P5865" s="1">
        <v>9.8965806612559853E-2</v>
      </c>
      <c r="Q5865" s="1">
        <v>4.0468992683521021</v>
      </c>
      <c r="R5865" s="2">
        <f t="shared" si="367"/>
        <v>125.82941941812716</v>
      </c>
      <c r="S5865" s="2">
        <f t="shared" si="366"/>
        <v>2.3304094517447083</v>
      </c>
      <c r="T5865" s="2">
        <f t="shared" si="368"/>
        <v>4.2193765994409276</v>
      </c>
      <c r="U5865" s="2">
        <f t="shared" si="369"/>
        <v>132.37920546931278</v>
      </c>
    </row>
    <row r="5866" spans="1:21" x14ac:dyDescent="0.25">
      <c r="A5866">
        <v>6373941</v>
      </c>
      <c r="B5866">
        <v>36</v>
      </c>
      <c r="C5866" s="1">
        <f>1.86039890206726*(10.3/7.3)</f>
        <v>2.6249463960674979</v>
      </c>
      <c r="D5866" s="1">
        <f>3.58801984548378*(10.3/7.3)</f>
        <v>5.0625485491072535</v>
      </c>
      <c r="E5866" s="1">
        <f>12.2866212947449*(10.3/7.3)</f>
        <v>17.335917717242765</v>
      </c>
      <c r="F5866" s="1">
        <f>34.6201114706062*(38.9/42.5)</f>
        <v>31.68758438133132</v>
      </c>
      <c r="G5866" s="1">
        <v>1.8212422117485403</v>
      </c>
      <c r="H5866" s="1">
        <v>5.5274693261392427</v>
      </c>
      <c r="I5866" s="1">
        <v>25.018386235392974</v>
      </c>
      <c r="J5866" s="1">
        <v>2.6430209003087027E-2</v>
      </c>
      <c r="K5866" s="1">
        <v>1.8913633034889754</v>
      </c>
      <c r="L5866" s="1">
        <v>2.0435182814462891</v>
      </c>
      <c r="M5866" s="1">
        <v>0.16587202750287502</v>
      </c>
      <c r="N5866" s="1">
        <v>1.3751787884651341</v>
      </c>
      <c r="O5866" s="1">
        <v>0.13176888888888888</v>
      </c>
      <c r="P5866" s="1">
        <v>8.6806775581781959E-2</v>
      </c>
      <c r="Q5866" s="1">
        <v>2.9106610690045196</v>
      </c>
      <c r="R5866" s="2">
        <f t="shared" si="367"/>
        <v>91.988755886034099</v>
      </c>
      <c r="S5866" s="2">
        <f t="shared" si="366"/>
        <v>2.0046002880738443</v>
      </c>
      <c r="T5866" s="2">
        <f t="shared" si="368"/>
        <v>3.7163379863031869</v>
      </c>
      <c r="U5866" s="2">
        <f t="shared" si="369"/>
        <v>97.709694160411132</v>
      </c>
    </row>
    <row r="5867" spans="1:21" x14ac:dyDescent="0.25">
      <c r="A5867">
        <v>6373949</v>
      </c>
      <c r="B5867">
        <v>52</v>
      </c>
      <c r="C5867" s="1">
        <f>2.14761240043943*(10.3/7.3)</f>
        <v>3.0301928389761756</v>
      </c>
      <c r="D5867" s="1">
        <f>4.31414644144501*(10.3/7.3)</f>
        <v>6.0870833351895284</v>
      </c>
      <c r="E5867" s="1">
        <f>14.7186147178099*(10.3/7.3)</f>
        <v>20.767360492252383</v>
      </c>
      <c r="F5867" s="1">
        <f>43.3703469173221*(38.9/42.5)</f>
        <v>39.696623413737164</v>
      </c>
      <c r="G5867" s="1">
        <v>2.3479640819363707</v>
      </c>
      <c r="H5867" s="1">
        <v>7.1876042752550138</v>
      </c>
      <c r="I5867" s="1">
        <v>31.459105138040147</v>
      </c>
      <c r="J5867" s="1">
        <v>2.9162723422639307E-2</v>
      </c>
      <c r="K5867" s="1">
        <v>2.047958724893971</v>
      </c>
      <c r="L5867" s="1">
        <v>2.4462182363836016</v>
      </c>
      <c r="M5867" s="1">
        <v>0.17524626274100139</v>
      </c>
      <c r="N5867" s="1">
        <v>1.4154119493269923</v>
      </c>
      <c r="O5867" s="1">
        <v>0.14210564102564105</v>
      </c>
      <c r="P5867" s="1">
        <v>9.2501958467834669E-2</v>
      </c>
      <c r="Q5867" s="1">
        <v>3.7524540122270773</v>
      </c>
      <c r="R5867" s="2">
        <f t="shared" si="367"/>
        <v>114.32838758761386</v>
      </c>
      <c r="S5867" s="2">
        <f t="shared" si="366"/>
        <v>2.1696234067844453</v>
      </c>
      <c r="T5867" s="2">
        <f t="shared" si="368"/>
        <v>4.1789820894772367</v>
      </c>
      <c r="U5867" s="2">
        <f t="shared" si="369"/>
        <v>120.67699308387553</v>
      </c>
    </row>
    <row r="5868" spans="1:21" x14ac:dyDescent="0.25">
      <c r="A5868">
        <v>6373957</v>
      </c>
      <c r="B5868">
        <v>17</v>
      </c>
      <c r="C5868" s="1">
        <f>2.01212334990693*(10.3/7.3)</f>
        <v>2.8390233567179948</v>
      </c>
      <c r="D5868" s="1">
        <f>4.16340090672655*(10.3/7.3)</f>
        <v>5.8743875807237629</v>
      </c>
      <c r="E5868" s="1">
        <f>14.2012780057214*(10.3/7.3)</f>
        <v>20.037419651908341</v>
      </c>
      <c r="F5868" s="1">
        <f>41.3938019618366*(38.9/42.5)</f>
        <v>37.88750344271628</v>
      </c>
      <c r="G5868" s="1">
        <v>2.2318610030300445</v>
      </c>
      <c r="H5868" s="1">
        <v>10.221698707606503</v>
      </c>
      <c r="I5868" s="1">
        <v>29.810677024393339</v>
      </c>
      <c r="J5868" s="1">
        <v>2.6787095719098552E-2</v>
      </c>
      <c r="K5868" s="1">
        <v>1.878095517346523</v>
      </c>
      <c r="L5868" s="1">
        <v>2.5485056511838979</v>
      </c>
      <c r="M5868" s="1">
        <v>0.15832302938306247</v>
      </c>
      <c r="N5868" s="1">
        <v>1.6000768460764829</v>
      </c>
      <c r="O5868" s="1">
        <v>0.12829176470588236</v>
      </c>
      <c r="P5868" s="1">
        <v>8.6031411041821118E-2</v>
      </c>
      <c r="Q5868" s="1">
        <v>3.5669011463950513</v>
      </c>
      <c r="R5868" s="2">
        <f t="shared" si="367"/>
        <v>112.46947191349133</v>
      </c>
      <c r="S5868" s="2">
        <f t="shared" si="366"/>
        <v>1.9909140241074428</v>
      </c>
      <c r="T5868" s="2">
        <f t="shared" si="368"/>
        <v>4.4351972913493256</v>
      </c>
      <c r="U5868" s="2">
        <f t="shared" si="369"/>
        <v>118.8955832289481</v>
      </c>
    </row>
    <row r="5869" spans="1:21" x14ac:dyDescent="0.25">
      <c r="A5869">
        <v>6374261</v>
      </c>
      <c r="B5869">
        <v>35</v>
      </c>
      <c r="C5869" s="1">
        <f>2.66303591884679*(10.3/7.3)</f>
        <v>3.7574342416605329</v>
      </c>
      <c r="D5869" s="1">
        <f>3.91630766074393*(10.3/7.3)</f>
        <v>5.5257491651592492</v>
      </c>
      <c r="E5869" s="1">
        <f>13.7265154399455*(10.3/7.3)</f>
        <v>19.367549182388846</v>
      </c>
      <c r="F5869" s="1">
        <f>28.8480549294018*(38.9/42.5)</f>
        <v>26.404454982440726</v>
      </c>
      <c r="G5869" s="1">
        <v>1.1610968028479245</v>
      </c>
      <c r="H5869" s="1">
        <v>6.064109974556283</v>
      </c>
      <c r="I5869" s="1">
        <v>20.630303497301458</v>
      </c>
      <c r="J5869" s="1">
        <v>2.3091029909210112E-2</v>
      </c>
      <c r="K5869" s="1">
        <v>1.5956272112356273</v>
      </c>
      <c r="L5869" s="1">
        <v>1.4390065182199536</v>
      </c>
      <c r="M5869" s="1">
        <v>8.8571612128892391E-2</v>
      </c>
      <c r="N5869" s="1">
        <v>0.96338149140738749</v>
      </c>
      <c r="O5869" s="1">
        <v>8.4076190476190457E-2</v>
      </c>
      <c r="P5869" s="1">
        <v>6.4699158321400801E-2</v>
      </c>
      <c r="Q5869" s="1">
        <v>1.8556341598026203</v>
      </c>
      <c r="R5869" s="2">
        <f t="shared" si="367"/>
        <v>84.76633200615764</v>
      </c>
      <c r="S5869" s="2">
        <f t="shared" si="366"/>
        <v>1.6834173994662383</v>
      </c>
      <c r="T5869" s="2">
        <f t="shared" si="368"/>
        <v>2.5750358122324237</v>
      </c>
      <c r="U5869" s="2">
        <f t="shared" si="369"/>
        <v>89.024785217856305</v>
      </c>
    </row>
    <row r="5870" spans="1:21" x14ac:dyDescent="0.25">
      <c r="A5870">
        <v>6374269</v>
      </c>
      <c r="B5870">
        <v>61</v>
      </c>
      <c r="C5870" s="1">
        <f>2.7076921723568*(10.3/7.3)</f>
        <v>3.8204423801746659</v>
      </c>
      <c r="D5870" s="1">
        <f>4.15866005615122*(10.3/7.3)</f>
        <v>5.8676984353914499</v>
      </c>
      <c r="E5870" s="1">
        <f>14.5656103188238*(10.3/7.3)</f>
        <v>20.551477573134918</v>
      </c>
      <c r="F5870" s="1">
        <f>29.9255337131378*(38.9/42.5)</f>
        <v>27.390664975083791</v>
      </c>
      <c r="G5870" s="1">
        <v>1.1831940828813694</v>
      </c>
      <c r="H5870" s="1">
        <v>4.5623546630746548</v>
      </c>
      <c r="I5870" s="1">
        <v>21.003834337481525</v>
      </c>
      <c r="J5870" s="1">
        <v>2.3743159646743388E-2</v>
      </c>
      <c r="K5870" s="1">
        <v>1.6444119441470029</v>
      </c>
      <c r="L5870" s="1">
        <v>1.4921296837946569</v>
      </c>
      <c r="M5870" s="1">
        <v>9.0819764125689734E-2</v>
      </c>
      <c r="N5870" s="1">
        <v>0.95552476121765006</v>
      </c>
      <c r="O5870" s="1">
        <v>8.6810054644808773E-2</v>
      </c>
      <c r="P5870" s="1">
        <v>6.6358451934191001E-2</v>
      </c>
      <c r="Q5870" s="1">
        <v>1.8909494475273045</v>
      </c>
      <c r="R5870" s="2">
        <f t="shared" si="367"/>
        <v>86.270615894749682</v>
      </c>
      <c r="S5870" s="2">
        <f t="shared" si="366"/>
        <v>1.7345135557279374</v>
      </c>
      <c r="T5870" s="2">
        <f t="shared" si="368"/>
        <v>2.6252842637828055</v>
      </c>
      <c r="U5870" s="2">
        <f t="shared" si="369"/>
        <v>90.630413714260428</v>
      </c>
    </row>
    <row r="5871" spans="1:21" x14ac:dyDescent="0.25">
      <c r="A5871">
        <v>6374277</v>
      </c>
      <c r="B5871">
        <v>71</v>
      </c>
      <c r="C5871" s="1">
        <f>2.54888805148281*(10.3/7.3)</f>
        <v>3.5963762918182058</v>
      </c>
      <c r="D5871" s="1">
        <f>12.5084375654064*(10.3/7.3)</f>
        <v>17.64889135940907</v>
      </c>
      <c r="E5871" s="1">
        <f>43.3620574361391*(10.3/7.3)</f>
        <v>61.182081040031839</v>
      </c>
      <c r="F5871" s="1">
        <f>55.4409226534271*(38.9/42.5)</f>
        <v>50.744750381607389</v>
      </c>
      <c r="G5871" s="1">
        <v>1.1033259683126491</v>
      </c>
      <c r="H5871" s="1">
        <v>4.0704552586987139</v>
      </c>
      <c r="I5871" s="1">
        <v>19.661991163757929</v>
      </c>
      <c r="J5871" s="1">
        <v>2.2863338058823787E-2</v>
      </c>
      <c r="K5871" s="1">
        <v>1.641009077669551</v>
      </c>
      <c r="L5871" s="1">
        <v>1.4817007843782521</v>
      </c>
      <c r="M5871" s="1">
        <v>8.8936181069472972E-2</v>
      </c>
      <c r="N5871" s="1">
        <v>0.93268668407595767</v>
      </c>
      <c r="O5871" s="1">
        <v>8.5421971830985932E-2</v>
      </c>
      <c r="P5871" s="1">
        <v>6.5733066611874322E-2</v>
      </c>
      <c r="Q5871" s="1">
        <v>1.7633063420521811</v>
      </c>
      <c r="R5871" s="2">
        <f t="shared" si="367"/>
        <v>159.77117780568796</v>
      </c>
      <c r="S5871" s="2">
        <f t="shared" si="366"/>
        <v>1.7296054823402489</v>
      </c>
      <c r="T5871" s="2">
        <f t="shared" si="368"/>
        <v>2.5887456213546689</v>
      </c>
      <c r="U5871" s="2">
        <f t="shared" si="369"/>
        <v>164.08952890938286</v>
      </c>
    </row>
    <row r="5872" spans="1:21" x14ac:dyDescent="0.25">
      <c r="A5872">
        <v>6374285</v>
      </c>
      <c r="B5872">
        <v>71</v>
      </c>
      <c r="C5872" s="1">
        <f>2.52219689068593*(10.3/7.3)</f>
        <v>3.5587161608308313</v>
      </c>
      <c r="D5872" s="1">
        <f>3.62015648478427*(10.3/7.3)</f>
        <v>5.1078920264764367</v>
      </c>
      <c r="E5872" s="1">
        <f>12.7061463675753*(10.3/7.3)</f>
        <v>17.927850354250094</v>
      </c>
      <c r="F5872" s="1">
        <f>26.4212237338662*(38.9/42.5)</f>
        <v>24.183190664644595</v>
      </c>
      <c r="G5872" s="1">
        <v>1.0466213475697717</v>
      </c>
      <c r="H5872" s="1">
        <v>3.6624445869913158</v>
      </c>
      <c r="I5872" s="1">
        <v>18.98201210352024</v>
      </c>
      <c r="J5872" s="1">
        <v>2.061766729289086E-2</v>
      </c>
      <c r="K5872" s="1">
        <v>1.5349515318913205</v>
      </c>
      <c r="L5872" s="1">
        <v>1.3685563907073117</v>
      </c>
      <c r="M5872" s="1">
        <v>8.3622399182543855E-2</v>
      </c>
      <c r="N5872" s="1">
        <v>0.85255174680537493</v>
      </c>
      <c r="O5872" s="1">
        <v>7.9664225352112705E-2</v>
      </c>
      <c r="P5872" s="1">
        <v>6.202032386737244E-2</v>
      </c>
      <c r="Q5872" s="1">
        <v>1.6726825189471259</v>
      </c>
      <c r="R5872" s="2">
        <f t="shared" si="367"/>
        <v>76.141409763230413</v>
      </c>
      <c r="S5872" s="2">
        <f t="shared" si="366"/>
        <v>1.6175895230515838</v>
      </c>
      <c r="T5872" s="2">
        <f t="shared" si="368"/>
        <v>2.3843947620473434</v>
      </c>
      <c r="U5872" s="2">
        <f t="shared" si="369"/>
        <v>80.143394048329341</v>
      </c>
    </row>
    <row r="5873" spans="1:21" x14ac:dyDescent="0.25">
      <c r="A5873">
        <v>6374293</v>
      </c>
      <c r="B5873">
        <v>45</v>
      </c>
      <c r="C5873" s="1">
        <f>2.36783594027684*(10.3/7.3)</f>
        <v>3.3409192034043147</v>
      </c>
      <c r="D5873" s="1">
        <f>3.23718083107085*(10.3/7.3)</f>
        <v>4.5675291178123025</v>
      </c>
      <c r="E5873" s="1">
        <f>11.3628635439329*(10.3/7.3)</f>
        <v>16.03253349349437</v>
      </c>
      <c r="F5873" s="1">
        <f>24.7143277495234*(38.9/42.5)</f>
        <v>22.620878810740265</v>
      </c>
      <c r="G5873" s="1">
        <v>1.0190682753671421</v>
      </c>
      <c r="H5873" s="1">
        <v>4.4761537858245326</v>
      </c>
      <c r="I5873" s="1">
        <v>18.203556658241045</v>
      </c>
      <c r="J5873" s="1">
        <v>1.8402114641138282E-2</v>
      </c>
      <c r="K5873" s="1">
        <v>1.4022886327511934</v>
      </c>
      <c r="L5873" s="1">
        <v>1.2277364077694308</v>
      </c>
      <c r="M5873" s="1">
        <v>7.6761465385540184E-2</v>
      </c>
      <c r="N5873" s="1">
        <v>0.75333071408299612</v>
      </c>
      <c r="O5873" s="1">
        <v>7.2875851851851844E-2</v>
      </c>
      <c r="P5873" s="1">
        <v>5.7513683432917628E-2</v>
      </c>
      <c r="Q5873" s="1">
        <v>1.6286479286689506</v>
      </c>
      <c r="R5873" s="2">
        <f t="shared" si="367"/>
        <v>71.889287273552924</v>
      </c>
      <c r="S5873" s="2">
        <f t="shared" si="366"/>
        <v>1.4782044308252495</v>
      </c>
      <c r="T5873" s="2">
        <f t="shared" si="368"/>
        <v>2.1307044390898193</v>
      </c>
      <c r="U5873" s="2">
        <f t="shared" si="369"/>
        <v>75.498196143467993</v>
      </c>
    </row>
    <row r="5874" spans="1:21" x14ac:dyDescent="0.25">
      <c r="A5874">
        <v>6385649</v>
      </c>
      <c r="B5874">
        <v>56</v>
      </c>
      <c r="C5874" s="1">
        <f>0.738184077359328*(10.3/7.3)</f>
        <v>1.0415473968220659</v>
      </c>
      <c r="D5874" s="1">
        <f>1.49423493440848*(10.3/7.3)</f>
        <v>2.1083040855352482</v>
      </c>
      <c r="E5874" s="1">
        <f>5.06398424206377*(10.3/7.3)</f>
        <v>7.1450736566105242</v>
      </c>
      <c r="F5874" s="1">
        <f>16.6084616306264*(38.9/42.5)</f>
        <v>15.201627233679201</v>
      </c>
      <c r="G5874" s="1">
        <v>0.95015993030885948</v>
      </c>
      <c r="H5874" s="1">
        <v>3.0954457388520034</v>
      </c>
      <c r="I5874" s="1">
        <v>12.315881004611938</v>
      </c>
      <c r="J5874" s="1">
        <v>3.6712653536427324E-2</v>
      </c>
      <c r="K5874" s="1">
        <v>3.772712550017197</v>
      </c>
      <c r="L5874" s="1">
        <v>2.1840837554905099</v>
      </c>
      <c r="M5874" s="1">
        <v>0.50059775136202311</v>
      </c>
      <c r="N5874" s="1">
        <v>1.196675861117805</v>
      </c>
      <c r="O5874" s="1">
        <v>0.39059428571428562</v>
      </c>
      <c r="P5874" s="1">
        <v>0.13242800542434061</v>
      </c>
      <c r="Q5874" s="1">
        <v>1.5185204365666711</v>
      </c>
      <c r="R5874" s="2">
        <f t="shared" si="367"/>
        <v>43.376559482986508</v>
      </c>
      <c r="S5874" s="2">
        <f t="shared" si="366"/>
        <v>3.9418532089779648</v>
      </c>
      <c r="T5874" s="2">
        <f t="shared" si="368"/>
        <v>4.2719516536846234</v>
      </c>
      <c r="U5874" s="2">
        <f t="shared" si="369"/>
        <v>51.5903643456491</v>
      </c>
    </row>
    <row r="5875" spans="1:21" x14ac:dyDescent="0.25">
      <c r="A5875">
        <v>6385657</v>
      </c>
      <c r="B5875">
        <v>65</v>
      </c>
      <c r="C5875" s="1">
        <f>0.813648885554178*(10.3/7.3)</f>
        <v>1.1480251398915116</v>
      </c>
      <c r="D5875" s="1">
        <f>1.7528443623527*(10.3/7.3)</f>
        <v>2.4731913605798317</v>
      </c>
      <c r="E5875" s="1">
        <f>5.91044044757675*(10.3/7.3)</f>
        <v>8.3393885767178837</v>
      </c>
      <c r="F5875" s="1">
        <f>20.4096225127296*(38.9/42.5)</f>
        <v>18.680807429298383</v>
      </c>
      <c r="G5875" s="1">
        <v>1.1990886444993203</v>
      </c>
      <c r="H5875" s="1">
        <v>3.811234482655701</v>
      </c>
      <c r="I5875" s="1">
        <v>15.168769889229237</v>
      </c>
      <c r="J5875" s="1">
        <v>4.2140366273918303E-2</v>
      </c>
      <c r="K5875" s="1">
        <v>3.9403063350359746</v>
      </c>
      <c r="L5875" s="1">
        <v>2.3459805550818826</v>
      </c>
      <c r="M5875" s="1">
        <v>0.5423196248445783</v>
      </c>
      <c r="N5875" s="1">
        <v>1.3101826577830045</v>
      </c>
      <c r="O5875" s="1">
        <v>0.41566851282051281</v>
      </c>
      <c r="P5875" s="1">
        <v>0.13471471092421952</v>
      </c>
      <c r="Q5875" s="1">
        <v>1.9163517149532545</v>
      </c>
      <c r="R5875" s="2">
        <f t="shared" si="367"/>
        <v>52.73685723782512</v>
      </c>
      <c r="S5875" s="2">
        <f t="shared" si="366"/>
        <v>4.117161412234112</v>
      </c>
      <c r="T5875" s="2">
        <f t="shared" si="368"/>
        <v>4.614151350529978</v>
      </c>
      <c r="U5875" s="2">
        <f t="shared" si="369"/>
        <v>61.468170000589211</v>
      </c>
    </row>
    <row r="5876" spans="1:21" x14ac:dyDescent="0.25">
      <c r="A5876">
        <v>6385665</v>
      </c>
      <c r="B5876">
        <v>56</v>
      </c>
      <c r="C5876" s="1">
        <f>0.818347415824069*(10.3/7.3)</f>
        <v>1.1546545730120426</v>
      </c>
      <c r="D5876" s="1">
        <f>1.83807141442593*(10.3/7.3)</f>
        <v>2.5934432285735776</v>
      </c>
      <c r="E5876" s="1">
        <f>6.17926396166024*(10.3/7.3)</f>
        <v>8.718687507548017</v>
      </c>
      <c r="F5876" s="1">
        <f>21.9505417759941*(38.9/42.5)</f>
        <v>20.091201766733448</v>
      </c>
      <c r="G5876" s="1">
        <v>1.3077605569364652</v>
      </c>
      <c r="H5876" s="1">
        <v>4.6041612220663444</v>
      </c>
      <c r="I5876" s="1">
        <v>16.324713952801691</v>
      </c>
      <c r="J5876" s="1">
        <v>5.7033507872737435E-2</v>
      </c>
      <c r="K5876" s="1">
        <v>4.0328225472191122</v>
      </c>
      <c r="L5876" s="1">
        <v>2.4114526606670283</v>
      </c>
      <c r="M5876" s="1">
        <v>0.55432644626334671</v>
      </c>
      <c r="N5876" s="1">
        <v>1.413049216851892</v>
      </c>
      <c r="O5876" s="1">
        <v>0.42411047619047626</v>
      </c>
      <c r="P5876" s="1">
        <v>0.13449201783128581</v>
      </c>
      <c r="Q5876" s="1">
        <v>2.0900282873413842</v>
      </c>
      <c r="R5876" s="2">
        <f t="shared" si="367"/>
        <v>56.88465109501297</v>
      </c>
      <c r="S5876" s="2">
        <f t="shared" si="366"/>
        <v>4.2243480729231351</v>
      </c>
      <c r="T5876" s="2">
        <f t="shared" si="368"/>
        <v>4.8029387999727433</v>
      </c>
      <c r="U5876" s="2">
        <f t="shared" si="369"/>
        <v>65.911937967908841</v>
      </c>
    </row>
    <row r="5877" spans="1:21" x14ac:dyDescent="0.25">
      <c r="A5877">
        <v>6386145</v>
      </c>
      <c r="B5877">
        <v>10</v>
      </c>
      <c r="C5877" s="1">
        <f>1.84727739976668*(10.3/7.3)</f>
        <v>2.6064324955612008</v>
      </c>
      <c r="D5877" s="1">
        <f>3.95578749059325*(10.3/7.3)</f>
        <v>5.5814535826178719</v>
      </c>
      <c r="E5877" s="1">
        <f>13.4541072799064*(10.3/7.3)</f>
        <v>18.983192463429589</v>
      </c>
      <c r="F5877" s="1">
        <f>40.5711632349462*(38.9/42.5)</f>
        <v>37.134547055044905</v>
      </c>
      <c r="G5877" s="1">
        <v>2.2332369028622381</v>
      </c>
      <c r="H5877" s="1">
        <v>6.898219016083047</v>
      </c>
      <c r="I5877" s="1">
        <v>29.302750292910623</v>
      </c>
      <c r="J5877" s="1">
        <v>3.057567763376413E-2</v>
      </c>
      <c r="K5877" s="1">
        <v>1.9696173118212745</v>
      </c>
      <c r="L5877" s="1">
        <v>2.1106718049840092</v>
      </c>
      <c r="M5877" s="1">
        <v>0.18082087722386148</v>
      </c>
      <c r="N5877" s="1">
        <v>1.3760327164157355</v>
      </c>
      <c r="O5877" s="1">
        <v>0.13971733333333333</v>
      </c>
      <c r="P5877" s="1">
        <v>9.0392313932290427E-2</v>
      </c>
      <c r="Q5877" s="1">
        <v>3.5691000730675086</v>
      </c>
      <c r="R5877" s="2">
        <f t="shared" si="367"/>
        <v>106.30893188157698</v>
      </c>
      <c r="S5877" s="2">
        <f t="shared" si="366"/>
        <v>2.090585303387329</v>
      </c>
      <c r="T5877" s="2">
        <f t="shared" si="368"/>
        <v>3.8072427319569395</v>
      </c>
      <c r="U5877" s="2">
        <f t="shared" si="369"/>
        <v>112.20675991692124</v>
      </c>
    </row>
    <row r="5878" spans="1:21" x14ac:dyDescent="0.25">
      <c r="A5878">
        <v>6386153</v>
      </c>
      <c r="B5878">
        <v>55</v>
      </c>
      <c r="C5878" s="1">
        <f>2.07169672870458*(10.3/7.3)</f>
        <v>2.9230789459804329</v>
      </c>
      <c r="D5878" s="1">
        <f>4.33645584080547*(10.3/7.3)</f>
        <v>6.1185609808625125</v>
      </c>
      <c r="E5878" s="1">
        <f>14.7496926192549*(10.3/7.3)</f>
        <v>20.811210134017241</v>
      </c>
      <c r="F5878" s="1">
        <f>44.9018708181278*(38.9/42.5)</f>
        <v>41.098418231180489</v>
      </c>
      <c r="G5878" s="1">
        <v>2.4805029715378586</v>
      </c>
      <c r="H5878" s="1">
        <v>6.7046745880102412</v>
      </c>
      <c r="I5878" s="1">
        <v>32.61019736995916</v>
      </c>
      <c r="J5878" s="1">
        <v>2.9715850254233244E-2</v>
      </c>
      <c r="K5878" s="1">
        <v>2.1240713857830964</v>
      </c>
      <c r="L5878" s="1">
        <v>2.335202893022537</v>
      </c>
      <c r="M5878" s="1">
        <v>0.19362196822994146</v>
      </c>
      <c r="N5878" s="1">
        <v>1.3222068315875284</v>
      </c>
      <c r="O5878" s="1">
        <v>0.15371151515151515</v>
      </c>
      <c r="P5878" s="1">
        <v>9.6406752419293557E-2</v>
      </c>
      <c r="Q5878" s="1">
        <v>3.9642741554258039</v>
      </c>
      <c r="R5878" s="2">
        <f t="shared" si="367"/>
        <v>116.71091737697374</v>
      </c>
      <c r="S5878" s="2">
        <f t="shared" si="366"/>
        <v>2.2501939884566231</v>
      </c>
      <c r="T5878" s="2">
        <f t="shared" si="368"/>
        <v>4.0047432079915222</v>
      </c>
      <c r="U5878" s="2">
        <f t="shared" si="369"/>
        <v>122.96585457342189</v>
      </c>
    </row>
    <row r="5879" spans="1:21" x14ac:dyDescent="0.25">
      <c r="A5879">
        <v>6386161</v>
      </c>
      <c r="B5879">
        <v>53</v>
      </c>
      <c r="C5879" s="1">
        <f>1.69192856524961*(10.3/7.3)</f>
        <v>2.3872416742563063</v>
      </c>
      <c r="D5879" s="1">
        <f>3.29928252280879*(10.3/7.3)</f>
        <v>4.6551520527302142</v>
      </c>
      <c r="E5879" s="1">
        <f>11.2950007909431*(10.3/7.3)</f>
        <v>15.936781937906037</v>
      </c>
      <c r="F5879" s="1">
        <f>31.7851580346942*(38.9/42.5)</f>
        <v>29.092768177637705</v>
      </c>
      <c r="G5879" s="1">
        <v>1.6722017783143397</v>
      </c>
      <c r="H5879" s="1">
        <v>5.6298281412909956</v>
      </c>
      <c r="I5879" s="1">
        <v>22.919602831918318</v>
      </c>
      <c r="J5879" s="1">
        <v>2.6919845361172326E-2</v>
      </c>
      <c r="K5879" s="1">
        <v>1.9273863503967257</v>
      </c>
      <c r="L5879" s="1">
        <v>2.051640891622506</v>
      </c>
      <c r="M5879" s="1">
        <v>0.17321375913934989</v>
      </c>
      <c r="N5879" s="1">
        <v>1.2072971174441973</v>
      </c>
      <c r="O5879" s="1">
        <v>0.13475018867924526</v>
      </c>
      <c r="P5879" s="1">
        <v>8.8299904353256839E-2</v>
      </c>
      <c r="Q5879" s="1">
        <v>2.6724685954795424</v>
      </c>
      <c r="R5879" s="2">
        <f t="shared" si="367"/>
        <v>84.96604518953346</v>
      </c>
      <c r="S5879" s="2">
        <f t="shared" si="366"/>
        <v>2.0426061001111546</v>
      </c>
      <c r="T5879" s="2">
        <f t="shared" si="368"/>
        <v>3.5669019568852978</v>
      </c>
      <c r="U5879" s="2">
        <f t="shared" si="369"/>
        <v>90.575553246529921</v>
      </c>
    </row>
    <row r="5880" spans="1:21" x14ac:dyDescent="0.25">
      <c r="A5880">
        <v>6386169</v>
      </c>
      <c r="B5880">
        <v>45</v>
      </c>
      <c r="C5880" s="1">
        <f>2.41071869147166*(10.3/7.3)</f>
        <v>3.4014250030353539</v>
      </c>
      <c r="D5880" s="1">
        <f>4.72904329326577*(10.3/7.3)</f>
        <v>6.6724857425530741</v>
      </c>
      <c r="E5880" s="1">
        <f>16.1781938485755*(10.3/7.3)</f>
        <v>22.826766663058599</v>
      </c>
      <c r="F5880" s="1">
        <f>45.9743328066811*(38.9/42.5)</f>
        <v>42.080036380703447</v>
      </c>
      <c r="G5880" s="1">
        <v>2.4338545992918097</v>
      </c>
      <c r="H5880" s="1">
        <v>6.8689576446777698</v>
      </c>
      <c r="I5880" s="1">
        <v>33.194702479354646</v>
      </c>
      <c r="J5880" s="1">
        <v>3.2738862909194054E-2</v>
      </c>
      <c r="K5880" s="1">
        <v>2.222582743552429</v>
      </c>
      <c r="L5880" s="1">
        <v>2.4871865298575142</v>
      </c>
      <c r="M5880" s="1">
        <v>0.19726156464812475</v>
      </c>
      <c r="N5880" s="1">
        <v>1.4521899748669351</v>
      </c>
      <c r="O5880" s="1">
        <v>0.15942518518518523</v>
      </c>
      <c r="P5880" s="1">
        <v>0.10015766455837212</v>
      </c>
      <c r="Q5880" s="1">
        <v>3.8897219623385113</v>
      </c>
      <c r="R5880" s="2">
        <f t="shared" si="367"/>
        <v>121.3679504750132</v>
      </c>
      <c r="S5880" s="2">
        <f t="shared" si="366"/>
        <v>2.3554792710199952</v>
      </c>
      <c r="T5880" s="2">
        <f t="shared" si="368"/>
        <v>4.2960632545577591</v>
      </c>
      <c r="U5880" s="2">
        <f t="shared" si="369"/>
        <v>128.01949300059096</v>
      </c>
    </row>
    <row r="5881" spans="1:21" x14ac:dyDescent="0.25">
      <c r="A5881">
        <v>6386177</v>
      </c>
      <c r="B5881">
        <v>59</v>
      </c>
      <c r="C5881" s="1">
        <f>2.95914610724276*(10.3/7.3)</f>
        <v>4.1752335485754015</v>
      </c>
      <c r="D5881" s="1">
        <f>5.84533763769091*(10.3/7.3)</f>
        <v>8.247531187426894</v>
      </c>
      <c r="E5881" s="1">
        <f>19.9777408554748*(10.3/7.3)</f>
        <v>28.187771344026082</v>
      </c>
      <c r="F5881" s="1">
        <f>57.5559422046418*(38.9/42.5)</f>
        <v>52.680615335542733</v>
      </c>
      <c r="G5881" s="1">
        <v>3.0729634826286691</v>
      </c>
      <c r="H5881" s="1">
        <v>8.0407409529805349</v>
      </c>
      <c r="I5881" s="1">
        <v>41.643235262701431</v>
      </c>
      <c r="J5881" s="1">
        <v>3.5657870651846203E-2</v>
      </c>
      <c r="K5881" s="1">
        <v>2.4235666390059261</v>
      </c>
      <c r="L5881" s="1">
        <v>2.8242751394871153</v>
      </c>
      <c r="M5881" s="1">
        <v>0.21127935644212023</v>
      </c>
      <c r="N5881" s="1">
        <v>1.6683702581270323</v>
      </c>
      <c r="O5881" s="1">
        <v>0.17343186440677974</v>
      </c>
      <c r="P5881" s="1">
        <v>0.10713174557698474</v>
      </c>
      <c r="Q5881" s="1">
        <v>4.9111288535161428</v>
      </c>
      <c r="R5881" s="2">
        <f t="shared" si="367"/>
        <v>150.9592199673979</v>
      </c>
      <c r="S5881" s="2">
        <f t="shared" si="366"/>
        <v>2.5663562552347572</v>
      </c>
      <c r="T5881" s="2">
        <f t="shared" si="368"/>
        <v>4.8773566184630477</v>
      </c>
      <c r="U5881" s="2">
        <f t="shared" si="369"/>
        <v>158.40293284109569</v>
      </c>
    </row>
    <row r="5882" spans="1:21" x14ac:dyDescent="0.25">
      <c r="A5882">
        <v>6386185</v>
      </c>
      <c r="B5882">
        <v>57</v>
      </c>
      <c r="C5882" s="1">
        <f>2.43911806188978*(10.3/7.3)</f>
        <v>3.4414953475979155</v>
      </c>
      <c r="D5882" s="1">
        <f>4.94478746155138*(10.3/7.3)</f>
        <v>6.9768918978053671</v>
      </c>
      <c r="E5882" s="1">
        <f>16.8717029288814*(10.3/7.3)</f>
        <v>23.805279474997086</v>
      </c>
      <c r="F5882" s="1">
        <f>49.4105971245844*(38.9/42.5)</f>
        <v>45.225228897560825</v>
      </c>
      <c r="G5882" s="1">
        <v>2.667502823711839</v>
      </c>
      <c r="H5882" s="1">
        <v>8.5771609180609438</v>
      </c>
      <c r="I5882" s="1">
        <v>35.738002454743487</v>
      </c>
      <c r="J5882" s="1">
        <v>3.1098365894482255E-2</v>
      </c>
      <c r="K5882" s="1">
        <v>2.1477974509570381</v>
      </c>
      <c r="L5882" s="1">
        <v>2.5813908272663455</v>
      </c>
      <c r="M5882" s="1">
        <v>0.18242935024739987</v>
      </c>
      <c r="N5882" s="1">
        <v>1.4761806249401073</v>
      </c>
      <c r="O5882" s="1">
        <v>0.15003602339181291</v>
      </c>
      <c r="P5882" s="1">
        <v>9.680102996062015E-2</v>
      </c>
      <c r="Q5882" s="1">
        <v>4.2631323666627594</v>
      </c>
      <c r="R5882" s="2">
        <f t="shared" si="367"/>
        <v>130.69469418114022</v>
      </c>
      <c r="S5882" s="2">
        <f t="shared" si="366"/>
        <v>2.2756968468121408</v>
      </c>
      <c r="T5882" s="2">
        <f t="shared" si="368"/>
        <v>4.3900368258456659</v>
      </c>
      <c r="U5882" s="2">
        <f t="shared" si="369"/>
        <v>137.36042785379803</v>
      </c>
    </row>
    <row r="5883" spans="1:21" x14ac:dyDescent="0.25">
      <c r="A5883">
        <v>6386193</v>
      </c>
      <c r="B5883">
        <v>5</v>
      </c>
      <c r="C5883" s="1">
        <f>1.8048991515271*(10.3/7.3)</f>
        <v>2.5466385288669979</v>
      </c>
      <c r="D5883" s="1">
        <f>3.6884703816147*(10.3/7.3)</f>
        <v>5.2042801274837505</v>
      </c>
      <c r="E5883" s="1">
        <f>12.5886377695179*(10.3/7.3)</f>
        <v>17.762050551511535</v>
      </c>
      <c r="F5883" s="1">
        <f>36.5406422035599*(38.9/42.5)</f>
        <v>33.445434863964195</v>
      </c>
      <c r="G5883" s="1">
        <v>1.9639266008451244</v>
      </c>
      <c r="H5883" s="1">
        <v>9.8105465808200965</v>
      </c>
      <c r="I5883" s="1">
        <v>26.340701400884008</v>
      </c>
      <c r="J5883" s="1">
        <v>2.6682962506891995E-2</v>
      </c>
      <c r="K5883" s="1">
        <v>1.8420955710018156</v>
      </c>
      <c r="L5883" s="1">
        <v>2.6532468368259883</v>
      </c>
      <c r="M5883" s="1">
        <v>0.15352190679455346</v>
      </c>
      <c r="N5883" s="1">
        <v>1.399565234483513</v>
      </c>
      <c r="O5883" s="1">
        <v>0.123808</v>
      </c>
      <c r="P5883" s="1">
        <v>8.4087779969020754E-2</v>
      </c>
      <c r="Q5883" s="1">
        <v>3.1386954808027134</v>
      </c>
      <c r="R5883" s="2">
        <f t="shared" si="367"/>
        <v>100.21227413517843</v>
      </c>
      <c r="S5883" s="2">
        <f t="shared" si="366"/>
        <v>1.9528663134777284</v>
      </c>
      <c r="T5883" s="2">
        <f t="shared" si="368"/>
        <v>4.3301419781040558</v>
      </c>
      <c r="U5883" s="2">
        <f t="shared" si="369"/>
        <v>106.49528242676021</v>
      </c>
    </row>
    <row r="5884" spans="1:21" x14ac:dyDescent="0.25">
      <c r="A5884">
        <v>6386497</v>
      </c>
      <c r="B5884">
        <v>57</v>
      </c>
      <c r="C5884" s="1">
        <f>3.03675142414985*(10.3/7.3)</f>
        <v>4.2847314614717043</v>
      </c>
      <c r="D5884" s="1">
        <f>4.46318523762733*(10.3/7.3)</f>
        <v>6.2973709517207608</v>
      </c>
      <c r="E5884" s="1">
        <f>15.6368720217341*(10.3/7.3)</f>
        <v>22.0629838114879</v>
      </c>
      <c r="F5884" s="1">
        <f>33.2066539737709*(38.9/42.5)</f>
        <v>30.393855048933794</v>
      </c>
      <c r="G5884" s="1">
        <v>1.3514494300258004</v>
      </c>
      <c r="H5884" s="1">
        <v>5.7580037914114559</v>
      </c>
      <c r="I5884" s="1">
        <v>23.813258067675569</v>
      </c>
      <c r="J5884" s="1">
        <v>2.8144202773404119E-2</v>
      </c>
      <c r="K5884" s="1">
        <v>1.7761609513761631</v>
      </c>
      <c r="L5884" s="1">
        <v>1.6291590201215043</v>
      </c>
      <c r="M5884" s="1">
        <v>9.7552048226942079E-2</v>
      </c>
      <c r="N5884" s="1">
        <v>1.0431745553067981</v>
      </c>
      <c r="O5884" s="1">
        <v>9.3722573099415202E-2</v>
      </c>
      <c r="P5884" s="1">
        <v>7.0535231705917523E-2</v>
      </c>
      <c r="Q5884" s="1">
        <v>2.1598506872558487</v>
      </c>
      <c r="R5884" s="2">
        <f t="shared" si="367"/>
        <v>96.121503249982837</v>
      </c>
      <c r="S5884" s="2">
        <f t="shared" si="366"/>
        <v>1.8748403858554847</v>
      </c>
      <c r="T5884" s="2">
        <f t="shared" si="368"/>
        <v>2.8636081967546594</v>
      </c>
      <c r="U5884" s="2">
        <f t="shared" si="369"/>
        <v>100.85995183259297</v>
      </c>
    </row>
    <row r="5885" spans="1:21" x14ac:dyDescent="0.25">
      <c r="A5885">
        <v>6386505</v>
      </c>
      <c r="B5885">
        <v>39</v>
      </c>
      <c r="C5885" s="1">
        <f>2.64027638703176*(10.3/7.3)</f>
        <v>3.7253214775927557</v>
      </c>
      <c r="D5885" s="1">
        <f>5.05321988096884*(10.3/7.3)</f>
        <v>7.1298855854765835</v>
      </c>
      <c r="E5885" s="1">
        <f>17.6428191053*(10.3/7.3)</f>
        <v>24.893292710217793</v>
      </c>
      <c r="F5885" s="1">
        <f>32.5358705032022*(38.9/42.5)</f>
        <v>29.779890884107392</v>
      </c>
      <c r="G5885" s="1">
        <v>1.1686895116648299</v>
      </c>
      <c r="H5885" s="1">
        <v>4.0055894761901536</v>
      </c>
      <c r="I5885" s="1">
        <v>20.637905177877403</v>
      </c>
      <c r="J5885" s="1">
        <v>2.4303330319805399E-2</v>
      </c>
      <c r="K5885" s="1">
        <v>1.6434945863614963</v>
      </c>
      <c r="L5885" s="1">
        <v>1.4887304669648056</v>
      </c>
      <c r="M5885" s="1">
        <v>8.9309318366338861E-2</v>
      </c>
      <c r="N5885" s="1">
        <v>0.94343194348697668</v>
      </c>
      <c r="O5885" s="1">
        <v>8.6516239316239293E-2</v>
      </c>
      <c r="P5885" s="1">
        <v>6.589154064862586E-2</v>
      </c>
      <c r="Q5885" s="1">
        <v>1.8677686259483601</v>
      </c>
      <c r="R5885" s="2">
        <f t="shared" si="367"/>
        <v>93.208343449075258</v>
      </c>
      <c r="S5885" s="2">
        <f t="shared" si="366"/>
        <v>1.7336894573299275</v>
      </c>
      <c r="T5885" s="2">
        <f t="shared" si="368"/>
        <v>2.6079879681343607</v>
      </c>
      <c r="U5885" s="2">
        <f t="shared" si="369"/>
        <v>97.550020874539555</v>
      </c>
    </row>
    <row r="5886" spans="1:21" x14ac:dyDescent="0.25">
      <c r="A5886">
        <v>6386513</v>
      </c>
      <c r="B5886">
        <v>47</v>
      </c>
      <c r="C5886" s="1">
        <f>2.40193687500604*(10.3/7.3)</f>
        <v>3.3890342208989361</v>
      </c>
      <c r="D5886" s="1">
        <f>4.21928623392238*(10.3/7.3)</f>
        <v>5.9532394807397999</v>
      </c>
      <c r="E5886" s="1">
        <f>14.7537617073587*(10.3/7.3)</f>
        <v>20.816951450108906</v>
      </c>
      <c r="F5886" s="1">
        <f>28.0602520529495*(38.9/42.5)</f>
        <v>25.6833836437585</v>
      </c>
      <c r="G5886" s="1">
        <v>1.034444223818946</v>
      </c>
      <c r="H5886" s="1">
        <v>3.7322018412011948</v>
      </c>
      <c r="I5886" s="1">
        <v>18.473065193045716</v>
      </c>
      <c r="J5886" s="1">
        <v>2.2016449520379042E-2</v>
      </c>
      <c r="K5886" s="1">
        <v>1.6002272894161045</v>
      </c>
      <c r="L5886" s="1">
        <v>1.4313289009853272</v>
      </c>
      <c r="M5886" s="1">
        <v>8.7050037402152808E-2</v>
      </c>
      <c r="N5886" s="1">
        <v>0.90478369415505955</v>
      </c>
      <c r="O5886" s="1">
        <v>8.299007092198582E-2</v>
      </c>
      <c r="P5886" s="1">
        <v>6.4081902688876091E-2</v>
      </c>
      <c r="Q5886" s="1">
        <v>1.6532213622677245</v>
      </c>
      <c r="R5886" s="2">
        <f t="shared" si="367"/>
        <v>80.73554141583972</v>
      </c>
      <c r="S5886" s="2">
        <f t="shared" si="366"/>
        <v>1.6863256416253596</v>
      </c>
      <c r="T5886" s="2">
        <f t="shared" si="368"/>
        <v>2.5061527034645255</v>
      </c>
      <c r="U5886" s="2">
        <f t="shared" si="369"/>
        <v>84.928019760929601</v>
      </c>
    </row>
    <row r="5887" spans="1:21" x14ac:dyDescent="0.25">
      <c r="A5887">
        <v>6386521</v>
      </c>
      <c r="B5887">
        <v>62</v>
      </c>
      <c r="C5887" s="1">
        <f>2.33494717277954*(10.3/7.3)</f>
        <v>3.2945145040588057</v>
      </c>
      <c r="D5887" s="1">
        <f>3.29002408615091*(10.3/7.3)</f>
        <v>4.6420887790896463</v>
      </c>
      <c r="E5887" s="1">
        <f>11.5432768594347*(10.3/7.3)</f>
        <v>16.287089267421617</v>
      </c>
      <c r="F5887" s="1">
        <f>24.6436985525215*(38.9/42.5)</f>
        <v>22.556232322190237</v>
      </c>
      <c r="G5887" s="1">
        <v>1.0015515494171108</v>
      </c>
      <c r="H5887" s="1">
        <v>3.3977913425223267</v>
      </c>
      <c r="I5887" s="1">
        <v>17.915411147534133</v>
      </c>
      <c r="J5887" s="1">
        <v>1.8322701333831144E-2</v>
      </c>
      <c r="K5887" s="1">
        <v>1.3911935623326805</v>
      </c>
      <c r="L5887" s="1">
        <v>1.2084099798303705</v>
      </c>
      <c r="M5887" s="1">
        <v>7.6234600276839024E-2</v>
      </c>
      <c r="N5887" s="1">
        <v>0.74698840083254603</v>
      </c>
      <c r="O5887" s="1">
        <v>7.1863225806451603E-2</v>
      </c>
      <c r="P5887" s="1">
        <v>5.712784369661237E-2</v>
      </c>
      <c r="Q5887" s="1">
        <v>1.600653161168901</v>
      </c>
      <c r="R5887" s="2">
        <f t="shared" si="367"/>
        <v>70.695332073402781</v>
      </c>
      <c r="S5887" s="2">
        <f t="shared" si="366"/>
        <v>1.466644107363124</v>
      </c>
      <c r="T5887" s="2">
        <f t="shared" si="368"/>
        <v>2.1034962067462071</v>
      </c>
      <c r="U5887" s="2">
        <f t="shared" si="369"/>
        <v>74.265472387512105</v>
      </c>
    </row>
    <row r="5888" spans="1:21" x14ac:dyDescent="0.25">
      <c r="A5888">
        <v>6397877</v>
      </c>
      <c r="B5888">
        <v>43</v>
      </c>
      <c r="C5888" s="1">
        <f>0.456673049294285*(10.3/7.3)</f>
        <v>0.6443469051686489</v>
      </c>
      <c r="D5888" s="1">
        <f>0.840107137450218*(10.3/7.3)</f>
        <v>1.1853566459914031</v>
      </c>
      <c r="E5888" s="1">
        <f>2.86765922432263*(10.3/7.3)</f>
        <v>4.0461493165100082</v>
      </c>
      <c r="F5888" s="1">
        <f>8.762035302633*(38.9/42.5)</f>
        <v>8.0198393711158502</v>
      </c>
      <c r="G5888" s="1">
        <v>0.48087596390377335</v>
      </c>
      <c r="H5888" s="1">
        <v>1.7706914096827262</v>
      </c>
      <c r="I5888" s="1">
        <v>6.4963304197401497</v>
      </c>
      <c r="J5888" s="1">
        <v>2.4473812480064114E-2</v>
      </c>
      <c r="K5888" s="1">
        <v>2.8195673494292719</v>
      </c>
      <c r="L5888" s="1">
        <v>1.4881950554049952</v>
      </c>
      <c r="M5888" s="1">
        <v>0.3426112073902573</v>
      </c>
      <c r="N5888" s="1">
        <v>0.86747493676896437</v>
      </c>
      <c r="O5888" s="1">
        <v>0.2511156589147287</v>
      </c>
      <c r="P5888" s="1">
        <v>0.10660046060526678</v>
      </c>
      <c r="Q5888" s="1">
        <v>0.7685232299832</v>
      </c>
      <c r="R5888" s="2">
        <f t="shared" si="367"/>
        <v>23.412113262095758</v>
      </c>
      <c r="S5888" s="2">
        <f t="shared" si="366"/>
        <v>2.9506416225146026</v>
      </c>
      <c r="T5888" s="2">
        <f t="shared" si="368"/>
        <v>2.9493968584789454</v>
      </c>
      <c r="U5888" s="2">
        <f t="shared" si="369"/>
        <v>29.312151743089306</v>
      </c>
    </row>
    <row r="5889" spans="1:21" x14ac:dyDescent="0.25">
      <c r="A5889">
        <v>6397885</v>
      </c>
      <c r="B5889">
        <v>48</v>
      </c>
      <c r="C5889" s="1">
        <f>0.956688622098691*(10.3/7.3)</f>
        <v>1.3498483298104813</v>
      </c>
      <c r="D5889" s="1">
        <f>2.03705751975053*(10.3/7.3)</f>
        <v>2.8742044456754008</v>
      </c>
      <c r="E5889" s="1">
        <f>6.87726857008816*(10.3/7.3)</f>
        <v>9.7035433249189094</v>
      </c>
      <c r="F5889" s="1">
        <f>23.4194113676829*(38.9/42.5)</f>
        <v>21.435649463596789</v>
      </c>
      <c r="G5889" s="1">
        <v>1.3667430768030402</v>
      </c>
      <c r="H5889" s="1">
        <v>4.0707853519799508</v>
      </c>
      <c r="I5889" s="1">
        <v>17.382414277775361</v>
      </c>
      <c r="J5889" s="1">
        <v>4.6770359813626379E-2</v>
      </c>
      <c r="K5889" s="1">
        <v>4.3532982678477081</v>
      </c>
      <c r="L5889" s="1">
        <v>2.7245639270111011</v>
      </c>
      <c r="M5889" s="1">
        <v>0.63253829042079168</v>
      </c>
      <c r="N5889" s="1">
        <v>1.4440172741613442</v>
      </c>
      <c r="O5889" s="1">
        <v>0.48283111111111121</v>
      </c>
      <c r="P5889" s="1">
        <v>0.14713738668519846</v>
      </c>
      <c r="Q5889" s="1">
        <v>2.1842925884980118</v>
      </c>
      <c r="R5889" s="2">
        <f t="shared" si="367"/>
        <v>60.367480859057942</v>
      </c>
      <c r="S5889" s="2">
        <f t="shared" si="366"/>
        <v>4.5472060143465329</v>
      </c>
      <c r="T5889" s="2">
        <f t="shared" si="368"/>
        <v>5.2839506027043486</v>
      </c>
      <c r="U5889" s="2">
        <f t="shared" si="369"/>
        <v>70.198637476108829</v>
      </c>
    </row>
    <row r="5890" spans="1:21" x14ac:dyDescent="0.25">
      <c r="A5890">
        <v>6397893</v>
      </c>
      <c r="B5890">
        <v>57</v>
      </c>
      <c r="C5890" s="1">
        <f>0.903807960451876*(10.3/7.3)</f>
        <v>1.275235889404702</v>
      </c>
      <c r="D5890" s="1">
        <f>1.99835961804852*(10.3/7.3)</f>
        <v>2.8196032966985936</v>
      </c>
      <c r="E5890" s="1">
        <f>6.72784581070585*(10.3/7.3)</f>
        <v>9.4927139520918189</v>
      </c>
      <c r="F5890" s="1">
        <f>23.5353484478375*(38.9/42.5)</f>
        <v>21.541765991079544</v>
      </c>
      <c r="G5890" s="1">
        <v>1.3921895073764432</v>
      </c>
      <c r="H5890" s="1">
        <v>4.3559095074270822</v>
      </c>
      <c r="I5890" s="1">
        <v>17.48203040388459</v>
      </c>
      <c r="J5890" s="1">
        <v>4.9137192814642877E-2</v>
      </c>
      <c r="K5890" s="1">
        <v>4.2638873975114668</v>
      </c>
      <c r="L5890" s="1">
        <v>2.6119415480970725</v>
      </c>
      <c r="M5890" s="1">
        <v>0.60199988227609391</v>
      </c>
      <c r="N5890" s="1">
        <v>1.4545103942436797</v>
      </c>
      <c r="O5890" s="1">
        <v>0.45937777777777766</v>
      </c>
      <c r="P5890" s="1">
        <v>0.14168800421205224</v>
      </c>
      <c r="Q5890" s="1">
        <v>2.224960399916692</v>
      </c>
      <c r="R5890" s="2">
        <f t="shared" si="367"/>
        <v>60.584408947879474</v>
      </c>
      <c r="S5890" s="2">
        <f t="shared" si="366"/>
        <v>4.4547125945381616</v>
      </c>
      <c r="T5890" s="2">
        <f t="shared" si="368"/>
        <v>5.1278296023946233</v>
      </c>
      <c r="U5890" s="2">
        <f t="shared" si="369"/>
        <v>70.166951144812259</v>
      </c>
    </row>
    <row r="5891" spans="1:21" x14ac:dyDescent="0.25">
      <c r="A5891">
        <v>6397901</v>
      </c>
      <c r="B5891">
        <v>11</v>
      </c>
      <c r="C5891" s="1">
        <f>0.849085715326523*(10.3/7.3)</f>
        <v>1.1980250503922176</v>
      </c>
      <c r="D5891" s="1">
        <f>1.97604437063628*(10.3/7.3)</f>
        <v>2.7881173996648934</v>
      </c>
      <c r="E5891" s="1">
        <f>6.62822869495298*(10.3/7.3)</f>
        <v>9.3521582956185938</v>
      </c>
      <c r="F5891" s="1">
        <f>24.0104404134324*(38.9/42.5)</f>
        <v>21.976614872529904</v>
      </c>
      <c r="G5891" s="1">
        <v>1.4441899064344061</v>
      </c>
      <c r="H5891" s="1">
        <v>4.6334010841727196</v>
      </c>
      <c r="I5891" s="1">
        <v>17.854627479506057</v>
      </c>
      <c r="J5891" s="1">
        <v>6.1680752798110652E-2</v>
      </c>
      <c r="K5891" s="1">
        <v>4.1038404764892418</v>
      </c>
      <c r="L5891" s="1">
        <v>2.5950445714926049</v>
      </c>
      <c r="M5891" s="1">
        <v>0.59702006068900981</v>
      </c>
      <c r="N5891" s="1">
        <v>1.6729155722452875</v>
      </c>
      <c r="O5891" s="1">
        <v>0.44607515151515142</v>
      </c>
      <c r="P5891" s="1">
        <v>0.13528728465296921</v>
      </c>
      <c r="Q5891" s="1">
        <v>2.3080660605116106</v>
      </c>
      <c r="R5891" s="2">
        <f t="shared" si="367"/>
        <v>61.555200148830401</v>
      </c>
      <c r="S5891" s="2">
        <f t="shared" si="366"/>
        <v>4.3008085139403223</v>
      </c>
      <c r="T5891" s="2">
        <f t="shared" si="368"/>
        <v>5.3110553559420532</v>
      </c>
      <c r="U5891" s="2">
        <f t="shared" si="369"/>
        <v>71.167064018712779</v>
      </c>
    </row>
    <row r="5892" spans="1:21" x14ac:dyDescent="0.25">
      <c r="A5892">
        <v>6398373</v>
      </c>
      <c r="B5892">
        <v>6</v>
      </c>
      <c r="C5892" s="1">
        <f>2.68727482022979*(10.3/7.3)</f>
        <v>3.791634335392716</v>
      </c>
      <c r="D5892" s="1">
        <f>4.94435591664185*(10.3/7.3)</f>
        <v>6.9762830056727445</v>
      </c>
      <c r="E5892" s="1">
        <f>16.9326279934399*(10.3/7.3)</f>
        <v>23.891242237319343</v>
      </c>
      <c r="F5892" s="1">
        <f>48.8811326349574*(38.9/42.5)</f>
        <v>44.740613164702204</v>
      </c>
      <c r="G5892" s="1">
        <v>2.5992199467588031</v>
      </c>
      <c r="H5892" s="1">
        <v>7.5153950843964124</v>
      </c>
      <c r="I5892" s="1">
        <v>35.80740618489736</v>
      </c>
      <c r="J5892" s="1">
        <v>3.1389806994649098E-2</v>
      </c>
      <c r="K5892" s="1">
        <v>1.988967374768654</v>
      </c>
      <c r="L5892" s="1">
        <v>2.1432185811560238</v>
      </c>
      <c r="M5892" s="1">
        <v>0.18260685281026176</v>
      </c>
      <c r="N5892" s="1">
        <v>1.5042470250316209</v>
      </c>
      <c r="O5892" s="1">
        <v>0.14306666666666665</v>
      </c>
      <c r="P5892" s="1">
        <v>9.1114165285810012E-2</v>
      </c>
      <c r="Q5892" s="1">
        <v>4.1540044811213788</v>
      </c>
      <c r="R5892" s="2">
        <f t="shared" si="367"/>
        <v>129.47579844026097</v>
      </c>
      <c r="S5892" s="2">
        <f t="shared" si="366"/>
        <v>2.1114713470491133</v>
      </c>
      <c r="T5892" s="2">
        <f t="shared" si="368"/>
        <v>3.9731391256645732</v>
      </c>
      <c r="U5892" s="2">
        <f t="shared" si="369"/>
        <v>135.56040891297465</v>
      </c>
    </row>
    <row r="5893" spans="1:21" x14ac:dyDescent="0.25">
      <c r="A5893">
        <v>6398381</v>
      </c>
      <c r="B5893">
        <v>52</v>
      </c>
      <c r="C5893" s="1">
        <f>1.83578055357531*(10.3/7.3)</f>
        <v>2.5902109180583097</v>
      </c>
      <c r="D5893" s="1">
        <f>3.82953321287083*(10.3/7.3)</f>
        <v>5.4033139852834973</v>
      </c>
      <c r="E5893" s="1">
        <f>13.0420930071757*(10.3/7.3)</f>
        <v>18.40185725669998</v>
      </c>
      <c r="F5893" s="1">
        <f>38.9108823908577*(38.9/42.5)</f>
        <v>35.614901764808536</v>
      </c>
      <c r="G5893" s="1">
        <v>2.1261730586156555</v>
      </c>
      <c r="H5893" s="1">
        <v>6.2118543891456852</v>
      </c>
      <c r="I5893" s="1">
        <v>28.142148036333495</v>
      </c>
      <c r="J5893" s="1">
        <v>2.764039247466497E-2</v>
      </c>
      <c r="K5893" s="1">
        <v>1.9632881817771701</v>
      </c>
      <c r="L5893" s="1">
        <v>2.1085405741102363</v>
      </c>
      <c r="M5893" s="1">
        <v>0.18017120785443078</v>
      </c>
      <c r="N5893" s="1">
        <v>1.3848144189323852</v>
      </c>
      <c r="O5893" s="1">
        <v>0.14015282051282052</v>
      </c>
      <c r="P5893" s="1">
        <v>9.010836253167942E-2</v>
      </c>
      <c r="Q5893" s="1">
        <v>3.3979934726734271</v>
      </c>
      <c r="R5893" s="2">
        <f t="shared" si="367"/>
        <v>101.88845288161858</v>
      </c>
      <c r="S5893" s="2">
        <f t="shared" si="366"/>
        <v>2.0810369367835144</v>
      </c>
      <c r="T5893" s="2">
        <f t="shared" si="368"/>
        <v>3.8136790214098726</v>
      </c>
      <c r="U5893" s="2">
        <f t="shared" si="369"/>
        <v>107.78316883981196</v>
      </c>
    </row>
    <row r="5894" spans="1:21" x14ac:dyDescent="0.25">
      <c r="A5894">
        <v>6398389</v>
      </c>
      <c r="B5894">
        <v>57</v>
      </c>
      <c r="C5894" s="1">
        <f>1.97482161641307*(10.3/7.3)</f>
        <v>2.7863921437061148</v>
      </c>
      <c r="D5894" s="1">
        <f>3.95124185908929*(10.3/7.3)</f>
        <v>5.5750398833725603</v>
      </c>
      <c r="E5894" s="1">
        <f>13.500019254893*(10.3/7.3)</f>
        <v>19.047972373342201</v>
      </c>
      <c r="F5894" s="1">
        <f>38.8545594412622*(38.9/42.5)</f>
        <v>35.563349700355296</v>
      </c>
      <c r="G5894" s="1">
        <v>2.0751594544608039</v>
      </c>
      <c r="H5894" s="1">
        <v>6.0681593990362783</v>
      </c>
      <c r="I5894" s="1">
        <v>28.047106806305301</v>
      </c>
      <c r="J5894" s="1">
        <v>2.8924356727362863E-2</v>
      </c>
      <c r="K5894" s="1">
        <v>2.0859921966474637</v>
      </c>
      <c r="L5894" s="1">
        <v>2.2616147804885163</v>
      </c>
      <c r="M5894" s="1">
        <v>0.18938071236855589</v>
      </c>
      <c r="N5894" s="1">
        <v>1.3062717220753592</v>
      </c>
      <c r="O5894" s="1">
        <v>0.14959532163742695</v>
      </c>
      <c r="P5894" s="1">
        <v>9.4600423215122464E-2</v>
      </c>
      <c r="Q5894" s="1">
        <v>3.3164648815583662</v>
      </c>
      <c r="R5894" s="2">
        <f t="shared" si="367"/>
        <v>102.4796446421369</v>
      </c>
      <c r="S5894" s="2">
        <f t="shared" si="366"/>
        <v>2.2095169765899487</v>
      </c>
      <c r="T5894" s="2">
        <f t="shared" si="368"/>
        <v>3.9068625365698586</v>
      </c>
      <c r="U5894" s="2">
        <f t="shared" si="369"/>
        <v>108.59602415529672</v>
      </c>
    </row>
    <row r="5895" spans="1:21" x14ac:dyDescent="0.25">
      <c r="A5895">
        <v>6398397</v>
      </c>
      <c r="B5895">
        <v>29</v>
      </c>
      <c r="C5895" s="1">
        <f>1.88525246341149*(10.3/7.3)</f>
        <v>2.6600137497449801</v>
      </c>
      <c r="D5895" s="1">
        <f>3.66703000763386*(10.3/7.3)</f>
        <v>5.1740286409080509</v>
      </c>
      <c r="E5895" s="1">
        <f>12.5564644278733*(10.3/7.3)</f>
        <v>17.716655288643146</v>
      </c>
      <c r="F5895" s="1">
        <f>35.2549699947166*(38.9/42.5)</f>
        <v>32.268666653987644</v>
      </c>
      <c r="G5895" s="1">
        <v>1.8518736841410401</v>
      </c>
      <c r="H5895" s="1">
        <v>5.8729564695884564</v>
      </c>
      <c r="I5895" s="1">
        <v>25.418774143194952</v>
      </c>
      <c r="J5895" s="1">
        <v>2.7303699321361754E-2</v>
      </c>
      <c r="K5895" s="1">
        <v>1.9345309191721727</v>
      </c>
      <c r="L5895" s="1">
        <v>2.0813703511415094</v>
      </c>
      <c r="M5895" s="1">
        <v>0.17386475171185276</v>
      </c>
      <c r="N5895" s="1">
        <v>1.199121890016587</v>
      </c>
      <c r="O5895" s="1">
        <v>0.13730942528735629</v>
      </c>
      <c r="P5895" s="1">
        <v>8.8818359264458954E-2</v>
      </c>
      <c r="Q5895" s="1">
        <v>2.9596154769377372</v>
      </c>
      <c r="R5895" s="2">
        <f t="shared" si="367"/>
        <v>93.922584107146008</v>
      </c>
      <c r="S5895" s="2">
        <f t="shared" si="366"/>
        <v>2.0506529777579936</v>
      </c>
      <c r="T5895" s="2">
        <f t="shared" si="368"/>
        <v>3.5916664181573053</v>
      </c>
      <c r="U5895" s="2">
        <f t="shared" si="369"/>
        <v>99.564903503061302</v>
      </c>
    </row>
    <row r="5896" spans="1:21" x14ac:dyDescent="0.25">
      <c r="A5896">
        <v>6398405</v>
      </c>
      <c r="B5896">
        <v>17</v>
      </c>
      <c r="C5896" s="1">
        <f>2.08126212177502*(10.3/7.3)</f>
        <v>2.9365753225044786</v>
      </c>
      <c r="D5896" s="1">
        <f>4.03286889417429*(10.3/7.3)</f>
        <v>5.6902122753418114</v>
      </c>
      <c r="E5896" s="1">
        <f>13.8043914850952*(10.3/7.3)</f>
        <v>19.477429081709726</v>
      </c>
      <c r="F5896" s="1">
        <f>39.0827004403131*(38.9/42.5)</f>
        <v>35.772165814780706</v>
      </c>
      <c r="G5896" s="1">
        <v>2.0625874548674239</v>
      </c>
      <c r="H5896" s="1">
        <v>6.1690602414448321</v>
      </c>
      <c r="I5896" s="1">
        <v>28.252395833048524</v>
      </c>
      <c r="J5896" s="1">
        <v>2.7705624532425831E-2</v>
      </c>
      <c r="K5896" s="1">
        <v>1.9745638198658706</v>
      </c>
      <c r="L5896" s="1">
        <v>2.1555633310906184</v>
      </c>
      <c r="M5896" s="1">
        <v>0.17388658966491752</v>
      </c>
      <c r="N5896" s="1">
        <v>1.4160420543387919</v>
      </c>
      <c r="O5896" s="1">
        <v>0.13955764705882354</v>
      </c>
      <c r="P5896" s="1">
        <v>9.0174648519693465E-2</v>
      </c>
      <c r="Q5896" s="1">
        <v>3.296372644765293</v>
      </c>
      <c r="R5896" s="2">
        <f t="shared" si="367"/>
        <v>103.6567986684628</v>
      </c>
      <c r="S5896" s="2">
        <f t="shared" si="366"/>
        <v>2.0924440929179897</v>
      </c>
      <c r="T5896" s="2">
        <f t="shared" si="368"/>
        <v>3.8850496221531508</v>
      </c>
      <c r="U5896" s="2">
        <f t="shared" si="369"/>
        <v>109.63429238353393</v>
      </c>
    </row>
    <row r="5897" spans="1:21" x14ac:dyDescent="0.25">
      <c r="A5897">
        <v>6398413</v>
      </c>
      <c r="B5897">
        <v>55</v>
      </c>
      <c r="C5897" s="1">
        <f>2.6808080096218*(10.3/7.3)</f>
        <v>3.7825099313841846</v>
      </c>
      <c r="D5897" s="1">
        <f>5.31274238252232*(10.3/7.3)</f>
        <v>7.4960611698602664</v>
      </c>
      <c r="E5897" s="1">
        <f>18.1517335057585*(10.3/7.3)</f>
        <v>25.611350014974327</v>
      </c>
      <c r="F5897" s="1">
        <f>52.5024960780026*(38.9/42.5)</f>
        <v>48.055225821983548</v>
      </c>
      <c r="G5897" s="1">
        <v>2.8101715549342519</v>
      </c>
      <c r="H5897" s="1">
        <v>7.546217243237499</v>
      </c>
      <c r="I5897" s="1">
        <v>38.0019056555454</v>
      </c>
      <c r="J5897" s="1">
        <v>3.3532419160953106E-2</v>
      </c>
      <c r="K5897" s="1">
        <v>2.2994334586096801</v>
      </c>
      <c r="L5897" s="1">
        <v>2.6359634462531103</v>
      </c>
      <c r="M5897" s="1">
        <v>0.19753663091772999</v>
      </c>
      <c r="N5897" s="1">
        <v>1.5356716861503732</v>
      </c>
      <c r="O5897" s="1">
        <v>0.1623941818181818</v>
      </c>
      <c r="P5897" s="1">
        <v>0.10296075245491396</v>
      </c>
      <c r="Q5897" s="1">
        <v>4.4911417544611369</v>
      </c>
      <c r="R5897" s="2">
        <f t="shared" si="367"/>
        <v>137.7945831463806</v>
      </c>
      <c r="S5897" s="2">
        <f t="shared" ref="S5897:S5960" si="370">J5897+K5897+P5897</f>
        <v>2.4359266302255471</v>
      </c>
      <c r="T5897" s="2">
        <f t="shared" si="368"/>
        <v>4.5315659451393957</v>
      </c>
      <c r="U5897" s="2">
        <f t="shared" si="369"/>
        <v>144.76207572174553</v>
      </c>
    </row>
    <row r="5898" spans="1:21" x14ac:dyDescent="0.25">
      <c r="A5898">
        <v>6398421</v>
      </c>
      <c r="B5898">
        <v>35</v>
      </c>
      <c r="C5898" s="1">
        <f>2.10059098886793*(10.3/7.3)</f>
        <v>2.9638475596355702</v>
      </c>
      <c r="D5898" s="1">
        <f>4.27578472922647*(10.3/7.3)</f>
        <v>6.0329565357578963</v>
      </c>
      <c r="E5898" s="1">
        <f>14.5915500036875*(10.3/7.3)</f>
        <v>20.588077402463203</v>
      </c>
      <c r="F5898" s="1">
        <f>42.518794958826*(38.9/42.5)</f>
        <v>38.917202915254855</v>
      </c>
      <c r="G5898" s="1">
        <v>2.2896127304558047</v>
      </c>
      <c r="H5898" s="1">
        <v>9.1209742113148842</v>
      </c>
      <c r="I5898" s="1">
        <v>30.697411693720486</v>
      </c>
      <c r="J5898" s="1">
        <v>2.9413403507465481E-2</v>
      </c>
      <c r="K5898" s="1">
        <v>2.0290442637768038</v>
      </c>
      <c r="L5898" s="1">
        <v>2.4813117845631356</v>
      </c>
      <c r="M5898" s="1">
        <v>0.17048408963860995</v>
      </c>
      <c r="N5898" s="1">
        <v>1.5019847378627571</v>
      </c>
      <c r="O5898" s="1">
        <v>0.13962971428571422</v>
      </c>
      <c r="P5898" s="1">
        <v>9.1686463698455692E-2</v>
      </c>
      <c r="Q5898" s="1">
        <v>3.6591984276690961</v>
      </c>
      <c r="R5898" s="2">
        <f t="shared" ref="R5898:R5961" si="371">C5898+D5898+E5898+F5898+G5898+H5898+I5898+Q5898</f>
        <v>114.2692814762718</v>
      </c>
      <c r="S5898" s="2">
        <f t="shared" si="370"/>
        <v>2.1501441309827252</v>
      </c>
      <c r="T5898" s="2">
        <f t="shared" ref="T5898:T5961" si="372">L5898+M5898+N5898+O5898</f>
        <v>4.2934103263502168</v>
      </c>
      <c r="U5898" s="2">
        <f t="shared" ref="U5898:U5961" si="373">R5898+S5898+T5898</f>
        <v>120.71283593360474</v>
      </c>
    </row>
    <row r="5899" spans="1:21" x14ac:dyDescent="0.25">
      <c r="A5899">
        <v>6398429</v>
      </c>
      <c r="B5899">
        <v>1</v>
      </c>
      <c r="C5899" s="1">
        <f>1.78793192055899*(10.3/7.3)</f>
        <v>2.5226984632544696</v>
      </c>
      <c r="D5899" s="1">
        <f>3.63090474326713*(10.3/7.3)</f>
        <v>5.1230573774864938</v>
      </c>
      <c r="E5899" s="1">
        <f>12.3885374298835*(10.3/7.3)</f>
        <v>17.479717195589068</v>
      </c>
      <c r="F5899" s="1">
        <f>36.2590614835536*(38.9/42.5)</f>
        <v>33.187705687299612</v>
      </c>
      <c r="G5899" s="1">
        <v>1.9570597246183929</v>
      </c>
      <c r="H5899" s="1">
        <v>10.154516987543365</v>
      </c>
      <c r="I5899" s="1">
        <v>26.21483242693116</v>
      </c>
      <c r="J5899" s="1">
        <v>2.5858083696488746E-2</v>
      </c>
      <c r="K5899" s="1">
        <v>1.7794450197561487</v>
      </c>
      <c r="L5899" s="1">
        <v>2.4445754728440914</v>
      </c>
      <c r="M5899" s="1">
        <v>0.14685000386609579</v>
      </c>
      <c r="N5899" s="1">
        <v>1.2559618827976775</v>
      </c>
      <c r="O5899" s="1">
        <v>0.11850666666666666</v>
      </c>
      <c r="P5899" s="1">
        <v>8.0980335415018034E-2</v>
      </c>
      <c r="Q5899" s="1">
        <v>3.1277210210796267</v>
      </c>
      <c r="R5899" s="2">
        <f t="shared" si="371"/>
        <v>99.767308883802173</v>
      </c>
      <c r="S5899" s="2">
        <f t="shared" si="370"/>
        <v>1.8862834388676555</v>
      </c>
      <c r="T5899" s="2">
        <f t="shared" si="372"/>
        <v>3.9658940261745315</v>
      </c>
      <c r="U5899" s="2">
        <f t="shared" si="373"/>
        <v>105.61948634884436</v>
      </c>
    </row>
    <row r="5900" spans="1:21" x14ac:dyDescent="0.25">
      <c r="A5900">
        <v>6398725</v>
      </c>
      <c r="B5900">
        <v>4</v>
      </c>
      <c r="C5900" s="1">
        <f>2.98629239415709*(10.3/7.3)</f>
        <v>4.2135358438106927</v>
      </c>
      <c r="D5900" s="1">
        <f>4.3904246966203*(10.3/7.3)</f>
        <v>6.1947088185190493</v>
      </c>
      <c r="E5900" s="1">
        <f>15.3837807561463*(10.3/7.3)</f>
        <v>21.705882436754344</v>
      </c>
      <c r="F5900" s="1">
        <f>32.5671618408947*(38.9/42.5)</f>
        <v>29.808531661430639</v>
      </c>
      <c r="G5900" s="1">
        <v>1.3210689615879365</v>
      </c>
      <c r="H5900" s="1">
        <v>8.2961026562967994</v>
      </c>
      <c r="I5900" s="1">
        <v>23.334365565000088</v>
      </c>
      <c r="J5900" s="1">
        <v>2.4546933735508265E-2</v>
      </c>
      <c r="K5900" s="1">
        <v>1.6112492216416427</v>
      </c>
      <c r="L5900" s="1">
        <v>1.4679204978227713</v>
      </c>
      <c r="M5900" s="1">
        <v>8.9070038673438226E-2</v>
      </c>
      <c r="N5900" s="1">
        <v>0.98879437261948466</v>
      </c>
      <c r="O5900" s="1">
        <v>8.6026666666666668E-2</v>
      </c>
      <c r="P5900" s="1">
        <v>6.5059713418021956E-2</v>
      </c>
      <c r="Q5900" s="1">
        <v>2.1112974271953346</v>
      </c>
      <c r="R5900" s="2">
        <f t="shared" si="371"/>
        <v>96.985493370594881</v>
      </c>
      <c r="S5900" s="2">
        <f t="shared" si="370"/>
        <v>1.7008558687951729</v>
      </c>
      <c r="T5900" s="2">
        <f t="shared" si="372"/>
        <v>2.6318115757823608</v>
      </c>
      <c r="U5900" s="2">
        <f t="shared" si="373"/>
        <v>101.31816081517242</v>
      </c>
    </row>
    <row r="5901" spans="1:21" x14ac:dyDescent="0.25">
      <c r="A5901">
        <v>6398733</v>
      </c>
      <c r="B5901">
        <v>32</v>
      </c>
      <c r="C5901" s="1">
        <f>2.85669819753159*(10.3/7.3)</f>
        <v>4.0306837581610111</v>
      </c>
      <c r="D5901" s="1">
        <f>4.31210225626666*(10.3/7.3)</f>
        <v>6.0841990739104919</v>
      </c>
      <c r="E5901" s="1">
        <f>15.100267971587*(10.3/7.3)</f>
        <v>21.305857548951472</v>
      </c>
      <c r="F5901" s="1">
        <f>31.6580749376764*(38.9/42.5)</f>
        <v>28.976449766484958</v>
      </c>
      <c r="G5901" s="1">
        <v>1.2763370300738637</v>
      </c>
      <c r="H5901" s="1">
        <v>4.6320746269157915</v>
      </c>
      <c r="I5901" s="1">
        <v>22.45401446365528</v>
      </c>
      <c r="J5901" s="1">
        <v>2.7033716337473056E-2</v>
      </c>
      <c r="K5901" s="1">
        <v>1.6886256846315737</v>
      </c>
      <c r="L5901" s="1">
        <v>1.540393437030126</v>
      </c>
      <c r="M5901" s="1">
        <v>9.2512131391649488E-2</v>
      </c>
      <c r="N5901" s="1">
        <v>0.98816563932986601</v>
      </c>
      <c r="O5901" s="1">
        <v>8.9343333333333344E-2</v>
      </c>
      <c r="P5901" s="1">
        <v>6.7585691720322305E-2</v>
      </c>
      <c r="Q5901" s="1">
        <v>2.0398080389308348</v>
      </c>
      <c r="R5901" s="2">
        <f t="shared" si="371"/>
        <v>90.799424307083697</v>
      </c>
      <c r="S5901" s="2">
        <f t="shared" si="370"/>
        <v>1.783245092689369</v>
      </c>
      <c r="T5901" s="2">
        <f t="shared" si="372"/>
        <v>2.7104145410849747</v>
      </c>
      <c r="U5901" s="2">
        <f t="shared" si="373"/>
        <v>95.29308394085804</v>
      </c>
    </row>
    <row r="5902" spans="1:21" x14ac:dyDescent="0.25">
      <c r="A5902">
        <v>6398741</v>
      </c>
      <c r="B5902">
        <v>61</v>
      </c>
      <c r="C5902" s="1">
        <f>2.53393900399992*(10.3/7.3)</f>
        <v>3.5752838001642782</v>
      </c>
      <c r="D5902" s="1">
        <f>4.88797269188289*(10.3/7.3)</f>
        <v>6.8967285926566788</v>
      </c>
      <c r="E5902" s="1">
        <f>17.0651058090497*(10.3/7.3)</f>
        <v>24.078162990850899</v>
      </c>
      <c r="F5902" s="1">
        <f>31.307948229786*(38.9/42.5)</f>
        <v>28.655980850321782</v>
      </c>
      <c r="G5902" s="1">
        <v>1.1182225987463803</v>
      </c>
      <c r="H5902" s="1">
        <v>4.0651548676237699</v>
      </c>
      <c r="I5902" s="1">
        <v>19.771034349950789</v>
      </c>
      <c r="J5902" s="1">
        <v>2.4118648398898535E-2</v>
      </c>
      <c r="K5902" s="1">
        <v>1.6425760755479604</v>
      </c>
      <c r="L5902" s="1">
        <v>1.4727936722862311</v>
      </c>
      <c r="M5902" s="1">
        <v>8.9460404497292381E-2</v>
      </c>
      <c r="N5902" s="1">
        <v>0.93090979703406329</v>
      </c>
      <c r="O5902" s="1">
        <v>8.5698797814207653E-2</v>
      </c>
      <c r="P5902" s="1">
        <v>6.5437020019790265E-2</v>
      </c>
      <c r="Q5902" s="1">
        <v>1.7871137422887367</v>
      </c>
      <c r="R5902" s="2">
        <f t="shared" si="371"/>
        <v>89.947681792603333</v>
      </c>
      <c r="S5902" s="2">
        <f t="shared" si="370"/>
        <v>1.732131743966649</v>
      </c>
      <c r="T5902" s="2">
        <f t="shared" si="372"/>
        <v>2.5788626716317946</v>
      </c>
      <c r="U5902" s="2">
        <f t="shared" si="373"/>
        <v>94.258676208201777</v>
      </c>
    </row>
    <row r="5903" spans="1:21" x14ac:dyDescent="0.25">
      <c r="A5903">
        <v>6398749</v>
      </c>
      <c r="B5903">
        <v>64</v>
      </c>
      <c r="C5903" s="1">
        <f>2.31492176738225*(10.3/7.3)</f>
        <v>3.2662594800050959</v>
      </c>
      <c r="D5903" s="1">
        <f>3.48491860685271*(10.3/7.3)</f>
        <v>4.9170769384360211</v>
      </c>
      <c r="E5903" s="1">
        <f>12.2107273130676*(10.3/7.3)</f>
        <v>17.228834428026879</v>
      </c>
      <c r="F5903" s="1">
        <f>25.3026467409758*(38.9/42.5)</f>
        <v>23.159363722916648</v>
      </c>
      <c r="G5903" s="1">
        <v>1.0066411368623773</v>
      </c>
      <c r="H5903" s="1">
        <v>3.4270340147145282</v>
      </c>
      <c r="I5903" s="1">
        <v>17.905394116588635</v>
      </c>
      <c r="J5903" s="1">
        <v>2.0121272216729505E-2</v>
      </c>
      <c r="K5903" s="1">
        <v>1.4958855610172952</v>
      </c>
      <c r="L5903" s="1">
        <v>1.3108113804850863</v>
      </c>
      <c r="M5903" s="1">
        <v>8.1658009530881051E-2</v>
      </c>
      <c r="N5903" s="1">
        <v>0.8276018109030211</v>
      </c>
      <c r="O5903" s="1">
        <v>7.6924166666666668E-2</v>
      </c>
      <c r="P5903" s="1">
        <v>6.0502121733814362E-2</v>
      </c>
      <c r="Q5903" s="1">
        <v>1.6087872050311989</v>
      </c>
      <c r="R5903" s="2">
        <f t="shared" si="371"/>
        <v>72.51939104258139</v>
      </c>
      <c r="S5903" s="2">
        <f t="shared" si="370"/>
        <v>1.576508954967839</v>
      </c>
      <c r="T5903" s="2">
        <f t="shared" si="372"/>
        <v>2.2969953675856551</v>
      </c>
      <c r="U5903" s="2">
        <f t="shared" si="373"/>
        <v>76.392895365134876</v>
      </c>
    </row>
    <row r="5904" spans="1:21" x14ac:dyDescent="0.25">
      <c r="A5904">
        <v>6398757</v>
      </c>
      <c r="B5904">
        <v>43</v>
      </c>
      <c r="C5904" s="1">
        <f>2.21886513027622*(10.3/7.3)</f>
        <v>3.1307275125815113</v>
      </c>
      <c r="D5904" s="1">
        <f>3.1146849538693*(10.3/7.3)</f>
        <v>4.3946924691580582</v>
      </c>
      <c r="E5904" s="1">
        <f>10.9240588865731*(10.3/7.3)</f>
        <v>15.413398155027819</v>
      </c>
      <c r="F5904" s="1">
        <f>23.6097024050591*(38.9/42.5)</f>
        <v>21.609821730748227</v>
      </c>
      <c r="G5904" s="1">
        <v>0.97141845342613575</v>
      </c>
      <c r="H5904" s="1">
        <v>3.2732183907227292</v>
      </c>
      <c r="I5904" s="1">
        <v>17.231165939152348</v>
      </c>
      <c r="J5904" s="1">
        <v>1.7503116819368628E-2</v>
      </c>
      <c r="K5904" s="1">
        <v>1.3433066404924192</v>
      </c>
      <c r="L5904" s="1">
        <v>1.1536912472015612</v>
      </c>
      <c r="M5904" s="1">
        <v>7.3802448670180293E-2</v>
      </c>
      <c r="N5904" s="1">
        <v>0.7088571475657548</v>
      </c>
      <c r="O5904" s="1">
        <v>6.9119999999999973E-2</v>
      </c>
      <c r="P5904" s="1">
        <v>5.5405023322930111E-2</v>
      </c>
      <c r="Q5904" s="1">
        <v>1.5524952452015874</v>
      </c>
      <c r="R5904" s="2">
        <f t="shared" si="371"/>
        <v>67.576937896018421</v>
      </c>
      <c r="S5904" s="2">
        <f t="shared" si="370"/>
        <v>1.4162147806347181</v>
      </c>
      <c r="T5904" s="2">
        <f t="shared" si="372"/>
        <v>2.0054708434374962</v>
      </c>
      <c r="U5904" s="2">
        <f t="shared" si="373"/>
        <v>70.998623520090632</v>
      </c>
    </row>
    <row r="5905" spans="1:21" x14ac:dyDescent="0.25">
      <c r="A5905">
        <v>6410113</v>
      </c>
      <c r="B5905">
        <v>49</v>
      </c>
      <c r="C5905" s="1">
        <f>0.782491399130338*(10.3/7.3)</f>
        <v>1.1040632069921203</v>
      </c>
      <c r="D5905" s="1">
        <f>1.59780829443948*(10.3/7.3)</f>
        <v>2.2544418400995365</v>
      </c>
      <c r="E5905" s="1">
        <f>5.41263066616223*(10.3/7.3)</f>
        <v>7.6369994330782163</v>
      </c>
      <c r="F5905" s="1">
        <f>17.8052949208899*(38.9/42.5)</f>
        <v>16.297081704061554</v>
      </c>
      <c r="G5905" s="1">
        <v>1.0205741513492046</v>
      </c>
      <c r="H5905" s="1">
        <v>3.2350877426975257</v>
      </c>
      <c r="I5905" s="1">
        <v>13.195634009656425</v>
      </c>
      <c r="J5905" s="1">
        <v>3.8013217137013521E-2</v>
      </c>
      <c r="K5905" s="1">
        <v>3.8278064476433618</v>
      </c>
      <c r="L5905" s="1">
        <v>2.2973525473324385</v>
      </c>
      <c r="M5905" s="1">
        <v>0.51912047742228695</v>
      </c>
      <c r="N5905" s="1">
        <v>1.228725767078469</v>
      </c>
      <c r="O5905" s="1">
        <v>0.40506666666666663</v>
      </c>
      <c r="P5905" s="1">
        <v>0.13557533411298833</v>
      </c>
      <c r="Q5905" s="1">
        <v>1.6310545797818359</v>
      </c>
      <c r="R5905" s="2">
        <f t="shared" si="371"/>
        <v>46.374936667716426</v>
      </c>
      <c r="S5905" s="2">
        <f t="shared" si="370"/>
        <v>4.0013949988933639</v>
      </c>
      <c r="T5905" s="2">
        <f t="shared" si="372"/>
        <v>4.4502654584998611</v>
      </c>
      <c r="U5905" s="2">
        <f t="shared" si="373"/>
        <v>54.82659712510965</v>
      </c>
    </row>
    <row r="5906" spans="1:21" x14ac:dyDescent="0.25">
      <c r="A5906">
        <v>6410121</v>
      </c>
      <c r="B5906">
        <v>52</v>
      </c>
      <c r="C5906" s="1">
        <f>1.01430370212667*(10.3/7.3)</f>
        <v>1.4311408399869479</v>
      </c>
      <c r="D5906" s="1">
        <f>2.21325007646987*(10.3/7.3)</f>
        <v>3.1228049024163931</v>
      </c>
      <c r="E5906" s="1">
        <f>7.45980723818133*(10.3/7.3)</f>
        <v>10.525481445653114</v>
      </c>
      <c r="F5906" s="1">
        <f>25.7884079066443*(38.9/42.5)</f>
        <v>23.603978060434422</v>
      </c>
      <c r="G5906" s="1">
        <v>1.5167914409637826</v>
      </c>
      <c r="H5906" s="1">
        <v>4.4532436708775318</v>
      </c>
      <c r="I5906" s="1">
        <v>19.14049620374481</v>
      </c>
      <c r="J5906" s="1">
        <v>5.0516646330840756E-2</v>
      </c>
      <c r="K5906" s="1">
        <v>4.4626441816732116</v>
      </c>
      <c r="L5906" s="1">
        <v>2.8568125361014824</v>
      </c>
      <c r="M5906" s="1">
        <v>0.66650372112392087</v>
      </c>
      <c r="N5906" s="1">
        <v>1.5252963021884014</v>
      </c>
      <c r="O5906" s="1">
        <v>0.50180615384615379</v>
      </c>
      <c r="P5906" s="1">
        <v>0.15049326745426275</v>
      </c>
      <c r="Q5906" s="1">
        <v>2.4240959102160935</v>
      </c>
      <c r="R5906" s="2">
        <f t="shared" si="371"/>
        <v>66.218032474293096</v>
      </c>
      <c r="S5906" s="2">
        <f t="shared" si="370"/>
        <v>4.6636540954583152</v>
      </c>
      <c r="T5906" s="2">
        <f t="shared" si="372"/>
        <v>5.5504187132599583</v>
      </c>
      <c r="U5906" s="2">
        <f t="shared" si="373"/>
        <v>76.432105283011367</v>
      </c>
    </row>
    <row r="5907" spans="1:21" x14ac:dyDescent="0.25">
      <c r="A5907">
        <v>6410129</v>
      </c>
      <c r="B5907">
        <v>58</v>
      </c>
      <c r="C5907" s="1">
        <f>0.988313048781505*(10.3/7.3)</f>
        <v>1.3944690962259594</v>
      </c>
      <c r="D5907" s="1">
        <f>2.24439283690681*(10.3/7.3)</f>
        <v>3.1667460575534414</v>
      </c>
      <c r="E5907" s="1">
        <f>7.543738571566*(10.3/7.3)</f>
        <v>10.643905107825995</v>
      </c>
      <c r="F5907" s="1">
        <f>26.7657659312011*(38.9/42.5)</f>
        <v>24.498548111146373</v>
      </c>
      <c r="G5907" s="1">
        <v>1.5946692113339818</v>
      </c>
      <c r="H5907" s="1">
        <v>4.910057092200752</v>
      </c>
      <c r="I5907" s="1">
        <v>19.875852059992056</v>
      </c>
      <c r="J5907" s="1">
        <v>5.8217340818519814E-2</v>
      </c>
      <c r="K5907" s="1">
        <v>4.5225865160474177</v>
      </c>
      <c r="L5907" s="1">
        <v>2.8512693307141088</v>
      </c>
      <c r="M5907" s="1">
        <v>0.66352688501513013</v>
      </c>
      <c r="N5907" s="1">
        <v>1.6305227245918366</v>
      </c>
      <c r="O5907" s="1">
        <v>0.49781793103448285</v>
      </c>
      <c r="P5907" s="1">
        <v>0.14722074831284593</v>
      </c>
      <c r="Q5907" s="1">
        <v>2.5485581003054514</v>
      </c>
      <c r="R5907" s="2">
        <f t="shared" si="371"/>
        <v>68.632804836584015</v>
      </c>
      <c r="S5907" s="2">
        <f t="shared" si="370"/>
        <v>4.728024605178784</v>
      </c>
      <c r="T5907" s="2">
        <f t="shared" si="372"/>
        <v>5.6431368713555585</v>
      </c>
      <c r="U5907" s="2">
        <f t="shared" si="373"/>
        <v>79.003966313118354</v>
      </c>
    </row>
    <row r="5908" spans="1:21" x14ac:dyDescent="0.25">
      <c r="A5908">
        <v>6410609</v>
      </c>
      <c r="B5908">
        <v>61</v>
      </c>
      <c r="C5908" s="1">
        <f>1.90508847611224*(10.3/7.3)</f>
        <v>2.6880015484871329</v>
      </c>
      <c r="D5908" s="1">
        <f>3.8038381447275*(10.3/7.3)</f>
        <v>5.3670593000949696</v>
      </c>
      <c r="E5908" s="1">
        <f>13.0042569086785*(10.3/7.3)</f>
        <v>18.348472076628504</v>
      </c>
      <c r="F5908" s="1">
        <f>37.063473825707*(38.9/42.5)</f>
        <v>33.923979572235382</v>
      </c>
      <c r="G5908" s="1">
        <v>1.9680178800724233</v>
      </c>
      <c r="H5908" s="1">
        <v>6.2345737558265544</v>
      </c>
      <c r="I5908" s="1">
        <v>26.70114574072139</v>
      </c>
      <c r="J5908" s="1">
        <v>2.9301617447264779E-2</v>
      </c>
      <c r="K5908" s="1">
        <v>1.9833047810529723</v>
      </c>
      <c r="L5908" s="1">
        <v>2.1241609684894454</v>
      </c>
      <c r="M5908" s="1">
        <v>0.18279486389883692</v>
      </c>
      <c r="N5908" s="1">
        <v>1.2952541137969769</v>
      </c>
      <c r="O5908" s="1">
        <v>0.14090666666666665</v>
      </c>
      <c r="P5908" s="1">
        <v>9.0884638493494194E-2</v>
      </c>
      <c r="Q5908" s="1">
        <v>3.1452340549102695</v>
      </c>
      <c r="R5908" s="2">
        <f t="shared" si="371"/>
        <v>98.376483928976626</v>
      </c>
      <c r="S5908" s="2">
        <f t="shared" si="370"/>
        <v>2.1034910369937312</v>
      </c>
      <c r="T5908" s="2">
        <f t="shared" si="372"/>
        <v>3.7431166128519258</v>
      </c>
      <c r="U5908" s="2">
        <f t="shared" si="373"/>
        <v>104.22309157882228</v>
      </c>
    </row>
    <row r="5909" spans="1:21" x14ac:dyDescent="0.25">
      <c r="A5909">
        <v>6410617</v>
      </c>
      <c r="B5909">
        <v>24</v>
      </c>
      <c r="C5909" s="1">
        <f>1.5759411064094*(10.3/7.3)</f>
        <v>2.2235881364406596</v>
      </c>
      <c r="D5909" s="1">
        <f>3.10668117488259*(10.3/7.3)</f>
        <v>4.3833994659302356</v>
      </c>
      <c r="E5909" s="1">
        <f>10.6294129712545*(10.3/7.3)</f>
        <v>14.997664877249507</v>
      </c>
      <c r="F5909" s="1">
        <f>30.0579939719774*(38.9/42.5)</f>
        <v>27.511905070821662</v>
      </c>
      <c r="G5909" s="1">
        <v>1.5872051215992053</v>
      </c>
      <c r="H5909" s="1">
        <v>4.8193086811125907</v>
      </c>
      <c r="I5909" s="1">
        <v>21.659589958286347</v>
      </c>
      <c r="J5909" s="1">
        <v>2.3728349010678218E-2</v>
      </c>
      <c r="K5909" s="1">
        <v>1.7624542960211123</v>
      </c>
      <c r="L5909" s="1">
        <v>1.8478201390601707</v>
      </c>
      <c r="M5909" s="1">
        <v>0.16125355511091513</v>
      </c>
      <c r="N5909" s="1">
        <v>1.1192381282306076</v>
      </c>
      <c r="O5909" s="1">
        <v>0.12464888888888892</v>
      </c>
      <c r="P5909" s="1">
        <v>8.174678391865367E-2</v>
      </c>
      <c r="Q5909" s="1">
        <v>2.5366291897704216</v>
      </c>
      <c r="R5909" s="2">
        <f t="shared" si="371"/>
        <v>79.719290501210622</v>
      </c>
      <c r="S5909" s="2">
        <f t="shared" si="370"/>
        <v>1.867929428950444</v>
      </c>
      <c r="T5909" s="2">
        <f t="shared" si="372"/>
        <v>3.2529607112905823</v>
      </c>
      <c r="U5909" s="2">
        <f t="shared" si="373"/>
        <v>84.840180641451653</v>
      </c>
    </row>
    <row r="5910" spans="1:21" x14ac:dyDescent="0.25">
      <c r="A5910">
        <v>6410625</v>
      </c>
      <c r="B5910">
        <v>22</v>
      </c>
      <c r="C5910" s="1">
        <f>1.57370524103962*(10.3/7.3)</f>
        <v>2.2204334222887745</v>
      </c>
      <c r="D5910" s="1">
        <f>3.04631756647675*(10.3/7.3)</f>
        <v>4.2982288951658312</v>
      </c>
      <c r="E5910" s="1">
        <f>10.4377910482846*(10.3/7.3)</f>
        <v>14.727294218812531</v>
      </c>
      <c r="F5910" s="1">
        <f>29.0368695107407*(38.9/42.5)</f>
        <v>26.577275858066209</v>
      </c>
      <c r="G5910" s="1">
        <v>1.5161750577884916</v>
      </c>
      <c r="H5910" s="1">
        <v>4.7415025791834067</v>
      </c>
      <c r="I5910" s="1">
        <v>20.906689144722687</v>
      </c>
      <c r="J5910" s="1">
        <v>2.4633726539633184E-2</v>
      </c>
      <c r="K5910" s="1">
        <v>1.8135038041375922</v>
      </c>
      <c r="L5910" s="1">
        <v>1.9052166263920385</v>
      </c>
      <c r="M5910" s="1">
        <v>0.16371573515226709</v>
      </c>
      <c r="N5910" s="1">
        <v>1.1163413244035352</v>
      </c>
      <c r="O5910" s="1">
        <v>0.12690666666666664</v>
      </c>
      <c r="P5910" s="1">
        <v>8.3533821401709757E-2</v>
      </c>
      <c r="Q5910" s="1">
        <v>2.4231108229496474</v>
      </c>
      <c r="R5910" s="2">
        <f t="shared" si="371"/>
        <v>77.41070999897758</v>
      </c>
      <c r="S5910" s="2">
        <f t="shared" si="370"/>
        <v>1.9216713520789352</v>
      </c>
      <c r="T5910" s="2">
        <f t="shared" si="372"/>
        <v>3.3121803526145071</v>
      </c>
      <c r="U5910" s="2">
        <f t="shared" si="373"/>
        <v>82.644561703671016</v>
      </c>
    </row>
    <row r="5911" spans="1:21" x14ac:dyDescent="0.25">
      <c r="A5911">
        <v>6410641</v>
      </c>
      <c r="B5911">
        <v>14</v>
      </c>
      <c r="C5911" s="1">
        <f>2.66172724576742*(10.3/7.3)</f>
        <v>3.7555877577266354</v>
      </c>
      <c r="D5911" s="1">
        <f>5.21557555832161*(10.3/7.3)</f>
        <v>7.3589627740702168</v>
      </c>
      <c r="E5911" s="1">
        <f>17.8357313815287*(10.3/7.3)</f>
        <v>25.165484004074678</v>
      </c>
      <c r="F5911" s="1">
        <f>51.0689614224467*(38.9/42.5)</f>
        <v>46.743119984310084</v>
      </c>
      <c r="G5911" s="1">
        <v>2.7153284008156979</v>
      </c>
      <c r="H5911" s="1">
        <v>7.4593303394389592</v>
      </c>
      <c r="I5911" s="1">
        <v>36.945588274647996</v>
      </c>
      <c r="J5911" s="1">
        <v>3.2374432323645529E-2</v>
      </c>
      <c r="K5911" s="1">
        <v>2.2343410315163452</v>
      </c>
      <c r="L5911" s="1">
        <v>2.5200082098460319</v>
      </c>
      <c r="M5911" s="1">
        <v>0.19532392766403001</v>
      </c>
      <c r="N5911" s="1">
        <v>1.4649474909463491</v>
      </c>
      <c r="O5911" s="1">
        <v>0.15949333333333332</v>
      </c>
      <c r="P5911" s="1">
        <v>0.10011646263932639</v>
      </c>
      <c r="Q5911" s="1">
        <v>4.3395659373766904</v>
      </c>
      <c r="R5911" s="2">
        <f t="shared" si="371"/>
        <v>134.48296747246093</v>
      </c>
      <c r="S5911" s="2">
        <f t="shared" si="370"/>
        <v>2.3668319264793172</v>
      </c>
      <c r="T5911" s="2">
        <f t="shared" si="372"/>
        <v>4.3397729617897447</v>
      </c>
      <c r="U5911" s="2">
        <f t="shared" si="373"/>
        <v>141.18957236072998</v>
      </c>
    </row>
    <row r="5912" spans="1:21" x14ac:dyDescent="0.25">
      <c r="A5912">
        <v>6410649</v>
      </c>
      <c r="B5912">
        <v>55</v>
      </c>
      <c r="C5912" s="1">
        <f>2.15419382438901*(10.3/7.3)</f>
        <v>3.0394789576995627</v>
      </c>
      <c r="D5912" s="1">
        <f>4.26354825719062*(10.3/7.3)</f>
        <v>6.0156913765840301</v>
      </c>
      <c r="E5912" s="1">
        <f>14.5675717391552*(10.3/7.3)</f>
        <v>20.554245056616313</v>
      </c>
      <c r="F5912" s="1">
        <f>42.1351920327784*(38.9/42.5)</f>
        <v>38.566093413531277</v>
      </c>
      <c r="G5912" s="1">
        <v>2.2550470381505492</v>
      </c>
      <c r="H5912" s="1">
        <v>6.6420734397695931</v>
      </c>
      <c r="I5912" s="1">
        <v>30.504331787076655</v>
      </c>
      <c r="J5912" s="1">
        <v>2.9380405709935331E-2</v>
      </c>
      <c r="K5912" s="1">
        <v>2.0535483814974858</v>
      </c>
      <c r="L5912" s="1">
        <v>2.2765904682774507</v>
      </c>
      <c r="M5912" s="1">
        <v>0.17469385563437795</v>
      </c>
      <c r="N5912" s="1">
        <v>1.3757071737746072</v>
      </c>
      <c r="O5912" s="1">
        <v>0.14268315151515151</v>
      </c>
      <c r="P5912" s="1">
        <v>9.3025961063429599E-2</v>
      </c>
      <c r="Q5912" s="1">
        <v>3.6039564536652673</v>
      </c>
      <c r="R5912" s="2">
        <f t="shared" si="371"/>
        <v>111.18091752309324</v>
      </c>
      <c r="S5912" s="2">
        <f t="shared" si="370"/>
        <v>2.1759547482708506</v>
      </c>
      <c r="T5912" s="2">
        <f t="shared" si="372"/>
        <v>3.9696746492015871</v>
      </c>
      <c r="U5912" s="2">
        <f t="shared" si="373"/>
        <v>117.32654692056569</v>
      </c>
    </row>
    <row r="5913" spans="1:21" x14ac:dyDescent="0.25">
      <c r="A5913">
        <v>6410657</v>
      </c>
      <c r="B5913">
        <v>52</v>
      </c>
      <c r="C5913" s="1">
        <f>1.95770380319171*(10.3/7.3)</f>
        <v>2.7622396127225501</v>
      </c>
      <c r="D5913" s="1">
        <f>3.98624539170161*(10.3/7.3)</f>
        <v>5.6244284293872102</v>
      </c>
      <c r="E5913" s="1">
        <f>13.594607405897*(10.3/7.3)</f>
        <v>19.181432367224481</v>
      </c>
      <c r="F5913" s="1">
        <f>40.0625869283746*(38.9/42.5)</f>
        <v>36.669050153265239</v>
      </c>
      <c r="G5913" s="1">
        <v>2.1709893301434806</v>
      </c>
      <c r="H5913" s="1">
        <v>9.1591293678771155</v>
      </c>
      <c r="I5913" s="1">
        <v>28.999076553375009</v>
      </c>
      <c r="J5913" s="1">
        <v>2.890796799706169E-2</v>
      </c>
      <c r="K5913" s="1">
        <v>1.9745506875738752</v>
      </c>
      <c r="L5913" s="1">
        <v>2.4802480074939908</v>
      </c>
      <c r="M5913" s="1">
        <v>0.16334293638025199</v>
      </c>
      <c r="N5913" s="1">
        <v>1.5790020114113601</v>
      </c>
      <c r="O5913" s="1">
        <v>0.13311589743589738</v>
      </c>
      <c r="P5913" s="1">
        <v>8.8931843705683647E-2</v>
      </c>
      <c r="Q5913" s="1">
        <v>3.4696176509142407</v>
      </c>
      <c r="R5913" s="2">
        <f t="shared" si="371"/>
        <v>108.03596346490933</v>
      </c>
      <c r="S5913" s="2">
        <f t="shared" si="370"/>
        <v>2.0923904992766205</v>
      </c>
      <c r="T5913" s="2">
        <f t="shared" si="372"/>
        <v>4.3557088527215004</v>
      </c>
      <c r="U5913" s="2">
        <f t="shared" si="373"/>
        <v>114.48406281690745</v>
      </c>
    </row>
    <row r="5914" spans="1:21" x14ac:dyDescent="0.25">
      <c r="A5914">
        <v>6410961</v>
      </c>
      <c r="B5914">
        <v>4</v>
      </c>
      <c r="C5914" s="1">
        <f>4.89699776415077*(10.3/7.3)</f>
        <v>6.9094625987332821</v>
      </c>
      <c r="D5914" s="1">
        <f>7.09111840601721*(10.3/7.3)</f>
        <v>10.005276655065378</v>
      </c>
      <c r="E5914" s="1">
        <f>24.8545061673101*(10.3/7.3)</f>
        <v>35.06868678401284</v>
      </c>
      <c r="F5914" s="1">
        <f>52.9710860519512*(38.9/42.5)</f>
        <v>48.484123468727098</v>
      </c>
      <c r="G5914" s="1">
        <v>2.1587742137786221</v>
      </c>
      <c r="H5914" s="1">
        <v>7.6217661411630484</v>
      </c>
      <c r="I5914" s="1">
        <v>38.185027861337517</v>
      </c>
      <c r="J5914" s="1">
        <v>4.0079181088806114E-2</v>
      </c>
      <c r="K5914" s="1">
        <v>2.0049640919679264</v>
      </c>
      <c r="L5914" s="1">
        <v>1.9220886067812755</v>
      </c>
      <c r="M5914" s="1">
        <v>0.11075523450584</v>
      </c>
      <c r="N5914" s="1">
        <v>1.2390659454189246</v>
      </c>
      <c r="O5914" s="1">
        <v>0.10797333333333332</v>
      </c>
      <c r="P5914" s="1">
        <v>7.8488995696945021E-2</v>
      </c>
      <c r="Q5914" s="1">
        <v>3.4500957754452899</v>
      </c>
      <c r="R5914" s="2">
        <f t="shared" si="371"/>
        <v>151.88321349826307</v>
      </c>
      <c r="S5914" s="2">
        <f t="shared" si="370"/>
        <v>2.1235322687536775</v>
      </c>
      <c r="T5914" s="2">
        <f t="shared" si="372"/>
        <v>3.3798831200393731</v>
      </c>
      <c r="U5914" s="2">
        <f t="shared" si="373"/>
        <v>157.38662888705613</v>
      </c>
    </row>
    <row r="5915" spans="1:21" x14ac:dyDescent="0.25">
      <c r="A5915">
        <v>6410977</v>
      </c>
      <c r="B5915">
        <v>55</v>
      </c>
      <c r="C5915" s="1">
        <f>2.18643373572917*(10.3/7.3)</f>
        <v>3.0849681476726643</v>
      </c>
      <c r="D5915" s="1">
        <f>3.50217974436507*(10.3/7.3)</f>
        <v>4.9414316941041392</v>
      </c>
      <c r="E5915" s="1">
        <f>12.255657724454*(10.3/7.3)</f>
        <v>17.292229392037893</v>
      </c>
      <c r="F5915" s="1">
        <f>24.773354544438*(38.9/42.5)</f>
        <v>22.674905688909135</v>
      </c>
      <c r="G5915" s="1">
        <v>0.96826466267707745</v>
      </c>
      <c r="H5915" s="1">
        <v>3.3787702471354173</v>
      </c>
      <c r="I5915" s="1">
        <v>17.095280598742313</v>
      </c>
      <c r="J5915" s="1">
        <v>2.1759457463652678E-2</v>
      </c>
      <c r="K5915" s="1">
        <v>1.5618954722162577</v>
      </c>
      <c r="L5915" s="1">
        <v>1.3719565959695037</v>
      </c>
      <c r="M5915" s="1">
        <v>8.4528922975735388E-2</v>
      </c>
      <c r="N5915" s="1">
        <v>0.87834281456332708</v>
      </c>
      <c r="O5915" s="1">
        <v>8.0310303030302996E-2</v>
      </c>
      <c r="P5915" s="1">
        <v>6.2352311215801662E-2</v>
      </c>
      <c r="Q5915" s="1">
        <v>1.5474549403514948</v>
      </c>
      <c r="R5915" s="2">
        <f t="shared" si="371"/>
        <v>70.983305371630152</v>
      </c>
      <c r="S5915" s="2">
        <f t="shared" si="370"/>
        <v>1.646007240895712</v>
      </c>
      <c r="T5915" s="2">
        <f t="shared" si="372"/>
        <v>2.415138636538869</v>
      </c>
      <c r="U5915" s="2">
        <f t="shared" si="373"/>
        <v>75.044451249064736</v>
      </c>
    </row>
    <row r="5916" spans="1:21" x14ac:dyDescent="0.25">
      <c r="A5916">
        <v>6410985</v>
      </c>
      <c r="B5916">
        <v>58</v>
      </c>
      <c r="C5916" s="1">
        <f>2.15959311306978*(10.3/7.3)</f>
        <v>3.0470971321395539</v>
      </c>
      <c r="D5916" s="1">
        <f>3.10761829532773*(10.3/7.3)</f>
        <v>4.3847217043665241</v>
      </c>
      <c r="E5916" s="1">
        <f>10.8931000464416*(10.3/7.3)</f>
        <v>15.369716503883375</v>
      </c>
      <c r="F5916" s="1">
        <f>23.309603595204*(38.9/42.5)</f>
        <v>21.335143055374978</v>
      </c>
      <c r="G5916" s="1">
        <v>0.95302511485824204</v>
      </c>
      <c r="H5916" s="1">
        <v>3.205923264468145</v>
      </c>
      <c r="I5916" s="1">
        <v>16.850211180541873</v>
      </c>
      <c r="J5916" s="1">
        <v>1.7154980155691987E-2</v>
      </c>
      <c r="K5916" s="1">
        <v>1.3111004871637719</v>
      </c>
      <c r="L5916" s="1">
        <v>1.1153511572616623</v>
      </c>
      <c r="M5916" s="1">
        <v>7.2343214035243686E-2</v>
      </c>
      <c r="N5916" s="1">
        <v>0.68918938104258054</v>
      </c>
      <c r="O5916" s="1">
        <v>6.7644137931034493E-2</v>
      </c>
      <c r="P5916" s="1">
        <v>5.4283943918289633E-2</v>
      </c>
      <c r="Q5916" s="1">
        <v>1.5230994986318955</v>
      </c>
      <c r="R5916" s="2">
        <f t="shared" si="371"/>
        <v>66.668937454264594</v>
      </c>
      <c r="S5916" s="2">
        <f t="shared" si="370"/>
        <v>1.3825394112377536</v>
      </c>
      <c r="T5916" s="2">
        <f t="shared" si="372"/>
        <v>1.944527890270521</v>
      </c>
      <c r="U5916" s="2">
        <f t="shared" si="373"/>
        <v>69.996004755772873</v>
      </c>
    </row>
    <row r="5917" spans="1:21" x14ac:dyDescent="0.25">
      <c r="A5917">
        <v>6422341</v>
      </c>
      <c r="B5917">
        <v>36</v>
      </c>
      <c r="C5917" s="1">
        <f>0.399208984284659*(10.3/7.3)</f>
        <v>0.56326747097698504</v>
      </c>
      <c r="D5917" s="1">
        <f>0.71854952730191*(10.3/7.3)</f>
        <v>1.013843853590366</v>
      </c>
      <c r="E5917" s="1">
        <f>2.45641722981037*(10.3/7.3)</f>
        <v>3.4659037626091465</v>
      </c>
      <c r="F5917" s="1">
        <f>7.40213350849123*(38.9/42.5)</f>
        <v>6.7751292583602121</v>
      </c>
      <c r="G5917" s="1">
        <v>0.40258552086726157</v>
      </c>
      <c r="H5917" s="1">
        <v>1.5146118788234546</v>
      </c>
      <c r="I5917" s="1">
        <v>5.4921852109732043</v>
      </c>
      <c r="J5917" s="1">
        <v>2.3149269564588945E-2</v>
      </c>
      <c r="K5917" s="1">
        <v>2.6512330579485788</v>
      </c>
      <c r="L5917" s="1">
        <v>1.4195733061200813</v>
      </c>
      <c r="M5917" s="1">
        <v>0.32699007733445307</v>
      </c>
      <c r="N5917" s="1">
        <v>0.82951126385003071</v>
      </c>
      <c r="O5917" s="1">
        <v>0.23425185185185191</v>
      </c>
      <c r="P5917" s="1">
        <v>0.10255935547401071</v>
      </c>
      <c r="Q5917" s="1">
        <v>0.64340151736777007</v>
      </c>
      <c r="R5917" s="2">
        <f t="shared" si="371"/>
        <v>19.870928473568402</v>
      </c>
      <c r="S5917" s="2">
        <f t="shared" si="370"/>
        <v>2.7769416829871783</v>
      </c>
      <c r="T5917" s="2">
        <f t="shared" si="372"/>
        <v>2.810326499156417</v>
      </c>
      <c r="U5917" s="2">
        <f t="shared" si="373"/>
        <v>25.458196655711998</v>
      </c>
    </row>
    <row r="5918" spans="1:21" x14ac:dyDescent="0.25">
      <c r="A5918">
        <v>6422349</v>
      </c>
      <c r="B5918">
        <v>61</v>
      </c>
      <c r="C5918" s="1">
        <f>0.598221235010225*(10.3/7.3)</f>
        <v>0.84406557816511207</v>
      </c>
      <c r="D5918" s="1">
        <f>1.18601039520135*(10.3/7.3)</f>
        <v>1.6734119274758725</v>
      </c>
      <c r="E5918" s="1">
        <f>4.02537949022228*(10.3/7.3)</f>
        <v>5.6796450341492495</v>
      </c>
      <c r="F5918" s="1">
        <f>13.0168692562382*(38.9/42.5)</f>
        <v>11.914263860415696</v>
      </c>
      <c r="G5918" s="1">
        <v>0.73878899068336756</v>
      </c>
      <c r="H5918" s="1">
        <v>2.5947177230910121</v>
      </c>
      <c r="I5918" s="1">
        <v>9.6529635350476717</v>
      </c>
      <c r="J5918" s="1">
        <v>3.0112973654218805E-2</v>
      </c>
      <c r="K5918" s="1">
        <v>3.246208268680959</v>
      </c>
      <c r="L5918" s="1">
        <v>1.7748756288334271</v>
      </c>
      <c r="M5918" s="1">
        <v>0.40365155051938229</v>
      </c>
      <c r="N5918" s="1">
        <v>1.0244963993098102</v>
      </c>
      <c r="O5918" s="1">
        <v>0.31011846994535525</v>
      </c>
      <c r="P5918" s="1">
        <v>0.11741399736580022</v>
      </c>
      <c r="Q5918" s="1">
        <v>1.1807129988090359</v>
      </c>
      <c r="R5918" s="2">
        <f t="shared" si="371"/>
        <v>34.278569647837017</v>
      </c>
      <c r="S5918" s="2">
        <f t="shared" si="370"/>
        <v>3.3937352397009781</v>
      </c>
      <c r="T5918" s="2">
        <f t="shared" si="372"/>
        <v>3.5131420486079747</v>
      </c>
      <c r="U5918" s="2">
        <f t="shared" si="373"/>
        <v>41.185446936145972</v>
      </c>
    </row>
    <row r="5919" spans="1:21" x14ac:dyDescent="0.25">
      <c r="A5919">
        <v>6422357</v>
      </c>
      <c r="B5919">
        <v>49</v>
      </c>
      <c r="C5919" s="1">
        <f>1.01819642617056*(10.3/7.3)</f>
        <v>1.4366333136379079</v>
      </c>
      <c r="D5919" s="1">
        <f>2.26983115106522*(10.3/7.3)</f>
        <v>3.202638473420786</v>
      </c>
      <c r="E5919" s="1">
        <f>7.64048108143797*(10.3/7.3)</f>
        <v>10.780404813535762</v>
      </c>
      <c r="F5919" s="1">
        <f>26.7122766182077*(38.9/42.5)</f>
        <v>24.449589657606541</v>
      </c>
      <c r="G5919" s="1">
        <v>1.5803449969248864</v>
      </c>
      <c r="H5919" s="1">
        <v>4.705599620993822</v>
      </c>
      <c r="I5919" s="1">
        <v>19.820144037484237</v>
      </c>
      <c r="J5919" s="1">
        <v>5.2295494599830378E-2</v>
      </c>
      <c r="K5919" s="1">
        <v>4.4787417548356778</v>
      </c>
      <c r="L5919" s="1">
        <v>2.8589158364656404</v>
      </c>
      <c r="M5919" s="1">
        <v>0.66037147650306149</v>
      </c>
      <c r="N5919" s="1">
        <v>1.5590763983202471</v>
      </c>
      <c r="O5919" s="1">
        <v>0.49634394557823125</v>
      </c>
      <c r="P5919" s="1">
        <v>0.14950788155903655</v>
      </c>
      <c r="Q5919" s="1">
        <v>2.5256655201995923</v>
      </c>
      <c r="R5919" s="2">
        <f t="shared" si="371"/>
        <v>68.501020433803532</v>
      </c>
      <c r="S5919" s="2">
        <f t="shared" si="370"/>
        <v>4.6805451309945445</v>
      </c>
      <c r="T5919" s="2">
        <f t="shared" si="372"/>
        <v>5.5747076568671803</v>
      </c>
      <c r="U5919" s="2">
        <f t="shared" si="373"/>
        <v>78.756273221665253</v>
      </c>
    </row>
    <row r="5920" spans="1:21" x14ac:dyDescent="0.25">
      <c r="A5920">
        <v>6422365</v>
      </c>
      <c r="B5920">
        <v>31</v>
      </c>
      <c r="C5920" s="1">
        <f>0.905805505438596*(10.3/7.3)</f>
        <v>1.2780543432900737</v>
      </c>
      <c r="D5920" s="1">
        <f>2.13284663812271*(10.3/7.3)</f>
        <v>3.0093589551594349</v>
      </c>
      <c r="E5920" s="1">
        <f>7.15687298277467*(10.3/7.3)</f>
        <v>10.098053660627276</v>
      </c>
      <c r="F5920" s="1">
        <f>25.6783793907035*(38.9/42.5)</f>
        <v>23.503269607020339</v>
      </c>
      <c r="G5920" s="1">
        <v>1.5393709025206503</v>
      </c>
      <c r="H5920" s="1">
        <v>5.0607339577884103</v>
      </c>
      <c r="I5920" s="1">
        <v>19.033764992604478</v>
      </c>
      <c r="J5920" s="1">
        <v>5.7891260757595223E-2</v>
      </c>
      <c r="K5920" s="1">
        <v>4.3347501514502929</v>
      </c>
      <c r="L5920" s="1">
        <v>2.7268684705574695</v>
      </c>
      <c r="M5920" s="1">
        <v>0.62663631067886083</v>
      </c>
      <c r="N5920" s="1">
        <v>1.7272480169280771</v>
      </c>
      <c r="O5920" s="1">
        <v>0.47124301075268815</v>
      </c>
      <c r="P5920" s="1">
        <v>0.14215942896206363</v>
      </c>
      <c r="Q5920" s="1">
        <v>2.4601818076814079</v>
      </c>
      <c r="R5920" s="2">
        <f t="shared" si="371"/>
        <v>65.982788226692065</v>
      </c>
      <c r="S5920" s="2">
        <f t="shared" si="370"/>
        <v>4.5348008411699521</v>
      </c>
      <c r="T5920" s="2">
        <f t="shared" si="372"/>
        <v>5.5519958089170958</v>
      </c>
      <c r="U5920" s="2">
        <f t="shared" si="373"/>
        <v>76.069584876779118</v>
      </c>
    </row>
    <row r="5921" spans="1:21" x14ac:dyDescent="0.25">
      <c r="A5921">
        <v>6422837</v>
      </c>
      <c r="B5921">
        <v>28</v>
      </c>
      <c r="C5921" s="1">
        <f>1.87679366758929*(10.3/7.3)</f>
        <v>2.6480787364616001</v>
      </c>
      <c r="D5921" s="1">
        <f>3.78350633818352*(10.3/7.3)</f>
        <v>5.3383719566150969</v>
      </c>
      <c r="E5921" s="1">
        <f>12.896887036239*(10.3/7.3)</f>
        <v>18.196977599076973</v>
      </c>
      <c r="F5921" s="1">
        <f>38.5183151117291*(38.9/42.5)</f>
        <v>35.255587243441425</v>
      </c>
      <c r="G5921" s="1">
        <v>2.1012564614553884</v>
      </c>
      <c r="H5921" s="1">
        <v>7.2301926870807565</v>
      </c>
      <c r="I5921" s="1">
        <v>28.010488568234472</v>
      </c>
      <c r="J5921" s="1">
        <v>2.6686417687094309E-2</v>
      </c>
      <c r="K5921" s="1">
        <v>1.9006344847576682</v>
      </c>
      <c r="L5921" s="1">
        <v>2.006216431336949</v>
      </c>
      <c r="M5921" s="1">
        <v>0.17584774224684696</v>
      </c>
      <c r="N5921" s="1">
        <v>1.1651113869743317</v>
      </c>
      <c r="O5921" s="1">
        <v>0.13484761904761902</v>
      </c>
      <c r="P5921" s="1">
        <v>8.7329345678981693E-2</v>
      </c>
      <c r="Q5921" s="1">
        <v>3.3581724269835007</v>
      </c>
      <c r="R5921" s="2">
        <f t="shared" si="371"/>
        <v>102.13912567934922</v>
      </c>
      <c r="S5921" s="2">
        <f t="shared" si="370"/>
        <v>2.0146502481237443</v>
      </c>
      <c r="T5921" s="2">
        <f t="shared" si="372"/>
        <v>3.4820231796057466</v>
      </c>
      <c r="U5921" s="2">
        <f t="shared" si="373"/>
        <v>107.63579910707871</v>
      </c>
    </row>
    <row r="5922" spans="1:21" x14ac:dyDescent="0.25">
      <c r="A5922">
        <v>6422845</v>
      </c>
      <c r="B5922">
        <v>8</v>
      </c>
      <c r="C5922" s="1">
        <f>1.49005943557613*(10.3/7.3)</f>
        <v>2.1024126282786533</v>
      </c>
      <c r="D5922" s="1">
        <f>2.92268936768168*(10.3/7.3)</f>
        <v>4.1237945872768851</v>
      </c>
      <c r="E5922" s="1">
        <f>10.0105255848719*(10.3/7.3)</f>
        <v>14.124440208791839</v>
      </c>
      <c r="F5922" s="1">
        <f>27.8373259421223*(38.9/42.5)</f>
        <v>25.479340685848374</v>
      </c>
      <c r="G5922" s="1">
        <v>1.4546511631860672</v>
      </c>
      <c r="H5922" s="1">
        <v>4.559539363535122</v>
      </c>
      <c r="I5922" s="1">
        <v>19.995626433645615</v>
      </c>
      <c r="J5922" s="1">
        <v>2.2662951267303316E-2</v>
      </c>
      <c r="K5922" s="1">
        <v>1.6843727952596814</v>
      </c>
      <c r="L5922" s="1">
        <v>1.7471539161805225</v>
      </c>
      <c r="M5922" s="1">
        <v>0.15520221583093696</v>
      </c>
      <c r="N5922" s="1">
        <v>0.99824560100107729</v>
      </c>
      <c r="O5922" s="1">
        <v>0.11935999999999999</v>
      </c>
      <c r="P5922" s="1">
        <v>7.8672684961835673E-2</v>
      </c>
      <c r="Q5922" s="1">
        <v>2.3247849639959997</v>
      </c>
      <c r="R5922" s="2">
        <f t="shared" si="371"/>
        <v>74.164590034558557</v>
      </c>
      <c r="S5922" s="2">
        <f t="shared" si="370"/>
        <v>1.7857084314888205</v>
      </c>
      <c r="T5922" s="2">
        <f t="shared" si="372"/>
        <v>3.0199617330125368</v>
      </c>
      <c r="U5922" s="2">
        <f t="shared" si="373"/>
        <v>78.970260199059908</v>
      </c>
    </row>
    <row r="5923" spans="1:21" x14ac:dyDescent="0.25">
      <c r="A5923">
        <v>6422853</v>
      </c>
      <c r="B5923">
        <v>29</v>
      </c>
      <c r="C5923" s="1">
        <f>1.83119465129359*(10.3/7.3)</f>
        <v>2.5837403984005469</v>
      </c>
      <c r="D5923" s="1">
        <f>3.61906179329798*(10.3/7.3)</f>
        <v>5.1063474617765978</v>
      </c>
      <c r="E5923" s="1">
        <f>12.3802464184636*(10.3/7.3)</f>
        <v>17.468018919202034</v>
      </c>
      <c r="F5923" s="1">
        <f>35.0780707094254*(38.9/42.5)</f>
        <v>32.106751778744623</v>
      </c>
      <c r="G5923" s="1">
        <v>1.8547965463280636</v>
      </c>
      <c r="H5923" s="1">
        <v>5.5270864418151264</v>
      </c>
      <c r="I5923" s="1">
        <v>25.278162576618445</v>
      </c>
      <c r="J5923" s="1">
        <v>2.6483151505138285E-2</v>
      </c>
      <c r="K5923" s="1">
        <v>1.9281403835589777</v>
      </c>
      <c r="L5923" s="1">
        <v>2.0525780798132276</v>
      </c>
      <c r="M5923" s="1">
        <v>0.17566271439954492</v>
      </c>
      <c r="N5923" s="1">
        <v>1.2897937162699546</v>
      </c>
      <c r="O5923" s="1">
        <v>0.13726896551724138</v>
      </c>
      <c r="P5923" s="1">
        <v>8.8182284911263981E-2</v>
      </c>
      <c r="Q5923" s="1">
        <v>2.964286717875904</v>
      </c>
      <c r="R5923" s="2">
        <f t="shared" si="371"/>
        <v>92.889190840761344</v>
      </c>
      <c r="S5923" s="2">
        <f t="shared" si="370"/>
        <v>2.04280581997538</v>
      </c>
      <c r="T5923" s="2">
        <f t="shared" si="372"/>
        <v>3.6553034759999687</v>
      </c>
      <c r="U5923" s="2">
        <f t="shared" si="373"/>
        <v>98.587300136736701</v>
      </c>
    </row>
    <row r="5924" spans="1:21" x14ac:dyDescent="0.25">
      <c r="A5924">
        <v>6422861</v>
      </c>
      <c r="B5924">
        <v>1</v>
      </c>
      <c r="C5924" s="1">
        <f>1.68079142453975*(10.3/7.3)</f>
        <v>2.3715276264054044</v>
      </c>
      <c r="D5924" s="1">
        <f>3.23496267693452*(10.3/7.3)</f>
        <v>4.564399393482959</v>
      </c>
      <c r="E5924" s="1">
        <f>11.0855833239062*(10.3/7.3)</f>
        <v>15.641302498114243</v>
      </c>
      <c r="F5924" s="1">
        <f>30.8628390193531*(38.9/42.5)</f>
        <v>28.24857500830203</v>
      </c>
      <c r="G5924" s="1">
        <v>1.6115700144609792</v>
      </c>
      <c r="H5924" s="1">
        <v>5.0890152947827314</v>
      </c>
      <c r="I5924" s="1">
        <v>22.247677275655946</v>
      </c>
      <c r="J5924" s="1">
        <v>2.362615852019188E-2</v>
      </c>
      <c r="K5924" s="1">
        <v>1.7220719368149757</v>
      </c>
      <c r="L5924" s="1">
        <v>1.7947851920450872</v>
      </c>
      <c r="M5924" s="1">
        <v>0.15447615475344431</v>
      </c>
      <c r="N5924" s="1">
        <v>1.1238688616096997</v>
      </c>
      <c r="O5924" s="1">
        <v>0.12117333333333334</v>
      </c>
      <c r="P5924" s="1">
        <v>7.9968897131282787E-2</v>
      </c>
      <c r="Q5924" s="1">
        <v>2.5755685162618414</v>
      </c>
      <c r="R5924" s="2">
        <f t="shared" si="371"/>
        <v>82.349635627466128</v>
      </c>
      <c r="S5924" s="2">
        <f t="shared" si="370"/>
        <v>1.8256669924664504</v>
      </c>
      <c r="T5924" s="2">
        <f t="shared" si="372"/>
        <v>3.1943035417415642</v>
      </c>
      <c r="U5924" s="2">
        <f t="shared" si="373"/>
        <v>87.369606161674142</v>
      </c>
    </row>
    <row r="5925" spans="1:21" x14ac:dyDescent="0.25">
      <c r="A5925">
        <v>6422877</v>
      </c>
      <c r="B5925">
        <v>49</v>
      </c>
      <c r="C5925" s="1">
        <f>2.10011141301897*(10.3/7.3)</f>
        <v>2.9631708978212843</v>
      </c>
      <c r="D5925" s="1">
        <f>4.11793712980981*(10.3/7.3)</f>
        <v>5.8102400598686366</v>
      </c>
      <c r="E5925" s="1">
        <f>14.0770636059112*(10.3/7.3)</f>
        <v>19.862158238477452</v>
      </c>
      <c r="F5925" s="1">
        <f>40.552406160287*(38.9/42.5)</f>
        <v>37.117378814945063</v>
      </c>
      <c r="G5925" s="1">
        <v>2.1638761977098353</v>
      </c>
      <c r="H5925" s="1">
        <v>6.2025180284414647</v>
      </c>
      <c r="I5925" s="1">
        <v>29.375658391331356</v>
      </c>
      <c r="J5925" s="1">
        <v>2.94273974202648E-2</v>
      </c>
      <c r="K5925" s="1">
        <v>2.0533892305532775</v>
      </c>
      <c r="L5925" s="1">
        <v>2.238420892535872</v>
      </c>
      <c r="M5925" s="1">
        <v>0.17655425216058102</v>
      </c>
      <c r="N5925" s="1">
        <v>1.3525645554458634</v>
      </c>
      <c r="O5925" s="1">
        <v>0.14324789115646258</v>
      </c>
      <c r="P5925" s="1">
        <v>9.3228889928939199E-2</v>
      </c>
      <c r="Q5925" s="1">
        <v>3.458249631043119</v>
      </c>
      <c r="R5925" s="2">
        <f t="shared" si="371"/>
        <v>106.95325025963821</v>
      </c>
      <c r="S5925" s="2">
        <f t="shared" si="370"/>
        <v>2.1760455179024816</v>
      </c>
      <c r="T5925" s="2">
        <f t="shared" si="372"/>
        <v>3.9107875912987793</v>
      </c>
      <c r="U5925" s="2">
        <f t="shared" si="373"/>
        <v>113.04008336883948</v>
      </c>
    </row>
    <row r="5926" spans="1:21" x14ac:dyDescent="0.25">
      <c r="A5926">
        <v>6422885</v>
      </c>
      <c r="B5926">
        <v>55</v>
      </c>
      <c r="C5926" s="1">
        <f>2.01273505796523*(10.3/7.3)</f>
        <v>2.8398864516495701</v>
      </c>
      <c r="D5926" s="1">
        <f>3.98746917139009*(10.3/7.3)</f>
        <v>5.62615513223533</v>
      </c>
      <c r="E5926" s="1">
        <f>13.6185178661649*(10.3/7.3)</f>
        <v>19.215169044040817</v>
      </c>
      <c r="F5926" s="1">
        <f>39.6659367926152*(38.9/42.5)</f>
        <v>36.305998617240711</v>
      </c>
      <c r="G5926" s="1">
        <v>2.1314822824115853</v>
      </c>
      <c r="H5926" s="1">
        <v>7.3692850223075785</v>
      </c>
      <c r="I5926" s="1">
        <v>28.758638874882525</v>
      </c>
      <c r="J5926" s="1">
        <v>2.8159906011040875E-2</v>
      </c>
      <c r="K5926" s="1">
        <v>1.9598306001780992</v>
      </c>
      <c r="L5926" s="1">
        <v>2.1532245850419915</v>
      </c>
      <c r="M5926" s="1">
        <v>0.16485063061047375</v>
      </c>
      <c r="N5926" s="1">
        <v>1.3199959034278042</v>
      </c>
      <c r="O5926" s="1">
        <v>0.13438254545454545</v>
      </c>
      <c r="P5926" s="1">
        <v>8.885975492881372E-2</v>
      </c>
      <c r="Q5926" s="1">
        <v>3.4064785335345</v>
      </c>
      <c r="R5926" s="2">
        <f t="shared" si="371"/>
        <v>105.65309395830261</v>
      </c>
      <c r="S5926" s="2">
        <f t="shared" si="370"/>
        <v>2.0768502611179538</v>
      </c>
      <c r="T5926" s="2">
        <f t="shared" si="372"/>
        <v>3.7724536645348148</v>
      </c>
      <c r="U5926" s="2">
        <f t="shared" si="373"/>
        <v>111.50239788395537</v>
      </c>
    </row>
    <row r="5927" spans="1:21" x14ac:dyDescent="0.25">
      <c r="A5927">
        <v>6422893</v>
      </c>
      <c r="B5927">
        <v>27</v>
      </c>
      <c r="C5927" s="1">
        <f>1.96620438295642*(10.3/7.3)</f>
        <v>2.7742335814316617</v>
      </c>
      <c r="D5927" s="1">
        <f>4.35718928015884*(10.3/7.3)</f>
        <v>6.1478150117309678</v>
      </c>
      <c r="E5927" s="1">
        <f>14.7082683392853*(10.3/7.3)</f>
        <v>20.75276217734779</v>
      </c>
      <c r="F5927" s="1">
        <f>49.381530715064*(38.9/42.5)</f>
        <v>45.198624583905591</v>
      </c>
      <c r="G5927" s="1">
        <v>2.8696230676198704</v>
      </c>
      <c r="H5927" s="1">
        <v>9.1294981142096674</v>
      </c>
      <c r="I5927" s="1">
        <v>36.361667941087646</v>
      </c>
      <c r="J5927" s="1">
        <v>2.863125308537302E-2</v>
      </c>
      <c r="K5927" s="1">
        <v>1.9474062213996541</v>
      </c>
      <c r="L5927" s="1">
        <v>2.4726555520219584</v>
      </c>
      <c r="M5927" s="1">
        <v>0.1582869042391718</v>
      </c>
      <c r="N5927" s="1">
        <v>1.6218151757901229</v>
      </c>
      <c r="O5927" s="1">
        <v>0.12895209876543207</v>
      </c>
      <c r="P5927" s="1">
        <v>8.6569079081038405E-2</v>
      </c>
      <c r="Q5927" s="1">
        <v>4.5861555875203459</v>
      </c>
      <c r="R5927" s="2">
        <f t="shared" si="371"/>
        <v>127.82038006485355</v>
      </c>
      <c r="S5927" s="2">
        <f t="shared" si="370"/>
        <v>2.0626065535660656</v>
      </c>
      <c r="T5927" s="2">
        <f t="shared" si="372"/>
        <v>4.3817097308166852</v>
      </c>
      <c r="U5927" s="2">
        <f t="shared" si="373"/>
        <v>134.26469634923629</v>
      </c>
    </row>
    <row r="5928" spans="1:21" x14ac:dyDescent="0.25">
      <c r="A5928">
        <v>6423197</v>
      </c>
      <c r="B5928">
        <v>10</v>
      </c>
      <c r="C5928" s="1">
        <f>2.79572967921135*(10.3/7.3)</f>
        <v>3.9446596843666959</v>
      </c>
      <c r="D5928" s="1">
        <f>4.08604700712591*(10.3/7.3)</f>
        <v>5.7652444073146434</v>
      </c>
      <c r="E5928" s="1">
        <f>14.3087757201395*(10.3/7.3)</f>
        <v>20.189094509237876</v>
      </c>
      <c r="F5928" s="1">
        <f>30.8863427696946*(38.9/42.5)</f>
        <v>28.270087852732196</v>
      </c>
      <c r="G5928" s="1">
        <v>1.2775608629951318</v>
      </c>
      <c r="H5928" s="1">
        <v>5.4880747119577737</v>
      </c>
      <c r="I5928" s="1">
        <v>22.27366403175677</v>
      </c>
      <c r="J5928" s="1">
        <v>2.4899119647357394E-2</v>
      </c>
      <c r="K5928" s="1">
        <v>1.7273182012535422</v>
      </c>
      <c r="L5928" s="1">
        <v>1.5447014871208238</v>
      </c>
      <c r="M5928" s="1">
        <v>9.400102558072479E-2</v>
      </c>
      <c r="N5928" s="1">
        <v>0.97927158418407512</v>
      </c>
      <c r="O5928" s="1">
        <v>9.0927999999999981E-2</v>
      </c>
      <c r="P5928" s="1">
        <v>6.8093076327313623E-2</v>
      </c>
      <c r="Q5928" s="1">
        <v>2.041763936293592</v>
      </c>
      <c r="R5928" s="2">
        <f t="shared" si="371"/>
        <v>89.25014999665467</v>
      </c>
      <c r="S5928" s="2">
        <f t="shared" si="370"/>
        <v>1.8203103972282131</v>
      </c>
      <c r="T5928" s="2">
        <f t="shared" si="372"/>
        <v>2.7089020968856237</v>
      </c>
      <c r="U5928" s="2">
        <f t="shared" si="373"/>
        <v>93.779362490768506</v>
      </c>
    </row>
    <row r="5929" spans="1:21" x14ac:dyDescent="0.25">
      <c r="A5929">
        <v>6423205</v>
      </c>
      <c r="B5929">
        <v>65</v>
      </c>
      <c r="C5929" s="1">
        <f>2.3017038410182*(10.3/7.3)</f>
        <v>3.2476095291078688</v>
      </c>
      <c r="D5929" s="1">
        <f>3.5601156440302*(10.3/7.3)</f>
        <v>5.023176867604251</v>
      </c>
      <c r="E5929" s="1">
        <f>12.4608510797888*(10.3/7.3)</f>
        <v>17.581748783811634</v>
      </c>
      <c r="F5929" s="1">
        <f>25.8604057127285*(38.9/42.5)</f>
        <v>23.669877228826813</v>
      </c>
      <c r="G5929" s="1">
        <v>1.0352013994765368</v>
      </c>
      <c r="H5929" s="1">
        <v>3.8116169016775978</v>
      </c>
      <c r="I5929" s="1">
        <v>18.16339112053717</v>
      </c>
      <c r="J5929" s="1">
        <v>2.2765636798227993E-2</v>
      </c>
      <c r="K5929" s="1">
        <v>1.6103675569067926</v>
      </c>
      <c r="L5929" s="1">
        <v>1.4130499073257694</v>
      </c>
      <c r="M5929" s="1">
        <v>8.6710261458838422E-2</v>
      </c>
      <c r="N5929" s="1">
        <v>0.9055457041500421</v>
      </c>
      <c r="O5929" s="1">
        <v>8.3072820512820514E-2</v>
      </c>
      <c r="P5929" s="1">
        <v>6.3785742671126924E-2</v>
      </c>
      <c r="Q5929" s="1">
        <v>1.6544314603506318</v>
      </c>
      <c r="R5929" s="2">
        <f t="shared" si="371"/>
        <v>74.187053291392502</v>
      </c>
      <c r="S5929" s="2">
        <f t="shared" si="370"/>
        <v>1.6969189363761477</v>
      </c>
      <c r="T5929" s="2">
        <f t="shared" si="372"/>
        <v>2.4883786934474705</v>
      </c>
      <c r="U5929" s="2">
        <f t="shared" si="373"/>
        <v>78.372350921216125</v>
      </c>
    </row>
    <row r="5930" spans="1:21" x14ac:dyDescent="0.25">
      <c r="A5930">
        <v>6423213</v>
      </c>
      <c r="B5930">
        <v>68</v>
      </c>
      <c r="C5930" s="1">
        <f>2.22177127107556*(10.3/7.3)</f>
        <v>3.1348279578189442</v>
      </c>
      <c r="D5930" s="1">
        <f>3.3078328782035*(10.3/7.3)</f>
        <v>4.6672162528076768</v>
      </c>
      <c r="E5930" s="1">
        <f>11.5866146889285*(10.3/7.3)</f>
        <v>16.348237163830593</v>
      </c>
      <c r="F5930" s="1">
        <f>24.4390208349367*(38.9/42.5)</f>
        <v>22.368892011271431</v>
      </c>
      <c r="G5930" s="1">
        <v>0.98951654869861017</v>
      </c>
      <c r="H5930" s="1">
        <v>3.3382448504402724</v>
      </c>
      <c r="I5930" s="1">
        <v>17.430405091827044</v>
      </c>
      <c r="J5930" s="1">
        <v>1.9411658788389984E-2</v>
      </c>
      <c r="K5930" s="1">
        <v>1.4508332852391463</v>
      </c>
      <c r="L5930" s="1">
        <v>1.2501424714749145</v>
      </c>
      <c r="M5930" s="1">
        <v>7.8867953753463782E-2</v>
      </c>
      <c r="N5930" s="1">
        <v>0.78783252229072365</v>
      </c>
      <c r="O5930" s="1">
        <v>7.4527058823529432E-2</v>
      </c>
      <c r="P5930" s="1">
        <v>5.8647535673480383E-2</v>
      </c>
      <c r="Q5930" s="1">
        <v>1.5814191417557726</v>
      </c>
      <c r="R5930" s="2">
        <f t="shared" si="371"/>
        <v>69.858759018450343</v>
      </c>
      <c r="S5930" s="2">
        <f t="shared" si="370"/>
        <v>1.5288924797010166</v>
      </c>
      <c r="T5930" s="2">
        <f t="shared" si="372"/>
        <v>2.1913700063426313</v>
      </c>
      <c r="U5930" s="2">
        <f t="shared" si="373"/>
        <v>73.579021504493994</v>
      </c>
    </row>
    <row r="5931" spans="1:21" x14ac:dyDescent="0.25">
      <c r="A5931">
        <v>6423221</v>
      </c>
      <c r="B5931">
        <v>50</v>
      </c>
      <c r="C5931" s="1">
        <f>2.19878585090727*(10.3/7.3)</f>
        <v>3.102396474567795</v>
      </c>
      <c r="D5931" s="1">
        <f>3.12484271625867*(10.3/7.3)</f>
        <v>4.4090246544471592</v>
      </c>
      <c r="E5931" s="1">
        <f>10.9545272208874*(10.3/7.3)</f>
        <v>15.456387722621907</v>
      </c>
      <c r="F5931" s="1">
        <f>23.6618247257157*(38.9/42.5)</f>
        <v>21.657528984243296</v>
      </c>
      <c r="G5931" s="1">
        <v>0.97496767026658004</v>
      </c>
      <c r="H5931" s="1">
        <v>3.2582462413421478</v>
      </c>
      <c r="I5931" s="1">
        <v>17.204804297801292</v>
      </c>
      <c r="J5931" s="1">
        <v>1.8585571912917039E-2</v>
      </c>
      <c r="K5931" s="1">
        <v>1.4224093706309</v>
      </c>
      <c r="L5931" s="1">
        <v>1.2202364137904993</v>
      </c>
      <c r="M5931" s="1">
        <v>7.709161450650473E-2</v>
      </c>
      <c r="N5931" s="1">
        <v>0.75679563859621402</v>
      </c>
      <c r="O5931" s="1">
        <v>7.2865066666666672E-2</v>
      </c>
      <c r="P5931" s="1">
        <v>5.7658832850620845E-2</v>
      </c>
      <c r="Q5931" s="1">
        <v>1.5581675095584626</v>
      </c>
      <c r="R5931" s="2">
        <f t="shared" si="371"/>
        <v>67.621523554848636</v>
      </c>
      <c r="S5931" s="2">
        <f t="shared" si="370"/>
        <v>1.498653775394438</v>
      </c>
      <c r="T5931" s="2">
        <f t="shared" si="372"/>
        <v>2.1269887335598847</v>
      </c>
      <c r="U5931" s="2">
        <f t="shared" si="373"/>
        <v>71.247166063802965</v>
      </c>
    </row>
    <row r="5932" spans="1:21" x14ac:dyDescent="0.25">
      <c r="A5932">
        <v>6434577</v>
      </c>
      <c r="B5932">
        <v>60</v>
      </c>
      <c r="C5932" s="1">
        <f>0.67394956622363*(10.3/7.3)</f>
        <v>0.95091514138402533</v>
      </c>
      <c r="D5932" s="1">
        <f>1.34652438071589*(10.3/7.3)</f>
        <v>1.8998905645717403</v>
      </c>
      <c r="E5932" s="1">
        <f>4.5685763195887*(10.3/7.3)</f>
        <v>6.4460734372278958</v>
      </c>
      <c r="F5932" s="1">
        <f>14.803239580815*(38.9/42.5)</f>
        <v>13.549318110440069</v>
      </c>
      <c r="G5932" s="1">
        <v>0.84138010392139728</v>
      </c>
      <c r="H5932" s="1">
        <v>2.7761334227390519</v>
      </c>
      <c r="I5932" s="1">
        <v>10.97014267712454</v>
      </c>
      <c r="J5932" s="1">
        <v>3.239219316222932E-2</v>
      </c>
      <c r="K5932" s="1">
        <v>3.3987434820875038</v>
      </c>
      <c r="L5932" s="1">
        <v>1.9774325146168905</v>
      </c>
      <c r="M5932" s="1">
        <v>0.44156930715183057</v>
      </c>
      <c r="N5932" s="1">
        <v>1.0829610707980624</v>
      </c>
      <c r="O5932" s="1">
        <v>0.34318755555555558</v>
      </c>
      <c r="P5932" s="1">
        <v>0.12475060180894045</v>
      </c>
      <c r="Q5932" s="1">
        <v>1.3446713989611381</v>
      </c>
      <c r="R5932" s="2">
        <f t="shared" si="371"/>
        <v>38.778524856369856</v>
      </c>
      <c r="S5932" s="2">
        <f t="shared" si="370"/>
        <v>3.5558862770586739</v>
      </c>
      <c r="T5932" s="2">
        <f t="shared" si="372"/>
        <v>3.8451504481223395</v>
      </c>
      <c r="U5932" s="2">
        <f t="shared" si="373"/>
        <v>46.179561581550871</v>
      </c>
    </row>
    <row r="5933" spans="1:21" x14ac:dyDescent="0.25">
      <c r="A5933">
        <v>6434585</v>
      </c>
      <c r="B5933">
        <v>51</v>
      </c>
      <c r="C5933" s="1">
        <f>0.93714157309693*(10.3/7.3)</f>
        <v>1.3222682469723805</v>
      </c>
      <c r="D5933" s="1">
        <f>2.03331640207682*(10.3/7.3)</f>
        <v>2.8689258823823569</v>
      </c>
      <c r="E5933" s="1">
        <f>6.85709006455907*(10.3/7.3)</f>
        <v>9.6750722828710121</v>
      </c>
      <c r="F5933" s="1">
        <f>23.5632536942467*(38.9/42.5)</f>
        <v>21.567307498969317</v>
      </c>
      <c r="G5933" s="1">
        <v>1.3819356985835476</v>
      </c>
      <c r="H5933" s="1">
        <v>4.1519752016511067</v>
      </c>
      <c r="I5933" s="1">
        <v>17.479994951629578</v>
      </c>
      <c r="J5933" s="1">
        <v>4.6051573577164627E-2</v>
      </c>
      <c r="K5933" s="1">
        <v>4.1764051401215614</v>
      </c>
      <c r="L5933" s="1">
        <v>2.6556069020089974</v>
      </c>
      <c r="M5933" s="1">
        <v>0.60328763557642018</v>
      </c>
      <c r="N5933" s="1">
        <v>1.4256980463582016</v>
      </c>
      <c r="O5933" s="1">
        <v>0.46251503267973848</v>
      </c>
      <c r="P5933" s="1">
        <v>0.14398087494962636</v>
      </c>
      <c r="Q5933" s="1">
        <v>2.208573034265946</v>
      </c>
      <c r="R5933" s="2">
        <f t="shared" si="371"/>
        <v>60.656052797325245</v>
      </c>
      <c r="S5933" s="2">
        <f t="shared" si="370"/>
        <v>4.3664375886483526</v>
      </c>
      <c r="T5933" s="2">
        <f t="shared" si="372"/>
        <v>5.1471076166233578</v>
      </c>
      <c r="U5933" s="2">
        <f t="shared" si="373"/>
        <v>70.169598002596956</v>
      </c>
    </row>
    <row r="5934" spans="1:21" x14ac:dyDescent="0.25">
      <c r="A5934">
        <v>6434593</v>
      </c>
      <c r="B5934">
        <v>53</v>
      </c>
      <c r="C5934" s="1">
        <f>1.00513070653499*(10.3/7.3)</f>
        <v>1.4181981201795102</v>
      </c>
      <c r="D5934" s="1">
        <f>2.30938180921559*(10.3/7.3)</f>
        <v>3.2584428267014527</v>
      </c>
      <c r="E5934" s="1">
        <f>7.75974500563918*(10.3/7.3)</f>
        <v>10.948681309326522</v>
      </c>
      <c r="F5934" s="1">
        <f>27.5398975508514*(38.9/42.5)</f>
        <v>25.207106228896883</v>
      </c>
      <c r="G5934" s="1">
        <v>1.6418555298949118</v>
      </c>
      <c r="H5934" s="1">
        <v>5.006495861271218</v>
      </c>
      <c r="I5934" s="1">
        <v>20.424601201929608</v>
      </c>
      <c r="J5934" s="1">
        <v>5.6290501164155397E-2</v>
      </c>
      <c r="K5934" s="1">
        <v>4.531602037887474</v>
      </c>
      <c r="L5934" s="1">
        <v>2.8960362065134442</v>
      </c>
      <c r="M5934" s="1">
        <v>0.6660924074505592</v>
      </c>
      <c r="N5934" s="1">
        <v>1.6541887303559175</v>
      </c>
      <c r="O5934" s="1">
        <v>0.50062993710691839</v>
      </c>
      <c r="P5934" s="1">
        <v>0.14853569996714555</v>
      </c>
      <c r="Q5934" s="1">
        <v>2.623970024946209</v>
      </c>
      <c r="R5934" s="2">
        <f t="shared" si="371"/>
        <v>70.529351103146311</v>
      </c>
      <c r="S5934" s="2">
        <f t="shared" si="370"/>
        <v>4.7364282390187746</v>
      </c>
      <c r="T5934" s="2">
        <f t="shared" si="372"/>
        <v>5.7169472814268394</v>
      </c>
      <c r="U5934" s="2">
        <f t="shared" si="373"/>
        <v>80.98272662359193</v>
      </c>
    </row>
    <row r="5935" spans="1:21" x14ac:dyDescent="0.25">
      <c r="A5935">
        <v>6435065</v>
      </c>
      <c r="B5935">
        <v>28</v>
      </c>
      <c r="C5935" s="1">
        <f>1.60412025173788*(10.3/7.3)</f>
        <v>2.2633477524520771</v>
      </c>
      <c r="D5935" s="1">
        <f>3.21617031217944*(10.3/7.3)</f>
        <v>4.5378841391024975</v>
      </c>
      <c r="E5935" s="1">
        <f>10.9994662760571*(10.3/7.3)</f>
        <v>15.519794882655843</v>
      </c>
      <c r="F5935" s="1">
        <f>31.0630341522335*(38.9/42.5)</f>
        <v>28.431812435808979</v>
      </c>
      <c r="G5935" s="1">
        <v>1.6409994840041133</v>
      </c>
      <c r="H5935" s="1">
        <v>8.7895283966891</v>
      </c>
      <c r="I5935" s="1">
        <v>22.31372652011607</v>
      </c>
      <c r="J5935" s="1">
        <v>2.6556696886516483E-2</v>
      </c>
      <c r="K5935" s="1">
        <v>1.9423857833316123</v>
      </c>
      <c r="L5935" s="1">
        <v>2.0500503846511928</v>
      </c>
      <c r="M5935" s="1">
        <v>0.18110224985658757</v>
      </c>
      <c r="N5935" s="1">
        <v>1.1812771489675147</v>
      </c>
      <c r="O5935" s="1">
        <v>0.13767428571428569</v>
      </c>
      <c r="P5935" s="1">
        <v>8.8712717554361845E-2</v>
      </c>
      <c r="Q5935" s="1">
        <v>2.6226019150750695</v>
      </c>
      <c r="R5935" s="2">
        <f t="shared" si="371"/>
        <v>86.119695525903737</v>
      </c>
      <c r="S5935" s="2">
        <f t="shared" si="370"/>
        <v>2.0576551977724908</v>
      </c>
      <c r="T5935" s="2">
        <f t="shared" si="372"/>
        <v>3.5501040691895804</v>
      </c>
      <c r="U5935" s="2">
        <f t="shared" si="373"/>
        <v>91.727454792865814</v>
      </c>
    </row>
    <row r="5936" spans="1:21" x14ac:dyDescent="0.25">
      <c r="A5936">
        <v>6435073</v>
      </c>
      <c r="B5936">
        <v>19</v>
      </c>
      <c r="C5936" s="1">
        <f>1.56302282609794*(10.3/7.3)</f>
        <v>2.2053609738094262</v>
      </c>
      <c r="D5936" s="1">
        <f>3.05086659964004*(10.3/7.3)</f>
        <v>4.3046473940126546</v>
      </c>
      <c r="E5936" s="1">
        <f>10.4535874019421*(10.3/7.3)</f>
        <v>14.749582224658065</v>
      </c>
      <c r="F5936" s="1">
        <f>28.9389169304282*(38.9/42.5)</f>
        <v>26.487620437497782</v>
      </c>
      <c r="G5936" s="1">
        <v>1.5074939216495842</v>
      </c>
      <c r="H5936" s="1">
        <v>5.005745320704472</v>
      </c>
      <c r="I5936" s="1">
        <v>20.7816861416003</v>
      </c>
      <c r="J5936" s="1">
        <v>2.3125460476840116E-2</v>
      </c>
      <c r="K5936" s="1">
        <v>1.726609905689005</v>
      </c>
      <c r="L5936" s="1">
        <v>1.790427657945834</v>
      </c>
      <c r="M5936" s="1">
        <v>0.16027279029707264</v>
      </c>
      <c r="N5936" s="1">
        <v>1.004296995042737</v>
      </c>
      <c r="O5936" s="1">
        <v>0.12170666666666664</v>
      </c>
      <c r="P5936" s="1">
        <v>8.0210561230516661E-2</v>
      </c>
      <c r="Q5936" s="1">
        <v>2.4092368610838135</v>
      </c>
      <c r="R5936" s="2">
        <f t="shared" si="371"/>
        <v>77.451373275016095</v>
      </c>
      <c r="S5936" s="2">
        <f t="shared" si="370"/>
        <v>1.8299459273963616</v>
      </c>
      <c r="T5936" s="2">
        <f t="shared" si="372"/>
        <v>3.0767041099523103</v>
      </c>
      <c r="U5936" s="2">
        <f t="shared" si="373"/>
        <v>82.358023312364779</v>
      </c>
    </row>
    <row r="5937" spans="1:21" x14ac:dyDescent="0.25">
      <c r="A5937">
        <v>6435089</v>
      </c>
      <c r="B5937">
        <v>12</v>
      </c>
      <c r="C5937" s="1">
        <f>1.85003225143012*(10.3/7.3)</f>
        <v>2.6103194780452377</v>
      </c>
      <c r="D5937" s="1">
        <f>3.62983083800712*(10.3/7.3)</f>
        <v>5.121542141297712</v>
      </c>
      <c r="E5937" s="1">
        <f>12.4236032127337*(10.3/7.3)</f>
        <v>17.529193574131167</v>
      </c>
      <c r="F5937" s="1">
        <f>35.0012617930263*(38.9/42.5)</f>
        <v>32.036449029381743</v>
      </c>
      <c r="G5937" s="1">
        <v>1.8435059120148953</v>
      </c>
      <c r="H5937" s="1">
        <v>5.5867198709171477</v>
      </c>
      <c r="I5937" s="1">
        <v>25.219304627289123</v>
      </c>
      <c r="J5937" s="1">
        <v>2.6456375426256534E-2</v>
      </c>
      <c r="K5937" s="1">
        <v>1.9295503541124219</v>
      </c>
      <c r="L5937" s="1">
        <v>2.0501197811440015</v>
      </c>
      <c r="M5937" s="1">
        <v>0.17530453517973169</v>
      </c>
      <c r="N5937" s="1">
        <v>1.356142912951259</v>
      </c>
      <c r="O5937" s="1">
        <v>0.13720888888888891</v>
      </c>
      <c r="P5937" s="1">
        <v>8.8509852262958169E-2</v>
      </c>
      <c r="Q5937" s="1">
        <v>2.946242325137963</v>
      </c>
      <c r="R5937" s="2">
        <f t="shared" si="371"/>
        <v>92.893276958214983</v>
      </c>
      <c r="S5937" s="2">
        <f t="shared" si="370"/>
        <v>2.0445165818016369</v>
      </c>
      <c r="T5937" s="2">
        <f t="shared" si="372"/>
        <v>3.7187761181638814</v>
      </c>
      <c r="U5937" s="2">
        <f t="shared" si="373"/>
        <v>98.656569658180501</v>
      </c>
    </row>
    <row r="5938" spans="1:21" x14ac:dyDescent="0.25">
      <c r="A5938">
        <v>6435097</v>
      </c>
      <c r="B5938">
        <v>5</v>
      </c>
      <c r="C5938" s="1">
        <f>1.72062060521605*(10.3/7.3)</f>
        <v>2.4277249635240157</v>
      </c>
      <c r="D5938" s="1">
        <f>3.32172627057711*(10.3/7.3)</f>
        <v>4.6868192584855182</v>
      </c>
      <c r="E5938" s="1">
        <f>11.3790689955806*(10.3/7.3)</f>
        <v>16.055398719791739</v>
      </c>
      <c r="F5938" s="1">
        <f>31.8237077718406*(38.9/42.5)</f>
        <v>29.128052525284662</v>
      </c>
      <c r="G5938" s="1">
        <v>1.6667196141569143</v>
      </c>
      <c r="H5938" s="1">
        <v>5.1031234559959904</v>
      </c>
      <c r="I5938" s="1">
        <v>22.952961155966001</v>
      </c>
      <c r="J5938" s="1">
        <v>2.4605489947357881E-2</v>
      </c>
      <c r="K5938" s="1">
        <v>1.7636837843518649</v>
      </c>
      <c r="L5938" s="1">
        <v>1.852070278087157</v>
      </c>
      <c r="M5938" s="1">
        <v>0.15789704201791327</v>
      </c>
      <c r="N5938" s="1">
        <v>1.2599631195936773</v>
      </c>
      <c r="O5938" s="1">
        <v>0.12449066666666667</v>
      </c>
      <c r="P5938" s="1">
        <v>8.1394497153273362E-2</v>
      </c>
      <c r="Q5938" s="1">
        <v>2.6637071459128796</v>
      </c>
      <c r="R5938" s="2">
        <f t="shared" si="371"/>
        <v>84.684506839117731</v>
      </c>
      <c r="S5938" s="2">
        <f t="shared" si="370"/>
        <v>1.8696837714524961</v>
      </c>
      <c r="T5938" s="2">
        <f t="shared" si="372"/>
        <v>3.3944211063654137</v>
      </c>
      <c r="U5938" s="2">
        <f t="shared" si="373"/>
        <v>89.948611716935645</v>
      </c>
    </row>
    <row r="5939" spans="1:21" x14ac:dyDescent="0.25">
      <c r="A5939">
        <v>6435105</v>
      </c>
      <c r="B5939">
        <v>4</v>
      </c>
      <c r="C5939" s="1">
        <f>2.18234038220603*(10.3/7.3)</f>
        <v>3.0791925940715195</v>
      </c>
      <c r="D5939" s="1">
        <f>4.35656837189083*(10.3/7.3)</f>
        <v>6.1469389356815896</v>
      </c>
      <c r="E5939" s="1">
        <f>14.8619034459459*(10.3/7.3)</f>
        <v>20.969534999074291</v>
      </c>
      <c r="F5939" s="1">
        <f>44.0037024700515*(38.9/42.5)</f>
        <v>40.276330025529511</v>
      </c>
      <c r="G5939" s="1">
        <v>2.3875806755521269</v>
      </c>
      <c r="H5939" s="1">
        <v>6.7055754338019984</v>
      </c>
      <c r="I5939" s="1">
        <v>31.985127471121256</v>
      </c>
      <c r="J5939" s="1">
        <v>3.2526278400957412E-2</v>
      </c>
      <c r="K5939" s="1">
        <v>1.9882145522018413</v>
      </c>
      <c r="L5939" s="1">
        <v>2.1337109145084256</v>
      </c>
      <c r="M5939" s="1">
        <v>0.17173566001761709</v>
      </c>
      <c r="N5939" s="1">
        <v>1.2728660573341823</v>
      </c>
      <c r="O5939" s="1">
        <v>0.14097333333333334</v>
      </c>
      <c r="P5939" s="1">
        <v>9.0856153695101388E-2</v>
      </c>
      <c r="Q5939" s="1">
        <v>3.8157682029371927</v>
      </c>
      <c r="R5939" s="2">
        <f t="shared" si="371"/>
        <v>115.36604833776948</v>
      </c>
      <c r="S5939" s="2">
        <f t="shared" si="370"/>
        <v>2.1115969842979001</v>
      </c>
      <c r="T5939" s="2">
        <f t="shared" si="372"/>
        <v>3.7192859651935581</v>
      </c>
      <c r="U5939" s="2">
        <f t="shared" si="373"/>
        <v>121.19693128726095</v>
      </c>
    </row>
    <row r="5940" spans="1:21" x14ac:dyDescent="0.25">
      <c r="A5940">
        <v>6435113</v>
      </c>
      <c r="B5940">
        <v>40</v>
      </c>
      <c r="C5940" s="1">
        <f>1.96865682787769*(10.3/7.3)</f>
        <v>2.7776938804301685</v>
      </c>
      <c r="D5940" s="1">
        <f>3.871943804316*(10.3/7.3)</f>
        <v>5.4631535869116137</v>
      </c>
      <c r="E5940" s="1">
        <f>13.2286181824146*(10.3/7.3)</f>
        <v>18.66503661354389</v>
      </c>
      <c r="F5940" s="1">
        <f>38.4342248668762*(38.9/42.5)</f>
        <v>35.178619936976105</v>
      </c>
      <c r="G5940" s="1">
        <v>2.0613235835766126</v>
      </c>
      <c r="H5940" s="1">
        <v>6.1214303778530095</v>
      </c>
      <c r="I5940" s="1">
        <v>27.882294812386156</v>
      </c>
      <c r="J5940" s="1">
        <v>2.8434557017871741E-2</v>
      </c>
      <c r="K5940" s="1">
        <v>1.9839992091974676</v>
      </c>
      <c r="L5940" s="1">
        <v>2.137295404145894</v>
      </c>
      <c r="M5940" s="1">
        <v>0.16938582696545806</v>
      </c>
      <c r="N5940" s="1">
        <v>1.3191045751502997</v>
      </c>
      <c r="O5940" s="1">
        <v>0.13711066666666666</v>
      </c>
      <c r="P5940" s="1">
        <v>9.0143021688587219E-2</v>
      </c>
      <c r="Q5940" s="1">
        <v>3.2943527591407076</v>
      </c>
      <c r="R5940" s="2">
        <f t="shared" si="371"/>
        <v>101.44390555081827</v>
      </c>
      <c r="S5940" s="2">
        <f t="shared" si="370"/>
        <v>2.1025767879039265</v>
      </c>
      <c r="T5940" s="2">
        <f t="shared" si="372"/>
        <v>3.7628964729283183</v>
      </c>
      <c r="U5940" s="2">
        <f t="shared" si="373"/>
        <v>107.30937881165052</v>
      </c>
    </row>
    <row r="5941" spans="1:21" x14ac:dyDescent="0.25">
      <c r="A5941">
        <v>6435121</v>
      </c>
      <c r="B5941">
        <v>36</v>
      </c>
      <c r="C5941" s="1">
        <f>2.15911775713949*(10.3/7.3)</f>
        <v>3.0464264244570836</v>
      </c>
      <c r="D5941" s="1">
        <f>4.38340673158682*(10.3/7.3)</f>
        <v>6.1848067582663289</v>
      </c>
      <c r="E5941" s="1">
        <f>14.9272203816165*(10.3/7.3)</f>
        <v>21.061694511047893</v>
      </c>
      <c r="F5941" s="1">
        <f>45.1776553145228*(38.9/42.5)</f>
        <v>41.350842158469099</v>
      </c>
      <c r="G5941" s="1">
        <v>2.4832818021321348</v>
      </c>
      <c r="H5941" s="1">
        <v>7.6971589603450132</v>
      </c>
      <c r="I5941" s="1">
        <v>32.916400060691274</v>
      </c>
      <c r="J5941" s="1">
        <v>2.9874511786237998E-2</v>
      </c>
      <c r="K5941" s="1">
        <v>2.0437508424575124</v>
      </c>
      <c r="L5941" s="1">
        <v>2.2829100388977071</v>
      </c>
      <c r="M5941" s="1">
        <v>0.16936172282845591</v>
      </c>
      <c r="N5941" s="1">
        <v>1.3928429327398864</v>
      </c>
      <c r="O5941" s="1">
        <v>0.13884740740740745</v>
      </c>
      <c r="P5941" s="1">
        <v>9.1317685229824502E-2</v>
      </c>
      <c r="Q5941" s="1">
        <v>3.9687152088869784</v>
      </c>
      <c r="R5941" s="2">
        <f t="shared" si="371"/>
        <v>118.70932588429581</v>
      </c>
      <c r="S5941" s="2">
        <f t="shared" si="370"/>
        <v>2.1649430394735747</v>
      </c>
      <c r="T5941" s="2">
        <f t="shared" si="372"/>
        <v>3.9839621018734572</v>
      </c>
      <c r="U5941" s="2">
        <f t="shared" si="373"/>
        <v>124.85823102564284</v>
      </c>
    </row>
    <row r="5942" spans="1:21" x14ac:dyDescent="0.25">
      <c r="A5942">
        <v>6435433</v>
      </c>
      <c r="B5942">
        <v>61</v>
      </c>
      <c r="C5942" s="1">
        <f>2.35876896151079*(10.3/7.3)</f>
        <v>3.3281260689809837</v>
      </c>
      <c r="D5942" s="1">
        <f>3.48057697698637*(10.3/7.3)</f>
        <v>4.9109510771177494</v>
      </c>
      <c r="E5942" s="1">
        <f>12.1859648797186*(10.3/7.3)</f>
        <v>17.193895652205661</v>
      </c>
      <c r="F5942" s="1">
        <f>26.2042939307685*(38.9/42.5)</f>
        <v>23.984636091926905</v>
      </c>
      <c r="G5942" s="1">
        <v>1.0812920318261836</v>
      </c>
      <c r="H5942" s="1">
        <v>4.1510042951470769</v>
      </c>
      <c r="I5942" s="1">
        <v>18.828174117909782</v>
      </c>
      <c r="J5942" s="1">
        <v>2.2386308294476132E-2</v>
      </c>
      <c r="K5942" s="1">
        <v>1.5966077786546828</v>
      </c>
      <c r="L5942" s="1">
        <v>1.3918291469181849</v>
      </c>
      <c r="M5942" s="1">
        <v>8.6355431344323053E-2</v>
      </c>
      <c r="N5942" s="1">
        <v>0.89802986326455869</v>
      </c>
      <c r="O5942" s="1">
        <v>8.2532021857923479E-2</v>
      </c>
      <c r="P5942" s="1">
        <v>6.3345953965188828E-2</v>
      </c>
      <c r="Q5942" s="1">
        <v>1.7280922883066874</v>
      </c>
      <c r="R5942" s="2">
        <f t="shared" si="371"/>
        <v>75.206171623421014</v>
      </c>
      <c r="S5942" s="2">
        <f t="shared" si="370"/>
        <v>1.6823400409143479</v>
      </c>
      <c r="T5942" s="2">
        <f t="shared" si="372"/>
        <v>2.45874646338499</v>
      </c>
      <c r="U5942" s="2">
        <f t="shared" si="373"/>
        <v>79.347258127720352</v>
      </c>
    </row>
    <row r="5943" spans="1:21" x14ac:dyDescent="0.25">
      <c r="A5943">
        <v>6435441</v>
      </c>
      <c r="B5943">
        <v>65</v>
      </c>
      <c r="C5943" s="1">
        <f>2.16435444334755*(10.3/7.3)</f>
        <v>3.0538151734903809</v>
      </c>
      <c r="D5943" s="1">
        <f>3.26317719304925*(10.3/7.3)</f>
        <v>4.6042089162201805</v>
      </c>
      <c r="E5943" s="1">
        <f>11.4249906358889*(10.3/7.3)</f>
        <v>16.120192267076124</v>
      </c>
      <c r="F5943" s="1">
        <f>24.085427787053*(38.9/42.5)</f>
        <v>22.04525037450265</v>
      </c>
      <c r="G5943" s="1">
        <v>0.97665302618664995</v>
      </c>
      <c r="H5943" s="1">
        <v>3.3101725431263342</v>
      </c>
      <c r="I5943" s="1">
        <v>17.113392236883531</v>
      </c>
      <c r="J5943" s="1">
        <v>2.1201657173375101E-2</v>
      </c>
      <c r="K5943" s="1">
        <v>1.5597248486895106</v>
      </c>
      <c r="L5943" s="1">
        <v>1.348769418037211</v>
      </c>
      <c r="M5943" s="1">
        <v>8.3618516868723985E-2</v>
      </c>
      <c r="N5943" s="1">
        <v>0.86602136555234899</v>
      </c>
      <c r="O5943" s="1">
        <v>7.9600410256410223E-2</v>
      </c>
      <c r="P5943" s="1">
        <v>6.17916855408112E-2</v>
      </c>
      <c r="Q5943" s="1">
        <v>1.5608610007549213</v>
      </c>
      <c r="R5943" s="2">
        <f t="shared" si="371"/>
        <v>68.784545538240778</v>
      </c>
      <c r="S5943" s="2">
        <f t="shared" si="370"/>
        <v>1.6427181914036968</v>
      </c>
      <c r="T5943" s="2">
        <f t="shared" si="372"/>
        <v>2.3780097107146942</v>
      </c>
      <c r="U5943" s="2">
        <f t="shared" si="373"/>
        <v>72.805273440359173</v>
      </c>
    </row>
    <row r="5944" spans="1:21" x14ac:dyDescent="0.25">
      <c r="A5944">
        <v>6435449</v>
      </c>
      <c r="B5944">
        <v>67</v>
      </c>
      <c r="C5944" s="1">
        <f>2.16361026414396*(10.3/7.3)</f>
        <v>3.0527651672168221</v>
      </c>
      <c r="D5944" s="1">
        <f>3.12976144401908*(10.3/7.3)</f>
        <v>4.4159647771776021</v>
      </c>
      <c r="E5944" s="1">
        <f>10.9661602202628*(10.3/7.3)</f>
        <v>15.472801406672112</v>
      </c>
      <c r="F5944" s="1">
        <f>23.5822016004785*(38.9/42.5)</f>
        <v>21.584650406085039</v>
      </c>
      <c r="G5944" s="1">
        <v>0.97001993220918481</v>
      </c>
      <c r="H5944" s="1">
        <v>3.2744069545101735</v>
      </c>
      <c r="I5944" s="1">
        <v>17.041386550670182</v>
      </c>
      <c r="J5944" s="1">
        <v>1.8082507808485134E-2</v>
      </c>
      <c r="K5944" s="1">
        <v>1.3767940352597554</v>
      </c>
      <c r="L5944" s="1">
        <v>1.1676999428910009</v>
      </c>
      <c r="M5944" s="1">
        <v>7.4979531293758853E-2</v>
      </c>
      <c r="N5944" s="1">
        <v>0.72772835931250457</v>
      </c>
      <c r="O5944" s="1">
        <v>7.0738308457711466E-2</v>
      </c>
      <c r="P5944" s="1">
        <v>5.6059909058501334E-2</v>
      </c>
      <c r="Q5944" s="1">
        <v>1.5502601656311186</v>
      </c>
      <c r="R5944" s="2">
        <f t="shared" si="371"/>
        <v>67.362255360172227</v>
      </c>
      <c r="S5944" s="2">
        <f t="shared" si="370"/>
        <v>1.4509364521267418</v>
      </c>
      <c r="T5944" s="2">
        <f t="shared" si="372"/>
        <v>2.0411461419549757</v>
      </c>
      <c r="U5944" s="2">
        <f t="shared" si="373"/>
        <v>70.85433795425395</v>
      </c>
    </row>
    <row r="5945" spans="1:21" x14ac:dyDescent="0.25">
      <c r="A5945">
        <v>6446805</v>
      </c>
      <c r="B5945">
        <v>31</v>
      </c>
      <c r="C5945" s="1">
        <f>0.416068469467402*(10.3/7.3)</f>
        <v>0.58705551171427972</v>
      </c>
      <c r="D5945" s="1">
        <f>0.757311022060557*(10.3/7.3)</f>
        <v>1.0685347297566765</v>
      </c>
      <c r="E5945" s="1">
        <f>2.58685051134953*(10.3/7.3)</f>
        <v>3.6499397625890699</v>
      </c>
      <c r="F5945" s="1">
        <f>7.85500761266582*(38.9/42.5)</f>
        <v>7.1896422619458891</v>
      </c>
      <c r="G5945" s="1">
        <v>0.42933897601869903</v>
      </c>
      <c r="H5945" s="1">
        <v>1.5956308660673391</v>
      </c>
      <c r="I5945" s="1">
        <v>5.8265218323638743</v>
      </c>
      <c r="J5945" s="1">
        <v>2.2874700822542567E-2</v>
      </c>
      <c r="K5945" s="1">
        <v>2.6138736723906328</v>
      </c>
      <c r="L5945" s="1">
        <v>1.411019343436839</v>
      </c>
      <c r="M5945" s="1">
        <v>0.32476335877828511</v>
      </c>
      <c r="N5945" s="1">
        <v>0.82064130472683938</v>
      </c>
      <c r="O5945" s="1">
        <v>0.23050494623655915</v>
      </c>
      <c r="P5945" s="1">
        <v>0.10218916095457468</v>
      </c>
      <c r="Q5945" s="1">
        <v>0.68615818085180258</v>
      </c>
      <c r="R5945" s="2">
        <f t="shared" si="371"/>
        <v>21.032822121307628</v>
      </c>
      <c r="S5945" s="2">
        <f t="shared" si="370"/>
        <v>2.73893753416775</v>
      </c>
      <c r="T5945" s="2">
        <f t="shared" si="372"/>
        <v>2.7869289531785228</v>
      </c>
      <c r="U5945" s="2">
        <f t="shared" si="373"/>
        <v>26.558688608653902</v>
      </c>
    </row>
    <row r="5946" spans="1:21" x14ac:dyDescent="0.25">
      <c r="A5946">
        <v>6446813</v>
      </c>
      <c r="B5946">
        <v>54</v>
      </c>
      <c r="C5946" s="1">
        <f>0.691213303314545*(10.3/7.3)</f>
        <v>0.97527356495065887</v>
      </c>
      <c r="D5946" s="1">
        <f>1.41553020751239*(10.3/7.3)</f>
        <v>1.9972549503256984</v>
      </c>
      <c r="E5946" s="1">
        <f>4.7930099619182*(10.3/7.3)</f>
        <v>6.7627400832544442</v>
      </c>
      <c r="F5946" s="1">
        <f>15.8579136272607*(38.9/42.5)</f>
        <v>14.514655061186815</v>
      </c>
      <c r="G5946" s="1">
        <v>0.91154006717486691</v>
      </c>
      <c r="H5946" s="1">
        <v>2.9788747907773683</v>
      </c>
      <c r="I5946" s="1">
        <v>11.761528651146445</v>
      </c>
      <c r="J5946" s="1">
        <v>3.369103783231385E-2</v>
      </c>
      <c r="K5946" s="1">
        <v>3.4286952388343632</v>
      </c>
      <c r="L5946" s="1">
        <v>2.01484028901289</v>
      </c>
      <c r="M5946" s="1">
        <v>0.44977484316287752</v>
      </c>
      <c r="N5946" s="1">
        <v>1.1123864203386391</v>
      </c>
      <c r="O5946" s="1">
        <v>0.34686518518518533</v>
      </c>
      <c r="P5946" s="1">
        <v>0.1245027316429286</v>
      </c>
      <c r="Q5946" s="1">
        <v>1.4567991941150855</v>
      </c>
      <c r="R5946" s="2">
        <f t="shared" si="371"/>
        <v>41.35866636293138</v>
      </c>
      <c r="S5946" s="2">
        <f t="shared" si="370"/>
        <v>3.5868890083096057</v>
      </c>
      <c r="T5946" s="2">
        <f t="shared" si="372"/>
        <v>3.9238667376995919</v>
      </c>
      <c r="U5946" s="2">
        <f t="shared" si="373"/>
        <v>48.869422108940576</v>
      </c>
    </row>
    <row r="5947" spans="1:21" x14ac:dyDescent="0.25">
      <c r="A5947">
        <v>6446821</v>
      </c>
      <c r="B5947">
        <v>29</v>
      </c>
      <c r="C5947" s="1">
        <f>0.936562582302785*(10.3/7.3)</f>
        <v>1.3214513147559843</v>
      </c>
      <c r="D5947" s="1">
        <f>2.07998178818266*(10.3/7.3)</f>
        <v>2.934768824422108</v>
      </c>
      <c r="E5947" s="1">
        <f>7.00330630176825*(10.3/7.3)</f>
        <v>9.881377384686715</v>
      </c>
      <c r="F5947" s="1">
        <f>24.4225608001467*(38.9/42.5)</f>
        <v>22.353826238251944</v>
      </c>
      <c r="G5947" s="1">
        <v>1.4430688592917877</v>
      </c>
      <c r="H5947" s="1">
        <v>4.4132598553890263</v>
      </c>
      <c r="I5947" s="1">
        <v>18.120058398501325</v>
      </c>
      <c r="J5947" s="1">
        <v>4.7872702693163266E-2</v>
      </c>
      <c r="K5947" s="1">
        <v>4.183751754734141</v>
      </c>
      <c r="L5947" s="1">
        <v>2.6582792946026594</v>
      </c>
      <c r="M5947" s="1">
        <v>0.59650467154370701</v>
      </c>
      <c r="N5947" s="1">
        <v>1.4647849230617576</v>
      </c>
      <c r="O5947" s="1">
        <v>0.45826574712643675</v>
      </c>
      <c r="P5947" s="1">
        <v>0.14354301050009899</v>
      </c>
      <c r="Q5947" s="1">
        <v>2.3062744326581108</v>
      </c>
      <c r="R5947" s="2">
        <f t="shared" si="371"/>
        <v>62.774085307957009</v>
      </c>
      <c r="S5947" s="2">
        <f t="shared" si="370"/>
        <v>4.3751674679274029</v>
      </c>
      <c r="T5947" s="2">
        <f t="shared" si="372"/>
        <v>5.1778346363345609</v>
      </c>
      <c r="U5947" s="2">
        <f t="shared" si="373"/>
        <v>72.327087412218972</v>
      </c>
    </row>
    <row r="5948" spans="1:21" x14ac:dyDescent="0.25">
      <c r="A5948">
        <v>6446829</v>
      </c>
      <c r="B5948">
        <v>18</v>
      </c>
      <c r="C5948" s="1">
        <f>0.835439192007937*(10.3/7.3)</f>
        <v>1.1787703668057197</v>
      </c>
      <c r="D5948" s="1">
        <f>1.97957192920709*(10.3/7.3)</f>
        <v>2.7930946398401391</v>
      </c>
      <c r="E5948" s="1">
        <f>6.64161590093271*(10.3/7.3)</f>
        <v>9.3710470930968341</v>
      </c>
      <c r="F5948" s="1">
        <f>23.8253598625816*(38.9/42.5)</f>
        <v>21.807211733045261</v>
      </c>
      <c r="G5948" s="1">
        <v>1.4285725316826392</v>
      </c>
      <c r="H5948" s="1">
        <v>4.6700626238334388</v>
      </c>
      <c r="I5948" s="1">
        <v>17.647401127517423</v>
      </c>
      <c r="J5948" s="1">
        <v>5.3975909127238347E-2</v>
      </c>
      <c r="K5948" s="1">
        <v>4.0702187134073231</v>
      </c>
      <c r="L5948" s="1">
        <v>2.6068978153916271</v>
      </c>
      <c r="M5948" s="1">
        <v>0.59019919117428155</v>
      </c>
      <c r="N5948" s="1">
        <v>1.7396725567994411</v>
      </c>
      <c r="O5948" s="1">
        <v>0.44874074074074077</v>
      </c>
      <c r="P5948" s="1">
        <v>0.13585614092569265</v>
      </c>
      <c r="Q5948" s="1">
        <v>2.2831067857941743</v>
      </c>
      <c r="R5948" s="2">
        <f t="shared" si="371"/>
        <v>61.179266901615634</v>
      </c>
      <c r="S5948" s="2">
        <f t="shared" si="370"/>
        <v>4.2600507634602547</v>
      </c>
      <c r="T5948" s="2">
        <f t="shared" si="372"/>
        <v>5.3855103041060906</v>
      </c>
      <c r="U5948" s="2">
        <f t="shared" si="373"/>
        <v>70.824827969181982</v>
      </c>
    </row>
    <row r="5949" spans="1:21" x14ac:dyDescent="0.25">
      <c r="A5949">
        <v>6447293</v>
      </c>
      <c r="B5949">
        <v>24</v>
      </c>
      <c r="C5949" s="1">
        <f>1.51505224645051*(10.3/7.3)</f>
        <v>2.1376764573205822</v>
      </c>
      <c r="D5949" s="1">
        <f>3.07256285392494*(10.3/7.3)</f>
        <v>4.3352599171817623</v>
      </c>
      <c r="E5949" s="1">
        <f>10.4945318535257*(10.3/7.3)</f>
        <v>14.807353163193799</v>
      </c>
      <c r="F5949" s="1">
        <f>30.168914146064*(38.9/42.5)</f>
        <v>27.613429653691487</v>
      </c>
      <c r="G5949" s="1">
        <v>1.6117041331372828</v>
      </c>
      <c r="H5949" s="1">
        <v>8.5761664518100069</v>
      </c>
      <c r="I5949" s="1">
        <v>21.723881328031354</v>
      </c>
      <c r="J5949" s="1">
        <v>2.6395909772716178E-2</v>
      </c>
      <c r="K5949" s="1">
        <v>1.9555559053438696</v>
      </c>
      <c r="L5949" s="1">
        <v>2.0543156429051921</v>
      </c>
      <c r="M5949" s="1">
        <v>0.18237835723405871</v>
      </c>
      <c r="N5949" s="1">
        <v>1.1881968603731297</v>
      </c>
      <c r="O5949" s="1">
        <v>0.13797999999999999</v>
      </c>
      <c r="P5949" s="1">
        <v>8.9005558348734456E-2</v>
      </c>
      <c r="Q5949" s="1">
        <v>2.5757828611783089</v>
      </c>
      <c r="R5949" s="2">
        <f t="shared" si="371"/>
        <v>83.381253965544587</v>
      </c>
      <c r="S5949" s="2">
        <f t="shared" si="370"/>
        <v>2.0709573734653204</v>
      </c>
      <c r="T5949" s="2">
        <f t="shared" si="372"/>
        <v>3.5628708605123807</v>
      </c>
      <c r="U5949" s="2">
        <f t="shared" si="373"/>
        <v>89.015082199522283</v>
      </c>
    </row>
    <row r="5950" spans="1:21" x14ac:dyDescent="0.25">
      <c r="A5950">
        <v>6447301</v>
      </c>
      <c r="B5950">
        <v>58</v>
      </c>
      <c r="C5950" s="1">
        <f>1.6740685335256*(10.3/7.3)</f>
        <v>2.3620419034676252</v>
      </c>
      <c r="D5950" s="1">
        <f>3.32297496639121*(10.3/7.3)</f>
        <v>4.6885811169629372</v>
      </c>
      <c r="E5950" s="1">
        <f>11.3702995714866*(10.3/7.3)</f>
        <v>16.043025422782492</v>
      </c>
      <c r="F5950" s="1">
        <f>31.9931169908106*(38.9/42.5)</f>
        <v>29.283111786883104</v>
      </c>
      <c r="G5950" s="1">
        <v>1.6852335412251056</v>
      </c>
      <c r="H5950" s="1">
        <v>6.4869163095792599</v>
      </c>
      <c r="I5950" s="1">
        <v>22.999840408619072</v>
      </c>
      <c r="J5950" s="1">
        <v>2.6469836624382886E-2</v>
      </c>
      <c r="K5950" s="1">
        <v>1.9579093440226245</v>
      </c>
      <c r="L5950" s="1">
        <v>2.0689777546213688</v>
      </c>
      <c r="M5950" s="1">
        <v>0.18234782308674069</v>
      </c>
      <c r="N5950" s="1">
        <v>1.1794889500981023</v>
      </c>
      <c r="O5950" s="1">
        <v>0.13915954022988508</v>
      </c>
      <c r="P5950" s="1">
        <v>8.9380507635523604E-2</v>
      </c>
      <c r="Q5950" s="1">
        <v>2.6932956138300796</v>
      </c>
      <c r="R5950" s="2">
        <f t="shared" si="371"/>
        <v>86.242046103349665</v>
      </c>
      <c r="S5950" s="2">
        <f t="shared" si="370"/>
        <v>2.0737596882825309</v>
      </c>
      <c r="T5950" s="2">
        <f t="shared" si="372"/>
        <v>3.569974068036097</v>
      </c>
      <c r="U5950" s="2">
        <f t="shared" si="373"/>
        <v>91.885779859668304</v>
      </c>
    </row>
    <row r="5951" spans="1:21" x14ac:dyDescent="0.25">
      <c r="A5951">
        <v>6447309</v>
      </c>
      <c r="B5951">
        <v>14</v>
      </c>
      <c r="C5951" s="1">
        <f>1.79188638921185*(10.3/7.3)</f>
        <v>2.5282780560112457</v>
      </c>
      <c r="D5951" s="1">
        <f>3.55357103384901*(10.3/7.3)</f>
        <v>5.013942691595175</v>
      </c>
      <c r="E5951" s="1">
        <f>12.1600289340935*(10.3/7.3)</f>
        <v>17.157301098789446</v>
      </c>
      <c r="F5951" s="1">
        <f>34.1962177022163*(38.9/42.5)</f>
        <v>31.299596908616778</v>
      </c>
      <c r="G5951" s="1">
        <v>1.8005623891832911</v>
      </c>
      <c r="H5951" s="1">
        <v>5.6526219391695607</v>
      </c>
      <c r="I5951" s="1">
        <v>24.58414156101037</v>
      </c>
      <c r="J5951" s="1">
        <v>2.5190688362674827E-2</v>
      </c>
      <c r="K5951" s="1">
        <v>1.8832891290922125</v>
      </c>
      <c r="L5951" s="1">
        <v>1.9858461232486326</v>
      </c>
      <c r="M5951" s="1">
        <v>0.17455208162342067</v>
      </c>
      <c r="N5951" s="1">
        <v>1.1071832502261969</v>
      </c>
      <c r="O5951" s="1">
        <v>0.13520380952380953</v>
      </c>
      <c r="P5951" s="1">
        <v>8.6624650789930341E-2</v>
      </c>
      <c r="Q5951" s="1">
        <v>2.8776111242655369</v>
      </c>
      <c r="R5951" s="2">
        <f t="shared" si="371"/>
        <v>90.914055768641418</v>
      </c>
      <c r="S5951" s="2">
        <f t="shared" si="370"/>
        <v>1.9951044682448178</v>
      </c>
      <c r="T5951" s="2">
        <f t="shared" si="372"/>
        <v>3.40278526462206</v>
      </c>
      <c r="U5951" s="2">
        <f t="shared" si="373"/>
        <v>96.311945501508291</v>
      </c>
    </row>
    <row r="5952" spans="1:21" x14ac:dyDescent="0.25">
      <c r="A5952">
        <v>6447325</v>
      </c>
      <c r="B5952">
        <v>2</v>
      </c>
      <c r="C5952" s="1">
        <f>2.37581062734114*(10.3/7.3)</f>
        <v>3.3521711591251746</v>
      </c>
      <c r="D5952" s="1">
        <f>4.70720617172884*(10.3/7.3)</f>
        <v>6.6416744614804166</v>
      </c>
      <c r="E5952" s="1">
        <f>16.0921009757149*(10.3/7.3)</f>
        <v>22.705293157515573</v>
      </c>
      <c r="F5952" s="1">
        <f>46.0747493601389*(38.9/42.5)</f>
        <v>42.171947061397745</v>
      </c>
      <c r="G5952" s="1">
        <v>2.4516894028251253</v>
      </c>
      <c r="H5952" s="1">
        <v>7.2153167347810605</v>
      </c>
      <c r="I5952" s="1">
        <v>33.271349160602298</v>
      </c>
      <c r="J5952" s="1">
        <v>2.6384240962383822E-2</v>
      </c>
      <c r="K5952" s="1">
        <v>1.8963716130099393</v>
      </c>
      <c r="L5952" s="1">
        <v>2.0322491729237897</v>
      </c>
      <c r="M5952" s="1">
        <v>0.17001359111207187</v>
      </c>
      <c r="N5952" s="1">
        <v>1.3196074087803624</v>
      </c>
      <c r="O5952" s="1">
        <v>0.13824</v>
      </c>
      <c r="P5952" s="1">
        <v>8.6931124759306547E-2</v>
      </c>
      <c r="Q5952" s="1">
        <v>3.9182250730081947</v>
      </c>
      <c r="R5952" s="2">
        <f t="shared" si="371"/>
        <v>121.72766621073558</v>
      </c>
      <c r="S5952" s="2">
        <f t="shared" si="370"/>
        <v>2.0096869787316298</v>
      </c>
      <c r="T5952" s="2">
        <f t="shared" si="372"/>
        <v>3.660110172816224</v>
      </c>
      <c r="U5952" s="2">
        <f t="shared" si="373"/>
        <v>127.39746336228343</v>
      </c>
    </row>
    <row r="5953" spans="1:21" x14ac:dyDescent="0.25">
      <c r="A5953">
        <v>6447333</v>
      </c>
      <c r="B5953">
        <v>45</v>
      </c>
      <c r="C5953" s="1">
        <f>1.8677053439891*(10.3/7.3)</f>
        <v>2.6352554853544792</v>
      </c>
      <c r="D5953" s="1">
        <f>3.65689312531697*(10.3/7.3)</f>
        <v>5.1597259165431213</v>
      </c>
      <c r="E5953" s="1">
        <f>12.5050501339342*(10.3/7.3)</f>
        <v>17.644111832811252</v>
      </c>
      <c r="F5953" s="1">
        <f>35.8430611995166*(38.9/42.5)</f>
        <v>32.806943074381053</v>
      </c>
      <c r="G5953" s="1">
        <v>1.9068218488901889</v>
      </c>
      <c r="H5953" s="1">
        <v>5.8016640519413789</v>
      </c>
      <c r="I5953" s="1">
        <v>25.940125514365068</v>
      </c>
      <c r="J5953" s="1">
        <v>2.8468879821596793E-2</v>
      </c>
      <c r="K5953" s="1">
        <v>1.95526806497871</v>
      </c>
      <c r="L5953" s="1">
        <v>2.0692995701081669</v>
      </c>
      <c r="M5953" s="1">
        <v>0.17187893815650337</v>
      </c>
      <c r="N5953" s="1">
        <v>1.3243572451277896</v>
      </c>
      <c r="O5953" s="1">
        <v>0.1369505185185185</v>
      </c>
      <c r="P5953" s="1">
        <v>8.9199884162146637E-2</v>
      </c>
      <c r="Q5953" s="1">
        <v>3.0474321785916301</v>
      </c>
      <c r="R5953" s="2">
        <f t="shared" si="371"/>
        <v>94.942079902878163</v>
      </c>
      <c r="S5953" s="2">
        <f t="shared" si="370"/>
        <v>2.0729368289624537</v>
      </c>
      <c r="T5953" s="2">
        <f t="shared" si="372"/>
        <v>3.7024862719109786</v>
      </c>
      <c r="U5953" s="2">
        <f t="shared" si="373"/>
        <v>100.7175030037516</v>
      </c>
    </row>
    <row r="5954" spans="1:21" x14ac:dyDescent="0.25">
      <c r="A5954">
        <v>6447341</v>
      </c>
      <c r="B5954">
        <v>45</v>
      </c>
      <c r="C5954" s="1">
        <f>1.96695081130539*(10.3/7.3)</f>
        <v>2.7752867611569219</v>
      </c>
      <c r="D5954" s="1">
        <f>3.99731643511274*(10.3/7.3)</f>
        <v>5.6400492166659166</v>
      </c>
      <c r="E5954" s="1">
        <f>13.600797238117*(10.3/7.3)</f>
        <v>19.190165966110246</v>
      </c>
      <c r="F5954" s="1">
        <f>41.7422968171404*(38.9/42.5)</f>
        <v>38.206478733806129</v>
      </c>
      <c r="G5954" s="1">
        <v>2.3114906798626964</v>
      </c>
      <c r="H5954" s="1">
        <v>6.8527593855069897</v>
      </c>
      <c r="I5954" s="1">
        <v>30.50364319631333</v>
      </c>
      <c r="J5954" s="1">
        <v>2.9817275682223969E-2</v>
      </c>
      <c r="K5954" s="1">
        <v>1.9750673104108416</v>
      </c>
      <c r="L5954" s="1">
        <v>2.1062672315412985</v>
      </c>
      <c r="M5954" s="1">
        <v>0.16955367791547898</v>
      </c>
      <c r="N5954" s="1">
        <v>1.3004211184918411</v>
      </c>
      <c r="O5954" s="1">
        <v>0.13760829629629628</v>
      </c>
      <c r="P5954" s="1">
        <v>8.9829108011761666E-2</v>
      </c>
      <c r="Q5954" s="1">
        <v>3.6941631869951794</v>
      </c>
      <c r="R5954" s="2">
        <f t="shared" si="371"/>
        <v>109.17403712641742</v>
      </c>
      <c r="S5954" s="2">
        <f t="shared" si="370"/>
        <v>2.0947136941048274</v>
      </c>
      <c r="T5954" s="2">
        <f t="shared" si="372"/>
        <v>3.7138503242449143</v>
      </c>
      <c r="U5954" s="2">
        <f t="shared" si="373"/>
        <v>114.98260114476716</v>
      </c>
    </row>
    <row r="5955" spans="1:21" x14ac:dyDescent="0.25">
      <c r="A5955">
        <v>6447349</v>
      </c>
      <c r="B5955">
        <v>44</v>
      </c>
      <c r="C5955" s="1">
        <f>2.1563789980743*(10.3/7.3)</f>
        <v>3.0425621479678417</v>
      </c>
      <c r="D5955" s="1">
        <f>4.24128591897009*(10.3/7.3)</f>
        <v>5.9842801322454733</v>
      </c>
      <c r="E5955" s="1">
        <f>14.4745685552943*(10.3/7.3)</f>
        <v>20.423021386237227</v>
      </c>
      <c r="F5955" s="1">
        <f>42.8713793975108*(38.9/42.5)</f>
        <v>39.239921377956897</v>
      </c>
      <c r="G5955" s="1">
        <v>2.3242278899092024</v>
      </c>
      <c r="H5955" s="1">
        <v>7.9486662835611863</v>
      </c>
      <c r="I5955" s="1">
        <v>31.237655239260128</v>
      </c>
      <c r="J5955" s="1">
        <v>2.9644757304010037E-2</v>
      </c>
      <c r="K5955" s="1">
        <v>2.0229719036908751</v>
      </c>
      <c r="L5955" s="1">
        <v>2.18949741001992</v>
      </c>
      <c r="M5955" s="1">
        <v>0.17036038481570673</v>
      </c>
      <c r="N5955" s="1">
        <v>1.3547542841474038</v>
      </c>
      <c r="O5955" s="1">
        <v>0.13911272727272728</v>
      </c>
      <c r="P5955" s="1">
        <v>9.116302368179606E-2</v>
      </c>
      <c r="Q5955" s="1">
        <v>3.7145194587590025</v>
      </c>
      <c r="R5955" s="2">
        <f t="shared" si="371"/>
        <v>113.91485391589696</v>
      </c>
      <c r="S5955" s="2">
        <f t="shared" si="370"/>
        <v>2.143779684676681</v>
      </c>
      <c r="T5955" s="2">
        <f t="shared" si="372"/>
        <v>3.8537248062557579</v>
      </c>
      <c r="U5955" s="2">
        <f t="shared" si="373"/>
        <v>119.9123584068294</v>
      </c>
    </row>
    <row r="5956" spans="1:21" x14ac:dyDescent="0.25">
      <c r="A5956">
        <v>6447661</v>
      </c>
      <c r="B5956">
        <v>2</v>
      </c>
      <c r="C5956" s="1">
        <f>2.42818599993047*(10.3/7.3)</f>
        <v>3.4260706574361492</v>
      </c>
      <c r="D5956" s="1">
        <f>3.55463748303674*(10.3/7.3)</f>
        <v>5.0154474075723865</v>
      </c>
      <c r="E5956" s="1">
        <f>12.4401277412749*(10.3/7.3)</f>
        <v>17.552509004812542</v>
      </c>
      <c r="F5956" s="1">
        <f>27.2041573757619*(38.9/42.5)</f>
        <v>24.89980522157969</v>
      </c>
      <c r="G5956" s="1">
        <v>1.1405452232836357</v>
      </c>
      <c r="H5956" s="1">
        <v>4.7900566405017662</v>
      </c>
      <c r="I5956" s="1">
        <v>19.670305480222769</v>
      </c>
      <c r="J5956" s="1">
        <v>2.2136794001408236E-2</v>
      </c>
      <c r="K5956" s="1">
        <v>1.5891712088242822</v>
      </c>
      <c r="L5956" s="1">
        <v>1.3742122187515684</v>
      </c>
      <c r="M5956" s="1">
        <v>8.6413465625084313E-2</v>
      </c>
      <c r="N5956" s="1">
        <v>0.8868597848693085</v>
      </c>
      <c r="O5956" s="1">
        <v>8.2373333333333326E-2</v>
      </c>
      <c r="P5956" s="1">
        <v>6.3087813108997831E-2</v>
      </c>
      <c r="Q5956" s="1">
        <v>1.8227891696313834</v>
      </c>
      <c r="R5956" s="2">
        <f t="shared" si="371"/>
        <v>78.317528805040325</v>
      </c>
      <c r="S5956" s="2">
        <f t="shared" si="370"/>
        <v>1.6743958159346883</v>
      </c>
      <c r="T5956" s="2">
        <f t="shared" si="372"/>
        <v>2.4298588025792944</v>
      </c>
      <c r="U5956" s="2">
        <f t="shared" si="373"/>
        <v>82.421783423554302</v>
      </c>
    </row>
    <row r="5957" spans="1:21" x14ac:dyDescent="0.25">
      <c r="A5957">
        <v>6447669</v>
      </c>
      <c r="B5957">
        <v>64</v>
      </c>
      <c r="C5957" s="1">
        <f>2.20528572426126*(10.3/7.3)</f>
        <v>3.1115675287521949</v>
      </c>
      <c r="D5957" s="1">
        <f>3.265849498734*(10.3/7.3)</f>
        <v>4.6079794297205714</v>
      </c>
      <c r="E5957" s="1">
        <f>11.4347759333163*(10.3/7.3)</f>
        <v>16.13399891961074</v>
      </c>
      <c r="F5957" s="1">
        <f>24.4784177907802*(38.9/42.5)</f>
        <v>22.404951813208232</v>
      </c>
      <c r="G5957" s="1">
        <v>1.0059269549110621</v>
      </c>
      <c r="H5957" s="1">
        <v>3.5463130592578764</v>
      </c>
      <c r="I5957" s="1">
        <v>17.550473972964241</v>
      </c>
      <c r="J5957" s="1">
        <v>2.1997431278007098E-2</v>
      </c>
      <c r="K5957" s="1">
        <v>1.6087710262714496</v>
      </c>
      <c r="L5957" s="1">
        <v>1.3845081592724677</v>
      </c>
      <c r="M5957" s="1">
        <v>8.5724137479591622E-2</v>
      </c>
      <c r="N5957" s="1">
        <v>0.89683462325990304</v>
      </c>
      <c r="O5957" s="1">
        <v>8.184000000000001E-2</v>
      </c>
      <c r="P5957" s="1">
        <v>6.3025446256144618E-2</v>
      </c>
      <c r="Q5957" s="1">
        <v>1.6076458183510141</v>
      </c>
      <c r="R5957" s="2">
        <f t="shared" si="371"/>
        <v>69.968857496775939</v>
      </c>
      <c r="S5957" s="2">
        <f t="shared" si="370"/>
        <v>1.6937939038056014</v>
      </c>
      <c r="T5957" s="2">
        <f t="shared" si="372"/>
        <v>2.4489069200119626</v>
      </c>
      <c r="U5957" s="2">
        <f t="shared" si="373"/>
        <v>74.111558320593502</v>
      </c>
    </row>
    <row r="5958" spans="1:21" x14ac:dyDescent="0.25">
      <c r="A5958">
        <v>6447677</v>
      </c>
      <c r="B5958">
        <v>71</v>
      </c>
      <c r="C5958" s="1">
        <f>2.20700782794249*(10.3/7.3)</f>
        <v>3.1139973462750152</v>
      </c>
      <c r="D5958" s="1">
        <f>3.2465735430363*(10.3/7.3)</f>
        <v>4.580781848393678</v>
      </c>
      <c r="E5958" s="1">
        <f>11.3706937557776*(10.3/7.3)</f>
        <v>16.043581600617681</v>
      </c>
      <c r="F5958" s="1">
        <f>24.3170090987945*(38.9/42.5)</f>
        <v>22.257215386896615</v>
      </c>
      <c r="G5958" s="1">
        <v>0.99717500290897854</v>
      </c>
      <c r="H5958" s="1">
        <v>3.3831484135964338</v>
      </c>
      <c r="I5958" s="1">
        <v>17.464035581809387</v>
      </c>
      <c r="J5958" s="1">
        <v>1.9693007454416468E-2</v>
      </c>
      <c r="K5958" s="1">
        <v>1.4790815970888491</v>
      </c>
      <c r="L5958" s="1">
        <v>1.2593290039460763</v>
      </c>
      <c r="M5958" s="1">
        <v>7.9669589188076748E-2</v>
      </c>
      <c r="N5958" s="1">
        <v>0.79587602448807304</v>
      </c>
      <c r="O5958" s="1">
        <v>7.5453896713615062E-2</v>
      </c>
      <c r="P5958" s="1">
        <v>5.9106319649237939E-2</v>
      </c>
      <c r="Q5958" s="1">
        <v>1.5936586804481405</v>
      </c>
      <c r="R5958" s="2">
        <f t="shared" si="371"/>
        <v>69.433593860945933</v>
      </c>
      <c r="S5958" s="2">
        <f t="shared" si="370"/>
        <v>1.5578809241925033</v>
      </c>
      <c r="T5958" s="2">
        <f t="shared" si="372"/>
        <v>2.2103285143358411</v>
      </c>
      <c r="U5958" s="2">
        <f t="shared" si="373"/>
        <v>73.201803299474278</v>
      </c>
    </row>
    <row r="5959" spans="1:21" x14ac:dyDescent="0.25">
      <c r="A5959">
        <v>6447685</v>
      </c>
      <c r="B5959">
        <v>56</v>
      </c>
      <c r="C5959" s="1">
        <f>2.28559042075564*(10.3/7.3)</f>
        <v>3.2248741553127491</v>
      </c>
      <c r="D5959" s="1">
        <f>3.26881115095788*(10.3/7.3)</f>
        <v>4.612158199296732</v>
      </c>
      <c r="E5959" s="1">
        <f>11.4551424782952*(10.3/7.3)</f>
        <v>16.162735277594596</v>
      </c>
      <c r="F5959" s="1">
        <f>24.8040432612966*(38.9/42.5)</f>
        <v>22.702994890927911</v>
      </c>
      <c r="G5959" s="1">
        <v>1.0256994007650826</v>
      </c>
      <c r="H5959" s="1">
        <v>3.4330398805371347</v>
      </c>
      <c r="I5959" s="1">
        <v>18.012558966787527</v>
      </c>
      <c r="J5959" s="1">
        <v>2.0618636314272031E-2</v>
      </c>
      <c r="K5959" s="1">
        <v>1.5699399161415954</v>
      </c>
      <c r="L5959" s="1">
        <v>1.3561559583710232</v>
      </c>
      <c r="M5959" s="1">
        <v>8.3758095395065055E-2</v>
      </c>
      <c r="N5959" s="1">
        <v>0.84387643738021634</v>
      </c>
      <c r="O5959" s="1">
        <v>8.0184761904761898E-2</v>
      </c>
      <c r="P5959" s="1">
        <v>6.1936205586891876E-2</v>
      </c>
      <c r="Q5959" s="1">
        <v>1.6392456176610926</v>
      </c>
      <c r="R5959" s="2">
        <f t="shared" si="371"/>
        <v>70.813306388882822</v>
      </c>
      <c r="S5959" s="2">
        <f t="shared" si="370"/>
        <v>1.6524947580427594</v>
      </c>
      <c r="T5959" s="2">
        <f t="shared" si="372"/>
        <v>2.3639752530510667</v>
      </c>
      <c r="U5959" s="2">
        <f t="shared" si="373"/>
        <v>74.829776399976652</v>
      </c>
    </row>
    <row r="5960" spans="1:21" x14ac:dyDescent="0.25">
      <c r="A5960">
        <v>6459041</v>
      </c>
      <c r="B5960">
        <v>60</v>
      </c>
      <c r="C5960" s="1">
        <f>0.558531238820499*(10.3/7.3)</f>
        <v>0.78806462463714211</v>
      </c>
      <c r="D5960" s="1">
        <f>1.08771218734627*(10.3/7.3)</f>
        <v>1.534717195844737</v>
      </c>
      <c r="E5960" s="1">
        <f>3.69682791283851*(10.3/7.3)</f>
        <v>5.2160722605803631</v>
      </c>
      <c r="F5960" s="1">
        <f>11.7914330137439*(38.9/42.5)</f>
        <v>10.792629276109144</v>
      </c>
      <c r="G5960" s="1">
        <v>0.66404481361508128</v>
      </c>
      <c r="H5960" s="1">
        <v>2.3394410453753074</v>
      </c>
      <c r="I5960" s="1">
        <v>8.7423776484312032</v>
      </c>
      <c r="J5960" s="1">
        <v>2.720162344614933E-2</v>
      </c>
      <c r="K5960" s="1">
        <v>2.9932516651326839</v>
      </c>
      <c r="L5960" s="1">
        <v>1.665555743618774</v>
      </c>
      <c r="M5960" s="1">
        <v>0.37440839970074713</v>
      </c>
      <c r="N5960" s="1">
        <v>0.94471158527004628</v>
      </c>
      <c r="O5960" s="1">
        <v>0.2861137777777778</v>
      </c>
      <c r="P5960" s="1">
        <v>0.11415870698154458</v>
      </c>
      <c r="Q5960" s="1">
        <v>1.0612588345446512</v>
      </c>
      <c r="R5960" s="2">
        <f t="shared" si="371"/>
        <v>31.138605699137628</v>
      </c>
      <c r="S5960" s="2">
        <f t="shared" si="370"/>
        <v>3.1346119955603777</v>
      </c>
      <c r="T5960" s="2">
        <f t="shared" si="372"/>
        <v>3.2707895063673451</v>
      </c>
      <c r="U5960" s="2">
        <f t="shared" si="373"/>
        <v>37.544007201065348</v>
      </c>
    </row>
    <row r="5961" spans="1:21" x14ac:dyDescent="0.25">
      <c r="A5961">
        <v>6459049</v>
      </c>
      <c r="B5961">
        <v>52</v>
      </c>
      <c r="C5961" s="1">
        <f>0.697983412978646*(10.3/7.3)</f>
        <v>0.98482591146302079</v>
      </c>
      <c r="D5961" s="1">
        <f>1.46351293114708*(10.3/7.3)</f>
        <v>2.0649566014814993</v>
      </c>
      <c r="E5961" s="1">
        <f>4.94599701515276*(10.3/7.3)</f>
        <v>6.9785985282292327</v>
      </c>
      <c r="F5961" s="1">
        <f>16.6874759763657*(38.9/42.5)</f>
        <v>15.273948599544173</v>
      </c>
      <c r="G5961" s="1">
        <v>0.96907759067618682</v>
      </c>
      <c r="H5961" s="1">
        <v>3.1577863146369651</v>
      </c>
      <c r="I5961" s="1">
        <v>12.387126175245013</v>
      </c>
      <c r="J5961" s="1">
        <v>3.4840293249941992E-2</v>
      </c>
      <c r="K5961" s="1">
        <v>3.432233184147603</v>
      </c>
      <c r="L5961" s="1">
        <v>2.0252598840314948</v>
      </c>
      <c r="M5961" s="1">
        <v>0.45331003215632354</v>
      </c>
      <c r="N5961" s="1">
        <v>1.1385428518790293</v>
      </c>
      <c r="O5961" s="1">
        <v>0.34760205128205129</v>
      </c>
      <c r="P5961" s="1">
        <v>0.12323901982412686</v>
      </c>
      <c r="Q5961" s="1">
        <v>1.5487541403500724</v>
      </c>
      <c r="R5961" s="2">
        <f t="shared" si="371"/>
        <v>43.365073861626158</v>
      </c>
      <c r="S5961" s="2">
        <f t="shared" ref="S5961:S6024" si="374">J5961+K5961+P5961</f>
        <v>3.5903124972216718</v>
      </c>
      <c r="T5961" s="2">
        <f t="shared" si="372"/>
        <v>3.9647148193488988</v>
      </c>
      <c r="U5961" s="2">
        <f t="shared" si="373"/>
        <v>50.920101178196731</v>
      </c>
    </row>
    <row r="5962" spans="1:21" x14ac:dyDescent="0.25">
      <c r="A5962">
        <v>6459057</v>
      </c>
      <c r="B5962">
        <v>39</v>
      </c>
      <c r="C5962" s="1">
        <f>0.934351728224219*(10.3/7.3)</f>
        <v>1.3183318905081445</v>
      </c>
      <c r="D5962" s="1">
        <f>2.15775558792127*(10.3/7.3)</f>
        <v>3.0445044596697426</v>
      </c>
      <c r="E5962" s="1">
        <f>7.24526205095519*(10.3/7.3)</f>
        <v>10.222767003402526</v>
      </c>
      <c r="F5962" s="1">
        <f>25.9261313951202*(38.9/42.5)</f>
        <v>23.730035559298294</v>
      </c>
      <c r="G5962" s="1">
        <v>1.5512097322436389</v>
      </c>
      <c r="H5962" s="1">
        <v>5.6341346618078623</v>
      </c>
      <c r="I5962" s="1">
        <v>19.248531678216093</v>
      </c>
      <c r="J5962" s="1">
        <v>5.2959534893938821E-2</v>
      </c>
      <c r="K5962" s="1">
        <v>4.1658977537371511</v>
      </c>
      <c r="L5962" s="1">
        <v>2.6870758448451313</v>
      </c>
      <c r="M5962" s="1">
        <v>0.59641998900711901</v>
      </c>
      <c r="N5962" s="1">
        <v>1.5562821312789665</v>
      </c>
      <c r="O5962" s="1">
        <v>0.45723076923076933</v>
      </c>
      <c r="P5962" s="1">
        <v>0.14090123748927239</v>
      </c>
      <c r="Q5962" s="1">
        <v>2.4791023118049043</v>
      </c>
      <c r="R5962" s="2">
        <f t="shared" ref="R5962:R6025" si="375">C5962+D5962+E5962+F5962+G5962+H5962+I5962+Q5962</f>
        <v>67.228617296951214</v>
      </c>
      <c r="S5962" s="2">
        <f t="shared" si="374"/>
        <v>4.3597585261203617</v>
      </c>
      <c r="T5962" s="2">
        <f t="shared" ref="T5962:T6025" si="376">L5962+M5962+N5962+O5962</f>
        <v>5.2970087343619863</v>
      </c>
      <c r="U5962" s="2">
        <f t="shared" ref="U5962:U6025" si="377">R5962+S5962+T5962</f>
        <v>76.885384557433554</v>
      </c>
    </row>
    <row r="5963" spans="1:21" x14ac:dyDescent="0.25">
      <c r="A5963">
        <v>6459521</v>
      </c>
      <c r="B5963">
        <v>5</v>
      </c>
      <c r="C5963" s="1">
        <f>1.42946929447232*(10.3/7.3)</f>
        <v>2.0169224291869661</v>
      </c>
      <c r="D5963" s="1">
        <f>2.93090452481281*(10.3/7.3)</f>
        <v>4.1353858363797151</v>
      </c>
      <c r="E5963" s="1">
        <f>9.99898238389165*(10.3/7.3)</f>
        <v>14.108153226586854</v>
      </c>
      <c r="F5963" s="1">
        <f>29.1871194991863*(38.9/42.5)</f>
        <v>26.714798788666961</v>
      </c>
      <c r="G5963" s="1">
        <v>1.5740167850960431</v>
      </c>
      <c r="H5963" s="1">
        <v>7.9052729998294922</v>
      </c>
      <c r="I5963" s="1">
        <v>21.056963810421816</v>
      </c>
      <c r="J5963" s="1">
        <v>2.5228392258917542E-2</v>
      </c>
      <c r="K5963" s="1">
        <v>1.9260919460816315</v>
      </c>
      <c r="L5963" s="1">
        <v>2.0058167215239413</v>
      </c>
      <c r="M5963" s="1">
        <v>0.18126688848894887</v>
      </c>
      <c r="N5963" s="1">
        <v>1.1547629353226341</v>
      </c>
      <c r="O5963" s="1">
        <v>0.13753600000000002</v>
      </c>
      <c r="P5963" s="1">
        <v>8.7686096143677422E-2</v>
      </c>
      <c r="Q5963" s="1">
        <v>2.5155519396512132</v>
      </c>
      <c r="R5963" s="2">
        <f t="shared" si="375"/>
        <v>80.027065815819057</v>
      </c>
      <c r="S5963" s="2">
        <f t="shared" si="374"/>
        <v>2.0390064344842265</v>
      </c>
      <c r="T5963" s="2">
        <f t="shared" si="376"/>
        <v>3.4793825453355245</v>
      </c>
      <c r="U5963" s="2">
        <f t="shared" si="377"/>
        <v>85.545454795638804</v>
      </c>
    </row>
    <row r="5964" spans="1:21" x14ac:dyDescent="0.25">
      <c r="A5964">
        <v>6459529</v>
      </c>
      <c r="B5964">
        <v>61</v>
      </c>
      <c r="C5964" s="1">
        <f>1.47518144101572*(10.3/7.3)</f>
        <v>2.0814203893783434</v>
      </c>
      <c r="D5964" s="1">
        <f>2.95023178762108*(10.3/7.3)</f>
        <v>4.1626558099311159</v>
      </c>
      <c r="E5964" s="1">
        <f>10.0832496087414*(10.3/7.3)</f>
        <v>14.227050817813206</v>
      </c>
      <c r="F5964" s="1">
        <f>28.8561980513962*(38.9/42.5)</f>
        <v>26.411908334101447</v>
      </c>
      <c r="G5964" s="1">
        <v>1.5360590010353727</v>
      </c>
      <c r="H5964" s="1">
        <v>7.4685147256419713</v>
      </c>
      <c r="I5964" s="1">
        <v>20.803262454440958</v>
      </c>
      <c r="J5964" s="1">
        <v>2.5406078155268984E-2</v>
      </c>
      <c r="K5964" s="1">
        <v>1.9158375488981927</v>
      </c>
      <c r="L5964" s="1">
        <v>2.0012169144791008</v>
      </c>
      <c r="M5964" s="1">
        <v>0.1787944785272392</v>
      </c>
      <c r="N5964" s="1">
        <v>1.1464254088299561</v>
      </c>
      <c r="O5964" s="1">
        <v>0.13531540983606555</v>
      </c>
      <c r="P5964" s="1">
        <v>8.7373084256347169E-2</v>
      </c>
      <c r="Q5964" s="1">
        <v>2.4548888144400958</v>
      </c>
      <c r="R5964" s="2">
        <f t="shared" si="375"/>
        <v>79.145760346782509</v>
      </c>
      <c r="S5964" s="2">
        <f t="shared" si="374"/>
        <v>2.0286167113098088</v>
      </c>
      <c r="T5964" s="2">
        <f t="shared" si="376"/>
        <v>3.4617522116723616</v>
      </c>
      <c r="U5964" s="2">
        <f t="shared" si="377"/>
        <v>84.63612926976468</v>
      </c>
    </row>
    <row r="5965" spans="1:21" x14ac:dyDescent="0.25">
      <c r="A5965">
        <v>6459537</v>
      </c>
      <c r="B5965">
        <v>43</v>
      </c>
      <c r="C5965" s="1">
        <f>1.61014557314019*(10.3/7.3)</f>
        <v>2.2718492333347884</v>
      </c>
      <c r="D5965" s="1">
        <f>3.19763858330371*(10.3/7.3)</f>
        <v>4.5117366312367446</v>
      </c>
      <c r="E5965" s="1">
        <f>10.9369094111634*(10.3/7.3)</f>
        <v>15.431529717120981</v>
      </c>
      <c r="F5965" s="1">
        <f>30.9978229638771*(38.9/42.5)</f>
        <v>28.372125018701631</v>
      </c>
      <c r="G5965" s="1">
        <v>1.6399158407457421</v>
      </c>
      <c r="H5965" s="1">
        <v>5.2010369070740552</v>
      </c>
      <c r="I5965" s="1">
        <v>22.321441663767953</v>
      </c>
      <c r="J5965" s="1">
        <v>2.4809124256041506E-2</v>
      </c>
      <c r="K5965" s="1">
        <v>1.8673978361577936</v>
      </c>
      <c r="L5965" s="1">
        <v>1.9572965642769624</v>
      </c>
      <c r="M5965" s="1">
        <v>0.17353469274166419</v>
      </c>
      <c r="N5965" s="1">
        <v>1.0979781818298013</v>
      </c>
      <c r="O5965" s="1">
        <v>0.13298604651162788</v>
      </c>
      <c r="P5965" s="1">
        <v>8.558785853789827E-2</v>
      </c>
      <c r="Q5965" s="1">
        <v>2.6208700651187686</v>
      </c>
      <c r="R5965" s="2">
        <f t="shared" si="375"/>
        <v>82.37050507710066</v>
      </c>
      <c r="S5965" s="2">
        <f t="shared" si="374"/>
        <v>1.9777948189517334</v>
      </c>
      <c r="T5965" s="2">
        <f t="shared" si="376"/>
        <v>3.3617954853600556</v>
      </c>
      <c r="U5965" s="2">
        <f t="shared" si="377"/>
        <v>87.710095381412458</v>
      </c>
    </row>
    <row r="5966" spans="1:21" x14ac:dyDescent="0.25">
      <c r="A5966">
        <v>6459545</v>
      </c>
      <c r="B5966">
        <v>3</v>
      </c>
      <c r="C5966" s="1">
        <f>1.55161211521296*(10.3/7.3)</f>
        <v>2.1892609296840413</v>
      </c>
      <c r="D5966" s="1">
        <f>3.03504213829185*(10.3/7.3)</f>
        <v>4.2823197293706929</v>
      </c>
      <c r="E5966" s="1">
        <f>10.3961041251516*(10.3/7.3)</f>
        <v>14.668475683433028</v>
      </c>
      <c r="F5966" s="1">
        <f>28.9136788704337*(38.9/42.5)</f>
        <v>26.464520189644006</v>
      </c>
      <c r="G5966" s="1">
        <v>1.5107127698808647</v>
      </c>
      <c r="H5966" s="1">
        <v>4.8270065865364922</v>
      </c>
      <c r="I5966" s="1">
        <v>20.779325106737517</v>
      </c>
      <c r="J5966" s="1">
        <v>2.3467745579922396E-2</v>
      </c>
      <c r="K5966" s="1">
        <v>1.7730467008465569</v>
      </c>
      <c r="L5966" s="1">
        <v>1.8447031460095971</v>
      </c>
      <c r="M5966" s="1">
        <v>0.16380553371561435</v>
      </c>
      <c r="N5966" s="1">
        <v>1.0341354571154022</v>
      </c>
      <c r="O5966" s="1">
        <v>0.12597333333333335</v>
      </c>
      <c r="P5966" s="1">
        <v>8.1892035448044215E-2</v>
      </c>
      <c r="Q5966" s="1">
        <v>2.4143811390790102</v>
      </c>
      <c r="R5966" s="2">
        <f t="shared" si="375"/>
        <v>77.13600213436564</v>
      </c>
      <c r="S5966" s="2">
        <f t="shared" si="374"/>
        <v>1.8784064818745234</v>
      </c>
      <c r="T5966" s="2">
        <f t="shared" si="376"/>
        <v>3.1686174701739471</v>
      </c>
      <c r="U5966" s="2">
        <f t="shared" si="377"/>
        <v>82.183026086414102</v>
      </c>
    </row>
    <row r="5967" spans="1:21" x14ac:dyDescent="0.25">
      <c r="A5967">
        <v>6459561</v>
      </c>
      <c r="B5967">
        <v>54</v>
      </c>
      <c r="C5967" s="1">
        <f>1.66429919343009*(10.3/7.3)</f>
        <v>2.3482577660725861</v>
      </c>
      <c r="D5967" s="1">
        <f>3.22224425208923*(10.3/7.3)</f>
        <v>4.5464542187012364</v>
      </c>
      <c r="E5967" s="1">
        <f>11.0367098418895*(10.3/7.3)</f>
        <v>15.572344023487968</v>
      </c>
      <c r="F5967" s="1">
        <f>30.8984491041096*(38.9/42.5)</f>
        <v>28.281168709408526</v>
      </c>
      <c r="G5967" s="1">
        <v>1.6196370044727062</v>
      </c>
      <c r="H5967" s="1">
        <v>5.0018034692933613</v>
      </c>
      <c r="I5967" s="1">
        <v>22.280119105091647</v>
      </c>
      <c r="J5967" s="1">
        <v>2.5569231529608469E-2</v>
      </c>
      <c r="K5967" s="1">
        <v>1.828154653253897</v>
      </c>
      <c r="L5967" s="1">
        <v>1.9122656498541983</v>
      </c>
      <c r="M5967" s="1">
        <v>0.16343277526155828</v>
      </c>
      <c r="N5967" s="1">
        <v>1.2707407637825396</v>
      </c>
      <c r="O5967" s="1">
        <v>0.12793975308641978</v>
      </c>
      <c r="P5967" s="1">
        <v>8.391430261095198E-2</v>
      </c>
      <c r="Q5967" s="1">
        <v>2.5884609660522737</v>
      </c>
      <c r="R5967" s="2">
        <f t="shared" si="375"/>
        <v>82.238245262580307</v>
      </c>
      <c r="S5967" s="2">
        <f t="shared" si="374"/>
        <v>1.9376381873944575</v>
      </c>
      <c r="T5967" s="2">
        <f t="shared" si="376"/>
        <v>3.4743789419847162</v>
      </c>
      <c r="U5967" s="2">
        <f t="shared" si="377"/>
        <v>87.650262391959473</v>
      </c>
    </row>
    <row r="5968" spans="1:21" x14ac:dyDescent="0.25">
      <c r="A5968">
        <v>6459569</v>
      </c>
      <c r="B5968">
        <v>2</v>
      </c>
      <c r="C5968" s="1">
        <f>1.67182985888759*(10.3/7.3)</f>
        <v>2.3588832255537171</v>
      </c>
      <c r="D5968" s="1">
        <f>3.27921276771745*(10.3/7.3)</f>
        <v>4.6268344530807841</v>
      </c>
      <c r="E5968" s="1">
        <f>11.2059405870003*(10.3/7.3)</f>
        <v>15.811121650151067</v>
      </c>
      <c r="F5968" s="1">
        <f>32.4796259552481*(38.9/42.5)</f>
        <v>29.728410580215343</v>
      </c>
      <c r="G5968" s="1">
        <v>1.7392509943017624</v>
      </c>
      <c r="H5968" s="1">
        <v>6.0194821176571978</v>
      </c>
      <c r="I5968" s="1">
        <v>23.559929620196051</v>
      </c>
      <c r="J5968" s="1">
        <v>2.7703877330878736E-2</v>
      </c>
      <c r="K5968" s="1">
        <v>1.9076009877365432</v>
      </c>
      <c r="L5968" s="1">
        <v>1.9965099390254708</v>
      </c>
      <c r="M5968" s="1">
        <v>0.16620583661348654</v>
      </c>
      <c r="N5968" s="1">
        <v>1.2479678552816047</v>
      </c>
      <c r="O5968" s="1">
        <v>0.13165333333333334</v>
      </c>
      <c r="P5968" s="1">
        <v>8.7144852470427886E-2</v>
      </c>
      <c r="Q5968" s="1">
        <v>2.7796248767379792</v>
      </c>
      <c r="R5968" s="2">
        <f t="shared" si="375"/>
        <v>86.623537517893908</v>
      </c>
      <c r="S5968" s="2">
        <f t="shared" si="374"/>
        <v>2.0224497175378495</v>
      </c>
      <c r="T5968" s="2">
        <f t="shared" si="376"/>
        <v>3.5423369642538955</v>
      </c>
      <c r="U5968" s="2">
        <f t="shared" si="377"/>
        <v>92.188324199685653</v>
      </c>
    </row>
    <row r="5969" spans="1:21" x14ac:dyDescent="0.25">
      <c r="A5969">
        <v>6459585</v>
      </c>
      <c r="B5969">
        <v>21</v>
      </c>
      <c r="C5969" s="1">
        <f>1.99098487690206*(10.3/7.3)</f>
        <v>2.8091978400124957</v>
      </c>
      <c r="D5969" s="1">
        <f>3.86171724588155*(10.3/7.3)</f>
        <v>5.4487243332301327</v>
      </c>
      <c r="E5969" s="1">
        <f>13.183408953138*(10.3/7.3)</f>
        <v>18.601248248948174</v>
      </c>
      <c r="F5969" s="1">
        <f>39.1075323099064*(38.9/42.5)</f>
        <v>35.794894278949577</v>
      </c>
      <c r="G5969" s="1">
        <v>2.1199436636869873</v>
      </c>
      <c r="H5969" s="1">
        <v>8.0883591826491799</v>
      </c>
      <c r="I5969" s="1">
        <v>28.568560107142041</v>
      </c>
      <c r="J5969" s="1">
        <v>2.7832183730204151E-2</v>
      </c>
      <c r="K5969" s="1">
        <v>1.9122934706801058</v>
      </c>
      <c r="L5969" s="1">
        <v>2.0256667220888125</v>
      </c>
      <c r="M5969" s="1">
        <v>0.15970089816262073</v>
      </c>
      <c r="N5969" s="1">
        <v>1.2819107217998338</v>
      </c>
      <c r="O5969" s="1">
        <v>0.12944253968253966</v>
      </c>
      <c r="P5969" s="1">
        <v>8.6306677352329442E-2</v>
      </c>
      <c r="Q5969" s="1">
        <v>3.3880378186778377</v>
      </c>
      <c r="R5969" s="2">
        <f t="shared" si="375"/>
        <v>104.81896547329643</v>
      </c>
      <c r="S5969" s="2">
        <f t="shared" si="374"/>
        <v>2.0264323317626394</v>
      </c>
      <c r="T5969" s="2">
        <f t="shared" si="376"/>
        <v>3.5967208817338063</v>
      </c>
      <c r="U5969" s="2">
        <f t="shared" si="377"/>
        <v>110.44211868679287</v>
      </c>
    </row>
    <row r="5970" spans="1:21" x14ac:dyDescent="0.25">
      <c r="A5970">
        <v>6459897</v>
      </c>
      <c r="B5970">
        <v>6</v>
      </c>
      <c r="C5970" s="1">
        <f>2.40322638003999*(10.3/7.3)</f>
        <v>3.3908536595084859</v>
      </c>
      <c r="D5970" s="1">
        <f>3.52498834416772*(10.3/7.3)</f>
        <v>4.9736136910859656</v>
      </c>
      <c r="E5970" s="1">
        <f>12.3388740871423*(10.3/7.3)</f>
        <v>17.409644259940475</v>
      </c>
      <c r="F5970" s="1">
        <f>26.8082659238339*(38.9/42.5)</f>
        <v>24.537448104403268</v>
      </c>
      <c r="G5970" s="1">
        <v>1.1169403362542472</v>
      </c>
      <c r="H5970" s="1">
        <v>4.1893400936038701</v>
      </c>
      <c r="I5970" s="1">
        <v>19.343360634085808</v>
      </c>
      <c r="J5970" s="1">
        <v>2.2450791079442395E-2</v>
      </c>
      <c r="K5970" s="1">
        <v>1.6213359469408433</v>
      </c>
      <c r="L5970" s="1">
        <v>1.4001375499165782</v>
      </c>
      <c r="M5970" s="1">
        <v>8.7418938964712326E-2</v>
      </c>
      <c r="N5970" s="1">
        <v>0.90739883622043271</v>
      </c>
      <c r="O5970" s="1">
        <v>8.3493333333333322E-2</v>
      </c>
      <c r="P5970" s="1">
        <v>6.3749301063266331E-2</v>
      </c>
      <c r="Q5970" s="1">
        <v>1.785064464333274</v>
      </c>
      <c r="R5970" s="2">
        <f t="shared" si="375"/>
        <v>76.74626524321539</v>
      </c>
      <c r="S5970" s="2">
        <f t="shared" si="374"/>
        <v>1.7075360390835521</v>
      </c>
      <c r="T5970" s="2">
        <f t="shared" si="376"/>
        <v>2.4784486584350565</v>
      </c>
      <c r="U5970" s="2">
        <f t="shared" si="377"/>
        <v>80.932249940733996</v>
      </c>
    </row>
    <row r="5971" spans="1:21" x14ac:dyDescent="0.25">
      <c r="A5971">
        <v>6459905</v>
      </c>
      <c r="B5971">
        <v>56</v>
      </c>
      <c r="C5971" s="1">
        <f>2.46217593822548*(10.3/7.3)</f>
        <v>3.4740290635236204</v>
      </c>
      <c r="D5971" s="1">
        <f>3.6184401245436*(10.3/7.3)</f>
        <v>5.1054703127122041</v>
      </c>
      <c r="E5971" s="1">
        <f>12.6713958454394*(10.3/7.3)</f>
        <v>17.878818795620024</v>
      </c>
      <c r="F5971" s="1">
        <f>27.2091594931852*(38.9/42.5)</f>
        <v>24.904383630232996</v>
      </c>
      <c r="G5971" s="1">
        <v>1.1203584465188923</v>
      </c>
      <c r="H5971" s="1">
        <v>3.7674728823585832</v>
      </c>
      <c r="I5971" s="1">
        <v>19.566053668132177</v>
      </c>
      <c r="J5971" s="1">
        <v>2.3062267049455826E-2</v>
      </c>
      <c r="K5971" s="1">
        <v>1.7100678272904744</v>
      </c>
      <c r="L5971" s="1">
        <v>1.4700335037304684</v>
      </c>
      <c r="M5971" s="1">
        <v>8.9669852973961128E-2</v>
      </c>
      <c r="N5971" s="1">
        <v>0.92985647765865864</v>
      </c>
      <c r="O5971" s="1">
        <v>8.6705714285714289E-2</v>
      </c>
      <c r="P5971" s="1">
        <v>6.5587475820429383E-2</v>
      </c>
      <c r="Q5971" s="1">
        <v>1.7905271976329351</v>
      </c>
      <c r="R5971" s="2">
        <f t="shared" si="375"/>
        <v>77.607113996731442</v>
      </c>
      <c r="S5971" s="2">
        <f t="shared" si="374"/>
        <v>1.7987175701603595</v>
      </c>
      <c r="T5971" s="2">
        <f t="shared" si="376"/>
        <v>2.5762655486488022</v>
      </c>
      <c r="U5971" s="2">
        <f t="shared" si="377"/>
        <v>81.982097115540611</v>
      </c>
    </row>
    <row r="5972" spans="1:21" x14ac:dyDescent="0.25">
      <c r="A5972">
        <v>6459913</v>
      </c>
      <c r="B5972">
        <v>58</v>
      </c>
      <c r="C5972" s="1">
        <f>2.24845338857862*(10.3/7.3)</f>
        <v>3.1724753290903882</v>
      </c>
      <c r="D5972" s="1">
        <f>3.25195885355796*(10.3/7.3)</f>
        <v>4.5883803002256087</v>
      </c>
      <c r="E5972" s="1">
        <f>11.3924336491654*(10.3/7.3)</f>
        <v>16.074255696767562</v>
      </c>
      <c r="F5972" s="1">
        <f>24.5980498114916*(38.9/42.5)</f>
        <v>22.514450298047628</v>
      </c>
      <c r="G5972" s="1">
        <v>1.0160349939419411</v>
      </c>
      <c r="H5972" s="1">
        <v>3.4505747645222118</v>
      </c>
      <c r="I5972" s="1">
        <v>17.793400652390623</v>
      </c>
      <c r="J5972" s="1">
        <v>1.959555390294725E-2</v>
      </c>
      <c r="K5972" s="1">
        <v>1.4890852339324012</v>
      </c>
      <c r="L5972" s="1">
        <v>1.2622193800564934</v>
      </c>
      <c r="M5972" s="1">
        <v>7.9794650524948968E-2</v>
      </c>
      <c r="N5972" s="1">
        <v>0.78866507903542993</v>
      </c>
      <c r="O5972" s="1">
        <v>7.566068965517242E-2</v>
      </c>
      <c r="P5972" s="1">
        <v>5.9139819670039243E-2</v>
      </c>
      <c r="Q5972" s="1">
        <v>1.6238002186286757</v>
      </c>
      <c r="R5972" s="2">
        <f t="shared" si="375"/>
        <v>70.233372253614633</v>
      </c>
      <c r="S5972" s="2">
        <f t="shared" si="374"/>
        <v>1.5678206075053878</v>
      </c>
      <c r="T5972" s="2">
        <f t="shared" si="376"/>
        <v>2.2063397992720448</v>
      </c>
      <c r="U5972" s="2">
        <f t="shared" si="377"/>
        <v>74.007532660392059</v>
      </c>
    </row>
    <row r="5973" spans="1:21" x14ac:dyDescent="0.25">
      <c r="A5973">
        <v>6471269</v>
      </c>
      <c r="B5973">
        <v>19</v>
      </c>
      <c r="C5973" s="1">
        <f>0.387068362902927*(10.3/7.3)</f>
        <v>0.54613755313700707</v>
      </c>
      <c r="D5973" s="1">
        <f>0.701778587740907*(10.3/7.3)</f>
        <v>0.99018074708648496</v>
      </c>
      <c r="E5973" s="1">
        <f>2.39737730563136*(10.3/7.3)</f>
        <v>3.3826008558908232</v>
      </c>
      <c r="F5973" s="1">
        <f>7.28370870882808*(38.9/42.5)</f>
        <v>6.6667357358449948</v>
      </c>
      <c r="G5973" s="1">
        <v>0.39812070228992585</v>
      </c>
      <c r="H5973" s="1">
        <v>1.4959070736058755</v>
      </c>
      <c r="I5973" s="1">
        <v>5.406832690699332</v>
      </c>
      <c r="J5973" s="1">
        <v>2.2190615691170847E-2</v>
      </c>
      <c r="K5973" s="1">
        <v>2.5120116941665303</v>
      </c>
      <c r="L5973" s="1">
        <v>1.3742246835579821</v>
      </c>
      <c r="M5973" s="1">
        <v>0.31664775086061098</v>
      </c>
      <c r="N5973" s="1">
        <v>0.79880964975314961</v>
      </c>
      <c r="O5973" s="1">
        <v>0.22263017543859645</v>
      </c>
      <c r="P5973" s="1">
        <v>9.9957245181539353E-2</v>
      </c>
      <c r="Q5973" s="1">
        <v>0.63626596256380918</v>
      </c>
      <c r="R5973" s="2">
        <f t="shared" si="375"/>
        <v>19.522781321118252</v>
      </c>
      <c r="S5973" s="2">
        <f t="shared" si="374"/>
        <v>2.6341595550392403</v>
      </c>
      <c r="T5973" s="2">
        <f t="shared" si="376"/>
        <v>2.7123122596103393</v>
      </c>
      <c r="U5973" s="2">
        <f t="shared" si="377"/>
        <v>24.869253135767831</v>
      </c>
    </row>
    <row r="5974" spans="1:21" x14ac:dyDescent="0.25">
      <c r="A5974">
        <v>6471277</v>
      </c>
      <c r="B5974">
        <v>56</v>
      </c>
      <c r="C5974" s="1">
        <f>0.492160650792577*(10.3/7.3)</f>
        <v>0.6944184524881567</v>
      </c>
      <c r="D5974" s="1">
        <f>0.951105504521271*(10.3/7.3)</f>
        <v>1.3419707803519301</v>
      </c>
      <c r="E5974" s="1">
        <f>3.23273404576276*(10.3/7.3)</f>
        <v>4.5612548864871894</v>
      </c>
      <c r="F5974" s="1">
        <f>10.3391380021617*(38.9/42.5)</f>
        <v>9.4633521949197501</v>
      </c>
      <c r="G5974" s="1">
        <v>0.58275714442456905</v>
      </c>
      <c r="H5974" s="1">
        <v>2.1101778271831764</v>
      </c>
      <c r="I5974" s="1">
        <v>7.678538043640593</v>
      </c>
      <c r="J5974" s="1">
        <v>2.46487706256815E-2</v>
      </c>
      <c r="K5974" s="1">
        <v>2.7393975669512858</v>
      </c>
      <c r="L5974" s="1">
        <v>1.4704726378093409</v>
      </c>
      <c r="M5974" s="1">
        <v>0.33479060530034366</v>
      </c>
      <c r="N5974" s="1">
        <v>0.87187522921450189</v>
      </c>
      <c r="O5974" s="1">
        <v>0.24732190476190477</v>
      </c>
      <c r="P5974" s="1">
        <v>0.10555004585455716</v>
      </c>
      <c r="Q5974" s="1">
        <v>0.93134703446849032</v>
      </c>
      <c r="R5974" s="2">
        <f t="shared" si="375"/>
        <v>27.363816363963856</v>
      </c>
      <c r="S5974" s="2">
        <f t="shared" si="374"/>
        <v>2.8695963834315243</v>
      </c>
      <c r="T5974" s="2">
        <f t="shared" si="376"/>
        <v>2.9244603770860911</v>
      </c>
      <c r="U5974" s="2">
        <f t="shared" si="377"/>
        <v>33.157873124481469</v>
      </c>
    </row>
    <row r="5975" spans="1:21" x14ac:dyDescent="0.25">
      <c r="A5975">
        <v>6471285</v>
      </c>
      <c r="B5975">
        <v>21</v>
      </c>
      <c r="C5975" s="1">
        <f>0.915141808005728*(10.3/7.3)</f>
        <v>1.2912274825286296</v>
      </c>
      <c r="D5975" s="1">
        <f>2.04216502497649*(10.3/7.3)</f>
        <v>2.8814109256517639</v>
      </c>
      <c r="E5975" s="1">
        <f>6.87214027306477*(10.3/7.3)</f>
        <v>9.6963075085708397</v>
      </c>
      <c r="F5975" s="1">
        <f>24.1203014143619*(38.9/42.5)</f>
        <v>22.077170000439477</v>
      </c>
      <c r="G5975" s="1">
        <v>1.4294240788337715</v>
      </c>
      <c r="H5975" s="1">
        <v>4.3624929792427922</v>
      </c>
      <c r="I5975" s="1">
        <v>17.908908776369245</v>
      </c>
      <c r="J5975" s="1">
        <v>4.6739899672369203E-2</v>
      </c>
      <c r="K5975" s="1">
        <v>4.0490793380067442</v>
      </c>
      <c r="L5975" s="1">
        <v>2.6110922470573916</v>
      </c>
      <c r="M5975" s="1">
        <v>0.5741068655457523</v>
      </c>
      <c r="N5975" s="1">
        <v>1.4294484777317811</v>
      </c>
      <c r="O5975" s="1">
        <v>0.44680380952380955</v>
      </c>
      <c r="P5975" s="1">
        <v>0.14149050943181804</v>
      </c>
      <c r="Q5975" s="1">
        <v>2.2844677058987237</v>
      </c>
      <c r="R5975" s="2">
        <f t="shared" si="375"/>
        <v>61.931409457535239</v>
      </c>
      <c r="S5975" s="2">
        <f t="shared" si="374"/>
        <v>4.2373097471109311</v>
      </c>
      <c r="T5975" s="2">
        <f t="shared" si="376"/>
        <v>5.0614513998587354</v>
      </c>
      <c r="U5975" s="2">
        <f t="shared" si="377"/>
        <v>71.230170604504906</v>
      </c>
    </row>
    <row r="5976" spans="1:21" x14ac:dyDescent="0.25">
      <c r="A5976">
        <v>6471749</v>
      </c>
      <c r="B5976">
        <v>1</v>
      </c>
      <c r="C5976" s="1">
        <f>1.48722160645295*(10.3/7.3)</f>
        <v>2.0984085680089528</v>
      </c>
      <c r="D5976" s="1">
        <f>3.03006804451448*(10.3/7.3)</f>
        <v>4.2753014874656428</v>
      </c>
      <c r="E5976" s="1">
        <f>10.3482028242683*(10.3/7.3)</f>
        <v>14.600888916433384</v>
      </c>
      <c r="F5976" s="1">
        <f>29.7399182880826*(38.9/42.5)</f>
        <v>27.220772268386149</v>
      </c>
      <c r="G5976" s="1">
        <v>1.5890380768420174</v>
      </c>
      <c r="H5976" s="1">
        <v>6.5132677601212654</v>
      </c>
      <c r="I5976" s="1">
        <v>21.397696344833523</v>
      </c>
      <c r="J5976" s="1">
        <v>2.493306527741514E-2</v>
      </c>
      <c r="K5976" s="1">
        <v>1.9189320653149469</v>
      </c>
      <c r="L5976" s="1">
        <v>1.9969015349528179</v>
      </c>
      <c r="M5976" s="1">
        <v>0.18077428797874406</v>
      </c>
      <c r="N5976" s="1">
        <v>1.1226757048111335</v>
      </c>
      <c r="O5976" s="1">
        <v>0.13765333333333332</v>
      </c>
      <c r="P5976" s="1">
        <v>8.7442334318585321E-2</v>
      </c>
      <c r="Q5976" s="1">
        <v>2.5395585702954642</v>
      </c>
      <c r="R5976" s="2">
        <f t="shared" si="375"/>
        <v>80.234931992386407</v>
      </c>
      <c r="S5976" s="2">
        <f t="shared" si="374"/>
        <v>2.0313074649109475</v>
      </c>
      <c r="T5976" s="2">
        <f t="shared" si="376"/>
        <v>3.4380048610760285</v>
      </c>
      <c r="U5976" s="2">
        <f t="shared" si="377"/>
        <v>85.704244318373384</v>
      </c>
    </row>
    <row r="5977" spans="1:21" x14ac:dyDescent="0.25">
      <c r="A5977">
        <v>6471757</v>
      </c>
      <c r="B5977">
        <v>7</v>
      </c>
      <c r="C5977" s="1">
        <f>1.48010925276075*(10.3/7.3)</f>
        <v>2.0883733292377724</v>
      </c>
      <c r="D5977" s="1">
        <f>3.02540730615495*(10.3/7.3)</f>
        <v>4.2687253771775353</v>
      </c>
      <c r="E5977" s="1">
        <f>10.3159790428001*(10.3/7.3)</f>
        <v>14.555422485046783</v>
      </c>
      <c r="F5977" s="1">
        <f>30.4360360473232*(38.9/42.5)</f>
        <v>27.857924758608789</v>
      </c>
      <c r="G5977" s="1">
        <v>1.6508093071851577</v>
      </c>
      <c r="H5977" s="1">
        <v>9.1525496197445566</v>
      </c>
      <c r="I5977" s="1">
        <v>22.023756212811008</v>
      </c>
      <c r="J5977" s="1">
        <v>2.5747760398801067E-2</v>
      </c>
      <c r="K5977" s="1">
        <v>1.9456832883976223</v>
      </c>
      <c r="L5977" s="1">
        <v>2.0350855365127649</v>
      </c>
      <c r="M5977" s="1">
        <v>0.18220516990459729</v>
      </c>
      <c r="N5977" s="1">
        <v>1.1708632574238054</v>
      </c>
      <c r="O5977" s="1">
        <v>0.13817142857142856</v>
      </c>
      <c r="P5977" s="1">
        <v>8.853901332340508E-2</v>
      </c>
      <c r="Q5977" s="1">
        <v>2.6382797146794781</v>
      </c>
      <c r="R5977" s="2">
        <f t="shared" si="375"/>
        <v>84.235840804491076</v>
      </c>
      <c r="S5977" s="2">
        <f t="shared" si="374"/>
        <v>2.0599700621198282</v>
      </c>
      <c r="T5977" s="2">
        <f t="shared" si="376"/>
        <v>3.5263253924125961</v>
      </c>
      <c r="U5977" s="2">
        <f t="shared" si="377"/>
        <v>89.822136259023509</v>
      </c>
    </row>
    <row r="5978" spans="1:21" x14ac:dyDescent="0.25">
      <c r="A5978">
        <v>6471765</v>
      </c>
      <c r="B5978">
        <v>46</v>
      </c>
      <c r="C5978" s="1">
        <f>1.64176748599452*(10.3/7.3)</f>
        <v>2.316466452841583</v>
      </c>
      <c r="D5978" s="1">
        <f>3.35549733630169*(10.3/7.3)</f>
        <v>4.7344688443708804</v>
      </c>
      <c r="E5978" s="1">
        <f>11.4355846408504*(10.3/7.3)</f>
        <v>16.135139972706682</v>
      </c>
      <c r="F5978" s="1">
        <f>34.0459065542328*(38.9/42.5)</f>
        <v>31.162017999050708</v>
      </c>
      <c r="G5978" s="1">
        <v>1.8557593052817976</v>
      </c>
      <c r="H5978" s="1">
        <v>5.7563780552794945</v>
      </c>
      <c r="I5978" s="1">
        <v>24.688003445068695</v>
      </c>
      <c r="J5978" s="1">
        <v>2.5468446899304161E-2</v>
      </c>
      <c r="K5978" s="1">
        <v>1.9184573527553499</v>
      </c>
      <c r="L5978" s="1">
        <v>2.0178388226765893</v>
      </c>
      <c r="M5978" s="1">
        <v>0.17897218206851551</v>
      </c>
      <c r="N5978" s="1">
        <v>1.1325481290581054</v>
      </c>
      <c r="O5978" s="1">
        <v>0.13793739130434782</v>
      </c>
      <c r="P5978" s="1">
        <v>8.7535522234145971E-2</v>
      </c>
      <c r="Q5978" s="1">
        <v>2.9658253737380353</v>
      </c>
      <c r="R5978" s="2">
        <f t="shared" si="375"/>
        <v>89.614059448337869</v>
      </c>
      <c r="S5978" s="2">
        <f t="shared" si="374"/>
        <v>2.0314613218887998</v>
      </c>
      <c r="T5978" s="2">
        <f t="shared" si="376"/>
        <v>3.4672965251075585</v>
      </c>
      <c r="U5978" s="2">
        <f t="shared" si="377"/>
        <v>95.112817295334224</v>
      </c>
    </row>
    <row r="5979" spans="1:21" x14ac:dyDescent="0.25">
      <c r="A5979">
        <v>6471773</v>
      </c>
      <c r="B5979">
        <v>39</v>
      </c>
      <c r="C5979" s="1">
        <f>1.61284692735016*(10.3/7.3)</f>
        <v>2.2756607331105019</v>
      </c>
      <c r="D5979" s="1">
        <f>3.20630772184237*(10.3/7.3)</f>
        <v>4.5239684294488285</v>
      </c>
      <c r="E5979" s="1">
        <f>10.964646992984*(10.3/7.3)</f>
        <v>15.470666305169246</v>
      </c>
      <c r="F5979" s="1">
        <f>31.1578706957253*(38.9/42.5)</f>
        <v>28.518615766205002</v>
      </c>
      <c r="G5979" s="1">
        <v>1.6510490504600153</v>
      </c>
      <c r="H5979" s="1">
        <v>5.0733395601013314</v>
      </c>
      <c r="I5979" s="1">
        <v>22.446900578121781</v>
      </c>
      <c r="J5979" s="1">
        <v>2.521007032269406E-2</v>
      </c>
      <c r="K5979" s="1">
        <v>1.8981252160125479</v>
      </c>
      <c r="L5979" s="1">
        <v>1.985995707139786</v>
      </c>
      <c r="M5979" s="1">
        <v>0.1754016852635138</v>
      </c>
      <c r="N5979" s="1">
        <v>1.1261090758312964</v>
      </c>
      <c r="O5979" s="1">
        <v>0.1343589743589744</v>
      </c>
      <c r="P5979" s="1">
        <v>8.6729681411882587E-2</v>
      </c>
      <c r="Q5979" s="1">
        <v>2.6386628660319897</v>
      </c>
      <c r="R5979" s="2">
        <f t="shared" si="375"/>
        <v>82.598863288648701</v>
      </c>
      <c r="S5979" s="2">
        <f t="shared" si="374"/>
        <v>2.0100649677471245</v>
      </c>
      <c r="T5979" s="2">
        <f t="shared" si="376"/>
        <v>3.4218654425935706</v>
      </c>
      <c r="U5979" s="2">
        <f t="shared" si="377"/>
        <v>88.030793698989399</v>
      </c>
    </row>
    <row r="5980" spans="1:21" x14ac:dyDescent="0.25">
      <c r="A5980">
        <v>6471789</v>
      </c>
      <c r="B5980">
        <v>5</v>
      </c>
      <c r="C5980" s="1">
        <f>1.55971071528381*(10.3/7.3)</f>
        <v>2.2006877215648259</v>
      </c>
      <c r="D5980" s="1">
        <f>3.00990123414561*(10.3/7.3)</f>
        <v>4.2468469468081951</v>
      </c>
      <c r="E5980" s="1">
        <f>10.3155567083038*(10.3/7.3)</f>
        <v>14.554826588428641</v>
      </c>
      <c r="F5980" s="1">
        <f>28.6150599142914*(38.9/42.5)</f>
        <v>26.191196015669032</v>
      </c>
      <c r="G5980" s="1">
        <v>1.4911850906110979</v>
      </c>
      <c r="H5980" s="1">
        <v>4.7175003828335758</v>
      </c>
      <c r="I5980" s="1">
        <v>20.599947801383859</v>
      </c>
      <c r="J5980" s="1">
        <v>2.3278215812099975E-2</v>
      </c>
      <c r="K5980" s="1">
        <v>1.7159642870408185</v>
      </c>
      <c r="L5980" s="1">
        <v>1.773345062380302</v>
      </c>
      <c r="M5980" s="1">
        <v>0.1539972599007875</v>
      </c>
      <c r="N5980" s="1">
        <v>1.1478282851056594</v>
      </c>
      <c r="O5980" s="1">
        <v>0.12032000000000001</v>
      </c>
      <c r="P5980" s="1">
        <v>7.9412981537755195E-2</v>
      </c>
      <c r="Q5980" s="1">
        <v>2.3831725192414828</v>
      </c>
      <c r="R5980" s="2">
        <f t="shared" si="375"/>
        <v>76.38536306654072</v>
      </c>
      <c r="S5980" s="2">
        <f t="shared" si="374"/>
        <v>1.8186554843906735</v>
      </c>
      <c r="T5980" s="2">
        <f t="shared" si="376"/>
        <v>3.1954906073867488</v>
      </c>
      <c r="U5980" s="2">
        <f t="shared" si="377"/>
        <v>81.399509158318139</v>
      </c>
    </row>
    <row r="5981" spans="1:21" x14ac:dyDescent="0.25">
      <c r="A5981">
        <v>6471797</v>
      </c>
      <c r="B5981">
        <v>56</v>
      </c>
      <c r="C5981" s="1">
        <f>1.60525822832863*(10.3/7.3)</f>
        <v>2.264953390655466</v>
      </c>
      <c r="D5981" s="1">
        <f>3.11677279662756*(10.3/7.3)</f>
        <v>4.3976383294882018</v>
      </c>
      <c r="E5981" s="1">
        <f>10.6668768881284*(10.3/7.3)</f>
        <v>15.050524924345554</v>
      </c>
      <c r="F5981" s="1">
        <f>30.2568392840023*(38.9/42.5)</f>
        <v>27.693907015239759</v>
      </c>
      <c r="G5981" s="1">
        <v>1.5988287402121615</v>
      </c>
      <c r="H5981" s="1">
        <v>5.796822702590795</v>
      </c>
      <c r="I5981" s="1">
        <v>21.874539798400654</v>
      </c>
      <c r="J5981" s="1">
        <v>2.5635012413252119E-2</v>
      </c>
      <c r="K5981" s="1">
        <v>1.8305381888810204</v>
      </c>
      <c r="L5981" s="1">
        <v>1.9020026948592388</v>
      </c>
      <c r="M5981" s="1">
        <v>0.16016897027383339</v>
      </c>
      <c r="N5981" s="1">
        <v>1.1667489835193579</v>
      </c>
      <c r="O5981" s="1">
        <v>0.12670571428571434</v>
      </c>
      <c r="P5981" s="1">
        <v>8.4014516172464221E-2</v>
      </c>
      <c r="Q5981" s="1">
        <v>2.5552057491975213</v>
      </c>
      <c r="R5981" s="2">
        <f t="shared" si="375"/>
        <v>81.232420650130123</v>
      </c>
      <c r="S5981" s="2">
        <f t="shared" si="374"/>
        <v>1.9401877174667366</v>
      </c>
      <c r="T5981" s="2">
        <f t="shared" si="376"/>
        <v>3.3556263629381444</v>
      </c>
      <c r="U5981" s="2">
        <f t="shared" si="377"/>
        <v>86.528234730535004</v>
      </c>
    </row>
    <row r="5982" spans="1:21" x14ac:dyDescent="0.25">
      <c r="A5982">
        <v>6471813</v>
      </c>
      <c r="B5982">
        <v>1</v>
      </c>
      <c r="C5982" s="1">
        <f>1.84369277350581*(10.3/7.3)</f>
        <v>2.6013747352205252</v>
      </c>
      <c r="D5982" s="1">
        <f>3.55655338789519*(10.3/7.3)</f>
        <v>5.0181506705918402</v>
      </c>
      <c r="E5982" s="1">
        <f>12.140049731672*(10.3/7.3)</f>
        <v>17.129111265235831</v>
      </c>
      <c r="F5982" s="1">
        <f>36.1942349113818*(38.9/42.5)</f>
        <v>33.128370307123539</v>
      </c>
      <c r="G5982" s="1">
        <v>1.9667162693122338</v>
      </c>
      <c r="H5982" s="1">
        <v>6.6644266302633266</v>
      </c>
      <c r="I5982" s="1">
        <v>26.492924463120328</v>
      </c>
      <c r="J5982" s="1">
        <v>2.8302169060646525E-2</v>
      </c>
      <c r="K5982" s="1">
        <v>1.9221031500126629</v>
      </c>
      <c r="L5982" s="1">
        <v>2.0259091085387735</v>
      </c>
      <c r="M5982" s="1">
        <v>0.16113006882272049</v>
      </c>
      <c r="N5982" s="1">
        <v>1.2986816777427357</v>
      </c>
      <c r="O5982" s="1">
        <v>0.13013333333333332</v>
      </c>
      <c r="P5982" s="1">
        <v>8.6743390607732951E-2</v>
      </c>
      <c r="Q5982" s="1">
        <v>3.1431538550652172</v>
      </c>
      <c r="R5982" s="2">
        <f t="shared" si="375"/>
        <v>96.144228195932854</v>
      </c>
      <c r="S5982" s="2">
        <f t="shared" si="374"/>
        <v>2.0371487096810421</v>
      </c>
      <c r="T5982" s="2">
        <f t="shared" si="376"/>
        <v>3.615854188437563</v>
      </c>
      <c r="U5982" s="2">
        <f t="shared" si="377"/>
        <v>101.79723109405147</v>
      </c>
    </row>
    <row r="5983" spans="1:21" x14ac:dyDescent="0.25">
      <c r="A5983">
        <v>6472133</v>
      </c>
      <c r="B5983">
        <v>37</v>
      </c>
      <c r="C5983" s="1">
        <f>2.25714119821263*(10.3/7.3)</f>
        <v>3.1847334714506963</v>
      </c>
      <c r="D5983" s="1">
        <f>3.30514863052956*(10.3/7.3)</f>
        <v>4.6634288896512945</v>
      </c>
      <c r="E5983" s="1">
        <f>11.5712953516193*(10.3/7.3)</f>
        <v>16.326622208449113</v>
      </c>
      <c r="F5983" s="1">
        <f>25.080077285911*(38.9/42.5)</f>
        <v>22.955647209927907</v>
      </c>
      <c r="G5983" s="1">
        <v>1.0420948652188029</v>
      </c>
      <c r="H5983" s="1">
        <v>4.0652203526854196</v>
      </c>
      <c r="I5983" s="1">
        <v>18.094559750186136</v>
      </c>
      <c r="J5983" s="1">
        <v>2.1858233408805976E-2</v>
      </c>
      <c r="K5983" s="1">
        <v>1.6227125905547155</v>
      </c>
      <c r="L5983" s="1">
        <v>1.3622711331224686</v>
      </c>
      <c r="M5983" s="1">
        <v>8.4870674800061136E-2</v>
      </c>
      <c r="N5983" s="1">
        <v>0.87888372073455623</v>
      </c>
      <c r="O5983" s="1">
        <v>8.1424144144144117E-2</v>
      </c>
      <c r="P5983" s="1">
        <v>6.2574397219507E-2</v>
      </c>
      <c r="Q5983" s="1">
        <v>1.6654484147332478</v>
      </c>
      <c r="R5983" s="2">
        <f t="shared" si="375"/>
        <v>71.99775516230261</v>
      </c>
      <c r="S5983" s="2">
        <f t="shared" si="374"/>
        <v>1.7071452211830285</v>
      </c>
      <c r="T5983" s="2">
        <f t="shared" si="376"/>
        <v>2.4074496728012305</v>
      </c>
      <c r="U5983" s="2">
        <f t="shared" si="377"/>
        <v>76.112350056286871</v>
      </c>
    </row>
    <row r="5984" spans="1:21" x14ac:dyDescent="0.25">
      <c r="A5984">
        <v>6472141</v>
      </c>
      <c r="B5984">
        <v>65</v>
      </c>
      <c r="C5984" s="1">
        <f>2.24068553622211*(10.3/7.3)</f>
        <v>3.1615152086421534</v>
      </c>
      <c r="D5984" s="1">
        <f>3.26027845868054*(10.3/7.3)</f>
        <v>4.6001189211520002</v>
      </c>
      <c r="E5984" s="1">
        <f>11.4187051021941*(10.3/7.3)</f>
        <v>16.111323637342402</v>
      </c>
      <c r="F5984" s="1">
        <f>24.6642440191574*(38.9/42.5)</f>
        <v>22.575037466946412</v>
      </c>
      <c r="G5984" s="1">
        <v>1.0201619501251555</v>
      </c>
      <c r="H5984" s="1">
        <v>3.4771036140093714</v>
      </c>
      <c r="I5984" s="1">
        <v>17.812118458421477</v>
      </c>
      <c r="J5984" s="1">
        <v>2.131929183753677E-2</v>
      </c>
      <c r="K5984" s="1">
        <v>1.6105311255994104</v>
      </c>
      <c r="L5984" s="1">
        <v>1.3508411302168359</v>
      </c>
      <c r="M5984" s="1">
        <v>8.4021519135636283E-2</v>
      </c>
      <c r="N5984" s="1">
        <v>0.85939376354634933</v>
      </c>
      <c r="O5984" s="1">
        <v>8.0378256410256407E-2</v>
      </c>
      <c r="P5984" s="1">
        <v>6.1960016917608975E-2</v>
      </c>
      <c r="Q5984" s="1">
        <v>1.6303958107023047</v>
      </c>
      <c r="R5984" s="2">
        <f t="shared" si="375"/>
        <v>70.387775067341281</v>
      </c>
      <c r="S5984" s="2">
        <f t="shared" si="374"/>
        <v>1.6938104343545559</v>
      </c>
      <c r="T5984" s="2">
        <f t="shared" si="376"/>
        <v>2.3746346693090779</v>
      </c>
      <c r="U5984" s="2">
        <f t="shared" si="377"/>
        <v>74.456220171004915</v>
      </c>
    </row>
    <row r="5985" spans="1:21" x14ac:dyDescent="0.25">
      <c r="A5985">
        <v>6472149</v>
      </c>
      <c r="B5985">
        <v>56</v>
      </c>
      <c r="C5985" s="1">
        <f>2.91695405801187*(10.3/7.3)</f>
        <v>4.1157023010304536</v>
      </c>
      <c r="D5985" s="1">
        <f>4.14936128965397*(10.3/7.3)</f>
        <v>5.8545782580049153</v>
      </c>
      <c r="E5985" s="1">
        <f>14.5423772191409*(10.3/7.3)</f>
        <v>20.518696624267289</v>
      </c>
      <c r="F5985" s="1">
        <f>31.5728732132055*(38.9/42.5)</f>
        <v>28.898465129263389</v>
      </c>
      <c r="G5985" s="1">
        <v>1.3080460381188819</v>
      </c>
      <c r="H5985" s="1">
        <v>4.080149803941727</v>
      </c>
      <c r="I5985" s="1">
        <v>22.977901413027116</v>
      </c>
      <c r="J5985" s="1">
        <v>2.5535751753931475E-2</v>
      </c>
      <c r="K5985" s="1">
        <v>1.9045291348690767</v>
      </c>
      <c r="L5985" s="1">
        <v>1.6567082996341576</v>
      </c>
      <c r="M5985" s="1">
        <v>9.8412900004225021E-2</v>
      </c>
      <c r="N5985" s="1">
        <v>1.0150831606631254</v>
      </c>
      <c r="O5985" s="1">
        <v>9.5379999999999993E-2</v>
      </c>
      <c r="P5985" s="1">
        <v>7.13078322593272E-2</v>
      </c>
      <c r="Q5985" s="1">
        <v>2.0904845358064343</v>
      </c>
      <c r="R5985" s="2">
        <f t="shared" si="375"/>
        <v>89.844024103460214</v>
      </c>
      <c r="S5985" s="2">
        <f t="shared" si="374"/>
        <v>2.0013727188823354</v>
      </c>
      <c r="T5985" s="2">
        <f t="shared" si="376"/>
        <v>2.8655843603015083</v>
      </c>
      <c r="U5985" s="2">
        <f t="shared" si="377"/>
        <v>94.710981182644062</v>
      </c>
    </row>
    <row r="5986" spans="1:21" x14ac:dyDescent="0.25">
      <c r="A5986">
        <v>6483505</v>
      </c>
      <c r="B5986">
        <v>67</v>
      </c>
      <c r="C5986" s="1">
        <f>0.473483949691375*(10.3/7.3)</f>
        <v>0.66806639477002272</v>
      </c>
      <c r="D5986" s="1">
        <f>0.900397431465202*(10.3/7.3)</f>
        <v>1.2704237731632304</v>
      </c>
      <c r="E5986" s="1">
        <f>3.06456137850708*(10.3/7.3)</f>
        <v>4.3239701641949226</v>
      </c>
      <c r="F5986" s="1">
        <f>9.66139272924445*(38.9/42.5)</f>
        <v>8.8430159333555078</v>
      </c>
      <c r="G5986" s="1">
        <v>0.54011472612367373</v>
      </c>
      <c r="H5986" s="1">
        <v>1.9512178558158726</v>
      </c>
      <c r="I5986" s="1">
        <v>7.1716088069828645</v>
      </c>
      <c r="J5986" s="1">
        <v>2.3684676733201879E-2</v>
      </c>
      <c r="K5986" s="1">
        <v>2.6582505549770095</v>
      </c>
      <c r="L5986" s="1">
        <v>1.4493644084523576</v>
      </c>
      <c r="M5986" s="1">
        <v>0.32666444935574335</v>
      </c>
      <c r="N5986" s="1">
        <v>0.84185088171603895</v>
      </c>
      <c r="O5986" s="1">
        <v>0.24003184079601991</v>
      </c>
      <c r="P5986" s="1">
        <v>0.10488612484882058</v>
      </c>
      <c r="Q5986" s="1">
        <v>0.86319705088258469</v>
      </c>
      <c r="R5986" s="2">
        <f t="shared" si="375"/>
        <v>25.631614705288676</v>
      </c>
      <c r="S5986" s="2">
        <f t="shared" si="374"/>
        <v>2.7868213565590318</v>
      </c>
      <c r="T5986" s="2">
        <f t="shared" si="376"/>
        <v>2.85791158032016</v>
      </c>
      <c r="U5986" s="2">
        <f t="shared" si="377"/>
        <v>31.276347642167867</v>
      </c>
    </row>
    <row r="5987" spans="1:21" x14ac:dyDescent="0.25">
      <c r="A5987">
        <v>6483513</v>
      </c>
      <c r="B5987">
        <v>55</v>
      </c>
      <c r="C5987" s="1">
        <f>0.581681286268919*(10.3/7.3)</f>
        <v>0.82072839021504951</v>
      </c>
      <c r="D5987" s="1">
        <f>1.20305463398468*(10.3/7.3)</f>
        <v>1.6974606479509813</v>
      </c>
      <c r="E5987" s="1">
        <f>4.06799110311507*(10.3/7.3)</f>
        <v>5.7397682687788016</v>
      </c>
      <c r="F5987" s="1">
        <f>13.6895672251372*(38.9/42.5)</f>
        <v>12.529980354302081</v>
      </c>
      <c r="G5987" s="1">
        <v>0.79346949881590012</v>
      </c>
      <c r="H5987" s="1">
        <v>2.7041375216904799</v>
      </c>
      <c r="I5987" s="1">
        <v>10.174696094274381</v>
      </c>
      <c r="J5987" s="1">
        <v>3.0274101570364746E-2</v>
      </c>
      <c r="K5987" s="1">
        <v>3.0653775709432685</v>
      </c>
      <c r="L5987" s="1">
        <v>1.7576345985756452</v>
      </c>
      <c r="M5987" s="1">
        <v>0.3897443030287987</v>
      </c>
      <c r="N5987" s="1">
        <v>1.0166267067704513</v>
      </c>
      <c r="O5987" s="1">
        <v>0.30113551515151521</v>
      </c>
      <c r="P5987" s="1">
        <v>0.11427409395024017</v>
      </c>
      <c r="Q5987" s="1">
        <v>1.2681019387468744</v>
      </c>
      <c r="R5987" s="2">
        <f t="shared" si="375"/>
        <v>35.728342714774548</v>
      </c>
      <c r="S5987" s="2">
        <f t="shared" si="374"/>
        <v>3.2099257664638734</v>
      </c>
      <c r="T5987" s="2">
        <f t="shared" si="376"/>
        <v>3.46514112352641</v>
      </c>
      <c r="U5987" s="2">
        <f t="shared" si="377"/>
        <v>42.403409604764832</v>
      </c>
    </row>
    <row r="5988" spans="1:21" x14ac:dyDescent="0.25">
      <c r="A5988">
        <v>6483521</v>
      </c>
      <c r="B5988">
        <v>30</v>
      </c>
      <c r="C5988" s="1">
        <f>0.80539913884897*(10.3/7.3)</f>
        <v>1.1363850863211491</v>
      </c>
      <c r="D5988" s="1">
        <f>1.84110859474896*(10.3/7.3)</f>
        <v>2.5977285651937438</v>
      </c>
      <c r="E5988" s="1">
        <f>6.18135787031136*(10.3/7.3)</f>
        <v>8.721641926603704</v>
      </c>
      <c r="F5988" s="1">
        <f>22.2363304094638*(38.9/42.5)</f>
        <v>20.352782421838626</v>
      </c>
      <c r="G5988" s="1">
        <v>1.332689003702858</v>
      </c>
      <c r="H5988" s="1">
        <v>4.3492773751675156</v>
      </c>
      <c r="I5988" s="1">
        <v>16.545431371416768</v>
      </c>
      <c r="J5988" s="1">
        <v>4.7857397896163084E-2</v>
      </c>
      <c r="K5988" s="1">
        <v>3.7226394127960449</v>
      </c>
      <c r="L5988" s="1">
        <v>2.35751208014721</v>
      </c>
      <c r="M5988" s="1">
        <v>0.5032422074280094</v>
      </c>
      <c r="N5988" s="1">
        <v>1.385673162247721</v>
      </c>
      <c r="O5988" s="1">
        <v>0.40192177777777782</v>
      </c>
      <c r="P5988" s="1">
        <v>0.13120470550574861</v>
      </c>
      <c r="Q5988" s="1">
        <v>2.1298682707579948</v>
      </c>
      <c r="R5988" s="2">
        <f t="shared" si="375"/>
        <v>57.165804021002366</v>
      </c>
      <c r="S5988" s="2">
        <f t="shared" si="374"/>
        <v>3.9017015161979569</v>
      </c>
      <c r="T5988" s="2">
        <f t="shared" si="376"/>
        <v>4.6483492276007183</v>
      </c>
      <c r="U5988" s="2">
        <f t="shared" si="377"/>
        <v>65.715854764801037</v>
      </c>
    </row>
    <row r="5989" spans="1:21" x14ac:dyDescent="0.25">
      <c r="A5989">
        <v>6483985</v>
      </c>
      <c r="B5989">
        <v>7</v>
      </c>
      <c r="C5989" s="1">
        <f>1.51254158559716*(10.3/7.3)</f>
        <v>2.1341340180343553</v>
      </c>
      <c r="D5989" s="1">
        <f>3.11684989997679*(10.3/7.3)</f>
        <v>4.3977471191453317</v>
      </c>
      <c r="E5989" s="1">
        <f>10.6275756054868*(10.3/7.3)</f>
        <v>14.995072429659428</v>
      </c>
      <c r="F5989" s="1">
        <f>31.2419733167527*(38.9/42.5)</f>
        <v>28.59559440051008</v>
      </c>
      <c r="G5989" s="1">
        <v>1.6920412202429858</v>
      </c>
      <c r="H5989" s="1">
        <v>9.2024560403628897</v>
      </c>
      <c r="I5989" s="1">
        <v>22.559464810770432</v>
      </c>
      <c r="J5989" s="1">
        <v>2.5242212979726765E-2</v>
      </c>
      <c r="K5989" s="1">
        <v>1.9256017573185435</v>
      </c>
      <c r="L5989" s="1">
        <v>2.0095918145389384</v>
      </c>
      <c r="M5989" s="1">
        <v>0.18104433984691623</v>
      </c>
      <c r="N5989" s="1">
        <v>1.1514624374990325</v>
      </c>
      <c r="O5989" s="1">
        <v>0.13766857142857142</v>
      </c>
      <c r="P5989" s="1">
        <v>8.7705570683529049E-2</v>
      </c>
      <c r="Q5989" s="1">
        <v>2.7041754661417601</v>
      </c>
      <c r="R5989" s="2">
        <f t="shared" si="375"/>
        <v>86.280685504867265</v>
      </c>
      <c r="S5989" s="2">
        <f t="shared" si="374"/>
        <v>2.0385495409817995</v>
      </c>
      <c r="T5989" s="2">
        <f t="shared" si="376"/>
        <v>3.4797671633134586</v>
      </c>
      <c r="U5989" s="2">
        <f t="shared" si="377"/>
        <v>91.799002209162524</v>
      </c>
    </row>
    <row r="5990" spans="1:21" x14ac:dyDescent="0.25">
      <c r="A5990">
        <v>6483993</v>
      </c>
      <c r="B5990">
        <v>24</v>
      </c>
      <c r="C5990" s="1">
        <f>1.5151850103861*(10.3/7.3)</f>
        <v>2.1378637817776442</v>
      </c>
      <c r="D5990" s="1">
        <f>3.10087934187912*(10.3/7.3)</f>
        <v>4.3752133179938273</v>
      </c>
      <c r="E5990" s="1">
        <f>10.5391588240648*(10.3/7.3)</f>
        <v>14.870319984639417</v>
      </c>
      <c r="F5990" s="1">
        <f>32.8326832319531*(38.9/42.5)</f>
        <v>30.051561828775935</v>
      </c>
      <c r="G5990" s="1">
        <v>1.8329105365869311</v>
      </c>
      <c r="H5990" s="1">
        <v>8.1359862234796534</v>
      </c>
      <c r="I5990" s="1">
        <v>24.046969274530998</v>
      </c>
      <c r="J5990" s="1">
        <v>2.4672108246346209E-2</v>
      </c>
      <c r="K5990" s="1">
        <v>1.8762628340113954</v>
      </c>
      <c r="L5990" s="1">
        <v>1.9521571123351811</v>
      </c>
      <c r="M5990" s="1">
        <v>0.17576498812970776</v>
      </c>
      <c r="N5990" s="1">
        <v>1.108382755376369</v>
      </c>
      <c r="O5990" s="1">
        <v>0.1336822222222222</v>
      </c>
      <c r="P5990" s="1">
        <v>8.5689476440885634E-2</v>
      </c>
      <c r="Q5990" s="1">
        <v>2.9293090767371068</v>
      </c>
      <c r="R5990" s="2">
        <f t="shared" si="375"/>
        <v>88.38013402452151</v>
      </c>
      <c r="S5990" s="2">
        <f t="shared" si="374"/>
        <v>1.986624418698627</v>
      </c>
      <c r="T5990" s="2">
        <f t="shared" si="376"/>
        <v>3.3699870780634802</v>
      </c>
      <c r="U5990" s="2">
        <f t="shared" si="377"/>
        <v>93.736745521283609</v>
      </c>
    </row>
    <row r="5991" spans="1:21" x14ac:dyDescent="0.25">
      <c r="A5991">
        <v>6484001</v>
      </c>
      <c r="B5991">
        <v>46</v>
      </c>
      <c r="C5991" s="1">
        <f>1.76650208965164*(10.3/7.3)</f>
        <v>2.4924618525221724</v>
      </c>
      <c r="D5991" s="1">
        <f>3.92098150715986*(10.3/7.3)</f>
        <v>5.5323437703762384</v>
      </c>
      <c r="E5991" s="1">
        <f>13.2384865853057*(10.3/7.3)</f>
        <v>18.678960524472487</v>
      </c>
      <c r="F5991" s="1">
        <f>44.2783996385156*(38.9/42.5)</f>
        <v>40.527758727958989</v>
      </c>
      <c r="G5991" s="1">
        <v>2.5688974634206558</v>
      </c>
      <c r="H5991" s="1">
        <v>6.7960881968653242</v>
      </c>
      <c r="I5991" s="1">
        <v>32.571220557905065</v>
      </c>
      <c r="J5991" s="1">
        <v>2.6899144513966279E-2</v>
      </c>
      <c r="K5991" s="1">
        <v>2.012480474894101</v>
      </c>
      <c r="L5991" s="1">
        <v>2.1340612740939489</v>
      </c>
      <c r="M5991" s="1">
        <v>0.18801751138198303</v>
      </c>
      <c r="N5991" s="1">
        <v>1.1974427403967902</v>
      </c>
      <c r="O5991" s="1">
        <v>0.14548173913043475</v>
      </c>
      <c r="P5991" s="1">
        <v>9.1114094755781277E-2</v>
      </c>
      <c r="Q5991" s="1">
        <v>4.1055438913115561</v>
      </c>
      <c r="R5991" s="2">
        <f t="shared" si="375"/>
        <v>113.27327498483248</v>
      </c>
      <c r="S5991" s="2">
        <f t="shared" si="374"/>
        <v>2.1304937141638485</v>
      </c>
      <c r="T5991" s="2">
        <f t="shared" si="376"/>
        <v>3.6650032650031568</v>
      </c>
      <c r="U5991" s="2">
        <f t="shared" si="377"/>
        <v>119.06877196399948</v>
      </c>
    </row>
    <row r="5992" spans="1:21" x14ac:dyDescent="0.25">
      <c r="A5992">
        <v>6484009</v>
      </c>
      <c r="B5992">
        <v>44</v>
      </c>
      <c r="C5992" s="1">
        <f>1.72692085743212*(10.3/7.3)</f>
        <v>2.4366143604864146</v>
      </c>
      <c r="D5992" s="1">
        <f>3.44631645431689*(10.3/7.3)</f>
        <v>4.8626108875978042</v>
      </c>
      <c r="E5992" s="1">
        <f>11.7840571595158*(10.3/7.3)</f>
        <v>16.626820375755173</v>
      </c>
      <c r="F5992" s="1">
        <f>33.4886760059997*(38.9/42.5)</f>
        <v>30.6519881560797</v>
      </c>
      <c r="G5992" s="1">
        <v>1.7751216439094386</v>
      </c>
      <c r="H5992" s="1">
        <v>5.401028578757785</v>
      </c>
      <c r="I5992" s="1">
        <v>24.111147083394311</v>
      </c>
      <c r="J5992" s="1">
        <v>2.6379804885728549E-2</v>
      </c>
      <c r="K5992" s="1">
        <v>1.9697233336758622</v>
      </c>
      <c r="L5992" s="1">
        <v>2.0775847846528319</v>
      </c>
      <c r="M5992" s="1">
        <v>0.18177018578390791</v>
      </c>
      <c r="N5992" s="1">
        <v>1.1771915703389177</v>
      </c>
      <c r="O5992" s="1">
        <v>0.14082666666666666</v>
      </c>
      <c r="P5992" s="1">
        <v>8.9800147353031906E-2</v>
      </c>
      <c r="Q5992" s="1">
        <v>2.8369523989420284</v>
      </c>
      <c r="R5992" s="2">
        <f t="shared" si="375"/>
        <v>88.70228348492266</v>
      </c>
      <c r="S5992" s="2">
        <f t="shared" si="374"/>
        <v>2.0859032859146227</v>
      </c>
      <c r="T5992" s="2">
        <f t="shared" si="376"/>
        <v>3.5773732074423243</v>
      </c>
      <c r="U5992" s="2">
        <f t="shared" si="377"/>
        <v>94.365559978279606</v>
      </c>
    </row>
    <row r="5993" spans="1:21" x14ac:dyDescent="0.25">
      <c r="A5993">
        <v>6484025</v>
      </c>
      <c r="B5993">
        <v>58</v>
      </c>
      <c r="C5993" s="1">
        <f>1.76391767145123*(10.3/7.3)</f>
        <v>2.488815344650368</v>
      </c>
      <c r="D5993" s="1">
        <f>3.46127325114461*(10.3/7.3)</f>
        <v>4.8837143132588361</v>
      </c>
      <c r="E5993" s="1">
        <f>11.8442605625871*(10.3/7.3)</f>
        <v>16.71176490337637</v>
      </c>
      <c r="F5993" s="1">
        <f>33.4916770918522*(38.9/42.5)</f>
        <v>30.65473503230708</v>
      </c>
      <c r="G5993" s="1">
        <v>1.7678691449557322</v>
      </c>
      <c r="H5993" s="1">
        <v>5.5983222311924195</v>
      </c>
      <c r="I5993" s="1">
        <v>24.152233555471646</v>
      </c>
      <c r="J5993" s="1">
        <v>2.6544458483561545E-2</v>
      </c>
      <c r="K5993" s="1">
        <v>1.887947206813045</v>
      </c>
      <c r="L5993" s="1">
        <v>1.9785486102956062</v>
      </c>
      <c r="M5993" s="1">
        <v>0.16819144627118604</v>
      </c>
      <c r="N5993" s="1">
        <v>1.2737065578775373</v>
      </c>
      <c r="O5993" s="1">
        <v>0.13245885057471266</v>
      </c>
      <c r="P5993" s="1">
        <v>8.6466271476735232E-2</v>
      </c>
      <c r="Q5993" s="1">
        <v>2.8253616471895282</v>
      </c>
      <c r="R5993" s="2">
        <f t="shared" si="375"/>
        <v>89.082816172401976</v>
      </c>
      <c r="S5993" s="2">
        <f t="shared" si="374"/>
        <v>2.0009579367733417</v>
      </c>
      <c r="T5993" s="2">
        <f t="shared" si="376"/>
        <v>3.5529054650190424</v>
      </c>
      <c r="U5993" s="2">
        <f t="shared" si="377"/>
        <v>94.63667957419436</v>
      </c>
    </row>
    <row r="5994" spans="1:21" x14ac:dyDescent="0.25">
      <c r="A5994">
        <v>6484369</v>
      </c>
      <c r="B5994">
        <v>59</v>
      </c>
      <c r="C5994" s="1">
        <f>2.3534522804937*(10.3/7.3)</f>
        <v>3.3206244505596088</v>
      </c>
      <c r="D5994" s="1">
        <f>3.42938826981674*(10.3/7.3)</f>
        <v>4.8387259149469095</v>
      </c>
      <c r="E5994" s="1">
        <f>12.0073448752643*(10.3/7.3)</f>
        <v>16.941870166468757</v>
      </c>
      <c r="F5994" s="1">
        <f>26.0854908059275*(38.9/42.5)</f>
        <v>23.875896290601872</v>
      </c>
      <c r="G5994" s="1">
        <v>1.0855956650032044</v>
      </c>
      <c r="H5994" s="1">
        <v>4.0172960587924633</v>
      </c>
      <c r="I5994" s="1">
        <v>18.856514450326195</v>
      </c>
      <c r="J5994" s="1">
        <v>2.1855376097984588E-2</v>
      </c>
      <c r="K5994" s="1">
        <v>1.6416944702231973</v>
      </c>
      <c r="L5994" s="1">
        <v>1.3603084401343128</v>
      </c>
      <c r="M5994" s="1">
        <v>8.4642137211374799E-2</v>
      </c>
      <c r="N5994" s="1">
        <v>0.86785143127303699</v>
      </c>
      <c r="O5994" s="1">
        <v>8.1295367231638382E-2</v>
      </c>
      <c r="P5994" s="1">
        <v>6.2360253005220814E-2</v>
      </c>
      <c r="Q5994" s="1">
        <v>1.7349702408727032</v>
      </c>
      <c r="R5994" s="2">
        <f t="shared" si="375"/>
        <v>74.67149323757171</v>
      </c>
      <c r="S5994" s="2">
        <f t="shared" si="374"/>
        <v>1.7259100993264025</v>
      </c>
      <c r="T5994" s="2">
        <f t="shared" si="376"/>
        <v>2.3940973758503632</v>
      </c>
      <c r="U5994" s="2">
        <f t="shared" si="377"/>
        <v>78.791500712748473</v>
      </c>
    </row>
    <row r="5995" spans="1:21" x14ac:dyDescent="0.25">
      <c r="A5995">
        <v>6484377</v>
      </c>
      <c r="B5995">
        <v>52</v>
      </c>
      <c r="C5995" s="1">
        <f>2.27016372559726*(10.3/7.3)</f>
        <v>3.203107722418058</v>
      </c>
      <c r="D5995" s="1">
        <f>3.27447143204827*(10.3/7.3)</f>
        <v>4.6201446233009875</v>
      </c>
      <c r="E5995" s="1">
        <f>11.469631561271*(10.3/7.3)</f>
        <v>16.183178778231689</v>
      </c>
      <c r="F5995" s="1">
        <f>24.9110895203313*(38.9/42.5)</f>
        <v>22.800973702138538</v>
      </c>
      <c r="G5995" s="1">
        <v>1.0347730450580668</v>
      </c>
      <c r="H5995" s="1">
        <v>3.5787960668864822</v>
      </c>
      <c r="I5995" s="1">
        <v>18.058947200057169</v>
      </c>
      <c r="J5995" s="1">
        <v>1.993016484751018E-2</v>
      </c>
      <c r="K5995" s="1">
        <v>1.5174231330573076</v>
      </c>
      <c r="L5995" s="1">
        <v>1.2631438059564952</v>
      </c>
      <c r="M5995" s="1">
        <v>7.9885714028802707E-2</v>
      </c>
      <c r="N5995" s="1">
        <v>0.79217813974149243</v>
      </c>
      <c r="O5995" s="1">
        <v>7.6043076923076922E-2</v>
      </c>
      <c r="P5995" s="1">
        <v>5.92629056659928E-2</v>
      </c>
      <c r="Q5995" s="1">
        <v>1.6537468756635785</v>
      </c>
      <c r="R5995" s="2">
        <f t="shared" si="375"/>
        <v>71.133668013754559</v>
      </c>
      <c r="S5995" s="2">
        <f t="shared" si="374"/>
        <v>1.5966162035708105</v>
      </c>
      <c r="T5995" s="2">
        <f t="shared" si="376"/>
        <v>2.2112507366498675</v>
      </c>
      <c r="U5995" s="2">
        <f t="shared" si="377"/>
        <v>74.941534953975236</v>
      </c>
    </row>
    <row r="5996" spans="1:21" x14ac:dyDescent="0.25">
      <c r="A5996">
        <v>649253</v>
      </c>
      <c r="B5996">
        <v>5</v>
      </c>
      <c r="C5996" s="1">
        <f>2.51529241806954*(10.3/7.3)</f>
        <v>3.548974233714552</v>
      </c>
      <c r="D5996" s="1">
        <f>2.71160568287977*(10.3/7.3)</f>
        <v>3.8259641826933697</v>
      </c>
      <c r="E5996" s="1">
        <f>9.68500852453972*(10.3/7.3)</f>
        <v>13.665149014076587</v>
      </c>
      <c r="F5996" s="1">
        <f>17.9608083750255*(38.9/42.5)</f>
        <v>16.439422253846871</v>
      </c>
      <c r="G5996" s="1">
        <v>0.56894215437288875</v>
      </c>
      <c r="H5996" s="1">
        <v>4.6355386843565469</v>
      </c>
      <c r="I5996" s="1">
        <v>13.944501270280423</v>
      </c>
      <c r="J5996" s="1">
        <v>3.7713594994156871E-2</v>
      </c>
      <c r="K5996" s="1">
        <v>5.5698263273657345</v>
      </c>
      <c r="L5996" s="1">
        <v>1.6353189174329894</v>
      </c>
      <c r="M5996" s="1">
        <v>0.11500178944618192</v>
      </c>
      <c r="N5996" s="1">
        <v>1.2223812852589364</v>
      </c>
      <c r="O5996" s="1">
        <v>7.5936000000000003E-2</v>
      </c>
      <c r="P5996" s="1">
        <v>6.4112828117702206E-2</v>
      </c>
      <c r="Q5996" s="1">
        <v>0.90926828324434372</v>
      </c>
      <c r="R5996" s="2">
        <f t="shared" si="375"/>
        <v>57.537760076585585</v>
      </c>
      <c r="S5996" s="2">
        <f t="shared" si="374"/>
        <v>5.6716527504775938</v>
      </c>
      <c r="T5996" s="2">
        <f t="shared" si="376"/>
        <v>3.0486379921381075</v>
      </c>
      <c r="U5996" s="2">
        <f t="shared" si="377"/>
        <v>66.258050819201287</v>
      </c>
    </row>
    <row r="5997" spans="1:21" x14ac:dyDescent="0.25">
      <c r="A5997">
        <v>649261</v>
      </c>
      <c r="B5997">
        <v>34</v>
      </c>
      <c r="C5997" s="1">
        <f>1.65411758795154*(10.3/7.3)</f>
        <v>2.3338919391644986</v>
      </c>
      <c r="D5997" s="1">
        <f>2.26281821453924*(10.3/7.3)</f>
        <v>3.1927435081855045</v>
      </c>
      <c r="E5997" s="1">
        <f>7.92319649665363*(10.3/7.3)</f>
        <v>11.17930464596334</v>
      </c>
      <c r="F5997" s="1">
        <f>18.2127130960525*(38.9/42.5)</f>
        <v>16.669989163210417</v>
      </c>
      <c r="G5997" s="1">
        <v>0.79299166337793037</v>
      </c>
      <c r="H5997" s="1">
        <v>3.2326855727910666</v>
      </c>
      <c r="I5997" s="1">
        <v>13.568078944832248</v>
      </c>
      <c r="J5997" s="1">
        <v>4.8005111306958517E-2</v>
      </c>
      <c r="K5997" s="1">
        <v>4.6391015699299842</v>
      </c>
      <c r="L5997" s="1">
        <v>1.570774927040274</v>
      </c>
      <c r="M5997" s="1">
        <v>0.10760672120770179</v>
      </c>
      <c r="N5997" s="1">
        <v>1.2150699579761928</v>
      </c>
      <c r="O5997" s="1">
        <v>7.4939607843137246E-2</v>
      </c>
      <c r="P5997" s="1">
        <v>6.3882655555649107E-2</v>
      </c>
      <c r="Q5997" s="1">
        <v>1.2673382748049133</v>
      </c>
      <c r="R5997" s="2">
        <f t="shared" si="375"/>
        <v>52.237023712329929</v>
      </c>
      <c r="S5997" s="2">
        <f t="shared" si="374"/>
        <v>4.7509893367925917</v>
      </c>
      <c r="T5997" s="2">
        <f t="shared" si="376"/>
        <v>2.9683912140673057</v>
      </c>
      <c r="U5997" s="2">
        <f t="shared" si="377"/>
        <v>59.956404263189825</v>
      </c>
    </row>
    <row r="5998" spans="1:21" x14ac:dyDescent="0.25">
      <c r="A5998">
        <v>649269</v>
      </c>
      <c r="B5998">
        <v>35</v>
      </c>
      <c r="C5998" s="1">
        <f>1.56600372583066*(10.3/7.3)</f>
        <v>2.2095669008295657</v>
      </c>
      <c r="D5998" s="1">
        <f>2.1684484876683*(10.3/7.3)</f>
        <v>3.0595917017785643</v>
      </c>
      <c r="E5998" s="1">
        <f>7.56143460085275*(10.3/7.3)</f>
        <v>10.668873477915518</v>
      </c>
      <c r="F5998" s="1">
        <f>18.779234348727*(38.9/42.5)</f>
        <v>17.18852273330538</v>
      </c>
      <c r="G5998" s="1">
        <v>0.87567386625594401</v>
      </c>
      <c r="H5998" s="1">
        <v>3.2184266761218674</v>
      </c>
      <c r="I5998" s="1">
        <v>14.15702161284818</v>
      </c>
      <c r="J5998" s="1">
        <v>4.182732041958355E-2</v>
      </c>
      <c r="K5998" s="1">
        <v>4.6580018209037393</v>
      </c>
      <c r="L5998" s="1">
        <v>1.6280694445925861</v>
      </c>
      <c r="M5998" s="1">
        <v>0.10716759719671187</v>
      </c>
      <c r="N5998" s="1">
        <v>1.2322376571613194</v>
      </c>
      <c r="O5998" s="1">
        <v>7.8145523809523804E-2</v>
      </c>
      <c r="P5998" s="1">
        <v>6.7012552278493148E-2</v>
      </c>
      <c r="Q5998" s="1">
        <v>1.3994787816875833</v>
      </c>
      <c r="R5998" s="2">
        <f t="shared" si="375"/>
        <v>52.777155750742601</v>
      </c>
      <c r="S5998" s="2">
        <f t="shared" si="374"/>
        <v>4.7668416936018163</v>
      </c>
      <c r="T5998" s="2">
        <f t="shared" si="376"/>
        <v>3.0456202227601414</v>
      </c>
      <c r="U5998" s="2">
        <f t="shared" si="377"/>
        <v>60.589617667104562</v>
      </c>
    </row>
    <row r="5999" spans="1:21" x14ac:dyDescent="0.25">
      <c r="A5999">
        <v>649277</v>
      </c>
      <c r="B5999">
        <v>15</v>
      </c>
      <c r="C5999" s="1">
        <f>1.80266871740922*(10.3/7.3)</f>
        <v>2.543491477988356</v>
      </c>
      <c r="D5999" s="1">
        <f>2.56599374610355*(10.3/7.3)</f>
        <v>3.6205117239543214</v>
      </c>
      <c r="E5999" s="1">
        <f>8.92419925856341*(10.3/7.3)</f>
        <v>12.591678405918238</v>
      </c>
      <c r="F5999" s="1">
        <f>22.8529480853785*(38.9/42.5)</f>
        <v>20.917168953440576</v>
      </c>
      <c r="G5999" s="1">
        <v>1.0950950862579587</v>
      </c>
      <c r="H5999" s="1">
        <v>3.7517183691125866</v>
      </c>
      <c r="I5999" s="1">
        <v>17.210902565042616</v>
      </c>
      <c r="J5999" s="1">
        <v>5.2808650920335973E-2</v>
      </c>
      <c r="K5999" s="1">
        <v>4.4214172136334469</v>
      </c>
      <c r="L5999" s="1">
        <v>1.6351966580966184</v>
      </c>
      <c r="M5999" s="1">
        <v>0.10269192312808828</v>
      </c>
      <c r="N5999" s="1">
        <v>1.4291268920462317</v>
      </c>
      <c r="O5999" s="1">
        <v>7.9370666666666673E-2</v>
      </c>
      <c r="P5999" s="1">
        <v>6.6898564826048987E-2</v>
      </c>
      <c r="Q5999" s="1">
        <v>1.7501519643392054</v>
      </c>
      <c r="R5999" s="2">
        <f t="shared" si="375"/>
        <v>63.480718546053851</v>
      </c>
      <c r="S5999" s="2">
        <f t="shared" si="374"/>
        <v>4.5411244293798321</v>
      </c>
      <c r="T5999" s="2">
        <f t="shared" si="376"/>
        <v>3.2463861399376048</v>
      </c>
      <c r="U5999" s="2">
        <f t="shared" si="377"/>
        <v>71.268229115371284</v>
      </c>
    </row>
    <row r="6000" spans="1:21" x14ac:dyDescent="0.25">
      <c r="A6000">
        <v>649285</v>
      </c>
      <c r="B6000">
        <v>6</v>
      </c>
      <c r="C6000" s="1">
        <f>1.36288818077511*(10.3/7.3)</f>
        <v>1.9229792139703541</v>
      </c>
      <c r="D6000" s="1">
        <f>1.98109524189728*(10.3/7.3)</f>
        <v>2.7952439714441031</v>
      </c>
      <c r="E6000" s="1">
        <f>6.86481548200412*(10.3/7.3)</f>
        <v>9.685972529403081</v>
      </c>
      <c r="F6000" s="1">
        <f>18.5738029864413*(38.9/42.5)</f>
        <v>17.00049261582506</v>
      </c>
      <c r="G6000" s="1">
        <v>0.92808335752896554</v>
      </c>
      <c r="H6000" s="1">
        <v>5.2060234572260313</v>
      </c>
      <c r="I6000" s="1">
        <v>14.063676616378757</v>
      </c>
      <c r="J6000" s="1">
        <v>3.7814017483077708E-2</v>
      </c>
      <c r="K6000" s="1">
        <v>3.7837651299479074</v>
      </c>
      <c r="L6000" s="1">
        <v>1.4305918529007886</v>
      </c>
      <c r="M6000" s="1">
        <v>8.8581725854082749E-2</v>
      </c>
      <c r="N6000" s="1">
        <v>1.1048006002055017</v>
      </c>
      <c r="O6000" s="1">
        <v>7.1964444444444442E-2</v>
      </c>
      <c r="P6000" s="1">
        <v>6.2138085461077748E-2</v>
      </c>
      <c r="Q6000" s="1">
        <v>1.4832382426262019</v>
      </c>
      <c r="R6000" s="2">
        <f t="shared" si="375"/>
        <v>53.08571000440255</v>
      </c>
      <c r="S6000" s="2">
        <f t="shared" si="374"/>
        <v>3.8837172328920628</v>
      </c>
      <c r="T6000" s="2">
        <f t="shared" si="376"/>
        <v>2.6959386234048175</v>
      </c>
      <c r="U6000" s="2">
        <f t="shared" si="377"/>
        <v>59.665365860699424</v>
      </c>
    </row>
    <row r="6001" spans="1:21" x14ac:dyDescent="0.25">
      <c r="A6001">
        <v>649325</v>
      </c>
      <c r="B6001">
        <v>14</v>
      </c>
      <c r="C6001" s="1">
        <f>1.09626974870032*(10.3/7.3)</f>
        <v>1.5467915632346962</v>
      </c>
      <c r="D6001" s="1">
        <f>1.56450822075696*(10.3/7.3)</f>
        <v>2.2074568046296781</v>
      </c>
      <c r="E6001" s="1">
        <f>5.45435633586144*(10.3/7.3)</f>
        <v>7.6958726382702558</v>
      </c>
      <c r="F6001" s="1">
        <f>13.2654858857262*(38.9/42.5)</f>
        <v>12.141821198935318</v>
      </c>
      <c r="G6001" s="1">
        <v>0.61051587845718114</v>
      </c>
      <c r="H6001" s="1">
        <v>3.7576415574314872</v>
      </c>
      <c r="I6001" s="1">
        <v>9.8843416950108427</v>
      </c>
      <c r="J6001" s="1">
        <v>2.8108194031745116E-2</v>
      </c>
      <c r="K6001" s="1">
        <v>2.6708777437632203</v>
      </c>
      <c r="L6001" s="1">
        <v>1.1032881509208667</v>
      </c>
      <c r="M6001" s="1">
        <v>6.4224791935844724E-2</v>
      </c>
      <c r="N6001" s="1">
        <v>0.96054034193457716</v>
      </c>
      <c r="O6001" s="1">
        <v>5.6435428571428567E-2</v>
      </c>
      <c r="P6001" s="1">
        <v>5.1782181952334742E-2</v>
      </c>
      <c r="Q6001" s="1">
        <v>0.97571030803659209</v>
      </c>
      <c r="R6001" s="2">
        <f t="shared" si="375"/>
        <v>38.820151644006053</v>
      </c>
      <c r="S6001" s="2">
        <f t="shared" si="374"/>
        <v>2.7507681197473</v>
      </c>
      <c r="T6001" s="2">
        <f t="shared" si="376"/>
        <v>2.1844887133627173</v>
      </c>
      <c r="U6001" s="2">
        <f t="shared" si="377"/>
        <v>43.75540847711607</v>
      </c>
    </row>
    <row r="6002" spans="1:21" x14ac:dyDescent="0.25">
      <c r="A6002">
        <v>6495733</v>
      </c>
      <c r="B6002">
        <v>9</v>
      </c>
      <c r="C6002" s="1">
        <f>0.350585299241809*(10.3/7.3)</f>
        <v>0.49466144961515579</v>
      </c>
      <c r="D6002" s="1">
        <f>0.632401380537165*(10.3/7.3)</f>
        <v>0.89229235884011016</v>
      </c>
      <c r="E6002" s="1">
        <f>2.16062904446076*(10.3/7.3)</f>
        <v>3.0485587887597045</v>
      </c>
      <c r="F6002" s="1">
        <f>6.56925425491801*(38.9/42.5)</f>
        <v>6.0127997768543642</v>
      </c>
      <c r="G6002" s="1">
        <v>0.35908040268948582</v>
      </c>
      <c r="H6002" s="1">
        <v>1.3854363604131643</v>
      </c>
      <c r="I6002" s="1">
        <v>4.8812998365826159</v>
      </c>
      <c r="J6002" s="1">
        <v>2.2252303437021406E-2</v>
      </c>
      <c r="K6002" s="1">
        <v>2.4660316594306315</v>
      </c>
      <c r="L6002" s="1">
        <v>1.3754334506527346</v>
      </c>
      <c r="M6002" s="1">
        <v>0.31371553945200931</v>
      </c>
      <c r="N6002" s="1">
        <v>0.80062945904602878</v>
      </c>
      <c r="O6002" s="1">
        <v>0.22548148148148148</v>
      </c>
      <c r="P6002" s="1">
        <v>9.96554557664944E-2</v>
      </c>
      <c r="Q6002" s="1">
        <v>0.57387278968639355</v>
      </c>
      <c r="R6002" s="2">
        <f t="shared" si="375"/>
        <v>17.648001763440995</v>
      </c>
      <c r="S6002" s="2">
        <f t="shared" si="374"/>
        <v>2.5879394186341473</v>
      </c>
      <c r="T6002" s="2">
        <f t="shared" si="376"/>
        <v>2.7152599306322545</v>
      </c>
      <c r="U6002" s="2">
        <f t="shared" si="377"/>
        <v>22.951201112707395</v>
      </c>
    </row>
    <row r="6003" spans="1:21" x14ac:dyDescent="0.25">
      <c r="A6003">
        <v>6495741</v>
      </c>
      <c r="B6003">
        <v>58</v>
      </c>
      <c r="C6003" s="1">
        <f>0.689209636102745*(10.3/7.3)</f>
        <v>0.97244647285729735</v>
      </c>
      <c r="D6003" s="1">
        <f>1.45179549110863*(10.3/7.3)</f>
        <v>2.0484237751258805</v>
      </c>
      <c r="E6003" s="1">
        <f>4.90363263209286*(10.3/7.3)</f>
        <v>6.9188241247337618</v>
      </c>
      <c r="F6003" s="1">
        <f>16.6558324169724*(38.9/42.5)</f>
        <v>15.244985435770072</v>
      </c>
      <c r="G6003" s="1">
        <v>0.97037729670272999</v>
      </c>
      <c r="H6003" s="1">
        <v>3.1730158046923922</v>
      </c>
      <c r="I6003" s="1">
        <v>12.37297022101126</v>
      </c>
      <c r="J6003" s="1">
        <v>3.3409376893257119E-2</v>
      </c>
      <c r="K6003" s="1">
        <v>3.3353975327609957</v>
      </c>
      <c r="L6003" s="1">
        <v>2.008120056244501</v>
      </c>
      <c r="M6003" s="1">
        <v>0.43493015659074136</v>
      </c>
      <c r="N6003" s="1">
        <v>1.1031960024215461</v>
      </c>
      <c r="O6003" s="1">
        <v>0.34673655172413798</v>
      </c>
      <c r="P6003" s="1">
        <v>0.12493540507214403</v>
      </c>
      <c r="Q6003" s="1">
        <v>1.5508312961002546</v>
      </c>
      <c r="R6003" s="2">
        <f t="shared" si="375"/>
        <v>43.251874426993645</v>
      </c>
      <c r="S6003" s="2">
        <f t="shared" si="374"/>
        <v>3.4937423147263971</v>
      </c>
      <c r="T6003" s="2">
        <f t="shared" si="376"/>
        <v>3.8929827669809263</v>
      </c>
      <c r="U6003" s="2">
        <f t="shared" si="377"/>
        <v>50.63859950870097</v>
      </c>
    </row>
    <row r="6004" spans="1:21" x14ac:dyDescent="0.25">
      <c r="A6004">
        <v>6495749</v>
      </c>
      <c r="B6004">
        <v>34</v>
      </c>
      <c r="C6004" s="1">
        <f>0.872985353635012*(10.3/7.3)</f>
        <v>1.2317464578685779</v>
      </c>
      <c r="D6004" s="1">
        <f>2.00853056673604*(10.3/7.3)</f>
        <v>2.8339540873124967</v>
      </c>
      <c r="E6004" s="1">
        <f>6.73839877810249*(10.3/7.3)</f>
        <v>9.5076037554048867</v>
      </c>
      <c r="F6004" s="1">
        <f>24.4469477658067*(38.9/42.5)</f>
        <v>22.376147484467776</v>
      </c>
      <c r="G6004" s="1">
        <v>1.4706065520658247</v>
      </c>
      <c r="H6004" s="1">
        <v>4.4731169964391952</v>
      </c>
      <c r="I6004" s="1">
        <v>18.207736858100354</v>
      </c>
      <c r="J6004" s="1">
        <v>5.1280615007310092E-2</v>
      </c>
      <c r="K6004" s="1">
        <v>3.9143060804089118</v>
      </c>
      <c r="L6004" s="1">
        <v>2.5667763907892813</v>
      </c>
      <c r="M6004" s="1">
        <v>0.55292604723098937</v>
      </c>
      <c r="N6004" s="1">
        <v>1.4262716075440338</v>
      </c>
      <c r="O6004" s="1">
        <v>0.43465098039215683</v>
      </c>
      <c r="P6004" s="1">
        <v>0.13813606231033843</v>
      </c>
      <c r="Q6004" s="1">
        <v>2.3502844439408186</v>
      </c>
      <c r="R6004" s="2">
        <f t="shared" si="375"/>
        <v>62.451196635599928</v>
      </c>
      <c r="S6004" s="2">
        <f t="shared" si="374"/>
        <v>4.10372275772656</v>
      </c>
      <c r="T6004" s="2">
        <f t="shared" si="376"/>
        <v>4.9806250259564617</v>
      </c>
      <c r="U6004" s="2">
        <f t="shared" si="377"/>
        <v>71.535544419282942</v>
      </c>
    </row>
    <row r="6005" spans="1:21" x14ac:dyDescent="0.25">
      <c r="A6005">
        <v>6496229</v>
      </c>
      <c r="B6005">
        <v>7</v>
      </c>
      <c r="C6005" s="1">
        <f>1.63532925973924*(10.3/7.3)</f>
        <v>2.3073823801800182</v>
      </c>
      <c r="D6005" s="1">
        <f>3.9996239525418*(10.3/7.3)</f>
        <v>5.6433050289288378</v>
      </c>
      <c r="E6005" s="1">
        <f>13.3000933345085*(10.3/7.3)</f>
        <v>18.765885115813312</v>
      </c>
      <c r="F6005" s="1">
        <f>53.3741485089867*(38.9/42.5)</f>
        <v>48.853044164696016</v>
      </c>
      <c r="G6005" s="1">
        <v>3.3413177425561047</v>
      </c>
      <c r="H6005" s="1">
        <v>9.2480436361200198</v>
      </c>
      <c r="I6005" s="1">
        <v>40.265965201056638</v>
      </c>
      <c r="J6005" s="1">
        <v>2.5345262213830638E-2</v>
      </c>
      <c r="K6005" s="1">
        <v>1.9193102568241507</v>
      </c>
      <c r="L6005" s="1">
        <v>2.005535623620978</v>
      </c>
      <c r="M6005" s="1">
        <v>0.17947175518210465</v>
      </c>
      <c r="N6005" s="1">
        <v>1.1423850541254845</v>
      </c>
      <c r="O6005" s="1">
        <v>0.13701333333333335</v>
      </c>
      <c r="P6005" s="1">
        <v>8.7349088406352457E-2</v>
      </c>
      <c r="Q6005" s="1">
        <v>5.3400055246330496</v>
      </c>
      <c r="R6005" s="2">
        <f t="shared" si="375"/>
        <v>133.76494879398399</v>
      </c>
      <c r="S6005" s="2">
        <f t="shared" si="374"/>
        <v>2.0320046074443336</v>
      </c>
      <c r="T6005" s="2">
        <f t="shared" si="376"/>
        <v>3.4644057662619008</v>
      </c>
      <c r="U6005" s="2">
        <f t="shared" si="377"/>
        <v>139.26135916769022</v>
      </c>
    </row>
    <row r="6006" spans="1:21" x14ac:dyDescent="0.25">
      <c r="A6006">
        <v>6496237</v>
      </c>
      <c r="B6006">
        <v>62</v>
      </c>
      <c r="C6006" s="1">
        <f>2.03775082025897*(10.3/7.3)</f>
        <v>2.8751826642010117</v>
      </c>
      <c r="D6006" s="1">
        <f>4.22973222326069*(10.3/7.3)</f>
        <v>5.9679783424089186</v>
      </c>
      <c r="E6006" s="1">
        <f>14.4090789617527*(10.3/7.3)</f>
        <v>20.330618261103179</v>
      </c>
      <c r="F6006" s="1">
        <f>42.8830840758416*(38.9/42.5)</f>
        <v>39.250634601182036</v>
      </c>
      <c r="G6006" s="1">
        <v>2.3393412161720524</v>
      </c>
      <c r="H6006" s="1">
        <v>7.0006061246115312</v>
      </c>
      <c r="I6006" s="1">
        <v>31.02042911909211</v>
      </c>
      <c r="J6006" s="1">
        <v>2.9040760269483632E-2</v>
      </c>
      <c r="K6006" s="1">
        <v>2.1434645522711926</v>
      </c>
      <c r="L6006" s="1">
        <v>2.3101698265489437</v>
      </c>
      <c r="M6006" s="1">
        <v>0.19977300942580553</v>
      </c>
      <c r="N6006" s="1">
        <v>1.2764711552082506</v>
      </c>
      <c r="O6006" s="1">
        <v>0.15680516129032254</v>
      </c>
      <c r="P6006" s="1">
        <v>9.6526105128278153E-2</v>
      </c>
      <c r="Q6006" s="1">
        <v>3.7386731765306815</v>
      </c>
      <c r="R6006" s="2">
        <f t="shared" si="375"/>
        <v>112.52346350530154</v>
      </c>
      <c r="S6006" s="2">
        <f t="shared" si="374"/>
        <v>2.2690314176689541</v>
      </c>
      <c r="T6006" s="2">
        <f t="shared" si="376"/>
        <v>3.9432191524733224</v>
      </c>
      <c r="U6006" s="2">
        <f t="shared" si="377"/>
        <v>118.73571407544381</v>
      </c>
    </row>
    <row r="6007" spans="1:21" x14ac:dyDescent="0.25">
      <c r="A6007">
        <v>6496245</v>
      </c>
      <c r="B6007">
        <v>21</v>
      </c>
      <c r="C6007" s="1">
        <f>2.19392403558605*(10.3/7.3)</f>
        <v>3.0955366529501824</v>
      </c>
      <c r="D6007" s="1">
        <f>4.47515884545152*(10.3/7.3)</f>
        <v>6.3142652202946046</v>
      </c>
      <c r="E6007" s="1">
        <f>15.2832839383637*(10.3/7.3)</f>
        <v>21.564085556869355</v>
      </c>
      <c r="F6007" s="1">
        <f>43.904815431*(38.9/42.5)</f>
        <v>40.185819300374078</v>
      </c>
      <c r="G6007" s="1">
        <v>2.3455185040219444</v>
      </c>
      <c r="H6007" s="1">
        <v>6.9115593862098716</v>
      </c>
      <c r="I6007" s="1">
        <v>31.580181641839722</v>
      </c>
      <c r="J6007" s="1">
        <v>3.0258083935402424E-2</v>
      </c>
      <c r="K6007" s="1">
        <v>2.1972044919333933</v>
      </c>
      <c r="L6007" s="1">
        <v>2.3772090730750159</v>
      </c>
      <c r="M6007" s="1">
        <v>0.2014189201370308</v>
      </c>
      <c r="N6007" s="1">
        <v>1.314593413574926</v>
      </c>
      <c r="O6007" s="1">
        <v>0.16137396825396824</v>
      </c>
      <c r="P6007" s="1">
        <v>9.8617364686198528E-2</v>
      </c>
      <c r="Q6007" s="1">
        <v>3.7485455543729733</v>
      </c>
      <c r="R6007" s="2">
        <f t="shared" si="375"/>
        <v>115.74551181693271</v>
      </c>
      <c r="S6007" s="2">
        <f t="shared" si="374"/>
        <v>2.3260799405549943</v>
      </c>
      <c r="T6007" s="2">
        <f t="shared" si="376"/>
        <v>4.0545953750409405</v>
      </c>
      <c r="U6007" s="2">
        <f t="shared" si="377"/>
        <v>122.12618713252864</v>
      </c>
    </row>
    <row r="6008" spans="1:21" x14ac:dyDescent="0.25">
      <c r="A6008">
        <v>6496261</v>
      </c>
      <c r="B6008">
        <v>36</v>
      </c>
      <c r="C6008" s="1">
        <f>1.59603271532833*(10.3/7.3)</f>
        <v>2.2519365709427146</v>
      </c>
      <c r="D6008" s="1">
        <f>3.12690847175214*(10.3/7.3)</f>
        <v>4.4119393505543902</v>
      </c>
      <c r="E6008" s="1">
        <f>10.696868554949*(10.3/7.3)</f>
        <v>15.092841933695116</v>
      </c>
      <c r="F6008" s="1">
        <f>30.4375263268384*(38.9/42.5)</f>
        <v>27.859288802682684</v>
      </c>
      <c r="G6008" s="1">
        <v>1.6124343348193784</v>
      </c>
      <c r="H6008" s="1">
        <v>7.6748583616018351</v>
      </c>
      <c r="I6008" s="1">
        <v>21.988164185887332</v>
      </c>
      <c r="J6008" s="1">
        <v>2.7044294880173351E-2</v>
      </c>
      <c r="K6008" s="1">
        <v>1.8965282302910142</v>
      </c>
      <c r="L6008" s="1">
        <v>1.974799816366978</v>
      </c>
      <c r="M6008" s="1">
        <v>0.16616554807801093</v>
      </c>
      <c r="N6008" s="1">
        <v>1.2188354668035593</v>
      </c>
      <c r="O6008" s="1">
        <v>0.13119555555555557</v>
      </c>
      <c r="P6008" s="1">
        <v>8.640031300750145E-2</v>
      </c>
      <c r="Q6008" s="1">
        <v>2.5769498501679591</v>
      </c>
      <c r="R6008" s="2">
        <f t="shared" si="375"/>
        <v>83.468413390351415</v>
      </c>
      <c r="S6008" s="2">
        <f t="shared" si="374"/>
        <v>2.009972838178689</v>
      </c>
      <c r="T6008" s="2">
        <f t="shared" si="376"/>
        <v>3.4909963868041038</v>
      </c>
      <c r="U6008" s="2">
        <f t="shared" si="377"/>
        <v>88.969382615334197</v>
      </c>
    </row>
    <row r="6009" spans="1:21" x14ac:dyDescent="0.25">
      <c r="A6009">
        <v>6496269</v>
      </c>
      <c r="B6009">
        <v>31</v>
      </c>
      <c r="C6009" s="1">
        <f>1.84528594073286*(10.3/7.3)</f>
        <v>2.6036226287052706</v>
      </c>
      <c r="D6009" s="1">
        <f>3.62892989246526*(10.3/7.3)</f>
        <v>5.1202709441633107</v>
      </c>
      <c r="E6009" s="1">
        <f>12.383930424577*(10.3/7.3)</f>
        <v>17.473216900430511</v>
      </c>
      <c r="F6009" s="1">
        <f>36.7229907842922*(38.9/42.5)</f>
        <v>33.612337447269809</v>
      </c>
      <c r="G6009" s="1">
        <v>1.9921901649920426</v>
      </c>
      <c r="H6009" s="1">
        <v>8.2170828670128593</v>
      </c>
      <c r="I6009" s="1">
        <v>26.76544889109844</v>
      </c>
      <c r="J6009" s="1">
        <v>2.7598344747110506E-2</v>
      </c>
      <c r="K6009" s="1">
        <v>1.9115355263479725</v>
      </c>
      <c r="L6009" s="1">
        <v>1.9900275119309672</v>
      </c>
      <c r="M6009" s="1">
        <v>0.16532844513016978</v>
      </c>
      <c r="N6009" s="1">
        <v>1.2248785170787151</v>
      </c>
      <c r="O6009" s="1">
        <v>0.13221505376344087</v>
      </c>
      <c r="P6009" s="1">
        <v>8.7177293178078485E-2</v>
      </c>
      <c r="Q6009" s="1">
        <v>3.1838655604895698</v>
      </c>
      <c r="R6009" s="2">
        <f t="shared" si="375"/>
        <v>98.96803540416181</v>
      </c>
      <c r="S6009" s="2">
        <f t="shared" si="374"/>
        <v>2.0263111642731615</v>
      </c>
      <c r="T6009" s="2">
        <f t="shared" si="376"/>
        <v>3.5124495279032932</v>
      </c>
      <c r="U6009" s="2">
        <f t="shared" si="377"/>
        <v>104.50679609633828</v>
      </c>
    </row>
    <row r="6010" spans="1:21" x14ac:dyDescent="0.25">
      <c r="A6010">
        <v>6496597</v>
      </c>
      <c r="B6010">
        <v>25</v>
      </c>
      <c r="C6010" s="1">
        <f>2.55262032619936*(10.3/7.3)</f>
        <v>3.601642378062115</v>
      </c>
      <c r="D6010" s="1">
        <f>3.71554986632066*(10.3/7.3)</f>
        <v>5.2424881675483315</v>
      </c>
      <c r="E6010" s="1">
        <f>13.0076493669638*(10.3/7.3)</f>
        <v>18.353258695853071</v>
      </c>
      <c r="F6010" s="1">
        <f>28.3694825829004*(38.9/42.5)</f>
        <v>25.966420528819462</v>
      </c>
      <c r="G6010" s="1">
        <v>1.1851498761738963</v>
      </c>
      <c r="H6010" s="1">
        <v>5.5880411114117239</v>
      </c>
      <c r="I6010" s="1">
        <v>20.532969251049771</v>
      </c>
      <c r="J6010" s="1">
        <v>2.54201850687438E-2</v>
      </c>
      <c r="K6010" s="1">
        <v>1.907892757375198</v>
      </c>
      <c r="L6010" s="1">
        <v>1.5492814023419619</v>
      </c>
      <c r="M6010" s="1">
        <v>9.4015140067077216E-2</v>
      </c>
      <c r="N6010" s="1">
        <v>0.99953093313010499</v>
      </c>
      <c r="O6010" s="1">
        <v>9.1374933333333339E-2</v>
      </c>
      <c r="P6010" s="1">
        <v>6.8381383719746933E-2</v>
      </c>
      <c r="Q6010" s="1">
        <v>1.8940751445701565</v>
      </c>
      <c r="R6010" s="2">
        <f t="shared" si="375"/>
        <v>82.364045153488533</v>
      </c>
      <c r="S6010" s="2">
        <f t="shared" si="374"/>
        <v>2.001694326163689</v>
      </c>
      <c r="T6010" s="2">
        <f t="shared" si="376"/>
        <v>2.7342024088724775</v>
      </c>
      <c r="U6010" s="2">
        <f t="shared" si="377"/>
        <v>87.099941888524697</v>
      </c>
    </row>
    <row r="6011" spans="1:21" x14ac:dyDescent="0.25">
      <c r="A6011">
        <v>6496605</v>
      </c>
      <c r="B6011">
        <v>19</v>
      </c>
      <c r="C6011" s="1">
        <f>2.13291551339574*(10.3/7.3)</f>
        <v>3.0094561353392004</v>
      </c>
      <c r="D6011" s="1">
        <f>3.09059593376619*(10.3/7.3)</f>
        <v>4.3607038517522918</v>
      </c>
      <c r="E6011" s="1">
        <f>10.8230015925645*(10.3/7.3)</f>
        <v>15.270810466221171</v>
      </c>
      <c r="F6011" s="1">
        <f>23.538075277515*(38.9/42.5)</f>
        <v>21.544261842243184</v>
      </c>
      <c r="G6011" s="1">
        <v>0.97978916609090771</v>
      </c>
      <c r="H6011" s="1">
        <v>3.4328267806262214</v>
      </c>
      <c r="I6011" s="1">
        <v>17.046696149342363</v>
      </c>
      <c r="J6011" s="1">
        <v>1.990509215162491E-2</v>
      </c>
      <c r="K6011" s="1">
        <v>1.511378346189735</v>
      </c>
      <c r="L6011" s="1">
        <v>1.2328321847752719</v>
      </c>
      <c r="M6011" s="1">
        <v>7.8687626824406373E-2</v>
      </c>
      <c r="N6011" s="1">
        <v>0.79122371146909298</v>
      </c>
      <c r="O6011" s="1">
        <v>7.4607719298245612E-2</v>
      </c>
      <c r="P6011" s="1">
        <v>5.846884860042622E-2</v>
      </c>
      <c r="Q6011" s="1">
        <v>1.56587309649232</v>
      </c>
      <c r="R6011" s="2">
        <f t="shared" si="375"/>
        <v>67.210417488107666</v>
      </c>
      <c r="S6011" s="2">
        <f t="shared" si="374"/>
        <v>1.5897522869417859</v>
      </c>
      <c r="T6011" s="2">
        <f t="shared" si="376"/>
        <v>2.1773512423670169</v>
      </c>
      <c r="U6011" s="2">
        <f t="shared" si="377"/>
        <v>70.977521017416478</v>
      </c>
    </row>
    <row r="6012" spans="1:21" x14ac:dyDescent="0.25">
      <c r="A6012">
        <v>6496613</v>
      </c>
      <c r="B6012">
        <v>24</v>
      </c>
      <c r="C6012" s="1">
        <f>3.11970355393074*(10.3/7.3)</f>
        <v>4.4017735076009084</v>
      </c>
      <c r="D6012" s="1">
        <f>4.43372358439021*(10.3/7.3)</f>
        <v>6.2558017697560562</v>
      </c>
      <c r="E6012" s="1">
        <f>15.5381614706515*(10.3/7.3)</f>
        <v>21.923707280508289</v>
      </c>
      <c r="F6012" s="1">
        <f>33.8053809192462*(38.9/42.5)</f>
        <v>30.941866300204133</v>
      </c>
      <c r="G6012" s="1">
        <v>1.4033373576324077</v>
      </c>
      <c r="H6012" s="1">
        <v>4.4185977133193299</v>
      </c>
      <c r="I6012" s="1">
        <v>24.62094496441642</v>
      </c>
      <c r="J6012" s="1">
        <v>2.7722618147473121E-2</v>
      </c>
      <c r="K6012" s="1">
        <v>2.0571500015309936</v>
      </c>
      <c r="L6012" s="1">
        <v>1.7787694949573727</v>
      </c>
      <c r="M6012" s="1">
        <v>0.10453308790955845</v>
      </c>
      <c r="N6012" s="1">
        <v>1.0917052370313221</v>
      </c>
      <c r="O6012" s="1">
        <v>0.10202888888888891</v>
      </c>
      <c r="P6012" s="1">
        <v>7.5377134596494019E-2</v>
      </c>
      <c r="Q6012" s="1">
        <v>2.2427765989559054</v>
      </c>
      <c r="R6012" s="2">
        <f t="shared" si="375"/>
        <v>96.208805492393438</v>
      </c>
      <c r="S6012" s="2">
        <f t="shared" si="374"/>
        <v>2.1602497542749606</v>
      </c>
      <c r="T6012" s="2">
        <f t="shared" si="376"/>
        <v>3.077036708787142</v>
      </c>
      <c r="U6012" s="2">
        <f t="shared" si="377"/>
        <v>101.44609195545554</v>
      </c>
    </row>
    <row r="6013" spans="1:21" x14ac:dyDescent="0.25">
      <c r="A6013">
        <v>6507969</v>
      </c>
      <c r="B6013">
        <v>65</v>
      </c>
      <c r="C6013" s="1">
        <f>0.517408631033265*(10.3/7.3)</f>
        <v>0.73004231501953765</v>
      </c>
      <c r="D6013" s="1">
        <f>1.02422040541846*(10.3/7.3)</f>
        <v>1.4451329007959159</v>
      </c>
      <c r="E6013" s="1">
        <f>3.47440894992477*(10.3/7.3)</f>
        <v>4.9022482444144062</v>
      </c>
      <c r="F6013" s="1">
        <f>11.3386915249425*(38.9/42.5)</f>
        <v>10.378237654594461</v>
      </c>
      <c r="G6013" s="1">
        <v>0.64631666308726332</v>
      </c>
      <c r="H6013" s="1">
        <v>2.2880440149626455</v>
      </c>
      <c r="I6013" s="1">
        <v>8.4259202954054437</v>
      </c>
      <c r="J6013" s="1">
        <v>2.6016844797066511E-2</v>
      </c>
      <c r="K6013" s="1">
        <v>2.8075457239781221</v>
      </c>
      <c r="L6013" s="1">
        <v>1.5917845270675992</v>
      </c>
      <c r="M6013" s="1">
        <v>0.34647504030740439</v>
      </c>
      <c r="N6013" s="1">
        <v>0.90686590421733515</v>
      </c>
      <c r="O6013" s="1">
        <v>0.27274256410256409</v>
      </c>
      <c r="P6013" s="1">
        <v>0.11084995672008879</v>
      </c>
      <c r="Q6013" s="1">
        <v>1.0329261738837554</v>
      </c>
      <c r="R6013" s="2">
        <f t="shared" si="375"/>
        <v>29.848868262163428</v>
      </c>
      <c r="S6013" s="2">
        <f t="shared" si="374"/>
        <v>2.9444125254952773</v>
      </c>
      <c r="T6013" s="2">
        <f t="shared" si="376"/>
        <v>3.1178680356949031</v>
      </c>
      <c r="U6013" s="2">
        <f t="shared" si="377"/>
        <v>35.911148823353606</v>
      </c>
    </row>
    <row r="6014" spans="1:21" x14ac:dyDescent="0.25">
      <c r="A6014">
        <v>6507977</v>
      </c>
      <c r="B6014">
        <v>51</v>
      </c>
      <c r="C6014" s="1">
        <f>0.825174717536915*(10.3/7.3)</f>
        <v>1.1642876151548252</v>
      </c>
      <c r="D6014" s="1">
        <f>1.85500955385653*(10.3/7.3)</f>
        <v>2.6173422472222305</v>
      </c>
      <c r="E6014" s="1">
        <f>6.23176804329212*(10.3/7.3)</f>
        <v>8.7927686090286112</v>
      </c>
      <c r="F6014" s="1">
        <f>22.3607980311146*(38.9/42.5)</f>
        <v>20.466706903773133</v>
      </c>
      <c r="G6014" s="1">
        <v>1.3377554287424456</v>
      </c>
      <c r="H6014" s="1">
        <v>4.1336978219280471</v>
      </c>
      <c r="I6014" s="1">
        <v>16.661294867674719</v>
      </c>
      <c r="J6014" s="1">
        <v>4.2475800810934626E-2</v>
      </c>
      <c r="K6014" s="1">
        <v>3.7755756002502268</v>
      </c>
      <c r="L6014" s="1">
        <v>2.3916298272244219</v>
      </c>
      <c r="M6014" s="1">
        <v>0.50967489662863208</v>
      </c>
      <c r="N6014" s="1">
        <v>1.3099370551521812</v>
      </c>
      <c r="O6014" s="1">
        <v>0.41094588235294116</v>
      </c>
      <c r="P6014" s="1">
        <v>0.13628598883139983</v>
      </c>
      <c r="Q6014" s="1">
        <v>2.13796529707697</v>
      </c>
      <c r="R6014" s="2">
        <f t="shared" si="375"/>
        <v>57.311818790600981</v>
      </c>
      <c r="S6014" s="2">
        <f t="shared" si="374"/>
        <v>3.9543373898925611</v>
      </c>
      <c r="T6014" s="2">
        <f t="shared" si="376"/>
        <v>4.6221876613581756</v>
      </c>
      <c r="U6014" s="2">
        <f t="shared" si="377"/>
        <v>65.888343841851707</v>
      </c>
    </row>
    <row r="6015" spans="1:21" x14ac:dyDescent="0.25">
      <c r="A6015">
        <v>6508465</v>
      </c>
      <c r="B6015">
        <v>46</v>
      </c>
      <c r="C6015" s="1">
        <f>1.54447172441636*(10.3/7.3)</f>
        <v>2.1791861317107482</v>
      </c>
      <c r="D6015" s="1">
        <f>3.41015587866772*(10.3/7.3)</f>
        <v>4.8115898014078731</v>
      </c>
      <c r="E6015" s="1">
        <f>11.5145109983562*(10.3/7.3)</f>
        <v>16.246501819598514</v>
      </c>
      <c r="F6015" s="1">
        <f>38.5557904488248*(38.9/42.5)</f>
        <v>35.289888199041982</v>
      </c>
      <c r="G6015" s="1">
        <v>2.2374260705603395</v>
      </c>
      <c r="H6015" s="1">
        <v>9.1744671343179505</v>
      </c>
      <c r="I6015" s="1">
        <v>28.387187867597678</v>
      </c>
      <c r="J6015" s="1">
        <v>2.568005362580545E-2</v>
      </c>
      <c r="K6015" s="1">
        <v>1.9396146612322072</v>
      </c>
      <c r="L6015" s="1">
        <v>2.022646214196103</v>
      </c>
      <c r="M6015" s="1">
        <v>0.18001314679360875</v>
      </c>
      <c r="N6015" s="1">
        <v>1.1540018648278656</v>
      </c>
      <c r="O6015" s="1">
        <v>0.13751420289855074</v>
      </c>
      <c r="P6015" s="1">
        <v>8.7755211762787333E-2</v>
      </c>
      <c r="Q6015" s="1">
        <v>3.5757950899366193</v>
      </c>
      <c r="R6015" s="2">
        <f t="shared" si="375"/>
        <v>101.90204211417169</v>
      </c>
      <c r="S6015" s="2">
        <f t="shared" si="374"/>
        <v>2.0530499266208002</v>
      </c>
      <c r="T6015" s="2">
        <f t="shared" si="376"/>
        <v>3.4941754287161277</v>
      </c>
      <c r="U6015" s="2">
        <f t="shared" si="377"/>
        <v>107.44926746950863</v>
      </c>
    </row>
    <row r="6016" spans="1:21" x14ac:dyDescent="0.25">
      <c r="A6016">
        <v>6508473</v>
      </c>
      <c r="B6016">
        <v>66</v>
      </c>
      <c r="C6016" s="1">
        <f>2.16452889330207*(10.3/7.3)</f>
        <v>3.0540613152070364</v>
      </c>
      <c r="D6016" s="1">
        <f>4.4632741771029*(10.3/7.3)</f>
        <v>6.2974964416657331</v>
      </c>
      <c r="E6016" s="1">
        <f>15.2288710952548*(10.3/7.3)</f>
        <v>21.487311271386879</v>
      </c>
      <c r="F6016" s="1">
        <f>44.2211720779194*(38.9/42.5)</f>
        <v>40.475378678378028</v>
      </c>
      <c r="G6016" s="1">
        <v>2.3786800724883586</v>
      </c>
      <c r="H6016" s="1">
        <v>7.0262409089973046</v>
      </c>
      <c r="I6016" s="1">
        <v>31.835229030473158</v>
      </c>
      <c r="J6016" s="1">
        <v>3.0268701129219193E-2</v>
      </c>
      <c r="K6016" s="1">
        <v>2.2112827994052693</v>
      </c>
      <c r="L6016" s="1">
        <v>2.3914539238282475</v>
      </c>
      <c r="M6016" s="1">
        <v>0.20551545037109414</v>
      </c>
      <c r="N6016" s="1">
        <v>1.3223789479343975</v>
      </c>
      <c r="O6016" s="1">
        <v>0.1626472727272727</v>
      </c>
      <c r="P6016" s="1">
        <v>9.9218817032629775E-2</v>
      </c>
      <c r="Q6016" s="1">
        <v>3.8015434948444145</v>
      </c>
      <c r="R6016" s="2">
        <f t="shared" si="375"/>
        <v>116.35594121344091</v>
      </c>
      <c r="S6016" s="2">
        <f t="shared" si="374"/>
        <v>2.340770317567118</v>
      </c>
      <c r="T6016" s="2">
        <f t="shared" si="376"/>
        <v>4.081995594861012</v>
      </c>
      <c r="U6016" s="2">
        <f t="shared" si="377"/>
        <v>122.77870712586905</v>
      </c>
    </row>
    <row r="6017" spans="1:21" x14ac:dyDescent="0.25">
      <c r="A6017">
        <v>6508481</v>
      </c>
      <c r="B6017">
        <v>7</v>
      </c>
      <c r="C6017" s="1">
        <f>2.18235460691341*(10.3/7.3)</f>
        <v>3.0792126645490625</v>
      </c>
      <c r="D6017" s="1">
        <f>4.4643488809896*(10.3/7.3)</f>
        <v>6.2990128046839597</v>
      </c>
      <c r="E6017" s="1">
        <f>15.2455850053962*(10.3/7.3)</f>
        <v>21.510893911723372</v>
      </c>
      <c r="F6017" s="1">
        <f>43.7735428961382*(38.9/42.5)</f>
        <v>40.065666321406518</v>
      </c>
      <c r="G6017" s="1">
        <v>2.338263322294297</v>
      </c>
      <c r="H6017" s="1">
        <v>7.204279737913545</v>
      </c>
      <c r="I6017" s="1">
        <v>31.467340338015298</v>
      </c>
      <c r="J6017" s="1">
        <v>3.0869913505728958E-2</v>
      </c>
      <c r="K6017" s="1">
        <v>2.2098124720576391</v>
      </c>
      <c r="L6017" s="1">
        <v>2.3850379288325101</v>
      </c>
      <c r="M6017" s="1">
        <v>0.20146947337138549</v>
      </c>
      <c r="N6017" s="1">
        <v>1.3345692521449435</v>
      </c>
      <c r="O6017" s="1">
        <v>0.16179809523809524</v>
      </c>
      <c r="P6017" s="1">
        <v>9.8730140701235661E-2</v>
      </c>
      <c r="Q6017" s="1">
        <v>3.736950515082214</v>
      </c>
      <c r="R6017" s="2">
        <f t="shared" si="375"/>
        <v>115.70161961566828</v>
      </c>
      <c r="S6017" s="2">
        <f t="shared" si="374"/>
        <v>2.3394125262646037</v>
      </c>
      <c r="T6017" s="2">
        <f t="shared" si="376"/>
        <v>4.0828747495869342</v>
      </c>
      <c r="U6017" s="2">
        <f t="shared" si="377"/>
        <v>122.12390689151982</v>
      </c>
    </row>
    <row r="6018" spans="1:21" x14ac:dyDescent="0.25">
      <c r="A6018">
        <v>6508489</v>
      </c>
      <c r="B6018">
        <v>15</v>
      </c>
      <c r="C6018" s="1">
        <f>1.87167941112769*(10.3/7.3)</f>
        <v>2.6408627307692032</v>
      </c>
      <c r="D6018" s="1">
        <f>3.73115236348611*(10.3/7.3)</f>
        <v>5.2645026498502689</v>
      </c>
      <c r="E6018" s="1">
        <f>12.7532034249997*(10.3/7.3)</f>
        <v>17.994245928424188</v>
      </c>
      <c r="F6018" s="1">
        <f>36.509523402366*(38.9/42.5)</f>
        <v>33.416952008283239</v>
      </c>
      <c r="G6018" s="1">
        <v>1.9433975021256258</v>
      </c>
      <c r="H6018" s="1">
        <v>6.8496242385707111</v>
      </c>
      <c r="I6018" s="1">
        <v>26.336763134335531</v>
      </c>
      <c r="J6018" s="1">
        <v>2.8341772295713892E-2</v>
      </c>
      <c r="K6018" s="1">
        <v>1.9284635271146289</v>
      </c>
      <c r="L6018" s="1">
        <v>2.0275586537488617</v>
      </c>
      <c r="M6018" s="1">
        <v>0.17057003692330808</v>
      </c>
      <c r="N6018" s="1">
        <v>1.3327896775178862</v>
      </c>
      <c r="O6018" s="1">
        <v>0.13560533333333333</v>
      </c>
      <c r="P6018" s="1">
        <v>8.7831657381516354E-2</v>
      </c>
      <c r="Q6018" s="1">
        <v>3.1058864189222364</v>
      </c>
      <c r="R6018" s="2">
        <f t="shared" si="375"/>
        <v>97.552234611280994</v>
      </c>
      <c r="S6018" s="2">
        <f t="shared" si="374"/>
        <v>2.0446369567918592</v>
      </c>
      <c r="T6018" s="2">
        <f t="shared" si="376"/>
        <v>3.6665237015233894</v>
      </c>
      <c r="U6018" s="2">
        <f t="shared" si="377"/>
        <v>103.26339526959624</v>
      </c>
    </row>
    <row r="6019" spans="1:21" x14ac:dyDescent="0.25">
      <c r="A6019">
        <v>6508497</v>
      </c>
      <c r="B6019">
        <v>26</v>
      </c>
      <c r="C6019" s="1">
        <f>1.71456963353638*(10.3/7.3)</f>
        <v>2.4191872911540733</v>
      </c>
      <c r="D6019" s="1">
        <f>3.38269032205568*(10.3/7.3)</f>
        <v>4.7728370297497964</v>
      </c>
      <c r="E6019" s="1">
        <f>11.5566527062464*(10.3/7.3)</f>
        <v>16.305962037580514</v>
      </c>
      <c r="F6019" s="1">
        <f>33.5442289834214*(38.9/42.5)</f>
        <v>30.70283546953161</v>
      </c>
      <c r="G6019" s="1">
        <v>1.7984695483003159</v>
      </c>
      <c r="H6019" s="1">
        <v>8.051341562720614</v>
      </c>
      <c r="I6019" s="1">
        <v>24.317160784478038</v>
      </c>
      <c r="J6019" s="1">
        <v>2.6538954699377785E-2</v>
      </c>
      <c r="K6019" s="1">
        <v>1.8605439666837695</v>
      </c>
      <c r="L6019" s="1">
        <v>1.9222526381853344</v>
      </c>
      <c r="M6019" s="1">
        <v>0.16184724459623878</v>
      </c>
      <c r="N6019" s="1">
        <v>1.1711640379020318</v>
      </c>
      <c r="O6019" s="1">
        <v>0.12857641025641028</v>
      </c>
      <c r="P6019" s="1">
        <v>8.4990053256240414E-2</v>
      </c>
      <c r="Q6019" s="1">
        <v>2.8742664013932018</v>
      </c>
      <c r="R6019" s="2">
        <f t="shared" si="375"/>
        <v>91.24206012490815</v>
      </c>
      <c r="S6019" s="2">
        <f t="shared" si="374"/>
        <v>1.9720729746393877</v>
      </c>
      <c r="T6019" s="2">
        <f t="shared" si="376"/>
        <v>3.3838403309400156</v>
      </c>
      <c r="U6019" s="2">
        <f t="shared" si="377"/>
        <v>96.597973430487556</v>
      </c>
    </row>
    <row r="6020" spans="1:21" x14ac:dyDescent="0.25">
      <c r="A6020">
        <v>6508505</v>
      </c>
      <c r="B6020">
        <v>52</v>
      </c>
      <c r="C6020" s="1">
        <f>1.91723888751616*(10.3/7.3)</f>
        <v>2.705145279646084</v>
      </c>
      <c r="D6020" s="1">
        <f>3.70228853873443*(10.3/7.3)</f>
        <v>5.2237769793102187</v>
      </c>
      <c r="E6020" s="1">
        <f>12.6303792784625*(10.3/7.3)</f>
        <v>17.820946105227947</v>
      </c>
      <c r="F6020" s="1">
        <f>38.0026800733512*(38.9/42.5)</f>
        <v>34.783629525961459</v>
      </c>
      <c r="G6020" s="1">
        <v>2.0754555653304831</v>
      </c>
      <c r="H6020" s="1">
        <v>8.1765967119537173</v>
      </c>
      <c r="I6020" s="1">
        <v>27.867744384349123</v>
      </c>
      <c r="J6020" s="1">
        <v>2.7943618343161572E-2</v>
      </c>
      <c r="K6020" s="1">
        <v>1.9208568084932975</v>
      </c>
      <c r="L6020" s="1">
        <v>1.9993041391320621</v>
      </c>
      <c r="M6020" s="1">
        <v>0.1651115722669155</v>
      </c>
      <c r="N6020" s="1">
        <v>1.2508607028432128</v>
      </c>
      <c r="O6020" s="1">
        <v>0.13244102564102561</v>
      </c>
      <c r="P6020" s="1">
        <v>8.7376028525021049E-2</v>
      </c>
      <c r="Q6020" s="1">
        <v>3.3169381181080828</v>
      </c>
      <c r="R6020" s="2">
        <f t="shared" si="375"/>
        <v>101.97023266988712</v>
      </c>
      <c r="S6020" s="2">
        <f t="shared" si="374"/>
        <v>2.0361764553614803</v>
      </c>
      <c r="T6020" s="2">
        <f t="shared" si="376"/>
        <v>3.5477174398832161</v>
      </c>
      <c r="U6020" s="2">
        <f t="shared" si="377"/>
        <v>107.55412656513182</v>
      </c>
    </row>
    <row r="6021" spans="1:21" x14ac:dyDescent="0.25">
      <c r="A6021">
        <v>6508833</v>
      </c>
      <c r="B6021">
        <v>14</v>
      </c>
      <c r="C6021" s="1">
        <f>2.48095966432657*(10.3/7.3)</f>
        <v>3.5005321291183091</v>
      </c>
      <c r="D6021" s="1">
        <f>3.61082622179807*(10.3/7.3)</f>
        <v>5.0947274088383692</v>
      </c>
      <c r="E6021" s="1">
        <f>12.6411200873176*(10.3/7.3)</f>
        <v>17.836100945119306</v>
      </c>
      <c r="F6021" s="1">
        <f>27.5681812451667*(38.9/42.5)</f>
        <v>25.23299412792905</v>
      </c>
      <c r="G6021" s="1">
        <v>1.1515736104379506</v>
      </c>
      <c r="H6021" s="1">
        <v>5.100772095793781</v>
      </c>
      <c r="I6021" s="1">
        <v>19.953335880984209</v>
      </c>
      <c r="J6021" s="1">
        <v>2.3849835975393825E-2</v>
      </c>
      <c r="K6021" s="1">
        <v>1.8109666322598161</v>
      </c>
      <c r="L6021" s="1">
        <v>1.4596099126557205</v>
      </c>
      <c r="M6021" s="1">
        <v>8.9616344348902574E-2</v>
      </c>
      <c r="N6021" s="1">
        <v>0.93568779591114049</v>
      </c>
      <c r="O6021" s="1">
        <v>8.6910476190476191E-2</v>
      </c>
      <c r="P6021" s="1">
        <v>6.555097065106881E-2</v>
      </c>
      <c r="Q6021" s="1">
        <v>1.8404144459054026</v>
      </c>
      <c r="R6021" s="2">
        <f t="shared" si="375"/>
        <v>79.710450644126382</v>
      </c>
      <c r="S6021" s="2">
        <f t="shared" si="374"/>
        <v>1.9003674388862788</v>
      </c>
      <c r="T6021" s="2">
        <f t="shared" si="376"/>
        <v>2.5718245291062396</v>
      </c>
      <c r="U6021" s="2">
        <f t="shared" si="377"/>
        <v>84.182642612118897</v>
      </c>
    </row>
    <row r="6022" spans="1:21" x14ac:dyDescent="0.25">
      <c r="A6022">
        <v>6520197</v>
      </c>
      <c r="B6022">
        <v>3</v>
      </c>
      <c r="C6022" s="1">
        <f>0.338388719025823*(10.3/7.3)</f>
        <v>0.47745257615972314</v>
      </c>
      <c r="D6022" s="1">
        <f>0.612105171518571*(10.3/7.3)</f>
        <v>0.86365524200565491</v>
      </c>
      <c r="E6022" s="1">
        <f>2.08990721976765*(10.3/7.3)</f>
        <v>2.9487732004940819</v>
      </c>
      <c r="F6022" s="1">
        <f>6.41574933791709*(38.9/42.5)</f>
        <v>5.8722976292935272</v>
      </c>
      <c r="G6022" s="1">
        <v>0.35257117626623025</v>
      </c>
      <c r="H6022" s="1">
        <v>1.3569587757419566</v>
      </c>
      <c r="I6022" s="1">
        <v>4.7743037082347035</v>
      </c>
      <c r="J6022" s="1">
        <v>2.1142469920966731E-2</v>
      </c>
      <c r="K6022" s="1">
        <v>2.3105416729804578</v>
      </c>
      <c r="L6022" s="1">
        <v>1.3046796949820711</v>
      </c>
      <c r="M6022" s="1">
        <v>0.29208623258819938</v>
      </c>
      <c r="N6022" s="1">
        <v>0.75651083213957604</v>
      </c>
      <c r="O6022" s="1">
        <v>0.20903111111111108</v>
      </c>
      <c r="P6022" s="1">
        <v>9.5733315164436686E-2</v>
      </c>
      <c r="Q6022" s="1">
        <v>0.56346991640721777</v>
      </c>
      <c r="R6022" s="2">
        <f t="shared" si="375"/>
        <v>17.209482224603097</v>
      </c>
      <c r="S6022" s="2">
        <f t="shared" si="374"/>
        <v>2.4274174580658614</v>
      </c>
      <c r="T6022" s="2">
        <f t="shared" si="376"/>
        <v>2.5623078708209577</v>
      </c>
      <c r="U6022" s="2">
        <f t="shared" si="377"/>
        <v>22.199207553489916</v>
      </c>
    </row>
    <row r="6023" spans="1:21" x14ac:dyDescent="0.25">
      <c r="A6023">
        <v>6520205</v>
      </c>
      <c r="B6023">
        <v>61</v>
      </c>
      <c r="C6023" s="1">
        <f>0.66549337410988*(10.3/7.3)</f>
        <v>0.93898380182626839</v>
      </c>
      <c r="D6023" s="1">
        <f>1.44812708241606*(10.3/7.3)</f>
        <v>2.0432478012171811</v>
      </c>
      <c r="E6023" s="1">
        <f>4.8751218087652*(10.3/7.3)</f>
        <v>6.8785965246961105</v>
      </c>
      <c r="F6023" s="1">
        <f>17.1739958992899*(38.9/42.5)</f>
        <v>15.719257423114771</v>
      </c>
      <c r="G6023" s="1">
        <v>1.0181111419531852</v>
      </c>
      <c r="H6023" s="1">
        <v>3.3703031477281171</v>
      </c>
      <c r="I6023" s="1">
        <v>12.799022090483829</v>
      </c>
      <c r="J6023" s="1">
        <v>3.5597697094368864E-2</v>
      </c>
      <c r="K6023" s="1">
        <v>3.3650353756446032</v>
      </c>
      <c r="L6023" s="1">
        <v>2.0462425769303381</v>
      </c>
      <c r="M6023" s="1">
        <v>0.42890424891776024</v>
      </c>
      <c r="N6023" s="1">
        <v>1.135530609705951</v>
      </c>
      <c r="O6023" s="1">
        <v>0.35333420765027324</v>
      </c>
      <c r="P6023" s="1">
        <v>0.12663361474532767</v>
      </c>
      <c r="Q6023" s="1">
        <v>1.6271182633955026</v>
      </c>
      <c r="R6023" s="2">
        <f t="shared" si="375"/>
        <v>44.394640194414961</v>
      </c>
      <c r="S6023" s="2">
        <f t="shared" si="374"/>
        <v>3.5272666874842997</v>
      </c>
      <c r="T6023" s="2">
        <f t="shared" si="376"/>
        <v>3.9640116432043229</v>
      </c>
      <c r="U6023" s="2">
        <f t="shared" si="377"/>
        <v>51.885918525103584</v>
      </c>
    </row>
    <row r="6024" spans="1:21" x14ac:dyDescent="0.25">
      <c r="A6024">
        <v>6520213</v>
      </c>
      <c r="B6024">
        <v>10</v>
      </c>
      <c r="C6024" s="1">
        <f>0.813311869409994*(10.3/7.3)</f>
        <v>1.1475496239620464</v>
      </c>
      <c r="D6024" s="1">
        <f>1.9264819239298*(10.3/7.3)</f>
        <v>2.7181868241749187</v>
      </c>
      <c r="E6024" s="1">
        <f>6.44192521043497*(10.3/7.3)</f>
        <v>9.0892917352712619</v>
      </c>
      <c r="F6024" s="1">
        <f>24.2347179707959*(38.9/42.5)</f>
        <v>22.18189480150491</v>
      </c>
      <c r="G6024" s="1">
        <v>1.4803483015657877</v>
      </c>
      <c r="H6024" s="1">
        <v>5.1101775366026203</v>
      </c>
      <c r="I6024" s="1">
        <v>18.120928331566738</v>
      </c>
      <c r="J6024" s="1">
        <v>4.2376875923339864E-2</v>
      </c>
      <c r="K6024" s="1">
        <v>3.4354052988471429</v>
      </c>
      <c r="L6024" s="1">
        <v>2.2478345209132558</v>
      </c>
      <c r="M6024" s="1">
        <v>0.46092153514053286</v>
      </c>
      <c r="N6024" s="1">
        <v>1.2825241169496961</v>
      </c>
      <c r="O6024" s="1">
        <v>0.37657599999999997</v>
      </c>
      <c r="P6024" s="1">
        <v>0.1260658762108732</v>
      </c>
      <c r="Q6024" s="1">
        <v>2.3658534499909871</v>
      </c>
      <c r="R6024" s="2">
        <f t="shared" si="375"/>
        <v>62.214230604639276</v>
      </c>
      <c r="S6024" s="2">
        <f t="shared" si="374"/>
        <v>3.6038480509813562</v>
      </c>
      <c r="T6024" s="2">
        <f t="shared" si="376"/>
        <v>4.3678561730034842</v>
      </c>
      <c r="U6024" s="2">
        <f t="shared" si="377"/>
        <v>70.185934828624127</v>
      </c>
    </row>
    <row r="6025" spans="1:21" x14ac:dyDescent="0.25">
      <c r="A6025">
        <v>6520685</v>
      </c>
      <c r="B6025">
        <v>1</v>
      </c>
      <c r="C6025" s="1">
        <f>1.38605548753515*(10.3/7.3)</f>
        <v>1.9556673317276796</v>
      </c>
      <c r="D6025" s="1">
        <f>3.02795503116413*(10.3/7.3)</f>
        <v>4.2723201124644605</v>
      </c>
      <c r="E6025" s="1">
        <f>10.2304766996453*(10.3/7.3)</f>
        <v>14.434782192650225</v>
      </c>
      <c r="F6025" s="1">
        <f>34.0682175282563*(38.9/42.5)</f>
        <v>31.182439102333444</v>
      </c>
      <c r="G6025" s="1">
        <v>1.9710080669539405</v>
      </c>
      <c r="H6025" s="1">
        <v>8.9821959724416001</v>
      </c>
      <c r="I6025" s="1">
        <v>25.087800008911753</v>
      </c>
      <c r="J6025" s="1">
        <v>2.5068847797646128E-2</v>
      </c>
      <c r="K6025" s="1">
        <v>1.9109992428745857</v>
      </c>
      <c r="L6025" s="1">
        <v>1.964039057372386</v>
      </c>
      <c r="M6025" s="1">
        <v>0.17890683459424564</v>
      </c>
      <c r="N6025" s="1">
        <v>1.1223701618486426</v>
      </c>
      <c r="O6025" s="1">
        <v>0.13642666666666667</v>
      </c>
      <c r="P6025" s="1">
        <v>8.5807628240361006E-2</v>
      </c>
      <c r="Q6025" s="1">
        <v>3.1500128923921458</v>
      </c>
      <c r="R6025" s="2">
        <f t="shared" si="375"/>
        <v>91.036225679875244</v>
      </c>
      <c r="S6025" s="2">
        <f t="shared" ref="S6025:S6088" si="378">J6025+K6025+P6025</f>
        <v>2.0218757189125927</v>
      </c>
      <c r="T6025" s="2">
        <f t="shared" si="376"/>
        <v>3.4017427204819408</v>
      </c>
      <c r="U6025" s="2">
        <f t="shared" si="377"/>
        <v>96.459844119269775</v>
      </c>
    </row>
    <row r="6026" spans="1:21" x14ac:dyDescent="0.25">
      <c r="A6026">
        <v>6520693</v>
      </c>
      <c r="B6026">
        <v>40</v>
      </c>
      <c r="C6026" s="1">
        <f>1.48983041778724*(10.3/7.3)</f>
        <v>2.1020894935902215</v>
      </c>
      <c r="D6026" s="1">
        <f>3.20643744235993*(10.3/7.3)</f>
        <v>4.5241514597681141</v>
      </c>
      <c r="E6026" s="1">
        <f>10.838186038639*(10.3/7.3)</f>
        <v>15.292235095613959</v>
      </c>
      <c r="F6026" s="1">
        <f>36.0718809103925*(38.9/42.5)</f>
        <v>33.016380409747477</v>
      </c>
      <c r="G6026" s="1">
        <v>2.0847675281944364</v>
      </c>
      <c r="H6026" s="1">
        <v>8.369750616916015</v>
      </c>
      <c r="I6026" s="1">
        <v>26.611122541003358</v>
      </c>
      <c r="J6026" s="1">
        <v>2.3692776819180209E-2</v>
      </c>
      <c r="K6026" s="1">
        <v>1.832234762489195</v>
      </c>
      <c r="L6026" s="1">
        <v>1.8714001688815203</v>
      </c>
      <c r="M6026" s="1">
        <v>0.17048465403798238</v>
      </c>
      <c r="N6026" s="1">
        <v>1.0535024976905265</v>
      </c>
      <c r="O6026" s="1">
        <v>0.12892533333333334</v>
      </c>
      <c r="P6026" s="1">
        <v>8.2644616532069809E-2</v>
      </c>
      <c r="Q6026" s="1">
        <v>3.3318202505390579</v>
      </c>
      <c r="R6026" s="2">
        <f t="shared" ref="R6026:R6089" si="379">C6026+D6026+E6026+F6026+G6026+H6026+I6026+Q6026</f>
        <v>95.332317395372627</v>
      </c>
      <c r="S6026" s="2">
        <f t="shared" si="378"/>
        <v>1.938572155840445</v>
      </c>
      <c r="T6026" s="2">
        <f t="shared" ref="T6026:T6089" si="380">L6026+M6026+N6026+O6026</f>
        <v>3.2243126539433629</v>
      </c>
      <c r="U6026" s="2">
        <f t="shared" ref="U6026:U6089" si="381">R6026+S6026+T6026</f>
        <v>100.49520220515643</v>
      </c>
    </row>
    <row r="6027" spans="1:21" x14ac:dyDescent="0.25">
      <c r="A6027">
        <v>6520701</v>
      </c>
      <c r="B6027">
        <v>51</v>
      </c>
      <c r="C6027" s="1">
        <f>1.8014035551995*(10.3/7.3)</f>
        <v>2.541706386103411</v>
      </c>
      <c r="D6027" s="1">
        <f>3.76179612312551*(10.3/7.3)</f>
        <v>5.3077397353688731</v>
      </c>
      <c r="E6027" s="1">
        <f>12.8105490415906*(10.3/7.3)</f>
        <v>18.075158236764821</v>
      </c>
      <c r="F6027" s="1">
        <f>38.2448612723321*(38.9/42.5)</f>
        <v>35.005296552793375</v>
      </c>
      <c r="G6027" s="1">
        <v>2.0906524453283906</v>
      </c>
      <c r="H6027" s="1">
        <v>7.9600458610103813</v>
      </c>
      <c r="I6027" s="1">
        <v>27.660245713806162</v>
      </c>
      <c r="J6027" s="1">
        <v>2.7628914064501214E-2</v>
      </c>
      <c r="K6027" s="1">
        <v>2.0619950047883155</v>
      </c>
      <c r="L6027" s="1">
        <v>2.1726589227332256</v>
      </c>
      <c r="M6027" s="1">
        <v>0.19076010274156555</v>
      </c>
      <c r="N6027" s="1">
        <v>1.2228612908130758</v>
      </c>
      <c r="O6027" s="1">
        <v>0.14836392156862738</v>
      </c>
      <c r="P6027" s="1">
        <v>9.2648124970956897E-2</v>
      </c>
      <c r="Q6027" s="1">
        <v>3.3412253692462892</v>
      </c>
      <c r="R6027" s="2">
        <f t="shared" si="379"/>
        <v>101.9820703004217</v>
      </c>
      <c r="S6027" s="2">
        <f t="shared" si="378"/>
        <v>2.1822720438237737</v>
      </c>
      <c r="T6027" s="2">
        <f t="shared" si="380"/>
        <v>3.7346442378564944</v>
      </c>
      <c r="U6027" s="2">
        <f t="shared" si="381"/>
        <v>107.89898658210197</v>
      </c>
    </row>
    <row r="6028" spans="1:21" x14ac:dyDescent="0.25">
      <c r="A6028">
        <v>6520709</v>
      </c>
      <c r="B6028">
        <v>55</v>
      </c>
      <c r="C6028" s="1">
        <f>2.0387688587891*(10.3/7.3)</f>
        <v>2.8766190747298261</v>
      </c>
      <c r="D6028" s="1">
        <f>4.2053788231014*(10.3/7.3)</f>
        <v>5.9336166956088263</v>
      </c>
      <c r="E6028" s="1">
        <f>14.3535133962379*(10.3/7.3)</f>
        <v>20.252217531678191</v>
      </c>
      <c r="F6028" s="1">
        <f>41.436489964115*(38.9/42.5)</f>
        <v>37.926575520095874</v>
      </c>
      <c r="G6028" s="1">
        <v>2.2215710165452358</v>
      </c>
      <c r="H6028" s="1">
        <v>7.0896869182629914</v>
      </c>
      <c r="I6028" s="1">
        <v>29.787068044229905</v>
      </c>
      <c r="J6028" s="1">
        <v>2.9796085379824283E-2</v>
      </c>
      <c r="K6028" s="1">
        <v>2.1344780936216954</v>
      </c>
      <c r="L6028" s="1">
        <v>2.276330684764182</v>
      </c>
      <c r="M6028" s="1">
        <v>0.19517419086754001</v>
      </c>
      <c r="N6028" s="1">
        <v>1.2842449003720569</v>
      </c>
      <c r="O6028" s="1">
        <v>0.1554947878787879</v>
      </c>
      <c r="P6028" s="1">
        <v>9.5578686777888777E-2</v>
      </c>
      <c r="Q6028" s="1">
        <v>3.5504559625152177</v>
      </c>
      <c r="R6028" s="2">
        <f t="shared" si="379"/>
        <v>109.63781076366605</v>
      </c>
      <c r="S6028" s="2">
        <f t="shared" si="378"/>
        <v>2.2598528657794086</v>
      </c>
      <c r="T6028" s="2">
        <f t="shared" si="380"/>
        <v>3.9112445638825672</v>
      </c>
      <c r="U6028" s="2">
        <f t="shared" si="381"/>
        <v>115.80890819332802</v>
      </c>
    </row>
    <row r="6029" spans="1:21" x14ac:dyDescent="0.25">
      <c r="A6029">
        <v>6520717</v>
      </c>
      <c r="B6029">
        <v>1</v>
      </c>
      <c r="C6029" s="1">
        <f>1.71862914618224*(10.3/7.3)</f>
        <v>2.4249150966680855</v>
      </c>
      <c r="D6029" s="1">
        <f>3.53785570282548*(10.3/7.3)</f>
        <v>4.9917690053564971</v>
      </c>
      <c r="E6029" s="1">
        <f>12.0739776408376*(10.3/7.3)</f>
        <v>17.035886260359916</v>
      </c>
      <c r="F6029" s="1">
        <f>34.9519584555056*(38.9/42.5)</f>
        <v>31.991321974568699</v>
      </c>
      <c r="G6029" s="1">
        <v>1.8765885188363867</v>
      </c>
      <c r="H6029" s="1">
        <v>6.6778629742759543</v>
      </c>
      <c r="I6029" s="1">
        <v>25.150274000925329</v>
      </c>
      <c r="J6029" s="1">
        <v>2.8157900132901103E-2</v>
      </c>
      <c r="K6029" s="1">
        <v>1.9202036064972439</v>
      </c>
      <c r="L6029" s="1">
        <v>1.9927053530023049</v>
      </c>
      <c r="M6029" s="1">
        <v>0.17441642708251553</v>
      </c>
      <c r="N6029" s="1">
        <v>1.1846649002633638</v>
      </c>
      <c r="O6029" s="1">
        <v>0.13568</v>
      </c>
      <c r="P6029" s="1">
        <v>8.7274820268166561E-2</v>
      </c>
      <c r="Q6029" s="1">
        <v>2.999114071199708</v>
      </c>
      <c r="R6029" s="2">
        <f t="shared" si="379"/>
        <v>93.147731902190586</v>
      </c>
      <c r="S6029" s="2">
        <f t="shared" si="378"/>
        <v>2.0356363268983113</v>
      </c>
      <c r="T6029" s="2">
        <f t="shared" si="380"/>
        <v>3.4874666803481844</v>
      </c>
      <c r="U6029" s="2">
        <f t="shared" si="381"/>
        <v>98.670834909437076</v>
      </c>
    </row>
    <row r="6030" spans="1:21" x14ac:dyDescent="0.25">
      <c r="A6030">
        <v>6520733</v>
      </c>
      <c r="B6030">
        <v>65</v>
      </c>
      <c r="C6030" s="1">
        <f>1.70234207506876*(10.3/7.3)</f>
        <v>2.40193470865866</v>
      </c>
      <c r="D6030" s="1">
        <f>3.34167651757825*(10.3/7.3)</f>
        <v>4.7149682371309591</v>
      </c>
      <c r="E6030" s="1">
        <f>11.4163160334736*(10.3/7.3)</f>
        <v>16.107952759558675</v>
      </c>
      <c r="F6030" s="1">
        <f>33.2341751527017*(38.9/42.5)</f>
        <v>30.41904502211991</v>
      </c>
      <c r="G6030" s="1">
        <v>1.7841828142276337</v>
      </c>
      <c r="H6030" s="1">
        <v>7.1743875637887475</v>
      </c>
      <c r="I6030" s="1">
        <v>24.128402660079537</v>
      </c>
      <c r="J6030" s="1">
        <v>2.5584299134061458E-2</v>
      </c>
      <c r="K6030" s="1">
        <v>1.8093253443477144</v>
      </c>
      <c r="L6030" s="1">
        <v>1.8571849779221756</v>
      </c>
      <c r="M6030" s="1">
        <v>0.15688009019919288</v>
      </c>
      <c r="N6030" s="1">
        <v>1.1323946782691443</v>
      </c>
      <c r="O6030" s="1">
        <v>0.12489517948717951</v>
      </c>
      <c r="P6030" s="1">
        <v>8.2776183611330559E-2</v>
      </c>
      <c r="Q6030" s="1">
        <v>2.8514337213683665</v>
      </c>
      <c r="R6030" s="2">
        <f t="shared" si="379"/>
        <v>89.582307486932493</v>
      </c>
      <c r="S6030" s="2">
        <f t="shared" si="378"/>
        <v>1.9176858270931063</v>
      </c>
      <c r="T6030" s="2">
        <f t="shared" si="380"/>
        <v>3.2713549258776924</v>
      </c>
      <c r="U6030" s="2">
        <f t="shared" si="381"/>
        <v>94.77134823990329</v>
      </c>
    </row>
    <row r="6031" spans="1:21" x14ac:dyDescent="0.25">
      <c r="A6031">
        <v>6520741</v>
      </c>
      <c r="B6031">
        <v>17</v>
      </c>
      <c r="C6031" s="1">
        <f>1.76630701834474*(10.3/7.3)</f>
        <v>2.4921866149247758</v>
      </c>
      <c r="D6031" s="1">
        <f>3.42314066015573*(10.3/7.3)</f>
        <v>4.8299107944663042</v>
      </c>
      <c r="E6031" s="1">
        <f>11.6634689393409*(10.3/7.3)</f>
        <v>16.45667535276872</v>
      </c>
      <c r="F6031" s="1">
        <f>35.7806642590094*(38.9/42.5)</f>
        <v>32.749831521775697</v>
      </c>
      <c r="G6031" s="1">
        <v>1.9748580618972364</v>
      </c>
      <c r="H6031" s="1">
        <v>7.2516739009328779</v>
      </c>
      <c r="I6031" s="1">
        <v>26.333188688316064</v>
      </c>
      <c r="J6031" s="1">
        <v>2.7262334539907018E-2</v>
      </c>
      <c r="K6031" s="1">
        <v>1.8830060965964865</v>
      </c>
      <c r="L6031" s="1">
        <v>1.9428145271490811</v>
      </c>
      <c r="M6031" s="1">
        <v>0.16094897030321709</v>
      </c>
      <c r="N6031" s="1">
        <v>1.2478149396276264</v>
      </c>
      <c r="O6031" s="1">
        <v>0.12833254901960783</v>
      </c>
      <c r="P6031" s="1">
        <v>8.5501957911268398E-2</v>
      </c>
      <c r="Q6031" s="1">
        <v>3.1561658523471845</v>
      </c>
      <c r="R6031" s="2">
        <f t="shared" si="379"/>
        <v>95.244490787428845</v>
      </c>
      <c r="S6031" s="2">
        <f t="shared" si="378"/>
        <v>1.9957703890476619</v>
      </c>
      <c r="T6031" s="2">
        <f t="shared" si="380"/>
        <v>3.4799109860995325</v>
      </c>
      <c r="U6031" s="2">
        <f t="shared" si="381"/>
        <v>100.72017216257603</v>
      </c>
    </row>
    <row r="6032" spans="1:21" x14ac:dyDescent="0.25">
      <c r="A6032">
        <v>6532433</v>
      </c>
      <c r="B6032">
        <v>58</v>
      </c>
      <c r="C6032" s="1">
        <f>0.486621255432804*(10.3/7.3)</f>
        <v>0.68660259328190176</v>
      </c>
      <c r="D6032" s="1">
        <f>0.980500460170542*(10.3/7.3)</f>
        <v>1.3834458547611759</v>
      </c>
      <c r="E6032" s="1">
        <f>3.31901612094004*(10.3/7.3)</f>
        <v>4.6829953487236171</v>
      </c>
      <c r="F6032" s="1">
        <f>11.1105003925838*(38.9/42.5)</f>
        <v>10.169375653447259</v>
      </c>
      <c r="G6032" s="1">
        <v>0.6415201523197076</v>
      </c>
      <c r="H6032" s="1">
        <v>2.4615787638065316</v>
      </c>
      <c r="I6032" s="1">
        <v>8.2779960601034244</v>
      </c>
      <c r="J6032" s="1">
        <v>2.6417455005586885E-2</v>
      </c>
      <c r="K6032" s="1">
        <v>2.7497628330537691</v>
      </c>
      <c r="L6032" s="1">
        <v>1.5546409936791412</v>
      </c>
      <c r="M6032" s="1">
        <v>0.33360301853725849</v>
      </c>
      <c r="N6032" s="1">
        <v>0.90765617085671602</v>
      </c>
      <c r="O6032" s="1">
        <v>0.26885609195402294</v>
      </c>
      <c r="P6032" s="1">
        <v>0.10862698595699269</v>
      </c>
      <c r="Q6032" s="1">
        <v>1.0252605174059259</v>
      </c>
      <c r="R6032" s="2">
        <f t="shared" si="379"/>
        <v>29.328774943849545</v>
      </c>
      <c r="S6032" s="2">
        <f t="shared" si="378"/>
        <v>2.8848072740163486</v>
      </c>
      <c r="T6032" s="2">
        <f t="shared" si="380"/>
        <v>3.0647562750271389</v>
      </c>
      <c r="U6032" s="2">
        <f t="shared" si="381"/>
        <v>35.278338492893027</v>
      </c>
    </row>
    <row r="6033" spans="1:21" x14ac:dyDescent="0.25">
      <c r="A6033">
        <v>6532441</v>
      </c>
      <c r="B6033">
        <v>17</v>
      </c>
      <c r="C6033" s="1">
        <f>0.681524139231069*(10.3/7.3)</f>
        <v>0.96160255261369953</v>
      </c>
      <c r="D6033" s="1">
        <f>1.59520658160489*(10.3/7.3)</f>
        <v>2.250770930209637</v>
      </c>
      <c r="E6033" s="1">
        <f>5.33420911458448*(10.3/7.3)</f>
        <v>7.5263498466054974</v>
      </c>
      <c r="F6033" s="1">
        <f>20.1471327831405*(38.9/42.5)</f>
        <v>18.440552123862716</v>
      </c>
      <c r="G6033" s="1">
        <v>1.2319037098479135</v>
      </c>
      <c r="H6033" s="1">
        <v>3.6090020017917928</v>
      </c>
      <c r="I6033" s="1">
        <v>15.09464329811558</v>
      </c>
      <c r="J6033" s="1">
        <v>4.3951104517267872E-2</v>
      </c>
      <c r="K6033" s="1">
        <v>3.3237612954165665</v>
      </c>
      <c r="L6033" s="1">
        <v>2.1335892265693803</v>
      </c>
      <c r="M6033" s="1">
        <v>0.43995312574974382</v>
      </c>
      <c r="N6033" s="1">
        <v>1.1864015232705443</v>
      </c>
      <c r="O6033" s="1">
        <v>0.36643764705882342</v>
      </c>
      <c r="P6033" s="1">
        <v>0.12308613094739862</v>
      </c>
      <c r="Q6033" s="1">
        <v>1.9687958833185859</v>
      </c>
      <c r="R6033" s="2">
        <f t="shared" si="379"/>
        <v>51.083620346365414</v>
      </c>
      <c r="S6033" s="2">
        <f t="shared" si="378"/>
        <v>3.490798530881233</v>
      </c>
      <c r="T6033" s="2">
        <f t="shared" si="380"/>
        <v>4.1263815226484919</v>
      </c>
      <c r="U6033" s="2">
        <f t="shared" si="381"/>
        <v>58.700800399895144</v>
      </c>
    </row>
    <row r="6034" spans="1:21" x14ac:dyDescent="0.25">
      <c r="A6034">
        <v>6532921</v>
      </c>
      <c r="B6034">
        <v>29</v>
      </c>
      <c r="C6034" s="1">
        <f>1.44883451680114*(10.3/7.3)</f>
        <v>2.0442459620618778</v>
      </c>
      <c r="D6034" s="1">
        <f>3.35608028284121*(10.3/7.3)</f>
        <v>4.7352913579814313</v>
      </c>
      <c r="E6034" s="1">
        <f>11.2663189024638*(10.3/7.3)</f>
        <v>15.896312971969486</v>
      </c>
      <c r="F6034" s="1">
        <f>40.4084136870129*(38.9/42.5)</f>
        <v>36.985583351171812</v>
      </c>
      <c r="G6034" s="1">
        <v>2.4203148821340252</v>
      </c>
      <c r="H6034" s="1">
        <v>8.9216165938329421</v>
      </c>
      <c r="I6034" s="1">
        <v>30.004459500954724</v>
      </c>
      <c r="J6034" s="1">
        <v>2.4973156237052312E-2</v>
      </c>
      <c r="K6034" s="1">
        <v>1.9096758263648654</v>
      </c>
      <c r="L6034" s="1">
        <v>1.963505480696965</v>
      </c>
      <c r="M6034" s="1">
        <v>0.17849010319379549</v>
      </c>
      <c r="N6034" s="1">
        <v>1.120582461050724</v>
      </c>
      <c r="O6034" s="1">
        <v>0.13575540229885058</v>
      </c>
      <c r="P6034" s="1">
        <v>8.5753748869804206E-2</v>
      </c>
      <c r="Q6034" s="1">
        <v>3.8680831449630579</v>
      </c>
      <c r="R6034" s="2">
        <f t="shared" si="379"/>
        <v>104.87590776506934</v>
      </c>
      <c r="S6034" s="2">
        <f t="shared" si="378"/>
        <v>2.0204027314717221</v>
      </c>
      <c r="T6034" s="2">
        <f t="shared" si="380"/>
        <v>3.398333447240335</v>
      </c>
      <c r="U6034" s="2">
        <f t="shared" si="381"/>
        <v>110.2946439437814</v>
      </c>
    </row>
    <row r="6035" spans="1:21" x14ac:dyDescent="0.25">
      <c r="A6035">
        <v>6532929</v>
      </c>
      <c r="B6035">
        <v>40</v>
      </c>
      <c r="C6035" s="1">
        <f>1.45641373519983*(10.3/7.3)</f>
        <v>2.0549399277477063</v>
      </c>
      <c r="D6035" s="1">
        <f>3.07169456642276*(10.3/7.3)</f>
        <v>4.3340347991992356</v>
      </c>
      <c r="E6035" s="1">
        <f>10.4315086770265*(10.3/7.3)</f>
        <v>14.718430051146949</v>
      </c>
      <c r="F6035" s="1">
        <f>32.4857258028033*(38.9/42.5)</f>
        <v>29.733993734801139</v>
      </c>
      <c r="G6035" s="1">
        <v>1.8165033518524887</v>
      </c>
      <c r="H6035" s="1">
        <v>8.5393004829253609</v>
      </c>
      <c r="I6035" s="1">
        <v>23.688455912354105</v>
      </c>
      <c r="J6035" s="1">
        <v>2.3343136829585418E-2</v>
      </c>
      <c r="K6035" s="1">
        <v>1.8120366200738001</v>
      </c>
      <c r="L6035" s="1">
        <v>1.8424970029806773</v>
      </c>
      <c r="M6035" s="1">
        <v>0.16769574886488697</v>
      </c>
      <c r="N6035" s="1">
        <v>1.0330103794719809</v>
      </c>
      <c r="O6035" s="1">
        <v>0.12757999999999997</v>
      </c>
      <c r="P6035" s="1">
        <v>8.2014619293831151E-2</v>
      </c>
      <c r="Q6035" s="1">
        <v>2.9030875486227017</v>
      </c>
      <c r="R6035" s="2">
        <f t="shared" si="379"/>
        <v>87.788745808649693</v>
      </c>
      <c r="S6035" s="2">
        <f t="shared" si="378"/>
        <v>1.9173943761972165</v>
      </c>
      <c r="T6035" s="2">
        <f t="shared" si="380"/>
        <v>3.1707831313175454</v>
      </c>
      <c r="U6035" s="2">
        <f t="shared" si="381"/>
        <v>92.876923316164465</v>
      </c>
    </row>
    <row r="6036" spans="1:21" x14ac:dyDescent="0.25">
      <c r="A6036">
        <v>6532937</v>
      </c>
      <c r="B6036">
        <v>59</v>
      </c>
      <c r="C6036" s="1">
        <f>1.75277423022642*(10.3/7.3)</f>
        <v>2.4730924070318028</v>
      </c>
      <c r="D6036" s="1">
        <f>3.64062373884079*(10.3/7.3)</f>
        <v>5.1367704808301511</v>
      </c>
      <c r="E6036" s="1">
        <f>12.4183405209423*(10.3/7.3)</f>
        <v>17.521768132288418</v>
      </c>
      <c r="F6036" s="1">
        <f>36.1169193716537*(38.9/42.5)</f>
        <v>33.05760384840778</v>
      </c>
      <c r="G6036" s="1">
        <v>1.945420951352747</v>
      </c>
      <c r="H6036" s="1">
        <v>6.8617586995335271</v>
      </c>
      <c r="I6036" s="1">
        <v>25.981215521390649</v>
      </c>
      <c r="J6036" s="1">
        <v>2.7180812569416884E-2</v>
      </c>
      <c r="K6036" s="1">
        <v>1.9982866747697952</v>
      </c>
      <c r="L6036" s="1">
        <v>2.0782307242662981</v>
      </c>
      <c r="M6036" s="1">
        <v>0.18272837705866402</v>
      </c>
      <c r="N6036" s="1">
        <v>1.1819037971415067</v>
      </c>
      <c r="O6036" s="1">
        <v>0.14258711864406784</v>
      </c>
      <c r="P6036" s="1">
        <v>8.9660353495813042E-2</v>
      </c>
      <c r="Q6036" s="1">
        <v>3.1091202418879549</v>
      </c>
      <c r="R6036" s="2">
        <f t="shared" si="379"/>
        <v>96.086750282723031</v>
      </c>
      <c r="S6036" s="2">
        <f t="shared" si="378"/>
        <v>2.1151278408350249</v>
      </c>
      <c r="T6036" s="2">
        <f t="shared" si="380"/>
        <v>3.5854500171105363</v>
      </c>
      <c r="U6036" s="2">
        <f t="shared" si="381"/>
        <v>101.78732814066859</v>
      </c>
    </row>
    <row r="6037" spans="1:21" x14ac:dyDescent="0.25">
      <c r="A6037">
        <v>6532945</v>
      </c>
      <c r="B6037">
        <v>43</v>
      </c>
      <c r="C6037" s="1">
        <f>1.68895177527831*(10.3/7.3)</f>
        <v>2.3830415459406362</v>
      </c>
      <c r="D6037" s="1">
        <f>3.48457999050649*(10.3/7.3)</f>
        <v>4.9165991646872333</v>
      </c>
      <c r="E6037" s="1">
        <f>11.89576293068*(10.3/7.3)</f>
        <v>16.784432628219658</v>
      </c>
      <c r="F6037" s="1">
        <f>34.212702847052*(38.9/42.5)</f>
        <v>31.314685664713515</v>
      </c>
      <c r="G6037" s="1">
        <v>1.8303768372524254</v>
      </c>
      <c r="H6037" s="1">
        <v>6.7869160919598377</v>
      </c>
      <c r="I6037" s="1">
        <v>24.571007921144243</v>
      </c>
      <c r="J6037" s="1">
        <v>2.7587139887976668E-2</v>
      </c>
      <c r="K6037" s="1">
        <v>1.9705591237292805</v>
      </c>
      <c r="L6037" s="1">
        <v>2.0469617056102964</v>
      </c>
      <c r="M6037" s="1">
        <v>0.17887053367512129</v>
      </c>
      <c r="N6037" s="1">
        <v>1.1987905483831067</v>
      </c>
      <c r="O6037" s="1">
        <v>0.13964899224806199</v>
      </c>
      <c r="P6037" s="1">
        <v>8.8907108878186106E-2</v>
      </c>
      <c r="Q6037" s="1">
        <v>2.9252597855632394</v>
      </c>
      <c r="R6037" s="2">
        <f t="shared" si="379"/>
        <v>91.512319639480779</v>
      </c>
      <c r="S6037" s="2">
        <f t="shared" si="378"/>
        <v>2.0870533724954434</v>
      </c>
      <c r="T6037" s="2">
        <f t="shared" si="380"/>
        <v>3.5642717799165866</v>
      </c>
      <c r="U6037" s="2">
        <f t="shared" si="381"/>
        <v>97.163644791892807</v>
      </c>
    </row>
    <row r="6038" spans="1:21" x14ac:dyDescent="0.25">
      <c r="A6038">
        <v>6532961</v>
      </c>
      <c r="B6038">
        <v>1</v>
      </c>
      <c r="C6038" s="1">
        <f>1.71584110353489*(10.3/7.3)</f>
        <v>2.4209812830697821</v>
      </c>
      <c r="D6038" s="1">
        <f>3.39689130757372*(10.3/7.3)</f>
        <v>4.7928740367135996</v>
      </c>
      <c r="E6038" s="1">
        <f>11.6064464641793*(10.3/7.3)</f>
        <v>16.376218983705044</v>
      </c>
      <c r="F6038" s="1">
        <f>33.5634945565531*(38.9/42.5)</f>
        <v>30.720469135292113</v>
      </c>
      <c r="G6038" s="1">
        <v>1.7961173130543804</v>
      </c>
      <c r="H6038" s="1">
        <v>6.6140403402159729</v>
      </c>
      <c r="I6038" s="1">
        <v>24.296491424369069</v>
      </c>
      <c r="J6038" s="1">
        <v>2.526403517047817E-2</v>
      </c>
      <c r="K6038" s="1">
        <v>1.778460495265161</v>
      </c>
      <c r="L6038" s="1">
        <v>1.8238978228180032</v>
      </c>
      <c r="M6038" s="1">
        <v>0.15543896911560215</v>
      </c>
      <c r="N6038" s="1">
        <v>1.0877649620477503</v>
      </c>
      <c r="O6038" s="1">
        <v>0.12341333333333333</v>
      </c>
      <c r="P6038" s="1">
        <v>8.1737614449842108E-2</v>
      </c>
      <c r="Q6038" s="1">
        <v>2.8705071213197892</v>
      </c>
      <c r="R6038" s="2">
        <f t="shared" si="379"/>
        <v>89.887699637739757</v>
      </c>
      <c r="S6038" s="2">
        <f t="shared" si="378"/>
        <v>1.8854621448854814</v>
      </c>
      <c r="T6038" s="2">
        <f t="shared" si="380"/>
        <v>3.1905150873146888</v>
      </c>
      <c r="U6038" s="2">
        <f t="shared" si="381"/>
        <v>94.963676869939931</v>
      </c>
    </row>
    <row r="6039" spans="1:21" x14ac:dyDescent="0.25">
      <c r="A6039">
        <v>6532969</v>
      </c>
      <c r="B6039">
        <v>55</v>
      </c>
      <c r="C6039" s="1">
        <f>2.02187404451314*(10.3/7.3)</f>
        <v>2.8527811860938765</v>
      </c>
      <c r="D6039" s="1">
        <f>4.07774278201437*(10.3/7.3)</f>
        <v>5.7535274869517847</v>
      </c>
      <c r="E6039" s="1">
        <f>13.8804080984789*(10.3/7.3)</f>
        <v>19.584685399223702</v>
      </c>
      <c r="F6039" s="1">
        <f>42.4476305189403*(38.9/42.5)</f>
        <v>38.852066522041845</v>
      </c>
      <c r="G6039" s="1">
        <v>2.3450187232576076</v>
      </c>
      <c r="H6039" s="1">
        <v>8.1831610237270187</v>
      </c>
      <c r="I6039" s="1">
        <v>31.029731669471278</v>
      </c>
      <c r="J6039" s="1">
        <v>2.9147260950765971E-2</v>
      </c>
      <c r="K6039" s="1">
        <v>2.0230417371711984</v>
      </c>
      <c r="L6039" s="1">
        <v>2.1176747985927475</v>
      </c>
      <c r="M6039" s="1">
        <v>0.17459990007201351</v>
      </c>
      <c r="N6039" s="1">
        <v>1.3088042824594921</v>
      </c>
      <c r="O6039" s="1">
        <v>0.14172412121212125</v>
      </c>
      <c r="P6039" s="1">
        <v>9.1419853046907501E-2</v>
      </c>
      <c r="Q6039" s="1">
        <v>3.7477468179916125</v>
      </c>
      <c r="R6039" s="2">
        <f t="shared" si="379"/>
        <v>112.34871882875873</v>
      </c>
      <c r="S6039" s="2">
        <f t="shared" si="378"/>
        <v>2.1436088511688718</v>
      </c>
      <c r="T6039" s="2">
        <f t="shared" si="380"/>
        <v>3.7428031023363744</v>
      </c>
      <c r="U6039" s="2">
        <f t="shared" si="381"/>
        <v>118.23513078226398</v>
      </c>
    </row>
    <row r="6040" spans="1:21" x14ac:dyDescent="0.25">
      <c r="A6040">
        <v>6544669</v>
      </c>
      <c r="B6040">
        <v>8</v>
      </c>
      <c r="C6040" s="1">
        <f>0.532964223924705*(10.3/7.3)</f>
        <v>0.7519906173184201</v>
      </c>
      <c r="D6040" s="1">
        <f>1.15844016847872*(10.3/7.3)</f>
        <v>1.634511470593258</v>
      </c>
      <c r="E6040" s="1">
        <f>3.8949404435218*(10.3/7.3)</f>
        <v>5.4956008997636374</v>
      </c>
      <c r="F6040" s="1">
        <f>13.9844191881062*(38.9/42.5)</f>
        <v>12.799856621584306</v>
      </c>
      <c r="G6040" s="1">
        <v>0.83553252963457125</v>
      </c>
      <c r="H6040" s="1">
        <v>3.7514272483256463</v>
      </c>
      <c r="I6040" s="1">
        <v>10.46198038478405</v>
      </c>
      <c r="J6040" s="1">
        <v>3.1192851620251542E-2</v>
      </c>
      <c r="K6040" s="1">
        <v>2.8791522706147776</v>
      </c>
      <c r="L6040" s="1">
        <v>1.6855507581658282</v>
      </c>
      <c r="M6040" s="1">
        <v>0.35273590757373141</v>
      </c>
      <c r="N6040" s="1">
        <v>1.0137491695938579</v>
      </c>
      <c r="O6040" s="1">
        <v>0.29164666666666661</v>
      </c>
      <c r="P6040" s="1">
        <v>0.11210805547738156</v>
      </c>
      <c r="Q6040" s="1">
        <v>1.3353259606031975</v>
      </c>
      <c r="R6040" s="2">
        <f t="shared" si="379"/>
        <v>37.066225732607087</v>
      </c>
      <c r="S6040" s="2">
        <f t="shared" si="378"/>
        <v>3.0224531777124106</v>
      </c>
      <c r="T6040" s="2">
        <f t="shared" si="380"/>
        <v>3.3436825020000844</v>
      </c>
      <c r="U6040" s="2">
        <f t="shared" si="381"/>
        <v>43.432361412319587</v>
      </c>
    </row>
    <row r="6041" spans="1:21" x14ac:dyDescent="0.25">
      <c r="A6041">
        <v>6545149</v>
      </c>
      <c r="B6041">
        <v>12</v>
      </c>
      <c r="C6041" s="1">
        <f>1.44460438312931*(10.3/7.3)</f>
        <v>2.0382774172920386</v>
      </c>
      <c r="D6041" s="1">
        <f>3.08054257774665*(10.3/7.3)</f>
        <v>4.3465189795603347</v>
      </c>
      <c r="E6041" s="1">
        <f>10.4290503698757*(10.3/7.3)</f>
        <v>14.71496148078349</v>
      </c>
      <c r="F6041" s="1">
        <f>33.9938941316662*(38.9/42.5)</f>
        <v>31.114411334630947</v>
      </c>
      <c r="G6041" s="1">
        <v>1.9448102188493541</v>
      </c>
      <c r="H6041" s="1">
        <v>9.2509228526941545</v>
      </c>
      <c r="I6041" s="1">
        <v>24.998255836562631</v>
      </c>
      <c r="J6041" s="1">
        <v>2.5836160477076445E-2</v>
      </c>
      <c r="K6041" s="1">
        <v>1.9085863129032488</v>
      </c>
      <c r="L6041" s="1">
        <v>1.952530189915695</v>
      </c>
      <c r="M6041" s="1">
        <v>0.17889067015237706</v>
      </c>
      <c r="N6041" s="1">
        <v>1.1291798107770699</v>
      </c>
      <c r="O6041" s="1">
        <v>0.13626222222222223</v>
      </c>
      <c r="P6041" s="1">
        <v>8.5835548211488547E-2</v>
      </c>
      <c r="Q6041" s="1">
        <v>3.1081441853756835</v>
      </c>
      <c r="R6041" s="2">
        <f t="shared" si="379"/>
        <v>91.516302305748624</v>
      </c>
      <c r="S6041" s="2">
        <f t="shared" si="378"/>
        <v>2.0202580215918138</v>
      </c>
      <c r="T6041" s="2">
        <f t="shared" si="380"/>
        <v>3.3968628930673646</v>
      </c>
      <c r="U6041" s="2">
        <f t="shared" si="381"/>
        <v>96.933423220407803</v>
      </c>
    </row>
    <row r="6042" spans="1:21" x14ac:dyDescent="0.25">
      <c r="A6042">
        <v>6545157</v>
      </c>
      <c r="B6042">
        <v>29</v>
      </c>
      <c r="C6042" s="1">
        <f>1.4307877776947*(10.3/7.3)</f>
        <v>2.0187827548295139</v>
      </c>
      <c r="D6042" s="1">
        <f>3.02691855085297*(10.3/7.3)</f>
        <v>4.2708576813404884</v>
      </c>
      <c r="E6042" s="1">
        <f>10.2747026644605*(10.3/7.3)</f>
        <v>14.497183211499099</v>
      </c>
      <c r="F6042" s="1">
        <f>32.1980032203592*(38.9/42.5)</f>
        <v>29.470642947575875</v>
      </c>
      <c r="G6042" s="1">
        <v>1.8064028280922642</v>
      </c>
      <c r="H6042" s="1">
        <v>8.4452055341438257</v>
      </c>
      <c r="I6042" s="1">
        <v>23.501195350163616</v>
      </c>
      <c r="J6042" s="1">
        <v>2.3792667688319964E-2</v>
      </c>
      <c r="K6042" s="1">
        <v>1.8476040011781958</v>
      </c>
      <c r="L6042" s="1">
        <v>1.8783811957961349</v>
      </c>
      <c r="M6042" s="1">
        <v>0.17192606789757744</v>
      </c>
      <c r="N6042" s="1">
        <v>1.058991854066482</v>
      </c>
      <c r="O6042" s="1">
        <v>0.13055632183908042</v>
      </c>
      <c r="P6042" s="1">
        <v>8.3304339103697944E-2</v>
      </c>
      <c r="Q6042" s="1">
        <v>2.8869451590515669</v>
      </c>
      <c r="R6042" s="2">
        <f t="shared" si="379"/>
        <v>86.897215466696252</v>
      </c>
      <c r="S6042" s="2">
        <f t="shared" si="378"/>
        <v>1.9547010079702138</v>
      </c>
      <c r="T6042" s="2">
        <f t="shared" si="380"/>
        <v>3.2398554395992751</v>
      </c>
      <c r="U6042" s="2">
        <f t="shared" si="381"/>
        <v>92.091771914265749</v>
      </c>
    </row>
    <row r="6043" spans="1:21" x14ac:dyDescent="0.25">
      <c r="A6043">
        <v>6545165</v>
      </c>
      <c r="B6043">
        <v>53</v>
      </c>
      <c r="C6043" s="1">
        <f>1.81407639595009*(10.3/7.3)</f>
        <v>2.5595872436008182</v>
      </c>
      <c r="D6043" s="1">
        <f>3.8723825499854*(10.3/7.3)</f>
        <v>5.4637726390204913</v>
      </c>
      <c r="E6043" s="1">
        <f>13.1768539221525*(10.3/7.3)</f>
        <v>18.591999369612445</v>
      </c>
      <c r="F6043" s="1">
        <f>39.4625492825247*(38.9/42.5)</f>
        <v>36.119839225652001</v>
      </c>
      <c r="G6043" s="1">
        <v>2.1638555402317756</v>
      </c>
      <c r="H6043" s="1">
        <v>8.6381748625333774</v>
      </c>
      <c r="I6043" s="1">
        <v>28.469036663986021</v>
      </c>
      <c r="J6043" s="1">
        <v>2.7994897060265311E-2</v>
      </c>
      <c r="K6043" s="1">
        <v>2.1005427445951121</v>
      </c>
      <c r="L6043" s="1">
        <v>2.2036581048845512</v>
      </c>
      <c r="M6043" s="1">
        <v>0.19416630088019865</v>
      </c>
      <c r="N6043" s="1">
        <v>1.2328215304643799</v>
      </c>
      <c r="O6043" s="1">
        <v>0.15074012578616353</v>
      </c>
      <c r="P6043" s="1">
        <v>9.3353912895987518E-2</v>
      </c>
      <c r="Q6043" s="1">
        <v>3.4582166168087776</v>
      </c>
      <c r="R6043" s="2">
        <f t="shared" si="379"/>
        <v>105.46448216144572</v>
      </c>
      <c r="S6043" s="2">
        <f t="shared" si="378"/>
        <v>2.2218915545513651</v>
      </c>
      <c r="T6043" s="2">
        <f t="shared" si="380"/>
        <v>3.7813860620152933</v>
      </c>
      <c r="U6043" s="2">
        <f t="shared" si="381"/>
        <v>111.46775977801236</v>
      </c>
    </row>
    <row r="6044" spans="1:21" x14ac:dyDescent="0.25">
      <c r="A6044">
        <v>6545173</v>
      </c>
      <c r="B6044">
        <v>57</v>
      </c>
      <c r="C6044" s="1">
        <f>1.85754913583583*(10.3/7.3)</f>
        <v>2.6209254930286319</v>
      </c>
      <c r="D6044" s="1">
        <f>3.92008018485613*(10.3/7.3)</f>
        <v>5.5310720416463166</v>
      </c>
      <c r="E6044" s="1">
        <f>13.367702306406*(10.3/7.3)</f>
        <v>18.861278596709838</v>
      </c>
      <c r="F6044" s="1">
        <f>38.7776508321129*(38.9/42.5)</f>
        <v>35.492955702804551</v>
      </c>
      <c r="G6044" s="1">
        <v>2.0879030816688555</v>
      </c>
      <c r="H6044" s="1">
        <v>6.5927661288626478</v>
      </c>
      <c r="I6044" s="1">
        <v>27.80929486033607</v>
      </c>
      <c r="J6044" s="1">
        <v>2.9098402523579984E-2</v>
      </c>
      <c r="K6044" s="1">
        <v>2.1091448172366181</v>
      </c>
      <c r="L6044" s="1">
        <v>2.2061433447224279</v>
      </c>
      <c r="M6044" s="1">
        <v>0.19156805172186847</v>
      </c>
      <c r="N6044" s="1">
        <v>1.2563319465211</v>
      </c>
      <c r="O6044" s="1">
        <v>0.15108865497076021</v>
      </c>
      <c r="P6044" s="1">
        <v>9.394862857842845E-2</v>
      </c>
      <c r="Q6044" s="1">
        <v>3.336831409059819</v>
      </c>
      <c r="R6044" s="2">
        <f t="shared" si="379"/>
        <v>102.33302731411672</v>
      </c>
      <c r="S6044" s="2">
        <f t="shared" si="378"/>
        <v>2.2321918483386267</v>
      </c>
      <c r="T6044" s="2">
        <f t="shared" si="380"/>
        <v>3.8051319979361566</v>
      </c>
      <c r="U6044" s="2">
        <f t="shared" si="381"/>
        <v>108.37035116039151</v>
      </c>
    </row>
    <row r="6045" spans="1:21" x14ac:dyDescent="0.25">
      <c r="A6045">
        <v>6545181</v>
      </c>
      <c r="B6045">
        <v>10</v>
      </c>
      <c r="C6045" s="1">
        <f>1.63781573859003*(10.3/7.3)</f>
        <v>2.3108906996544225</v>
      </c>
      <c r="D6045" s="1">
        <f>3.4032414819929*(10.3/7.3)</f>
        <v>4.8018338718530025</v>
      </c>
      <c r="E6045" s="1">
        <f>11.6182092171584*(10.3/7.3)</f>
        <v>16.392815744757748</v>
      </c>
      <c r="F6045" s="1">
        <f>33.2903184431353*(38.9/42.5)</f>
        <v>30.47043264559915</v>
      </c>
      <c r="G6045" s="1">
        <v>1.778091762959211</v>
      </c>
      <c r="H6045" s="1">
        <v>9.6973453825137081</v>
      </c>
      <c r="I6045" s="1">
        <v>23.859971717787921</v>
      </c>
      <c r="J6045" s="1">
        <v>2.7136136668162919E-2</v>
      </c>
      <c r="K6045" s="1">
        <v>1.9376173834315895</v>
      </c>
      <c r="L6045" s="1">
        <v>1.9954168284692435</v>
      </c>
      <c r="M6045" s="1">
        <v>0.17351030661895137</v>
      </c>
      <c r="N6045" s="1">
        <v>1.1810348894169764</v>
      </c>
      <c r="O6045" s="1">
        <v>0.13532800000000003</v>
      </c>
      <c r="P6045" s="1">
        <v>8.7197417801814642E-2</v>
      </c>
      <c r="Q6045" s="1">
        <v>2.8416991645466876</v>
      </c>
      <c r="R6045" s="2">
        <f t="shared" si="379"/>
        <v>92.153080989671835</v>
      </c>
      <c r="S6045" s="2">
        <f t="shared" si="378"/>
        <v>2.0519509379015668</v>
      </c>
      <c r="T6045" s="2">
        <f t="shared" si="380"/>
        <v>3.4852900245051712</v>
      </c>
      <c r="U6045" s="2">
        <f t="shared" si="381"/>
        <v>97.690321952078577</v>
      </c>
    </row>
    <row r="6046" spans="1:21" x14ac:dyDescent="0.25">
      <c r="A6046">
        <v>6545197</v>
      </c>
      <c r="B6046">
        <v>45</v>
      </c>
      <c r="C6046" s="1">
        <f>1.82950473425601*(10.3/7.3)</f>
        <v>2.581355994909162</v>
      </c>
      <c r="D6046" s="1">
        <f>3.68927853092866*(10.3/7.3)</f>
        <v>5.2054203929541378</v>
      </c>
      <c r="E6046" s="1">
        <f>12.5862786113084*(10.3/7.3)</f>
        <v>17.758721876229597</v>
      </c>
      <c r="F6046" s="1">
        <f>37.0403288701118*(38.9/42.5)</f>
        <v>33.90279513052586</v>
      </c>
      <c r="G6046" s="1">
        <v>2.0043887152783282</v>
      </c>
      <c r="H6046" s="1">
        <v>7.1389535129759611</v>
      </c>
      <c r="I6046" s="1">
        <v>26.843525240685459</v>
      </c>
      <c r="J6046" s="1">
        <v>2.7427126152491269E-2</v>
      </c>
      <c r="K6046" s="1">
        <v>1.9212113517197547</v>
      </c>
      <c r="L6046" s="1">
        <v>1.9899263365950297</v>
      </c>
      <c r="M6046" s="1">
        <v>0.16715666226630305</v>
      </c>
      <c r="N6046" s="1">
        <v>1.2126311153899556</v>
      </c>
      <c r="O6046" s="1">
        <v>0.1347365925925926</v>
      </c>
      <c r="P6046" s="1">
        <v>8.7308927155737889E-2</v>
      </c>
      <c r="Q6046" s="1">
        <v>3.2033609604904831</v>
      </c>
      <c r="R6046" s="2">
        <f t="shared" si="379"/>
        <v>98.638521824048993</v>
      </c>
      <c r="S6046" s="2">
        <f t="shared" si="378"/>
        <v>2.0359474050279838</v>
      </c>
      <c r="T6046" s="2">
        <f t="shared" si="380"/>
        <v>3.504450706843881</v>
      </c>
      <c r="U6046" s="2">
        <f t="shared" si="381"/>
        <v>104.17891993592086</v>
      </c>
    </row>
    <row r="6047" spans="1:21" x14ac:dyDescent="0.25">
      <c r="A6047">
        <v>6545205</v>
      </c>
      <c r="B6047">
        <v>1</v>
      </c>
      <c r="C6047" s="1">
        <f>2.13325091702249*(10.3/7.3)</f>
        <v>3.0099293760728307</v>
      </c>
      <c r="D6047" s="1">
        <f>4.43622889519578*(10.3/7.3)</f>
        <v>6.2593366603447365</v>
      </c>
      <c r="E6047" s="1">
        <f>15.0571347787717*(10.3/7.3)</f>
        <v>21.244998386486113</v>
      </c>
      <c r="F6047" s="1">
        <f>47.6218896347777*(38.9/42.5)</f>
        <v>43.588035453949438</v>
      </c>
      <c r="G6047" s="1">
        <v>2.6813005766564495</v>
      </c>
      <c r="H6047" s="1">
        <v>9.922740053325537</v>
      </c>
      <c r="I6047" s="1">
        <v>34.913628807299517</v>
      </c>
      <c r="J6047" s="1">
        <v>3.0517121421914515E-2</v>
      </c>
      <c r="K6047" s="1">
        <v>2.1071998871536417</v>
      </c>
      <c r="L6047" s="1">
        <v>2.2247535200987083</v>
      </c>
      <c r="M6047" s="1">
        <v>0.18204767608660366</v>
      </c>
      <c r="N6047" s="1">
        <v>1.3808905365662913</v>
      </c>
      <c r="O6047" s="1">
        <v>0.14992</v>
      </c>
      <c r="P6047" s="1">
        <v>9.4755183295001932E-2</v>
      </c>
      <c r="Q6047" s="1">
        <v>4.2851835699988969</v>
      </c>
      <c r="R6047" s="2">
        <f t="shared" si="379"/>
        <v>125.90515288413353</v>
      </c>
      <c r="S6047" s="2">
        <f t="shared" si="378"/>
        <v>2.2324721918705581</v>
      </c>
      <c r="T6047" s="2">
        <f t="shared" si="380"/>
        <v>3.9376117327516034</v>
      </c>
      <c r="U6047" s="2">
        <f t="shared" si="381"/>
        <v>132.0752368087557</v>
      </c>
    </row>
    <row r="6048" spans="1:21" x14ac:dyDescent="0.25">
      <c r="A6048">
        <v>6556897</v>
      </c>
      <c r="B6048">
        <v>4</v>
      </c>
      <c r="C6048" s="1">
        <f>0.49139251659382*(10.3/7.3)</f>
        <v>0.69333464670086908</v>
      </c>
      <c r="D6048" s="1">
        <f>1.03855215282714*(10.3/7.3)</f>
        <v>1.4653544074136413</v>
      </c>
      <c r="E6048" s="1">
        <f>3.49762903077767*(10.3/7.3)</f>
        <v>4.9350108242479447</v>
      </c>
      <c r="F6048" s="1">
        <f>12.3937258499455*(38.9/42.5)</f>
        <v>11.343904366185374</v>
      </c>
      <c r="G6048" s="1">
        <v>0.73547999711227674</v>
      </c>
      <c r="H6048" s="1">
        <v>2.7707420897039841</v>
      </c>
      <c r="I6048" s="1">
        <v>9.2796938873939716</v>
      </c>
      <c r="J6048" s="1">
        <v>2.4409029613398671E-2</v>
      </c>
      <c r="K6048" s="1">
        <v>2.5294481518320686</v>
      </c>
      <c r="L6048" s="1">
        <v>1.4514534574801659</v>
      </c>
      <c r="M6048" s="1">
        <v>0.3022289476768486</v>
      </c>
      <c r="N6048" s="1">
        <v>0.85559771157789877</v>
      </c>
      <c r="O6048" s="1">
        <v>0.24781333333333333</v>
      </c>
      <c r="P6048" s="1">
        <v>0.10283774200405298</v>
      </c>
      <c r="Q6048" s="1">
        <v>1.1754246529191652</v>
      </c>
      <c r="R6048" s="2">
        <f t="shared" si="379"/>
        <v>32.398944871677223</v>
      </c>
      <c r="S6048" s="2">
        <f t="shared" si="378"/>
        <v>2.6566949234495203</v>
      </c>
      <c r="T6048" s="2">
        <f t="shared" si="380"/>
        <v>2.8570934500682466</v>
      </c>
      <c r="U6048" s="2">
        <f t="shared" si="381"/>
        <v>37.912733245194993</v>
      </c>
    </row>
    <row r="6049" spans="1:21" x14ac:dyDescent="0.25">
      <c r="A6049">
        <v>6557385</v>
      </c>
      <c r="B6049">
        <v>40</v>
      </c>
      <c r="C6049" s="1">
        <f>1.45114632605539*(10.3/7.3)</f>
        <v>2.0475078299137701</v>
      </c>
      <c r="D6049" s="1">
        <f>3.25301059948956*(10.3/7.3)</f>
        <v>4.5898642705126651</v>
      </c>
      <c r="E6049" s="1">
        <f>10.9648048141283*(10.3/7.3)</f>
        <v>15.470888984317986</v>
      </c>
      <c r="F6049" s="1">
        <f>37.4819439088927*(38.9/42.5)</f>
        <v>34.307002777786536</v>
      </c>
      <c r="G6049" s="1">
        <v>2.1967834466429896</v>
      </c>
      <c r="H6049" s="1">
        <v>9.2702375972123079</v>
      </c>
      <c r="I6049" s="1">
        <v>27.664705227361129</v>
      </c>
      <c r="J6049" s="1">
        <v>2.3634008447142734E-2</v>
      </c>
      <c r="K6049" s="1">
        <v>1.8298508440655277</v>
      </c>
      <c r="L6049" s="1">
        <v>1.856848251580504</v>
      </c>
      <c r="M6049" s="1">
        <v>0.17133638699880158</v>
      </c>
      <c r="N6049" s="1">
        <v>1.0490797805968166</v>
      </c>
      <c r="O6049" s="1">
        <v>0.13006400000000001</v>
      </c>
      <c r="P6049" s="1">
        <v>8.264112140917125E-2</v>
      </c>
      <c r="Q6049" s="1">
        <v>3.5108411247719049</v>
      </c>
      <c r="R6049" s="2">
        <f t="shared" si="379"/>
        <v>99.057831258519272</v>
      </c>
      <c r="S6049" s="2">
        <f t="shared" si="378"/>
        <v>1.9361259739218417</v>
      </c>
      <c r="T6049" s="2">
        <f t="shared" si="380"/>
        <v>3.2073284191761218</v>
      </c>
      <c r="U6049" s="2">
        <f t="shared" si="381"/>
        <v>104.20128565161724</v>
      </c>
    </row>
    <row r="6050" spans="1:21" x14ac:dyDescent="0.25">
      <c r="A6050">
        <v>6557393</v>
      </c>
      <c r="B6050">
        <v>23</v>
      </c>
      <c r="C6050" s="1">
        <f>1.5908640613867*(10.3/7.3)</f>
        <v>2.2446438126415136</v>
      </c>
      <c r="D6050" s="1">
        <f>3.4122151775123*(10.3/7.3)</f>
        <v>4.814495387448857</v>
      </c>
      <c r="E6050" s="1">
        <f>11.5950336436751*(10.3/7.3)</f>
        <v>16.360115962993707</v>
      </c>
      <c r="F6050" s="1">
        <f>35.4704731260379*(38.9/42.5)</f>
        <v>32.465915402420571</v>
      </c>
      <c r="G6050" s="1">
        <v>1.9673693689533627</v>
      </c>
      <c r="H6050" s="1">
        <v>7.4879868899068862</v>
      </c>
      <c r="I6050" s="1">
        <v>25.698603305378267</v>
      </c>
      <c r="J6050" s="1">
        <v>2.4934910148613928E-2</v>
      </c>
      <c r="K6050" s="1">
        <v>1.9141411299434481</v>
      </c>
      <c r="L6050" s="1">
        <v>1.9704243731474638</v>
      </c>
      <c r="M6050" s="1">
        <v>0.17768336834079793</v>
      </c>
      <c r="N6050" s="1">
        <v>1.099126469453009</v>
      </c>
      <c r="O6050" s="1">
        <v>0.13613449275362319</v>
      </c>
      <c r="P6050" s="1">
        <v>8.5863105528509939E-2</v>
      </c>
      <c r="Q6050" s="1">
        <v>3.1441976216149667</v>
      </c>
      <c r="R6050" s="2">
        <f t="shared" si="379"/>
        <v>94.183327751358135</v>
      </c>
      <c r="S6050" s="2">
        <f t="shared" si="378"/>
        <v>2.0249391456205719</v>
      </c>
      <c r="T6050" s="2">
        <f t="shared" si="380"/>
        <v>3.3833687036948938</v>
      </c>
      <c r="U6050" s="2">
        <f t="shared" si="381"/>
        <v>99.591635600673612</v>
      </c>
    </row>
    <row r="6051" spans="1:21" x14ac:dyDescent="0.25">
      <c r="A6051">
        <v>6557401</v>
      </c>
      <c r="B6051">
        <v>64</v>
      </c>
      <c r="C6051" s="1">
        <f>1.93340800297917*(10.3/7.3)</f>
        <v>2.7279592370801979</v>
      </c>
      <c r="D6051" s="1">
        <f>4.21139959941599*(10.3/7.3)</f>
        <v>5.9421117635595442</v>
      </c>
      <c r="E6051" s="1">
        <f>14.327796832044*(10.3/7.3)</f>
        <v>20.215932516445701</v>
      </c>
      <c r="F6051" s="1">
        <f>42.6488021881246*(38.9/42.5)</f>
        <v>39.036197767483493</v>
      </c>
      <c r="G6051" s="1">
        <v>2.3338493808581</v>
      </c>
      <c r="H6051" s="1">
        <v>7.3017607136435512</v>
      </c>
      <c r="I6051" s="1">
        <v>30.632117104941834</v>
      </c>
      <c r="J6051" s="1">
        <v>2.9062763334127922E-2</v>
      </c>
      <c r="K6051" s="1">
        <v>2.1330406636877757</v>
      </c>
      <c r="L6051" s="1">
        <v>2.2422172921474091</v>
      </c>
      <c r="M6051" s="1">
        <v>0.19532717043742384</v>
      </c>
      <c r="N6051" s="1">
        <v>1.2568650764389335</v>
      </c>
      <c r="O6051" s="1">
        <v>0.15314833333333328</v>
      </c>
      <c r="P6051" s="1">
        <v>9.4455992009282605E-2</v>
      </c>
      <c r="Q6051" s="1">
        <v>3.7298962707777892</v>
      </c>
      <c r="R6051" s="2">
        <f t="shared" si="379"/>
        <v>111.91982475479018</v>
      </c>
      <c r="S6051" s="2">
        <f t="shared" si="378"/>
        <v>2.2565594190311864</v>
      </c>
      <c r="T6051" s="2">
        <f t="shared" si="380"/>
        <v>3.8475578723570996</v>
      </c>
      <c r="U6051" s="2">
        <f t="shared" si="381"/>
        <v>118.02394204617848</v>
      </c>
    </row>
    <row r="6052" spans="1:21" x14ac:dyDescent="0.25">
      <c r="A6052">
        <v>6557409</v>
      </c>
      <c r="B6052">
        <v>45</v>
      </c>
      <c r="C6052" s="1">
        <f>1.69475819056357*(10.3/7.3)</f>
        <v>2.3912341592883313</v>
      </c>
      <c r="D6052" s="1">
        <f>3.59590587566702*(10.3/7.3)</f>
        <v>5.0736754136123734</v>
      </c>
      <c r="E6052" s="1">
        <f>12.2626360249547*(10.3/7.3)</f>
        <v>17.302075487264784</v>
      </c>
      <c r="F6052" s="1">
        <f>35.4597660782004*(38.9/42.5)</f>
        <v>32.456115304517567</v>
      </c>
      <c r="G6052" s="1">
        <v>1.9065357290474085</v>
      </c>
      <c r="H6052" s="1">
        <v>8.0792736547930204</v>
      </c>
      <c r="I6052" s="1">
        <v>25.389076000095091</v>
      </c>
      <c r="J6052" s="1">
        <v>2.7346222400853642E-2</v>
      </c>
      <c r="K6052" s="1">
        <v>2.0006096244594156</v>
      </c>
      <c r="L6052" s="1">
        <v>2.0651932095962571</v>
      </c>
      <c r="M6052" s="1">
        <v>0.18051401499856293</v>
      </c>
      <c r="N6052" s="1">
        <v>1.2221098943355022</v>
      </c>
      <c r="O6052" s="1">
        <v>0.14123259259259266</v>
      </c>
      <c r="P6052" s="1">
        <v>8.9794976606808297E-2</v>
      </c>
      <c r="Q6052" s="1">
        <v>3.0469749094365013</v>
      </c>
      <c r="R6052" s="2">
        <f t="shared" si="379"/>
        <v>95.644960658055069</v>
      </c>
      <c r="S6052" s="2">
        <f t="shared" si="378"/>
        <v>2.1177508234670777</v>
      </c>
      <c r="T6052" s="2">
        <f t="shared" si="380"/>
        <v>3.609049711522915</v>
      </c>
      <c r="U6052" s="2">
        <f t="shared" si="381"/>
        <v>101.37176119304506</v>
      </c>
    </row>
    <row r="6053" spans="1:21" x14ac:dyDescent="0.25">
      <c r="A6053">
        <v>6557425</v>
      </c>
      <c r="B6053">
        <v>4</v>
      </c>
      <c r="C6053" s="1">
        <f>1.49170238927903*(10.3/7.3)</f>
        <v>2.1047307684347962</v>
      </c>
      <c r="D6053" s="1">
        <f>3.04459579624299*(10.3/7.3)</f>
        <v>4.2957995481236688</v>
      </c>
      <c r="E6053" s="1">
        <f>10.3969014314424*(10.3/7.3)</f>
        <v>14.669600649843369</v>
      </c>
      <c r="F6053" s="1">
        <f>29.9002506190985*(38.9/42.5)</f>
        <v>27.367523507833713</v>
      </c>
      <c r="G6053" s="1">
        <v>1.5984263841832518</v>
      </c>
      <c r="H6053" s="1">
        <v>5.4266034381000026</v>
      </c>
      <c r="I6053" s="1">
        <v>21.510472543810543</v>
      </c>
      <c r="J6053" s="1">
        <v>2.3447943962388709E-2</v>
      </c>
      <c r="K6053" s="1">
        <v>1.673159355683425</v>
      </c>
      <c r="L6053" s="1">
        <v>1.6682713115438677</v>
      </c>
      <c r="M6053" s="1">
        <v>0.14617109118595756</v>
      </c>
      <c r="N6053" s="1">
        <v>0.99309700630368347</v>
      </c>
      <c r="O6053" s="1">
        <v>0.11530666666666667</v>
      </c>
      <c r="P6053" s="1">
        <v>7.6655295923602998E-2</v>
      </c>
      <c r="Q6053" s="1">
        <v>2.5545627144481218</v>
      </c>
      <c r="R6053" s="2">
        <f t="shared" si="379"/>
        <v>79.527719554777462</v>
      </c>
      <c r="S6053" s="2">
        <f t="shared" si="378"/>
        <v>1.7732625955694168</v>
      </c>
      <c r="T6053" s="2">
        <f t="shared" si="380"/>
        <v>2.9228460757001753</v>
      </c>
      <c r="U6053" s="2">
        <f t="shared" si="381"/>
        <v>84.223828226047061</v>
      </c>
    </row>
    <row r="6054" spans="1:21" x14ac:dyDescent="0.25">
      <c r="A6054">
        <v>6557433</v>
      </c>
      <c r="B6054">
        <v>46</v>
      </c>
      <c r="C6054" s="1">
        <f>1.63316091956142*(10.3/7.3)</f>
        <v>2.3043229412989965</v>
      </c>
      <c r="D6054" s="1">
        <f>3.30916372875819*(10.3/7.3)</f>
        <v>4.6690940282478586</v>
      </c>
      <c r="E6054" s="1">
        <f>11.2763262389119*(10.3/7.3)</f>
        <v>15.910432912437294</v>
      </c>
      <c r="F6054" s="1">
        <f>33.782886647604*(38.9/42.5)</f>
        <v>30.921277425689265</v>
      </c>
      <c r="G6054" s="1">
        <v>1.8466392352931706</v>
      </c>
      <c r="H6054" s="1">
        <v>7.6680631091196005</v>
      </c>
      <c r="I6054" s="1">
        <v>24.564969709100787</v>
      </c>
      <c r="J6054" s="1">
        <v>2.6222630245369763E-2</v>
      </c>
      <c r="K6054" s="1">
        <v>1.8551401103184921</v>
      </c>
      <c r="L6054" s="1">
        <v>1.8947629299226176</v>
      </c>
      <c r="M6054" s="1">
        <v>0.16012047881894551</v>
      </c>
      <c r="N6054" s="1">
        <v>1.1960239650144795</v>
      </c>
      <c r="O6054" s="1">
        <v>0.12811478260869566</v>
      </c>
      <c r="P6054" s="1">
        <v>8.4246383100737385E-2</v>
      </c>
      <c r="Q6054" s="1">
        <v>2.9512499194183115</v>
      </c>
      <c r="R6054" s="2">
        <f t="shared" si="379"/>
        <v>90.83604928060528</v>
      </c>
      <c r="S6054" s="2">
        <f t="shared" si="378"/>
        <v>1.9656091236645994</v>
      </c>
      <c r="T6054" s="2">
        <f t="shared" si="380"/>
        <v>3.3790221563647385</v>
      </c>
      <c r="U6054" s="2">
        <f t="shared" si="381"/>
        <v>96.180680560634627</v>
      </c>
    </row>
    <row r="6055" spans="1:21" x14ac:dyDescent="0.25">
      <c r="A6055">
        <v>6569613</v>
      </c>
      <c r="B6055">
        <v>29</v>
      </c>
      <c r="C6055" s="1">
        <f>1.51573380613708*(10.3/7.3)</f>
        <v>2.138638110029035</v>
      </c>
      <c r="D6055" s="1">
        <f>3.0803409218777*(10.3/7.3)</f>
        <v>4.3462344514164863</v>
      </c>
      <c r="E6055" s="1">
        <f>10.4808918221811*(10.3/7.3)</f>
        <v>14.788107639515765</v>
      </c>
      <c r="F6055" s="1">
        <f>32.1624478619395*(38.9/42.5)</f>
        <v>29.43809933716344</v>
      </c>
      <c r="G6055" s="1">
        <v>1.7808740317752143</v>
      </c>
      <c r="H6055" s="1">
        <v>8.4594526920192834</v>
      </c>
      <c r="I6055" s="1">
        <v>23.502325030718879</v>
      </c>
      <c r="J6055" s="1">
        <v>2.4368865495076036E-2</v>
      </c>
      <c r="K6055" s="1">
        <v>1.8678549863229101</v>
      </c>
      <c r="L6055" s="1">
        <v>1.8978488914769218</v>
      </c>
      <c r="M6055" s="1">
        <v>0.17592147325025642</v>
      </c>
      <c r="N6055" s="1">
        <v>1.11019743695114</v>
      </c>
      <c r="O6055" s="1">
        <v>0.13411310344827587</v>
      </c>
      <c r="P6055" s="1">
        <v>8.4110656532287609E-2</v>
      </c>
      <c r="Q6055" s="1">
        <v>2.8461457128827652</v>
      </c>
      <c r="R6055" s="2">
        <f t="shared" si="379"/>
        <v>87.299877005520855</v>
      </c>
      <c r="S6055" s="2">
        <f t="shared" si="378"/>
        <v>1.9763345083502737</v>
      </c>
      <c r="T6055" s="2">
        <f t="shared" si="380"/>
        <v>3.3180809051265943</v>
      </c>
      <c r="U6055" s="2">
        <f t="shared" si="381"/>
        <v>92.594292418997725</v>
      </c>
    </row>
    <row r="6056" spans="1:21" x14ac:dyDescent="0.25">
      <c r="A6056">
        <v>6569621</v>
      </c>
      <c r="B6056">
        <v>22</v>
      </c>
      <c r="C6056" s="1">
        <f>1.49033552421491*(10.3/7.3)</f>
        <v>2.1028021780018622</v>
      </c>
      <c r="D6056" s="1">
        <f>3.16269150936374*(10.3/7.3)</f>
        <v>4.462427746088566</v>
      </c>
      <c r="E6056" s="1">
        <f>10.7451029751588*(10.3/7.3)</f>
        <v>15.16089871837481</v>
      </c>
      <c r="F6056" s="1">
        <f>33.1338707543689*(38.9/42.5)</f>
        <v>30.327236996351797</v>
      </c>
      <c r="G6056" s="1">
        <v>1.8441561843848511</v>
      </c>
      <c r="H6056" s="1">
        <v>7.5183979037022652</v>
      </c>
      <c r="I6056" s="1">
        <v>24.086304042379854</v>
      </c>
      <c r="J6056" s="1">
        <v>2.244346190931629E-2</v>
      </c>
      <c r="K6056" s="1">
        <v>1.7659116363810328</v>
      </c>
      <c r="L6056" s="1">
        <v>1.7766814692510915</v>
      </c>
      <c r="M6056" s="1">
        <v>0.1652253406771157</v>
      </c>
      <c r="N6056" s="1">
        <v>0.98121586378162851</v>
      </c>
      <c r="O6056" s="1">
        <v>0.12598303030303029</v>
      </c>
      <c r="P6056" s="1">
        <v>8.0239176588092903E-2</v>
      </c>
      <c r="Q6056" s="1">
        <v>2.947281573217801</v>
      </c>
      <c r="R6056" s="2">
        <f t="shared" si="379"/>
        <v>88.449505342501809</v>
      </c>
      <c r="S6056" s="2">
        <f t="shared" si="378"/>
        <v>1.8685942748784421</v>
      </c>
      <c r="T6056" s="2">
        <f t="shared" si="380"/>
        <v>3.0491057040128662</v>
      </c>
      <c r="U6056" s="2">
        <f t="shared" si="381"/>
        <v>93.367205321393115</v>
      </c>
    </row>
    <row r="6057" spans="1:21" x14ac:dyDescent="0.25">
      <c r="A6057">
        <v>6569629</v>
      </c>
      <c r="B6057">
        <v>20</v>
      </c>
      <c r="C6057" s="1">
        <f>3.08905168030194*(10.3/7.3)</f>
        <v>4.35852497357671</v>
      </c>
      <c r="D6057" s="1">
        <f>6.91152557386107*(10.3/7.3)</f>
        <v>9.7518785494204199</v>
      </c>
      <c r="E6057" s="1">
        <f>23.4624430995463*(10.3/7.3)</f>
        <v>33.104543003469445</v>
      </c>
      <c r="F6057" s="1">
        <f>71.6481406065108*(38.9/42.5)</f>
        <v>65.579121637488683</v>
      </c>
      <c r="G6057" s="1">
        <v>3.9802131329190735</v>
      </c>
      <c r="H6057" s="1">
        <v>12.578769356021715</v>
      </c>
      <c r="I6057" s="1">
        <v>51.581009119414091</v>
      </c>
      <c r="J6057" s="1">
        <v>3.9221629609472279E-2</v>
      </c>
      <c r="K6057" s="1">
        <v>2.7713627561145318</v>
      </c>
      <c r="L6057" s="1">
        <v>3.1033100467394634</v>
      </c>
      <c r="M6057" s="1">
        <v>0.25980892602305861</v>
      </c>
      <c r="N6057" s="1">
        <v>1.6484339342544867</v>
      </c>
      <c r="O6057" s="1">
        <v>0.20558133333333331</v>
      </c>
      <c r="P6057" s="1">
        <v>0.1187403137844818</v>
      </c>
      <c r="Q6057" s="1">
        <v>6.3610712169939596</v>
      </c>
      <c r="R6057" s="2">
        <f t="shared" si="379"/>
        <v>187.29513098930411</v>
      </c>
      <c r="S6057" s="2">
        <f t="shared" si="378"/>
        <v>2.9293246995084856</v>
      </c>
      <c r="T6057" s="2">
        <f t="shared" si="380"/>
        <v>5.217134240350342</v>
      </c>
      <c r="U6057" s="2">
        <f t="shared" si="381"/>
        <v>195.44158992916294</v>
      </c>
    </row>
    <row r="6058" spans="1:21" x14ac:dyDescent="0.25">
      <c r="A6058">
        <v>6569637</v>
      </c>
      <c r="B6058">
        <v>64</v>
      </c>
      <c r="C6058" s="1">
        <f>2.08669433879759*(10.3/7.3)</f>
        <v>2.9442399574815292</v>
      </c>
      <c r="D6058" s="1">
        <f>4.70919159707705*(10.3/7.3)</f>
        <v>6.6444758150539247</v>
      </c>
      <c r="E6058" s="1">
        <f>16.0050560490582*(10.3/7.3)</f>
        <v>22.582476343191644</v>
      </c>
      <c r="F6058" s="1">
        <f>47.7229247682649*(38.9/42.5)</f>
        <v>43.680512317306025</v>
      </c>
      <c r="G6058" s="1">
        <v>2.6194886317151469</v>
      </c>
      <c r="H6058" s="1">
        <v>7.8753771344013943</v>
      </c>
      <c r="I6058" s="1">
        <v>34.117072123277715</v>
      </c>
      <c r="J6058" s="1">
        <v>3.0000378764355757E-2</v>
      </c>
      <c r="K6058" s="1">
        <v>2.2023892446515991</v>
      </c>
      <c r="L6058" s="1">
        <v>2.3232477218237317</v>
      </c>
      <c r="M6058" s="1">
        <v>0.20091057304058377</v>
      </c>
      <c r="N6058" s="1">
        <v>1.2994166033685952</v>
      </c>
      <c r="O6058" s="1">
        <v>0.15894333333333335</v>
      </c>
      <c r="P6058" s="1">
        <v>9.7900048393942535E-2</v>
      </c>
      <c r="Q6058" s="1">
        <v>4.1863973566223827</v>
      </c>
      <c r="R6058" s="2">
        <f t="shared" si="379"/>
        <v>124.65003967904975</v>
      </c>
      <c r="S6058" s="2">
        <f t="shared" si="378"/>
        <v>2.3302896718098975</v>
      </c>
      <c r="T6058" s="2">
        <f t="shared" si="380"/>
        <v>3.9825182315662442</v>
      </c>
      <c r="U6058" s="2">
        <f t="shared" si="381"/>
        <v>130.96284758242589</v>
      </c>
    </row>
    <row r="6059" spans="1:21" x14ac:dyDescent="0.25">
      <c r="A6059">
        <v>6569645</v>
      </c>
      <c r="B6059">
        <v>3</v>
      </c>
      <c r="C6059" s="1">
        <f>1.70349405752524*(10.3/7.3)</f>
        <v>2.4035601085630129</v>
      </c>
      <c r="D6059" s="1">
        <f>3.61351171904506*(10.3/7.3)</f>
        <v>5.0985165350909787</v>
      </c>
      <c r="E6059" s="1">
        <f>12.3264327604922*(10.3/7.3)</f>
        <v>17.392090059324619</v>
      </c>
      <c r="F6059" s="1">
        <f>35.4556364596047*(38.9/42.5)</f>
        <v>32.452335488908808</v>
      </c>
      <c r="G6059" s="1">
        <v>1.9005510556692506</v>
      </c>
      <c r="H6059" s="1">
        <v>12.857461524750297</v>
      </c>
      <c r="I6059" s="1">
        <v>25.353919665939358</v>
      </c>
      <c r="J6059" s="1">
        <v>2.680856133810566E-2</v>
      </c>
      <c r="K6059" s="1">
        <v>1.9459797087697008</v>
      </c>
      <c r="L6059" s="1">
        <v>2.0003490879508266</v>
      </c>
      <c r="M6059" s="1">
        <v>0.17250929392741524</v>
      </c>
      <c r="N6059" s="1">
        <v>1.1843480137338738</v>
      </c>
      <c r="O6059" s="1">
        <v>0.13601777777777777</v>
      </c>
      <c r="P6059" s="1">
        <v>8.7346061875815909E-2</v>
      </c>
      <c r="Q6059" s="1">
        <v>3.0374103629417277</v>
      </c>
      <c r="R6059" s="2">
        <f t="shared" si="379"/>
        <v>100.49584480118804</v>
      </c>
      <c r="S6059" s="2">
        <f t="shared" si="378"/>
        <v>2.0601343319836225</v>
      </c>
      <c r="T6059" s="2">
        <f t="shared" si="380"/>
        <v>3.4932241733898928</v>
      </c>
      <c r="U6059" s="2">
        <f t="shared" si="381"/>
        <v>106.04920330656155</v>
      </c>
    </row>
    <row r="6060" spans="1:21" x14ac:dyDescent="0.25">
      <c r="A6060">
        <v>6569653</v>
      </c>
      <c r="B6060">
        <v>13</v>
      </c>
      <c r="C6060" s="1">
        <f>1.61298990389618*(10.3/7.3)</f>
        <v>2.2758624671411831</v>
      </c>
      <c r="D6060" s="1">
        <f>3.41323067766568*(10.3/7.3)</f>
        <v>4.8159282164323924</v>
      </c>
      <c r="E6060" s="1">
        <f>11.6283502790053*(10.3/7.3)</f>
        <v>16.407124366267691</v>
      </c>
      <c r="F6060" s="1">
        <f>34.251256715961*(38.9/42.5)</f>
        <v>31.349973794138432</v>
      </c>
      <c r="G6060" s="1">
        <v>1.8602466739698871</v>
      </c>
      <c r="H6060" s="1">
        <v>6.372702930450699</v>
      </c>
      <c r="I6060" s="1">
        <v>24.643928697582886</v>
      </c>
      <c r="J6060" s="1">
        <v>2.7153892843885433E-2</v>
      </c>
      <c r="K6060" s="1">
        <v>1.8752003894238147</v>
      </c>
      <c r="L6060" s="1">
        <v>1.8990295583356083</v>
      </c>
      <c r="M6060" s="1">
        <v>0.16380670292088945</v>
      </c>
      <c r="N6060" s="1">
        <v>1.1677665947484557</v>
      </c>
      <c r="O6060" s="1">
        <v>0.12958769230769229</v>
      </c>
      <c r="P6060" s="1">
        <v>8.457397745890026E-2</v>
      </c>
      <c r="Q6060" s="1">
        <v>2.9729969675317856</v>
      </c>
      <c r="R6060" s="2">
        <f t="shared" si="379"/>
        <v>90.698764113514954</v>
      </c>
      <c r="S6060" s="2">
        <f t="shared" si="378"/>
        <v>1.9869282597266005</v>
      </c>
      <c r="T6060" s="2">
        <f t="shared" si="380"/>
        <v>3.3601905483126457</v>
      </c>
      <c r="U6060" s="2">
        <f t="shared" si="381"/>
        <v>96.045882921554195</v>
      </c>
    </row>
    <row r="6061" spans="1:21" x14ac:dyDescent="0.25">
      <c r="A6061">
        <v>6569661</v>
      </c>
      <c r="B6061">
        <v>67</v>
      </c>
      <c r="C6061" s="1">
        <f>1.61077529170312*(10.3/7.3)</f>
        <v>2.2727377403482403</v>
      </c>
      <c r="D6061" s="1">
        <f>3.33097318763839*(10.3/7.3)</f>
        <v>4.6998662784486944</v>
      </c>
      <c r="E6061" s="1">
        <f>11.3502335206901*(10.3/7.3)</f>
        <v>16.014713049740823</v>
      </c>
      <c r="F6061" s="1">
        <f>33.6918606833131*(38.9/42.5)</f>
        <v>30.837961896020712</v>
      </c>
      <c r="G6061" s="1">
        <v>1.834903633532792</v>
      </c>
      <c r="H6061" s="1">
        <v>7.2755797403899356</v>
      </c>
      <c r="I6061" s="1">
        <v>24.370808977776367</v>
      </c>
      <c r="J6061" s="1">
        <v>2.6452892199291658E-2</v>
      </c>
      <c r="K6061" s="1">
        <v>1.8822535805667415</v>
      </c>
      <c r="L6061" s="1">
        <v>1.9111235295967084</v>
      </c>
      <c r="M6061" s="1">
        <v>0.1625783279557097</v>
      </c>
      <c r="N6061" s="1">
        <v>1.1838325472336491</v>
      </c>
      <c r="O6061" s="1">
        <v>0.12959522388059697</v>
      </c>
      <c r="P6061" s="1">
        <v>8.5003189560316494E-2</v>
      </c>
      <c r="Q6061" s="1">
        <v>2.9324943914907671</v>
      </c>
      <c r="R6061" s="2">
        <f t="shared" si="379"/>
        <v>90.239065707748324</v>
      </c>
      <c r="S6061" s="2">
        <f t="shared" si="378"/>
        <v>1.9937096623263497</v>
      </c>
      <c r="T6061" s="2">
        <f t="shared" si="380"/>
        <v>3.3871296286666643</v>
      </c>
      <c r="U6061" s="2">
        <f t="shared" si="381"/>
        <v>95.619904998741347</v>
      </c>
    </row>
    <row r="6062" spans="1:21" x14ac:dyDescent="0.25">
      <c r="A6062">
        <v>6581841</v>
      </c>
      <c r="B6062">
        <v>1</v>
      </c>
      <c r="C6062" s="1">
        <f>1.51868665918722*(10.3/7.3)</f>
        <v>2.1428044643326558</v>
      </c>
      <c r="D6062" s="1">
        <f>3.02782078334964*(10.3/7.3)</f>
        <v>4.2721306943152451</v>
      </c>
      <c r="E6062" s="1">
        <f>10.3122946061795*(10.3/7.3)</f>
        <v>14.550223896390229</v>
      </c>
      <c r="F6062" s="1">
        <f>31.4141377935892*(38.9/42.5)</f>
        <v>28.753175533426369</v>
      </c>
      <c r="G6062" s="1">
        <v>1.7306673990183488</v>
      </c>
      <c r="H6062" s="1">
        <v>8.3372514598354712</v>
      </c>
      <c r="I6062" s="1">
        <v>22.984512563652167</v>
      </c>
      <c r="J6062" s="1">
        <v>2.4415394419034498E-2</v>
      </c>
      <c r="K6062" s="1">
        <v>1.8763873603800623</v>
      </c>
      <c r="L6062" s="1">
        <v>1.9046297444849412</v>
      </c>
      <c r="M6062" s="1">
        <v>0.17678907396221799</v>
      </c>
      <c r="N6062" s="1">
        <v>1.1665164160216519</v>
      </c>
      <c r="O6062" s="1">
        <v>0.13488</v>
      </c>
      <c r="P6062" s="1">
        <v>8.4341591481868677E-2</v>
      </c>
      <c r="Q6062" s="1">
        <v>2.765906802084122</v>
      </c>
      <c r="R6062" s="2">
        <f t="shared" si="379"/>
        <v>85.536672813054608</v>
      </c>
      <c r="S6062" s="2">
        <f t="shared" si="378"/>
        <v>1.9851443462809653</v>
      </c>
      <c r="T6062" s="2">
        <f t="shared" si="380"/>
        <v>3.3828152344688109</v>
      </c>
      <c r="U6062" s="2">
        <f t="shared" si="381"/>
        <v>90.904632393804377</v>
      </c>
    </row>
    <row r="6063" spans="1:21" x14ac:dyDescent="0.25">
      <c r="A6063">
        <v>6581849</v>
      </c>
      <c r="B6063">
        <v>55</v>
      </c>
      <c r="C6063" s="1">
        <f>1.49103072445944*(10.3/7.3)</f>
        <v>2.1037830769770238</v>
      </c>
      <c r="D6063" s="1">
        <f>3.11012480316733*(10.3/7.3)</f>
        <v>4.3882582839210302</v>
      </c>
      <c r="E6063" s="1">
        <f>10.5810853264969*(10.3/7.3)</f>
        <v>14.929476556564051</v>
      </c>
      <c r="F6063" s="1">
        <f>32.1329237605151*(38.9/42.5)</f>
        <v>29.411076100800877</v>
      </c>
      <c r="G6063" s="1">
        <v>1.7724539015116962</v>
      </c>
      <c r="H6063" s="1">
        <v>8.5022741940269242</v>
      </c>
      <c r="I6063" s="1">
        <v>23.335633064214683</v>
      </c>
      <c r="J6063" s="1">
        <v>2.4118061559392327E-2</v>
      </c>
      <c r="K6063" s="1">
        <v>1.8670484163331746</v>
      </c>
      <c r="L6063" s="1">
        <v>1.8915421270410209</v>
      </c>
      <c r="M6063" s="1">
        <v>0.17502858085666667</v>
      </c>
      <c r="N6063" s="1">
        <v>1.1147032202954814</v>
      </c>
      <c r="O6063" s="1">
        <v>0.13279999999999995</v>
      </c>
      <c r="P6063" s="1">
        <v>8.4247951652807004E-2</v>
      </c>
      <c r="Q6063" s="1">
        <v>2.8326888836944941</v>
      </c>
      <c r="R6063" s="2">
        <f t="shared" si="379"/>
        <v>87.275644061710778</v>
      </c>
      <c r="S6063" s="2">
        <f t="shared" si="378"/>
        <v>1.9754144295453739</v>
      </c>
      <c r="T6063" s="2">
        <f t="shared" si="380"/>
        <v>3.314073928193169</v>
      </c>
      <c r="U6063" s="2">
        <f t="shared" si="381"/>
        <v>92.565132419449313</v>
      </c>
    </row>
    <row r="6064" spans="1:21" x14ac:dyDescent="0.25">
      <c r="A6064">
        <v>6581857</v>
      </c>
      <c r="B6064">
        <v>4</v>
      </c>
      <c r="C6064" s="1">
        <f>1.47666687357373*(10.3/7.3)</f>
        <v>2.083516273672521</v>
      </c>
      <c r="D6064" s="1">
        <f>3.4632857777463*(10.3/7.3)</f>
        <v>4.886553905587248</v>
      </c>
      <c r="E6064" s="1">
        <f>11.6501618326504*(10.3/7.3)</f>
        <v>16.437899572095809</v>
      </c>
      <c r="F6064" s="1">
        <f>40.3523795542485*(38.9/42.5)</f>
        <v>36.934295639065056</v>
      </c>
      <c r="G6064" s="1">
        <v>2.3835571152630264</v>
      </c>
      <c r="H6064" s="1">
        <v>6.3562304894736794</v>
      </c>
      <c r="I6064" s="1">
        <v>29.706699781125891</v>
      </c>
      <c r="J6064" s="1">
        <v>2.3498862407475334E-2</v>
      </c>
      <c r="K6064" s="1">
        <v>1.8324961914584896</v>
      </c>
      <c r="L6064" s="1">
        <v>1.8502070162416877</v>
      </c>
      <c r="M6064" s="1">
        <v>0.17030332061245862</v>
      </c>
      <c r="N6064" s="1">
        <v>1.0398791205279287</v>
      </c>
      <c r="O6064" s="1">
        <v>0.12961333333333333</v>
      </c>
      <c r="P6064" s="1">
        <v>8.2586012463574082E-2</v>
      </c>
      <c r="Q6064" s="1">
        <v>3.8093378554431965</v>
      </c>
      <c r="R6064" s="2">
        <f t="shared" si="379"/>
        <v>102.59809063172642</v>
      </c>
      <c r="S6064" s="2">
        <f t="shared" si="378"/>
        <v>1.9385810663295389</v>
      </c>
      <c r="T6064" s="2">
        <f t="shared" si="380"/>
        <v>3.1900027907154085</v>
      </c>
      <c r="U6064" s="2">
        <f t="shared" si="381"/>
        <v>107.72667448877137</v>
      </c>
    </row>
    <row r="6065" spans="1:21" x14ac:dyDescent="0.25">
      <c r="A6065">
        <v>6581865</v>
      </c>
      <c r="B6065">
        <v>16</v>
      </c>
      <c r="C6065" s="1">
        <f>2.07002209269887*(10.3/7.3)</f>
        <v>2.920716103397035</v>
      </c>
      <c r="D6065" s="1">
        <f>4.77555291042841*(10.3/7.3)</f>
        <v>6.7381089010154289</v>
      </c>
      <c r="E6065" s="1">
        <f>16.1874921146946*(10.3/7.3)</f>
        <v>22.839886134432113</v>
      </c>
      <c r="F6065" s="1">
        <f>50.0211409144695*(38.9/42.5)</f>
        <v>45.784056037008526</v>
      </c>
      <c r="G6065" s="1">
        <v>2.8003979612138186</v>
      </c>
      <c r="H6065" s="1">
        <v>9.0592450076390119</v>
      </c>
      <c r="I6065" s="1">
        <v>35.963788075091294</v>
      </c>
      <c r="J6065" s="1">
        <v>2.9705608703346504E-2</v>
      </c>
      <c r="K6065" s="1">
        <v>2.1964831342187203</v>
      </c>
      <c r="L6065" s="1">
        <v>2.3278976898982182</v>
      </c>
      <c r="M6065" s="1">
        <v>0.20219656839690561</v>
      </c>
      <c r="N6065" s="1">
        <v>1.2913901127701708</v>
      </c>
      <c r="O6065" s="1">
        <v>0.15864333333333333</v>
      </c>
      <c r="P6065" s="1">
        <v>9.6672357774614859E-2</v>
      </c>
      <c r="Q6065" s="1">
        <v>4.4755218558211762</v>
      </c>
      <c r="R6065" s="2">
        <f t="shared" si="379"/>
        <v>130.58172007561839</v>
      </c>
      <c r="S6065" s="2">
        <f t="shared" si="378"/>
        <v>2.3228611006966817</v>
      </c>
      <c r="T6065" s="2">
        <f t="shared" si="380"/>
        <v>3.9801277043986283</v>
      </c>
      <c r="U6065" s="2">
        <f t="shared" si="381"/>
        <v>136.8847088807137</v>
      </c>
    </row>
    <row r="6066" spans="1:21" x14ac:dyDescent="0.25">
      <c r="A6066">
        <v>6581873</v>
      </c>
      <c r="B6066">
        <v>10</v>
      </c>
      <c r="C6066" s="1">
        <f>2.16929632553454*(10.3/7.3)</f>
        <v>3.060787966165174</v>
      </c>
      <c r="D6066" s="1">
        <f>5.1376881779242*(10.3/7.3)</f>
        <v>7.2490668811807142</v>
      </c>
      <c r="E6066" s="1">
        <f>17.4234691070346*(10.3/7.3)</f>
        <v>24.583798877048778</v>
      </c>
      <c r="F6066" s="1">
        <f>52.8234911623754*(38.9/42.5)</f>
        <v>48.349030734503557</v>
      </c>
      <c r="G6066" s="1">
        <v>2.9329072134015228</v>
      </c>
      <c r="H6066" s="1">
        <v>10.051728955846764</v>
      </c>
      <c r="I6066" s="1">
        <v>37.669721333692756</v>
      </c>
      <c r="J6066" s="1">
        <v>3.1191790819312233E-2</v>
      </c>
      <c r="K6066" s="1">
        <v>2.2693260079657924</v>
      </c>
      <c r="L6066" s="1">
        <v>2.4153136145478933</v>
      </c>
      <c r="M6066" s="1">
        <v>0.20670298502363665</v>
      </c>
      <c r="N6066" s="1">
        <v>1.347721584615865</v>
      </c>
      <c r="O6066" s="1">
        <v>0.16452266666666668</v>
      </c>
      <c r="P6066" s="1">
        <v>0.10045528844047343</v>
      </c>
      <c r="Q6066" s="1">
        <v>4.6872946332901098</v>
      </c>
      <c r="R6066" s="2">
        <f t="shared" si="379"/>
        <v>138.5843365951294</v>
      </c>
      <c r="S6066" s="2">
        <f t="shared" si="378"/>
        <v>2.4009730872255783</v>
      </c>
      <c r="T6066" s="2">
        <f t="shared" si="380"/>
        <v>4.1342608508540621</v>
      </c>
      <c r="U6066" s="2">
        <f t="shared" si="381"/>
        <v>145.11957053320901</v>
      </c>
    </row>
    <row r="6067" spans="1:21" x14ac:dyDescent="0.25">
      <c r="A6067">
        <v>6581889</v>
      </c>
      <c r="B6067">
        <v>62</v>
      </c>
      <c r="C6067" s="1">
        <f>1.58523351122364*(10.3/7.3)</f>
        <v>2.2366993377538966</v>
      </c>
      <c r="D6067" s="1">
        <f>3.43973342246709*(10.3/7.3)</f>
        <v>4.8533225001932934</v>
      </c>
      <c r="E6067" s="1">
        <f>11.6882990425147*(10.3/7.3)</f>
        <v>16.491709607931714</v>
      </c>
      <c r="F6067" s="1">
        <f>35.5825982101363*(38.9/42.5)</f>
        <v>32.568542832336526</v>
      </c>
      <c r="G6067" s="1">
        <v>1.9699870344504702</v>
      </c>
      <c r="H6067" s="1">
        <v>6.4102738489599522</v>
      </c>
      <c r="I6067" s="1">
        <v>25.708246369883781</v>
      </c>
      <c r="J6067" s="1">
        <v>2.6334965047783866E-2</v>
      </c>
      <c r="K6067" s="1">
        <v>1.8664017790533169</v>
      </c>
      <c r="L6067" s="1">
        <v>1.8785230735949514</v>
      </c>
      <c r="M6067" s="1">
        <v>0.16232274907117467</v>
      </c>
      <c r="N6067" s="1">
        <v>1.1518467447861023</v>
      </c>
      <c r="O6067" s="1">
        <v>0.12823913978494622</v>
      </c>
      <c r="P6067" s="1">
        <v>8.4122174162546567E-2</v>
      </c>
      <c r="Q6067" s="1">
        <v>3.1483811052861426</v>
      </c>
      <c r="R6067" s="2">
        <f t="shared" si="379"/>
        <v>93.387162636795779</v>
      </c>
      <c r="S6067" s="2">
        <f t="shared" si="378"/>
        <v>1.9768589182636473</v>
      </c>
      <c r="T6067" s="2">
        <f t="shared" si="380"/>
        <v>3.3209317072371745</v>
      </c>
      <c r="U6067" s="2">
        <f t="shared" si="381"/>
        <v>98.684953262296602</v>
      </c>
    </row>
    <row r="6068" spans="1:21" x14ac:dyDescent="0.25">
      <c r="A6068">
        <v>6581897</v>
      </c>
      <c r="B6068">
        <v>25</v>
      </c>
      <c r="C6068" s="1">
        <f>1.51938765276712*(10.3/7.3)</f>
        <v>2.1437935374659434</v>
      </c>
      <c r="D6068" s="1">
        <f>3.18066748447309*(10.3/7.3)</f>
        <v>4.4877911082291497</v>
      </c>
      <c r="E6068" s="1">
        <f>10.8129031202097*(10.3/7.3)</f>
        <v>15.256561936734213</v>
      </c>
      <c r="F6068" s="1">
        <f>33.2032102106038*(38.9/42.5)</f>
        <v>30.390702992764393</v>
      </c>
      <c r="G6068" s="1">
        <v>1.8425116455612334</v>
      </c>
      <c r="H6068" s="1">
        <v>7.3799119489357494</v>
      </c>
      <c r="I6068" s="1">
        <v>24.161098502622107</v>
      </c>
      <c r="J6068" s="1">
        <v>2.6060399651632919E-2</v>
      </c>
      <c r="K6068" s="1">
        <v>1.8586153481825272</v>
      </c>
      <c r="L6068" s="1">
        <v>1.8690203098990572</v>
      </c>
      <c r="M6068" s="1">
        <v>0.15898743329886467</v>
      </c>
      <c r="N6068" s="1">
        <v>1.2097006515454054</v>
      </c>
      <c r="O6068" s="1">
        <v>0.12650880000000003</v>
      </c>
      <c r="P6068" s="1">
        <v>8.3576202225411858E-2</v>
      </c>
      <c r="Q6068" s="1">
        <v>2.9446533148238916</v>
      </c>
      <c r="R6068" s="2">
        <f t="shared" si="379"/>
        <v>88.607024987136683</v>
      </c>
      <c r="S6068" s="2">
        <f t="shared" si="378"/>
        <v>1.9682519500595719</v>
      </c>
      <c r="T6068" s="2">
        <f t="shared" si="380"/>
        <v>3.3642171947433273</v>
      </c>
      <c r="U6068" s="2">
        <f t="shared" si="381"/>
        <v>93.939494131939583</v>
      </c>
    </row>
    <row r="6069" spans="1:21" x14ac:dyDescent="0.25">
      <c r="A6069">
        <v>6594077</v>
      </c>
      <c r="B6069">
        <v>56</v>
      </c>
      <c r="C6069" s="1">
        <f>1.77843692837991*(10.3/7.3)</f>
        <v>2.509301419494943</v>
      </c>
      <c r="D6069" s="1">
        <f>3.77413848197708*(10.3/7.3)</f>
        <v>5.3251542964882077</v>
      </c>
      <c r="E6069" s="1">
        <f>12.8011835139669*(10.3/7.3)</f>
        <v>18.061943862172509</v>
      </c>
      <c r="F6069" s="1">
        <f>40.5710550915008*(38.9/42.5)</f>
        <v>37.134448071985474</v>
      </c>
      <c r="G6069" s="1">
        <v>2.2893483250653786</v>
      </c>
      <c r="H6069" s="1">
        <v>9.7480675811613775</v>
      </c>
      <c r="I6069" s="1">
        <v>29.673774434039455</v>
      </c>
      <c r="J6069" s="1">
        <v>2.6667020184204155E-2</v>
      </c>
      <c r="K6069" s="1">
        <v>2.0482320169794686</v>
      </c>
      <c r="L6069" s="1">
        <v>2.1224775232823654</v>
      </c>
      <c r="M6069" s="1">
        <v>0.1934684844477132</v>
      </c>
      <c r="N6069" s="1">
        <v>1.3271313642321441</v>
      </c>
      <c r="O6069" s="1">
        <v>0.15016000000000002</v>
      </c>
      <c r="P6069" s="1">
        <v>9.110206215498616E-2</v>
      </c>
      <c r="Q6069" s="1">
        <v>3.6587758619766335</v>
      </c>
      <c r="R6069" s="2">
        <f t="shared" si="379"/>
        <v>108.40081385238399</v>
      </c>
      <c r="S6069" s="2">
        <f t="shared" si="378"/>
        <v>2.1660010993186591</v>
      </c>
      <c r="T6069" s="2">
        <f t="shared" si="380"/>
        <v>3.7932373719622228</v>
      </c>
      <c r="U6069" s="2">
        <f t="shared" si="381"/>
        <v>114.36005232366487</v>
      </c>
    </row>
    <row r="6070" spans="1:21" x14ac:dyDescent="0.25">
      <c r="A6070">
        <v>6594085</v>
      </c>
      <c r="B6070">
        <v>1</v>
      </c>
      <c r="C6070" s="1">
        <f>1.75925491047206*(10.3/7.3)</f>
        <v>2.4822363805290695</v>
      </c>
      <c r="D6070" s="1">
        <f>3.75779480536326*(10.3/7.3)</f>
        <v>5.3020940404440502</v>
      </c>
      <c r="E6070" s="1">
        <f>12.7728354067504*(10.3/7.3)</f>
        <v>18.02194584788074</v>
      </c>
      <c r="F6070" s="1">
        <f>38.9668834615796*(38.9/42.5)</f>
        <v>35.66615921542229</v>
      </c>
      <c r="G6070" s="1">
        <v>2.1577012643681952</v>
      </c>
      <c r="H6070" s="1">
        <v>11.024520262361007</v>
      </c>
      <c r="I6070" s="1">
        <v>28.230695174182109</v>
      </c>
      <c r="J6070" s="1">
        <v>2.4916092462386265E-2</v>
      </c>
      <c r="K6070" s="1">
        <v>1.9187350990883962</v>
      </c>
      <c r="L6070" s="1">
        <v>1.9586868252944203</v>
      </c>
      <c r="M6070" s="1">
        <v>0.17957492785612547</v>
      </c>
      <c r="N6070" s="1">
        <v>1.1440985164423292</v>
      </c>
      <c r="O6070" s="1">
        <v>0.13781333333333334</v>
      </c>
      <c r="P6070" s="1">
        <v>8.6200419806860135E-2</v>
      </c>
      <c r="Q6070" s="1">
        <v>3.4483810161135575</v>
      </c>
      <c r="R6070" s="2">
        <f t="shared" si="379"/>
        <v>106.33373320130102</v>
      </c>
      <c r="S6070" s="2">
        <f t="shared" si="378"/>
        <v>2.0298516113576426</v>
      </c>
      <c r="T6070" s="2">
        <f t="shared" si="380"/>
        <v>3.4201736029262082</v>
      </c>
      <c r="U6070" s="2">
        <f t="shared" si="381"/>
        <v>111.78375841558487</v>
      </c>
    </row>
    <row r="6071" spans="1:21" x14ac:dyDescent="0.25">
      <c r="A6071">
        <v>6594101</v>
      </c>
      <c r="B6071">
        <v>2</v>
      </c>
      <c r="C6071" s="1">
        <f>2.03228394400808*(10.3/7.3)</f>
        <v>2.8674691264771508</v>
      </c>
      <c r="D6071" s="1">
        <f>4.91466067457533*(10.3/7.3)</f>
        <v>6.9343842394693018</v>
      </c>
      <c r="E6071" s="1">
        <f>16.6468953877162*(10.3/7.3)</f>
        <v>23.488085273079079</v>
      </c>
      <c r="F6071" s="1">
        <f>51.0793582901846*(38.9/42.5)</f>
        <v>46.752636176192503</v>
      </c>
      <c r="G6071" s="1">
        <v>2.8567278052612233</v>
      </c>
      <c r="H6071" s="1">
        <v>10.974133972313652</v>
      </c>
      <c r="I6071" s="1">
        <v>36.435664540970194</v>
      </c>
      <c r="J6071" s="1">
        <v>3.0495905403128423E-2</v>
      </c>
      <c r="K6071" s="1">
        <v>2.2291435996327111</v>
      </c>
      <c r="L6071" s="1">
        <v>2.3624761234631109</v>
      </c>
      <c r="M6071" s="1">
        <v>0.20329166566567505</v>
      </c>
      <c r="N6071" s="1">
        <v>1.3322893447781485</v>
      </c>
      <c r="O6071" s="1">
        <v>0.16106666666666669</v>
      </c>
      <c r="P6071" s="1">
        <v>9.8671554931380731E-2</v>
      </c>
      <c r="Q6071" s="1">
        <v>4.5655467207371192</v>
      </c>
      <c r="R6071" s="2">
        <f t="shared" si="379"/>
        <v>134.87464785450027</v>
      </c>
      <c r="S6071" s="2">
        <f t="shared" si="378"/>
        <v>2.3583110599672206</v>
      </c>
      <c r="T6071" s="2">
        <f t="shared" si="380"/>
        <v>4.0591238005736017</v>
      </c>
      <c r="U6071" s="2">
        <f t="shared" si="381"/>
        <v>141.29208271504109</v>
      </c>
    </row>
    <row r="6072" spans="1:21" x14ac:dyDescent="0.25">
      <c r="A6072">
        <v>6594117</v>
      </c>
      <c r="B6072">
        <v>36</v>
      </c>
      <c r="C6072" s="1">
        <f>1.64075203429877*(10.3/7.3)</f>
        <v>2.3150336922297776</v>
      </c>
      <c r="D6072" s="1">
        <f>3.64826224911838*(10.3/7.3)</f>
        <v>5.1475481049204479</v>
      </c>
      <c r="E6072" s="1">
        <f>12.4289628357791*(10.3/7.3)</f>
        <v>17.536755781989623</v>
      </c>
      <c r="F6072" s="1">
        <f>35.7764598040673*(38.9/42.5)</f>
        <v>32.745983208899283</v>
      </c>
      <c r="G6072" s="1">
        <v>1.9243943759009565</v>
      </c>
      <c r="H6072" s="1">
        <v>7.2241809895116154</v>
      </c>
      <c r="I6072" s="1">
        <v>25.405453862665585</v>
      </c>
      <c r="J6072" s="1">
        <v>2.7023314594929328E-2</v>
      </c>
      <c r="K6072" s="1">
        <v>1.8372783833425181</v>
      </c>
      <c r="L6072" s="1">
        <v>1.8463536883389446</v>
      </c>
      <c r="M6072" s="1">
        <v>0.16083852744761787</v>
      </c>
      <c r="N6072" s="1">
        <v>1.1159302544206451</v>
      </c>
      <c r="O6072" s="1">
        <v>0.12785185185185188</v>
      </c>
      <c r="P6072" s="1">
        <v>8.3019786888052019E-2</v>
      </c>
      <c r="Q6072" s="1">
        <v>3.0755161258691111</v>
      </c>
      <c r="R6072" s="2">
        <f t="shared" si="379"/>
        <v>95.374866141986402</v>
      </c>
      <c r="S6072" s="2">
        <f t="shared" si="378"/>
        <v>1.9473214848254994</v>
      </c>
      <c r="T6072" s="2">
        <f t="shared" si="380"/>
        <v>3.2509743220590597</v>
      </c>
      <c r="U6072" s="2">
        <f t="shared" si="381"/>
        <v>100.57316194887096</v>
      </c>
    </row>
    <row r="6073" spans="1:21" x14ac:dyDescent="0.25">
      <c r="A6073">
        <v>6594125</v>
      </c>
      <c r="B6073">
        <v>68</v>
      </c>
      <c r="C6073" s="1">
        <f>1.52886652918949*(10.3/7.3)</f>
        <v>2.1571678425550305</v>
      </c>
      <c r="D6073" s="1">
        <f>3.30628168936246*(10.3/7.3)</f>
        <v>4.6650275891004531</v>
      </c>
      <c r="E6073" s="1">
        <f>11.2264764777162*(10.3/7.3)</f>
        <v>15.840096948010473</v>
      </c>
      <c r="F6073" s="1">
        <f>34.6585324378843*(38.9/42.5)</f>
        <v>31.722750866675298</v>
      </c>
      <c r="G6073" s="1">
        <v>1.9323187735073759</v>
      </c>
      <c r="H6073" s="1">
        <v>6.7597653947646918</v>
      </c>
      <c r="I6073" s="1">
        <v>25.134110575070451</v>
      </c>
      <c r="J6073" s="1">
        <v>2.5740521992391699E-2</v>
      </c>
      <c r="K6073" s="1">
        <v>1.8536948176256798</v>
      </c>
      <c r="L6073" s="1">
        <v>1.8551310610223872</v>
      </c>
      <c r="M6073" s="1">
        <v>0.15994017580810974</v>
      </c>
      <c r="N6073" s="1">
        <v>1.1577145795565653</v>
      </c>
      <c r="O6073" s="1">
        <v>0.12661176470588234</v>
      </c>
      <c r="P6073" s="1">
        <v>8.3373034671383781E-2</v>
      </c>
      <c r="Q6073" s="1">
        <v>3.0881806882538005</v>
      </c>
      <c r="R6073" s="2">
        <f t="shared" si="379"/>
        <v>91.299418677937581</v>
      </c>
      <c r="S6073" s="2">
        <f t="shared" si="378"/>
        <v>1.9628083742894551</v>
      </c>
      <c r="T6073" s="2">
        <f t="shared" si="380"/>
        <v>3.2993975810929443</v>
      </c>
      <c r="U6073" s="2">
        <f t="shared" si="381"/>
        <v>96.56162463331998</v>
      </c>
    </row>
    <row r="6074" spans="1:21" x14ac:dyDescent="0.25">
      <c r="A6074">
        <v>6606305</v>
      </c>
      <c r="B6074">
        <v>26</v>
      </c>
      <c r="C6074" s="1">
        <f>1.63451298037702*(10.3/7.3)</f>
        <v>2.3062306435456636</v>
      </c>
      <c r="D6074" s="1">
        <f>3.57722014728193*(10.3/7.3)</f>
        <v>5.0473106187676589</v>
      </c>
      <c r="E6074" s="1">
        <f>12.0669452289587*(10.3/7.3)</f>
        <v>17.025963816201987</v>
      </c>
      <c r="F6074" s="1">
        <f>41.1547146514904*(38.9/42.5)</f>
        <v>37.668668233952417</v>
      </c>
      <c r="G6074" s="1">
        <v>2.4067493294422504</v>
      </c>
      <c r="H6074" s="1">
        <v>10.244824722782084</v>
      </c>
      <c r="I6074" s="1">
        <v>30.450410188627838</v>
      </c>
      <c r="J6074" s="1">
        <v>2.4200949429150465E-2</v>
      </c>
      <c r="K6074" s="1">
        <v>1.9103770863915073</v>
      </c>
      <c r="L6074" s="1">
        <v>1.9349273051800762</v>
      </c>
      <c r="M6074" s="1">
        <v>0.18103347407896195</v>
      </c>
      <c r="N6074" s="1">
        <v>1.0840940045125</v>
      </c>
      <c r="O6074" s="1">
        <v>0.13908512820512817</v>
      </c>
      <c r="P6074" s="1">
        <v>8.5522076325200105E-2</v>
      </c>
      <c r="Q6074" s="1">
        <v>3.8464030379214074</v>
      </c>
      <c r="R6074" s="2">
        <f t="shared" si="379"/>
        <v>108.99656059124131</v>
      </c>
      <c r="S6074" s="2">
        <f t="shared" si="378"/>
        <v>2.0201001121458577</v>
      </c>
      <c r="T6074" s="2">
        <f t="shared" si="380"/>
        <v>3.339139911976666</v>
      </c>
      <c r="U6074" s="2">
        <f t="shared" si="381"/>
        <v>114.35580061536382</v>
      </c>
    </row>
    <row r="6075" spans="1:21" x14ac:dyDescent="0.25">
      <c r="A6075">
        <v>6606313</v>
      </c>
      <c r="B6075">
        <v>29</v>
      </c>
      <c r="C6075" s="1">
        <f>2.05695743472703*(10.3/7.3)</f>
        <v>2.9022824079025247</v>
      </c>
      <c r="D6075" s="1">
        <f>4.42869809514776*(10.3/7.3)</f>
        <v>6.2487110109619044</v>
      </c>
      <c r="E6075" s="1">
        <f>15.0459062898953*(10.3/7.3)</f>
        <v>21.229155450126189</v>
      </c>
      <c r="F6075" s="1">
        <f>46.115028989365*(38.9/42.5)</f>
        <v>42.208814769089379</v>
      </c>
      <c r="G6075" s="1">
        <v>2.5608712548999297</v>
      </c>
      <c r="H6075" s="1">
        <v>9.2550927525601434</v>
      </c>
      <c r="I6075" s="1">
        <v>33.407357591318913</v>
      </c>
      <c r="J6075" s="1">
        <v>2.9554645755880637E-2</v>
      </c>
      <c r="K6075" s="1">
        <v>2.2237369114313896</v>
      </c>
      <c r="L6075" s="1">
        <v>2.3527394508178356</v>
      </c>
      <c r="M6075" s="1">
        <v>0.21001350750915565</v>
      </c>
      <c r="N6075" s="1">
        <v>1.4354453299229757</v>
      </c>
      <c r="O6075" s="1">
        <v>0.16450574712643679</v>
      </c>
      <c r="P6075" s="1">
        <v>9.7846630197434323E-2</v>
      </c>
      <c r="Q6075" s="1">
        <v>4.0927166174199838</v>
      </c>
      <c r="R6075" s="2">
        <f t="shared" si="379"/>
        <v>121.90500185427898</v>
      </c>
      <c r="S6075" s="2">
        <f t="shared" si="378"/>
        <v>2.3511381873847048</v>
      </c>
      <c r="T6075" s="2">
        <f t="shared" si="380"/>
        <v>4.1627040353764038</v>
      </c>
      <c r="U6075" s="2">
        <f t="shared" si="381"/>
        <v>128.41884407704009</v>
      </c>
    </row>
    <row r="6076" spans="1:21" x14ac:dyDescent="0.25">
      <c r="A6076">
        <v>6606353</v>
      </c>
      <c r="B6076">
        <v>56</v>
      </c>
      <c r="C6076" s="1">
        <f>1.67503041804907*(10.3/7.3)</f>
        <v>2.3633990830007483</v>
      </c>
      <c r="D6076" s="1">
        <f>3.71795655218245*(10.3/7.3)</f>
        <v>5.2458839023944117</v>
      </c>
      <c r="E6076" s="1">
        <f>12.6511973465155*(10.3/7.3)</f>
        <v>17.850319543713699</v>
      </c>
      <c r="F6076" s="1">
        <f>37.2262802777681*(38.9/42.5)</f>
        <v>34.072995360121844</v>
      </c>
      <c r="G6076" s="1">
        <v>2.026763116674331</v>
      </c>
      <c r="H6076" s="1">
        <v>6.5460188486520456</v>
      </c>
      <c r="I6076" s="1">
        <v>26.588949027889488</v>
      </c>
      <c r="J6076" s="1">
        <v>2.756491240782984E-2</v>
      </c>
      <c r="K6076" s="1">
        <v>1.9494218410587554</v>
      </c>
      <c r="L6076" s="1">
        <v>1.9709054302929356</v>
      </c>
      <c r="M6076" s="1">
        <v>0.16940060422797518</v>
      </c>
      <c r="N6076" s="1">
        <v>1.2038374656238617</v>
      </c>
      <c r="O6076" s="1">
        <v>0.13523809523809524</v>
      </c>
      <c r="P6076" s="1">
        <v>8.7271673293927515E-2</v>
      </c>
      <c r="Q6076" s="1">
        <v>3.2391191362375182</v>
      </c>
      <c r="R6076" s="2">
        <f t="shared" si="379"/>
        <v>97.933448018684075</v>
      </c>
      <c r="S6076" s="2">
        <f t="shared" si="378"/>
        <v>2.0642584267605129</v>
      </c>
      <c r="T6076" s="2">
        <f t="shared" si="380"/>
        <v>3.479381595382868</v>
      </c>
      <c r="U6076" s="2">
        <f t="shared" si="381"/>
        <v>103.47708804082745</v>
      </c>
    </row>
    <row r="6077" spans="1:21" x14ac:dyDescent="0.25">
      <c r="A6077">
        <v>6606361</v>
      </c>
      <c r="B6077">
        <v>5</v>
      </c>
      <c r="C6077" s="1">
        <f>1.58313027352147*(10.3/7.3)</f>
        <v>2.2337317557905689</v>
      </c>
      <c r="D6077" s="1">
        <f>3.40329498282109*(10.3/7.3)</f>
        <v>4.8019093593229067</v>
      </c>
      <c r="E6077" s="1">
        <f>11.5578311615661*(10.3/7.3)</f>
        <v>16.307624789606962</v>
      </c>
      <c r="F6077" s="1">
        <f>35.6757836025615*(38.9/42.5)</f>
        <v>32.653834873873961</v>
      </c>
      <c r="G6077" s="1">
        <v>1.9881752575207687</v>
      </c>
      <c r="H6077" s="1">
        <v>7.6493106463889351</v>
      </c>
      <c r="I6077" s="1">
        <v>25.892557847035015</v>
      </c>
      <c r="J6077" s="1">
        <v>2.6194145434060439E-2</v>
      </c>
      <c r="K6077" s="1">
        <v>1.8775833859172244</v>
      </c>
      <c r="L6077" s="1">
        <v>1.884546052583979</v>
      </c>
      <c r="M6077" s="1">
        <v>0.16111294581083929</v>
      </c>
      <c r="N6077" s="1">
        <v>1.2233630099718062</v>
      </c>
      <c r="O6077" s="1">
        <v>0.12801066666666666</v>
      </c>
      <c r="P6077" s="1">
        <v>8.3978371343980354E-2</v>
      </c>
      <c r="Q6077" s="1">
        <v>3.1774490416998615</v>
      </c>
      <c r="R6077" s="2">
        <f t="shared" si="379"/>
        <v>94.704593571238988</v>
      </c>
      <c r="S6077" s="2">
        <f t="shared" si="378"/>
        <v>1.9877559026952651</v>
      </c>
      <c r="T6077" s="2">
        <f t="shared" si="380"/>
        <v>3.3970326750332909</v>
      </c>
      <c r="U6077" s="2">
        <f t="shared" si="381"/>
        <v>100.08938214896754</v>
      </c>
    </row>
    <row r="6078" spans="1:21" x14ac:dyDescent="0.25">
      <c r="A6078">
        <v>661481</v>
      </c>
      <c r="B6078">
        <v>13</v>
      </c>
      <c r="C6078" s="1">
        <f>2.10812789536514*(10.3/7.3)</f>
        <v>2.9744818249672456</v>
      </c>
      <c r="D6078" s="1">
        <f>2.60030805180477*(10.3/7.3)</f>
        <v>3.668927799121799</v>
      </c>
      <c r="E6078" s="1">
        <f>9.18797518668328*(10.3/7.3)</f>
        <v>12.963855400388738</v>
      </c>
      <c r="F6078" s="1">
        <f>18.9887692406137*(38.9/42.5)</f>
        <v>17.380308787291089</v>
      </c>
      <c r="G6078" s="1">
        <v>0.72535506873349953</v>
      </c>
      <c r="H6078" s="1">
        <v>4.5556957939738174</v>
      </c>
      <c r="I6078" s="1">
        <v>14.29658964451451</v>
      </c>
      <c r="J6078" s="1">
        <v>4.7741917473908956E-2</v>
      </c>
      <c r="K6078" s="1">
        <v>7.403794649323455</v>
      </c>
      <c r="L6078" s="1">
        <v>2.0280448869781544</v>
      </c>
      <c r="M6078" s="1">
        <v>0.1440827172432845</v>
      </c>
      <c r="N6078" s="1">
        <v>1.5362360777823236</v>
      </c>
      <c r="O6078" s="1">
        <v>8.8147692307692288E-2</v>
      </c>
      <c r="P6078" s="1">
        <v>7.2888608310963429E-2</v>
      </c>
      <c r="Q6078" s="1">
        <v>1.1592432605329916</v>
      </c>
      <c r="R6078" s="2">
        <f t="shared" si="379"/>
        <v>57.724457579523687</v>
      </c>
      <c r="S6078" s="2">
        <f t="shared" si="378"/>
        <v>7.5244251751083269</v>
      </c>
      <c r="T6078" s="2">
        <f t="shared" si="380"/>
        <v>3.7965113743114545</v>
      </c>
      <c r="U6078" s="2">
        <f t="shared" si="381"/>
        <v>69.045394128943457</v>
      </c>
    </row>
    <row r="6079" spans="1:21" x14ac:dyDescent="0.25">
      <c r="A6079">
        <v>661489</v>
      </c>
      <c r="B6079">
        <v>26</v>
      </c>
      <c r="C6079" s="1">
        <f>2.1247948755866*(10.3/7.3)</f>
        <v>2.9979982491153416</v>
      </c>
      <c r="D6079" s="1">
        <f>2.90037801868122*(10.3/7.3)</f>
        <v>4.0923141907419973</v>
      </c>
      <c r="E6079" s="1">
        <f>10.2368785196745*(10.3/7.3)</f>
        <v>14.443814897622929</v>
      </c>
      <c r="F6079" s="1">
        <f>19.4507404803945*(38.9/42.5)</f>
        <v>17.803148345584631</v>
      </c>
      <c r="G6079" s="1">
        <v>0.68131049543548172</v>
      </c>
      <c r="H6079" s="1">
        <v>2.6690651403007348</v>
      </c>
      <c r="I6079" s="1">
        <v>13.886936945981848</v>
      </c>
      <c r="J6079" s="1">
        <v>4.3320172758598403E-2</v>
      </c>
      <c r="K6079" s="1">
        <v>5.5116102925048089</v>
      </c>
      <c r="L6079" s="1">
        <v>1.7141957210893635</v>
      </c>
      <c r="M6079" s="1">
        <v>0.12149530006671443</v>
      </c>
      <c r="N6079" s="1">
        <v>1.2814148580129046</v>
      </c>
      <c r="O6079" s="1">
        <v>7.9651282051282038E-2</v>
      </c>
      <c r="P6079" s="1">
        <v>6.7279107960688603E-2</v>
      </c>
      <c r="Q6079" s="1">
        <v>1.0888523899653826</v>
      </c>
      <c r="R6079" s="2">
        <f t="shared" si="379"/>
        <v>57.663440654748356</v>
      </c>
      <c r="S6079" s="2">
        <f t="shared" si="378"/>
        <v>5.6222095732240955</v>
      </c>
      <c r="T6079" s="2">
        <f t="shared" si="380"/>
        <v>3.1967571612202645</v>
      </c>
      <c r="U6079" s="2">
        <f t="shared" si="381"/>
        <v>66.482407389192716</v>
      </c>
    </row>
    <row r="6080" spans="1:21" x14ac:dyDescent="0.25">
      <c r="A6080">
        <v>661497</v>
      </c>
      <c r="B6080">
        <v>17</v>
      </c>
      <c r="C6080" s="1">
        <f>1.61012977223404*(10.3/7.3)</f>
        <v>2.2718269389055616</v>
      </c>
      <c r="D6080" s="1">
        <f>2.21714186714578*(10.3/7.3)</f>
        <v>3.1282960591235041</v>
      </c>
      <c r="E6080" s="1">
        <f>7.74074235235241*(10.3/7.3)</f>
        <v>10.921869346469833</v>
      </c>
      <c r="F6080" s="1">
        <f>18.8300018449767*(38.9/42.5)</f>
        <v>17.234989923990394</v>
      </c>
      <c r="G6080" s="1">
        <v>0.86262608011462683</v>
      </c>
      <c r="H6080" s="1">
        <v>2.4640871766099042</v>
      </c>
      <c r="I6080" s="1">
        <v>14.159849106287325</v>
      </c>
      <c r="J6080" s="1">
        <v>4.5400283400468464E-2</v>
      </c>
      <c r="K6080" s="1">
        <v>4.8639816427932132</v>
      </c>
      <c r="L6080" s="1">
        <v>1.6613272565729504</v>
      </c>
      <c r="M6080" s="1">
        <v>0.11276334457684815</v>
      </c>
      <c r="N6080" s="1">
        <v>1.2459373891648955</v>
      </c>
      <c r="O6080" s="1">
        <v>7.8663529411764702E-2</v>
      </c>
      <c r="P6080" s="1">
        <v>6.7245848125696797E-2</v>
      </c>
      <c r="Q6080" s="1">
        <v>1.3786261554343364</v>
      </c>
      <c r="R6080" s="2">
        <f t="shared" si="379"/>
        <v>52.422170786935489</v>
      </c>
      <c r="S6080" s="2">
        <f t="shared" si="378"/>
        <v>4.9766277743193781</v>
      </c>
      <c r="T6080" s="2">
        <f t="shared" si="380"/>
        <v>3.0986915197264588</v>
      </c>
      <c r="U6080" s="2">
        <f t="shared" si="381"/>
        <v>60.497490080981322</v>
      </c>
    </row>
    <row r="6081" spans="1:21" x14ac:dyDescent="0.25">
      <c r="A6081">
        <v>661505</v>
      </c>
      <c r="B6081">
        <v>9</v>
      </c>
      <c r="C6081" s="1">
        <f>1.45159661707026*(10.3/7.3)</f>
        <v>2.0481431720306391</v>
      </c>
      <c r="D6081" s="1">
        <f>2.0018381168188*(10.3/7.3)</f>
        <v>2.8245113155114616</v>
      </c>
      <c r="E6081" s="1">
        <f>6.98463493757182*(10.3/7.3)</f>
        <v>9.8550328571218877</v>
      </c>
      <c r="F6081" s="1">
        <f>17.1935100945067*(38.9/42.5)</f>
        <v>15.737118651207341</v>
      </c>
      <c r="G6081" s="1">
        <v>0.79556814451120383</v>
      </c>
      <c r="H6081" s="1">
        <v>3.6324409574582655</v>
      </c>
      <c r="I6081" s="1">
        <v>12.953371464004753</v>
      </c>
      <c r="J6081" s="1">
        <v>3.9587205186510849E-2</v>
      </c>
      <c r="K6081" s="1">
        <v>4.1556230897973556</v>
      </c>
      <c r="L6081" s="1">
        <v>1.491790301846438</v>
      </c>
      <c r="M6081" s="1">
        <v>9.9336405811175671E-2</v>
      </c>
      <c r="N6081" s="1">
        <v>1.1693280319178845</v>
      </c>
      <c r="O6081" s="1">
        <v>7.3440000000000005E-2</v>
      </c>
      <c r="P6081" s="1">
        <v>6.3003252529799478E-2</v>
      </c>
      <c r="Q6081" s="1">
        <v>1.2714559387165374</v>
      </c>
      <c r="R6081" s="2">
        <f t="shared" si="379"/>
        <v>49.117642500562091</v>
      </c>
      <c r="S6081" s="2">
        <f t="shared" si="378"/>
        <v>4.258213547513666</v>
      </c>
      <c r="T6081" s="2">
        <f t="shared" si="380"/>
        <v>2.8338947395754981</v>
      </c>
      <c r="U6081" s="2">
        <f t="shared" si="381"/>
        <v>56.209750787651259</v>
      </c>
    </row>
    <row r="6082" spans="1:21" x14ac:dyDescent="0.25">
      <c r="A6082">
        <v>661521</v>
      </c>
      <c r="B6082">
        <v>1</v>
      </c>
      <c r="C6082" s="1">
        <f>1.08733663246292*(10.3/7.3)</f>
        <v>1.5341873033380935</v>
      </c>
      <c r="D6082" s="1">
        <f>1.58237058881201*(10.3/7.3)</f>
        <v>2.2326598718854389</v>
      </c>
      <c r="E6082" s="1">
        <f>5.47964019806309*(10.3/7.3)</f>
        <v>7.7315471287739435</v>
      </c>
      <c r="F6082" s="1">
        <f>14.9940703810587*(38.9/42.5)</f>
        <v>13.723984419369049</v>
      </c>
      <c r="G6082" s="1">
        <v>0.75503450011730444</v>
      </c>
      <c r="H6082" s="1">
        <v>4.8874701345933165</v>
      </c>
      <c r="I6082" s="1">
        <v>11.37347943085652</v>
      </c>
      <c r="J6082" s="1">
        <v>2.8751948658911671E-2</v>
      </c>
      <c r="K6082" s="1">
        <v>3.291291540135878</v>
      </c>
      <c r="L6082" s="1">
        <v>1.2335228972737109</v>
      </c>
      <c r="M6082" s="1">
        <v>7.9765222659731724E-2</v>
      </c>
      <c r="N6082" s="1">
        <v>0.94427329447458896</v>
      </c>
      <c r="O6082" s="1">
        <v>6.4000000000000001E-2</v>
      </c>
      <c r="P6082" s="1">
        <v>5.5920808218857004E-2</v>
      </c>
      <c r="Q6082" s="1">
        <v>1.2066761417399854</v>
      </c>
      <c r="R6082" s="2">
        <f t="shared" si="379"/>
        <v>43.445038930673647</v>
      </c>
      <c r="S6082" s="2">
        <f t="shared" si="378"/>
        <v>3.3759642970136468</v>
      </c>
      <c r="T6082" s="2">
        <f t="shared" si="380"/>
        <v>2.3215614144080314</v>
      </c>
      <c r="U6082" s="2">
        <f t="shared" si="381"/>
        <v>49.142564642095323</v>
      </c>
    </row>
    <row r="6083" spans="1:21" x14ac:dyDescent="0.25">
      <c r="A6083">
        <v>661553</v>
      </c>
      <c r="B6083">
        <v>9</v>
      </c>
      <c r="C6083" s="1">
        <f>1.02799115325524*(10.3/7.3)</f>
        <v>1.4504532710313622</v>
      </c>
      <c r="D6083" s="1">
        <f>1.49240402083566*(10.3/7.3)</f>
        <v>2.1057207417270334</v>
      </c>
      <c r="E6083" s="1">
        <f>5.18329271385698*(10.3/7.3)</f>
        <v>7.3134130072228558</v>
      </c>
      <c r="F6083" s="1">
        <f>13.4296834063493*(38.9/42.5)</f>
        <v>12.292110223693852</v>
      </c>
      <c r="G6083" s="1">
        <v>0.65068420912324498</v>
      </c>
      <c r="H6083" s="1">
        <v>3.5955656577791664</v>
      </c>
      <c r="I6083" s="1">
        <v>10.089743880999812</v>
      </c>
      <c r="J6083" s="1">
        <v>2.6684094027893922E-2</v>
      </c>
      <c r="K6083" s="1">
        <v>2.6784428751467475</v>
      </c>
      <c r="L6083" s="1">
        <v>1.075995692472552</v>
      </c>
      <c r="M6083" s="1">
        <v>6.4037544489293011E-2</v>
      </c>
      <c r="N6083" s="1">
        <v>0.94815771511363167</v>
      </c>
      <c r="O6083" s="1">
        <v>5.5137777777777779E-2</v>
      </c>
      <c r="P6083" s="1">
        <v>5.0961753590895165E-2</v>
      </c>
      <c r="Q6083" s="1">
        <v>1.0399062702882922</v>
      </c>
      <c r="R6083" s="2">
        <f t="shared" si="379"/>
        <v>38.537597261865621</v>
      </c>
      <c r="S6083" s="2">
        <f t="shared" si="378"/>
        <v>2.7560887227655364</v>
      </c>
      <c r="T6083" s="2">
        <f t="shared" si="380"/>
        <v>2.1433287298532546</v>
      </c>
      <c r="U6083" s="2">
        <f t="shared" si="381"/>
        <v>43.437014714484405</v>
      </c>
    </row>
    <row r="6084" spans="1:21" x14ac:dyDescent="0.25">
      <c r="A6084">
        <v>661561</v>
      </c>
      <c r="B6084">
        <v>1</v>
      </c>
      <c r="C6084" s="1">
        <f>1.13752140011506*(10.3/7.3)</f>
        <v>1.604995948107544</v>
      </c>
      <c r="D6084" s="1">
        <f>1.60826853529357*(10.3/7.3)</f>
        <v>2.2692008100717431</v>
      </c>
      <c r="E6084" s="1">
        <f>5.61560884581483*(10.3/7.3)</f>
        <v>7.9233933029990071</v>
      </c>
      <c r="F6084" s="1">
        <f>13.3218289656187*(38.9/42.5)</f>
        <v>12.193391688531037</v>
      </c>
      <c r="G6084" s="1">
        <v>0.59956413054646818</v>
      </c>
      <c r="H6084" s="1">
        <v>4.2794755680219145</v>
      </c>
      <c r="I6084" s="1">
        <v>9.9000690355761947</v>
      </c>
      <c r="J6084" s="1">
        <v>3.0856577722491986E-2</v>
      </c>
      <c r="K6084" s="1">
        <v>2.6941277603860132</v>
      </c>
      <c r="L6084" s="1">
        <v>1.1239076810938891</v>
      </c>
      <c r="M6084" s="1">
        <v>6.4731767708034377E-2</v>
      </c>
      <c r="N6084" s="1">
        <v>1.0529678588893097</v>
      </c>
      <c r="O6084" s="1">
        <v>5.7119999999999997E-2</v>
      </c>
      <c r="P6084" s="1">
        <v>5.2154635456430211E-2</v>
      </c>
      <c r="Q6084" s="1">
        <v>0.95820751457198217</v>
      </c>
      <c r="R6084" s="2">
        <f t="shared" si="379"/>
        <v>39.728297998425887</v>
      </c>
      <c r="S6084" s="2">
        <f t="shared" si="378"/>
        <v>2.7771389735649357</v>
      </c>
      <c r="T6084" s="2">
        <f t="shared" si="380"/>
        <v>2.2987273076912329</v>
      </c>
      <c r="U6084" s="2">
        <f t="shared" si="381"/>
        <v>44.804164279682055</v>
      </c>
    </row>
    <row r="6085" spans="1:21" x14ac:dyDescent="0.25">
      <c r="A6085">
        <v>6618533</v>
      </c>
      <c r="B6085">
        <v>18</v>
      </c>
      <c r="C6085" s="1">
        <f>1.46976314892317*(10.3/7.3)</f>
        <v>2.0737754019052947</v>
      </c>
      <c r="D6085" s="1">
        <f>3.26616201457003*(10.3/7.3)</f>
        <v>4.6084203767220941</v>
      </c>
      <c r="E6085" s="1">
        <f>10.9895910121643*(10.3/7.3)</f>
        <v>15.505861291135957</v>
      </c>
      <c r="F6085" s="1">
        <f>38.7090669514726*(38.9/42.5)</f>
        <v>35.43018128028902</v>
      </c>
      <c r="G6085" s="1">
        <v>2.2969462545213557</v>
      </c>
      <c r="H6085" s="1">
        <v>8.1497024913258755</v>
      </c>
      <c r="I6085" s="1">
        <v>28.77540880886454</v>
      </c>
      <c r="J6085" s="1">
        <v>2.2630891505582111E-2</v>
      </c>
      <c r="K6085" s="1">
        <v>1.8176010166545613</v>
      </c>
      <c r="L6085" s="1">
        <v>1.8138823534498332</v>
      </c>
      <c r="M6085" s="1">
        <v>0.17270262867289571</v>
      </c>
      <c r="N6085" s="1">
        <v>1.0111294235322816</v>
      </c>
      <c r="O6085" s="1">
        <v>0.1312888888888889</v>
      </c>
      <c r="P6085" s="1">
        <v>8.1736844912116233E-2</v>
      </c>
      <c r="Q6085" s="1">
        <v>3.6709186716094759</v>
      </c>
      <c r="R6085" s="2">
        <f t="shared" si="379"/>
        <v>100.5112145763736</v>
      </c>
      <c r="S6085" s="2">
        <f t="shared" si="378"/>
        <v>1.9219687530722598</v>
      </c>
      <c r="T6085" s="2">
        <f t="shared" si="380"/>
        <v>3.129003294543899</v>
      </c>
      <c r="U6085" s="2">
        <f t="shared" si="381"/>
        <v>105.56218662398976</v>
      </c>
    </row>
    <row r="6086" spans="1:21" x14ac:dyDescent="0.25">
      <c r="A6086">
        <v>6618541</v>
      </c>
      <c r="B6086">
        <v>54</v>
      </c>
      <c r="C6086" s="1">
        <f>1.95258132801029*(10.3/7.3)</f>
        <v>2.7550120107542404</v>
      </c>
      <c r="D6086" s="1">
        <f>4.2060057648556*(10.3/7.3)</f>
        <v>5.9345012846592748</v>
      </c>
      <c r="E6086" s="1">
        <f>14.2661938507624*(10.3/7.3)</f>
        <v>20.129013241486692</v>
      </c>
      <c r="F6086" s="1">
        <f>44.9085812947579*(38.9/42.5)</f>
        <v>41.104560290966667</v>
      </c>
      <c r="G6086" s="1">
        <v>2.527809202664844</v>
      </c>
      <c r="H6086" s="1">
        <v>9.5256836466931194</v>
      </c>
      <c r="I6086" s="1">
        <v>32.729452809943297</v>
      </c>
      <c r="J6086" s="1">
        <v>2.8451466970622726E-2</v>
      </c>
      <c r="K6086" s="1">
        <v>2.181435215852054</v>
      </c>
      <c r="L6086" s="1">
        <v>2.2834246898684425</v>
      </c>
      <c r="M6086" s="1">
        <v>0.20686079394700929</v>
      </c>
      <c r="N6086" s="1">
        <v>1.2634179635011999</v>
      </c>
      <c r="O6086" s="1">
        <v>0.16155160493827161</v>
      </c>
      <c r="P6086" s="1">
        <v>9.6174009545131486E-2</v>
      </c>
      <c r="Q6086" s="1">
        <v>4.0398777211538652</v>
      </c>
      <c r="R6086" s="2">
        <f t="shared" si="379"/>
        <v>118.74591020832202</v>
      </c>
      <c r="S6086" s="2">
        <f t="shared" si="378"/>
        <v>2.306060692367808</v>
      </c>
      <c r="T6086" s="2">
        <f t="shared" si="380"/>
        <v>3.9152550522549237</v>
      </c>
      <c r="U6086" s="2">
        <f t="shared" si="381"/>
        <v>124.96722595294474</v>
      </c>
    </row>
    <row r="6087" spans="1:21" x14ac:dyDescent="0.25">
      <c r="A6087">
        <v>6618581</v>
      </c>
      <c r="B6087">
        <v>47</v>
      </c>
      <c r="C6087" s="1">
        <f>1.68095243612121*(10.3/7.3)</f>
        <v>2.3717548071299261</v>
      </c>
      <c r="D6087" s="1">
        <f>4.00623894782798*(10.3/7.3)</f>
        <v>5.6526385154285244</v>
      </c>
      <c r="E6087" s="1">
        <f>13.6230769161838*(10.3/7.3)</f>
        <v>19.221601676259333</v>
      </c>
      <c r="F6087" s="1">
        <f>39.3048371836023*(38.9/42.5)</f>
        <v>35.9754862692266</v>
      </c>
      <c r="G6087" s="1">
        <v>2.1259008701400153</v>
      </c>
      <c r="H6087" s="1">
        <v>7.1276946190391364</v>
      </c>
      <c r="I6087" s="1">
        <v>27.648661483389343</v>
      </c>
      <c r="J6087" s="1">
        <v>2.7942128707799992E-2</v>
      </c>
      <c r="K6087" s="1">
        <v>1.9015657330382481</v>
      </c>
      <c r="L6087" s="1">
        <v>1.9126212170947581</v>
      </c>
      <c r="M6087" s="1">
        <v>0.16679415248107926</v>
      </c>
      <c r="N6087" s="1">
        <v>1.1625226111630069</v>
      </c>
      <c r="O6087" s="1">
        <v>0.13229163120567375</v>
      </c>
      <c r="P6087" s="1">
        <v>8.5352402601848024E-2</v>
      </c>
      <c r="Q6087" s="1">
        <v>3.3975584682603022</v>
      </c>
      <c r="R6087" s="2">
        <f t="shared" si="379"/>
        <v>103.52129670887318</v>
      </c>
      <c r="S6087" s="2">
        <f t="shared" si="378"/>
        <v>2.0148602643478961</v>
      </c>
      <c r="T6087" s="2">
        <f t="shared" si="380"/>
        <v>3.3742296119445183</v>
      </c>
      <c r="U6087" s="2">
        <f t="shared" si="381"/>
        <v>108.9103865851656</v>
      </c>
    </row>
    <row r="6088" spans="1:21" x14ac:dyDescent="0.25">
      <c r="A6088">
        <v>6618589</v>
      </c>
      <c r="B6088">
        <v>47</v>
      </c>
      <c r="C6088" s="1">
        <f>1.50906833576858*(10.3/7.3)</f>
        <v>2.1292334052625237</v>
      </c>
      <c r="D6088" s="1">
        <f>3.31902331834663*(10.3/7.3)</f>
        <v>4.6830055039685314</v>
      </c>
      <c r="E6088" s="1">
        <f>11.2798644138449*(10.3/7.3)</f>
        <v>15.915425131863318</v>
      </c>
      <c r="F6088" s="1">
        <f>34.0428532826072*(38.9/42.5)</f>
        <v>31.159223357492273</v>
      </c>
      <c r="G6088" s="1">
        <v>1.8777299543793935</v>
      </c>
      <c r="H6088" s="1">
        <v>7.9107190073495017</v>
      </c>
      <c r="I6088" s="1">
        <v>24.498190277969613</v>
      </c>
      <c r="J6088" s="1">
        <v>2.5344024075348293E-2</v>
      </c>
      <c r="K6088" s="1">
        <v>1.8381277914199465</v>
      </c>
      <c r="L6088" s="1">
        <v>1.826191277247611</v>
      </c>
      <c r="M6088" s="1">
        <v>0.15844862113365665</v>
      </c>
      <c r="N6088" s="1">
        <v>1.144201613696483</v>
      </c>
      <c r="O6088" s="1">
        <v>0.12545248226950351</v>
      </c>
      <c r="P6088" s="1">
        <v>8.2411652643618022E-2</v>
      </c>
      <c r="Q6088" s="1">
        <v>3.0009382832547424</v>
      </c>
      <c r="R6088" s="2">
        <f t="shared" si="379"/>
        <v>91.174464921539894</v>
      </c>
      <c r="S6088" s="2">
        <f t="shared" si="378"/>
        <v>1.9458834681389128</v>
      </c>
      <c r="T6088" s="2">
        <f t="shared" si="380"/>
        <v>3.254293994347254</v>
      </c>
      <c r="U6088" s="2">
        <f t="shared" si="381"/>
        <v>96.37464238402606</v>
      </c>
    </row>
    <row r="6089" spans="1:21" x14ac:dyDescent="0.25">
      <c r="A6089">
        <v>6630761</v>
      </c>
      <c r="B6089">
        <v>24</v>
      </c>
      <c r="C6089" s="1">
        <f>1.50622344473393*(10.3/7.3)</f>
        <v>2.125219380925957</v>
      </c>
      <c r="D6089" s="1">
        <f>3.09412626032231*(10.3/7.3)</f>
        <v>4.3656849974410665</v>
      </c>
      <c r="E6089" s="1">
        <f>10.5016987171171*(10.3/7.3)</f>
        <v>14.81746531319264</v>
      </c>
      <c r="F6089" s="1">
        <f>33.4074381794763*(38.9/42.5)</f>
        <v>30.577631651332407</v>
      </c>
      <c r="G6089" s="1">
        <v>1.8849932892180628</v>
      </c>
      <c r="H6089" s="1">
        <v>8.8843625925996523</v>
      </c>
      <c r="I6089" s="1">
        <v>24.56544023336976</v>
      </c>
      <c r="J6089" s="1">
        <v>2.3119095671204289E-2</v>
      </c>
      <c r="K6089" s="1">
        <v>1.861342067396895</v>
      </c>
      <c r="L6089" s="1">
        <v>1.8632786444436542</v>
      </c>
      <c r="M6089" s="1">
        <v>0.17689446218085339</v>
      </c>
      <c r="N6089" s="1">
        <v>1.0350983333387045</v>
      </c>
      <c r="O6089" s="1">
        <v>0.13502</v>
      </c>
      <c r="P6089" s="1">
        <v>8.348859308945894E-2</v>
      </c>
      <c r="Q6089" s="1">
        <v>3.0125463526316101</v>
      </c>
      <c r="R6089" s="2">
        <f t="shared" si="379"/>
        <v>90.233343810711162</v>
      </c>
      <c r="S6089" s="2">
        <f t="shared" ref="S6089:S6152" si="382">J6089+K6089+P6089</f>
        <v>1.9679497561575581</v>
      </c>
      <c r="T6089" s="2">
        <f t="shared" si="380"/>
        <v>3.2102914399632123</v>
      </c>
      <c r="U6089" s="2">
        <f t="shared" si="381"/>
        <v>95.411585006831928</v>
      </c>
    </row>
    <row r="6090" spans="1:21" x14ac:dyDescent="0.25">
      <c r="A6090">
        <v>6630769</v>
      </c>
      <c r="B6090">
        <v>53</v>
      </c>
      <c r="C6090" s="1">
        <f>1.48941596886002*(10.3/7.3)</f>
        <v>2.1015047231860531</v>
      </c>
      <c r="D6090" s="1">
        <f>3.28571628165166*(10.3/7.3)</f>
        <v>4.6360106439742585</v>
      </c>
      <c r="E6090" s="1">
        <f>11.0780495504104*(10.3/7.3)</f>
        <v>15.630672653318847</v>
      </c>
      <c r="F6090" s="1">
        <f>37.9514283114383*(38.9/42.5)</f>
        <v>34.736719089763518</v>
      </c>
      <c r="G6090" s="1">
        <v>2.224649258713125</v>
      </c>
      <c r="H6090" s="1">
        <v>7.6133367366645643</v>
      </c>
      <c r="I6090" s="1">
        <v>28.078567380967463</v>
      </c>
      <c r="J6090" s="1">
        <v>2.3974901832766283E-2</v>
      </c>
      <c r="K6090" s="1">
        <v>1.8984486018214848</v>
      </c>
      <c r="L6090" s="1">
        <v>1.9045944321295327</v>
      </c>
      <c r="M6090" s="1">
        <v>0.17937828375519163</v>
      </c>
      <c r="N6090" s="1">
        <v>1.0723696550717174</v>
      </c>
      <c r="O6090" s="1">
        <v>0.13706867924528296</v>
      </c>
      <c r="P6090" s="1">
        <v>8.5101301377708022E-2</v>
      </c>
      <c r="Q6090" s="1">
        <v>3.5553755276237191</v>
      </c>
      <c r="R6090" s="2">
        <f t="shared" ref="R6090:R6153" si="383">C6090+D6090+E6090+F6090+G6090+H6090+I6090+Q6090</f>
        <v>98.576836014211565</v>
      </c>
      <c r="S6090" s="2">
        <f t="shared" si="382"/>
        <v>2.007524805031959</v>
      </c>
      <c r="T6090" s="2">
        <f t="shared" ref="T6090:T6153" si="384">L6090+M6090+N6090+O6090</f>
        <v>3.2934110502017249</v>
      </c>
      <c r="U6090" s="2">
        <f t="shared" ref="U6090:U6153" si="385">R6090+S6090+T6090</f>
        <v>103.87777186944525</v>
      </c>
    </row>
    <row r="6091" spans="1:21" x14ac:dyDescent="0.25">
      <c r="A6091">
        <v>6630777</v>
      </c>
      <c r="B6091">
        <v>14</v>
      </c>
      <c r="C6091" s="1">
        <f>1.52585591170896*(10.3/7.3)</f>
        <v>2.1529199850140057</v>
      </c>
      <c r="D6091" s="1">
        <f>3.21116647528537*(10.3/7.3)</f>
        <v>4.5308239308821019</v>
      </c>
      <c r="E6091" s="1">
        <f>10.9268906327632*(10.3/7.3)</f>
        <v>15.417393632528903</v>
      </c>
      <c r="F6091" s="1">
        <f>32.9406099093293*(38.9/42.5)</f>
        <v>30.150346481715481</v>
      </c>
      <c r="G6091" s="1">
        <v>1.810985326313151</v>
      </c>
      <c r="H6091" s="1">
        <v>7.5584233765320894</v>
      </c>
      <c r="I6091" s="1">
        <v>23.850569155278087</v>
      </c>
      <c r="J6091" s="1">
        <v>2.5521658255737857E-2</v>
      </c>
      <c r="K6091" s="1">
        <v>1.9806321701910228</v>
      </c>
      <c r="L6091" s="1">
        <v>2.007211478242545</v>
      </c>
      <c r="M6091" s="1">
        <v>0.18625569046773718</v>
      </c>
      <c r="N6091" s="1">
        <v>1.1536795171669449</v>
      </c>
      <c r="O6091" s="1">
        <v>0.14234285714285713</v>
      </c>
      <c r="P6091" s="1">
        <v>8.8041341457496494E-2</v>
      </c>
      <c r="Q6091" s="1">
        <v>2.8942687863452212</v>
      </c>
      <c r="R6091" s="2">
        <f t="shared" si="383"/>
        <v>88.36573067460904</v>
      </c>
      <c r="S6091" s="2">
        <f t="shared" si="382"/>
        <v>2.0941951699042574</v>
      </c>
      <c r="T6091" s="2">
        <f t="shared" si="384"/>
        <v>3.4894895430200847</v>
      </c>
      <c r="U6091" s="2">
        <f t="shared" si="385"/>
        <v>93.949415387533378</v>
      </c>
    </row>
    <row r="6092" spans="1:21" x14ac:dyDescent="0.25">
      <c r="A6092">
        <v>6630809</v>
      </c>
      <c r="B6092">
        <v>4</v>
      </c>
      <c r="C6092" s="1">
        <f>1.77608273930779*(10.3/7.3)</f>
        <v>2.5059797554616825</v>
      </c>
      <c r="D6092" s="1">
        <f>4.75291509361829*(10.3/7.3)</f>
        <v>6.7061678718175832</v>
      </c>
      <c r="E6092" s="1">
        <f>16.1013544449553*(10.3/7.3)</f>
        <v>22.71834942233421</v>
      </c>
      <c r="F6092" s="1">
        <f>47.3805932437703*(38.9/42.5)</f>
        <v>43.367178286650905</v>
      </c>
      <c r="G6092" s="1">
        <v>2.6067305926317905</v>
      </c>
      <c r="H6092" s="1">
        <v>8.8797438493453136</v>
      </c>
      <c r="I6092" s="1">
        <v>32.998828148729764</v>
      </c>
      <c r="J6092" s="1">
        <v>2.7894821499953565E-2</v>
      </c>
      <c r="K6092" s="1">
        <v>1.913222804520863</v>
      </c>
      <c r="L6092" s="1">
        <v>1.9343855084078911</v>
      </c>
      <c r="M6092" s="1">
        <v>0.16869037393284217</v>
      </c>
      <c r="N6092" s="1">
        <v>1.2017906737371398</v>
      </c>
      <c r="O6092" s="1">
        <v>0.13450666666666666</v>
      </c>
      <c r="P6092" s="1">
        <v>8.5552023460721618E-2</v>
      </c>
      <c r="Q6092" s="1">
        <v>4.1660077964435045</v>
      </c>
      <c r="R6092" s="2">
        <f t="shared" si="383"/>
        <v>123.94898572341476</v>
      </c>
      <c r="S6092" s="2">
        <f t="shared" si="382"/>
        <v>2.0266696494815379</v>
      </c>
      <c r="T6092" s="2">
        <f t="shared" si="384"/>
        <v>3.4393732227445399</v>
      </c>
      <c r="U6092" s="2">
        <f t="shared" si="385"/>
        <v>129.41502859564085</v>
      </c>
    </row>
    <row r="6093" spans="1:21" x14ac:dyDescent="0.25">
      <c r="A6093">
        <v>6630817</v>
      </c>
      <c r="B6093">
        <v>59</v>
      </c>
      <c r="C6093" s="1">
        <f>1.44251841417524*(10.3/7.3)</f>
        <v>2.0353342008226059</v>
      </c>
      <c r="D6093" s="1">
        <f>3.28459118899698*(10.3/7.3)</f>
        <v>4.6344231844751862</v>
      </c>
      <c r="E6093" s="1">
        <f>11.177356450595*(10.3/7.3)</f>
        <v>15.770790608373744</v>
      </c>
      <c r="F6093" s="1">
        <f>32.4741281401472*(38.9/42.5)</f>
        <v>29.723378462393537</v>
      </c>
      <c r="G6093" s="1">
        <v>1.7584549701900791</v>
      </c>
      <c r="H6093" s="1">
        <v>7.427223821285299</v>
      </c>
      <c r="I6093" s="1">
        <v>23.034915582792379</v>
      </c>
      <c r="J6093" s="1">
        <v>2.5059066853392192E-2</v>
      </c>
      <c r="K6093" s="1">
        <v>1.8166798725908229</v>
      </c>
      <c r="L6093" s="1">
        <v>1.7943772714134532</v>
      </c>
      <c r="M6093" s="1">
        <v>0.15778161597009641</v>
      </c>
      <c r="N6093" s="1">
        <v>1.1124687035983074</v>
      </c>
      <c r="O6093" s="1">
        <v>0.12397559322033896</v>
      </c>
      <c r="P6093" s="1">
        <v>8.1517241737325649E-2</v>
      </c>
      <c r="Q6093" s="1">
        <v>2.8103161624042383</v>
      </c>
      <c r="R6093" s="2">
        <f t="shared" si="383"/>
        <v>87.194836992737066</v>
      </c>
      <c r="S6093" s="2">
        <f t="shared" si="382"/>
        <v>1.9232561811815405</v>
      </c>
      <c r="T6093" s="2">
        <f t="shared" si="384"/>
        <v>3.1886031842021958</v>
      </c>
      <c r="U6093" s="2">
        <f t="shared" si="385"/>
        <v>92.306696358120803</v>
      </c>
    </row>
    <row r="6094" spans="1:21" x14ac:dyDescent="0.25">
      <c r="A6094">
        <v>6642989</v>
      </c>
      <c r="B6094">
        <v>5</v>
      </c>
      <c r="C6094" s="1">
        <f>1.56289704973791*(10.3/7.3)</f>
        <v>2.2051835085343141</v>
      </c>
      <c r="D6094" s="1">
        <f>2.95262432311666*(10.3/7.3)</f>
        <v>4.1660315791920013</v>
      </c>
      <c r="E6094" s="1">
        <f>10.0737359720772*(10.3/7.3)</f>
        <v>14.213627467451444</v>
      </c>
      <c r="F6094" s="1">
        <f>30.6077728466755*(38.9/42.5)</f>
        <v>28.015114440839472</v>
      </c>
      <c r="G6094" s="1">
        <v>1.6778782880253522</v>
      </c>
      <c r="H6094" s="1">
        <v>8.6362101141164356</v>
      </c>
      <c r="I6094" s="1">
        <v>22.570323420913752</v>
      </c>
      <c r="J6094" s="1">
        <v>2.3441154836377161E-2</v>
      </c>
      <c r="K6094" s="1">
        <v>1.8987639502832434</v>
      </c>
      <c r="L6094" s="1">
        <v>1.8961723040779241</v>
      </c>
      <c r="M6094" s="1">
        <v>0.18088320255803525</v>
      </c>
      <c r="N6094" s="1">
        <v>1.054728361404063</v>
      </c>
      <c r="O6094" s="1">
        <v>0.13904</v>
      </c>
      <c r="P6094" s="1">
        <v>8.4752633992978249E-2</v>
      </c>
      <c r="Q6094" s="1">
        <v>2.681540642962895</v>
      </c>
      <c r="R6094" s="2">
        <f t="shared" si="383"/>
        <v>84.165909462035671</v>
      </c>
      <c r="S6094" s="2">
        <f t="shared" si="382"/>
        <v>2.0069577391125986</v>
      </c>
      <c r="T6094" s="2">
        <f t="shared" si="384"/>
        <v>3.2708238680400226</v>
      </c>
      <c r="U6094" s="2">
        <f t="shared" si="385"/>
        <v>89.44369106918829</v>
      </c>
    </row>
    <row r="6095" spans="1:21" x14ac:dyDescent="0.25">
      <c r="A6095">
        <v>6642997</v>
      </c>
      <c r="B6095">
        <v>63</v>
      </c>
      <c r="C6095" s="1">
        <f>1.59104932617467*(10.3/7.3)</f>
        <v>2.2449052136437082</v>
      </c>
      <c r="D6095" s="1">
        <f>3.30049466549602*(10.3/7.3)</f>
        <v>4.6568623362478156</v>
      </c>
      <c r="E6095" s="1">
        <f>11.2060122005447*(10.3/7.3)</f>
        <v>15.811222693919207</v>
      </c>
      <c r="F6095" s="1">
        <f>35.290034067275*(38.9/42.5)</f>
        <v>32.300760593341124</v>
      </c>
      <c r="G6095" s="1">
        <v>1.9824528606651592</v>
      </c>
      <c r="H6095" s="1">
        <v>6.6751437141781595</v>
      </c>
      <c r="I6095" s="1">
        <v>25.85756704646311</v>
      </c>
      <c r="J6095" s="1">
        <v>2.3756014025650883E-2</v>
      </c>
      <c r="K6095" s="1">
        <v>1.9054144348308093</v>
      </c>
      <c r="L6095" s="1">
        <v>1.9124764840588309</v>
      </c>
      <c r="M6095" s="1">
        <v>0.1807713610877589</v>
      </c>
      <c r="N6095" s="1">
        <v>1.0520724643070676</v>
      </c>
      <c r="O6095" s="1">
        <v>0.13929566137566141</v>
      </c>
      <c r="P6095" s="1">
        <v>8.5235448838792152E-2</v>
      </c>
      <c r="Q6095" s="1">
        <v>3.1683036585972895</v>
      </c>
      <c r="R6095" s="2">
        <f t="shared" si="383"/>
        <v>92.697218117055584</v>
      </c>
      <c r="S6095" s="2">
        <f t="shared" si="382"/>
        <v>2.0144058976952524</v>
      </c>
      <c r="T6095" s="2">
        <f t="shared" si="384"/>
        <v>3.2846159708293188</v>
      </c>
      <c r="U6095" s="2">
        <f t="shared" si="385"/>
        <v>97.996239985580161</v>
      </c>
    </row>
    <row r="6096" spans="1:21" x14ac:dyDescent="0.25">
      <c r="A6096">
        <v>6643005</v>
      </c>
      <c r="B6096">
        <v>40</v>
      </c>
      <c r="C6096" s="1">
        <f>1.76768873948026*(10.3/7.3)</f>
        <v>2.4941361666639352</v>
      </c>
      <c r="D6096" s="1">
        <f>3.77076236075832*(10.3/7.3)</f>
        <v>5.3203907281932494</v>
      </c>
      <c r="E6096" s="1">
        <f>12.8047880822913*(10.3/7.3)</f>
        <v>18.067029759945218</v>
      </c>
      <c r="F6096" s="1">
        <f>39.7128251500082*(38.9/42.5)</f>
        <v>36.348915254948636</v>
      </c>
      <c r="G6096" s="1">
        <v>2.2174913702642263</v>
      </c>
      <c r="H6096" s="1">
        <v>8.4801805692698018</v>
      </c>
      <c r="I6096" s="1">
        <v>28.885216906522139</v>
      </c>
      <c r="J6096" s="1">
        <v>2.6492018337817169E-2</v>
      </c>
      <c r="K6096" s="1">
        <v>2.0692256904911899</v>
      </c>
      <c r="L6096" s="1">
        <v>2.1178965682567408</v>
      </c>
      <c r="M6096" s="1">
        <v>0.19572470802742742</v>
      </c>
      <c r="N6096" s="1">
        <v>1.1711004327560852</v>
      </c>
      <c r="O6096" s="1">
        <v>0.15141733333333335</v>
      </c>
      <c r="P6096" s="1">
        <v>9.1635904884197761E-2</v>
      </c>
      <c r="Q6096" s="1">
        <v>3.5439359798743375</v>
      </c>
      <c r="R6096" s="2">
        <f t="shared" si="383"/>
        <v>105.35729673568153</v>
      </c>
      <c r="S6096" s="2">
        <f t="shared" si="382"/>
        <v>2.187353613713205</v>
      </c>
      <c r="T6096" s="2">
        <f t="shared" si="384"/>
        <v>3.6361390423735869</v>
      </c>
      <c r="U6096" s="2">
        <f t="shared" si="385"/>
        <v>111.18078939176831</v>
      </c>
    </row>
    <row r="6097" spans="1:21" x14ac:dyDescent="0.25">
      <c r="A6097">
        <v>6643045</v>
      </c>
      <c r="B6097">
        <v>54</v>
      </c>
      <c r="C6097" s="1">
        <f>1.63105657911378*(10.3/7.3)</f>
        <v>2.3013538034071095</v>
      </c>
      <c r="D6097" s="1">
        <f>4.31864390037289*(10.3/7.3)</f>
        <v>6.0934290649096932</v>
      </c>
      <c r="E6097" s="1">
        <f>14.6339166763571*(10.3/7.3)</f>
        <v>20.647855036503859</v>
      </c>
      <c r="F6097" s="1">
        <f>43.0440863453004*(38.9/42.5)</f>
        <v>39.397999031345542</v>
      </c>
      <c r="G6097" s="1">
        <v>2.3663303163956186</v>
      </c>
      <c r="H6097" s="1">
        <v>8.2456230583049166</v>
      </c>
      <c r="I6097" s="1">
        <v>30.01505770114392</v>
      </c>
      <c r="J6097" s="1">
        <v>2.7902207817605017E-2</v>
      </c>
      <c r="K6097" s="1">
        <v>1.9676705988525469</v>
      </c>
      <c r="L6097" s="1">
        <v>1.9831709863665594</v>
      </c>
      <c r="M6097" s="1">
        <v>0.17265274042549883</v>
      </c>
      <c r="N6097" s="1">
        <v>1.2385569847560007</v>
      </c>
      <c r="O6097" s="1">
        <v>0.13715456790123459</v>
      </c>
      <c r="P6097" s="1">
        <v>8.7493626243674599E-2</v>
      </c>
      <c r="Q6097" s="1">
        <v>3.7818064417281616</v>
      </c>
      <c r="R6097" s="2">
        <f t="shared" si="383"/>
        <v>112.84945445373882</v>
      </c>
      <c r="S6097" s="2">
        <f t="shared" si="382"/>
        <v>2.0830664329138266</v>
      </c>
      <c r="T6097" s="2">
        <f t="shared" si="384"/>
        <v>3.5315352794492938</v>
      </c>
      <c r="U6097" s="2">
        <f t="shared" si="385"/>
        <v>118.46405616610193</v>
      </c>
    </row>
    <row r="6098" spans="1:21" x14ac:dyDescent="0.25">
      <c r="A6098">
        <v>6643053</v>
      </c>
      <c r="B6098">
        <v>20</v>
      </c>
      <c r="C6098" s="1">
        <f>1.53264678701426*(10.3/7.3)</f>
        <v>2.162501630992729</v>
      </c>
      <c r="D6098" s="1">
        <f>3.48028234176228*(10.3/7.3)</f>
        <v>4.910535358924859</v>
      </c>
      <c r="E6098" s="1">
        <f>11.8202931171712*(10.3/7.3)</f>
        <v>16.677947822857934</v>
      </c>
      <c r="F6098" s="1">
        <f>35.5655730033404*(38.9/42.5)</f>
        <v>32.552959760704553</v>
      </c>
      <c r="G6098" s="1">
        <v>1.9622635292589627</v>
      </c>
      <c r="H6098" s="1">
        <v>8.9922732304510689</v>
      </c>
      <c r="I6098" s="1">
        <v>25.460509616946322</v>
      </c>
      <c r="J6098" s="1">
        <v>2.4372113740710875E-2</v>
      </c>
      <c r="K6098" s="1">
        <v>1.7844779565857654</v>
      </c>
      <c r="L6098" s="1">
        <v>1.7553047538192623</v>
      </c>
      <c r="M6098" s="1">
        <v>0.15441089469644995</v>
      </c>
      <c r="N6098" s="1">
        <v>1.081516684858824</v>
      </c>
      <c r="O6098" s="1">
        <v>0.12198933333333332</v>
      </c>
      <c r="P6098" s="1">
        <v>8.0191432038013544E-2</v>
      </c>
      <c r="Q6098" s="1">
        <v>3.1360376038385285</v>
      </c>
      <c r="R6098" s="2">
        <f t="shared" si="383"/>
        <v>95.855028553974961</v>
      </c>
      <c r="S6098" s="2">
        <f t="shared" si="382"/>
        <v>1.8890415023644898</v>
      </c>
      <c r="T6098" s="2">
        <f t="shared" si="384"/>
        <v>3.1132216667078696</v>
      </c>
      <c r="U6098" s="2">
        <f t="shared" si="385"/>
        <v>100.85729172304733</v>
      </c>
    </row>
    <row r="6099" spans="1:21" x14ac:dyDescent="0.25">
      <c r="A6099">
        <v>6655217</v>
      </c>
      <c r="B6099">
        <v>1</v>
      </c>
      <c r="C6099" s="1">
        <f>1.65530074890692*(10.3/7.3)</f>
        <v>2.3355613306494933</v>
      </c>
      <c r="D6099" s="1">
        <f>2.92084575721174*(10.3/7.3)</f>
        <v>4.1211933286686211</v>
      </c>
      <c r="E6099" s="1">
        <f>10.0059074244297*(10.3/7.3)</f>
        <v>14.117924174195274</v>
      </c>
      <c r="F6099" s="1">
        <f>29.4098529633077*(38.9/42.5)</f>
        <v>26.918665418180439</v>
      </c>
      <c r="G6099" s="1">
        <v>1.5750897345064698</v>
      </c>
      <c r="H6099" s="1">
        <v>9.388645378823588</v>
      </c>
      <c r="I6099" s="1">
        <v>21.78385796269184</v>
      </c>
      <c r="J6099" s="1">
        <v>2.2378656615569682E-2</v>
      </c>
      <c r="K6099" s="1">
        <v>1.8356381451886048</v>
      </c>
      <c r="L6099" s="1">
        <v>1.8130491418823762</v>
      </c>
      <c r="M6099" s="1">
        <v>0.17493142992241642</v>
      </c>
      <c r="N6099" s="1">
        <v>0.9957343449852426</v>
      </c>
      <c r="O6099" s="1">
        <v>0.13493333333333332</v>
      </c>
      <c r="P6099" s="1">
        <v>8.2511644889708025E-2</v>
      </c>
      <c r="Q6099" s="1">
        <v>2.5172666989829455</v>
      </c>
      <c r="R6099" s="2">
        <f t="shared" si="383"/>
        <v>82.758204026698678</v>
      </c>
      <c r="S6099" s="2">
        <f t="shared" si="382"/>
        <v>1.9405284466938826</v>
      </c>
      <c r="T6099" s="2">
        <f t="shared" si="384"/>
        <v>3.1186482501233685</v>
      </c>
      <c r="U6099" s="2">
        <f t="shared" si="385"/>
        <v>87.817380723515939</v>
      </c>
    </row>
    <row r="6100" spans="1:21" x14ac:dyDescent="0.25">
      <c r="A6100">
        <v>6655225</v>
      </c>
      <c r="B6100">
        <v>68</v>
      </c>
      <c r="C6100" s="1">
        <f>1.76952263896111*(10.3/7.3)</f>
        <v>2.4967237234656765</v>
      </c>
      <c r="D6100" s="1">
        <f>3.51918152791392*(10.3/7.3)</f>
        <v>4.9654205119881398</v>
      </c>
      <c r="E6100" s="1">
        <f>11.9859164170958*(10.3/7.3)</f>
        <v>16.9116354926146</v>
      </c>
      <c r="F6100" s="1">
        <f>36.5502424445176*(38.9/42.5)</f>
        <v>33.454221908040857</v>
      </c>
      <c r="G6100" s="1">
        <v>2.0143994034050223</v>
      </c>
      <c r="H6100" s="1">
        <v>8.0567183802482933</v>
      </c>
      <c r="I6100" s="1">
        <v>26.758562624565904</v>
      </c>
      <c r="J6100" s="1">
        <v>2.5306592008160867E-2</v>
      </c>
      <c r="K6100" s="1">
        <v>2.0234037930377213</v>
      </c>
      <c r="L6100" s="1">
        <v>2.0589047203750077</v>
      </c>
      <c r="M6100" s="1">
        <v>0.19288227173552436</v>
      </c>
      <c r="N6100" s="1">
        <v>1.1233845402072682</v>
      </c>
      <c r="O6100" s="1">
        <v>0.14997490196078431</v>
      </c>
      <c r="P6100" s="1">
        <v>8.9635935650756365E-2</v>
      </c>
      <c r="Q6100" s="1">
        <v>3.2193597771313187</v>
      </c>
      <c r="R6100" s="2">
        <f t="shared" si="383"/>
        <v>97.877041821459827</v>
      </c>
      <c r="S6100" s="2">
        <f t="shared" si="382"/>
        <v>2.1383463206966384</v>
      </c>
      <c r="T6100" s="2">
        <f t="shared" si="384"/>
        <v>3.5251464342785845</v>
      </c>
      <c r="U6100" s="2">
        <f t="shared" si="385"/>
        <v>103.54053457643505</v>
      </c>
    </row>
    <row r="6101" spans="1:21" x14ac:dyDescent="0.25">
      <c r="A6101">
        <v>6655233</v>
      </c>
      <c r="B6101">
        <v>71</v>
      </c>
      <c r="C6101" s="1">
        <f>1.62536154647461*(10.3/7.3)</f>
        <v>2.2933183463956857</v>
      </c>
      <c r="D6101" s="1">
        <f>3.39691208295029*(10.3/7.3)</f>
        <v>4.7929033499161662</v>
      </c>
      <c r="E6101" s="1">
        <f>11.5443863627885*(10.3/7.3)</f>
        <v>16.288654731057697</v>
      </c>
      <c r="F6101" s="1">
        <f>35.6647121256165*(38.9/42.5)</f>
        <v>32.643701216152486</v>
      </c>
      <c r="G6101" s="1">
        <v>1.9850773049977051</v>
      </c>
      <c r="H6101" s="1">
        <v>6.5740151746008912</v>
      </c>
      <c r="I6101" s="1">
        <v>25.993854322335146</v>
      </c>
      <c r="J6101" s="1">
        <v>2.5028447716802748E-2</v>
      </c>
      <c r="K6101" s="1">
        <v>1.9886197101908889</v>
      </c>
      <c r="L6101" s="1">
        <v>2.0047382365092301</v>
      </c>
      <c r="M6101" s="1">
        <v>0.18772451967669124</v>
      </c>
      <c r="N6101" s="1">
        <v>1.1121503179170671</v>
      </c>
      <c r="O6101" s="1">
        <v>0.1449532394366197</v>
      </c>
      <c r="P6101" s="1">
        <v>8.8451543664758978E-2</v>
      </c>
      <c r="Q6101" s="1">
        <v>3.1724979760237346</v>
      </c>
      <c r="R6101" s="2">
        <f t="shared" si="383"/>
        <v>93.744022421479499</v>
      </c>
      <c r="S6101" s="2">
        <f t="shared" si="382"/>
        <v>2.1020997015724507</v>
      </c>
      <c r="T6101" s="2">
        <f t="shared" si="384"/>
        <v>3.449566313539608</v>
      </c>
      <c r="U6101" s="2">
        <f t="shared" si="385"/>
        <v>99.295688436591561</v>
      </c>
    </row>
    <row r="6102" spans="1:21" x14ac:dyDescent="0.25">
      <c r="A6102">
        <v>6655273</v>
      </c>
      <c r="B6102">
        <v>2</v>
      </c>
      <c r="C6102" s="1">
        <f>1.59953989596011*(10.3/7.3)</f>
        <v>2.2568850586834368</v>
      </c>
      <c r="D6102" s="1">
        <f>4.93892365166189*(10.3/7.3)</f>
        <v>6.9686183030297917</v>
      </c>
      <c r="E6102" s="1">
        <f>16.617894984582*(10.3/7.3)</f>
        <v>23.447166896054107</v>
      </c>
      <c r="F6102" s="1">
        <f>52.2650978176468*(38.9/42.5)</f>
        <v>47.837936590740235</v>
      </c>
      <c r="G6102" s="1">
        <v>2.9919194309749937</v>
      </c>
      <c r="H6102" s="1">
        <v>9.2475637666909947</v>
      </c>
      <c r="I6102" s="1">
        <v>36.483871458707505</v>
      </c>
      <c r="J6102" s="1">
        <v>2.6498807463828718E-2</v>
      </c>
      <c r="K6102" s="1">
        <v>1.8927485383517633</v>
      </c>
      <c r="L6102" s="1">
        <v>1.8952999715158971</v>
      </c>
      <c r="M6102" s="1">
        <v>0.16618712148080605</v>
      </c>
      <c r="N6102" s="1">
        <v>1.2872826031256532</v>
      </c>
      <c r="O6102" s="1">
        <v>0.13112000000000001</v>
      </c>
      <c r="P6102" s="1">
        <v>8.4316178445150838E-2</v>
      </c>
      <c r="Q6102" s="1">
        <v>4.7816063965353832</v>
      </c>
      <c r="R6102" s="2">
        <f t="shared" si="383"/>
        <v>134.01556790141643</v>
      </c>
      <c r="S6102" s="2">
        <f t="shared" si="382"/>
        <v>2.003563524260743</v>
      </c>
      <c r="T6102" s="2">
        <f t="shared" si="384"/>
        <v>3.4798896961223567</v>
      </c>
      <c r="U6102" s="2">
        <f t="shared" si="385"/>
        <v>139.49902112179956</v>
      </c>
    </row>
    <row r="6103" spans="1:21" x14ac:dyDescent="0.25">
      <c r="A6103">
        <v>6655281</v>
      </c>
      <c r="B6103">
        <v>60</v>
      </c>
      <c r="C6103" s="1">
        <f>1.56371354794178*(10.3/7.3)</f>
        <v>2.2063355539452458</v>
      </c>
      <c r="D6103" s="1">
        <f>3.91642281161554*(10.3/7.3)</f>
        <v>5.5259116383068543</v>
      </c>
      <c r="E6103" s="1">
        <f>13.2667790763874*(10.3/7.3)</f>
        <v>18.718880066683582</v>
      </c>
      <c r="F6103" s="1">
        <f>40.0894202629325*(38.9/42.5)</f>
        <v>36.693610546542892</v>
      </c>
      <c r="G6103" s="1">
        <v>2.2287662803187933</v>
      </c>
      <c r="H6103" s="1">
        <v>9.4497807440810426</v>
      </c>
      <c r="I6103" s="1">
        <v>28.357234708206686</v>
      </c>
      <c r="J6103" s="1">
        <v>2.6510829874474166E-2</v>
      </c>
      <c r="K6103" s="1">
        <v>1.9147892635305941</v>
      </c>
      <c r="L6103" s="1">
        <v>1.903843431442277</v>
      </c>
      <c r="M6103" s="1">
        <v>0.16656434685878707</v>
      </c>
      <c r="N6103" s="1">
        <v>1.18413805940968</v>
      </c>
      <c r="O6103" s="1">
        <v>0.13204355555555555</v>
      </c>
      <c r="P6103" s="1">
        <v>8.4991247552920812E-2</v>
      </c>
      <c r="Q6103" s="1">
        <v>3.5619552425186232</v>
      </c>
      <c r="R6103" s="2">
        <f t="shared" si="383"/>
        <v>106.74247478060371</v>
      </c>
      <c r="S6103" s="2">
        <f t="shared" si="382"/>
        <v>2.026291340957989</v>
      </c>
      <c r="T6103" s="2">
        <f t="shared" si="384"/>
        <v>3.3865893932662994</v>
      </c>
      <c r="U6103" s="2">
        <f t="shared" si="385"/>
        <v>112.155355514828</v>
      </c>
    </row>
    <row r="6104" spans="1:21" x14ac:dyDescent="0.25">
      <c r="A6104">
        <v>6655449</v>
      </c>
      <c r="B6104">
        <v>9</v>
      </c>
      <c r="C6104" s="1">
        <f>4.92881685404662*(10.3/7.3)</f>
        <v>6.9543580269424847</v>
      </c>
      <c r="D6104" s="1">
        <f>8.14875085244863*(10.3/7.3)</f>
        <v>11.497552572633005</v>
      </c>
      <c r="E6104" s="1">
        <f>28.3652927486481*(10.3/7.3)</f>
        <v>40.022262371380243</v>
      </c>
      <c r="F6104" s="1">
        <f>63.3538566683888*(38.9/42.5)</f>
        <v>57.987412338831199</v>
      </c>
      <c r="G6104" s="1">
        <v>2.7585529342071755</v>
      </c>
      <c r="H6104" s="1">
        <v>9.1639598483902027</v>
      </c>
      <c r="I6104" s="1">
        <v>44.583534655880072</v>
      </c>
      <c r="J6104" s="1">
        <v>3.1146058512151107E-2</v>
      </c>
      <c r="K6104" s="1">
        <v>2.067008589616528</v>
      </c>
      <c r="L6104" s="1">
        <v>1.9002503966974433</v>
      </c>
      <c r="M6104" s="1">
        <v>0.13562597721030376</v>
      </c>
      <c r="N6104" s="1">
        <v>1.544450034693027</v>
      </c>
      <c r="O6104" s="1">
        <v>0.1219674074074074</v>
      </c>
      <c r="P6104" s="1">
        <v>8.4374195749153225E-2</v>
      </c>
      <c r="Q6104" s="1">
        <v>4.408646241883619</v>
      </c>
      <c r="R6104" s="2">
        <f t="shared" si="383"/>
        <v>177.37627899014799</v>
      </c>
      <c r="S6104" s="2">
        <f t="shared" si="382"/>
        <v>2.1825288438778325</v>
      </c>
      <c r="T6104" s="2">
        <f t="shared" si="384"/>
        <v>3.7022938160081815</v>
      </c>
      <c r="U6104" s="2">
        <f t="shared" si="385"/>
        <v>183.26110165003402</v>
      </c>
    </row>
    <row r="6105" spans="1:21" x14ac:dyDescent="0.25">
      <c r="A6105">
        <v>6655457</v>
      </c>
      <c r="B6105">
        <v>1</v>
      </c>
      <c r="C6105" s="1">
        <f>6.41648100695152*(10.3/7.3)</f>
        <v>9.0533910098083084</v>
      </c>
      <c r="D6105" s="1">
        <f>9.67306747353824*(10.3/7.3)</f>
        <v>13.64830068184162</v>
      </c>
      <c r="E6105" s="1">
        <f>33.8655983272538*(10.3/7.3)</f>
        <v>47.782967502837494</v>
      </c>
      <c r="F6105" s="1">
        <f>71.4814425837685*(38.9/42.5)</f>
        <v>65.426543917849244</v>
      </c>
      <c r="G6105" s="1">
        <v>2.9023281552043603</v>
      </c>
      <c r="H6105" s="1">
        <v>10.550889135915881</v>
      </c>
      <c r="I6105" s="1">
        <v>50.807373381937325</v>
      </c>
      <c r="J6105" s="1">
        <v>3.1857973809195521E-2</v>
      </c>
      <c r="K6105" s="1">
        <v>2.1181046815728188</v>
      </c>
      <c r="L6105" s="1">
        <v>1.9816648742764553</v>
      </c>
      <c r="M6105" s="1">
        <v>0.13644558504336968</v>
      </c>
      <c r="N6105" s="1">
        <v>1.4204781485543598</v>
      </c>
      <c r="O6105" s="1">
        <v>0.12549333333333335</v>
      </c>
      <c r="P6105" s="1">
        <v>8.6460355402337485E-2</v>
      </c>
      <c r="Q6105" s="1">
        <v>4.6384239923357402</v>
      </c>
      <c r="R6105" s="2">
        <f t="shared" si="383"/>
        <v>204.81021777772997</v>
      </c>
      <c r="S6105" s="2">
        <f t="shared" si="382"/>
        <v>2.2364230107843519</v>
      </c>
      <c r="T6105" s="2">
        <f t="shared" si="384"/>
        <v>3.6640819412075181</v>
      </c>
      <c r="U6105" s="2">
        <f t="shared" si="385"/>
        <v>210.71072272972185</v>
      </c>
    </row>
    <row r="6106" spans="1:21" x14ac:dyDescent="0.25">
      <c r="A6106">
        <v>6667453</v>
      </c>
      <c r="B6106">
        <v>60</v>
      </c>
      <c r="C6106" s="1">
        <f>1.57841715380811*(10.3/7.3)</f>
        <v>2.2270817375648675</v>
      </c>
      <c r="D6106" s="1">
        <f>2.92297720305966*(10.3/7.3)</f>
        <v>4.1242007111663748</v>
      </c>
      <c r="E6106" s="1">
        <f>9.99440039049913*(10.3/7.3)</f>
        <v>14.101688222211095</v>
      </c>
      <c r="F6106" s="1">
        <f>29.5571633302776*(38.9/42.5)</f>
        <v>27.053497730536456</v>
      </c>
      <c r="G6106" s="1">
        <v>1.5942597639727609</v>
      </c>
      <c r="H6106" s="1">
        <v>7.0633740779049292</v>
      </c>
      <c r="I6106" s="1">
        <v>21.741509949899768</v>
      </c>
      <c r="J6106" s="1">
        <v>2.3214992076117432E-2</v>
      </c>
      <c r="K6106" s="1">
        <v>1.8893542559281329</v>
      </c>
      <c r="L6106" s="1">
        <v>1.876750747905352</v>
      </c>
      <c r="M6106" s="1">
        <v>0.17955005931449716</v>
      </c>
      <c r="N6106" s="1">
        <v>1.0394308418198157</v>
      </c>
      <c r="O6106" s="1">
        <v>0.13851022222222223</v>
      </c>
      <c r="P6106" s="1">
        <v>8.4482997119715478E-2</v>
      </c>
      <c r="Q6106" s="1">
        <v>2.5479037323765605</v>
      </c>
      <c r="R6106" s="2">
        <f t="shared" si="383"/>
        <v>80.4535159256328</v>
      </c>
      <c r="S6106" s="2">
        <f t="shared" si="382"/>
        <v>1.9970522451239656</v>
      </c>
      <c r="T6106" s="2">
        <f t="shared" si="384"/>
        <v>3.2342418712618866</v>
      </c>
      <c r="U6106" s="2">
        <f t="shared" si="385"/>
        <v>85.684810042018654</v>
      </c>
    </row>
    <row r="6107" spans="1:21" x14ac:dyDescent="0.25">
      <c r="A6107">
        <v>6667461</v>
      </c>
      <c r="B6107">
        <v>59</v>
      </c>
      <c r="C6107" s="1">
        <f>2.03035661670586*(10.3/7.3)</f>
        <v>2.8647497468589531</v>
      </c>
      <c r="D6107" s="1">
        <f>4.15286322833044*(10.3/7.3)</f>
        <v>5.8595193495621212</v>
      </c>
      <c r="E6107" s="1">
        <f>14.142737034529*(10.3/7.3)</f>
        <v>19.954820747349206</v>
      </c>
      <c r="F6107" s="1">
        <f>42.6191019201329*(38.9/42.5)</f>
        <v>39.009013286898082</v>
      </c>
      <c r="G6107" s="1">
        <v>2.3383932193173513</v>
      </c>
      <c r="H6107" s="1">
        <v>6.9727793386209171</v>
      </c>
      <c r="I6107" s="1">
        <v>30.987043958840889</v>
      </c>
      <c r="J6107" s="1">
        <v>2.7491213712063565E-2</v>
      </c>
      <c r="K6107" s="1">
        <v>2.1532636458910579</v>
      </c>
      <c r="L6107" s="1">
        <v>2.2249846130807653</v>
      </c>
      <c r="M6107" s="1">
        <v>0.20529484429993347</v>
      </c>
      <c r="N6107" s="1">
        <v>1.1906659773144577</v>
      </c>
      <c r="O6107" s="1">
        <v>0.16121401129943502</v>
      </c>
      <c r="P6107" s="1">
        <v>9.4939278299286792E-2</v>
      </c>
      <c r="Q6107" s="1">
        <v>3.7371581130642633</v>
      </c>
      <c r="R6107" s="2">
        <f t="shared" si="383"/>
        <v>111.7234777605118</v>
      </c>
      <c r="S6107" s="2">
        <f t="shared" si="382"/>
        <v>2.2756941379024083</v>
      </c>
      <c r="T6107" s="2">
        <f t="shared" si="384"/>
        <v>3.7821594459945911</v>
      </c>
      <c r="U6107" s="2">
        <f t="shared" si="385"/>
        <v>117.7813313444088</v>
      </c>
    </row>
    <row r="6108" spans="1:21" x14ac:dyDescent="0.25">
      <c r="A6108">
        <v>6667469</v>
      </c>
      <c r="B6108">
        <v>47</v>
      </c>
      <c r="C6108" s="1">
        <f>2.04447421558315*(10.3/7.3)</f>
        <v>2.8846690986995172</v>
      </c>
      <c r="D6108" s="1">
        <f>4.36288840079821*(10.3/7.3)</f>
        <v>6.1558562367426806</v>
      </c>
      <c r="E6108" s="1">
        <f>14.8391406187077*(10.3/7.3)</f>
        <v>20.937417585299901</v>
      </c>
      <c r="F6108" s="1">
        <f>44.7967306681132*(38.9/42.5)</f>
        <v>41.002184070343638</v>
      </c>
      <c r="G6108" s="1">
        <v>2.4667335232819592</v>
      </c>
      <c r="H6108" s="1">
        <v>7.9769716185181512</v>
      </c>
      <c r="I6108" s="1">
        <v>32.37935383989403</v>
      </c>
      <c r="J6108" s="1">
        <v>2.8663473346527125E-2</v>
      </c>
      <c r="K6108" s="1">
        <v>2.218980822826456</v>
      </c>
      <c r="L6108" s="1">
        <v>2.293734620928483</v>
      </c>
      <c r="M6108" s="1">
        <v>0.20915455253642934</v>
      </c>
      <c r="N6108" s="1">
        <v>1.2446822941321991</v>
      </c>
      <c r="O6108" s="1">
        <v>0.16465702127659576</v>
      </c>
      <c r="P6108" s="1">
        <v>9.7095592638570954E-2</v>
      </c>
      <c r="Q6108" s="1">
        <v>3.9422681878935482</v>
      </c>
      <c r="R6108" s="2">
        <f t="shared" si="383"/>
        <v>117.74545416067343</v>
      </c>
      <c r="S6108" s="2">
        <f t="shared" si="382"/>
        <v>2.3447398888115543</v>
      </c>
      <c r="T6108" s="2">
        <f t="shared" si="384"/>
        <v>3.9122284888737071</v>
      </c>
      <c r="U6108" s="2">
        <f t="shared" si="385"/>
        <v>124.0024225383587</v>
      </c>
    </row>
    <row r="6109" spans="1:21" x14ac:dyDescent="0.25">
      <c r="A6109">
        <v>6667509</v>
      </c>
      <c r="B6109">
        <v>33</v>
      </c>
      <c r="C6109" s="1">
        <f>1.84223237021434*(10.3/7.3)</f>
        <v>2.5993141661928427</v>
      </c>
      <c r="D6109" s="1">
        <f>5.43928901474654*(10.3/7.3)</f>
        <v>7.6746132673821084</v>
      </c>
      <c r="E6109" s="1">
        <f>18.370100735902*(10.3/7.3)</f>
        <v>25.919457202711051</v>
      </c>
      <c r="F6109" s="1">
        <f>55.0446515899655*(38.9/42.5)</f>
        <v>50.382045808227204</v>
      </c>
      <c r="G6109" s="1">
        <v>3.0713664577743205</v>
      </c>
      <c r="H6109" s="1">
        <v>11.353303528730608</v>
      </c>
      <c r="I6109" s="1">
        <v>38.087123628910469</v>
      </c>
      <c r="J6109" s="1">
        <v>2.8356687799830183E-2</v>
      </c>
      <c r="K6109" s="1">
        <v>2.0259811078649124</v>
      </c>
      <c r="L6109" s="1">
        <v>2.0459833920572978</v>
      </c>
      <c r="M6109" s="1">
        <v>0.17718866002778061</v>
      </c>
      <c r="N6109" s="1">
        <v>1.2800230098101879</v>
      </c>
      <c r="O6109" s="1">
        <v>0.14184404040404042</v>
      </c>
      <c r="P6109" s="1">
        <v>8.945182148975625E-2</v>
      </c>
      <c r="Q6109" s="1">
        <v>4.9085765306895581</v>
      </c>
      <c r="R6109" s="2">
        <f t="shared" si="383"/>
        <v>143.99580059061816</v>
      </c>
      <c r="S6109" s="2">
        <f t="shared" si="382"/>
        <v>2.1437896171544986</v>
      </c>
      <c r="T6109" s="2">
        <f t="shared" si="384"/>
        <v>3.6450391022993069</v>
      </c>
      <c r="U6109" s="2">
        <f t="shared" si="385"/>
        <v>149.78462931007198</v>
      </c>
    </row>
    <row r="6110" spans="1:21" x14ac:dyDescent="0.25">
      <c r="A6110">
        <v>6667517</v>
      </c>
      <c r="B6110">
        <v>2</v>
      </c>
      <c r="C6110" s="1">
        <f>1.47089164237567*(10.3/7.3)</f>
        <v>2.0753676597903219</v>
      </c>
      <c r="D6110" s="1">
        <f>3.94902611001295*(10.3/7.3)</f>
        <v>5.5719135524840206</v>
      </c>
      <c r="E6110" s="1">
        <f>13.2406897684976*(10.3/7.3)</f>
        <v>18.682069125414376</v>
      </c>
      <c r="F6110" s="1">
        <f>45.9760869779659*(38.9/42.5)</f>
        <v>42.081641963361719</v>
      </c>
      <c r="G6110" s="1">
        <v>2.7344115724725739</v>
      </c>
      <c r="H6110" s="1">
        <v>9.0057095744636975</v>
      </c>
      <c r="I6110" s="1">
        <v>33.372370684718241</v>
      </c>
      <c r="J6110" s="1">
        <v>2.5242819151692082E-2</v>
      </c>
      <c r="K6110" s="1">
        <v>1.8345907591359523</v>
      </c>
      <c r="L6110" s="1">
        <v>1.7978894319110919</v>
      </c>
      <c r="M6110" s="1">
        <v>0.15872903703944191</v>
      </c>
      <c r="N6110" s="1">
        <v>1.1328225276722161</v>
      </c>
      <c r="O6110" s="1">
        <v>0.12506666666666666</v>
      </c>
      <c r="P6110" s="1">
        <v>8.1564035235528881E-2</v>
      </c>
      <c r="Q6110" s="1">
        <v>4.3700641569196428</v>
      </c>
      <c r="R6110" s="2">
        <f t="shared" si="383"/>
        <v>117.89354828962458</v>
      </c>
      <c r="S6110" s="2">
        <f t="shared" si="382"/>
        <v>1.9413976135231732</v>
      </c>
      <c r="T6110" s="2">
        <f t="shared" si="384"/>
        <v>3.2145076632894165</v>
      </c>
      <c r="U6110" s="2">
        <f t="shared" si="385"/>
        <v>123.04945356643717</v>
      </c>
    </row>
    <row r="6111" spans="1:21" x14ac:dyDescent="0.25">
      <c r="A6111">
        <v>6667685</v>
      </c>
      <c r="B6111">
        <v>35</v>
      </c>
      <c r="C6111" s="1">
        <f>4.42854970056798*(10.3/7.3)</f>
        <v>6.2485016323082414</v>
      </c>
      <c r="D6111" s="1">
        <f>7.04245389145089*(10.3/7.3)</f>
        <v>9.936613024923858</v>
      </c>
      <c r="E6111" s="1">
        <f>24.55596820993*(10.3/7.3)</f>
        <v>34.647461994832774</v>
      </c>
      <c r="F6111" s="1">
        <f>54.4345531019377*(38.9/42.5)</f>
        <v>49.823626250949992</v>
      </c>
      <c r="G6111" s="1">
        <v>2.3411143021562872</v>
      </c>
      <c r="H6111" s="1">
        <v>7.8469208772603691</v>
      </c>
      <c r="I6111" s="1">
        <v>38.615152622905782</v>
      </c>
      <c r="J6111" s="1">
        <v>2.8700302807466667E-2</v>
      </c>
      <c r="K6111" s="1">
        <v>1.9353954075612925</v>
      </c>
      <c r="L6111" s="1">
        <v>1.7592291895505059</v>
      </c>
      <c r="M6111" s="1">
        <v>0.12611365882410924</v>
      </c>
      <c r="N6111" s="1">
        <v>1.3802368228103861</v>
      </c>
      <c r="O6111" s="1">
        <v>0.11378285714285713</v>
      </c>
      <c r="P6111" s="1">
        <v>8.0003059765182863E-2</v>
      </c>
      <c r="Q6111" s="1">
        <v>3.7415068755922456</v>
      </c>
      <c r="R6111" s="2">
        <f t="shared" si="383"/>
        <v>153.20089758092956</v>
      </c>
      <c r="S6111" s="2">
        <f t="shared" si="382"/>
        <v>2.0440987701339419</v>
      </c>
      <c r="T6111" s="2">
        <f t="shared" si="384"/>
        <v>3.3793625283278583</v>
      </c>
      <c r="U6111" s="2">
        <f t="shared" si="385"/>
        <v>158.62435887939134</v>
      </c>
    </row>
    <row r="6112" spans="1:21" x14ac:dyDescent="0.25">
      <c r="A6112">
        <v>6679225</v>
      </c>
      <c r="B6112">
        <v>8</v>
      </c>
      <c r="C6112" s="1">
        <f>0.596621211940598*(10.3/7.3)</f>
        <v>0.84180801136824068</v>
      </c>
      <c r="D6112" s="1">
        <f>1.34125109349854*(10.3/7.3)</f>
        <v>1.8924501730184855</v>
      </c>
      <c r="E6112" s="1">
        <f>4.50306739222451*(10.3/7.3)</f>
        <v>6.3536430328647153</v>
      </c>
      <c r="F6112" s="1">
        <f>16.3017760993203*(38.9/42.5)</f>
        <v>14.92091977090729</v>
      </c>
      <c r="G6112" s="1">
        <v>0.97877127592654234</v>
      </c>
      <c r="H6112" s="1">
        <v>4.030819226638223</v>
      </c>
      <c r="I6112" s="1">
        <v>12.167707281558002</v>
      </c>
      <c r="J6112" s="1">
        <v>3.5114632692860616E-2</v>
      </c>
      <c r="K6112" s="1">
        <v>2.6975664666834525</v>
      </c>
      <c r="L6112" s="1">
        <v>1.80390353479368</v>
      </c>
      <c r="M6112" s="1">
        <v>0.30568491681625631</v>
      </c>
      <c r="N6112" s="1">
        <v>1.1179875141914966</v>
      </c>
      <c r="O6112" s="1">
        <v>0.29781999999999997</v>
      </c>
      <c r="P6112" s="1">
        <v>0.11160334791820632</v>
      </c>
      <c r="Q6112" s="1">
        <v>1.564246331389453</v>
      </c>
      <c r="R6112" s="2">
        <f t="shared" si="383"/>
        <v>42.750365103670958</v>
      </c>
      <c r="S6112" s="2">
        <f t="shared" si="382"/>
        <v>2.8442844472945192</v>
      </c>
      <c r="T6112" s="2">
        <f t="shared" si="384"/>
        <v>3.5253959658014331</v>
      </c>
      <c r="U6112" s="2">
        <f t="shared" si="385"/>
        <v>49.120045516766908</v>
      </c>
    </row>
    <row r="6113" spans="1:21" x14ac:dyDescent="0.25">
      <c r="A6113">
        <v>6679681</v>
      </c>
      <c r="B6113">
        <v>59</v>
      </c>
      <c r="C6113" s="1">
        <f>1.57714779556972*(10.3/7.3)</f>
        <v>2.2252907252559062</v>
      </c>
      <c r="D6113" s="1">
        <f>2.89654493086003*(10.3/7.3)</f>
        <v>4.0869058613504592</v>
      </c>
      <c r="E6113" s="1">
        <f>9.90936389010654*(10.3/7.3)</f>
        <v>13.981705214807862</v>
      </c>
      <c r="F6113" s="1">
        <f>29.1617979471157*(38.9/42.5)</f>
        <v>26.691622121007107</v>
      </c>
      <c r="G6113" s="1">
        <v>1.567633645383165</v>
      </c>
      <c r="H6113" s="1">
        <v>7.632355802122154</v>
      </c>
      <c r="I6113" s="1">
        <v>21.457913286607113</v>
      </c>
      <c r="J6113" s="1">
        <v>2.2930704616254564E-2</v>
      </c>
      <c r="K6113" s="1">
        <v>1.8776109545710227</v>
      </c>
      <c r="L6113" s="1">
        <v>1.8600267257090903</v>
      </c>
      <c r="M6113" s="1">
        <v>0.17892420640690704</v>
      </c>
      <c r="N6113" s="1">
        <v>1.0214543875356277</v>
      </c>
      <c r="O6113" s="1">
        <v>0.13839457627118643</v>
      </c>
      <c r="P6113" s="1">
        <v>8.3890077184561207E-2</v>
      </c>
      <c r="Q6113" s="1">
        <v>2.5053505748132805</v>
      </c>
      <c r="R6113" s="2">
        <f t="shared" si="383"/>
        <v>80.148777231347054</v>
      </c>
      <c r="S6113" s="2">
        <f t="shared" si="382"/>
        <v>1.9844317363718385</v>
      </c>
      <c r="T6113" s="2">
        <f t="shared" si="384"/>
        <v>3.1987998959228117</v>
      </c>
      <c r="U6113" s="2">
        <f t="shared" si="385"/>
        <v>85.332008863641704</v>
      </c>
    </row>
    <row r="6114" spans="1:21" x14ac:dyDescent="0.25">
      <c r="A6114">
        <v>6679689</v>
      </c>
      <c r="B6114">
        <v>67</v>
      </c>
      <c r="C6114" s="1">
        <f>1.79925054145566*(10.3/7.3)</f>
        <v>2.5386685721908631</v>
      </c>
      <c r="D6114" s="1">
        <f>3.52651995519297*(10.3/7.3)</f>
        <v>4.9757747312996665</v>
      </c>
      <c r="E6114" s="1">
        <f>12.0325769421938*(10.3/7.3)</f>
        <v>16.977471575972064</v>
      </c>
      <c r="F6114" s="1">
        <f>35.8382512627511*(38.9/42.5)</f>
        <v>32.802540567553379</v>
      </c>
      <c r="G6114" s="1">
        <v>1.9484441009943692</v>
      </c>
      <c r="H6114" s="1">
        <v>6.3200451115217611</v>
      </c>
      <c r="I6114" s="1">
        <v>26.160235499922077</v>
      </c>
      <c r="J6114" s="1">
        <v>2.5545606572039262E-2</v>
      </c>
      <c r="K6114" s="1">
        <v>2.0426015004337588</v>
      </c>
      <c r="L6114" s="1">
        <v>2.0641055613175538</v>
      </c>
      <c r="M6114" s="1">
        <v>0.19429431010517373</v>
      </c>
      <c r="N6114" s="1">
        <v>1.1224530706196614</v>
      </c>
      <c r="O6114" s="1">
        <v>0.15189651741293539</v>
      </c>
      <c r="P6114" s="1">
        <v>9.0732514768720712E-2</v>
      </c>
      <c r="Q6114" s="1">
        <v>3.1139517595800452</v>
      </c>
      <c r="R6114" s="2">
        <f t="shared" si="383"/>
        <v>94.837131919034235</v>
      </c>
      <c r="S6114" s="2">
        <f t="shared" si="382"/>
        <v>2.1588796217745188</v>
      </c>
      <c r="T6114" s="2">
        <f t="shared" si="384"/>
        <v>3.5327494594553244</v>
      </c>
      <c r="U6114" s="2">
        <f t="shared" si="385"/>
        <v>100.52876100026407</v>
      </c>
    </row>
    <row r="6115" spans="1:21" x14ac:dyDescent="0.25">
      <c r="A6115">
        <v>6679697</v>
      </c>
      <c r="B6115">
        <v>66</v>
      </c>
      <c r="C6115" s="1">
        <f>2.52597870793948*(10.3/7.3)</f>
        <v>3.5640521495584379</v>
      </c>
      <c r="D6115" s="1">
        <f>5.3121226818203*(10.3/7.3)</f>
        <v>7.4951867976368662</v>
      </c>
      <c r="E6115" s="1">
        <f>18.0784535266892*(10.3/7.3)</f>
        <v>25.507954976013508</v>
      </c>
      <c r="F6115" s="1">
        <f>54.390853868234*(38.9/42.5)</f>
        <v>49.783628599395342</v>
      </c>
      <c r="G6115" s="1">
        <v>2.9869448473448337</v>
      </c>
      <c r="H6115" s="1">
        <v>8.7728638401539598</v>
      </c>
      <c r="I6115" s="1">
        <v>39.367392899253495</v>
      </c>
      <c r="J6115" s="1">
        <v>3.2192029668627442E-2</v>
      </c>
      <c r="K6115" s="1">
        <v>2.4202327564578976</v>
      </c>
      <c r="L6115" s="1">
        <v>2.5722511924000129</v>
      </c>
      <c r="M6115" s="1">
        <v>0.23053446999460742</v>
      </c>
      <c r="N6115" s="1">
        <v>1.357108762822083</v>
      </c>
      <c r="O6115" s="1">
        <v>0.18237252525252523</v>
      </c>
      <c r="P6115" s="1">
        <v>0.1048718996013264</v>
      </c>
      <c r="Q6115" s="1">
        <v>4.7736561487246236</v>
      </c>
      <c r="R6115" s="2">
        <f t="shared" si="383"/>
        <v>142.25168025808105</v>
      </c>
      <c r="S6115" s="2">
        <f t="shared" si="382"/>
        <v>2.5572966857278514</v>
      </c>
      <c r="T6115" s="2">
        <f t="shared" si="384"/>
        <v>4.3422669504692282</v>
      </c>
      <c r="U6115" s="2">
        <f t="shared" si="385"/>
        <v>149.15124389427814</v>
      </c>
    </row>
    <row r="6116" spans="1:21" x14ac:dyDescent="0.25">
      <c r="A6116">
        <v>6679705</v>
      </c>
      <c r="B6116">
        <v>17</v>
      </c>
      <c r="C6116" s="1">
        <f>1.95031783306924*(10.3/7.3)</f>
        <v>2.7518183124127611</v>
      </c>
      <c r="D6116" s="1">
        <f>4.19841310194289*(10.3/7.3)</f>
        <v>5.9237883493166805</v>
      </c>
      <c r="E6116" s="1">
        <f>14.2825688563092*(10.3/7.3)</f>
        <v>20.152117701367814</v>
      </c>
      <c r="F6116" s="1">
        <f>42.7981540787909*(38.9/42.5)</f>
        <v>39.172898674469813</v>
      </c>
      <c r="G6116" s="1">
        <v>2.3486862594241571</v>
      </c>
      <c r="H6116" s="1">
        <v>7.8993847196592526</v>
      </c>
      <c r="I6116" s="1">
        <v>30.841489208131385</v>
      </c>
      <c r="J6116" s="1">
        <v>2.8437452380435491E-2</v>
      </c>
      <c r="K6116" s="1">
        <v>2.161017001882334</v>
      </c>
      <c r="L6116" s="1">
        <v>2.2255178071089023</v>
      </c>
      <c r="M6116" s="1">
        <v>0.20263240833285878</v>
      </c>
      <c r="N6116" s="1">
        <v>1.2422493332081563</v>
      </c>
      <c r="O6116" s="1">
        <v>0.15925333333333333</v>
      </c>
      <c r="P6116" s="1">
        <v>9.4446664207696929E-2</v>
      </c>
      <c r="Q6116" s="1">
        <v>3.7536081771618983</v>
      </c>
      <c r="R6116" s="2">
        <f t="shared" si="383"/>
        <v>112.84379140194376</v>
      </c>
      <c r="S6116" s="2">
        <f t="shared" si="382"/>
        <v>2.2839011184704665</v>
      </c>
      <c r="T6116" s="2">
        <f t="shared" si="384"/>
        <v>3.8296528819832507</v>
      </c>
      <c r="U6116" s="2">
        <f t="shared" si="385"/>
        <v>118.95734540239748</v>
      </c>
    </row>
    <row r="6117" spans="1:21" x14ac:dyDescent="0.25">
      <c r="A6117">
        <v>6679745</v>
      </c>
      <c r="B6117">
        <v>37</v>
      </c>
      <c r="C6117" s="1">
        <f>1.51187263989855*(10.3/7.3)</f>
        <v>2.1331901631445249</v>
      </c>
      <c r="D6117" s="1">
        <f>3.95048688022321*(10.3/7.3)</f>
        <v>5.5739746392190472</v>
      </c>
      <c r="E6117" s="1">
        <f>13.3873143550931*(10.3/7.3)</f>
        <v>18.888950391432729</v>
      </c>
      <c r="F6117" s="1">
        <f>39.530207019505*(38.9/42.5)</f>
        <v>36.181765954323431</v>
      </c>
      <c r="G6117" s="1">
        <v>2.1761443947744494</v>
      </c>
      <c r="H6117" s="1">
        <v>8.1683892985956899</v>
      </c>
      <c r="I6117" s="1">
        <v>27.640428348319009</v>
      </c>
      <c r="J6117" s="1">
        <v>2.5550508764681727E-2</v>
      </c>
      <c r="K6117" s="1">
        <v>1.8570597852320685</v>
      </c>
      <c r="L6117" s="1">
        <v>1.8105370301098265</v>
      </c>
      <c r="M6117" s="1">
        <v>0.16041092913987987</v>
      </c>
      <c r="N6117" s="1">
        <v>1.1465454679514118</v>
      </c>
      <c r="O6117" s="1">
        <v>0.12654414414414417</v>
      </c>
      <c r="P6117" s="1">
        <v>8.2038374921086996E-2</v>
      </c>
      <c r="Q6117" s="1">
        <v>3.4778563386806312</v>
      </c>
      <c r="R6117" s="2">
        <f t="shared" si="383"/>
        <v>104.2406995284895</v>
      </c>
      <c r="S6117" s="2">
        <f t="shared" si="382"/>
        <v>1.9646486689178371</v>
      </c>
      <c r="T6117" s="2">
        <f t="shared" si="384"/>
        <v>3.2440375713452623</v>
      </c>
      <c r="U6117" s="2">
        <f t="shared" si="385"/>
        <v>109.44938576875259</v>
      </c>
    </row>
    <row r="6118" spans="1:21" x14ac:dyDescent="0.25">
      <c r="A6118">
        <v>6679913</v>
      </c>
      <c r="B6118">
        <v>17</v>
      </c>
      <c r="C6118" s="1">
        <f>3.40989330234687*(10.3/7.3)</f>
        <v>4.8112193170099724</v>
      </c>
      <c r="D6118" s="1">
        <f>5.63642276474785*(10.3/7.3)</f>
        <v>7.9527608872469653</v>
      </c>
      <c r="E6118" s="1">
        <f>19.6153549123661*(10.3/7.3)</f>
        <v>27.676459670872731</v>
      </c>
      <c r="F6118" s="1">
        <f>44.05497732057*(38.9/42.5)</f>
        <v>40.323261594592267</v>
      </c>
      <c r="G6118" s="1">
        <v>1.928090090536871</v>
      </c>
      <c r="H6118" s="1">
        <v>6.0076265199989969</v>
      </c>
      <c r="I6118" s="1">
        <v>31.050419244258258</v>
      </c>
      <c r="J6118" s="1">
        <v>2.6207524005906729E-2</v>
      </c>
      <c r="K6118" s="1">
        <v>1.7941102643438729</v>
      </c>
      <c r="L6118" s="1">
        <v>1.5972000610949717</v>
      </c>
      <c r="M6118" s="1">
        <v>0.11850027692096926</v>
      </c>
      <c r="N6118" s="1">
        <v>1.2029428719640098</v>
      </c>
      <c r="O6118" s="1">
        <v>0.10497568627450982</v>
      </c>
      <c r="P6118" s="1">
        <v>7.5088938975800462E-2</v>
      </c>
      <c r="Q6118" s="1">
        <v>3.0814225191228561</v>
      </c>
      <c r="R6118" s="2">
        <f t="shared" si="383"/>
        <v>122.8312598436389</v>
      </c>
      <c r="S6118" s="2">
        <f t="shared" si="382"/>
        <v>1.8954067273255801</v>
      </c>
      <c r="T6118" s="2">
        <f t="shared" si="384"/>
        <v>3.0236188962544608</v>
      </c>
      <c r="U6118" s="2">
        <f t="shared" si="385"/>
        <v>127.75028546721894</v>
      </c>
    </row>
    <row r="6119" spans="1:21" x14ac:dyDescent="0.25">
      <c r="A6119">
        <v>6679921</v>
      </c>
      <c r="B6119">
        <v>15</v>
      </c>
      <c r="C6119" s="1">
        <f>6.12243544241197*(10.3/7.3)</f>
        <v>8.6385048023073079</v>
      </c>
      <c r="D6119" s="1">
        <f>9.16758173432695*(10.3/7.3)</f>
        <v>12.935081077201037</v>
      </c>
      <c r="E6119" s="1">
        <f>32.0798391786501*(10.3/7.3)</f>
        <v>45.263334731520033</v>
      </c>
      <c r="F6119" s="1">
        <f>68.9389226636257*(38.9/42.5)</f>
        <v>63.099390390942091</v>
      </c>
      <c r="G6119" s="1">
        <v>2.8493959842899743</v>
      </c>
      <c r="H6119" s="1">
        <v>9.6193026177070298</v>
      </c>
      <c r="I6119" s="1">
        <v>49.319796462863358</v>
      </c>
      <c r="J6119" s="1">
        <v>3.1023477070275914E-2</v>
      </c>
      <c r="K6119" s="1">
        <v>2.051657305631108</v>
      </c>
      <c r="L6119" s="1">
        <v>1.9143930759026211</v>
      </c>
      <c r="M6119" s="1">
        <v>0.13441758032342879</v>
      </c>
      <c r="N6119" s="1">
        <v>1.4412354401276906</v>
      </c>
      <c r="O6119" s="1">
        <v>0.1221688888888889</v>
      </c>
      <c r="P6119" s="1">
        <v>8.463160220337744E-2</v>
      </c>
      <c r="Q6119" s="1">
        <v>4.553829198636949</v>
      </c>
      <c r="R6119" s="2">
        <f t="shared" si="383"/>
        <v>196.27863526546778</v>
      </c>
      <c r="S6119" s="2">
        <f t="shared" si="382"/>
        <v>2.1673123849047613</v>
      </c>
      <c r="T6119" s="2">
        <f t="shared" si="384"/>
        <v>3.6122149852426295</v>
      </c>
      <c r="U6119" s="2">
        <f t="shared" si="385"/>
        <v>202.05816263561516</v>
      </c>
    </row>
    <row r="6120" spans="1:21" x14ac:dyDescent="0.25">
      <c r="A6120">
        <v>6691453</v>
      </c>
      <c r="B6120">
        <v>2</v>
      </c>
      <c r="C6120" s="1">
        <f>0.358801174122426*(10.3/7.3)</f>
        <v>0.50625371143301157</v>
      </c>
      <c r="D6120" s="1">
        <f>0.690193072092649*(10.3/7.3)</f>
        <v>0.97383406062387412</v>
      </c>
      <c r="E6120" s="1">
        <f>2.34416957763468*(10.3/7.3)</f>
        <v>3.3075269383064709</v>
      </c>
      <c r="F6120" s="1">
        <f>7.60398217654296*(38.9/42.5)</f>
        <v>6.9598801568828517</v>
      </c>
      <c r="G6120" s="1">
        <v>0.43143295793259639</v>
      </c>
      <c r="H6120" s="1">
        <v>1.6593884855595178</v>
      </c>
      <c r="I6120" s="1">
        <v>5.6670366210267034</v>
      </c>
      <c r="J6120" s="1">
        <v>2.1945849832333407E-2</v>
      </c>
      <c r="K6120" s="1">
        <v>2.0544184579898923</v>
      </c>
      <c r="L6120" s="1">
        <v>1.2132137113845851</v>
      </c>
      <c r="M6120" s="1">
        <v>0.22138559943284419</v>
      </c>
      <c r="N6120" s="1">
        <v>0.71760045536618633</v>
      </c>
      <c r="O6120" s="1">
        <v>0.19986666666666666</v>
      </c>
      <c r="P6120" s="1">
        <v>9.0720410994883191E-2</v>
      </c>
      <c r="Q6120" s="1">
        <v>0.68950472728953827</v>
      </c>
      <c r="R6120" s="2">
        <f t="shared" si="383"/>
        <v>20.194857659054563</v>
      </c>
      <c r="S6120" s="2">
        <f t="shared" si="382"/>
        <v>2.167084718817109</v>
      </c>
      <c r="T6120" s="2">
        <f t="shared" si="384"/>
        <v>2.3520664328502825</v>
      </c>
      <c r="U6120" s="2">
        <f t="shared" si="385"/>
        <v>24.714008810721953</v>
      </c>
    </row>
    <row r="6121" spans="1:21" x14ac:dyDescent="0.25">
      <c r="A6121">
        <v>6691461</v>
      </c>
      <c r="B6121">
        <v>4</v>
      </c>
      <c r="C6121" s="1">
        <f>0.4593300261494*(10.3/7.3)</f>
        <v>0.64809579032038689</v>
      </c>
      <c r="D6121" s="1">
        <f>0.976144916606659*(10.3/7.3)</f>
        <v>1.3773003617874784</v>
      </c>
      <c r="E6121" s="1">
        <f>3.28920127925521*(10.3/7.3)</f>
        <v>4.6409278323737846</v>
      </c>
      <c r="F6121" s="1">
        <f>11.5387976954184*(38.9/42.5)</f>
        <v>10.561393655335902</v>
      </c>
      <c r="G6121" s="1">
        <v>0.68204711647302463</v>
      </c>
      <c r="H6121" s="1">
        <v>4.1778632164264167</v>
      </c>
      <c r="I6121" s="1">
        <v>8.617047108462117</v>
      </c>
      <c r="J6121" s="1">
        <v>2.6513658676978982E-2</v>
      </c>
      <c r="K6121" s="1">
        <v>2.4722814387982153</v>
      </c>
      <c r="L6121" s="1">
        <v>1.4823595028593812</v>
      </c>
      <c r="M6121" s="1">
        <v>0.26353753140222946</v>
      </c>
      <c r="N6121" s="1">
        <v>1.1884650564979606</v>
      </c>
      <c r="O6121" s="1">
        <v>0.25542666666666664</v>
      </c>
      <c r="P6121" s="1">
        <v>0.10461685819051803</v>
      </c>
      <c r="Q6121" s="1">
        <v>1.090029638198899</v>
      </c>
      <c r="R6121" s="2">
        <f t="shared" si="383"/>
        <v>31.794704719378011</v>
      </c>
      <c r="S6121" s="2">
        <f t="shared" si="382"/>
        <v>2.6034119556657123</v>
      </c>
      <c r="T6121" s="2">
        <f t="shared" si="384"/>
        <v>3.1897887574262382</v>
      </c>
      <c r="U6121" s="2">
        <f t="shared" si="385"/>
        <v>37.58790543246996</v>
      </c>
    </row>
    <row r="6122" spans="1:21" x14ac:dyDescent="0.25">
      <c r="A6122">
        <v>6691909</v>
      </c>
      <c r="B6122">
        <v>39</v>
      </c>
      <c r="C6122" s="1">
        <f>1.48938667986407*(10.3/7.3)</f>
        <v>2.1014633976164259</v>
      </c>
      <c r="D6122" s="1">
        <f>2.78029911244013*(10.3/7.3)</f>
        <v>3.9228877887853848</v>
      </c>
      <c r="E6122" s="1">
        <f>9.50402253921358*(10.3/7.3)</f>
        <v>13.409785226561622</v>
      </c>
      <c r="F6122" s="1">
        <f>28.1162113877814*(38.9/42.5)</f>
        <v>25.734602893757533</v>
      </c>
      <c r="G6122" s="1">
        <v>1.5177006968103111</v>
      </c>
      <c r="H6122" s="1">
        <v>8.0118507695809367</v>
      </c>
      <c r="I6122" s="1">
        <v>20.655514668270495</v>
      </c>
      <c r="J6122" s="1">
        <v>2.3081287637726506E-2</v>
      </c>
      <c r="K6122" s="1">
        <v>1.89574476123865</v>
      </c>
      <c r="L6122" s="1">
        <v>1.8768082709124259</v>
      </c>
      <c r="M6122" s="1">
        <v>0.18039421250750914</v>
      </c>
      <c r="N6122" s="1">
        <v>1.0357547924674162</v>
      </c>
      <c r="O6122" s="1">
        <v>0.13973880341880346</v>
      </c>
      <c r="P6122" s="1">
        <v>8.4508853594710234E-2</v>
      </c>
      <c r="Q6122" s="1">
        <v>2.4255490588292661</v>
      </c>
      <c r="R6122" s="2">
        <f t="shared" si="383"/>
        <v>77.779354500211966</v>
      </c>
      <c r="S6122" s="2">
        <f t="shared" si="382"/>
        <v>2.0033349024710865</v>
      </c>
      <c r="T6122" s="2">
        <f t="shared" si="384"/>
        <v>3.2326960793061548</v>
      </c>
      <c r="U6122" s="2">
        <f t="shared" si="385"/>
        <v>83.015385481989199</v>
      </c>
    </row>
    <row r="6123" spans="1:21" x14ac:dyDescent="0.25">
      <c r="A6123">
        <v>6691917</v>
      </c>
      <c r="B6123">
        <v>55</v>
      </c>
      <c r="C6123" s="1">
        <f>1.57101496092666*(10.3/7.3)</f>
        <v>2.2166375476088542</v>
      </c>
      <c r="D6123" s="1">
        <f>2.98306014434413*(10.3/7.3)</f>
        <v>4.2089752721567901</v>
      </c>
      <c r="E6123" s="1">
        <f>10.1962013197109*(10.3/7.3)</f>
        <v>14.386421040139995</v>
      </c>
      <c r="F6123" s="1">
        <f>29.9400686707309*(38.9/42.5)</f>
        <v>27.403968736269011</v>
      </c>
      <c r="G6123" s="1">
        <v>1.611394440921091</v>
      </c>
      <c r="H6123" s="1">
        <v>5.4834330658443209</v>
      </c>
      <c r="I6123" s="1">
        <v>21.897967547520203</v>
      </c>
      <c r="J6123" s="1">
        <v>2.3730001288504894E-2</v>
      </c>
      <c r="K6123" s="1">
        <v>1.9298259860313214</v>
      </c>
      <c r="L6123" s="1">
        <v>1.9156436593795307</v>
      </c>
      <c r="M6123" s="1">
        <v>0.18296695366264243</v>
      </c>
      <c r="N6123" s="1">
        <v>1.054620784478397</v>
      </c>
      <c r="O6123" s="1">
        <v>0.14193745454545453</v>
      </c>
      <c r="P6123" s="1">
        <v>8.6049279493442321E-2</v>
      </c>
      <c r="Q6123" s="1">
        <v>2.575287919280286</v>
      </c>
      <c r="R6123" s="2">
        <f t="shared" si="383"/>
        <v>79.784085569740554</v>
      </c>
      <c r="S6123" s="2">
        <f t="shared" si="382"/>
        <v>2.0396052668132687</v>
      </c>
      <c r="T6123" s="2">
        <f t="shared" si="384"/>
        <v>3.2951688520660247</v>
      </c>
      <c r="U6123" s="2">
        <f t="shared" si="385"/>
        <v>85.11885968861985</v>
      </c>
    </row>
    <row r="6124" spans="1:21" x14ac:dyDescent="0.25">
      <c r="A6124">
        <v>6691925</v>
      </c>
      <c r="B6124">
        <v>53</v>
      </c>
      <c r="C6124" s="1">
        <f>2.15114398856782*(10.3/7.3)</f>
        <v>3.035175764691588</v>
      </c>
      <c r="D6124" s="1">
        <f>4.37652982066834*(10.3/7.3)</f>
        <v>6.1751037195731406</v>
      </c>
      <c r="E6124" s="1">
        <f>14.9115563394861*(10.3/7.3)</f>
        <v>21.039593191329725</v>
      </c>
      <c r="F6124" s="1">
        <f>44.6847443777091*(38.9/42.5)</f>
        <v>40.899683677479658</v>
      </c>
      <c r="G6124" s="1">
        <v>2.443530938440182</v>
      </c>
      <c r="H6124" s="1">
        <v>7.1335578490438447</v>
      </c>
      <c r="I6124" s="1">
        <v>32.473748238447584</v>
      </c>
      <c r="J6124" s="1">
        <v>2.9208293213933263E-2</v>
      </c>
      <c r="K6124" s="1">
        <v>2.1845904538205354</v>
      </c>
      <c r="L6124" s="1">
        <v>2.2575678525925151</v>
      </c>
      <c r="M6124" s="1">
        <v>0.20750128996034703</v>
      </c>
      <c r="N6124" s="1">
        <v>1.239772371492907</v>
      </c>
      <c r="O6124" s="1">
        <v>0.16451924528301892</v>
      </c>
      <c r="P6124" s="1">
        <v>9.5898687389143783E-2</v>
      </c>
      <c r="Q6124" s="1">
        <v>3.905186431297099</v>
      </c>
      <c r="R6124" s="2">
        <f t="shared" si="383"/>
        <v>117.1055798103028</v>
      </c>
      <c r="S6124" s="2">
        <f t="shared" si="382"/>
        <v>2.3096974344236125</v>
      </c>
      <c r="T6124" s="2">
        <f t="shared" si="384"/>
        <v>3.8693607593287882</v>
      </c>
      <c r="U6124" s="2">
        <f t="shared" si="385"/>
        <v>123.2846380040552</v>
      </c>
    </row>
    <row r="6125" spans="1:21" x14ac:dyDescent="0.25">
      <c r="A6125">
        <v>6691933</v>
      </c>
      <c r="B6125">
        <v>53</v>
      </c>
      <c r="C6125" s="1">
        <f>2.54903750352404*(10.3/7.3)</f>
        <v>3.5965871625065162</v>
      </c>
      <c r="D6125" s="1">
        <f>5.45656892791098*(10.3/7.3)</f>
        <v>7.6989945147237169</v>
      </c>
      <c r="E6125" s="1">
        <f>18.5646513800297*(10.3/7.3)</f>
        <v>26.193960166343235</v>
      </c>
      <c r="F6125" s="1">
        <f>55.6718565325202*(38.9/42.5)</f>
        <v>50.956122802706702</v>
      </c>
      <c r="G6125" s="1">
        <v>3.0553550343254119</v>
      </c>
      <c r="H6125" s="1">
        <v>8.9100706918455153</v>
      </c>
      <c r="I6125" s="1">
        <v>40.158769949434884</v>
      </c>
      <c r="J6125" s="1">
        <v>3.3406823241028484E-2</v>
      </c>
      <c r="K6125" s="1">
        <v>2.4928911615559537</v>
      </c>
      <c r="L6125" s="1">
        <v>2.6515763433391415</v>
      </c>
      <c r="M6125" s="1">
        <v>0.23653029941664219</v>
      </c>
      <c r="N6125" s="1">
        <v>1.4206977330368549</v>
      </c>
      <c r="O6125" s="1">
        <v>0.18701182389937104</v>
      </c>
      <c r="P6125" s="1">
        <v>0.10715515235849382</v>
      </c>
      <c r="Q6125" s="1">
        <v>4.8829874977803449</v>
      </c>
      <c r="R6125" s="2">
        <f t="shared" si="383"/>
        <v>145.45284781966632</v>
      </c>
      <c r="S6125" s="2">
        <f t="shared" si="382"/>
        <v>2.6334531371554761</v>
      </c>
      <c r="T6125" s="2">
        <f t="shared" si="384"/>
        <v>4.4958161996920092</v>
      </c>
      <c r="U6125" s="2">
        <f t="shared" si="385"/>
        <v>152.58211715651379</v>
      </c>
    </row>
    <row r="6126" spans="1:21" x14ac:dyDescent="0.25">
      <c r="A6126">
        <v>6691941</v>
      </c>
      <c r="B6126">
        <v>13</v>
      </c>
      <c r="C6126" s="1">
        <f>2.67789964385521*(10.3/7.3)</f>
        <v>3.7784063468094127</v>
      </c>
      <c r="D6126" s="1">
        <f>6.21526534954958*(10.3/7.3)</f>
        <v>8.7694839863507816</v>
      </c>
      <c r="E6126" s="1">
        <f>21.0902568535813*(10.3/7.3)</f>
        <v>29.75748569751881</v>
      </c>
      <c r="F6126" s="1">
        <f>63.841427520102*(38.9/42.5)</f>
        <v>58.433683071340454</v>
      </c>
      <c r="G6126" s="1">
        <v>3.5378443444571275</v>
      </c>
      <c r="H6126" s="1">
        <v>11.294797489999635</v>
      </c>
      <c r="I6126" s="1">
        <v>45.633253742612965</v>
      </c>
      <c r="J6126" s="1">
        <v>3.5251231213814148E-2</v>
      </c>
      <c r="K6126" s="1">
        <v>2.6070015651548135</v>
      </c>
      <c r="L6126" s="1">
        <v>2.7845482953665726</v>
      </c>
      <c r="M6126" s="1">
        <v>0.2436106962065348</v>
      </c>
      <c r="N6126" s="1">
        <v>1.4919178421993537</v>
      </c>
      <c r="O6126" s="1">
        <v>0.19314871794871794</v>
      </c>
      <c r="P6126" s="1">
        <v>0.11283026747858013</v>
      </c>
      <c r="Q6126" s="1">
        <v>5.6540891349771503</v>
      </c>
      <c r="R6126" s="2">
        <f t="shared" si="383"/>
        <v>166.85904381406633</v>
      </c>
      <c r="S6126" s="2">
        <f t="shared" si="382"/>
        <v>2.7550830638472075</v>
      </c>
      <c r="T6126" s="2">
        <f t="shared" si="384"/>
        <v>4.7132255517211794</v>
      </c>
      <c r="U6126" s="2">
        <f t="shared" si="385"/>
        <v>174.32735242963469</v>
      </c>
    </row>
    <row r="6127" spans="1:21" x14ac:dyDescent="0.25">
      <c r="A6127">
        <v>6691973</v>
      </c>
      <c r="B6127">
        <v>8</v>
      </c>
      <c r="C6127" s="1">
        <f>1.81431875275704*(10.3/7.3)</f>
        <v>2.5599291990955497</v>
      </c>
      <c r="D6127" s="1">
        <f>5.69279004387887*(10.3/7.3)</f>
        <v>8.0322928016373112</v>
      </c>
      <c r="E6127" s="1">
        <f>19.2432154865218*(10.3/7.3)</f>
        <v>27.151386234407465</v>
      </c>
      <c r="F6127" s="1">
        <f>55.6427394235641*(38.9/42.5)</f>
        <v>50.92947208415633</v>
      </c>
      <c r="G6127" s="1">
        <v>3.0558940395716885</v>
      </c>
      <c r="H6127" s="1">
        <v>11.194993877021219</v>
      </c>
      <c r="I6127" s="1">
        <v>37.836208901761331</v>
      </c>
      <c r="J6127" s="1">
        <v>2.7223334505373759E-2</v>
      </c>
      <c r="K6127" s="1">
        <v>1.9787487381449653</v>
      </c>
      <c r="L6127" s="1">
        <v>1.9546026218836154</v>
      </c>
      <c r="M6127" s="1">
        <v>0.17135798616697481</v>
      </c>
      <c r="N6127" s="1">
        <v>1.275007058359704</v>
      </c>
      <c r="O6127" s="1">
        <v>0.13696666666666668</v>
      </c>
      <c r="P6127" s="1">
        <v>8.6687147765304853E-2</v>
      </c>
      <c r="Q6127" s="1">
        <v>4.8838489216899177</v>
      </c>
      <c r="R6127" s="2">
        <f t="shared" si="383"/>
        <v>145.6440260593408</v>
      </c>
      <c r="S6127" s="2">
        <f t="shared" si="382"/>
        <v>2.0926592204156438</v>
      </c>
      <c r="T6127" s="2">
        <f t="shared" si="384"/>
        <v>3.5379343330769615</v>
      </c>
      <c r="U6127" s="2">
        <f t="shared" si="385"/>
        <v>151.27461961283342</v>
      </c>
    </row>
    <row r="6128" spans="1:21" x14ac:dyDescent="0.25">
      <c r="A6128">
        <v>6692149</v>
      </c>
      <c r="B6128">
        <v>54</v>
      </c>
      <c r="C6128" s="1">
        <f>3.43286233094168*(10.3/7.3)</f>
        <v>4.8436276724245602</v>
      </c>
      <c r="D6128" s="1">
        <f>5.42677415889877*(10.3/7.3)</f>
        <v>7.6569553200900389</v>
      </c>
      <c r="E6128" s="1">
        <f>18.9052399552749*(10.3/7.3)</f>
        <v>26.674516649223527</v>
      </c>
      <c r="F6128" s="1">
        <f>42.9793526847712*(38.9/42.5)</f>
        <v>39.338748692649432</v>
      </c>
      <c r="G6128" s="1">
        <v>1.8909541192759891</v>
      </c>
      <c r="H6128" s="1">
        <v>6.4065856768728553</v>
      </c>
      <c r="I6128" s="1">
        <v>30.733277173912636</v>
      </c>
      <c r="J6128" s="1">
        <v>2.486831713119388E-2</v>
      </c>
      <c r="K6128" s="1">
        <v>1.719108403163226</v>
      </c>
      <c r="L6128" s="1">
        <v>1.5259593928080375</v>
      </c>
      <c r="M6128" s="1">
        <v>0.11337655011463978</v>
      </c>
      <c r="N6128" s="1">
        <v>1.1393654209681356</v>
      </c>
      <c r="O6128" s="1">
        <v>0.10110123456790122</v>
      </c>
      <c r="P6128" s="1">
        <v>7.281622891938043E-2</v>
      </c>
      <c r="Q6128" s="1">
        <v>3.0220727933634568</v>
      </c>
      <c r="R6128" s="2">
        <f t="shared" si="383"/>
        <v>120.5667380978125</v>
      </c>
      <c r="S6128" s="2">
        <f t="shared" si="382"/>
        <v>1.8167929492138002</v>
      </c>
      <c r="T6128" s="2">
        <f t="shared" si="384"/>
        <v>2.8798025984587143</v>
      </c>
      <c r="U6128" s="2">
        <f t="shared" si="385"/>
        <v>125.26333364548502</v>
      </c>
    </row>
    <row r="6129" spans="1:21" x14ac:dyDescent="0.25">
      <c r="A6129">
        <v>6703689</v>
      </c>
      <c r="B6129">
        <v>57</v>
      </c>
      <c r="C6129" s="1">
        <f>0.529365447823335*(10.3/7.3)</f>
        <v>0.7469128921342949</v>
      </c>
      <c r="D6129" s="1">
        <f>1.1348250218488*(10.3/7.3)</f>
        <v>1.601191469183922</v>
      </c>
      <c r="E6129" s="1">
        <f>3.82555424573897*(10.3/7.3)</f>
        <v>5.3976998261796485</v>
      </c>
      <c r="F6129" s="1">
        <f>13.2870926090829*(38.9/42.5)</f>
        <v>12.16159770572532</v>
      </c>
      <c r="G6129" s="1">
        <v>0.78239282771579954</v>
      </c>
      <c r="H6129" s="1">
        <v>3.1966889277376298</v>
      </c>
      <c r="I6129" s="1">
        <v>9.8926094982630914</v>
      </c>
      <c r="J6129" s="1">
        <v>2.8396710618044205E-2</v>
      </c>
      <c r="K6129" s="1">
        <v>2.5627392780377498</v>
      </c>
      <c r="L6129" s="1">
        <v>1.6340814980155123</v>
      </c>
      <c r="M6129" s="1">
        <v>0.28238527474505498</v>
      </c>
      <c r="N6129" s="1">
        <v>0.94436752193371287</v>
      </c>
      <c r="O6129" s="1">
        <v>0.27185309941520469</v>
      </c>
      <c r="P6129" s="1">
        <v>0.10712650198545595</v>
      </c>
      <c r="Q6129" s="1">
        <v>1.2503994963494531</v>
      </c>
      <c r="R6129" s="2">
        <f t="shared" si="383"/>
        <v>35.02949264328916</v>
      </c>
      <c r="S6129" s="2">
        <f t="shared" si="382"/>
        <v>2.69826249064125</v>
      </c>
      <c r="T6129" s="2">
        <f t="shared" si="384"/>
        <v>3.1326873941094848</v>
      </c>
      <c r="U6129" s="2">
        <f t="shared" si="385"/>
        <v>40.86044252803989</v>
      </c>
    </row>
    <row r="6130" spans="1:21" x14ac:dyDescent="0.25">
      <c r="A6130">
        <v>6704137</v>
      </c>
      <c r="B6130">
        <v>24</v>
      </c>
      <c r="C6130" s="1">
        <f>1.45290212910354*(10.3/7.3)</f>
        <v>2.0499851958584152</v>
      </c>
      <c r="D6130" s="1">
        <f>2.77231413517357*(10.3/7.3)</f>
        <v>3.9116213140120188</v>
      </c>
      <c r="E6130" s="1">
        <f>9.45653500623036*(10.3/7.3)</f>
        <v>13.342782269064761</v>
      </c>
      <c r="F6130" s="1">
        <f>28.6901130793811*(38.9/42.5)</f>
        <v>26.259891736186507</v>
      </c>
      <c r="G6130" s="1">
        <v>1.5725861858821402</v>
      </c>
      <c r="H6130" s="1">
        <v>8.6007997491664927</v>
      </c>
      <c r="I6130" s="1">
        <v>21.116197882803288</v>
      </c>
      <c r="J6130" s="1">
        <v>2.3260889396758005E-2</v>
      </c>
      <c r="K6130" s="1">
        <v>1.9165704765445497</v>
      </c>
      <c r="L6130" s="1">
        <v>1.8948643122744142</v>
      </c>
      <c r="M6130" s="1">
        <v>0.18204944463358499</v>
      </c>
      <c r="N6130" s="1">
        <v>1.0504829321682438</v>
      </c>
      <c r="O6130" s="1">
        <v>0.14139555555555558</v>
      </c>
      <c r="P6130" s="1">
        <v>8.5425809806888742E-2</v>
      </c>
      <c r="Q6130" s="1">
        <v>2.5132655938755701</v>
      </c>
      <c r="R6130" s="2">
        <f t="shared" si="383"/>
        <v>79.367129926849188</v>
      </c>
      <c r="S6130" s="2">
        <f t="shared" si="382"/>
        <v>2.0252571757481963</v>
      </c>
      <c r="T6130" s="2">
        <f t="shared" si="384"/>
        <v>3.2687922446317987</v>
      </c>
      <c r="U6130" s="2">
        <f t="shared" si="385"/>
        <v>84.661179347229179</v>
      </c>
    </row>
    <row r="6131" spans="1:21" x14ac:dyDescent="0.25">
      <c r="A6131">
        <v>6704145</v>
      </c>
      <c r="B6131">
        <v>69</v>
      </c>
      <c r="C6131" s="1">
        <f>1.91296668615744*(10.3/7.3)</f>
        <v>2.6991173790988539</v>
      </c>
      <c r="D6131" s="1">
        <f>3.67727716104987*(10.3/7.3)</f>
        <v>5.1884869532621423</v>
      </c>
      <c r="E6131" s="1">
        <f>12.5515524027427*(10.3/7.3)</f>
        <v>17.709724623047904</v>
      </c>
      <c r="F6131" s="1">
        <f>37.5182462775795*(38.9/42.5)</f>
        <v>34.340230122302167</v>
      </c>
      <c r="G6131" s="1">
        <v>2.041060778460789</v>
      </c>
      <c r="H6131" s="1">
        <v>6.9547198163042632</v>
      </c>
      <c r="I6131" s="1">
        <v>27.493061115718753</v>
      </c>
      <c r="J6131" s="1">
        <v>2.6105788402779703E-2</v>
      </c>
      <c r="K6131" s="1">
        <v>2.1060275956890302</v>
      </c>
      <c r="L6131" s="1">
        <v>2.1424610822536918</v>
      </c>
      <c r="M6131" s="1">
        <v>0.20103185652114139</v>
      </c>
      <c r="N6131" s="1">
        <v>1.1494634698106316</v>
      </c>
      <c r="O6131" s="1">
        <v>0.15848115942028987</v>
      </c>
      <c r="P6131" s="1">
        <v>9.267397944021584E-2</v>
      </c>
      <c r="Q6131" s="1">
        <v>3.2619692806451002</v>
      </c>
      <c r="R6131" s="2">
        <f t="shared" si="383"/>
        <v>99.688370068839987</v>
      </c>
      <c r="S6131" s="2">
        <f t="shared" si="382"/>
        <v>2.224807363532026</v>
      </c>
      <c r="T6131" s="2">
        <f t="shared" si="384"/>
        <v>3.6514375680057549</v>
      </c>
      <c r="U6131" s="2">
        <f t="shared" si="385"/>
        <v>105.56461500037777</v>
      </c>
    </row>
    <row r="6132" spans="1:21" x14ac:dyDescent="0.25">
      <c r="A6132">
        <v>6704153</v>
      </c>
      <c r="B6132">
        <v>66</v>
      </c>
      <c r="C6132" s="1">
        <f>1.76232658516361*(10.3/7.3)</f>
        <v>2.4865703872856408</v>
      </c>
      <c r="D6132" s="1">
        <f>3.47709662454388*(10.3/7.3)</f>
        <v>4.9060404428495774</v>
      </c>
      <c r="E6132" s="1">
        <f>11.8646718864*(10.3/7.3)</f>
        <v>16.740564442454783</v>
      </c>
      <c r="F6132" s="1">
        <f>35.1828499978877*(38.9/42.5)</f>
        <v>32.202655645125446</v>
      </c>
      <c r="G6132" s="1">
        <v>1.90905336690642</v>
      </c>
      <c r="H6132" s="1">
        <v>5.9759666853435736</v>
      </c>
      <c r="I6132" s="1">
        <v>25.629625956818764</v>
      </c>
      <c r="J6132" s="1">
        <v>2.569889926462704E-2</v>
      </c>
      <c r="K6132" s="1">
        <v>2.0016117479162499</v>
      </c>
      <c r="L6132" s="1">
        <v>2.0121181835971642</v>
      </c>
      <c r="M6132" s="1">
        <v>0.18943709318584004</v>
      </c>
      <c r="N6132" s="1">
        <v>1.0906667937866947</v>
      </c>
      <c r="O6132" s="1">
        <v>0.148359595959596</v>
      </c>
      <c r="P6132" s="1">
        <v>8.8827406477831036E-2</v>
      </c>
      <c r="Q6132" s="1">
        <v>3.0509985315856052</v>
      </c>
      <c r="R6132" s="2">
        <f t="shared" si="383"/>
        <v>92.901475458369816</v>
      </c>
      <c r="S6132" s="2">
        <f t="shared" si="382"/>
        <v>2.116138053658708</v>
      </c>
      <c r="T6132" s="2">
        <f t="shared" si="384"/>
        <v>3.4405816665292952</v>
      </c>
      <c r="U6132" s="2">
        <f t="shared" si="385"/>
        <v>98.458195178557816</v>
      </c>
    </row>
    <row r="6133" spans="1:21" x14ac:dyDescent="0.25">
      <c r="A6133">
        <v>6704161</v>
      </c>
      <c r="B6133">
        <v>68</v>
      </c>
      <c r="C6133" s="1">
        <f>1.84062358370075*(10.3/7.3)</f>
        <v>2.5970442345366793</v>
      </c>
      <c r="D6133" s="1">
        <f>3.79541968432298*(10.3/7.3)</f>
        <v>5.3551811984283191</v>
      </c>
      <c r="E6133" s="1">
        <f>12.9307937583829*(10.3/7.3)</f>
        <v>18.244818590595063</v>
      </c>
      <c r="F6133" s="1">
        <f>38.5410268715009*(38.9/42.5)</f>
        <v>35.276375183562024</v>
      </c>
      <c r="G6133" s="1">
        <v>2.1032806391246393</v>
      </c>
      <c r="H6133" s="1">
        <v>6.3503520889681564</v>
      </c>
      <c r="I6133" s="1">
        <v>27.917124514421843</v>
      </c>
      <c r="J6133" s="1">
        <v>2.7279931355488424E-2</v>
      </c>
      <c r="K6133" s="1">
        <v>2.1077966450960224</v>
      </c>
      <c r="L6133" s="1">
        <v>2.134236471352807</v>
      </c>
      <c r="M6133" s="1">
        <v>0.19869704708212008</v>
      </c>
      <c r="N6133" s="1">
        <v>1.191196888890655</v>
      </c>
      <c r="O6133" s="1">
        <v>0.15525411764705876</v>
      </c>
      <c r="P6133" s="1">
        <v>9.2545430363422845E-2</v>
      </c>
      <c r="Q6133" s="1">
        <v>3.3614074141261376</v>
      </c>
      <c r="R6133" s="2">
        <f t="shared" si="383"/>
        <v>101.20558386376285</v>
      </c>
      <c r="S6133" s="2">
        <f t="shared" si="382"/>
        <v>2.2276220068149337</v>
      </c>
      <c r="T6133" s="2">
        <f t="shared" si="384"/>
        <v>3.6793845249726411</v>
      </c>
      <c r="U6133" s="2">
        <f t="shared" si="385"/>
        <v>107.11259039555044</v>
      </c>
    </row>
    <row r="6134" spans="1:21" x14ac:dyDescent="0.25">
      <c r="A6134">
        <v>6704177</v>
      </c>
      <c r="B6134">
        <v>30</v>
      </c>
      <c r="C6134" s="1">
        <f>2.14640782303923*(10.3/7.3)</f>
        <v>3.0284932297676792</v>
      </c>
      <c r="D6134" s="1">
        <f>5.09337030789582*(10.3/7.3)</f>
        <v>7.1865361878530116</v>
      </c>
      <c r="E6134" s="1">
        <f>17.2445592931082*(10.3/7.3)</f>
        <v>24.331364482056735</v>
      </c>
      <c r="F6134" s="1">
        <f>53.7128121461702*(38.9/42.5)</f>
        <v>49.163020999671112</v>
      </c>
      <c r="G6134" s="1">
        <v>3.0236072035629302</v>
      </c>
      <c r="H6134" s="1">
        <v>10.175343320762938</v>
      </c>
      <c r="I6134" s="1">
        <v>38.549540778401294</v>
      </c>
      <c r="J6134" s="1">
        <v>3.0609623263821877E-2</v>
      </c>
      <c r="K6134" s="1">
        <v>2.3217296340332387</v>
      </c>
      <c r="L6134" s="1">
        <v>2.4096079846901173</v>
      </c>
      <c r="M6134" s="1">
        <v>0.21515738104972085</v>
      </c>
      <c r="N6134" s="1">
        <v>1.32102708065136</v>
      </c>
      <c r="O6134" s="1">
        <v>0.17039644444444449</v>
      </c>
      <c r="P6134" s="1">
        <v>0.1015358491828478</v>
      </c>
      <c r="Q6134" s="1">
        <v>4.8322489554658752</v>
      </c>
      <c r="R6134" s="2">
        <f t="shared" si="383"/>
        <v>140.29015515754156</v>
      </c>
      <c r="S6134" s="2">
        <f t="shared" si="382"/>
        <v>2.4538751064799085</v>
      </c>
      <c r="T6134" s="2">
        <f t="shared" si="384"/>
        <v>4.1161888908356419</v>
      </c>
      <c r="U6134" s="2">
        <f t="shared" si="385"/>
        <v>146.86021915485711</v>
      </c>
    </row>
    <row r="6135" spans="1:21" x14ac:dyDescent="0.25">
      <c r="A6135">
        <v>6704265</v>
      </c>
      <c r="B6135">
        <v>8</v>
      </c>
      <c r="C6135" s="1">
        <f>2.47782311634831*(10.3/7.3)</f>
        <v>3.496106588820219</v>
      </c>
      <c r="D6135" s="1">
        <f>5.12233724080908*(10.3/7.3)</f>
        <v>7.2274073397717222</v>
      </c>
      <c r="E6135" s="1">
        <f>17.4187507113982*(10.3/7.3)</f>
        <v>24.577141414712546</v>
      </c>
      <c r="F6135" s="1">
        <f>53.5409137175335*(38.9/42.5)</f>
        <v>49.00568337910709</v>
      </c>
      <c r="G6135" s="1">
        <v>2.9703263240901556</v>
      </c>
      <c r="H6135" s="1">
        <v>9.678786432346266</v>
      </c>
      <c r="I6135" s="1">
        <v>39.040300094006511</v>
      </c>
      <c r="J6135" s="1">
        <v>3.3827881153484146E-2</v>
      </c>
      <c r="K6135" s="1">
        <v>2.1295404262067428</v>
      </c>
      <c r="L6135" s="1">
        <v>2.1493924102627413</v>
      </c>
      <c r="M6135" s="1">
        <v>0.16970811548310977</v>
      </c>
      <c r="N6135" s="1">
        <v>1.4562979602518835</v>
      </c>
      <c r="O6135" s="1">
        <v>0.14498666666666665</v>
      </c>
      <c r="P6135" s="1">
        <v>9.2593390646918433E-2</v>
      </c>
      <c r="Q6135" s="1">
        <v>4.7470968649842717</v>
      </c>
      <c r="R6135" s="2">
        <f t="shared" si="383"/>
        <v>140.74284843783875</v>
      </c>
      <c r="S6135" s="2">
        <f t="shared" si="382"/>
        <v>2.2559616980071451</v>
      </c>
      <c r="T6135" s="2">
        <f t="shared" si="384"/>
        <v>3.9203851526644011</v>
      </c>
      <c r="U6135" s="2">
        <f t="shared" si="385"/>
        <v>146.91919528851031</v>
      </c>
    </row>
    <row r="6136" spans="1:21" x14ac:dyDescent="0.25">
      <c r="A6136">
        <v>6704377</v>
      </c>
      <c r="B6136">
        <v>5</v>
      </c>
      <c r="C6136" s="1">
        <f>3.24360881591631*(10.3/7.3)</f>
        <v>4.5765987402654815</v>
      </c>
      <c r="D6136" s="1">
        <f>5.25105153118617*(10.3/7.3)</f>
        <v>7.4090179138654122</v>
      </c>
      <c r="E6136" s="1">
        <f>18.2542621029081*(10.3/7.3)</f>
        <v>25.756013652048448</v>
      </c>
      <c r="F6136" s="1">
        <f>42.6831352598957*(38.9/42.5)</f>
        <v>39.067622626116304</v>
      </c>
      <c r="G6136" s="1">
        <v>1.9310943488860655</v>
      </c>
      <c r="H6136" s="1">
        <v>8.2465561377502361</v>
      </c>
      <c r="I6136" s="1">
        <v>30.555031757599899</v>
      </c>
      <c r="J6136" s="1">
        <v>2.5649318071633603E-2</v>
      </c>
      <c r="K6136" s="1">
        <v>1.7659283325604858</v>
      </c>
      <c r="L6136" s="1">
        <v>1.5723300851235895</v>
      </c>
      <c r="M6136" s="1">
        <v>0.11629589618293543</v>
      </c>
      <c r="N6136" s="1">
        <v>1.171049769984988</v>
      </c>
      <c r="O6136" s="1">
        <v>0.103936</v>
      </c>
      <c r="P6136" s="1">
        <v>7.4533586066385438E-2</v>
      </c>
      <c r="Q6136" s="1">
        <v>3.0862238452517063</v>
      </c>
      <c r="R6136" s="2">
        <f t="shared" si="383"/>
        <v>120.62815902178355</v>
      </c>
      <c r="S6136" s="2">
        <f t="shared" si="382"/>
        <v>1.8661112366985046</v>
      </c>
      <c r="T6136" s="2">
        <f t="shared" si="384"/>
        <v>2.9636117512915128</v>
      </c>
      <c r="U6136" s="2">
        <f t="shared" si="385"/>
        <v>125.45788200977356</v>
      </c>
    </row>
    <row r="6137" spans="1:21" x14ac:dyDescent="0.25">
      <c r="A6137">
        <v>6704385</v>
      </c>
      <c r="B6137">
        <v>21</v>
      </c>
      <c r="C6137" s="1">
        <f>3.85817686700688*(10.3/7.3)</f>
        <v>5.443729004133</v>
      </c>
      <c r="D6137" s="1">
        <f>5.89027232471186*(10.3/7.3)</f>
        <v>8.310932184182489</v>
      </c>
      <c r="E6137" s="1">
        <f>20.5469838824712*(10.3/7.3)</f>
        <v>28.990949861568989</v>
      </c>
      <c r="F6137" s="1">
        <f>46.6682141050365*(38.9/42.5)</f>
        <v>42.715141851433444</v>
      </c>
      <c r="G6137" s="1">
        <v>2.0418227280421064</v>
      </c>
      <c r="H6137" s="1">
        <v>7.2965746247621883</v>
      </c>
      <c r="I6137" s="1">
        <v>33.665159637479277</v>
      </c>
      <c r="J6137" s="1">
        <v>2.5883947033675598E-2</v>
      </c>
      <c r="K6137" s="1">
        <v>1.7816448580380011</v>
      </c>
      <c r="L6137" s="1">
        <v>1.6028751974589146</v>
      </c>
      <c r="M6137" s="1">
        <v>0.11737100306690076</v>
      </c>
      <c r="N6137" s="1">
        <v>1.2801147140706943</v>
      </c>
      <c r="O6137" s="1">
        <v>0.10582095238095235</v>
      </c>
      <c r="P6137" s="1">
        <v>7.5251575492122955E-2</v>
      </c>
      <c r="Q6137" s="1">
        <v>3.2631870082864745</v>
      </c>
      <c r="R6137" s="2">
        <f t="shared" si="383"/>
        <v>131.72749689988797</v>
      </c>
      <c r="S6137" s="2">
        <f t="shared" si="382"/>
        <v>1.8827803805637997</v>
      </c>
      <c r="T6137" s="2">
        <f t="shared" si="384"/>
        <v>3.1061818669774621</v>
      </c>
      <c r="U6137" s="2">
        <f t="shared" si="385"/>
        <v>136.71645914742922</v>
      </c>
    </row>
    <row r="6138" spans="1:21" x14ac:dyDescent="0.25">
      <c r="A6138">
        <v>6704393</v>
      </c>
      <c r="B6138">
        <v>31</v>
      </c>
      <c r="C6138" s="1">
        <f>4.75502600722397*(10.3/7.3)</f>
        <v>6.7091462841653273</v>
      </c>
      <c r="D6138" s="1">
        <f>6.5215056587235*(10.3/7.3)</f>
        <v>9.2015764773769888</v>
      </c>
      <c r="E6138" s="1">
        <f>22.8965944844491*(10.3/7.3)</f>
        <v>32.306153861619904</v>
      </c>
      <c r="F6138" s="1">
        <f>49.3752202900267*(38.9/42.5)</f>
        <v>45.192848688989137</v>
      </c>
      <c r="G6138" s="1">
        <v>2.0188408438961911</v>
      </c>
      <c r="H6138" s="1">
        <v>7.2585514223700818</v>
      </c>
      <c r="I6138" s="1">
        <v>36.265838905731577</v>
      </c>
      <c r="J6138" s="1">
        <v>2.8280268654157652E-2</v>
      </c>
      <c r="K6138" s="1">
        <v>1.8027363345714451</v>
      </c>
      <c r="L6138" s="1">
        <v>1.6396325140502681</v>
      </c>
      <c r="M6138" s="1">
        <v>0.11829502625613238</v>
      </c>
      <c r="N6138" s="1">
        <v>1.1880906413040162</v>
      </c>
      <c r="O6138" s="1">
        <v>0.10720516129032255</v>
      </c>
      <c r="P6138" s="1">
        <v>7.5842348932584513E-2</v>
      </c>
      <c r="Q6138" s="1">
        <v>3.2264579696971132</v>
      </c>
      <c r="R6138" s="2">
        <f t="shared" si="383"/>
        <v>142.17941445384631</v>
      </c>
      <c r="S6138" s="2">
        <f t="shared" si="382"/>
        <v>1.9068589521581873</v>
      </c>
      <c r="T6138" s="2">
        <f t="shared" si="384"/>
        <v>3.0532233429007394</v>
      </c>
      <c r="U6138" s="2">
        <f t="shared" si="385"/>
        <v>147.13949674890523</v>
      </c>
    </row>
    <row r="6139" spans="1:21" x14ac:dyDescent="0.25">
      <c r="A6139">
        <v>6715925</v>
      </c>
      <c r="B6139">
        <v>29</v>
      </c>
      <c r="C6139" s="1">
        <f>0.457188177623032*(10.3/7.3)</f>
        <v>0.64507373007085345</v>
      </c>
      <c r="D6139" s="1">
        <f>0.949628486128506*(10.3/7.3)</f>
        <v>1.3398867680991249</v>
      </c>
      <c r="E6139" s="1">
        <f>3.20819161577908*(10.3/7.3)</f>
        <v>4.5266265263732164</v>
      </c>
      <c r="F6139" s="1">
        <f>10.9251205603569*(38.9/42.5)</f>
        <v>9.9996985834796099</v>
      </c>
      <c r="G6139" s="1">
        <v>0.63675847683274422</v>
      </c>
      <c r="H6139" s="1">
        <v>2.9759069546381807</v>
      </c>
      <c r="I6139" s="1">
        <v>8.1347291748694328</v>
      </c>
      <c r="J6139" s="1">
        <v>2.4235131418038191E-2</v>
      </c>
      <c r="K6139" s="1">
        <v>2.3941808564599656</v>
      </c>
      <c r="L6139" s="1">
        <v>1.45379442377802</v>
      </c>
      <c r="M6139" s="1">
        <v>0.2531351275759901</v>
      </c>
      <c r="N6139" s="1">
        <v>0.96489745166009444</v>
      </c>
      <c r="O6139" s="1">
        <v>0.24644045977011492</v>
      </c>
      <c r="P6139" s="1">
        <v>0.10209792088121115</v>
      </c>
      <c r="Q6139" s="1">
        <v>1.0176505337509625</v>
      </c>
      <c r="R6139" s="2">
        <f t="shared" si="383"/>
        <v>29.276330748114123</v>
      </c>
      <c r="S6139" s="2">
        <f t="shared" si="382"/>
        <v>2.5205139087592148</v>
      </c>
      <c r="T6139" s="2">
        <f t="shared" si="384"/>
        <v>2.9182674627842196</v>
      </c>
      <c r="U6139" s="2">
        <f t="shared" si="385"/>
        <v>34.715112119657562</v>
      </c>
    </row>
    <row r="6140" spans="1:21" x14ac:dyDescent="0.25">
      <c r="A6140">
        <v>6716373</v>
      </c>
      <c r="B6140">
        <v>63</v>
      </c>
      <c r="C6140" s="1">
        <f>1.66541609638027*(10.3/7.3)</f>
        <v>2.3498336702351716</v>
      </c>
      <c r="D6140" s="1">
        <f>3.23144702597852*(10.3/7.3)</f>
        <v>4.5594389544628413</v>
      </c>
      <c r="E6140" s="1">
        <f>11.0189580114443*(10.3/7.3)</f>
        <v>15.547296920256969</v>
      </c>
      <c r="F6140" s="1">
        <f>33.3384654429713*(38.9/42.5)</f>
        <v>30.514501311331422</v>
      </c>
      <c r="G6140" s="1">
        <v>1.8267559795521218</v>
      </c>
      <c r="H6140" s="1">
        <v>6.659201385369526</v>
      </c>
      <c r="I6140" s="1">
        <v>24.458407652116335</v>
      </c>
      <c r="J6140" s="1">
        <v>2.4533665304711894E-2</v>
      </c>
      <c r="K6140" s="1">
        <v>2.0064963127211177</v>
      </c>
      <c r="L6140" s="1">
        <v>2.0101427055940269</v>
      </c>
      <c r="M6140" s="1">
        <v>0.190991693921304</v>
      </c>
      <c r="N6140" s="1">
        <v>1.0904812012302014</v>
      </c>
      <c r="O6140" s="1">
        <v>0.15014433862433862</v>
      </c>
      <c r="P6140" s="1">
        <v>8.8814391202078721E-2</v>
      </c>
      <c r="Q6140" s="1">
        <v>2.9194730266814766</v>
      </c>
      <c r="R6140" s="2">
        <f t="shared" si="383"/>
        <v>88.834908900005857</v>
      </c>
      <c r="S6140" s="2">
        <f t="shared" si="382"/>
        <v>2.1198443692279083</v>
      </c>
      <c r="T6140" s="2">
        <f t="shared" si="384"/>
        <v>3.441759939369871</v>
      </c>
      <c r="U6140" s="2">
        <f t="shared" si="385"/>
        <v>94.396513208603636</v>
      </c>
    </row>
    <row r="6141" spans="1:21" x14ac:dyDescent="0.25">
      <c r="A6141">
        <v>6716381</v>
      </c>
      <c r="B6141">
        <v>64</v>
      </c>
      <c r="C6141" s="1">
        <f>2.55571405780839*(10.3/7.3)</f>
        <v>3.6060075062228036</v>
      </c>
      <c r="D6141" s="1">
        <f>5.10280187782361*(10.3/7.3)</f>
        <v>7.1998437454223554</v>
      </c>
      <c r="E6141" s="1">
        <f>17.3932530100166*(10.3/7.3)</f>
        <v>24.541165205913842</v>
      </c>
      <c r="F6141" s="1">
        <f>52.2315246868056*(38.9/42.5)</f>
        <v>47.807207301570287</v>
      </c>
      <c r="G6141" s="1">
        <v>2.8559398580379409</v>
      </c>
      <c r="H6141" s="1">
        <v>7.9719508569921578</v>
      </c>
      <c r="I6141" s="1">
        <v>38.086067661883312</v>
      </c>
      <c r="J6141" s="1">
        <v>3.1961932301247359E-2</v>
      </c>
      <c r="K6141" s="1">
        <v>2.4673730576172939</v>
      </c>
      <c r="L6141" s="1">
        <v>2.6178202250358988</v>
      </c>
      <c r="M6141" s="1">
        <v>0.23719203039465861</v>
      </c>
      <c r="N6141" s="1">
        <v>1.3604549529147789</v>
      </c>
      <c r="O6141" s="1">
        <v>0.18829333333333334</v>
      </c>
      <c r="P6141" s="1">
        <v>0.10680818593038224</v>
      </c>
      <c r="Q6141" s="1">
        <v>4.5642874443528774</v>
      </c>
      <c r="R6141" s="2">
        <f t="shared" si="383"/>
        <v>136.63246958039556</v>
      </c>
      <c r="S6141" s="2">
        <f t="shared" si="382"/>
        <v>2.6061431758489233</v>
      </c>
      <c r="T6141" s="2">
        <f t="shared" si="384"/>
        <v>4.4037605416786691</v>
      </c>
      <c r="U6141" s="2">
        <f t="shared" si="385"/>
        <v>143.64237329792317</v>
      </c>
    </row>
    <row r="6142" spans="1:21" x14ac:dyDescent="0.25">
      <c r="A6142">
        <v>6716389</v>
      </c>
      <c r="B6142">
        <v>64</v>
      </c>
      <c r="C6142" s="1">
        <f>2.76430694498154*(10.3/7.3)</f>
        <v>3.9003234977136825</v>
      </c>
      <c r="D6142" s="1">
        <f>5.71555617568889*(10.3/7.3)</f>
        <v>8.0644148780267866</v>
      </c>
      <c r="E6142" s="1">
        <f>19.4623860949716*(10.3/7.3)</f>
        <v>27.460626955918887</v>
      </c>
      <c r="F6142" s="1">
        <f>58.458702967407*(38.9/42.5)</f>
        <v>53.506906951344277</v>
      </c>
      <c r="G6142" s="1">
        <v>3.2040951768868844</v>
      </c>
      <c r="H6142" s="1">
        <v>8.375093663089789</v>
      </c>
      <c r="I6142" s="1">
        <v>42.402700093054229</v>
      </c>
      <c r="J6142" s="1">
        <v>3.4773585190874194E-2</v>
      </c>
      <c r="K6142" s="1">
        <v>2.5547672141375117</v>
      </c>
      <c r="L6142" s="1">
        <v>2.7334888754090163</v>
      </c>
      <c r="M6142" s="1">
        <v>0.24410150937391392</v>
      </c>
      <c r="N6142" s="1">
        <v>1.4206857495005436</v>
      </c>
      <c r="O6142" s="1">
        <v>0.19437166666666664</v>
      </c>
      <c r="P6142" s="1">
        <v>0.10981620080490599</v>
      </c>
      <c r="Q6142" s="1">
        <v>5.120700054385436</v>
      </c>
      <c r="R6142" s="2">
        <f t="shared" si="383"/>
        <v>152.03486127041995</v>
      </c>
      <c r="S6142" s="2">
        <f t="shared" si="382"/>
        <v>2.6993570001332921</v>
      </c>
      <c r="T6142" s="2">
        <f t="shared" si="384"/>
        <v>4.5926478009501412</v>
      </c>
      <c r="U6142" s="2">
        <f t="shared" si="385"/>
        <v>159.32686607150339</v>
      </c>
    </row>
    <row r="6143" spans="1:21" x14ac:dyDescent="0.25">
      <c r="A6143">
        <v>6716397</v>
      </c>
      <c r="B6143">
        <v>58</v>
      </c>
      <c r="C6143" s="1">
        <f>1.92831604824271*(10.3/7.3)</f>
        <v>2.7207746982054664</v>
      </c>
      <c r="D6143" s="1">
        <f>4.07149572944736*(10.3/7.3)</f>
        <v>5.7447131525079138</v>
      </c>
      <c r="E6143" s="1">
        <f>13.8557318249872*(10.3/7.3)</f>
        <v>19.549868191420305</v>
      </c>
      <c r="F6143" s="1">
        <f>41.6376495780642*(38.9/42.5)</f>
        <v>38.110695731451663</v>
      </c>
      <c r="G6143" s="1">
        <v>2.2857337276365315</v>
      </c>
      <c r="H6143" s="1">
        <v>6.8248519445520293</v>
      </c>
      <c r="I6143" s="1">
        <v>30.110767056215856</v>
      </c>
      <c r="J6143" s="1">
        <v>2.7474890645359878E-2</v>
      </c>
      <c r="K6143" s="1">
        <v>2.1469301952057207</v>
      </c>
      <c r="L6143" s="1">
        <v>2.1769545672720381</v>
      </c>
      <c r="M6143" s="1">
        <v>0.20111675737243553</v>
      </c>
      <c r="N6143" s="1">
        <v>1.2231982411601439</v>
      </c>
      <c r="O6143" s="1">
        <v>0.15861701149425284</v>
      </c>
      <c r="P6143" s="1">
        <v>9.4389944602846831E-2</v>
      </c>
      <c r="Q6143" s="1">
        <v>3.6529991080949178</v>
      </c>
      <c r="R6143" s="2">
        <f t="shared" si="383"/>
        <v>109.00040361008467</v>
      </c>
      <c r="S6143" s="2">
        <f t="shared" si="382"/>
        <v>2.2687950304539273</v>
      </c>
      <c r="T6143" s="2">
        <f t="shared" si="384"/>
        <v>3.7598865772988703</v>
      </c>
      <c r="U6143" s="2">
        <f t="shared" si="385"/>
        <v>115.02908521783748</v>
      </c>
    </row>
    <row r="6144" spans="1:21" x14ac:dyDescent="0.25">
      <c r="A6144">
        <v>6716405</v>
      </c>
      <c r="B6144">
        <v>60</v>
      </c>
      <c r="C6144" s="1">
        <f>2.27835526042302*(10.3/7.3)</f>
        <v>3.2146656414187857</v>
      </c>
      <c r="D6144" s="1">
        <f>5.12838050800287*(10.3/7.3)</f>
        <v>7.2359341414287011</v>
      </c>
      <c r="E6144" s="1">
        <f>17.4049112237586*(10.3/7.3)</f>
        <v>24.557614466399176</v>
      </c>
      <c r="F6144" s="1">
        <f>53.2343328541058*(38.9/42.5)</f>
        <v>48.725071718228634</v>
      </c>
      <c r="G6144" s="1">
        <v>2.960714485621748</v>
      </c>
      <c r="H6144" s="1">
        <v>8.0145552644655336</v>
      </c>
      <c r="I6144" s="1">
        <v>38.307290150149548</v>
      </c>
      <c r="J6144" s="1">
        <v>3.1354729843589425E-2</v>
      </c>
      <c r="K6144" s="1">
        <v>2.3756732457047725</v>
      </c>
      <c r="L6144" s="1">
        <v>2.4731468222517856</v>
      </c>
      <c r="M6144" s="1">
        <v>0.22094333886677087</v>
      </c>
      <c r="N6144" s="1">
        <v>1.345581144970821</v>
      </c>
      <c r="O6144" s="1">
        <v>0.1747137777777778</v>
      </c>
      <c r="P6144" s="1">
        <v>0.10337223678651949</v>
      </c>
      <c r="Q6144" s="1">
        <v>4.731735479304171</v>
      </c>
      <c r="R6144" s="2">
        <f t="shared" si="383"/>
        <v>137.74758134701631</v>
      </c>
      <c r="S6144" s="2">
        <f t="shared" si="382"/>
        <v>2.5104002123348814</v>
      </c>
      <c r="T6144" s="2">
        <f t="shared" si="384"/>
        <v>4.214385083867155</v>
      </c>
      <c r="U6144" s="2">
        <f t="shared" si="385"/>
        <v>144.47236664321832</v>
      </c>
    </row>
    <row r="6145" spans="1:21" x14ac:dyDescent="0.25">
      <c r="A6145">
        <v>6716413</v>
      </c>
      <c r="B6145">
        <v>4</v>
      </c>
      <c r="C6145" s="1">
        <f>1.93679348333665*(10.3/7.3)</f>
        <v>2.7327360107352798</v>
      </c>
      <c r="D6145" s="1">
        <f>4.98603965108828*(10.3/7.3)</f>
        <v>7.0350970419464725</v>
      </c>
      <c r="E6145" s="1">
        <f>16.7594991852564*(10.3/7.3)</f>
        <v>23.646964603854926</v>
      </c>
      <c r="F6145" s="1">
        <f>56.8244295851487*(38.9/42.5)</f>
        <v>52.011066137936062</v>
      </c>
      <c r="G6145" s="1">
        <v>3.3398232773058676</v>
      </c>
      <c r="H6145" s="1">
        <v>12.369834206625352</v>
      </c>
      <c r="I6145" s="1">
        <v>41.205571129741138</v>
      </c>
      <c r="J6145" s="1">
        <v>2.8618287740559294E-2</v>
      </c>
      <c r="K6145" s="1">
        <v>2.1756515792873441</v>
      </c>
      <c r="L6145" s="1">
        <v>2.2316047645437234</v>
      </c>
      <c r="M6145" s="1">
        <v>0.19704580050161635</v>
      </c>
      <c r="N6145" s="1">
        <v>1.2393204304054422</v>
      </c>
      <c r="O6145" s="1">
        <v>0.15893333333333332</v>
      </c>
      <c r="P6145" s="1">
        <v>9.5399254601649025E-2</v>
      </c>
      <c r="Q6145" s="1">
        <v>5.3376171098495657</v>
      </c>
      <c r="R6145" s="2">
        <f t="shared" si="383"/>
        <v>147.67870951799466</v>
      </c>
      <c r="S6145" s="2">
        <f t="shared" si="382"/>
        <v>2.2996691216295524</v>
      </c>
      <c r="T6145" s="2">
        <f t="shared" si="384"/>
        <v>3.8269043287841149</v>
      </c>
      <c r="U6145" s="2">
        <f t="shared" si="385"/>
        <v>153.80528296840833</v>
      </c>
    </row>
    <row r="6146" spans="1:21" x14ac:dyDescent="0.25">
      <c r="A6146">
        <v>6716501</v>
      </c>
      <c r="B6146">
        <v>17</v>
      </c>
      <c r="C6146" s="1">
        <f>2.5736679395831*(10.3/7.3)</f>
        <v>3.631339695576159</v>
      </c>
      <c r="D6146" s="1">
        <f>5.29874821239385*(10.3/7.3)</f>
        <v>7.4763159709118705</v>
      </c>
      <c r="E6146" s="1">
        <f>18.0295184842147*(10.3/7.3)</f>
        <v>25.438909642111152</v>
      </c>
      <c r="F6146" s="1">
        <f>54.9635179248597*(38.9/42.5)</f>
        <v>50.307784641812788</v>
      </c>
      <c r="G6146" s="1">
        <v>3.0354369967684782</v>
      </c>
      <c r="H6146" s="1">
        <v>10.461379373596461</v>
      </c>
      <c r="I6146" s="1">
        <v>40.027680950054958</v>
      </c>
      <c r="J6146" s="1">
        <v>3.3486864851525341E-2</v>
      </c>
      <c r="K6146" s="1">
        <v>2.1576864093539707</v>
      </c>
      <c r="L6146" s="1">
        <v>2.1846033147506367</v>
      </c>
      <c r="M6146" s="1">
        <v>0.17139918114394495</v>
      </c>
      <c r="N6146" s="1">
        <v>1.4473470914257689</v>
      </c>
      <c r="O6146" s="1">
        <v>0.14662274509803924</v>
      </c>
      <c r="P6146" s="1">
        <v>9.3490168154003378E-2</v>
      </c>
      <c r="Q6146" s="1">
        <v>4.8511550176665237</v>
      </c>
      <c r="R6146" s="2">
        <f t="shared" si="383"/>
        <v>145.23000228849838</v>
      </c>
      <c r="S6146" s="2">
        <f t="shared" si="382"/>
        <v>2.2846634423594994</v>
      </c>
      <c r="T6146" s="2">
        <f t="shared" si="384"/>
        <v>3.9499723324183895</v>
      </c>
      <c r="U6146" s="2">
        <f t="shared" si="385"/>
        <v>151.46463806327625</v>
      </c>
    </row>
    <row r="6147" spans="1:21" x14ac:dyDescent="0.25">
      <c r="A6147">
        <v>6716533</v>
      </c>
      <c r="B6147">
        <v>5</v>
      </c>
      <c r="C6147" s="1">
        <f>2.73427325342782*(10.3/7.3)</f>
        <v>3.8579471931926776</v>
      </c>
      <c r="D6147" s="1">
        <f>5.34819585044441*(10.3/7.3)</f>
        <v>7.5460845561064964</v>
      </c>
      <c r="E6147" s="1">
        <f>18.3061380161849*(10.3/7.3)</f>
        <v>25.829208433795085</v>
      </c>
      <c r="F6147" s="1">
        <f>51.5980596316875*(38.9/42.5)</f>
        <v>47.227400462885726</v>
      </c>
      <c r="G6147" s="1">
        <v>2.7177808566109589</v>
      </c>
      <c r="H6147" s="1">
        <v>11.503525926411184</v>
      </c>
      <c r="I6147" s="1">
        <v>37.201227176878227</v>
      </c>
      <c r="J6147" s="1">
        <v>2.8753645940414557E-2</v>
      </c>
      <c r="K6147" s="1">
        <v>1.93175696869053</v>
      </c>
      <c r="L6147" s="1">
        <v>1.8857453466917959</v>
      </c>
      <c r="M6147" s="1">
        <v>0.14719137591780332</v>
      </c>
      <c r="N6147" s="1">
        <v>1.254050196997941</v>
      </c>
      <c r="O6147" s="1">
        <v>0.12729599999999999</v>
      </c>
      <c r="P6147" s="1">
        <v>8.3903166777496846E-2</v>
      </c>
      <c r="Q6147" s="1">
        <v>4.3434853872777932</v>
      </c>
      <c r="R6147" s="2">
        <f t="shared" si="383"/>
        <v>140.22665999315814</v>
      </c>
      <c r="S6147" s="2">
        <f t="shared" si="382"/>
        <v>2.0444137814084415</v>
      </c>
      <c r="T6147" s="2">
        <f t="shared" si="384"/>
        <v>3.4142829196075399</v>
      </c>
      <c r="U6147" s="2">
        <f t="shared" si="385"/>
        <v>145.68535669417412</v>
      </c>
    </row>
    <row r="6148" spans="1:21" x14ac:dyDescent="0.25">
      <c r="A6148">
        <v>6716541</v>
      </c>
      <c r="B6148">
        <v>9</v>
      </c>
      <c r="C6148" s="1">
        <f>2.28517711397997*(10.3/7.3)</f>
        <v>3.2242909964374902</v>
      </c>
      <c r="D6148" s="1">
        <f>4.34673729334977*(10.3/7.3)</f>
        <v>6.1330676878770722</v>
      </c>
      <c r="E6148" s="1">
        <f>14.9331887326473*(10.3/7.3)</f>
        <v>21.070115609077703</v>
      </c>
      <c r="F6148" s="1">
        <f>39.907833231492*(38.9/42.5)</f>
        <v>36.527405004824409</v>
      </c>
      <c r="G6148" s="1">
        <v>2.0287089019146682</v>
      </c>
      <c r="H6148" s="1">
        <v>7.5493591762061083</v>
      </c>
      <c r="I6148" s="1">
        <v>28.542849017694046</v>
      </c>
      <c r="J6148" s="1">
        <v>2.6764243432196935E-2</v>
      </c>
      <c r="K6148" s="1">
        <v>1.8191661218976896</v>
      </c>
      <c r="L6148" s="1">
        <v>1.7205139130909737</v>
      </c>
      <c r="M6148" s="1">
        <v>0.13725899449370738</v>
      </c>
      <c r="N6148" s="1">
        <v>1.2093750631126401</v>
      </c>
      <c r="O6148" s="1">
        <v>0.11731555555555556</v>
      </c>
      <c r="P6148" s="1">
        <v>7.9242042113822728E-2</v>
      </c>
      <c r="Q6148" s="1">
        <v>3.2422288386764135</v>
      </c>
      <c r="R6148" s="2">
        <f t="shared" si="383"/>
        <v>108.31802523270791</v>
      </c>
      <c r="S6148" s="2">
        <f t="shared" si="382"/>
        <v>1.9251724074437091</v>
      </c>
      <c r="T6148" s="2">
        <f t="shared" si="384"/>
        <v>3.1844635262528764</v>
      </c>
      <c r="U6148" s="2">
        <f t="shared" si="385"/>
        <v>113.42766116640449</v>
      </c>
    </row>
    <row r="6149" spans="1:21" x14ac:dyDescent="0.25">
      <c r="A6149">
        <v>6716549</v>
      </c>
      <c r="B6149">
        <v>26</v>
      </c>
      <c r="C6149" s="1">
        <f>2.32781646462621*(10.3/7.3)</f>
        <v>3.2844533678972487</v>
      </c>
      <c r="D6149" s="1">
        <f>4.42305633327467*(10.3/7.3)</f>
        <v>6.2407507168122009</v>
      </c>
      <c r="E6149" s="1">
        <f>15.2117488833751*(10.3/7.3)</f>
        <v>21.463152534077256</v>
      </c>
      <c r="F6149" s="1">
        <f>39.8405284266382*(38.9/42.5)</f>
        <v>36.465801312852356</v>
      </c>
      <c r="G6149" s="1">
        <v>1.9980794059247082</v>
      </c>
      <c r="H6149" s="1">
        <v>7.3281045071178301</v>
      </c>
      <c r="I6149" s="1">
        <v>28.356357427527122</v>
      </c>
      <c r="J6149" s="1">
        <v>2.6366288946487897E-2</v>
      </c>
      <c r="K6149" s="1">
        <v>1.8175957290497813</v>
      </c>
      <c r="L6149" s="1">
        <v>1.7103175108211475</v>
      </c>
      <c r="M6149" s="1">
        <v>0.13329611596883695</v>
      </c>
      <c r="N6149" s="1">
        <v>1.221703902345137</v>
      </c>
      <c r="O6149" s="1">
        <v>0.11664410256410257</v>
      </c>
      <c r="P6149" s="1">
        <v>7.8991249586290876E-2</v>
      </c>
      <c r="Q6149" s="1">
        <v>3.1932775893773901</v>
      </c>
      <c r="R6149" s="2">
        <f t="shared" si="383"/>
        <v>108.3299768615861</v>
      </c>
      <c r="S6149" s="2">
        <f t="shared" si="382"/>
        <v>1.92295326758256</v>
      </c>
      <c r="T6149" s="2">
        <f t="shared" si="384"/>
        <v>3.1819616316992239</v>
      </c>
      <c r="U6149" s="2">
        <f t="shared" si="385"/>
        <v>113.43489176086788</v>
      </c>
    </row>
    <row r="6150" spans="1:21" x14ac:dyDescent="0.25">
      <c r="A6150">
        <v>6716557</v>
      </c>
      <c r="B6150">
        <v>4</v>
      </c>
      <c r="C6150" s="1">
        <f>3.31986178232108*(10.3/7.3)</f>
        <v>4.6841885421790632</v>
      </c>
      <c r="D6150" s="1">
        <f>5.63134922719792*(10.3/7.3)</f>
        <v>7.9456023342655593</v>
      </c>
      <c r="E6150" s="1">
        <f>19.4130646729047*(10.3/7.3)</f>
        <v>27.39103645629018</v>
      </c>
      <c r="F6150" s="1">
        <f>52.0898141630775*(38.9/42.5)</f>
        <v>47.677500492793264</v>
      </c>
      <c r="G6150" s="1">
        <v>2.6284578181929321</v>
      </c>
      <c r="H6150" s="1">
        <v>9.1249571275757688</v>
      </c>
      <c r="I6150" s="1">
        <v>38.118983133687991</v>
      </c>
      <c r="J6150" s="1">
        <v>2.8117589697207526E-2</v>
      </c>
      <c r="K6150" s="1">
        <v>1.9258070758826715</v>
      </c>
      <c r="L6150" s="1">
        <v>1.8413631064454046</v>
      </c>
      <c r="M6150" s="1">
        <v>0.14218165689844173</v>
      </c>
      <c r="N6150" s="1">
        <v>1.3325231183081523</v>
      </c>
      <c r="O6150" s="1">
        <v>0.12462666666666666</v>
      </c>
      <c r="P6150" s="1">
        <v>8.3345747889775418E-2</v>
      </c>
      <c r="Q6150" s="1">
        <v>4.2007316729110835</v>
      </c>
      <c r="R6150" s="2">
        <f t="shared" si="383"/>
        <v>141.77145757789583</v>
      </c>
      <c r="S6150" s="2">
        <f t="shared" si="382"/>
        <v>2.0372704134696544</v>
      </c>
      <c r="T6150" s="2">
        <f t="shared" si="384"/>
        <v>3.4406945483186657</v>
      </c>
      <c r="U6150" s="2">
        <f t="shared" si="385"/>
        <v>147.24942253968416</v>
      </c>
    </row>
    <row r="6151" spans="1:21" x14ac:dyDescent="0.25">
      <c r="A6151">
        <v>6716613</v>
      </c>
      <c r="B6151">
        <v>48</v>
      </c>
      <c r="C6151" s="1">
        <f>3.76482011244312*(10.3/7.3)</f>
        <v>5.312006460022487</v>
      </c>
      <c r="D6151" s="1">
        <f>5.77542252067819*(10.3/7.3)</f>
        <v>8.148883830545941</v>
      </c>
      <c r="E6151" s="1">
        <f>20.104220629624*(10.3/7.3)</f>
        <v>28.366229107551668</v>
      </c>
      <c r="F6151" s="1">
        <f>47.6181443755727*(38.9/42.5)</f>
        <v>43.584607440230059</v>
      </c>
      <c r="G6151" s="1">
        <v>2.1635577799001076</v>
      </c>
      <c r="H6151" s="1">
        <v>6.9180376235016716</v>
      </c>
      <c r="I6151" s="1">
        <v>34.647543229478124</v>
      </c>
      <c r="J6151" s="1">
        <v>2.5446492932038572E-2</v>
      </c>
      <c r="K6151" s="1">
        <v>1.7579579239317669</v>
      </c>
      <c r="L6151" s="1">
        <v>1.5751429080552279</v>
      </c>
      <c r="M6151" s="1">
        <v>0.11618983745910488</v>
      </c>
      <c r="N6151" s="1">
        <v>1.1516793123407161</v>
      </c>
      <c r="O6151" s="1">
        <v>0.10431000000000001</v>
      </c>
      <c r="P6151" s="1">
        <v>7.4499479267063864E-2</v>
      </c>
      <c r="Q6151" s="1">
        <v>3.4577407441325962</v>
      </c>
      <c r="R6151" s="2">
        <f t="shared" si="383"/>
        <v>132.59860621536265</v>
      </c>
      <c r="S6151" s="2">
        <f t="shared" si="382"/>
        <v>1.8579038961308694</v>
      </c>
      <c r="T6151" s="2">
        <f t="shared" si="384"/>
        <v>2.9473220578550485</v>
      </c>
      <c r="U6151" s="2">
        <f t="shared" si="385"/>
        <v>137.40383216934856</v>
      </c>
    </row>
    <row r="6152" spans="1:21" x14ac:dyDescent="0.25">
      <c r="A6152">
        <v>6716621</v>
      </c>
      <c r="B6152">
        <v>10</v>
      </c>
      <c r="C6152" s="1">
        <f>5.13760584461629*(10.3/7.3)</f>
        <v>7.2489507122668133</v>
      </c>
      <c r="D6152" s="1">
        <f>7.00735629627313*(10.3/7.3)</f>
        <v>9.8870917604949629</v>
      </c>
      <c r="E6152" s="1">
        <f>24.5884706664926*(10.3/7.3)</f>
        <v>34.693321625325112</v>
      </c>
      <c r="F6152" s="1">
        <f>54.0132457953459*(38.9/42.5)</f>
        <v>49.438006151504872</v>
      </c>
      <c r="G6152" s="1">
        <v>2.2491165541365548</v>
      </c>
      <c r="H6152" s="1">
        <v>8.5804492864640327</v>
      </c>
      <c r="I6152" s="1">
        <v>39.896075672535858</v>
      </c>
      <c r="J6152" s="1">
        <v>2.7942345382034411E-2</v>
      </c>
      <c r="K6152" s="1">
        <v>1.8909066332666253</v>
      </c>
      <c r="L6152" s="1">
        <v>1.7420843532014676</v>
      </c>
      <c r="M6152" s="1">
        <v>0.12523359220673619</v>
      </c>
      <c r="N6152" s="1">
        <v>1.2462773858992526</v>
      </c>
      <c r="O6152" s="1">
        <v>0.11344533333333333</v>
      </c>
      <c r="P6152" s="1">
        <v>7.9577780705287843E-2</v>
      </c>
      <c r="Q6152" s="1">
        <v>3.594478511177146</v>
      </c>
      <c r="R6152" s="2">
        <f t="shared" si="383"/>
        <v>155.58749027390536</v>
      </c>
      <c r="S6152" s="2">
        <f t="shared" si="382"/>
        <v>1.9984267593539475</v>
      </c>
      <c r="T6152" s="2">
        <f t="shared" si="384"/>
        <v>3.2270406646407896</v>
      </c>
      <c r="U6152" s="2">
        <f t="shared" si="385"/>
        <v>160.81295769790009</v>
      </c>
    </row>
    <row r="6153" spans="1:21" x14ac:dyDescent="0.25">
      <c r="A6153">
        <v>6728153</v>
      </c>
      <c r="B6153">
        <v>33</v>
      </c>
      <c r="C6153" s="1">
        <f>0.377714603691757*(10.3/7.3)</f>
        <v>0.53293978329110858</v>
      </c>
      <c r="D6153" s="1">
        <f>0.733133284149918*(10.3/7.3)</f>
        <v>1.0344209351704319</v>
      </c>
      <c r="E6153" s="1">
        <f>2.49030898239308*(10.3/7.3)</f>
        <v>3.5137236326916104</v>
      </c>
      <c r="F6153" s="1">
        <f>8.02833791301101*(38.9/42.5)</f>
        <v>7.3482904662618465</v>
      </c>
      <c r="G6153" s="1">
        <v>0.4544005780394284</v>
      </c>
      <c r="H6153" s="1">
        <v>1.7570259187179456</v>
      </c>
      <c r="I6153" s="1">
        <v>5.968130635937217</v>
      </c>
      <c r="J6153" s="1">
        <v>2.0140816670399117E-2</v>
      </c>
      <c r="K6153" s="1">
        <v>2.1036902978247505</v>
      </c>
      <c r="L6153" s="1">
        <v>1.227270447533046</v>
      </c>
      <c r="M6153" s="1">
        <v>0.21636937378116103</v>
      </c>
      <c r="N6153" s="1">
        <v>0.73472203938913561</v>
      </c>
      <c r="O6153" s="1">
        <v>0.20561777777777784</v>
      </c>
      <c r="P6153" s="1">
        <v>9.1995145307470896E-2</v>
      </c>
      <c r="Q6153" s="1">
        <v>0.726210969469407</v>
      </c>
      <c r="R6153" s="2">
        <f t="shared" si="383"/>
        <v>21.335142919578992</v>
      </c>
      <c r="S6153" s="2">
        <f t="shared" ref="S6153:S6216" si="386">J6153+K6153+P6153</f>
        <v>2.2158262598026202</v>
      </c>
      <c r="T6153" s="2">
        <f t="shared" si="384"/>
        <v>2.3839796384811205</v>
      </c>
      <c r="U6153" s="2">
        <f t="shared" si="385"/>
        <v>25.934948817862733</v>
      </c>
    </row>
    <row r="6154" spans="1:21" x14ac:dyDescent="0.25">
      <c r="A6154">
        <v>6728601</v>
      </c>
      <c r="B6154">
        <v>67</v>
      </c>
      <c r="C6154" s="1">
        <f>1.53628877918461*(10.3/7.3)</f>
        <v>2.1676403322741788</v>
      </c>
      <c r="D6154" s="1">
        <f>3.05992088808836*(10.3/7.3)</f>
        <v>4.3174226229191905</v>
      </c>
      <c r="E6154" s="1">
        <f>10.4063919990489*(10.3/7.3)</f>
        <v>14.682991450712775</v>
      </c>
      <c r="F6154" s="1">
        <f>32.50055456851*(38.9/42.5)</f>
        <v>29.747566416824466</v>
      </c>
      <c r="G6154" s="1">
        <v>1.8136368153679161</v>
      </c>
      <c r="H6154" s="1">
        <v>7.9795338683052508</v>
      </c>
      <c r="I6154" s="1">
        <v>23.911470083121369</v>
      </c>
      <c r="J6154" s="1">
        <v>2.3051489402385921E-2</v>
      </c>
      <c r="K6154" s="1">
        <v>1.9090132111258469</v>
      </c>
      <c r="L6154" s="1">
        <v>1.8887565330335148</v>
      </c>
      <c r="M6154" s="1">
        <v>0.18201873559231624</v>
      </c>
      <c r="N6154" s="1">
        <v>1.02696163325585</v>
      </c>
      <c r="O6154" s="1">
        <v>0.14286407960198999</v>
      </c>
      <c r="P6154" s="1">
        <v>8.5118622173383895E-2</v>
      </c>
      <c r="Q6154" s="1">
        <v>2.8985063259304624</v>
      </c>
      <c r="R6154" s="2">
        <f t="shared" ref="R6154:R6217" si="387">C6154+D6154+E6154+F6154+G6154+H6154+I6154+Q6154</f>
        <v>87.518767915455612</v>
      </c>
      <c r="S6154" s="2">
        <f t="shared" si="386"/>
        <v>2.0171833227016167</v>
      </c>
      <c r="T6154" s="2">
        <f t="shared" ref="T6154:T6217" si="388">L6154+M6154+N6154+O6154</f>
        <v>3.2406009814836709</v>
      </c>
      <c r="U6154" s="2">
        <f t="shared" ref="U6154:U6217" si="389">R6154+S6154+T6154</f>
        <v>92.776552219640891</v>
      </c>
    </row>
    <row r="6155" spans="1:21" x14ac:dyDescent="0.25">
      <c r="A6155">
        <v>6728609</v>
      </c>
      <c r="B6155">
        <v>71</v>
      </c>
      <c r="C6155" s="1">
        <f>2.33618339744011*(10.3/7.3)</f>
        <v>3.2962587662511078</v>
      </c>
      <c r="D6155" s="1">
        <f>4.6741537941432*(10.3/7.3)</f>
        <v>6.595038915023971</v>
      </c>
      <c r="E6155" s="1">
        <f>15.9201402052176*(10.3/7.3)</f>
        <v>22.46266357722487</v>
      </c>
      <c r="F6155" s="1">
        <f>48.3786172664535*(38.9/42.5)</f>
        <v>44.280663803883343</v>
      </c>
      <c r="G6155" s="1">
        <v>2.6624408461745817</v>
      </c>
      <c r="H6155" s="1">
        <v>7.8103953791149729</v>
      </c>
      <c r="I6155" s="1">
        <v>35.358666185931689</v>
      </c>
      <c r="J6155" s="1">
        <v>2.9915542703320721E-2</v>
      </c>
      <c r="K6155" s="1">
        <v>2.3583702915513913</v>
      </c>
      <c r="L6155" s="1">
        <v>2.4653761005022079</v>
      </c>
      <c r="M6155" s="1">
        <v>0.22531300054619183</v>
      </c>
      <c r="N6155" s="1">
        <v>1.2884245449694007</v>
      </c>
      <c r="O6155" s="1">
        <v>0.18011042253521128</v>
      </c>
      <c r="P6155" s="1">
        <v>0.10254048405034277</v>
      </c>
      <c r="Q6155" s="1">
        <v>4.2550424482242217</v>
      </c>
      <c r="R6155" s="2">
        <f t="shared" si="387"/>
        <v>126.72116992182875</v>
      </c>
      <c r="S6155" s="2">
        <f t="shared" si="386"/>
        <v>2.490826318305055</v>
      </c>
      <c r="T6155" s="2">
        <f t="shared" si="388"/>
        <v>4.1592240685530122</v>
      </c>
      <c r="U6155" s="2">
        <f t="shared" si="389"/>
        <v>133.37122030868682</v>
      </c>
    </row>
    <row r="6156" spans="1:21" x14ac:dyDescent="0.25">
      <c r="A6156">
        <v>6728617</v>
      </c>
      <c r="B6156">
        <v>71</v>
      </c>
      <c r="C6156" s="1">
        <f>2.44907949055426*(10.3/7.3)</f>
        <v>3.4555505140697074</v>
      </c>
      <c r="D6156" s="1">
        <f>4.99095642726023*(10.3/7.3)</f>
        <v>7.0420344110658037</v>
      </c>
      <c r="E6156" s="1">
        <f>16.9973770010416*(10.3/7.3)</f>
        <v>23.982600426127146</v>
      </c>
      <c r="F6156" s="1">
        <f>51.2871006650925*(38.9/42.5)</f>
        <v>46.94278154993173</v>
      </c>
      <c r="G6156" s="1">
        <v>2.8152379093974669</v>
      </c>
      <c r="H6156" s="1">
        <v>7.8701492611147899</v>
      </c>
      <c r="I6156" s="1">
        <v>37.32078722378504</v>
      </c>
      <c r="J6156" s="1">
        <v>3.1335880456758072E-2</v>
      </c>
      <c r="K6156" s="1">
        <v>2.401110587863601</v>
      </c>
      <c r="L6156" s="1">
        <v>2.5242016000838388</v>
      </c>
      <c r="M6156" s="1">
        <v>0.22893394239223155</v>
      </c>
      <c r="N6156" s="1">
        <v>1.3184580643839559</v>
      </c>
      <c r="O6156" s="1">
        <v>0.18238046948356809</v>
      </c>
      <c r="P6156" s="1">
        <v>0.10396707910091142</v>
      </c>
      <c r="Q6156" s="1">
        <v>4.4992386679868241</v>
      </c>
      <c r="R6156" s="2">
        <f t="shared" si="387"/>
        <v>133.92837996347851</v>
      </c>
      <c r="S6156" s="2">
        <f t="shared" si="386"/>
        <v>2.5364135474212706</v>
      </c>
      <c r="T6156" s="2">
        <f t="shared" si="388"/>
        <v>4.253974076343594</v>
      </c>
      <c r="U6156" s="2">
        <f t="shared" si="389"/>
        <v>140.71876758724335</v>
      </c>
    </row>
    <row r="6157" spans="1:21" x14ac:dyDescent="0.25">
      <c r="A6157">
        <v>6728625</v>
      </c>
      <c r="B6157">
        <v>71</v>
      </c>
      <c r="C6157" s="1">
        <f>1.82095648205778*(10.3/7.3)</f>
        <v>2.5692947623554927</v>
      </c>
      <c r="D6157" s="1">
        <f>3.76675347371334*(10.3/7.3)</f>
        <v>5.3147343533215654</v>
      </c>
      <c r="E6157" s="1">
        <f>12.8253201733141*(10.3/7.3)</f>
        <v>18.095999696593868</v>
      </c>
      <c r="F6157" s="1">
        <f>38.5704518796749*(38.9/42.5)</f>
        <v>35.3033077204554</v>
      </c>
      <c r="G6157" s="1">
        <v>2.1154784382733727</v>
      </c>
      <c r="H6157" s="1">
        <v>6.3649002431367583</v>
      </c>
      <c r="I6157" s="1">
        <v>27.982879120671921</v>
      </c>
      <c r="J6157" s="1">
        <v>2.6428346376085605E-2</v>
      </c>
      <c r="K6157" s="1">
        <v>2.0890396102793449</v>
      </c>
      <c r="L6157" s="1">
        <v>2.0974797626900021</v>
      </c>
      <c r="M6157" s="1">
        <v>0.1962958500678379</v>
      </c>
      <c r="N6157" s="1">
        <v>1.1467418852308988</v>
      </c>
      <c r="O6157" s="1">
        <v>0.15431511737089199</v>
      </c>
      <c r="P6157" s="1">
        <v>9.2202638039230539E-2</v>
      </c>
      <c r="Q6157" s="1">
        <v>3.3809016136789123</v>
      </c>
      <c r="R6157" s="2">
        <f t="shared" si="387"/>
        <v>101.12749594848729</v>
      </c>
      <c r="S6157" s="2">
        <f t="shared" si="386"/>
        <v>2.2076705946946613</v>
      </c>
      <c r="T6157" s="2">
        <f t="shared" si="388"/>
        <v>3.5948326153596311</v>
      </c>
      <c r="U6157" s="2">
        <f t="shared" si="389"/>
        <v>106.92999915854159</v>
      </c>
    </row>
    <row r="6158" spans="1:21" x14ac:dyDescent="0.25">
      <c r="A6158">
        <v>6728633</v>
      </c>
      <c r="B6158">
        <v>55</v>
      </c>
      <c r="C6158" s="1">
        <f>2.12838451531077*(10.3/7.3)</f>
        <v>3.0030630832467033</v>
      </c>
      <c r="D6158" s="1">
        <f>4.60284852328661*(10.3/7.3)</f>
        <v>6.4944301081989124</v>
      </c>
      <c r="E6158" s="1">
        <f>15.6406632551222*(10.3/7.3)</f>
        <v>22.068333085994272</v>
      </c>
      <c r="F6158" s="1">
        <f>47.6827577002884*(38.9/42.5)</f>
        <v>43.643747636264003</v>
      </c>
      <c r="G6158" s="1">
        <v>2.6413283340752782</v>
      </c>
      <c r="H6158" s="1">
        <v>7.5834114864360931</v>
      </c>
      <c r="I6158" s="1">
        <v>34.478499316176524</v>
      </c>
      <c r="J6158" s="1">
        <v>2.9385343256125542E-2</v>
      </c>
      <c r="K6158" s="1">
        <v>2.2634309185457222</v>
      </c>
      <c r="L6158" s="1">
        <v>2.322691068201046</v>
      </c>
      <c r="M6158" s="1">
        <v>0.20998940199067584</v>
      </c>
      <c r="N6158" s="1">
        <v>1.2713677926750118</v>
      </c>
      <c r="O6158" s="1">
        <v>0.1667490909090909</v>
      </c>
      <c r="P6158" s="1">
        <v>9.8940467231983117E-2</v>
      </c>
      <c r="Q6158" s="1">
        <v>4.2213009905312706</v>
      </c>
      <c r="R6158" s="2">
        <f t="shared" si="387"/>
        <v>124.13411404092307</v>
      </c>
      <c r="S6158" s="2">
        <f t="shared" si="386"/>
        <v>2.3917567290338311</v>
      </c>
      <c r="T6158" s="2">
        <f t="shared" si="388"/>
        <v>3.9707973537758243</v>
      </c>
      <c r="U6158" s="2">
        <f t="shared" si="389"/>
        <v>130.49666812373272</v>
      </c>
    </row>
    <row r="6159" spans="1:21" x14ac:dyDescent="0.25">
      <c r="A6159">
        <v>6728641</v>
      </c>
      <c r="B6159">
        <v>47</v>
      </c>
      <c r="C6159" s="1">
        <f>1.76159381555007*(10.3/7.3)</f>
        <v>2.4855364794747574</v>
      </c>
      <c r="D6159" s="1">
        <f>4.19001440321101*(10.3/7.3)</f>
        <v>5.9119381305579974</v>
      </c>
      <c r="E6159" s="1">
        <f>14.1425598557789*(10.3/7.3)</f>
        <v>19.954570755414068</v>
      </c>
      <c r="F6159" s="1">
        <f>46.254255589116*(38.9/42.5)</f>
        <v>42.336248056861507</v>
      </c>
      <c r="G6159" s="1">
        <v>2.665480280030371</v>
      </c>
      <c r="H6159" s="1">
        <v>8.0977557748018789</v>
      </c>
      <c r="I6159" s="1">
        <v>33.569786500559793</v>
      </c>
      <c r="J6159" s="1">
        <v>2.7085904358151936E-2</v>
      </c>
      <c r="K6159" s="1">
        <v>2.0977793758834369</v>
      </c>
      <c r="L6159" s="1">
        <v>2.1112676944281756</v>
      </c>
      <c r="M6159" s="1">
        <v>0.19213112966228502</v>
      </c>
      <c r="N6159" s="1">
        <v>1.1884594464290303</v>
      </c>
      <c r="O6159" s="1">
        <v>0.152342695035461</v>
      </c>
      <c r="P6159" s="1">
        <v>9.2417489571724964E-2</v>
      </c>
      <c r="Q6159" s="1">
        <v>4.2598999909161224</v>
      </c>
      <c r="R6159" s="2">
        <f t="shared" si="387"/>
        <v>119.28121596861649</v>
      </c>
      <c r="S6159" s="2">
        <f t="shared" si="386"/>
        <v>2.217282769813314</v>
      </c>
      <c r="T6159" s="2">
        <f t="shared" si="388"/>
        <v>3.6442009655549521</v>
      </c>
      <c r="U6159" s="2">
        <f t="shared" si="389"/>
        <v>125.14269970398476</v>
      </c>
    </row>
    <row r="6160" spans="1:21" x14ac:dyDescent="0.25">
      <c r="A6160">
        <v>6728721</v>
      </c>
      <c r="B6160">
        <v>6</v>
      </c>
      <c r="C6160" s="1">
        <f>2.04735265069728*(10.3/7.3)</f>
        <v>2.8887304523536925</v>
      </c>
      <c r="D6160" s="1">
        <f>4.14897120598829*(10.3/7.3)</f>
        <v>5.8540278659834728</v>
      </c>
      <c r="E6160" s="1">
        <f>14.1197770292051*(10.3/7.3)</f>
        <v>19.922425123398966</v>
      </c>
      <c r="F6160" s="1">
        <f>43.2397934246513*(38.9/42.5)</f>
        <v>39.577128569857351</v>
      </c>
      <c r="G6160" s="1">
        <v>2.391246586037751</v>
      </c>
      <c r="H6160" s="1">
        <v>7.4627694036802872</v>
      </c>
      <c r="I6160" s="1">
        <v>31.595862355715607</v>
      </c>
      <c r="J6160" s="1">
        <v>3.4016350120367266E-2</v>
      </c>
      <c r="K6160" s="1">
        <v>1.9328898021743484</v>
      </c>
      <c r="L6160" s="1">
        <v>1.9075725738432581</v>
      </c>
      <c r="M6160" s="1">
        <v>0.15481289817876584</v>
      </c>
      <c r="N6160" s="1">
        <v>1.3594344523469275</v>
      </c>
      <c r="O6160" s="1">
        <v>0.13031999999999999</v>
      </c>
      <c r="P6160" s="1">
        <v>8.463041169835013E-2</v>
      </c>
      <c r="Q6160" s="1">
        <v>3.8216269639872773</v>
      </c>
      <c r="R6160" s="2">
        <f t="shared" si="387"/>
        <v>113.5138173210144</v>
      </c>
      <c r="S6160" s="2">
        <f t="shared" si="386"/>
        <v>2.0515365639930656</v>
      </c>
      <c r="T6160" s="2">
        <f t="shared" si="388"/>
        <v>3.5521399243689515</v>
      </c>
      <c r="U6160" s="2">
        <f t="shared" si="389"/>
        <v>119.11749380937641</v>
      </c>
    </row>
    <row r="6161" spans="1:21" x14ac:dyDescent="0.25">
      <c r="A6161">
        <v>6728729</v>
      </c>
      <c r="B6161">
        <v>11</v>
      </c>
      <c r="C6161" s="1">
        <f>2.58661561815696*(10.3/7.3)</f>
        <v>3.6496083379474986</v>
      </c>
      <c r="D6161" s="1">
        <f>5.26676886212607*(10.3/7.3)</f>
        <v>7.4311944219039061</v>
      </c>
      <c r="E6161" s="1">
        <f>17.9319066129051*(10.3/7.3)</f>
        <v>25.301183303140036</v>
      </c>
      <c r="F6161" s="1">
        <f>54.375463053671*(38.9/42.5)</f>
        <v>49.769541477360029</v>
      </c>
      <c r="G6161" s="1">
        <v>2.9924559056802069</v>
      </c>
      <c r="H6161" s="1">
        <v>8.1973913335222122</v>
      </c>
      <c r="I6161" s="1">
        <v>39.617408869810625</v>
      </c>
      <c r="J6161" s="1">
        <v>3.4267342051703335E-2</v>
      </c>
      <c r="K6161" s="1">
        <v>2.1624627729795511</v>
      </c>
      <c r="L6161" s="1">
        <v>2.1889214687786067</v>
      </c>
      <c r="M6161" s="1">
        <v>0.17474324258848078</v>
      </c>
      <c r="N6161" s="1">
        <v>1.4554000325421343</v>
      </c>
      <c r="O6161" s="1">
        <v>0.14776727272727272</v>
      </c>
      <c r="P6161" s="1">
        <v>9.384357708384726E-2</v>
      </c>
      <c r="Q6161" s="1">
        <v>4.782463776201249</v>
      </c>
      <c r="R6161" s="2">
        <f t="shared" si="387"/>
        <v>141.74124742556575</v>
      </c>
      <c r="S6161" s="2">
        <f t="shared" si="386"/>
        <v>2.2905736921151014</v>
      </c>
      <c r="T6161" s="2">
        <f t="shared" si="388"/>
        <v>3.9668320166364945</v>
      </c>
      <c r="U6161" s="2">
        <f t="shared" si="389"/>
        <v>147.99865313431732</v>
      </c>
    </row>
    <row r="6162" spans="1:21" x14ac:dyDescent="0.25">
      <c r="A6162">
        <v>6728769</v>
      </c>
      <c r="B6162">
        <v>37</v>
      </c>
      <c r="C6162" s="1">
        <f>3.87825343959849*(10.3/7.3)</f>
        <v>5.4720562229951311</v>
      </c>
      <c r="D6162" s="1">
        <f>7.39706702033541*(10.3/7.3)</f>
        <v>10.436957576637637</v>
      </c>
      <c r="E6162" s="1">
        <f>25.3799734208714*(10.3/7.3)</f>
        <v>35.810099484243196</v>
      </c>
      <c r="F6162" s="1">
        <f>69.387435157275*(38.9/42.5)</f>
        <v>63.509911238070494</v>
      </c>
      <c r="G6162" s="1">
        <v>3.5800552003687809</v>
      </c>
      <c r="H6162" s="1">
        <v>11.725479803722482</v>
      </c>
      <c r="I6162" s="1">
        <v>49.880220437687591</v>
      </c>
      <c r="J6162" s="1">
        <v>3.6729171722482211E-2</v>
      </c>
      <c r="K6162" s="1">
        <v>2.3504684620684326</v>
      </c>
      <c r="L6162" s="1">
        <v>2.3809178192722174</v>
      </c>
      <c r="M6162" s="1">
        <v>0.17900996818419859</v>
      </c>
      <c r="N6162" s="1">
        <v>1.5628369685222943</v>
      </c>
      <c r="O6162" s="1">
        <v>0.15603603603603605</v>
      </c>
      <c r="P6162" s="1">
        <v>9.9757193431049135E-2</v>
      </c>
      <c r="Q6162" s="1">
        <v>5.7215494069820751</v>
      </c>
      <c r="R6162" s="2">
        <f t="shared" si="387"/>
        <v>186.13632937070739</v>
      </c>
      <c r="S6162" s="2">
        <f t="shared" si="386"/>
        <v>2.4869548272219641</v>
      </c>
      <c r="T6162" s="2">
        <f t="shared" si="388"/>
        <v>4.2788007920147466</v>
      </c>
      <c r="U6162" s="2">
        <f t="shared" si="389"/>
        <v>192.90208498994409</v>
      </c>
    </row>
    <row r="6163" spans="1:21" x14ac:dyDescent="0.25">
      <c r="A6163">
        <v>6728777</v>
      </c>
      <c r="B6163">
        <v>55</v>
      </c>
      <c r="C6163" s="1">
        <f>2.1108596758132*(10.3/7.3)</f>
        <v>2.978336254914514</v>
      </c>
      <c r="D6163" s="1">
        <f>3.97279380701948*(10.3/7.3)</f>
        <v>5.6054487962055628</v>
      </c>
      <c r="E6163" s="1">
        <f>13.6628338840405*(10.3/7.3)</f>
        <v>19.277697124057202</v>
      </c>
      <c r="F6163" s="1">
        <f>36.0043619549112*(38.9/42.5)</f>
        <v>32.954580706965743</v>
      </c>
      <c r="G6163" s="1">
        <v>1.8117043417622161</v>
      </c>
      <c r="H6163" s="1">
        <v>5.8413894851989161</v>
      </c>
      <c r="I6163" s="1">
        <v>25.711913640148158</v>
      </c>
      <c r="J6163" s="1">
        <v>2.5077179906842124E-2</v>
      </c>
      <c r="K6163" s="1">
        <v>1.7479551685692412</v>
      </c>
      <c r="L6163" s="1">
        <v>1.62766703310399</v>
      </c>
      <c r="M6163" s="1">
        <v>0.13078556617346687</v>
      </c>
      <c r="N6163" s="1">
        <v>1.1526199941365769</v>
      </c>
      <c r="O6163" s="1">
        <v>0.11167515151515155</v>
      </c>
      <c r="P6163" s="1">
        <v>7.6295235027188463E-2</v>
      </c>
      <c r="Q6163" s="1">
        <v>2.8954178977935006</v>
      </c>
      <c r="R6163" s="2">
        <f t="shared" si="387"/>
        <v>97.076488247045816</v>
      </c>
      <c r="S6163" s="2">
        <f t="shared" si="386"/>
        <v>1.8493275835032716</v>
      </c>
      <c r="T6163" s="2">
        <f t="shared" si="388"/>
        <v>3.0227477449291853</v>
      </c>
      <c r="U6163" s="2">
        <f t="shared" si="389"/>
        <v>101.94856357547827</v>
      </c>
    </row>
    <row r="6164" spans="1:21" x14ac:dyDescent="0.25">
      <c r="A6164">
        <v>6728785</v>
      </c>
      <c r="B6164">
        <v>9</v>
      </c>
      <c r="C6164" s="1">
        <f>2.31288052187259*(10.3/7.3)</f>
        <v>3.2633793664777682</v>
      </c>
      <c r="D6164" s="1">
        <f>4.20551893804106*(10.3/7.3)</f>
        <v>5.9338143920305439</v>
      </c>
      <c r="E6164" s="1">
        <f>14.4759588015596*(10.3/7.3)</f>
        <v>20.424982966584043</v>
      </c>
      <c r="F6164" s="1">
        <f>38.2836076231257*(38.9/42.5)</f>
        <v>35.040760859755089</v>
      </c>
      <c r="G6164" s="1">
        <v>1.9252288921090661</v>
      </c>
      <c r="H6164" s="1">
        <v>8.1442906305430149</v>
      </c>
      <c r="I6164" s="1">
        <v>27.544097126149353</v>
      </c>
      <c r="J6164" s="1">
        <v>2.5228203672083886E-2</v>
      </c>
      <c r="K6164" s="1">
        <v>1.7683266890980507</v>
      </c>
      <c r="L6164" s="1">
        <v>1.6446848706842956</v>
      </c>
      <c r="M6164" s="1">
        <v>0.13100947823681128</v>
      </c>
      <c r="N6164" s="1">
        <v>1.173995499739809</v>
      </c>
      <c r="O6164" s="1">
        <v>0.1121837037037037</v>
      </c>
      <c r="P6164" s="1">
        <v>7.6850504346725079E-2</v>
      </c>
      <c r="Q6164" s="1">
        <v>3.0768498275715697</v>
      </c>
      <c r="R6164" s="2">
        <f t="shared" si="387"/>
        <v>105.35340406122043</v>
      </c>
      <c r="S6164" s="2">
        <f t="shared" si="386"/>
        <v>1.8704053971168597</v>
      </c>
      <c r="T6164" s="2">
        <f t="shared" si="388"/>
        <v>3.0618735523646197</v>
      </c>
      <c r="U6164" s="2">
        <f t="shared" si="389"/>
        <v>110.2856830107019</v>
      </c>
    </row>
    <row r="6165" spans="1:21" x14ac:dyDescent="0.25">
      <c r="A6165">
        <v>6728793</v>
      </c>
      <c r="B6165">
        <v>10</v>
      </c>
      <c r="C6165" s="1">
        <f>5.23474921628577*(10.3/7.3)</f>
        <v>7.3860160174991067</v>
      </c>
      <c r="D6165" s="1">
        <f>10.8763444146628*(10.3/7.3)</f>
        <v>15.346074996031057</v>
      </c>
      <c r="E6165" s="1">
        <f>36.5049337638615*(10.3/7.3)</f>
        <v>51.506961338051184</v>
      </c>
      <c r="F6165" s="1">
        <f>136.713430175531*(38.9/42.5)</f>
        <v>125.13299844301518</v>
      </c>
      <c r="G6165" s="1">
        <v>8.2889633753108196</v>
      </c>
      <c r="H6165" s="1">
        <v>12.698016909133782</v>
      </c>
      <c r="I6165" s="1">
        <v>103.62230100552884</v>
      </c>
      <c r="J6165" s="1">
        <v>3.4251989369018118E-2</v>
      </c>
      <c r="K6165" s="1">
        <v>2.2442367832451877</v>
      </c>
      <c r="L6165" s="1">
        <v>2.2179432984851144</v>
      </c>
      <c r="M6165" s="1">
        <v>0.16425426920011099</v>
      </c>
      <c r="N6165" s="1">
        <v>1.5905850268819148</v>
      </c>
      <c r="O6165" s="1">
        <v>0.14520533333333333</v>
      </c>
      <c r="P6165" s="1">
        <v>9.4731795445390204E-2</v>
      </c>
      <c r="Q6165" s="1">
        <v>13.247201741364336</v>
      </c>
      <c r="R6165" s="2">
        <f t="shared" si="387"/>
        <v>337.22853382593433</v>
      </c>
      <c r="S6165" s="2">
        <f t="shared" si="386"/>
        <v>2.3732205680595961</v>
      </c>
      <c r="T6165" s="2">
        <f t="shared" si="388"/>
        <v>4.1179879279004741</v>
      </c>
      <c r="U6165" s="2">
        <f t="shared" si="389"/>
        <v>343.71974232189439</v>
      </c>
    </row>
    <row r="6166" spans="1:21" x14ac:dyDescent="0.25">
      <c r="A6166">
        <v>6728849</v>
      </c>
      <c r="B6166">
        <v>59</v>
      </c>
      <c r="C6166" s="1">
        <f>4.14149221239012*(10.3/7.3)</f>
        <v>5.8434753133723651</v>
      </c>
      <c r="D6166" s="1">
        <f>5.75302944062758*(10.3/7.3)</f>
        <v>8.1172881148581002</v>
      </c>
      <c r="E6166" s="1">
        <f>20.1449544036865*(10.3/7.3)</f>
        <v>28.423702788763162</v>
      </c>
      <c r="F6166" s="1">
        <f>45.6180606467465*(38.9/42.5)</f>
        <v>41.753942568433835</v>
      </c>
      <c r="G6166" s="1">
        <v>1.9630245959170372</v>
      </c>
      <c r="H6166" s="1">
        <v>5.9838416458270904</v>
      </c>
      <c r="I6166" s="1">
        <v>33.735565816128293</v>
      </c>
      <c r="J6166" s="1">
        <v>2.4924147357654206E-2</v>
      </c>
      <c r="K6166" s="1">
        <v>1.7300527700004409</v>
      </c>
      <c r="L6166" s="1">
        <v>1.5521259753696137</v>
      </c>
      <c r="M6166" s="1">
        <v>0.11483561370019416</v>
      </c>
      <c r="N6166" s="1">
        <v>1.2114511232742087</v>
      </c>
      <c r="O6166" s="1">
        <v>0.10266485875706213</v>
      </c>
      <c r="P6166" s="1">
        <v>7.3610187038748678E-2</v>
      </c>
      <c r="Q6166" s="1">
        <v>3.1372539204153593</v>
      </c>
      <c r="R6166" s="2">
        <f t="shared" si="387"/>
        <v>128.95809476371522</v>
      </c>
      <c r="S6166" s="2">
        <f t="shared" si="386"/>
        <v>1.8285871043968438</v>
      </c>
      <c r="T6166" s="2">
        <f t="shared" si="388"/>
        <v>2.9810775711010788</v>
      </c>
      <c r="U6166" s="2">
        <f t="shared" si="389"/>
        <v>133.76775943921314</v>
      </c>
    </row>
    <row r="6167" spans="1:21" x14ac:dyDescent="0.25">
      <c r="A6167">
        <v>6728857</v>
      </c>
      <c r="B6167">
        <v>51</v>
      </c>
      <c r="C6167" s="1">
        <f>4.32164572517348*(10.3/7.3)</f>
        <v>6.0976645163406644</v>
      </c>
      <c r="D6167" s="1">
        <f>5.73480808071583*(10.3/7.3)</f>
        <v>8.0915785248456302</v>
      </c>
      <c r="E6167" s="1">
        <f>20.1610553015253*(10.3/7.3)</f>
        <v>28.446420493932941</v>
      </c>
      <c r="F6167" s="1">
        <f>43.5453118568483*(38.9/42.5)</f>
        <v>39.856767793679978</v>
      </c>
      <c r="G6167" s="1">
        <v>1.7732277256319435</v>
      </c>
      <c r="H6167" s="1">
        <v>7.1049279476969245</v>
      </c>
      <c r="I6167" s="1">
        <v>32.313579875441711</v>
      </c>
      <c r="J6167" s="1">
        <v>2.5233251143219927E-2</v>
      </c>
      <c r="K6167" s="1">
        <v>1.7237003019868369</v>
      </c>
      <c r="L6167" s="1">
        <v>1.5503434997309307</v>
      </c>
      <c r="M6167" s="1">
        <v>0.11377140389684567</v>
      </c>
      <c r="N6167" s="1">
        <v>1.115241276580599</v>
      </c>
      <c r="O6167" s="1">
        <v>0.10235921568627447</v>
      </c>
      <c r="P6167" s="1">
        <v>7.3208521725410508E-2</v>
      </c>
      <c r="Q6167" s="1">
        <v>2.833925588909501</v>
      </c>
      <c r="R6167" s="2">
        <f t="shared" si="387"/>
        <v>126.51809246647929</v>
      </c>
      <c r="S6167" s="2">
        <f t="shared" si="386"/>
        <v>1.8221420748554673</v>
      </c>
      <c r="T6167" s="2">
        <f t="shared" si="388"/>
        <v>2.8817153958946498</v>
      </c>
      <c r="U6167" s="2">
        <f t="shared" si="389"/>
        <v>131.2219499372294</v>
      </c>
    </row>
    <row r="6168" spans="1:21" x14ac:dyDescent="0.25">
      <c r="A6168">
        <v>673717</v>
      </c>
      <c r="B6168">
        <v>40</v>
      </c>
      <c r="C6168" s="1">
        <f>2.13489387072539*(10.3/7.3)</f>
        <v>3.0122475162289724</v>
      </c>
      <c r="D6168" s="1">
        <f>2.61219388294571*(10.3/7.3)</f>
        <v>3.6856982184028468</v>
      </c>
      <c r="E6168" s="1">
        <f>9.24114129042367*(10.3/7.3)</f>
        <v>13.038870587858051</v>
      </c>
      <c r="F6168" s="1">
        <f>18.7065851466148*(38.9/42.5)</f>
        <v>17.122027345960358</v>
      </c>
      <c r="G6168" s="1">
        <v>0.69537314815052476</v>
      </c>
      <c r="H6168" s="1">
        <v>2.6352701511966665</v>
      </c>
      <c r="I6168" s="1">
        <v>14.066597097681798</v>
      </c>
      <c r="J6168" s="1">
        <v>4.323633684436444E-2</v>
      </c>
      <c r="K6168" s="1">
        <v>6.5858937534112414</v>
      </c>
      <c r="L6168" s="1">
        <v>1.8942406329503723</v>
      </c>
      <c r="M6168" s="1">
        <v>0.1377969609921309</v>
      </c>
      <c r="N6168" s="1">
        <v>1.4556744047245915</v>
      </c>
      <c r="O6168" s="1">
        <v>8.4801333333333326E-2</v>
      </c>
      <c r="P6168" s="1">
        <v>7.0463052621288588E-2</v>
      </c>
      <c r="Q6168" s="1">
        <v>1.1113269490990136</v>
      </c>
      <c r="R6168" s="2">
        <f t="shared" si="387"/>
        <v>55.367411014578238</v>
      </c>
      <c r="S6168" s="2">
        <f t="shared" si="386"/>
        <v>6.6995931428768944</v>
      </c>
      <c r="T6168" s="2">
        <f t="shared" si="388"/>
        <v>3.5725133320004283</v>
      </c>
      <c r="U6168" s="2">
        <f t="shared" si="389"/>
        <v>65.639517489455557</v>
      </c>
    </row>
    <row r="6169" spans="1:21" x14ac:dyDescent="0.25">
      <c r="A6169">
        <v>673725</v>
      </c>
      <c r="B6169">
        <v>1</v>
      </c>
      <c r="C6169" s="1">
        <f>1.44938388481046*(10.3/7.3)</f>
        <v>2.0450210977462717</v>
      </c>
      <c r="D6169" s="1">
        <f>1.93664558780167*(10.3/7.3)</f>
        <v>2.7325273362133151</v>
      </c>
      <c r="E6169" s="1">
        <f>6.8232952941518*(10.3/7.3)</f>
        <v>9.6273892506525378</v>
      </c>
      <c r="F6169" s="1">
        <f>13.8818404884836*(38.9/42.5)</f>
        <v>12.705966941223844</v>
      </c>
      <c r="G6169" s="1">
        <v>0.52896405934038793</v>
      </c>
      <c r="H6169" s="1">
        <v>2.9015784895269459</v>
      </c>
      <c r="I6169" s="1">
        <v>10.147016731738812</v>
      </c>
      <c r="J6169" s="1">
        <v>3.4505732953699783E-2</v>
      </c>
      <c r="K6169" s="1">
        <v>4.0106510407880407</v>
      </c>
      <c r="L6169" s="1">
        <v>1.3329168281434403</v>
      </c>
      <c r="M6169" s="1">
        <v>0.10012025935279006</v>
      </c>
      <c r="N6169" s="1">
        <v>1.0291228405154229</v>
      </c>
      <c r="O6169" s="1">
        <v>6.6293333333333329E-2</v>
      </c>
      <c r="P6169" s="1">
        <v>5.7289805243211069E-2</v>
      </c>
      <c r="Q6169" s="1">
        <v>0.84537635054399995</v>
      </c>
      <c r="R6169" s="2">
        <f t="shared" si="387"/>
        <v>41.533840256986124</v>
      </c>
      <c r="S6169" s="2">
        <f t="shared" si="386"/>
        <v>4.1024465789849511</v>
      </c>
      <c r="T6169" s="2">
        <f t="shared" si="388"/>
        <v>2.5284532613449864</v>
      </c>
      <c r="U6169" s="2">
        <f t="shared" si="389"/>
        <v>48.164740097316063</v>
      </c>
    </row>
    <row r="6170" spans="1:21" x14ac:dyDescent="0.25">
      <c r="A6170">
        <v>673789</v>
      </c>
      <c r="B6170">
        <v>1</v>
      </c>
      <c r="C6170" s="1">
        <f>1.09968367847257*(10.3/7.3)</f>
        <v>1.5516084778448631</v>
      </c>
      <c r="D6170" s="1">
        <f>1.55175098147521*(10.3/7.3)</f>
        <v>2.1894568642732368</v>
      </c>
      <c r="E6170" s="1">
        <f>5.41921913779914*(10.3/7.3)</f>
        <v>7.6462954957987881</v>
      </c>
      <c r="F6170" s="1">
        <f>12.8289728241179*(38.9/42.5)</f>
        <v>11.74228336136909</v>
      </c>
      <c r="G6170" s="1">
        <v>0.57617383339916506</v>
      </c>
      <c r="H6170" s="1">
        <v>4.1719848159208928</v>
      </c>
      <c r="I6170" s="1">
        <v>9.5345684862019073</v>
      </c>
      <c r="J6170" s="1">
        <v>3.0814145684919799E-2</v>
      </c>
      <c r="K6170" s="1">
        <v>2.7064897164687625</v>
      </c>
      <c r="L6170" s="1">
        <v>1.1141767328347594</v>
      </c>
      <c r="M6170" s="1">
        <v>6.4798126480197352E-2</v>
      </c>
      <c r="N6170" s="1">
        <v>1.0529121205439376</v>
      </c>
      <c r="O6170" s="1">
        <v>5.6586666666666667E-2</v>
      </c>
      <c r="P6170" s="1">
        <v>5.1906250243546545E-2</v>
      </c>
      <c r="Q6170" s="1">
        <v>0.92082576114021908</v>
      </c>
      <c r="R6170" s="2">
        <f t="shared" si="387"/>
        <v>38.333197095948165</v>
      </c>
      <c r="S6170" s="2">
        <f t="shared" si="386"/>
        <v>2.7892101123972286</v>
      </c>
      <c r="T6170" s="2">
        <f t="shared" si="388"/>
        <v>2.2884736465255608</v>
      </c>
      <c r="U6170" s="2">
        <f t="shared" si="389"/>
        <v>43.410880854870953</v>
      </c>
    </row>
    <row r="6171" spans="1:21" x14ac:dyDescent="0.25">
      <c r="A6171">
        <v>6740389</v>
      </c>
      <c r="B6171">
        <v>28</v>
      </c>
      <c r="C6171" s="1">
        <f>0.506098019087804*(10.3/7.3)</f>
        <v>0.71408350638416229</v>
      </c>
      <c r="D6171" s="1">
        <f>1.05988439712969*(10.3/7.3)</f>
        <v>1.4954533274569606</v>
      </c>
      <c r="E6171" s="1">
        <f>3.58097165358431*(10.3/7.3)</f>
        <v>5.0526038399888193</v>
      </c>
      <c r="F6171" s="1">
        <f>12.1372781038186*(38.9/42.5)</f>
        <v>11.109179252671654</v>
      </c>
      <c r="G6171" s="1">
        <v>0.70623446175378779</v>
      </c>
      <c r="H6171" s="1">
        <v>2.5967534314761815</v>
      </c>
      <c r="I6171" s="1">
        <v>9.0192154396030961</v>
      </c>
      <c r="J6171" s="1">
        <v>2.5617130340275272E-2</v>
      </c>
      <c r="K6171" s="1">
        <v>2.5011271455969175</v>
      </c>
      <c r="L6171" s="1">
        <v>1.5922396297741097</v>
      </c>
      <c r="M6171" s="1">
        <v>0.26196424169732674</v>
      </c>
      <c r="N6171" s="1">
        <v>0.88703698529517971</v>
      </c>
      <c r="O6171" s="1">
        <v>0.26098285714285713</v>
      </c>
      <c r="P6171" s="1">
        <v>0.10642980458213827</v>
      </c>
      <c r="Q6171" s="1">
        <v>1.1286852128485203</v>
      </c>
      <c r="R6171" s="2">
        <f t="shared" si="387"/>
        <v>31.822208472183181</v>
      </c>
      <c r="S6171" s="2">
        <f t="shared" si="386"/>
        <v>2.6331740805193311</v>
      </c>
      <c r="T6171" s="2">
        <f t="shared" si="388"/>
        <v>3.0022237139094732</v>
      </c>
      <c r="U6171" s="2">
        <f t="shared" si="389"/>
        <v>37.457606266611982</v>
      </c>
    </row>
    <row r="6172" spans="1:21" x14ac:dyDescent="0.25">
      <c r="A6172">
        <v>6740829</v>
      </c>
      <c r="B6172">
        <v>28</v>
      </c>
      <c r="C6172" s="1">
        <f>1.37587059704793*(10.3/7.3)</f>
        <v>1.9412968698073492</v>
      </c>
      <c r="D6172" s="1">
        <f>2.87427236024233*(10.3/7.3)</f>
        <v>4.0554801795199937</v>
      </c>
      <c r="E6172" s="1">
        <f>9.73466349605955*(10.3/7.3)</f>
        <v>13.735210138275805</v>
      </c>
      <c r="F6172" s="1">
        <f>31.8088042148413*(38.9/42.5)</f>
        <v>29.114411387231225</v>
      </c>
      <c r="G6172" s="1">
        <v>1.8198371589491718</v>
      </c>
      <c r="H6172" s="1">
        <v>8.2473959092510274</v>
      </c>
      <c r="I6172" s="1">
        <v>23.468230986365988</v>
      </c>
      <c r="J6172" s="1">
        <v>2.2766000501407195E-2</v>
      </c>
      <c r="K6172" s="1">
        <v>1.8907456419598136</v>
      </c>
      <c r="L6172" s="1">
        <v>1.8590663402401797</v>
      </c>
      <c r="M6172" s="1">
        <v>0.17932166104933486</v>
      </c>
      <c r="N6172" s="1">
        <v>1.0389956729741301</v>
      </c>
      <c r="O6172" s="1">
        <v>0.14004952380952379</v>
      </c>
      <c r="P6172" s="1">
        <v>8.4192644465996377E-2</v>
      </c>
      <c r="Q6172" s="1">
        <v>2.9084155508320131</v>
      </c>
      <c r="R6172" s="2">
        <f t="shared" si="387"/>
        <v>85.290278180232576</v>
      </c>
      <c r="S6172" s="2">
        <f t="shared" si="386"/>
        <v>1.9977042869272172</v>
      </c>
      <c r="T6172" s="2">
        <f t="shared" si="388"/>
        <v>3.2174331980731683</v>
      </c>
      <c r="U6172" s="2">
        <f t="shared" si="389"/>
        <v>90.50541566523296</v>
      </c>
    </row>
    <row r="6173" spans="1:21" x14ac:dyDescent="0.25">
      <c r="A6173">
        <v>6740837</v>
      </c>
      <c r="B6173">
        <v>58</v>
      </c>
      <c r="C6173" s="1">
        <f>1.87025471675683*(10.3/7.3)</f>
        <v>2.6388525455610061</v>
      </c>
      <c r="D6173" s="1">
        <f>3.75171818038342*(10.3/7.3)</f>
        <v>5.2935201723218155</v>
      </c>
      <c r="E6173" s="1">
        <f>12.7683870621289*(10.3/7.3)</f>
        <v>18.015669416428487</v>
      </c>
      <c r="F6173" s="1">
        <f>39.263959747055*(38.9/42.5)</f>
        <v>35.938071392010357</v>
      </c>
      <c r="G6173" s="1">
        <v>2.174664964529597</v>
      </c>
      <c r="H6173" s="1">
        <v>6.7771297571968319</v>
      </c>
      <c r="I6173" s="1">
        <v>28.760556833073089</v>
      </c>
      <c r="J6173" s="1">
        <v>2.6322787666589638E-2</v>
      </c>
      <c r="K6173" s="1">
        <v>2.1269769926979341</v>
      </c>
      <c r="L6173" s="1">
        <v>2.1627291119670207</v>
      </c>
      <c r="M6173" s="1">
        <v>0.20284555081369154</v>
      </c>
      <c r="N6173" s="1">
        <v>1.15411333175428</v>
      </c>
      <c r="O6173" s="1">
        <v>0.16098114942528732</v>
      </c>
      <c r="P6173" s="1">
        <v>9.3575998213918155E-2</v>
      </c>
      <c r="Q6173" s="1">
        <v>3.4754919524445667</v>
      </c>
      <c r="R6173" s="2">
        <f t="shared" si="387"/>
        <v>103.07395703356576</v>
      </c>
      <c r="S6173" s="2">
        <f t="shared" si="386"/>
        <v>2.2468757785784419</v>
      </c>
      <c r="T6173" s="2">
        <f t="shared" si="388"/>
        <v>3.6806691439602797</v>
      </c>
      <c r="U6173" s="2">
        <f t="shared" si="389"/>
        <v>109.00150195610448</v>
      </c>
    </row>
    <row r="6174" spans="1:21" x14ac:dyDescent="0.25">
      <c r="A6174">
        <v>6740845</v>
      </c>
      <c r="B6174">
        <v>58</v>
      </c>
      <c r="C6174" s="1">
        <f>2.76670656727854*(10.3/7.3)</f>
        <v>3.9037092661601269</v>
      </c>
      <c r="D6174" s="1">
        <f>5.65498763915844*(10.3/7.3)</f>
        <v>7.9789551621002701</v>
      </c>
      <c r="E6174" s="1">
        <f>19.2453253283349*(10.3/7.3)</f>
        <v>27.154363134499889</v>
      </c>
      <c r="F6174" s="1">
        <f>58.6823804635396*(38.9/42.5)</f>
        <v>53.711637647804494</v>
      </c>
      <c r="G6174" s="1">
        <v>3.239696748272511</v>
      </c>
      <c r="H6174" s="1">
        <v>8.7590484143353304</v>
      </c>
      <c r="I6174" s="1">
        <v>42.784120658873384</v>
      </c>
      <c r="J6174" s="1">
        <v>3.3733908821998844E-2</v>
      </c>
      <c r="K6174" s="1">
        <v>2.5845491708589483</v>
      </c>
      <c r="L6174" s="1">
        <v>2.7662283456139862</v>
      </c>
      <c r="M6174" s="1">
        <v>0.24807062692887924</v>
      </c>
      <c r="N6174" s="1">
        <v>1.4180162530759197</v>
      </c>
      <c r="O6174" s="1">
        <v>0.19908689655172407</v>
      </c>
      <c r="P6174" s="1">
        <v>0.11098253945306392</v>
      </c>
      <c r="Q6174" s="1">
        <v>5.1775975429012746</v>
      </c>
      <c r="R6174" s="2">
        <f t="shared" si="387"/>
        <v>152.70912857494727</v>
      </c>
      <c r="S6174" s="2">
        <f t="shared" si="386"/>
        <v>2.729265619134011</v>
      </c>
      <c r="T6174" s="2">
        <f t="shared" si="388"/>
        <v>4.6314021221705088</v>
      </c>
      <c r="U6174" s="2">
        <f t="shared" si="389"/>
        <v>160.06979631625177</v>
      </c>
    </row>
    <row r="6175" spans="1:21" x14ac:dyDescent="0.25">
      <c r="A6175">
        <v>6740853</v>
      </c>
      <c r="B6175">
        <v>58</v>
      </c>
      <c r="C6175" s="1">
        <f>2.90528464763158*(10.3/7.3)</f>
        <v>4.0992372425486732</v>
      </c>
      <c r="D6175" s="1">
        <f>6.06964820275542*(10.3/7.3)</f>
        <v>8.5640241764905181</v>
      </c>
      <c r="E6175" s="1">
        <f>20.6447283977646*(10.3/7.3)</f>
        <v>29.128863355750124</v>
      </c>
      <c r="F6175" s="1">
        <f>62.9098139624926*(38.9/42.5)</f>
        <v>57.580982662140265</v>
      </c>
      <c r="G6175" s="1">
        <v>3.4766890740824605</v>
      </c>
      <c r="H6175" s="1">
        <v>8.9274081214245911</v>
      </c>
      <c r="I6175" s="1">
        <v>45.711674566961513</v>
      </c>
      <c r="J6175" s="1">
        <v>3.5455186373720124E-2</v>
      </c>
      <c r="K6175" s="1">
        <v>2.664813264164648</v>
      </c>
      <c r="L6175" s="1">
        <v>2.8619686657910148</v>
      </c>
      <c r="M6175" s="1">
        <v>0.25469373968620446</v>
      </c>
      <c r="N6175" s="1">
        <v>1.4808910553480508</v>
      </c>
      <c r="O6175" s="1">
        <v>0.20277057471264373</v>
      </c>
      <c r="P6175" s="1">
        <v>0.11390487424892239</v>
      </c>
      <c r="Q6175" s="1">
        <v>5.5563524015016528</v>
      </c>
      <c r="R6175" s="2">
        <f t="shared" si="387"/>
        <v>163.0452316008998</v>
      </c>
      <c r="S6175" s="2">
        <f t="shared" si="386"/>
        <v>2.8141733247872907</v>
      </c>
      <c r="T6175" s="2">
        <f t="shared" si="388"/>
        <v>4.8003240355379138</v>
      </c>
      <c r="U6175" s="2">
        <f t="shared" si="389"/>
        <v>170.65972896122503</v>
      </c>
    </row>
    <row r="6176" spans="1:21" x14ac:dyDescent="0.25">
      <c r="A6176">
        <v>6740861</v>
      </c>
      <c r="B6176">
        <v>57</v>
      </c>
      <c r="C6176" s="1">
        <f>2.89955037808334*(10.3/7.3)</f>
        <v>4.0911464238710149</v>
      </c>
      <c r="D6176" s="1">
        <f>6.20995094940076*(10.3/7.3)</f>
        <v>8.7619855861407956</v>
      </c>
      <c r="E6176" s="1">
        <f>21.1018713063246*(10.3/7.3)</f>
        <v>29.773873213033351</v>
      </c>
      <c r="F6176" s="1">
        <f>64.6033026145454*(38.9/42.5)</f>
        <v>59.13102286366626</v>
      </c>
      <c r="G6176" s="1">
        <v>3.5843475067584301</v>
      </c>
      <c r="H6176" s="1">
        <v>8.861092082327783</v>
      </c>
      <c r="I6176" s="1">
        <v>46.823917014670613</v>
      </c>
      <c r="J6176" s="1">
        <v>3.6116661538019165E-2</v>
      </c>
      <c r="K6176" s="1">
        <v>2.6928912947177994</v>
      </c>
      <c r="L6176" s="1">
        <v>2.8740364289437421</v>
      </c>
      <c r="M6176" s="1">
        <v>0.25280568910991486</v>
      </c>
      <c r="N6176" s="1">
        <v>1.5458639330877</v>
      </c>
      <c r="O6176" s="1">
        <v>0.20222970760233916</v>
      </c>
      <c r="P6176" s="1">
        <v>0.11618715810854117</v>
      </c>
      <c r="Q6176" s="1">
        <v>5.7284092573764935</v>
      </c>
      <c r="R6176" s="2">
        <f t="shared" si="387"/>
        <v>166.75579394784472</v>
      </c>
      <c r="S6176" s="2">
        <f t="shared" si="386"/>
        <v>2.8451951143643597</v>
      </c>
      <c r="T6176" s="2">
        <f t="shared" si="388"/>
        <v>4.8749357587436961</v>
      </c>
      <c r="U6176" s="2">
        <f t="shared" si="389"/>
        <v>174.4759248209528</v>
      </c>
    </row>
    <row r="6177" spans="1:21" x14ac:dyDescent="0.25">
      <c r="A6177">
        <v>6740869</v>
      </c>
      <c r="B6177">
        <v>59</v>
      </c>
      <c r="C6177" s="1">
        <f>1.79377128348865*(10.3/7.3)</f>
        <v>2.5309375643744012</v>
      </c>
      <c r="D6177" s="1">
        <f>3.94258255785447*(10.3/7.3)</f>
        <v>5.5628219651919242</v>
      </c>
      <c r="E6177" s="1">
        <f>13.3742181494277*(10.3/7.3)</f>
        <v>18.870472183439034</v>
      </c>
      <c r="F6177" s="1">
        <f>41.6547835217402*(38.9/42.5)</f>
        <v>38.12637832931042</v>
      </c>
      <c r="G6177" s="1">
        <v>2.3349379585041126</v>
      </c>
      <c r="H6177" s="1">
        <v>6.9542758987730213</v>
      </c>
      <c r="I6177" s="1">
        <v>30.201058004295607</v>
      </c>
      <c r="J6177" s="1">
        <v>2.6826397177627522E-2</v>
      </c>
      <c r="K6177" s="1">
        <v>2.0960545539259257</v>
      </c>
      <c r="L6177" s="1">
        <v>2.0987739022819234</v>
      </c>
      <c r="M6177" s="1">
        <v>0.19303356525863991</v>
      </c>
      <c r="N6177" s="1">
        <v>1.1798514589250655</v>
      </c>
      <c r="O6177" s="1">
        <v>0.15229378531073448</v>
      </c>
      <c r="P6177" s="1">
        <v>9.2326705574048845E-2</v>
      </c>
      <c r="Q6177" s="1">
        <v>3.731636006741736</v>
      </c>
      <c r="R6177" s="2">
        <f t="shared" si="387"/>
        <v>108.31251791063025</v>
      </c>
      <c r="S6177" s="2">
        <f t="shared" si="386"/>
        <v>2.215207656677602</v>
      </c>
      <c r="T6177" s="2">
        <f t="shared" si="388"/>
        <v>3.6239527117763628</v>
      </c>
      <c r="U6177" s="2">
        <f t="shared" si="389"/>
        <v>114.15167827908422</v>
      </c>
    </row>
    <row r="6178" spans="1:21" x14ac:dyDescent="0.25">
      <c r="A6178">
        <v>6740949</v>
      </c>
      <c r="B6178">
        <v>22</v>
      </c>
      <c r="C6178" s="1">
        <f>2.28863903417916*(10.3/7.3)</f>
        <v>3.2291756235678504</v>
      </c>
      <c r="D6178" s="1">
        <f>4.60721726028226*(10.3/7.3)</f>
        <v>6.5005942165626474</v>
      </c>
      <c r="E6178" s="1">
        <f>15.6829227604317*(10.3/7.3)</f>
        <v>22.127959511294105</v>
      </c>
      <c r="F6178" s="1">
        <f>47.9915245244468*(38.9/42.5)</f>
        <v>43.926360094140684</v>
      </c>
      <c r="G6178" s="1">
        <v>2.6518920087252074</v>
      </c>
      <c r="H6178" s="1">
        <v>7.9961515447876277</v>
      </c>
      <c r="I6178" s="1">
        <v>35.0972419784324</v>
      </c>
      <c r="J6178" s="1">
        <v>3.0907110421782489E-2</v>
      </c>
      <c r="K6178" s="1">
        <v>2.0897282432015176</v>
      </c>
      <c r="L6178" s="1">
        <v>2.0975182040091234</v>
      </c>
      <c r="M6178" s="1">
        <v>0.17127431295312143</v>
      </c>
      <c r="N6178" s="1">
        <v>1.4664943898034679</v>
      </c>
      <c r="O6178" s="1">
        <v>0.14267878787878788</v>
      </c>
      <c r="P6178" s="1">
        <v>9.0918775987189393E-2</v>
      </c>
      <c r="Q6178" s="1">
        <v>4.2381835755882342</v>
      </c>
      <c r="R6178" s="2">
        <f t="shared" si="387"/>
        <v>125.76755855309875</v>
      </c>
      <c r="S6178" s="2">
        <f t="shared" si="386"/>
        <v>2.2115541296104895</v>
      </c>
      <c r="T6178" s="2">
        <f t="shared" si="388"/>
        <v>3.8779656946445007</v>
      </c>
      <c r="U6178" s="2">
        <f t="shared" si="389"/>
        <v>131.85707837735373</v>
      </c>
    </row>
    <row r="6179" spans="1:21" x14ac:dyDescent="0.25">
      <c r="A6179">
        <v>6740957</v>
      </c>
      <c r="B6179">
        <v>44</v>
      </c>
      <c r="C6179" s="1">
        <f>2.44054209802664*(10.3/7.3)</f>
        <v>3.4435046040649895</v>
      </c>
      <c r="D6179" s="1">
        <f>4.94394343063467*(10.3/7.3)</f>
        <v>6.9757010048680916</v>
      </c>
      <c r="E6179" s="1">
        <f>16.8335317874998*(10.3/7.3)</f>
        <v>23.751421563184671</v>
      </c>
      <c r="F6179" s="1">
        <f>51.1313305979362*(38.9/42.5)</f>
        <v>46.800206123758102</v>
      </c>
      <c r="G6179" s="1">
        <v>2.8155167938152861</v>
      </c>
      <c r="H6179" s="1">
        <v>8.0604322360298593</v>
      </c>
      <c r="I6179" s="1">
        <v>37.296661711482663</v>
      </c>
      <c r="J6179" s="1">
        <v>3.5199111022208879E-2</v>
      </c>
      <c r="K6179" s="1">
        <v>2.1251432878447996</v>
      </c>
      <c r="L6179" s="1">
        <v>2.1485671926623242</v>
      </c>
      <c r="M6179" s="1">
        <v>0.17231773730714661</v>
      </c>
      <c r="N6179" s="1">
        <v>1.4073825314173061</v>
      </c>
      <c r="O6179" s="1">
        <v>0.14472242424242424</v>
      </c>
      <c r="P6179" s="1">
        <v>9.2176614704872054E-2</v>
      </c>
      <c r="Q6179" s="1">
        <v>4.499684373677403</v>
      </c>
      <c r="R6179" s="2">
        <f t="shared" si="387"/>
        <v>133.64312841088108</v>
      </c>
      <c r="S6179" s="2">
        <f t="shared" si="386"/>
        <v>2.2525190135718804</v>
      </c>
      <c r="T6179" s="2">
        <f t="shared" si="388"/>
        <v>3.8729898856292007</v>
      </c>
      <c r="U6179" s="2">
        <f t="shared" si="389"/>
        <v>139.76863731008217</v>
      </c>
    </row>
    <row r="6180" spans="1:21" x14ac:dyDescent="0.25">
      <c r="A6180">
        <v>6740965</v>
      </c>
      <c r="B6180">
        <v>10</v>
      </c>
      <c r="C6180" s="1">
        <f>3.25185345631631*(10.3/7.3)</f>
        <v>4.5882315890490348</v>
      </c>
      <c r="D6180" s="1">
        <f>6.61741103097185*(10.3/7.3)</f>
        <v>9.3368950163027478</v>
      </c>
      <c r="E6180" s="1">
        <f>22.5307836273151*(10.3/7.3)</f>
        <v>31.79000977552684</v>
      </c>
      <c r="F6180" s="1">
        <f>68.3240324822257*(38.9/42.5)</f>
        <v>62.536585024907801</v>
      </c>
      <c r="G6180" s="1">
        <v>3.760043913899505</v>
      </c>
      <c r="H6180" s="1">
        <v>10.015450827012668</v>
      </c>
      <c r="I6180" s="1">
        <v>49.785128298526068</v>
      </c>
      <c r="J6180" s="1">
        <v>3.888896243490636E-2</v>
      </c>
      <c r="K6180" s="1">
        <v>2.4361468346309301</v>
      </c>
      <c r="L6180" s="1">
        <v>2.5256485461457991</v>
      </c>
      <c r="M6180" s="1">
        <v>0.196587817967111</v>
      </c>
      <c r="N6180" s="1">
        <v>1.6130839599147915</v>
      </c>
      <c r="O6180" s="1">
        <v>0.16621866666666668</v>
      </c>
      <c r="P6180" s="1">
        <v>0.10408514404501604</v>
      </c>
      <c r="Q6180" s="1">
        <v>6.0092026021225022</v>
      </c>
      <c r="R6180" s="2">
        <f t="shared" si="387"/>
        <v>177.82154704734717</v>
      </c>
      <c r="S6180" s="2">
        <f t="shared" si="386"/>
        <v>2.5791209411108524</v>
      </c>
      <c r="T6180" s="2">
        <f t="shared" si="388"/>
        <v>4.5015389906943684</v>
      </c>
      <c r="U6180" s="2">
        <f t="shared" si="389"/>
        <v>184.9022069791524</v>
      </c>
    </row>
    <row r="6181" spans="1:21" x14ac:dyDescent="0.25">
      <c r="A6181">
        <v>6740997</v>
      </c>
      <c r="B6181">
        <v>43</v>
      </c>
      <c r="C6181" s="1">
        <f>3.52713330169054*(10.3/7.3)</f>
        <v>4.976640138001728</v>
      </c>
      <c r="D6181" s="1">
        <f>6.84132263667552*(10.3/7.3)</f>
        <v>9.6528250901038213</v>
      </c>
      <c r="E6181" s="1">
        <f>23.4351879071453*(10.3/7.3)</f>
        <v>33.066087047068009</v>
      </c>
      <c r="F6181" s="1">
        <f>65.4140130111082*(38.9/42.5)</f>
        <v>59.873061320755539</v>
      </c>
      <c r="G6181" s="1">
        <v>3.4231577608750019</v>
      </c>
      <c r="H6181" s="1">
        <v>11.220440906452113</v>
      </c>
      <c r="I6181" s="1">
        <v>47.120146885991971</v>
      </c>
      <c r="J6181" s="1">
        <v>3.5492129808517341E-2</v>
      </c>
      <c r="K6181" s="1">
        <v>2.3200023233524565</v>
      </c>
      <c r="L6181" s="1">
        <v>2.3407584816427307</v>
      </c>
      <c r="M6181" s="1">
        <v>0.17787840573964009</v>
      </c>
      <c r="N6181" s="1">
        <v>1.5250431827426192</v>
      </c>
      <c r="O6181" s="1">
        <v>0.15412961240310075</v>
      </c>
      <c r="P6181" s="1">
        <v>9.8818029176766825E-2</v>
      </c>
      <c r="Q6181" s="1">
        <v>5.4708000744577703</v>
      </c>
      <c r="R6181" s="2">
        <f t="shared" si="387"/>
        <v>174.80315922370596</v>
      </c>
      <c r="S6181" s="2">
        <f t="shared" si="386"/>
        <v>2.4543124823377407</v>
      </c>
      <c r="T6181" s="2">
        <f t="shared" si="388"/>
        <v>4.1978096825280913</v>
      </c>
      <c r="U6181" s="2">
        <f t="shared" si="389"/>
        <v>181.45528138857179</v>
      </c>
    </row>
    <row r="6182" spans="1:21" x14ac:dyDescent="0.25">
      <c r="A6182">
        <v>6741005</v>
      </c>
      <c r="B6182">
        <v>52</v>
      </c>
      <c r="C6182" s="1">
        <f>2.38035268582981*(10.3/7.3)</f>
        <v>3.358579816992739</v>
      </c>
      <c r="D6182" s="1">
        <f>4.4749358867822*(10.3/7.3)</f>
        <v>6.3139506347748799</v>
      </c>
      <c r="E6182" s="1">
        <f>15.3732706186006*(10.3/7.3)</f>
        <v>21.691053064600879</v>
      </c>
      <c r="F6182" s="1">
        <f>41.3810340893569*(38.9/42.5)</f>
        <v>37.87581708414082</v>
      </c>
      <c r="G6182" s="1">
        <v>2.1114406378647952</v>
      </c>
      <c r="H6182" s="1">
        <v>7.292704908469176</v>
      </c>
      <c r="I6182" s="1">
        <v>29.713130274387524</v>
      </c>
      <c r="J6182" s="1">
        <v>2.6773636507180856E-2</v>
      </c>
      <c r="K6182" s="1">
        <v>1.8427481121455536</v>
      </c>
      <c r="L6182" s="1">
        <v>1.7508608704399167</v>
      </c>
      <c r="M6182" s="1">
        <v>0.13852565010679876</v>
      </c>
      <c r="N6182" s="1">
        <v>1.2036774409272002</v>
      </c>
      <c r="O6182" s="1">
        <v>0.11972923076923081</v>
      </c>
      <c r="P6182" s="1">
        <v>8.0178312355358133E-2</v>
      </c>
      <c r="Q6182" s="1">
        <v>3.3744485080031028</v>
      </c>
      <c r="R6182" s="2">
        <f t="shared" si="387"/>
        <v>111.73112492923391</v>
      </c>
      <c r="S6182" s="2">
        <f t="shared" si="386"/>
        <v>1.9497000610080926</v>
      </c>
      <c r="T6182" s="2">
        <f t="shared" si="388"/>
        <v>3.2127931922431463</v>
      </c>
      <c r="U6182" s="2">
        <f t="shared" si="389"/>
        <v>116.89361818248514</v>
      </c>
    </row>
    <row r="6183" spans="1:21" x14ac:dyDescent="0.25">
      <c r="A6183">
        <v>6741013</v>
      </c>
      <c r="B6183">
        <v>65</v>
      </c>
      <c r="C6183" s="1">
        <f>2.05979978028914*(10.3/7.3)</f>
        <v>2.9062928406819393</v>
      </c>
      <c r="D6183" s="1">
        <f>3.78558589689301*(10.3/7.3)</f>
        <v>5.3413061284928807</v>
      </c>
      <c r="E6183" s="1">
        <f>13.0288904801445*(10.3/7.3)</f>
        <v>18.383229033628535</v>
      </c>
      <c r="F6183" s="1">
        <f>34.3158335194779*(38.9/42.5)</f>
        <v>31.40908056253387</v>
      </c>
      <c r="G6183" s="1">
        <v>1.7225625042411248</v>
      </c>
      <c r="H6183" s="1">
        <v>5.6202159874973461</v>
      </c>
      <c r="I6183" s="1">
        <v>24.614122703562096</v>
      </c>
      <c r="J6183" s="1">
        <v>2.3961959137532358E-2</v>
      </c>
      <c r="K6183" s="1">
        <v>1.6929598570887718</v>
      </c>
      <c r="L6183" s="1">
        <v>1.5605409556359224</v>
      </c>
      <c r="M6183" s="1">
        <v>0.12648496540108639</v>
      </c>
      <c r="N6183" s="1">
        <v>1.1044831398615271</v>
      </c>
      <c r="O6183" s="1">
        <v>0.10768082051282049</v>
      </c>
      <c r="P6183" s="1">
        <v>7.4130325982571021E-2</v>
      </c>
      <c r="Q6183" s="1">
        <v>2.7529537739013441</v>
      </c>
      <c r="R6183" s="2">
        <f t="shared" si="387"/>
        <v>92.749763534539142</v>
      </c>
      <c r="S6183" s="2">
        <f t="shared" si="386"/>
        <v>1.7910521422088752</v>
      </c>
      <c r="T6183" s="2">
        <f t="shared" si="388"/>
        <v>2.8991898814113566</v>
      </c>
      <c r="U6183" s="2">
        <f t="shared" si="389"/>
        <v>97.44000555815937</v>
      </c>
    </row>
    <row r="6184" spans="1:21" x14ac:dyDescent="0.25">
      <c r="A6184">
        <v>6741021</v>
      </c>
      <c r="B6184">
        <v>60</v>
      </c>
      <c r="C6184" s="1">
        <f>3.11365283756633*(10.3/7.3)</f>
        <v>4.3932361954703056</v>
      </c>
      <c r="D6184" s="1">
        <f>5.4399827507156*(10.3/7.3)</f>
        <v>7.6755921003247458</v>
      </c>
      <c r="E6184" s="1">
        <f>18.7207932207518*(10.3/7.3)</f>
        <v>26.414269886814161</v>
      </c>
      <c r="F6184" s="1">
        <f>50.9585908326741*(38.9/42.5)</f>
        <v>46.64209843272991</v>
      </c>
      <c r="G6184" s="1">
        <v>2.6026712673623424</v>
      </c>
      <c r="H6184" s="1">
        <v>7.9313619011206757</v>
      </c>
      <c r="I6184" s="1">
        <v>37.194777145645283</v>
      </c>
      <c r="J6184" s="1">
        <v>2.7552677836996518E-2</v>
      </c>
      <c r="K6184" s="1">
        <v>1.8897499440756904</v>
      </c>
      <c r="L6184" s="1">
        <v>1.7885861572840243</v>
      </c>
      <c r="M6184" s="1">
        <v>0.1379303108221008</v>
      </c>
      <c r="N6184" s="1">
        <v>1.2862601308060022</v>
      </c>
      <c r="O6184" s="1">
        <v>0.12063022222222224</v>
      </c>
      <c r="P6184" s="1">
        <v>8.1400978502937912E-2</v>
      </c>
      <c r="Q6184" s="1">
        <v>4.1595202903051174</v>
      </c>
      <c r="R6184" s="2">
        <f t="shared" si="387"/>
        <v>137.01352721977256</v>
      </c>
      <c r="S6184" s="2">
        <f t="shared" si="386"/>
        <v>1.9987036004156249</v>
      </c>
      <c r="T6184" s="2">
        <f t="shared" si="388"/>
        <v>3.3334068211343495</v>
      </c>
      <c r="U6184" s="2">
        <f t="shared" si="389"/>
        <v>142.34563764132255</v>
      </c>
    </row>
    <row r="6185" spans="1:21" x14ac:dyDescent="0.25">
      <c r="A6185">
        <v>6741077</v>
      </c>
      <c r="B6185">
        <v>15</v>
      </c>
      <c r="C6185" s="1">
        <f>5.92514823412871*(10.3/7.3)</f>
        <v>8.3601406591131191</v>
      </c>
      <c r="D6185" s="1">
        <f>8.31000204136887*(10.3/7.3)</f>
        <v>11.725071373438269</v>
      </c>
      <c r="E6185" s="1">
        <f>29.0166331777701*(10.3/7.3)</f>
        <v>40.941276949456508</v>
      </c>
      <c r="F6185" s="1">
        <f>69.2881112356303*(38.9/42.5)</f>
        <v>63.419000636847471</v>
      </c>
      <c r="G6185" s="1">
        <v>3.1325830986819412</v>
      </c>
      <c r="H6185" s="1">
        <v>8.1684014034101171</v>
      </c>
      <c r="I6185" s="1">
        <v>51.668085690362112</v>
      </c>
      <c r="J6185" s="1">
        <v>2.9412191163534846E-2</v>
      </c>
      <c r="K6185" s="1">
        <v>1.9805222357114192</v>
      </c>
      <c r="L6185" s="1">
        <v>1.8330102951366105</v>
      </c>
      <c r="M6185" s="1">
        <v>0.13126645542518239</v>
      </c>
      <c r="N6185" s="1">
        <v>1.2887494028072497</v>
      </c>
      <c r="O6185" s="1">
        <v>0.11875200000000002</v>
      </c>
      <c r="P6185" s="1">
        <v>8.2706385942211275E-2</v>
      </c>
      <c r="Q6185" s="1">
        <v>5.0064113449254819</v>
      </c>
      <c r="R6185" s="2">
        <f t="shared" si="387"/>
        <v>192.42097115623503</v>
      </c>
      <c r="S6185" s="2">
        <f t="shared" si="386"/>
        <v>2.0926408128171654</v>
      </c>
      <c r="T6185" s="2">
        <f t="shared" si="388"/>
        <v>3.3717781533690427</v>
      </c>
      <c r="U6185" s="2">
        <f t="shared" si="389"/>
        <v>197.88539012242123</v>
      </c>
    </row>
    <row r="6186" spans="1:21" x14ac:dyDescent="0.25">
      <c r="A6186">
        <v>6741085</v>
      </c>
      <c r="B6186">
        <v>37</v>
      </c>
      <c r="C6186" s="1">
        <f>6.74103500624621*(10.3/7.3)</f>
        <v>9.5113233649775353</v>
      </c>
      <c r="D6186" s="1">
        <f>7.74237080216915*(10.3/7.3)</f>
        <v>10.92416702223867</v>
      </c>
      <c r="E6186" s="1">
        <f>27.42918729866*(10.3/7.3)</f>
        <v>38.701456051534024</v>
      </c>
      <c r="F6186" s="1">
        <f>57.7117491758608*(38.9/42.5)</f>
        <v>52.823224539787894</v>
      </c>
      <c r="G6186" s="1">
        <v>2.2177574327193796</v>
      </c>
      <c r="H6186" s="1">
        <v>7.3504064637728836</v>
      </c>
      <c r="I6186" s="1">
        <v>44.64784686817142</v>
      </c>
      <c r="J6186" s="1">
        <v>2.6959940499173992E-2</v>
      </c>
      <c r="K6186" s="1">
        <v>1.837560054215043</v>
      </c>
      <c r="L6186" s="1">
        <v>1.6828204395631989</v>
      </c>
      <c r="M6186" s="1">
        <v>0.12227973420848529</v>
      </c>
      <c r="N6186" s="1">
        <v>1.1964082423798237</v>
      </c>
      <c r="O6186" s="1">
        <v>0.10989981981981982</v>
      </c>
      <c r="P6186" s="1">
        <v>7.7559660412803405E-2</v>
      </c>
      <c r="Q6186" s="1">
        <v>3.54436119384376</v>
      </c>
      <c r="R6186" s="2">
        <f t="shared" si="387"/>
        <v>169.72054293704556</v>
      </c>
      <c r="S6186" s="2">
        <f t="shared" si="386"/>
        <v>1.9420796551270205</v>
      </c>
      <c r="T6186" s="2">
        <f t="shared" si="388"/>
        <v>3.1114082359713282</v>
      </c>
      <c r="U6186" s="2">
        <f t="shared" si="389"/>
        <v>174.77403082814394</v>
      </c>
    </row>
    <row r="6187" spans="1:21" x14ac:dyDescent="0.25">
      <c r="A6187">
        <v>6741093</v>
      </c>
      <c r="B6187">
        <v>18</v>
      </c>
      <c r="C6187" s="1">
        <f>5.09525857462834*(10.3/7.3)</f>
        <v>7.1892004546125925</v>
      </c>
      <c r="D6187" s="1">
        <f>6.47010721972471*(10.3/7.3)</f>
        <v>9.1290553922143243</v>
      </c>
      <c r="E6187" s="1">
        <f>22.8039675144525*(10.3/7.3)</f>
        <v>32.175461013542623</v>
      </c>
      <c r="F6187" s="1">
        <f>48.5297332721165*(38.9/42.5)</f>
        <v>44.418979394948948</v>
      </c>
      <c r="G6187" s="1">
        <v>1.9288649984444011</v>
      </c>
      <c r="H6187" s="1">
        <v>7.1707155372947007</v>
      </c>
      <c r="I6187" s="1">
        <v>36.39924178265295</v>
      </c>
      <c r="J6187" s="1">
        <v>2.5712400367490916E-2</v>
      </c>
      <c r="K6187" s="1">
        <v>1.764628163530223</v>
      </c>
      <c r="L6187" s="1">
        <v>1.6031539844847338</v>
      </c>
      <c r="M6187" s="1">
        <v>0.1163701114092875</v>
      </c>
      <c r="N6187" s="1">
        <v>1.1302909395002303</v>
      </c>
      <c r="O6187" s="1">
        <v>0.1053748148148148</v>
      </c>
      <c r="P6187" s="1">
        <v>7.4648722452499205E-2</v>
      </c>
      <c r="Q6187" s="1">
        <v>3.0826609564179956</v>
      </c>
      <c r="R6187" s="2">
        <f t="shared" si="387"/>
        <v>141.49417953012849</v>
      </c>
      <c r="S6187" s="2">
        <f t="shared" si="386"/>
        <v>1.8649892863502131</v>
      </c>
      <c r="T6187" s="2">
        <f t="shared" si="388"/>
        <v>2.9551898502090661</v>
      </c>
      <c r="U6187" s="2">
        <f t="shared" si="389"/>
        <v>146.31435866668775</v>
      </c>
    </row>
    <row r="6188" spans="1:21" x14ac:dyDescent="0.25">
      <c r="A6188">
        <v>6752617</v>
      </c>
      <c r="B6188">
        <v>5</v>
      </c>
      <c r="C6188" s="1">
        <f>0.33308347215974*(10.3/7.3)</f>
        <v>0.46996709085552407</v>
      </c>
      <c r="D6188" s="1">
        <f>0.62214258551872*(10.3/7.3)</f>
        <v>0.87781762066340019</v>
      </c>
      <c r="E6188" s="1">
        <f>2.11998326710174*(10.3/7.3)</f>
        <v>2.9912092672805342</v>
      </c>
      <c r="F6188" s="1">
        <f>6.61505136072527*(38.9/42.5)</f>
        <v>6.0547175984050083</v>
      </c>
      <c r="G6188" s="1">
        <v>0.36744225509474499</v>
      </c>
      <c r="H6188" s="1">
        <v>1.4323142717461101</v>
      </c>
      <c r="I6188" s="1">
        <v>4.9136384532115427</v>
      </c>
      <c r="J6188" s="1">
        <v>1.8632756338697307E-2</v>
      </c>
      <c r="K6188" s="1">
        <v>1.9345191977026204</v>
      </c>
      <c r="L6188" s="1">
        <v>1.1488186686268536</v>
      </c>
      <c r="M6188" s="1">
        <v>0.20321990220414241</v>
      </c>
      <c r="N6188" s="1">
        <v>0.67715416006099427</v>
      </c>
      <c r="O6188" s="1">
        <v>0.18352000000000002</v>
      </c>
      <c r="P6188" s="1">
        <v>8.6842753010825474E-2</v>
      </c>
      <c r="Q6188" s="1">
        <v>0.58723648074502688</v>
      </c>
      <c r="R6188" s="2">
        <f t="shared" si="387"/>
        <v>17.694343038001893</v>
      </c>
      <c r="S6188" s="2">
        <f t="shared" si="386"/>
        <v>2.0399947070521431</v>
      </c>
      <c r="T6188" s="2">
        <f t="shared" si="388"/>
        <v>2.2127127308919903</v>
      </c>
      <c r="U6188" s="2">
        <f t="shared" si="389"/>
        <v>21.947050475946025</v>
      </c>
    </row>
    <row r="6189" spans="1:21" x14ac:dyDescent="0.25">
      <c r="A6189">
        <v>6752625</v>
      </c>
      <c r="B6189">
        <v>28</v>
      </c>
      <c r="C6189" s="1">
        <f>0.513938677798081*(10.3/7.3)</f>
        <v>0.72514635360551161</v>
      </c>
      <c r="D6189" s="1">
        <f>1.08288194816445*(10.3/7.3)</f>
        <v>1.527901926862169</v>
      </c>
      <c r="E6189" s="1">
        <f>3.6559486653862*(10.3/7.3)</f>
        <v>5.1583933223942342</v>
      </c>
      <c r="F6189" s="1">
        <f>12.5010438359757*(38.9/42.5)</f>
        <v>11.44213188751654</v>
      </c>
      <c r="G6189" s="1">
        <v>0.73047928646725213</v>
      </c>
      <c r="H6189" s="1">
        <v>3.0656098571025336</v>
      </c>
      <c r="I6189" s="1">
        <v>9.2986320461040126</v>
      </c>
      <c r="J6189" s="1">
        <v>2.7670234786803648E-2</v>
      </c>
      <c r="K6189" s="1">
        <v>2.4247301244194701</v>
      </c>
      <c r="L6189" s="1">
        <v>1.4825215783081824</v>
      </c>
      <c r="M6189" s="1">
        <v>0.24544095920048445</v>
      </c>
      <c r="N6189" s="1">
        <v>0.9655300334387602</v>
      </c>
      <c r="O6189" s="1">
        <v>0.24432761904761904</v>
      </c>
      <c r="P6189" s="1">
        <v>0.10412132749250265</v>
      </c>
      <c r="Q6189" s="1">
        <v>1.1674326496051985</v>
      </c>
      <c r="R6189" s="2">
        <f t="shared" si="387"/>
        <v>33.115727329657446</v>
      </c>
      <c r="S6189" s="2">
        <f t="shared" si="386"/>
        <v>2.5565216866987766</v>
      </c>
      <c r="T6189" s="2">
        <f t="shared" si="388"/>
        <v>2.9378201899950462</v>
      </c>
      <c r="U6189" s="2">
        <f t="shared" si="389"/>
        <v>38.61006920635127</v>
      </c>
    </row>
    <row r="6190" spans="1:21" x14ac:dyDescent="0.25">
      <c r="A6190">
        <v>6753065</v>
      </c>
      <c r="B6190">
        <v>67</v>
      </c>
      <c r="C6190" s="1">
        <f>1.51867476987956*(10.3/7.3)</f>
        <v>2.1427876890081428</v>
      </c>
      <c r="D6190" s="1">
        <f>3.13531830950711*(10.3/7.3)</f>
        <v>4.4238052860168846</v>
      </c>
      <c r="E6190" s="1">
        <f>10.6380680872511*(10.3/7.3)</f>
        <v>15.009876890231016</v>
      </c>
      <c r="F6190" s="1">
        <f>33.9424236631607*(38.9/42.5)</f>
        <v>31.067300717575286</v>
      </c>
      <c r="G6190" s="1">
        <v>1.9185456450351639</v>
      </c>
      <c r="H6190" s="1">
        <v>6.4652378438373193</v>
      </c>
      <c r="I6190" s="1">
        <v>24.957196471281421</v>
      </c>
      <c r="J6190" s="1">
        <v>2.398752748494842E-2</v>
      </c>
      <c r="K6190" s="1">
        <v>1.9764821446284728</v>
      </c>
      <c r="L6190" s="1">
        <v>1.963487050718854</v>
      </c>
      <c r="M6190" s="1">
        <v>0.18723354253515173</v>
      </c>
      <c r="N6190" s="1">
        <v>1.084739493981479</v>
      </c>
      <c r="O6190" s="1">
        <v>0.14756457711442786</v>
      </c>
      <c r="P6190" s="1">
        <v>8.7510728244853647E-2</v>
      </c>
      <c r="Q6190" s="1">
        <v>3.0661688390972968</v>
      </c>
      <c r="R6190" s="2">
        <f t="shared" si="387"/>
        <v>89.05091938208254</v>
      </c>
      <c r="S6190" s="2">
        <f t="shared" si="386"/>
        <v>2.0879804003582749</v>
      </c>
      <c r="T6190" s="2">
        <f t="shared" si="388"/>
        <v>3.3830246643499122</v>
      </c>
      <c r="U6190" s="2">
        <f t="shared" si="389"/>
        <v>94.521924446790734</v>
      </c>
    </row>
    <row r="6191" spans="1:21" x14ac:dyDescent="0.25">
      <c r="A6191">
        <v>6753073</v>
      </c>
      <c r="B6191">
        <v>67</v>
      </c>
      <c r="C6191" s="1">
        <f>2.32863385452814*(10.3/7.3)</f>
        <v>3.2856066714575194</v>
      </c>
      <c r="D6191" s="1">
        <f>4.76215152841073*(10.3/7.3)</f>
        <v>6.7192001017302152</v>
      </c>
      <c r="E6191" s="1">
        <f>16.195229691414*(10.3/7.3)</f>
        <v>22.850803537200562</v>
      </c>
      <c r="F6191" s="1">
        <f>49.9647265443598*(38.9/42.5)</f>
        <v>45.732420295896368</v>
      </c>
      <c r="G6191" s="1">
        <v>2.7753678130272963</v>
      </c>
      <c r="H6191" s="1">
        <v>7.9363169707721006</v>
      </c>
      <c r="I6191" s="1">
        <v>36.520475895982152</v>
      </c>
      <c r="J6191" s="1">
        <v>3.0363732772661033E-2</v>
      </c>
      <c r="K6191" s="1">
        <v>2.3782615406430825</v>
      </c>
      <c r="L6191" s="1">
        <v>2.4840268268551435</v>
      </c>
      <c r="M6191" s="1">
        <v>0.227418671508859</v>
      </c>
      <c r="N6191" s="1">
        <v>1.2968803958194453</v>
      </c>
      <c r="O6191" s="1">
        <v>0.18227024875621883</v>
      </c>
      <c r="P6191" s="1">
        <v>0.10323428000547799</v>
      </c>
      <c r="Q6191" s="1">
        <v>4.4355193358883787</v>
      </c>
      <c r="R6191" s="2">
        <f t="shared" si="387"/>
        <v>130.25571062195459</v>
      </c>
      <c r="S6191" s="2">
        <f t="shared" si="386"/>
        <v>2.5118595534212216</v>
      </c>
      <c r="T6191" s="2">
        <f t="shared" si="388"/>
        <v>4.1905961429396665</v>
      </c>
      <c r="U6191" s="2">
        <f t="shared" si="389"/>
        <v>136.95816631831548</v>
      </c>
    </row>
    <row r="6192" spans="1:21" x14ac:dyDescent="0.25">
      <c r="A6192">
        <v>6753081</v>
      </c>
      <c r="B6192">
        <v>67</v>
      </c>
      <c r="C6192" s="1">
        <f>3.33302473206922*(10.3/7.3)</f>
        <v>4.7027609233305387</v>
      </c>
      <c r="D6192" s="1">
        <f>6.93998242974497*(10.3/7.3)</f>
        <v>9.7920300036127621</v>
      </c>
      <c r="E6192" s="1">
        <f>23.5962154437632*(10.3/7.3)</f>
        <v>33.293290283665939</v>
      </c>
      <c r="F6192" s="1">
        <f>72.4685700793156*(38.9/42.5)</f>
        <v>66.330055907891236</v>
      </c>
      <c r="G6192" s="1">
        <v>4.0204375258908636</v>
      </c>
      <c r="H6192" s="1">
        <v>9.8492412461519834</v>
      </c>
      <c r="I6192" s="1">
        <v>52.776481604836562</v>
      </c>
      <c r="J6192" s="1">
        <v>3.9319932607561184E-2</v>
      </c>
      <c r="K6192" s="1">
        <v>2.9301000108238346</v>
      </c>
      <c r="L6192" s="1">
        <v>3.1992567118716093</v>
      </c>
      <c r="M6192" s="1">
        <v>0.28177505905426503</v>
      </c>
      <c r="N6192" s="1">
        <v>1.6313246347805483</v>
      </c>
      <c r="O6192" s="1">
        <v>0.22574805970149253</v>
      </c>
      <c r="P6192" s="1">
        <v>0.12386400957007548</v>
      </c>
      <c r="Q6192" s="1">
        <v>6.4253567765379174</v>
      </c>
      <c r="R6192" s="2">
        <f t="shared" si="387"/>
        <v>187.18965427191779</v>
      </c>
      <c r="S6192" s="2">
        <f t="shared" si="386"/>
        <v>3.0932839530014715</v>
      </c>
      <c r="T6192" s="2">
        <f t="shared" si="388"/>
        <v>5.3381044654079162</v>
      </c>
      <c r="U6192" s="2">
        <f t="shared" si="389"/>
        <v>195.62104269032719</v>
      </c>
    </row>
    <row r="6193" spans="1:21" x14ac:dyDescent="0.25">
      <c r="A6193">
        <v>6753089</v>
      </c>
      <c r="B6193">
        <v>66</v>
      </c>
      <c r="C6193" s="1">
        <f>1.66624170414421*(10.3/7.3)</f>
        <v>2.3509985688610153</v>
      </c>
      <c r="D6193" s="1">
        <f>3.45581300767978*(10.3/7.3)</f>
        <v>4.8760101341235327</v>
      </c>
      <c r="E6193" s="1">
        <f>11.7528568880795*(10.3/7.3)</f>
        <v>16.582798074961527</v>
      </c>
      <c r="F6193" s="1">
        <f>36.0087669774841*(38.9/42.5)</f>
        <v>32.958612598214899</v>
      </c>
      <c r="G6193" s="1">
        <v>1.9947430084573203</v>
      </c>
      <c r="H6193" s="1">
        <v>6.3907120162485107</v>
      </c>
      <c r="I6193" s="1">
        <v>26.224887690750087</v>
      </c>
      <c r="J6193" s="1">
        <v>2.470470376611756E-2</v>
      </c>
      <c r="K6193" s="1">
        <v>1.9740734280804777</v>
      </c>
      <c r="L6193" s="1">
        <v>1.9483317389672747</v>
      </c>
      <c r="M6193" s="1">
        <v>0.18426002063764846</v>
      </c>
      <c r="N6193" s="1">
        <v>1.0937737345237717</v>
      </c>
      <c r="O6193" s="1">
        <v>0.14406787878787877</v>
      </c>
      <c r="P6193" s="1">
        <v>8.7657809462063321E-2</v>
      </c>
      <c r="Q6193" s="1">
        <v>3.1879454473062241</v>
      </c>
      <c r="R6193" s="2">
        <f t="shared" si="387"/>
        <v>94.566707538923112</v>
      </c>
      <c r="S6193" s="2">
        <f t="shared" si="386"/>
        <v>2.0864359413086588</v>
      </c>
      <c r="T6193" s="2">
        <f t="shared" si="388"/>
        <v>3.3704333729165734</v>
      </c>
      <c r="U6193" s="2">
        <f t="shared" si="389"/>
        <v>100.02357685314836</v>
      </c>
    </row>
    <row r="6194" spans="1:21" x14ac:dyDescent="0.25">
      <c r="A6194">
        <v>6753097</v>
      </c>
      <c r="B6194">
        <v>66</v>
      </c>
      <c r="C6194" s="1">
        <f>2.28322588644179*(10.3/7.3)</f>
        <v>3.2215378945685478</v>
      </c>
      <c r="D6194" s="1">
        <f>4.92759987507078*(10.3/7.3)</f>
        <v>6.9526409196204213</v>
      </c>
      <c r="E6194" s="1">
        <f>16.7298652656679*(10.3/7.3)</f>
        <v>23.605152361147802</v>
      </c>
      <c r="F6194" s="1">
        <f>51.7879584357491*(38.9/42.5)</f>
        <v>47.401213721191574</v>
      </c>
      <c r="G6194" s="1">
        <v>2.8909483887301368</v>
      </c>
      <c r="H6194" s="1">
        <v>8.1061361637697793</v>
      </c>
      <c r="I6194" s="1">
        <v>37.590180463044476</v>
      </c>
      <c r="J6194" s="1">
        <v>3.0399083208304613E-2</v>
      </c>
      <c r="K6194" s="1">
        <v>2.3230391027751613</v>
      </c>
      <c r="L6194" s="1">
        <v>2.3983654834882695</v>
      </c>
      <c r="M6194" s="1">
        <v>0.21518883475155698</v>
      </c>
      <c r="N6194" s="1">
        <v>1.3080334422648385</v>
      </c>
      <c r="O6194" s="1">
        <v>0.17153616161616161</v>
      </c>
      <c r="P6194" s="1">
        <v>0.10138385281486885</v>
      </c>
      <c r="Q6194" s="1">
        <v>4.6202371509385811</v>
      </c>
      <c r="R6194" s="2">
        <f t="shared" si="387"/>
        <v>134.3880470630113</v>
      </c>
      <c r="S6194" s="2">
        <f t="shared" si="386"/>
        <v>2.4548220387983348</v>
      </c>
      <c r="T6194" s="2">
        <f t="shared" si="388"/>
        <v>4.0931239221208271</v>
      </c>
      <c r="U6194" s="2">
        <f t="shared" si="389"/>
        <v>140.93599302393048</v>
      </c>
    </row>
    <row r="6195" spans="1:21" x14ac:dyDescent="0.25">
      <c r="A6195">
        <v>6753105</v>
      </c>
      <c r="B6195">
        <v>15</v>
      </c>
      <c r="C6195" s="1">
        <f>1.42041479406524*(10.3/7.3)</f>
        <v>2.0041469012153352</v>
      </c>
      <c r="D6195" s="1">
        <f>3.05580543322078*(10.3/7.3)</f>
        <v>4.311615885229326</v>
      </c>
      <c r="E6195" s="1">
        <f>10.365688258162*(10.3/7.3)</f>
        <v>14.625560145077834</v>
      </c>
      <c r="F6195" s="1">
        <f>32.6061500925375*(38.9/42.5)</f>
        <v>29.844217378816634</v>
      </c>
      <c r="G6195" s="1">
        <v>1.8345289019476578</v>
      </c>
      <c r="H6195" s="1">
        <v>7.4070085760278825</v>
      </c>
      <c r="I6195" s="1">
        <v>23.763648596380811</v>
      </c>
      <c r="J6195" s="1">
        <v>2.3387973349286696E-2</v>
      </c>
      <c r="K6195" s="1">
        <v>1.8458106041179503</v>
      </c>
      <c r="L6195" s="1">
        <v>1.7891829701799535</v>
      </c>
      <c r="M6195" s="1">
        <v>0.16587121585265316</v>
      </c>
      <c r="N6195" s="1">
        <v>1.0411835932533884</v>
      </c>
      <c r="O6195" s="1">
        <v>0.13028977777777778</v>
      </c>
      <c r="P6195" s="1">
        <v>8.1805389094282449E-2</v>
      </c>
      <c r="Q6195" s="1">
        <v>2.9318955053958047</v>
      </c>
      <c r="R6195" s="2">
        <f t="shared" si="387"/>
        <v>86.72262189009129</v>
      </c>
      <c r="S6195" s="2">
        <f t="shared" si="386"/>
        <v>1.9510039665615195</v>
      </c>
      <c r="T6195" s="2">
        <f t="shared" si="388"/>
        <v>3.1265275570637727</v>
      </c>
      <c r="U6195" s="2">
        <f t="shared" si="389"/>
        <v>91.800153413716572</v>
      </c>
    </row>
    <row r="6196" spans="1:21" x14ac:dyDescent="0.25">
      <c r="A6196">
        <v>6753177</v>
      </c>
      <c r="B6196">
        <v>3</v>
      </c>
      <c r="C6196" s="1">
        <f>2.74967386995599*(10.3/7.3)</f>
        <v>3.8796768302118738</v>
      </c>
      <c r="D6196" s="1">
        <f>5.54867168024401*(10.3/7.3)</f>
        <v>7.8289477132210035</v>
      </c>
      <c r="E6196" s="1">
        <f>18.8774614119898*(10.3/7.3)</f>
        <v>26.635322266232198</v>
      </c>
      <c r="F6196" s="1">
        <f>58.2241471836596*(38.9/42.5)</f>
        <v>53.292219422220199</v>
      </c>
      <c r="G6196" s="1">
        <v>3.2310083245984216</v>
      </c>
      <c r="H6196" s="1">
        <v>9.2632395013723947</v>
      </c>
      <c r="I6196" s="1">
        <v>42.638917983034311</v>
      </c>
      <c r="J6196" s="1">
        <v>3.2386959877595406E-2</v>
      </c>
      <c r="K6196" s="1">
        <v>2.1849104740370731</v>
      </c>
      <c r="L6196" s="1">
        <v>2.2357088723263723</v>
      </c>
      <c r="M6196" s="1">
        <v>0.18004323795407862</v>
      </c>
      <c r="N6196" s="1">
        <v>1.8074663051711968</v>
      </c>
      <c r="O6196" s="1">
        <v>0.15052444444444443</v>
      </c>
      <c r="P6196" s="1">
        <v>9.4460595396474153E-2</v>
      </c>
      <c r="Q6196" s="1">
        <v>5.1637119342897195</v>
      </c>
      <c r="R6196" s="2">
        <f t="shared" si="387"/>
        <v>151.93304397518014</v>
      </c>
      <c r="S6196" s="2">
        <f t="shared" si="386"/>
        <v>2.3117580293111426</v>
      </c>
      <c r="T6196" s="2">
        <f t="shared" si="388"/>
        <v>4.3737428598960921</v>
      </c>
      <c r="U6196" s="2">
        <f t="shared" si="389"/>
        <v>158.61854486438736</v>
      </c>
    </row>
    <row r="6197" spans="1:21" x14ac:dyDescent="0.25">
      <c r="A6197">
        <v>6753185</v>
      </c>
      <c r="B6197">
        <v>23</v>
      </c>
      <c r="C6197" s="1">
        <f>2.50896131004551*(10.3/7.3)</f>
        <v>3.5400413004751767</v>
      </c>
      <c r="D6197" s="1">
        <f>5.03174532383653*(10.3/7.3)</f>
        <v>7.0995858678789387</v>
      </c>
      <c r="E6197" s="1">
        <f>17.1370810647714*(10.3/7.3)</f>
        <v>24.179717118787085</v>
      </c>
      <c r="F6197" s="1">
        <f>52.0690447921809*(38.9/42.5)</f>
        <v>47.65849040978437</v>
      </c>
      <c r="G6197" s="1">
        <v>2.8657545753011182</v>
      </c>
      <c r="H6197" s="1">
        <v>9.4269097498160708</v>
      </c>
      <c r="I6197" s="1">
        <v>38.040969297275268</v>
      </c>
      <c r="J6197" s="1">
        <v>3.2621750485494816E-2</v>
      </c>
      <c r="K6197" s="1">
        <v>2.1812507623541975</v>
      </c>
      <c r="L6197" s="1">
        <v>2.2090674211699657</v>
      </c>
      <c r="M6197" s="1">
        <v>0.17767920731681081</v>
      </c>
      <c r="N6197" s="1">
        <v>1.4151725953445762</v>
      </c>
      <c r="O6197" s="1">
        <v>0.14833391304347826</v>
      </c>
      <c r="P6197" s="1">
        <v>9.4356445356431215E-2</v>
      </c>
      <c r="Q6197" s="1">
        <v>4.5799730655497379</v>
      </c>
      <c r="R6197" s="2">
        <f t="shared" si="387"/>
        <v>137.39144138486779</v>
      </c>
      <c r="S6197" s="2">
        <f t="shared" si="386"/>
        <v>2.3082289581961235</v>
      </c>
      <c r="T6197" s="2">
        <f t="shared" si="388"/>
        <v>3.9502531368748306</v>
      </c>
      <c r="U6197" s="2">
        <f t="shared" si="389"/>
        <v>143.64992347993874</v>
      </c>
    </row>
    <row r="6198" spans="1:21" x14ac:dyDescent="0.25">
      <c r="A6198">
        <v>6753193</v>
      </c>
      <c r="B6198">
        <v>23</v>
      </c>
      <c r="C6198" s="1">
        <f>3.55908363412871*(10.3/7.3)</f>
        <v>5.0217207440446199</v>
      </c>
      <c r="D6198" s="1">
        <f>7.48356059661797*(10.3/7.3)</f>
        <v>10.558996458241792</v>
      </c>
      <c r="E6198" s="1">
        <f>25.3738630302855*(10.3/7.3)</f>
        <v>35.801477974238381</v>
      </c>
      <c r="F6198" s="1">
        <f>81.2116965682752*(38.9/42.5)</f>
        <v>74.332588153080124</v>
      </c>
      <c r="G6198" s="1">
        <v>4.602206571140897</v>
      </c>
      <c r="H6198" s="1">
        <v>9.5184813552064806</v>
      </c>
      <c r="I6198" s="1">
        <v>59.601405513023259</v>
      </c>
      <c r="J6198" s="1">
        <v>4.1640218853662765E-2</v>
      </c>
      <c r="K6198" s="1">
        <v>2.5839779501214757</v>
      </c>
      <c r="L6198" s="1">
        <v>2.7086616332579037</v>
      </c>
      <c r="M6198" s="1">
        <v>0.20966209821159412</v>
      </c>
      <c r="N6198" s="1">
        <v>1.7075319504514592</v>
      </c>
      <c r="O6198" s="1">
        <v>0.17676289855072461</v>
      </c>
      <c r="P6198" s="1">
        <v>0.10973451295179822</v>
      </c>
      <c r="Q6198" s="1">
        <v>7.3551246570745006</v>
      </c>
      <c r="R6198" s="2">
        <f t="shared" si="387"/>
        <v>206.79200142605004</v>
      </c>
      <c r="S6198" s="2">
        <f t="shared" si="386"/>
        <v>2.7353526819269369</v>
      </c>
      <c r="T6198" s="2">
        <f t="shared" si="388"/>
        <v>4.8026185804716812</v>
      </c>
      <c r="U6198" s="2">
        <f t="shared" si="389"/>
        <v>214.32997268844866</v>
      </c>
    </row>
    <row r="6199" spans="1:21" x14ac:dyDescent="0.25">
      <c r="A6199">
        <v>6753225</v>
      </c>
      <c r="B6199">
        <v>16</v>
      </c>
      <c r="C6199" s="1">
        <f>3.12278201768718*(10.3/7.3)</f>
        <v>4.4061170934490343</v>
      </c>
      <c r="D6199" s="1">
        <f>6.25807428935313*(10.3/7.3)</f>
        <v>8.8298856411420843</v>
      </c>
      <c r="E6199" s="1">
        <f>21.3771111840512*(10.3/7.3)</f>
        <v>30.162225369277721</v>
      </c>
      <c r="F6199" s="1">
        <f>61.7092580358424*(38.9/42.5)</f>
        <v>56.482120884571046</v>
      </c>
      <c r="G6199" s="1">
        <v>3.3018006325738698</v>
      </c>
      <c r="H6199" s="1">
        <v>11.212839021412989</v>
      </c>
      <c r="I6199" s="1">
        <v>44.564564570880833</v>
      </c>
      <c r="J6199" s="1">
        <v>3.3075242887047537E-2</v>
      </c>
      <c r="K6199" s="1">
        <v>2.1864498795771565</v>
      </c>
      <c r="L6199" s="1">
        <v>2.1924831010852461</v>
      </c>
      <c r="M6199" s="1">
        <v>0.16879402890605705</v>
      </c>
      <c r="N6199" s="1">
        <v>1.4275248162613827</v>
      </c>
      <c r="O6199" s="1">
        <v>0.14563000000000001</v>
      </c>
      <c r="P6199" s="1">
        <v>9.354540584841925E-2</v>
      </c>
      <c r="Q6199" s="1">
        <v>5.2768503260313029</v>
      </c>
      <c r="R6199" s="2">
        <f t="shared" si="387"/>
        <v>164.23640353933888</v>
      </c>
      <c r="S6199" s="2">
        <f t="shared" si="386"/>
        <v>2.3130705283126232</v>
      </c>
      <c r="T6199" s="2">
        <f t="shared" si="388"/>
        <v>3.9344319462526864</v>
      </c>
      <c r="U6199" s="2">
        <f t="shared" si="389"/>
        <v>170.4839060139042</v>
      </c>
    </row>
    <row r="6200" spans="1:21" x14ac:dyDescent="0.25">
      <c r="A6200">
        <v>6753233</v>
      </c>
      <c r="B6200">
        <v>57</v>
      </c>
      <c r="C6200" s="1">
        <f>3.48132194382846*(10.3/7.3)</f>
        <v>4.9120021947168659</v>
      </c>
      <c r="D6200" s="1">
        <f>6.63146021641607*(10.3/7.3)</f>
        <v>9.3567178396007549</v>
      </c>
      <c r="E6200" s="1">
        <f>22.7493148075426*(10.3/7.3)</f>
        <v>32.098348290094364</v>
      </c>
      <c r="F6200" s="1">
        <f>62.4347433110831*(38.9/42.5)</f>
        <v>57.146153289438431</v>
      </c>
      <c r="G6200" s="1">
        <v>3.2287871310820999</v>
      </c>
      <c r="H6200" s="1">
        <v>8.9473675544088671</v>
      </c>
      <c r="I6200" s="1">
        <v>44.934085509765815</v>
      </c>
      <c r="J6200" s="1">
        <v>3.4988415991626172E-2</v>
      </c>
      <c r="K6200" s="1">
        <v>2.3075727613223127</v>
      </c>
      <c r="L6200" s="1">
        <v>2.3128162630535916</v>
      </c>
      <c r="M6200" s="1">
        <v>0.17647192860596861</v>
      </c>
      <c r="N6200" s="1">
        <v>1.5172832603449231</v>
      </c>
      <c r="O6200" s="1">
        <v>0.1527812865497076</v>
      </c>
      <c r="P6200" s="1">
        <v>9.832652164092387E-2</v>
      </c>
      <c r="Q6200" s="1">
        <v>5.1601620816380658</v>
      </c>
      <c r="R6200" s="2">
        <f t="shared" si="387"/>
        <v>165.78362389074528</v>
      </c>
      <c r="S6200" s="2">
        <f t="shared" si="386"/>
        <v>2.4408876989548629</v>
      </c>
      <c r="T6200" s="2">
        <f t="shared" si="388"/>
        <v>4.1593527385541913</v>
      </c>
      <c r="U6200" s="2">
        <f t="shared" si="389"/>
        <v>172.38386432825433</v>
      </c>
    </row>
    <row r="6201" spans="1:21" x14ac:dyDescent="0.25">
      <c r="A6201">
        <v>6753241</v>
      </c>
      <c r="B6201">
        <v>57</v>
      </c>
      <c r="C6201" s="1">
        <f>2.02615933403215*(10.3/7.3)</f>
        <v>2.8588275534974215</v>
      </c>
      <c r="D6201" s="1">
        <f>3.7583854352401*(10.3/7.3)</f>
        <v>5.3029273949278064</v>
      </c>
      <c r="E6201" s="1">
        <f>12.9241853836978*(10.3/7.3)</f>
        <v>18.235494445491373</v>
      </c>
      <c r="F6201" s="1">
        <f>34.4171796587516*(38.9/42.5)</f>
        <v>31.501842087657387</v>
      </c>
      <c r="G6201" s="1">
        <v>1.7418298376215597</v>
      </c>
      <c r="H6201" s="1">
        <v>5.356151029033791</v>
      </c>
      <c r="I6201" s="1">
        <v>24.70982785133441</v>
      </c>
      <c r="J6201" s="1">
        <v>2.458750471880098E-2</v>
      </c>
      <c r="K6201" s="1">
        <v>1.7367877557750757</v>
      </c>
      <c r="L6201" s="1">
        <v>1.613214154406122</v>
      </c>
      <c r="M6201" s="1">
        <v>0.13066610741151669</v>
      </c>
      <c r="N6201" s="1">
        <v>1.1289572393423526</v>
      </c>
      <c r="O6201" s="1">
        <v>0.11134035087719293</v>
      </c>
      <c r="P6201" s="1">
        <v>7.5998712695605652E-2</v>
      </c>
      <c r="Q6201" s="1">
        <v>2.7837463158335471</v>
      </c>
      <c r="R6201" s="2">
        <f t="shared" si="387"/>
        <v>92.490646515397302</v>
      </c>
      <c r="S6201" s="2">
        <f t="shared" si="386"/>
        <v>1.8373739731894823</v>
      </c>
      <c r="T6201" s="2">
        <f t="shared" si="388"/>
        <v>2.9841778520371842</v>
      </c>
      <c r="U6201" s="2">
        <f t="shared" si="389"/>
        <v>97.312198340623965</v>
      </c>
    </row>
    <row r="6202" spans="1:21" x14ac:dyDescent="0.25">
      <c r="A6202">
        <v>6753249</v>
      </c>
      <c r="B6202">
        <v>57</v>
      </c>
      <c r="C6202" s="1">
        <f>2.16023693382457*(10.3/7.3)</f>
        <v>3.048005536766178</v>
      </c>
      <c r="D6202" s="1">
        <f>3.88825887715197*(10.3/7.3)</f>
        <v>5.486173484200731</v>
      </c>
      <c r="E6202" s="1">
        <f>13.3914872992343*(10.3/7.3)</f>
        <v>18.894838244125118</v>
      </c>
      <c r="F6202" s="1">
        <f>35.247866197249*(38.9/42.5)</f>
        <v>32.26216458995264</v>
      </c>
      <c r="G6202" s="1">
        <v>1.7652841352600113</v>
      </c>
      <c r="H6202" s="1">
        <v>6.3244517679438124</v>
      </c>
      <c r="I6202" s="1">
        <v>25.38097107237159</v>
      </c>
      <c r="J6202" s="1">
        <v>2.4363433783551366E-2</v>
      </c>
      <c r="K6202" s="1">
        <v>1.725273174978152</v>
      </c>
      <c r="L6202" s="1">
        <v>1.5915226664737772</v>
      </c>
      <c r="M6202" s="1">
        <v>0.12763936760906044</v>
      </c>
      <c r="N6202" s="1">
        <v>1.136284842800408</v>
      </c>
      <c r="O6202" s="1">
        <v>0.10932678362573101</v>
      </c>
      <c r="P6202" s="1">
        <v>7.5233671163051408E-2</v>
      </c>
      <c r="Q6202" s="1">
        <v>2.821230353155272</v>
      </c>
      <c r="R6202" s="2">
        <f t="shared" si="387"/>
        <v>95.983119183775358</v>
      </c>
      <c r="S6202" s="2">
        <f t="shared" si="386"/>
        <v>1.8248702799247549</v>
      </c>
      <c r="T6202" s="2">
        <f t="shared" si="388"/>
        <v>2.9647736605089765</v>
      </c>
      <c r="U6202" s="2">
        <f t="shared" si="389"/>
        <v>100.77276312420909</v>
      </c>
    </row>
    <row r="6203" spans="1:21" x14ac:dyDescent="0.25">
      <c r="A6203">
        <v>6753257</v>
      </c>
      <c r="B6203">
        <v>38</v>
      </c>
      <c r="C6203" s="1">
        <f>4.44106894040386*(10.3/7.3)</f>
        <v>6.2661657652273668</v>
      </c>
      <c r="D6203" s="1">
        <f>7.65784815661062*(10.3/7.3)</f>
        <v>10.804909042888962</v>
      </c>
      <c r="E6203" s="1">
        <f>26.3745379525817*(10.3/7.3)</f>
        <v>37.213389165971499</v>
      </c>
      <c r="F6203" s="1">
        <f>71.2838593848466*(38.9/42.5)</f>
        <v>65.2456971781302</v>
      </c>
      <c r="G6203" s="1">
        <v>3.6197077781178457</v>
      </c>
      <c r="H6203" s="1">
        <v>9.7681337001802344</v>
      </c>
      <c r="I6203" s="1">
        <v>52.080055834455742</v>
      </c>
      <c r="J6203" s="1">
        <v>3.3037584453702223E-2</v>
      </c>
      <c r="K6203" s="1">
        <v>2.2041651102467492</v>
      </c>
      <c r="L6203" s="1">
        <v>2.1532062199545532</v>
      </c>
      <c r="M6203" s="1">
        <v>0.15932601081242989</v>
      </c>
      <c r="N6203" s="1">
        <v>1.544645881859793</v>
      </c>
      <c r="O6203" s="1">
        <v>0.14172912280701752</v>
      </c>
      <c r="P6203" s="1">
        <v>9.2957256055921381E-2</v>
      </c>
      <c r="Q6203" s="1">
        <v>5.7849211065810389</v>
      </c>
      <c r="R6203" s="2">
        <f t="shared" si="387"/>
        <v>190.78297957155289</v>
      </c>
      <c r="S6203" s="2">
        <f t="shared" si="386"/>
        <v>2.3301599507563728</v>
      </c>
      <c r="T6203" s="2">
        <f t="shared" si="388"/>
        <v>3.9989072354337933</v>
      </c>
      <c r="U6203" s="2">
        <f t="shared" si="389"/>
        <v>197.11204675774306</v>
      </c>
    </row>
    <row r="6204" spans="1:21" x14ac:dyDescent="0.25">
      <c r="A6204">
        <v>6753265</v>
      </c>
      <c r="B6204">
        <v>2</v>
      </c>
      <c r="C6204" s="1">
        <f>7.04179914356939*(10.3/7.3)</f>
        <v>9.9356892025705097</v>
      </c>
      <c r="D6204" s="1">
        <f>10.2731983207671*(10.3/7.3)</f>
        <v>14.495060644369985</v>
      </c>
      <c r="E6204" s="1">
        <f>35.7396714051203*(10.3/7.3)</f>
        <v>50.427207599005342</v>
      </c>
      <c r="F6204" s="1">
        <f>89.2059562489417*(38.9/42.5)</f>
        <v>81.649687013737193</v>
      </c>
      <c r="G6204" s="1">
        <v>4.2038157900520083</v>
      </c>
      <c r="H6204" s="1">
        <v>12.198520820464349</v>
      </c>
      <c r="I6204" s="1">
        <v>66.454538958830653</v>
      </c>
      <c r="J6204" s="1">
        <v>3.1959810699368763E-2</v>
      </c>
      <c r="K6204" s="1">
        <v>2.1202690613586022</v>
      </c>
      <c r="L6204" s="1">
        <v>2.0694992091740665</v>
      </c>
      <c r="M6204" s="1">
        <v>0.15211972292131615</v>
      </c>
      <c r="N6204" s="1">
        <v>3.2940716086389235</v>
      </c>
      <c r="O6204" s="1">
        <v>0.13600000000000001</v>
      </c>
      <c r="P6204" s="1">
        <v>8.9435176772085068E-2</v>
      </c>
      <c r="Q6204" s="1">
        <v>6.7184270617269615</v>
      </c>
      <c r="R6204" s="2">
        <f t="shared" si="387"/>
        <v>246.08294709075702</v>
      </c>
      <c r="S6204" s="2">
        <f t="shared" si="386"/>
        <v>2.2416640488300557</v>
      </c>
      <c r="T6204" s="2">
        <f t="shared" si="388"/>
        <v>5.6516905407343065</v>
      </c>
      <c r="U6204" s="2">
        <f t="shared" si="389"/>
        <v>253.97630168032137</v>
      </c>
    </row>
    <row r="6205" spans="1:21" x14ac:dyDescent="0.25">
      <c r="A6205">
        <v>6753313</v>
      </c>
      <c r="B6205">
        <v>1</v>
      </c>
      <c r="C6205" s="1">
        <f>12.5780552575747*(10.3/7.3)</f>
        <v>17.747119062057504</v>
      </c>
      <c r="D6205" s="1">
        <f>13.4648294045475*(10.3/7.3)</f>
        <v>18.998320940662961</v>
      </c>
      <c r="E6205" s="1">
        <f>47.9061127428407*(10.3/7.3)</f>
        <v>67.593556335788904</v>
      </c>
      <c r="F6205" s="1">
        <f>99.0910940951524*(38.9/42.5)</f>
        <v>90.697495536504206</v>
      </c>
      <c r="G6205" s="1">
        <v>3.6684140342490599</v>
      </c>
      <c r="H6205" s="1">
        <v>9.4659043568961962</v>
      </c>
      <c r="I6205" s="1">
        <v>78.376439129780692</v>
      </c>
      <c r="J6205" s="1">
        <v>3.720441054329067E-2</v>
      </c>
      <c r="K6205" s="1">
        <v>2.4144463489322843</v>
      </c>
      <c r="L6205" s="1">
        <v>2.3345264904873266</v>
      </c>
      <c r="M6205" s="1">
        <v>0.16378781355640576</v>
      </c>
      <c r="N6205" s="1">
        <v>1.6825508242212501</v>
      </c>
      <c r="O6205" s="1">
        <v>0.14597333333333334</v>
      </c>
      <c r="P6205" s="1">
        <v>9.9070114179926172E-2</v>
      </c>
      <c r="Q6205" s="1">
        <v>5.8627621551925673</v>
      </c>
      <c r="R6205" s="2">
        <f t="shared" si="387"/>
        <v>292.41001155113207</v>
      </c>
      <c r="S6205" s="2">
        <f t="shared" si="386"/>
        <v>2.5507208736555009</v>
      </c>
      <c r="T6205" s="2">
        <f t="shared" si="388"/>
        <v>4.3268384615983155</v>
      </c>
      <c r="U6205" s="2">
        <f t="shared" si="389"/>
        <v>299.28757088638588</v>
      </c>
    </row>
    <row r="6206" spans="1:21" x14ac:dyDescent="0.25">
      <c r="A6206">
        <v>6753321</v>
      </c>
      <c r="B6206">
        <v>44</v>
      </c>
      <c r="C6206" s="1">
        <f>5.40560734930057*(10.3/7.3)</f>
        <v>7.62708982161588</v>
      </c>
      <c r="D6206" s="1">
        <f>6.72700252087352*(10.3/7.3)</f>
        <v>9.491524104794145</v>
      </c>
      <c r="E6206" s="1">
        <f>23.7255531280526*(10.3/7.3)</f>
        <v>33.475780440950984</v>
      </c>
      <c r="F6206" s="1">
        <f>50.7607734726461*(38.9/42.5)</f>
        <v>46.461037366727872</v>
      </c>
      <c r="G6206" s="1">
        <v>2.0216317709549845</v>
      </c>
      <c r="H6206" s="1">
        <v>7.0359110050669962</v>
      </c>
      <c r="I6206" s="1">
        <v>38.356744603227618</v>
      </c>
      <c r="J6206" s="1">
        <v>2.6684929810452163E-2</v>
      </c>
      <c r="K6206" s="1">
        <v>1.8224997768049391</v>
      </c>
      <c r="L6206" s="1">
        <v>1.663280600404957</v>
      </c>
      <c r="M6206" s="1">
        <v>0.1202805875879573</v>
      </c>
      <c r="N6206" s="1">
        <v>1.1724148472542728</v>
      </c>
      <c r="O6206" s="1">
        <v>0.10890181818181816</v>
      </c>
      <c r="P6206" s="1">
        <v>7.6824399257011095E-2</v>
      </c>
      <c r="Q6206" s="1">
        <v>3.2309183554075132</v>
      </c>
      <c r="R6206" s="2">
        <f t="shared" si="387"/>
        <v>147.70063746874598</v>
      </c>
      <c r="S6206" s="2">
        <f t="shared" si="386"/>
        <v>1.9260091058724023</v>
      </c>
      <c r="T6206" s="2">
        <f t="shared" si="388"/>
        <v>3.0648778534290053</v>
      </c>
      <c r="U6206" s="2">
        <f t="shared" si="389"/>
        <v>152.69152442804739</v>
      </c>
    </row>
    <row r="6207" spans="1:21" x14ac:dyDescent="0.25">
      <c r="A6207">
        <v>6753329</v>
      </c>
      <c r="B6207">
        <v>7</v>
      </c>
      <c r="C6207" s="1">
        <f>7.22672033956649*(10.3/7.3)</f>
        <v>10.196605410621206</v>
      </c>
      <c r="D6207" s="1">
        <f>8.53374350237634*(10.3/7.3)</f>
        <v>12.040761380065241</v>
      </c>
      <c r="E6207" s="1">
        <f>30.2546470949115*(10.3/7.3)</f>
        <v>42.688063709258728</v>
      </c>
      <c r="F6207" s="1">
        <f>60.5060806189374*(38.9/42.5)</f>
        <v>55.380859672392127</v>
      </c>
      <c r="G6207" s="1">
        <v>2.1963274431435584</v>
      </c>
      <c r="H6207" s="1">
        <v>11.448724837616822</v>
      </c>
      <c r="I6207" s="1">
        <v>45.961900632554666</v>
      </c>
      <c r="J6207" s="1">
        <v>2.824276420804547E-2</v>
      </c>
      <c r="K6207" s="1">
        <v>1.905061110508484</v>
      </c>
      <c r="L6207" s="1">
        <v>1.7669902875829924</v>
      </c>
      <c r="M6207" s="1">
        <v>0.12559221432096307</v>
      </c>
      <c r="N6207" s="1">
        <v>1.2256818636184976</v>
      </c>
      <c r="O6207" s="1">
        <v>0.11535238095238096</v>
      </c>
      <c r="P6207" s="1">
        <v>8.0059834155273915E-2</v>
      </c>
      <c r="Q6207" s="1">
        <v>3.5101123520559194</v>
      </c>
      <c r="R6207" s="2">
        <f t="shared" si="387"/>
        <v>183.42335543770827</v>
      </c>
      <c r="S6207" s="2">
        <f t="shared" si="386"/>
        <v>2.0133637088718035</v>
      </c>
      <c r="T6207" s="2">
        <f t="shared" si="388"/>
        <v>3.233616746474834</v>
      </c>
      <c r="U6207" s="2">
        <f t="shared" si="389"/>
        <v>188.6703358930549</v>
      </c>
    </row>
    <row r="6208" spans="1:21" x14ac:dyDescent="0.25">
      <c r="A6208">
        <v>6764853</v>
      </c>
      <c r="B6208">
        <v>51</v>
      </c>
      <c r="C6208" s="1">
        <f>0.477625286955543*(10.3/7.3)</f>
        <v>0.67390965145782122</v>
      </c>
      <c r="D6208" s="1">
        <f>0.970889264233809*(10.3/7.3)</f>
        <v>1.3698848522751006</v>
      </c>
      <c r="E6208" s="1">
        <f>3.28839887842101*(10.3/7.3)</f>
        <v>4.6397956777721161</v>
      </c>
      <c r="F6208" s="1">
        <f>10.8661499667765*(38.9/42.5)</f>
        <v>9.9457231460613489</v>
      </c>
      <c r="G6208" s="1">
        <v>0.62397898918961003</v>
      </c>
      <c r="H6208" s="1">
        <v>2.3073166569096268</v>
      </c>
      <c r="I6208" s="1">
        <v>8.065306885725029</v>
      </c>
      <c r="J6208" s="1">
        <v>2.2985850753220266E-2</v>
      </c>
      <c r="K6208" s="1">
        <v>2.30426518304421</v>
      </c>
      <c r="L6208" s="1">
        <v>1.4058110782792035</v>
      </c>
      <c r="M6208" s="1">
        <v>0.23426122061137417</v>
      </c>
      <c r="N6208" s="1">
        <v>0.81043415707657074</v>
      </c>
      <c r="O6208" s="1">
        <v>0.22925071895424831</v>
      </c>
      <c r="P6208" s="1">
        <v>0.10029074104236786</v>
      </c>
      <c r="Q6208" s="1">
        <v>0.99722669505188966</v>
      </c>
      <c r="R6208" s="2">
        <f t="shared" si="387"/>
        <v>28.623142554442541</v>
      </c>
      <c r="S6208" s="2">
        <f t="shared" si="386"/>
        <v>2.4275417748397978</v>
      </c>
      <c r="T6208" s="2">
        <f t="shared" si="388"/>
        <v>2.6797571749213969</v>
      </c>
      <c r="U6208" s="2">
        <f t="shared" si="389"/>
        <v>33.730441504203739</v>
      </c>
    </row>
    <row r="6209" spans="1:21" x14ac:dyDescent="0.25">
      <c r="A6209">
        <v>6765293</v>
      </c>
      <c r="B6209">
        <v>6</v>
      </c>
      <c r="C6209" s="1">
        <f>1.54304884136756*(10.3/7.3)</f>
        <v>2.1771785022035401</v>
      </c>
      <c r="D6209" s="1">
        <f>3.32924087798188*(10.3/7.3)</f>
        <v>4.6974220607141666</v>
      </c>
      <c r="E6209" s="1">
        <f>11.2474432549614*(10.3/7.3)</f>
        <v>15.869680209055165</v>
      </c>
      <c r="F6209" s="1">
        <f>37.6975739973753*(38.9/42.5)</f>
        <v>34.50436772936235</v>
      </c>
      <c r="G6209" s="1">
        <v>2.1859555988427659</v>
      </c>
      <c r="H6209" s="1">
        <v>8.6059783400880256</v>
      </c>
      <c r="I6209" s="1">
        <v>27.842238997884394</v>
      </c>
      <c r="J6209" s="1">
        <v>2.2735085731176025E-2</v>
      </c>
      <c r="K6209" s="1">
        <v>1.8876429870488141</v>
      </c>
      <c r="L6209" s="1">
        <v>1.8653205487720765</v>
      </c>
      <c r="M6209" s="1">
        <v>0.17981980070383849</v>
      </c>
      <c r="N6209" s="1">
        <v>1.0474851362143169</v>
      </c>
      <c r="O6209" s="1">
        <v>0.14134222222222223</v>
      </c>
      <c r="P6209" s="1">
        <v>8.4002808755763159E-2</v>
      </c>
      <c r="Q6209" s="1">
        <v>3.4935363451825068</v>
      </c>
      <c r="R6209" s="2">
        <f t="shared" si="387"/>
        <v>99.376357783332921</v>
      </c>
      <c r="S6209" s="2">
        <f t="shared" si="386"/>
        <v>1.9943808815357533</v>
      </c>
      <c r="T6209" s="2">
        <f t="shared" si="388"/>
        <v>3.2339677079124542</v>
      </c>
      <c r="U6209" s="2">
        <f t="shared" si="389"/>
        <v>104.60470637278112</v>
      </c>
    </row>
    <row r="6210" spans="1:21" x14ac:dyDescent="0.25">
      <c r="A6210">
        <v>6765301</v>
      </c>
      <c r="B6210">
        <v>55</v>
      </c>
      <c r="C6210" s="1">
        <f>1.76259331997965*(10.3/7.3)</f>
        <v>2.4869467391493751</v>
      </c>
      <c r="D6210" s="1">
        <f>3.64527898094751*(10.3/7.3)</f>
        <v>5.1433388361314121</v>
      </c>
      <c r="E6210" s="1">
        <f>12.376028119205*(10.3/7.3)</f>
        <v>17.462067072302972</v>
      </c>
      <c r="F6210" s="1">
        <f>39.0600378230399*(38.9/42.5)</f>
        <v>35.751422854500092</v>
      </c>
      <c r="G6210" s="1">
        <v>2.1962299022880649</v>
      </c>
      <c r="H6210" s="1">
        <v>6.7814449717551186</v>
      </c>
      <c r="I6210" s="1">
        <v>28.645824823521611</v>
      </c>
      <c r="J6210" s="1">
        <v>2.5935850048984674E-2</v>
      </c>
      <c r="K6210" s="1">
        <v>2.103151483642578</v>
      </c>
      <c r="L6210" s="1">
        <v>2.1129968924049218</v>
      </c>
      <c r="M6210" s="1">
        <v>0.19869835544344963</v>
      </c>
      <c r="N6210" s="1">
        <v>1.1472117712875367</v>
      </c>
      <c r="O6210" s="1">
        <v>0.15866763636363634</v>
      </c>
      <c r="P6210" s="1">
        <v>9.2517610953237794E-2</v>
      </c>
      <c r="Q6210" s="1">
        <v>3.5099564648439432</v>
      </c>
      <c r="R6210" s="2">
        <f t="shared" si="387"/>
        <v>101.97723166449258</v>
      </c>
      <c r="S6210" s="2">
        <f t="shared" si="386"/>
        <v>2.2216049446448003</v>
      </c>
      <c r="T6210" s="2">
        <f t="shared" si="388"/>
        <v>3.6175746554995443</v>
      </c>
      <c r="U6210" s="2">
        <f t="shared" si="389"/>
        <v>107.81641126463691</v>
      </c>
    </row>
    <row r="6211" spans="1:21" x14ac:dyDescent="0.25">
      <c r="A6211">
        <v>6765309</v>
      </c>
      <c r="B6211">
        <v>55</v>
      </c>
      <c r="C6211" s="1">
        <f>2.17063965517371*(10.3/7.3)</f>
        <v>3.0626833490807193</v>
      </c>
      <c r="D6211" s="1">
        <f>4.49187212207264*(10.3/7.3)</f>
        <v>6.3378469667600301</v>
      </c>
      <c r="E6211" s="1">
        <f>15.2668959242236*(10.3/7.3)</f>
        <v>21.540962742397689</v>
      </c>
      <c r="F6211" s="1">
        <f>47.3130843955837*(38.9/42.5)</f>
        <v>43.305387835016575</v>
      </c>
      <c r="G6211" s="1">
        <v>2.6360611278786372</v>
      </c>
      <c r="H6211" s="1">
        <v>7.6576778242513424</v>
      </c>
      <c r="I6211" s="1">
        <v>34.55709425879153</v>
      </c>
      <c r="J6211" s="1">
        <v>2.9173183068264632E-2</v>
      </c>
      <c r="K6211" s="1">
        <v>2.2646455507334515</v>
      </c>
      <c r="L6211" s="1">
        <v>2.3336577370278606</v>
      </c>
      <c r="M6211" s="1">
        <v>0.21504953034779942</v>
      </c>
      <c r="N6211" s="1">
        <v>1.2257849063519752</v>
      </c>
      <c r="O6211" s="1">
        <v>0.17266909090909094</v>
      </c>
      <c r="P6211" s="1">
        <v>9.8637419191250089E-2</v>
      </c>
      <c r="Q6211" s="1">
        <v>4.2128830810845841</v>
      </c>
      <c r="R6211" s="2">
        <f t="shared" si="387"/>
        <v>123.31059718526109</v>
      </c>
      <c r="S6211" s="2">
        <f t="shared" si="386"/>
        <v>2.3924561529929664</v>
      </c>
      <c r="T6211" s="2">
        <f t="shared" si="388"/>
        <v>3.9471612646367262</v>
      </c>
      <c r="U6211" s="2">
        <f t="shared" si="389"/>
        <v>129.65021460289077</v>
      </c>
    </row>
    <row r="6212" spans="1:21" x14ac:dyDescent="0.25">
      <c r="A6212">
        <v>6765317</v>
      </c>
      <c r="B6212">
        <v>55</v>
      </c>
      <c r="C6212" s="1">
        <f>1.86192005491713*(10.3/7.3)</f>
        <v>2.6270926802255339</v>
      </c>
      <c r="D6212" s="1">
        <f>3.8671297460776*(10.3/7.3)</f>
        <v>5.4563611485752412</v>
      </c>
      <c r="E6212" s="1">
        <f>13.144651936822*(10.3/7.3)</f>
        <v>18.54656369168034</v>
      </c>
      <c r="F6212" s="1">
        <f>40.6097460734053*(38.9/42.5)</f>
        <v>37.169861700128628</v>
      </c>
      <c r="G6212" s="1">
        <v>2.2594949011610455</v>
      </c>
      <c r="H6212" s="1">
        <v>6.4515827262451095</v>
      </c>
      <c r="I6212" s="1">
        <v>29.624859794110385</v>
      </c>
      <c r="J6212" s="1">
        <v>2.6868737682298936E-2</v>
      </c>
      <c r="K6212" s="1">
        <v>2.1210625870576147</v>
      </c>
      <c r="L6212" s="1">
        <v>2.1368300062145922</v>
      </c>
      <c r="M6212" s="1">
        <v>0.19929391930195425</v>
      </c>
      <c r="N6212" s="1">
        <v>1.1719218931786026</v>
      </c>
      <c r="O6212" s="1">
        <v>0.15645478787878789</v>
      </c>
      <c r="P6212" s="1">
        <v>9.3175674094123154E-2</v>
      </c>
      <c r="Q6212" s="1">
        <v>3.6110649105313555</v>
      </c>
      <c r="R6212" s="2">
        <f t="shared" si="387"/>
        <v>105.74688155265764</v>
      </c>
      <c r="S6212" s="2">
        <f t="shared" si="386"/>
        <v>2.2411069988340371</v>
      </c>
      <c r="T6212" s="2">
        <f t="shared" si="388"/>
        <v>3.6645006065739372</v>
      </c>
      <c r="U6212" s="2">
        <f t="shared" si="389"/>
        <v>111.65248915806562</v>
      </c>
    </row>
    <row r="6213" spans="1:21" x14ac:dyDescent="0.25">
      <c r="A6213">
        <v>6765325</v>
      </c>
      <c r="B6213">
        <v>47</v>
      </c>
      <c r="C6213" s="1">
        <f>2.12085302525027*(10.3/7.3)</f>
        <v>2.9924364602846336</v>
      </c>
      <c r="D6213" s="1">
        <f>4.56781074649501*(10.3/7.3)</f>
        <v>6.4449932450546052</v>
      </c>
      <c r="E6213" s="1">
        <f>15.4934079854561*(10.3/7.3)</f>
        <v>21.860561952081888</v>
      </c>
      <c r="F6213" s="1">
        <f>48.7737358318856*(38.9/42.5)</f>
        <v>44.642313502596465</v>
      </c>
      <c r="G6213" s="1">
        <v>2.7454035967517325</v>
      </c>
      <c r="H6213" s="1">
        <v>8.065737252899444</v>
      </c>
      <c r="I6213" s="1">
        <v>35.547423339328823</v>
      </c>
      <c r="J6213" s="1">
        <v>2.8405269883853831E-2</v>
      </c>
      <c r="K6213" s="1">
        <v>2.2000407462971467</v>
      </c>
      <c r="L6213" s="1">
        <v>2.243168735621563</v>
      </c>
      <c r="M6213" s="1">
        <v>0.20505969228005405</v>
      </c>
      <c r="N6213" s="1">
        <v>1.2536575158753505</v>
      </c>
      <c r="O6213" s="1">
        <v>0.16192680851063826</v>
      </c>
      <c r="P6213" s="1">
        <v>9.6449036335340937E-2</v>
      </c>
      <c r="Q6213" s="1">
        <v>4.387631319009623</v>
      </c>
      <c r="R6213" s="2">
        <f t="shared" si="387"/>
        <v>126.68650066800721</v>
      </c>
      <c r="S6213" s="2">
        <f t="shared" si="386"/>
        <v>2.3248950525163412</v>
      </c>
      <c r="T6213" s="2">
        <f t="shared" si="388"/>
        <v>3.8638127522876058</v>
      </c>
      <c r="U6213" s="2">
        <f t="shared" si="389"/>
        <v>132.87520847281115</v>
      </c>
    </row>
    <row r="6214" spans="1:21" x14ac:dyDescent="0.25">
      <c r="A6214">
        <v>6765333</v>
      </c>
      <c r="B6214">
        <v>36</v>
      </c>
      <c r="C6214" s="1">
        <f>1.57570876952212*(10.3/7.3)</f>
        <v>2.2232603186408015</v>
      </c>
      <c r="D6214" s="1">
        <f>3.31508369225416*(10.3/7.3)</f>
        <v>4.6774468534545024</v>
      </c>
      <c r="E6214" s="1">
        <f>11.2666320077253*(10.3/7.3)</f>
        <v>15.896754750626048</v>
      </c>
      <c r="F6214" s="1">
        <f>34.6834955146528*(38.9/42.5)</f>
        <v>31.74559942399986</v>
      </c>
      <c r="G6214" s="1">
        <v>1.9277324407333956</v>
      </c>
      <c r="H6214" s="1">
        <v>7.1219154823043942</v>
      </c>
      <c r="I6214" s="1">
        <v>25.234390566208244</v>
      </c>
      <c r="J6214" s="1">
        <v>2.4446275513045363E-2</v>
      </c>
      <c r="K6214" s="1">
        <v>1.9273264801458285</v>
      </c>
      <c r="L6214" s="1">
        <v>1.8859434459248456</v>
      </c>
      <c r="M6214" s="1">
        <v>0.1750065268851721</v>
      </c>
      <c r="N6214" s="1">
        <v>1.0866122137894763</v>
      </c>
      <c r="O6214" s="1">
        <v>0.13773333333333337</v>
      </c>
      <c r="P6214" s="1">
        <v>8.5303786892489603E-2</v>
      </c>
      <c r="Q6214" s="1">
        <v>3.0808509326789459</v>
      </c>
      <c r="R6214" s="2">
        <f t="shared" si="387"/>
        <v>91.907950768646188</v>
      </c>
      <c r="S6214" s="2">
        <f t="shared" si="386"/>
        <v>2.0370765425513637</v>
      </c>
      <c r="T6214" s="2">
        <f t="shared" si="388"/>
        <v>3.2852955199328271</v>
      </c>
      <c r="U6214" s="2">
        <f t="shared" si="389"/>
        <v>97.23032283113038</v>
      </c>
    </row>
    <row r="6215" spans="1:21" x14ac:dyDescent="0.25">
      <c r="A6215">
        <v>6765413</v>
      </c>
      <c r="B6215">
        <v>63</v>
      </c>
      <c r="C6215" s="1">
        <f>2.11525192061211*(10.3/7.3)</f>
        <v>2.9845335318225632</v>
      </c>
      <c r="D6215" s="1">
        <f>4.22070284720447*(10.3/7.3)</f>
        <v>5.9552382638638433</v>
      </c>
      <c r="E6215" s="1">
        <f>14.3740404248632*(10.3/7.3)</f>
        <v>20.281180325491938</v>
      </c>
      <c r="F6215" s="1">
        <f>43.8226327673308*(38.9/42.5)</f>
        <v>40.110597991745109</v>
      </c>
      <c r="G6215" s="1">
        <v>2.41543052512991</v>
      </c>
      <c r="H6215" s="1">
        <v>6.7519761416471962</v>
      </c>
      <c r="I6215" s="1">
        <v>32.064956972821292</v>
      </c>
      <c r="J6215" s="1">
        <v>2.8829134555828702E-2</v>
      </c>
      <c r="K6215" s="1">
        <v>2.0015398850397288</v>
      </c>
      <c r="L6215" s="1">
        <v>1.9829723211106376</v>
      </c>
      <c r="M6215" s="1">
        <v>0.16531603038778925</v>
      </c>
      <c r="N6215" s="1">
        <v>1.3233836250221918</v>
      </c>
      <c r="O6215" s="1">
        <v>0.13556486772486775</v>
      </c>
      <c r="P6215" s="1">
        <v>8.7310514147359769E-2</v>
      </c>
      <c r="Q6215" s="1">
        <v>3.86027709495648</v>
      </c>
      <c r="R6215" s="2">
        <f t="shared" si="387"/>
        <v>114.42419084747831</v>
      </c>
      <c r="S6215" s="2">
        <f t="shared" si="386"/>
        <v>2.1176795337429173</v>
      </c>
      <c r="T6215" s="2">
        <f t="shared" si="388"/>
        <v>3.6072368442454863</v>
      </c>
      <c r="U6215" s="2">
        <f t="shared" si="389"/>
        <v>120.14910722546672</v>
      </c>
    </row>
    <row r="6216" spans="1:21" x14ac:dyDescent="0.25">
      <c r="A6216">
        <v>6765421</v>
      </c>
      <c r="B6216">
        <v>40</v>
      </c>
      <c r="C6216" s="1">
        <f>2.85170959265188*(10.3/7.3)</f>
        <v>4.0236450416869047</v>
      </c>
      <c r="D6216" s="1">
        <f>5.74941771017999*(10.3/7.3)</f>
        <v>8.1121921116238198</v>
      </c>
      <c r="E6216" s="1">
        <f>19.5737498020737*(10.3/7.3)</f>
        <v>27.617756570049149</v>
      </c>
      <c r="F6216" s="1">
        <f>59.7107768163487*(38.9/42.5)</f>
        <v>54.652922780140322</v>
      </c>
      <c r="G6216" s="1">
        <v>3.2943838697742955</v>
      </c>
      <c r="H6216" s="1">
        <v>9.9413829806430609</v>
      </c>
      <c r="I6216" s="1">
        <v>43.627698091801093</v>
      </c>
      <c r="J6216" s="1">
        <v>3.4968878643800161E-2</v>
      </c>
      <c r="K6216" s="1">
        <v>2.3044850748011294</v>
      </c>
      <c r="L6216" s="1">
        <v>2.3627643885941447</v>
      </c>
      <c r="M6216" s="1">
        <v>0.18752611600797781</v>
      </c>
      <c r="N6216" s="1">
        <v>1.4835895286044249</v>
      </c>
      <c r="O6216" s="1">
        <v>0.15723333333333334</v>
      </c>
      <c r="P6216" s="1">
        <v>9.8916613690685606E-2</v>
      </c>
      <c r="Q6216" s="1">
        <v>5.2649970521507043</v>
      </c>
      <c r="R6216" s="2">
        <f t="shared" si="387"/>
        <v>156.53497849786936</v>
      </c>
      <c r="S6216" s="2">
        <f t="shared" si="386"/>
        <v>2.4383705671356148</v>
      </c>
      <c r="T6216" s="2">
        <f t="shared" si="388"/>
        <v>4.1911133665398808</v>
      </c>
      <c r="U6216" s="2">
        <f t="shared" si="389"/>
        <v>163.16446243154485</v>
      </c>
    </row>
    <row r="6217" spans="1:21" x14ac:dyDescent="0.25">
      <c r="A6217">
        <v>6765429</v>
      </c>
      <c r="B6217">
        <v>7</v>
      </c>
      <c r="C6217" s="1">
        <f>2.75572411216348*(10.3/7.3)</f>
        <v>3.8882134733265592</v>
      </c>
      <c r="D6217" s="1">
        <f>6.09031294004134*(10.3/7.3)</f>
        <v>8.5931812715651752</v>
      </c>
      <c r="E6217" s="1">
        <f>20.5307676326874*(10.3/7.3)</f>
        <v>28.968069399545232</v>
      </c>
      <c r="F6217" s="1">
        <f>70.4503034770438*(38.9/42.5)</f>
        <v>64.482748358988317</v>
      </c>
      <c r="G6217" s="1">
        <v>4.1330011289638424</v>
      </c>
      <c r="H6217" s="1">
        <v>8.7389021719272346</v>
      </c>
      <c r="I6217" s="1">
        <v>52.129014797269974</v>
      </c>
      <c r="J6217" s="1">
        <v>3.4645152505722678E-2</v>
      </c>
      <c r="K6217" s="1">
        <v>2.2309587217500426</v>
      </c>
      <c r="L6217" s="1">
        <v>2.2749524486525634</v>
      </c>
      <c r="M6217" s="1">
        <v>0.17988080366661294</v>
      </c>
      <c r="N6217" s="1">
        <v>1.4575474097266008</v>
      </c>
      <c r="O6217" s="1">
        <v>0.15163428571428569</v>
      </c>
      <c r="P6217" s="1">
        <v>9.5913756678470505E-2</v>
      </c>
      <c r="Q6217" s="1">
        <v>6.6052529458326319</v>
      </c>
      <c r="R6217" s="2">
        <f t="shared" si="387"/>
        <v>177.53838354741899</v>
      </c>
      <c r="S6217" s="2">
        <f t="shared" ref="S6217:S6280" si="390">J6217+K6217+P6217</f>
        <v>2.3615176309342356</v>
      </c>
      <c r="T6217" s="2">
        <f t="shared" si="388"/>
        <v>4.0640149477600627</v>
      </c>
      <c r="U6217" s="2">
        <f t="shared" si="389"/>
        <v>183.96391612611328</v>
      </c>
    </row>
    <row r="6218" spans="1:21" x14ac:dyDescent="0.25">
      <c r="A6218">
        <v>6765461</v>
      </c>
      <c r="B6218">
        <v>46</v>
      </c>
      <c r="C6218" s="1">
        <f>3.94824070488875*(10.3/7.3)</f>
        <v>5.5708053781307063</v>
      </c>
      <c r="D6218" s="1">
        <f>7.66375078589922*(10.3/7.3)</f>
        <v>10.813237410241369</v>
      </c>
      <c r="E6218" s="1">
        <f>26.2462224454438*(10.3/7.3)</f>
        <v>37.032341258639825</v>
      </c>
      <c r="F6218" s="1">
        <f>73.5500742055049*(38.9/42.5)</f>
        <v>67.319950272803297</v>
      </c>
      <c r="G6218" s="1">
        <v>3.8583494048817779</v>
      </c>
      <c r="H6218" s="1">
        <v>10.825603952087105</v>
      </c>
      <c r="I6218" s="1">
        <v>53.024089406004826</v>
      </c>
      <c r="J6218" s="1">
        <v>3.9090422369814297E-2</v>
      </c>
      <c r="K6218" s="1">
        <v>2.5394292590418708</v>
      </c>
      <c r="L6218" s="1">
        <v>2.5949714174988601</v>
      </c>
      <c r="M6218" s="1">
        <v>0.1963752487286726</v>
      </c>
      <c r="N6218" s="1">
        <v>1.6722235952851974</v>
      </c>
      <c r="O6218" s="1">
        <v>0.16890086956521738</v>
      </c>
      <c r="P6218" s="1">
        <v>0.10694749931925665</v>
      </c>
      <c r="Q6218" s="1">
        <v>6.1663118342859526</v>
      </c>
      <c r="R6218" s="2">
        <f t="shared" ref="R6218:R6281" si="391">C6218+D6218+E6218+F6218+G6218+H6218+I6218+Q6218</f>
        <v>194.61068891707487</v>
      </c>
      <c r="S6218" s="2">
        <f t="shared" si="390"/>
        <v>2.6854671807309414</v>
      </c>
      <c r="T6218" s="2">
        <f t="shared" ref="T6218:T6281" si="392">L6218+M6218+N6218+O6218</f>
        <v>4.6324711310779474</v>
      </c>
      <c r="U6218" s="2">
        <f t="shared" ref="U6218:U6281" si="393">R6218+S6218+T6218</f>
        <v>201.92862722888376</v>
      </c>
    </row>
    <row r="6219" spans="1:21" x14ac:dyDescent="0.25">
      <c r="A6219">
        <v>6765469</v>
      </c>
      <c r="B6219">
        <v>62</v>
      </c>
      <c r="C6219" s="1">
        <f>1.99046330429797*(10.3/7.3)</f>
        <v>2.8084619225026084</v>
      </c>
      <c r="D6219" s="1">
        <f>3.7244943083695*(10.3/7.3)</f>
        <v>5.2551084076994306</v>
      </c>
      <c r="E6219" s="1">
        <f>12.7937459077506*(10.3/7.3)</f>
        <v>18.051449705456267</v>
      </c>
      <c r="F6219" s="1">
        <f>34.6050417469949*(38.9/42.5)</f>
        <v>31.673791151955363</v>
      </c>
      <c r="G6219" s="1">
        <v>1.7705568891963108</v>
      </c>
      <c r="H6219" s="1">
        <v>5.5499144016997644</v>
      </c>
      <c r="I6219" s="1">
        <v>24.898346184610737</v>
      </c>
      <c r="J6219" s="1">
        <v>2.4544743694859376E-2</v>
      </c>
      <c r="K6219" s="1">
        <v>1.7417887219903181</v>
      </c>
      <c r="L6219" s="1">
        <v>1.6227661613166897</v>
      </c>
      <c r="M6219" s="1">
        <v>0.13189668236481542</v>
      </c>
      <c r="N6219" s="1">
        <v>1.1227671858657828</v>
      </c>
      <c r="O6219" s="1">
        <v>0.11219354838709676</v>
      </c>
      <c r="P6219" s="1">
        <v>7.6419695051373221E-2</v>
      </c>
      <c r="Q6219" s="1">
        <v>2.8296571288525549</v>
      </c>
      <c r="R6219" s="2">
        <f t="shared" si="391"/>
        <v>92.837285791973031</v>
      </c>
      <c r="S6219" s="2">
        <f t="shared" si="390"/>
        <v>1.8427531607365506</v>
      </c>
      <c r="T6219" s="2">
        <f t="shared" si="392"/>
        <v>2.9896235779343843</v>
      </c>
      <c r="U6219" s="2">
        <f t="shared" si="393"/>
        <v>97.669662530643961</v>
      </c>
    </row>
    <row r="6220" spans="1:21" x14ac:dyDescent="0.25">
      <c r="A6220">
        <v>6765477</v>
      </c>
      <c r="B6220">
        <v>60</v>
      </c>
      <c r="C6220" s="1">
        <f>2.08331840084797*(10.3/7.3)</f>
        <v>2.9394766477717988</v>
      </c>
      <c r="D6220" s="1">
        <f>3.82877334974544*(10.3/7.3)</f>
        <v>5.4022418496408307</v>
      </c>
      <c r="E6220" s="1">
        <f>13.1732826704237*(10.3/7.3)</f>
        <v>18.586960480186853</v>
      </c>
      <c r="F6220" s="1">
        <f>34.9133575370616*(38.9/42.5)</f>
        <v>31.955990780981054</v>
      </c>
      <c r="G6220" s="1">
        <v>1.7599231529426509</v>
      </c>
      <c r="H6220" s="1">
        <v>5.3010855911153758</v>
      </c>
      <c r="I6220" s="1">
        <v>25.080936722620034</v>
      </c>
      <c r="J6220" s="1">
        <v>2.4375083983340925E-2</v>
      </c>
      <c r="K6220" s="1">
        <v>1.7319142311496558</v>
      </c>
      <c r="L6220" s="1">
        <v>1.6043831676078666</v>
      </c>
      <c r="M6220" s="1">
        <v>0.12995631231164456</v>
      </c>
      <c r="N6220" s="1">
        <v>1.1217549157759268</v>
      </c>
      <c r="O6220" s="1">
        <v>0.11081333333333333</v>
      </c>
      <c r="P6220" s="1">
        <v>7.5688460373785488E-2</v>
      </c>
      <c r="Q6220" s="1">
        <v>2.8126625731960209</v>
      </c>
      <c r="R6220" s="2">
        <f t="shared" si="391"/>
        <v>93.839277798454617</v>
      </c>
      <c r="S6220" s="2">
        <f t="shared" si="390"/>
        <v>1.8319777755067823</v>
      </c>
      <c r="T6220" s="2">
        <f t="shared" si="392"/>
        <v>2.9669077290287711</v>
      </c>
      <c r="U6220" s="2">
        <f t="shared" si="393"/>
        <v>98.638163302990179</v>
      </c>
    </row>
    <row r="6221" spans="1:21" x14ac:dyDescent="0.25">
      <c r="A6221">
        <v>6765485</v>
      </c>
      <c r="B6221">
        <v>58</v>
      </c>
      <c r="C6221" s="1">
        <f>2.26127426449632*(10.3/7.3)</f>
        <v>3.190565058124947</v>
      </c>
      <c r="D6221" s="1">
        <f>4.00635189837593*(10.3/7.3)</f>
        <v>5.6527978840098747</v>
      </c>
      <c r="E6221" s="1">
        <f>13.809186694207*(10.3/7.3)</f>
        <v>19.48419492470309</v>
      </c>
      <c r="F6221" s="1">
        <f>36.1428262558036*(38.9/42.5)</f>
        <v>33.081316267076666</v>
      </c>
      <c r="G6221" s="1">
        <v>1.8005386045904499</v>
      </c>
      <c r="H6221" s="1">
        <v>5.4071439053920596</v>
      </c>
      <c r="I6221" s="1">
        <v>26.07131612056196</v>
      </c>
      <c r="J6221" s="1">
        <v>2.3798227748415637E-2</v>
      </c>
      <c r="K6221" s="1">
        <v>1.6943365839985267</v>
      </c>
      <c r="L6221" s="1">
        <v>1.5540156598489976</v>
      </c>
      <c r="M6221" s="1">
        <v>0.12469558223422123</v>
      </c>
      <c r="N6221" s="1">
        <v>1.1148629540477364</v>
      </c>
      <c r="O6221" s="1">
        <v>0.10706390804597704</v>
      </c>
      <c r="P6221" s="1">
        <v>7.4059723874198916E-2</v>
      </c>
      <c r="Q6221" s="1">
        <v>2.877573112359169</v>
      </c>
      <c r="R6221" s="2">
        <f t="shared" si="391"/>
        <v>97.565445876818217</v>
      </c>
      <c r="S6221" s="2">
        <f t="shared" si="390"/>
        <v>1.7921945356211413</v>
      </c>
      <c r="T6221" s="2">
        <f t="shared" si="392"/>
        <v>2.9006381041769327</v>
      </c>
      <c r="U6221" s="2">
        <f t="shared" si="393"/>
        <v>102.25827851661629</v>
      </c>
    </row>
    <row r="6222" spans="1:21" x14ac:dyDescent="0.25">
      <c r="A6222">
        <v>6765493</v>
      </c>
      <c r="B6222">
        <v>49</v>
      </c>
      <c r="C6222" s="1">
        <f>4.19604482626904*(10.3/7.3)</f>
        <v>5.9204468096672693</v>
      </c>
      <c r="D6222" s="1">
        <f>6.88524510817786*(10.3/7.3)</f>
        <v>9.7147978923605471</v>
      </c>
      <c r="E6222" s="1">
        <f>23.8177842833695*(10.3/7.3)</f>
        <v>33.605914810781563</v>
      </c>
      <c r="F6222" s="1">
        <f>61.0852284392606*(38.9/42.5)</f>
        <v>55.91095026558208</v>
      </c>
      <c r="G6222" s="1">
        <v>2.9773251293005156</v>
      </c>
      <c r="H6222" s="1">
        <v>8.7733156652657023</v>
      </c>
      <c r="I6222" s="1">
        <v>44.55859099352989</v>
      </c>
      <c r="J6222" s="1">
        <v>2.9024206467334009E-2</v>
      </c>
      <c r="K6222" s="1">
        <v>1.9829590822106338</v>
      </c>
      <c r="L6222" s="1">
        <v>1.8892963539429561</v>
      </c>
      <c r="M6222" s="1">
        <v>0.14408905027814192</v>
      </c>
      <c r="N6222" s="1">
        <v>1.5285949504035643</v>
      </c>
      <c r="O6222" s="1">
        <v>0.12676136054421769</v>
      </c>
      <c r="P6222" s="1">
        <v>8.4620777636412473E-2</v>
      </c>
      <c r="Q6222" s="1">
        <v>4.7582821701149847</v>
      </c>
      <c r="R6222" s="2">
        <f t="shared" si="391"/>
        <v>166.21962373660256</v>
      </c>
      <c r="S6222" s="2">
        <f t="shared" si="390"/>
        <v>2.0966040663143799</v>
      </c>
      <c r="T6222" s="2">
        <f t="shared" si="392"/>
        <v>3.6887417151688799</v>
      </c>
      <c r="U6222" s="2">
        <f t="shared" si="393"/>
        <v>172.0049695180858</v>
      </c>
    </row>
    <row r="6223" spans="1:21" x14ac:dyDescent="0.25">
      <c r="A6223">
        <v>6765557</v>
      </c>
      <c r="B6223">
        <v>30</v>
      </c>
      <c r="C6223" s="1">
        <f>6.24322407100962*(10.3/7.3)</f>
        <v>8.8089325933423481</v>
      </c>
      <c r="D6223" s="1">
        <f>8.0326362107836*(10.3/7.3)</f>
        <v>11.333719585078226</v>
      </c>
      <c r="E6223" s="1">
        <f>28.3059576095533*(10.3/7.3)</f>
        <v>39.938542928547768</v>
      </c>
      <c r="F6223" s="1">
        <f>59.6692359427778*(38.9/42.5)</f>
        <v>54.614900662918942</v>
      </c>
      <c r="G6223" s="1">
        <v>2.3524058173803031</v>
      </c>
      <c r="H6223" s="1">
        <v>9.19180293903859</v>
      </c>
      <c r="I6223" s="1">
        <v>44.484161921547802</v>
      </c>
      <c r="J6223" s="1">
        <v>2.8831155129046424E-2</v>
      </c>
      <c r="K6223" s="1">
        <v>1.9430626835879017</v>
      </c>
      <c r="L6223" s="1">
        <v>1.8077804909724298</v>
      </c>
      <c r="M6223" s="1">
        <v>0.12794384019684982</v>
      </c>
      <c r="N6223" s="1">
        <v>1.2410882775976568</v>
      </c>
      <c r="O6223" s="1">
        <v>0.11701155555555558</v>
      </c>
      <c r="P6223" s="1">
        <v>8.1216934570368104E-2</v>
      </c>
      <c r="Q6223" s="1">
        <v>3.7595526761785703</v>
      </c>
      <c r="R6223" s="2">
        <f t="shared" si="391"/>
        <v>174.48401912403256</v>
      </c>
      <c r="S6223" s="2">
        <f t="shared" si="390"/>
        <v>2.0531107732873162</v>
      </c>
      <c r="T6223" s="2">
        <f t="shared" si="392"/>
        <v>3.2938241643224919</v>
      </c>
      <c r="U6223" s="2">
        <f t="shared" si="393"/>
        <v>179.83095406164239</v>
      </c>
    </row>
    <row r="6224" spans="1:21" x14ac:dyDescent="0.25">
      <c r="A6224">
        <v>6777089</v>
      </c>
      <c r="B6224">
        <v>60</v>
      </c>
      <c r="C6224" s="1">
        <f>0.477764298605747*(10.3/7.3)</f>
        <v>0.67410579118345071</v>
      </c>
      <c r="D6224" s="1">
        <f>0.979960640349155*(10.3/7.3)</f>
        <v>1.3826841911775747</v>
      </c>
      <c r="E6224" s="1">
        <f>3.31590161274979*(10.3/7.3)</f>
        <v>4.6786009056606694</v>
      </c>
      <c r="F6224" s="1">
        <f>11.0803438984428*(38.9/42.5)</f>
        <v>10.141773591751203</v>
      </c>
      <c r="G6224" s="1">
        <v>0.63989272238637496</v>
      </c>
      <c r="H6224" s="1">
        <v>2.4570146539624713</v>
      </c>
      <c r="I6224" s="1">
        <v>8.232841592700149</v>
      </c>
      <c r="J6224" s="1">
        <v>2.4573807359303985E-2</v>
      </c>
      <c r="K6224" s="1">
        <v>2.2952710136326782</v>
      </c>
      <c r="L6224" s="1">
        <v>1.3827081653896565</v>
      </c>
      <c r="M6224" s="1">
        <v>0.22840368440371486</v>
      </c>
      <c r="N6224" s="1">
        <v>0.84912970958881451</v>
      </c>
      <c r="O6224" s="1">
        <v>0.22680622222222224</v>
      </c>
      <c r="P6224" s="1">
        <v>9.9660366687981672E-2</v>
      </c>
      <c r="Q6224" s="1">
        <v>1.0226596019873584</v>
      </c>
      <c r="R6224" s="2">
        <f t="shared" si="391"/>
        <v>29.22957305080925</v>
      </c>
      <c r="S6224" s="2">
        <f t="shared" si="390"/>
        <v>2.419505187679964</v>
      </c>
      <c r="T6224" s="2">
        <f t="shared" si="392"/>
        <v>2.687047781604408</v>
      </c>
      <c r="U6224" s="2">
        <f t="shared" si="393"/>
        <v>34.336126020093623</v>
      </c>
    </row>
    <row r="6225" spans="1:21" x14ac:dyDescent="0.25">
      <c r="A6225">
        <v>6777529</v>
      </c>
      <c r="B6225">
        <v>26</v>
      </c>
      <c r="C6225" s="1">
        <f>1.48958071946224*(10.3/7.3)</f>
        <v>2.1017371795152089</v>
      </c>
      <c r="D6225" s="1">
        <f>3.18248761149382*(10.3/7.3)</f>
        <v>4.4903592326556696</v>
      </c>
      <c r="E6225" s="1">
        <f>10.7657898498216*(10.3/7.3)</f>
        <v>15.190087048378452</v>
      </c>
      <c r="F6225" s="1">
        <f>35.4971219550419*(38.9/42.5)</f>
        <v>32.490306918850074</v>
      </c>
      <c r="G6225" s="1">
        <v>2.0419465298971557</v>
      </c>
      <c r="H6225" s="1">
        <v>6.8401326673515355</v>
      </c>
      <c r="I6225" s="1">
        <v>26.16071079993533</v>
      </c>
      <c r="J6225" s="1">
        <v>2.3361447885799261E-2</v>
      </c>
      <c r="K6225" s="1">
        <v>1.925764393707875</v>
      </c>
      <c r="L6225" s="1">
        <v>1.8971366171465331</v>
      </c>
      <c r="M6225" s="1">
        <v>0.18198634856383963</v>
      </c>
      <c r="N6225" s="1">
        <v>1.0679525316155047</v>
      </c>
      <c r="O6225" s="1">
        <v>0.14359384615384616</v>
      </c>
      <c r="P6225" s="1">
        <v>8.5530541338925639E-2</v>
      </c>
      <c r="Q6225" s="1">
        <v>3.2633848651324424</v>
      </c>
      <c r="R6225" s="2">
        <f t="shared" si="391"/>
        <v>92.578665241715854</v>
      </c>
      <c r="S6225" s="2">
        <f t="shared" si="390"/>
        <v>2.0346563829325999</v>
      </c>
      <c r="T6225" s="2">
        <f t="shared" si="392"/>
        <v>3.2906693434797236</v>
      </c>
      <c r="U6225" s="2">
        <f t="shared" si="393"/>
        <v>97.90399096812817</v>
      </c>
    </row>
    <row r="6226" spans="1:21" x14ac:dyDescent="0.25">
      <c r="A6226">
        <v>6777537</v>
      </c>
      <c r="B6226">
        <v>69</v>
      </c>
      <c r="C6226" s="1">
        <f>1.88488999995316*(10.3/7.3)</f>
        <v>2.6595023287010373</v>
      </c>
      <c r="D6226" s="1">
        <f>3.93280431743466*(10.3/7.3)</f>
        <v>5.5490252698050684</v>
      </c>
      <c r="E6226" s="1">
        <f>13.3569236024194*(10.3/7.3)</f>
        <v>18.846070288345171</v>
      </c>
      <c r="F6226" s="1">
        <f>41.7436594257194*(38.9/42.5)</f>
        <v>38.207725921423133</v>
      </c>
      <c r="G6226" s="1">
        <v>2.3368527159265526</v>
      </c>
      <c r="H6226" s="1">
        <v>7.0819756251774857</v>
      </c>
      <c r="I6226" s="1">
        <v>30.509905381115459</v>
      </c>
      <c r="J6226" s="1">
        <v>2.7410604305977655E-2</v>
      </c>
      <c r="K6226" s="1">
        <v>2.1457081006336511</v>
      </c>
      <c r="L6226" s="1">
        <v>2.1657020594939111</v>
      </c>
      <c r="M6226" s="1">
        <v>0.20258436171188762</v>
      </c>
      <c r="N6226" s="1">
        <v>1.1670341671136399</v>
      </c>
      <c r="O6226" s="1">
        <v>0.16198492753623189</v>
      </c>
      <c r="P6226" s="1">
        <v>9.3894681198186045E-2</v>
      </c>
      <c r="Q6226" s="1">
        <v>3.7346961213438079</v>
      </c>
      <c r="R6226" s="2">
        <f t="shared" si="391"/>
        <v>108.92575365183771</v>
      </c>
      <c r="S6226" s="2">
        <f t="shared" si="390"/>
        <v>2.267013386137815</v>
      </c>
      <c r="T6226" s="2">
        <f t="shared" si="392"/>
        <v>3.6973055158556702</v>
      </c>
      <c r="U6226" s="2">
        <f t="shared" si="393"/>
        <v>114.8900725538312</v>
      </c>
    </row>
    <row r="6227" spans="1:21" x14ac:dyDescent="0.25">
      <c r="A6227">
        <v>6777545</v>
      </c>
      <c r="B6227">
        <v>68</v>
      </c>
      <c r="C6227" s="1">
        <f>1.91951464760208*(10.3/7.3)</f>
        <v>2.7083562836029405</v>
      </c>
      <c r="D6227" s="1">
        <f>4.00967201498394*(10.3/7.3)</f>
        <v>5.6574824321006298</v>
      </c>
      <c r="E6227" s="1">
        <f>13.6190378711591*(10.3/7.3)</f>
        <v>19.2159027497176</v>
      </c>
      <c r="F6227" s="1">
        <f>42.4863699072263*(38.9/42.5)</f>
        <v>38.887524456261232</v>
      </c>
      <c r="G6227" s="1">
        <v>2.3764409360850491</v>
      </c>
      <c r="H6227" s="1">
        <v>6.9581490622452522</v>
      </c>
      <c r="I6227" s="1">
        <v>31.035302341579435</v>
      </c>
      <c r="J6227" s="1">
        <v>2.7279182554825383E-2</v>
      </c>
      <c r="K6227" s="1">
        <v>2.1479413250681967</v>
      </c>
      <c r="L6227" s="1">
        <v>2.1776107623207857</v>
      </c>
      <c r="M6227" s="1">
        <v>0.2027573434494444</v>
      </c>
      <c r="N6227" s="1">
        <v>1.1803354298991879</v>
      </c>
      <c r="O6227" s="1">
        <v>0.16048235294117644</v>
      </c>
      <c r="P6227" s="1">
        <v>9.4024371055412698E-2</v>
      </c>
      <c r="Q6227" s="1">
        <v>3.7979649663459725</v>
      </c>
      <c r="R6227" s="2">
        <f t="shared" si="391"/>
        <v>110.63712322793812</v>
      </c>
      <c r="S6227" s="2">
        <f t="shared" si="390"/>
        <v>2.2692448786784349</v>
      </c>
      <c r="T6227" s="2">
        <f t="shared" si="392"/>
        <v>3.7211858886105946</v>
      </c>
      <c r="U6227" s="2">
        <f t="shared" si="393"/>
        <v>116.62755399522715</v>
      </c>
    </row>
    <row r="6228" spans="1:21" x14ac:dyDescent="0.25">
      <c r="A6228">
        <v>6777553</v>
      </c>
      <c r="B6228">
        <v>33</v>
      </c>
      <c r="C6228" s="1">
        <f>1.54556532141938*(10.3/7.3)</f>
        <v>2.1807291521396706</v>
      </c>
      <c r="D6228" s="1">
        <f>3.29862672982252*(10.3/7.3)</f>
        <v>4.6542267557769836</v>
      </c>
      <c r="E6228" s="1">
        <f>11.1764382818106*(10.3/7.3)</f>
        <v>15.769495109951931</v>
      </c>
      <c r="F6228" s="1">
        <f>35.947505596074*(38.9/42.5)</f>
        <v>32.90254041617122</v>
      </c>
      <c r="G6228" s="1">
        <v>2.0436760042964792</v>
      </c>
      <c r="H6228" s="1">
        <v>6.9233816239612418</v>
      </c>
      <c r="I6228" s="1">
        <v>26.356277627242427</v>
      </c>
      <c r="J6228" s="1">
        <v>2.4016018938127829E-2</v>
      </c>
      <c r="K6228" s="1">
        <v>1.9287888232292443</v>
      </c>
      <c r="L6228" s="1">
        <v>1.8854094565291872</v>
      </c>
      <c r="M6228" s="1">
        <v>0.17822575599732332</v>
      </c>
      <c r="N6228" s="1">
        <v>1.0547517492970235</v>
      </c>
      <c r="O6228" s="1">
        <v>0.13958626262626267</v>
      </c>
      <c r="P6228" s="1">
        <v>8.5459314367380509E-2</v>
      </c>
      <c r="Q6228" s="1">
        <v>3.2661488653140114</v>
      </c>
      <c r="R6228" s="2">
        <f t="shared" si="391"/>
        <v>94.096475554853967</v>
      </c>
      <c r="S6228" s="2">
        <f t="shared" si="390"/>
        <v>2.0382641565347526</v>
      </c>
      <c r="T6228" s="2">
        <f t="shared" si="392"/>
        <v>3.2579732244497968</v>
      </c>
      <c r="U6228" s="2">
        <f t="shared" si="393"/>
        <v>99.392712935838517</v>
      </c>
    </row>
    <row r="6229" spans="1:21" x14ac:dyDescent="0.25">
      <c r="A6229">
        <v>6777561</v>
      </c>
      <c r="B6229">
        <v>23</v>
      </c>
      <c r="C6229" s="1">
        <f>2.00318266656177*(10.3/7.3)</f>
        <v>2.8264084199433133</v>
      </c>
      <c r="D6229" s="1">
        <f>4.37174294084941*(10.3/7.3)</f>
        <v>6.1683496288697111</v>
      </c>
      <c r="E6229" s="1">
        <f>14.8119897631026*(10.3/7.3)</f>
        <v>20.899108843829644</v>
      </c>
      <c r="F6229" s="1">
        <f>47.2062290366732*(38.9/42.5)</f>
        <v>43.207583753566766</v>
      </c>
      <c r="G6229" s="1">
        <v>2.6752360799888204</v>
      </c>
      <c r="H6229" s="1">
        <v>9.0152026436030557</v>
      </c>
      <c r="I6229" s="1">
        <v>34.437783561772406</v>
      </c>
      <c r="J6229" s="1">
        <v>2.7326970144965816E-2</v>
      </c>
      <c r="K6229" s="1">
        <v>2.128231308076078</v>
      </c>
      <c r="L6229" s="1">
        <v>2.1345283446898318</v>
      </c>
      <c r="M6229" s="1">
        <v>0.19603784018965092</v>
      </c>
      <c r="N6229" s="1">
        <v>1.2174827759818243</v>
      </c>
      <c r="O6229" s="1">
        <v>0.15530434782608696</v>
      </c>
      <c r="P6229" s="1">
        <v>9.370766142999537E-2</v>
      </c>
      <c r="Q6229" s="1">
        <v>4.275491452036932</v>
      </c>
      <c r="R6229" s="2">
        <f t="shared" si="391"/>
        <v>123.50516438361065</v>
      </c>
      <c r="S6229" s="2">
        <f t="shared" si="390"/>
        <v>2.249265939651039</v>
      </c>
      <c r="T6229" s="2">
        <f t="shared" si="392"/>
        <v>3.7033533086873938</v>
      </c>
      <c r="U6229" s="2">
        <f t="shared" si="393"/>
        <v>129.45778363194907</v>
      </c>
    </row>
    <row r="6230" spans="1:21" x14ac:dyDescent="0.25">
      <c r="A6230">
        <v>6777569</v>
      </c>
      <c r="B6230">
        <v>2</v>
      </c>
      <c r="C6230" s="1">
        <f>1.48562843922589*(10.3/7.3)</f>
        <v>2.0961606745242078</v>
      </c>
      <c r="D6230" s="1">
        <f>3.17422985901499*(10.3/7.3)</f>
        <v>4.4787078832677318</v>
      </c>
      <c r="E6230" s="1">
        <f>10.7642793756947*(10.3/7.3)</f>
        <v>15.187955831459634</v>
      </c>
      <c r="F6230" s="1">
        <f>34.1233067523895*(38.9/42.5)</f>
        <v>31.232861945128313</v>
      </c>
      <c r="G6230" s="1">
        <v>1.9264806664212306</v>
      </c>
      <c r="H6230" s="1">
        <v>8.2700697397723335</v>
      </c>
      <c r="I6230" s="1">
        <v>24.935795012075154</v>
      </c>
      <c r="J6230" s="1">
        <v>2.399107404331266E-2</v>
      </c>
      <c r="K6230" s="1">
        <v>1.8769731483636429</v>
      </c>
      <c r="L6230" s="1">
        <v>1.827022326720571</v>
      </c>
      <c r="M6230" s="1">
        <v>0.16799944076515605</v>
      </c>
      <c r="N6230" s="1">
        <v>1.068259831422552</v>
      </c>
      <c r="O6230" s="1">
        <v>0.13250666666666666</v>
      </c>
      <c r="P6230" s="1">
        <v>8.2818946527027926E-2</v>
      </c>
      <c r="Q6230" s="1">
        <v>3.0788503801252576</v>
      </c>
      <c r="R6230" s="2">
        <f t="shared" si="391"/>
        <v>91.206882132773856</v>
      </c>
      <c r="S6230" s="2">
        <f t="shared" si="390"/>
        <v>1.9837831689339835</v>
      </c>
      <c r="T6230" s="2">
        <f t="shared" si="392"/>
        <v>3.1957882655749454</v>
      </c>
      <c r="U6230" s="2">
        <f t="shared" si="393"/>
        <v>96.386453567282786</v>
      </c>
    </row>
    <row r="6231" spans="1:21" x14ac:dyDescent="0.25">
      <c r="A6231">
        <v>6777641</v>
      </c>
      <c r="B6231">
        <v>10</v>
      </c>
      <c r="C6231" s="1">
        <f>2.15479850376837*(10.3/7.3)</f>
        <v>3.0403321354539994</v>
      </c>
      <c r="D6231" s="1">
        <f>4.33291116960834*(10.3/7.3)</f>
        <v>6.1135595954747837</v>
      </c>
      <c r="E6231" s="1">
        <f>14.7346590032708*(10.3/7.3)</f>
        <v>20.789998319683519</v>
      </c>
      <c r="F6231" s="1">
        <f>45.862782370438*(38.9/42.5)</f>
        <v>41.977934922589093</v>
      </c>
      <c r="G6231" s="1">
        <v>2.5564092652827757</v>
      </c>
      <c r="H6231" s="1">
        <v>7.4615377388124626</v>
      </c>
      <c r="I6231" s="1">
        <v>33.670551316050918</v>
      </c>
      <c r="J6231" s="1">
        <v>2.8752797299663114E-2</v>
      </c>
      <c r="K6231" s="1">
        <v>2.017383001647683</v>
      </c>
      <c r="L6231" s="1">
        <v>2.0033300452781986</v>
      </c>
      <c r="M6231" s="1">
        <v>0.16732956732514481</v>
      </c>
      <c r="N6231" s="1">
        <v>1.3267926359361772</v>
      </c>
      <c r="O6231" s="1">
        <v>0.13763200000000003</v>
      </c>
      <c r="P6231" s="1">
        <v>8.8092981995797986E-2</v>
      </c>
      <c r="Q6231" s="1">
        <v>4.0855855837852619</v>
      </c>
      <c r="R6231" s="2">
        <f t="shared" si="391"/>
        <v>119.69590887713282</v>
      </c>
      <c r="S6231" s="2">
        <f t="shared" si="390"/>
        <v>2.1342287809431442</v>
      </c>
      <c r="T6231" s="2">
        <f t="shared" si="392"/>
        <v>3.6350842485395205</v>
      </c>
      <c r="U6231" s="2">
        <f t="shared" si="393"/>
        <v>125.46522190661548</v>
      </c>
    </row>
    <row r="6232" spans="1:21" x14ac:dyDescent="0.25">
      <c r="A6232">
        <v>6777649</v>
      </c>
      <c r="B6232">
        <v>51</v>
      </c>
      <c r="C6232" s="1">
        <f>2.05107004089373*(10.3/7.3)</f>
        <v>2.8939755371514284</v>
      </c>
      <c r="D6232" s="1">
        <f>4.07017636241097*(10.3/7.3)</f>
        <v>5.7428515798401323</v>
      </c>
      <c r="E6232" s="1">
        <f>13.8680636074966*(10.3/7.3)</f>
        <v>19.567267829755522</v>
      </c>
      <c r="F6232" s="1">
        <f>42.050356588069*(38.9/42.5)</f>
        <v>38.488444030020801</v>
      </c>
      <c r="G6232" s="1">
        <v>2.3102494246623992</v>
      </c>
      <c r="H6232" s="1">
        <v>6.5639833723257928</v>
      </c>
      <c r="I6232" s="1">
        <v>30.757172049067993</v>
      </c>
      <c r="J6232" s="1">
        <v>2.817154494498313E-2</v>
      </c>
      <c r="K6232" s="1">
        <v>1.9680592666206302</v>
      </c>
      <c r="L6232" s="1">
        <v>1.9382407787753224</v>
      </c>
      <c r="M6232" s="1">
        <v>0.1617474625614829</v>
      </c>
      <c r="N6232" s="1">
        <v>1.2554425469201818</v>
      </c>
      <c r="O6232" s="1">
        <v>0.13275607843137252</v>
      </c>
      <c r="P6232" s="1">
        <v>8.5987113938930659E-2</v>
      </c>
      <c r="Q6232" s="1">
        <v>3.6921794458074899</v>
      </c>
      <c r="R6232" s="2">
        <f t="shared" si="391"/>
        <v>110.01612326863156</v>
      </c>
      <c r="S6232" s="2">
        <f t="shared" si="390"/>
        <v>2.0822179255045441</v>
      </c>
      <c r="T6232" s="2">
        <f t="shared" si="392"/>
        <v>3.4881868666883595</v>
      </c>
      <c r="U6232" s="2">
        <f t="shared" si="393"/>
        <v>115.58652806082448</v>
      </c>
    </row>
    <row r="6233" spans="1:21" x14ac:dyDescent="0.25">
      <c r="A6233">
        <v>6777657</v>
      </c>
      <c r="B6233">
        <v>20</v>
      </c>
      <c r="C6233" s="1">
        <f>2.98931941188849*(10.3/7.3)</f>
        <v>4.217806841431706</v>
      </c>
      <c r="D6233" s="1">
        <f>6.10018064148389*(10.3/7.3)</f>
        <v>8.6071041927786442</v>
      </c>
      <c r="E6233" s="1">
        <f>20.734881839203*(10.3/7.3)</f>
        <v>29.256066156683641</v>
      </c>
      <c r="F6233" s="1">
        <f>64.5887714330249*(38.9/42.5)</f>
        <v>59.117722558698084</v>
      </c>
      <c r="G6233" s="1">
        <v>3.6048954291517967</v>
      </c>
      <c r="H6233" s="1">
        <v>11.581456721684422</v>
      </c>
      <c r="I6233" s="1">
        <v>47.324135668766822</v>
      </c>
      <c r="J6233" s="1">
        <v>3.5378984286935325E-2</v>
      </c>
      <c r="K6233" s="1">
        <v>2.3454527492514603</v>
      </c>
      <c r="L6233" s="1">
        <v>2.4063080345835406</v>
      </c>
      <c r="M6233" s="1">
        <v>0.19045402640271128</v>
      </c>
      <c r="N6233" s="1">
        <v>1.4961406914837654</v>
      </c>
      <c r="O6233" s="1">
        <v>0.16010666666666667</v>
      </c>
      <c r="P6233" s="1">
        <v>0.10028228714963416</v>
      </c>
      <c r="Q6233" s="1">
        <v>5.7612484027540187</v>
      </c>
      <c r="R6233" s="2">
        <f t="shared" si="391"/>
        <v>169.47043597194912</v>
      </c>
      <c r="S6233" s="2">
        <f t="shared" si="390"/>
        <v>2.4811140206880298</v>
      </c>
      <c r="T6233" s="2">
        <f t="shared" si="392"/>
        <v>4.2530094191366841</v>
      </c>
      <c r="U6233" s="2">
        <f t="shared" si="393"/>
        <v>176.20455941177383</v>
      </c>
    </row>
    <row r="6234" spans="1:21" x14ac:dyDescent="0.25">
      <c r="A6234">
        <v>6777689</v>
      </c>
      <c r="B6234">
        <v>2</v>
      </c>
      <c r="C6234" s="1">
        <f>1.9653709204719*(10.3/7.3)</f>
        <v>2.7730576001178835</v>
      </c>
      <c r="D6234" s="1">
        <f>3.91034497510724*(10.3/7.3)</f>
        <v>5.5173360607677537</v>
      </c>
      <c r="E6234" s="1">
        <f>13.3501087751037*(10.3/7.3)</f>
        <v>18.836454847064125</v>
      </c>
      <c r="F6234" s="1">
        <f>39.0564386373148*(38.9/42.5)</f>
        <v>35.74812854097754</v>
      </c>
      <c r="G6234" s="1">
        <v>2.1045902685520712</v>
      </c>
      <c r="H6234" s="1">
        <v>8.867987048334264</v>
      </c>
      <c r="I6234" s="1">
        <v>28.326182425239494</v>
      </c>
      <c r="J6234" s="1">
        <v>2.5938704567875892E-2</v>
      </c>
      <c r="K6234" s="1">
        <v>1.8188751131848941</v>
      </c>
      <c r="L6234" s="1">
        <v>1.7223188919414001</v>
      </c>
      <c r="M6234" s="1">
        <v>0.13983084229964718</v>
      </c>
      <c r="N6234" s="1">
        <v>1.1754450725138748</v>
      </c>
      <c r="O6234" s="1">
        <v>0.11738666666666667</v>
      </c>
      <c r="P6234" s="1">
        <v>7.9228941359810665E-2</v>
      </c>
      <c r="Q6234" s="1">
        <v>3.3635004291928112</v>
      </c>
      <c r="R6234" s="2">
        <f t="shared" si="391"/>
        <v>105.53723722024594</v>
      </c>
      <c r="S6234" s="2">
        <f t="shared" si="390"/>
        <v>1.9240427591125806</v>
      </c>
      <c r="T6234" s="2">
        <f t="shared" si="392"/>
        <v>3.1549814734215884</v>
      </c>
      <c r="U6234" s="2">
        <f t="shared" si="393"/>
        <v>110.61626145278011</v>
      </c>
    </row>
    <row r="6235" spans="1:21" x14ac:dyDescent="0.25">
      <c r="A6235">
        <v>6777697</v>
      </c>
      <c r="B6235">
        <v>61</v>
      </c>
      <c r="C6235" s="1">
        <f>2.6067741696465*(10.3/7.3)</f>
        <v>3.6780512256656075</v>
      </c>
      <c r="D6235" s="1">
        <f>4.97872369475603*(10.3/7.3)</f>
        <v>7.0247745282174066</v>
      </c>
      <c r="E6235" s="1">
        <f>17.0714793965154*(10.3/7.3)</f>
        <v>24.087155860836859</v>
      </c>
      <c r="F6235" s="1">
        <f>47.1974445660676*(38.9/42.5)</f>
        <v>43.199543379294823</v>
      </c>
      <c r="G6235" s="1">
        <v>2.4524985122165952</v>
      </c>
      <c r="H6235" s="1">
        <v>7.3983043214776254</v>
      </c>
      <c r="I6235" s="1">
        <v>34.011735858842655</v>
      </c>
      <c r="J6235" s="1">
        <v>2.9097526302614311E-2</v>
      </c>
      <c r="K6235" s="1">
        <v>2.0013780321544039</v>
      </c>
      <c r="L6235" s="1">
        <v>1.9414529059701224</v>
      </c>
      <c r="M6235" s="1">
        <v>0.15367358500423534</v>
      </c>
      <c r="N6235" s="1">
        <v>1.2935921947444071</v>
      </c>
      <c r="O6235" s="1">
        <v>0.13104087431693992</v>
      </c>
      <c r="P6235" s="1">
        <v>8.620918867972438E-2</v>
      </c>
      <c r="Q6235" s="1">
        <v>3.9195181702091726</v>
      </c>
      <c r="R6235" s="2">
        <f t="shared" si="391"/>
        <v>125.77158185676073</v>
      </c>
      <c r="S6235" s="2">
        <f t="shared" si="390"/>
        <v>2.1166847471367429</v>
      </c>
      <c r="T6235" s="2">
        <f t="shared" si="392"/>
        <v>3.5197595600357046</v>
      </c>
      <c r="U6235" s="2">
        <f t="shared" si="393"/>
        <v>131.40802616393319</v>
      </c>
    </row>
    <row r="6236" spans="1:21" x14ac:dyDescent="0.25">
      <c r="A6236">
        <v>6777705</v>
      </c>
      <c r="B6236">
        <v>64</v>
      </c>
      <c r="C6236" s="1">
        <f>2.01338375311528*(10.3/7.3)</f>
        <v>2.8408017338475844</v>
      </c>
      <c r="D6236" s="1">
        <f>3.74397220057183*(10.3/7.3)</f>
        <v>5.2825909131355937</v>
      </c>
      <c r="E6236" s="1">
        <f>12.8685648733473*(10.3/7.3)</f>
        <v>18.157016191161215</v>
      </c>
      <c r="F6236" s="1">
        <f>34.5284107557928*(38.9/42.5)</f>
        <v>31.60365125647861</v>
      </c>
      <c r="G6236" s="1">
        <v>1.7565187738758188</v>
      </c>
      <c r="H6236" s="1">
        <v>5.3305020869784352</v>
      </c>
      <c r="I6236" s="1">
        <v>24.823577659142533</v>
      </c>
      <c r="J6236" s="1">
        <v>2.4353735364437412E-2</v>
      </c>
      <c r="K6236" s="1">
        <v>1.7362263801072104</v>
      </c>
      <c r="L6236" s="1">
        <v>1.6127435804524108</v>
      </c>
      <c r="M6236" s="1">
        <v>0.13126050372486395</v>
      </c>
      <c r="N6236" s="1">
        <v>1.1125299207116943</v>
      </c>
      <c r="O6236" s="1">
        <v>0.11142833333333332</v>
      </c>
      <c r="P6236" s="1">
        <v>7.6042426184720971E-2</v>
      </c>
      <c r="Q6236" s="1">
        <v>2.8072217847330458</v>
      </c>
      <c r="R6236" s="2">
        <f t="shared" si="391"/>
        <v>92.601880399352837</v>
      </c>
      <c r="S6236" s="2">
        <f t="shared" si="390"/>
        <v>1.8366225416563688</v>
      </c>
      <c r="T6236" s="2">
        <f t="shared" si="392"/>
        <v>2.9679623382223026</v>
      </c>
      <c r="U6236" s="2">
        <f t="shared" si="393"/>
        <v>97.406465279231512</v>
      </c>
    </row>
    <row r="6237" spans="1:21" x14ac:dyDescent="0.25">
      <c r="A6237">
        <v>6777713</v>
      </c>
      <c r="B6237">
        <v>63</v>
      </c>
      <c r="C6237" s="1">
        <f>2.09923806114337*(10.3/7.3)</f>
        <v>2.9619386342159837</v>
      </c>
      <c r="D6237" s="1">
        <f>3.82773967136853*(10.3/7.3)</f>
        <v>5.4007833719309444</v>
      </c>
      <c r="E6237" s="1">
        <f>13.1772584854364*(10.3/7.3)</f>
        <v>18.592570191780112</v>
      </c>
      <c r="F6237" s="1">
        <f>34.7046876588721*(38.9/42.5)</f>
        <v>31.764996468944133</v>
      </c>
      <c r="G6237" s="1">
        <v>1.7408008101168235</v>
      </c>
      <c r="H6237" s="1">
        <v>5.1815767757586126</v>
      </c>
      <c r="I6237" s="1">
        <v>24.930599292086661</v>
      </c>
      <c r="J6237" s="1">
        <v>2.4305744645752719E-2</v>
      </c>
      <c r="K6237" s="1">
        <v>1.7307901596703212</v>
      </c>
      <c r="L6237" s="1">
        <v>1.5972593044913821</v>
      </c>
      <c r="M6237" s="1">
        <v>0.12864393714444955</v>
      </c>
      <c r="N6237" s="1">
        <v>1.1271065051011926</v>
      </c>
      <c r="O6237" s="1">
        <v>0.11006306878306879</v>
      </c>
      <c r="P6237" s="1">
        <v>7.5459174453693545E-2</v>
      </c>
      <c r="Q6237" s="1">
        <v>2.7821017513282587</v>
      </c>
      <c r="R6237" s="2">
        <f t="shared" si="391"/>
        <v>93.355367296161532</v>
      </c>
      <c r="S6237" s="2">
        <f t="shared" si="390"/>
        <v>1.8305550787697675</v>
      </c>
      <c r="T6237" s="2">
        <f t="shared" si="392"/>
        <v>2.9630728155200932</v>
      </c>
      <c r="U6237" s="2">
        <f t="shared" si="393"/>
        <v>98.148995190451387</v>
      </c>
    </row>
    <row r="6238" spans="1:21" x14ac:dyDescent="0.25">
      <c r="A6238">
        <v>6777721</v>
      </c>
      <c r="B6238">
        <v>66</v>
      </c>
      <c r="C6238" s="1">
        <f>2.39765632946966*(10.3/7.3)</f>
        <v>3.3829945470599285</v>
      </c>
      <c r="D6238" s="1">
        <f>4.24652493113642*(10.3/7.3)</f>
        <v>5.9916721631102847</v>
      </c>
      <c r="E6238" s="1">
        <f>14.6429382718167*(10.3/7.3)</f>
        <v>20.660584136946859</v>
      </c>
      <c r="F6238" s="1">
        <f>38.0309622433945*(38.9/42.5)</f>
        <v>34.809516029836345</v>
      </c>
      <c r="G6238" s="1">
        <v>1.8844568145128493</v>
      </c>
      <c r="H6238" s="1">
        <v>5.3912821398243826</v>
      </c>
      <c r="I6238" s="1">
        <v>27.384632947305224</v>
      </c>
      <c r="J6238" s="1">
        <v>2.4247852161590394E-2</v>
      </c>
      <c r="K6238" s="1">
        <v>1.7232418147920856</v>
      </c>
      <c r="L6238" s="1">
        <v>1.5808082554246898</v>
      </c>
      <c r="M6238" s="1">
        <v>0.12629709515362131</v>
      </c>
      <c r="N6238" s="1">
        <v>1.1615253133744654</v>
      </c>
      <c r="O6238" s="1">
        <v>0.10859555555555557</v>
      </c>
      <c r="P6238" s="1">
        <v>7.4897483384636185E-2</v>
      </c>
      <c r="Q6238" s="1">
        <v>3.0116889729657439</v>
      </c>
      <c r="R6238" s="2">
        <f t="shared" si="391"/>
        <v>102.51682775156161</v>
      </c>
      <c r="S6238" s="2">
        <f t="shared" si="390"/>
        <v>1.822387150338312</v>
      </c>
      <c r="T6238" s="2">
        <f t="shared" si="392"/>
        <v>2.9772262195083323</v>
      </c>
      <c r="U6238" s="2">
        <f t="shared" si="393"/>
        <v>107.31644112140826</v>
      </c>
    </row>
    <row r="6239" spans="1:21" x14ac:dyDescent="0.25">
      <c r="A6239">
        <v>6777729</v>
      </c>
      <c r="B6239">
        <v>30</v>
      </c>
      <c r="C6239" s="1">
        <f>5.86179328406629*(10.3/7.3)</f>
        <v>8.270749428203116</v>
      </c>
      <c r="D6239" s="1">
        <f>10.1941916668044*(10.3/7.3)</f>
        <v>14.38358550247739</v>
      </c>
      <c r="E6239" s="1">
        <f>35.166739765313*(10.3/7.3)</f>
        <v>49.618824600373188</v>
      </c>
      <c r="F6239" s="1">
        <f>91.6385398011015*(38.9/42.5)</f>
        <v>83.876216429714049</v>
      </c>
      <c r="G6239" s="1">
        <v>4.5434042784520745</v>
      </c>
      <c r="H6239" s="1">
        <v>9.8482803135888926</v>
      </c>
      <c r="I6239" s="1">
        <v>66.280945133123495</v>
      </c>
      <c r="J6239" s="1">
        <v>3.7494645680284398E-2</v>
      </c>
      <c r="K6239" s="1">
        <v>2.4384835334596819</v>
      </c>
      <c r="L6239" s="1">
        <v>2.4196889305816232</v>
      </c>
      <c r="M6239" s="1">
        <v>0.17736658709198483</v>
      </c>
      <c r="N6239" s="1">
        <v>2.6296363239517269</v>
      </c>
      <c r="O6239" s="1">
        <v>0.15650311111111107</v>
      </c>
      <c r="P6239" s="1">
        <v>0.1013912489365326</v>
      </c>
      <c r="Q6239" s="1">
        <v>7.2611483902202192</v>
      </c>
      <c r="R6239" s="2">
        <f t="shared" si="391"/>
        <v>244.08315407615243</v>
      </c>
      <c r="S6239" s="2">
        <f t="shared" si="390"/>
        <v>2.5773694280764992</v>
      </c>
      <c r="T6239" s="2">
        <f t="shared" si="392"/>
        <v>5.3831949527364467</v>
      </c>
      <c r="U6239" s="2">
        <f t="shared" si="393"/>
        <v>252.04371845696539</v>
      </c>
    </row>
    <row r="6240" spans="1:21" x14ac:dyDescent="0.25">
      <c r="A6240">
        <v>6777785</v>
      </c>
      <c r="B6240">
        <v>2</v>
      </c>
      <c r="C6240" s="1">
        <f>5.95247105207265*(10.3/7.3)</f>
        <v>8.398692032376486</v>
      </c>
      <c r="D6240" s="1">
        <f>7.50395106105098*(10.3/7.3)</f>
        <v>10.587766565592483</v>
      </c>
      <c r="E6240" s="1">
        <f>26.4388741934363*(10.3/7.3)</f>
        <v>37.304164957862135</v>
      </c>
      <c r="F6240" s="1">
        <f>57.1482513265991*(38.9/42.5)</f>
        <v>52.307458273051836</v>
      </c>
      <c r="G6240" s="1">
        <v>2.3073777071227273</v>
      </c>
      <c r="H6240" s="1">
        <v>8.1793744176870966</v>
      </c>
      <c r="I6240" s="1">
        <v>43.09001125427325</v>
      </c>
      <c r="J6240" s="1">
        <v>2.7661445293306552E-2</v>
      </c>
      <c r="K6240" s="1">
        <v>1.8894307766768286</v>
      </c>
      <c r="L6240" s="1">
        <v>1.7472662894741902</v>
      </c>
      <c r="M6240" s="1">
        <v>0.12474715792014987</v>
      </c>
      <c r="N6240" s="1">
        <v>1.2088091947085129</v>
      </c>
      <c r="O6240" s="1">
        <v>0.11466666666666667</v>
      </c>
      <c r="P6240" s="1">
        <v>7.9384908493443651E-2</v>
      </c>
      <c r="Q6240" s="1">
        <v>3.6875899428902068</v>
      </c>
      <c r="R6240" s="2">
        <f t="shared" si="391"/>
        <v>165.86243515085624</v>
      </c>
      <c r="S6240" s="2">
        <f t="shared" si="390"/>
        <v>1.9964771304635789</v>
      </c>
      <c r="T6240" s="2">
        <f t="shared" si="392"/>
        <v>3.1954893087695195</v>
      </c>
      <c r="U6240" s="2">
        <f t="shared" si="393"/>
        <v>171.05440159008933</v>
      </c>
    </row>
    <row r="6241" spans="1:21" x14ac:dyDescent="0.25">
      <c r="A6241">
        <v>6777793</v>
      </c>
      <c r="B6241">
        <v>32</v>
      </c>
      <c r="C6241" s="1">
        <f>5.38856453341005*(10.3/7.3)</f>
        <v>7.6030431087840453</v>
      </c>
      <c r="D6241" s="1">
        <f>7.69622586063675*(10.3/7.3)</f>
        <v>10.859058406103907</v>
      </c>
      <c r="E6241" s="1">
        <f>27.0464233611432*(10.3/7.3)</f>
        <v>38.161391865722621</v>
      </c>
      <c r="F6241" s="1">
        <f>54.7911191070951*(38.9/42.5)</f>
        <v>50.14998901802354</v>
      </c>
      <c r="G6241" s="1">
        <v>2.104087323515933</v>
      </c>
      <c r="H6241" s="1">
        <v>8.2894894557280843</v>
      </c>
      <c r="I6241" s="1">
        <v>39.168521613534679</v>
      </c>
      <c r="J6241" s="1">
        <v>2.7273192149521074E-2</v>
      </c>
      <c r="K6241" s="1">
        <v>1.8518667101798361</v>
      </c>
      <c r="L6241" s="1">
        <v>1.7061183190741351</v>
      </c>
      <c r="M6241" s="1">
        <v>0.12212075439170558</v>
      </c>
      <c r="N6241" s="1">
        <v>1.1899258626680338</v>
      </c>
      <c r="O6241" s="1">
        <v>0.11127500000000003</v>
      </c>
      <c r="P6241" s="1">
        <v>7.7835583315857132E-2</v>
      </c>
      <c r="Q6241" s="1">
        <v>3.3626966357560617</v>
      </c>
      <c r="R6241" s="2">
        <f t="shared" si="391"/>
        <v>159.69827742716888</v>
      </c>
      <c r="S6241" s="2">
        <f t="shared" si="390"/>
        <v>1.9569754856452142</v>
      </c>
      <c r="T6241" s="2">
        <f t="shared" si="392"/>
        <v>3.1294399361338745</v>
      </c>
      <c r="U6241" s="2">
        <f t="shared" si="393"/>
        <v>164.78469284894797</v>
      </c>
    </row>
    <row r="6242" spans="1:21" x14ac:dyDescent="0.25">
      <c r="A6242">
        <v>6789317</v>
      </c>
      <c r="B6242">
        <v>32</v>
      </c>
      <c r="C6242" s="1">
        <f>0.40640700232577*(10.3/7.3)</f>
        <v>0.57342357862403193</v>
      </c>
      <c r="D6242" s="1">
        <f>0.790402692350903*(10.3/7.3)</f>
        <v>1.1152257166046982</v>
      </c>
      <c r="E6242" s="1">
        <f>2.68651078599626*(10.3/7.3)</f>
        <v>3.7905563144878753</v>
      </c>
      <c r="F6242" s="1">
        <f>8.56639949725616*(38.9/42.5)</f>
        <v>7.8407750692532838</v>
      </c>
      <c r="G6242" s="1">
        <v>0.48231423075517749</v>
      </c>
      <c r="H6242" s="1">
        <v>1.8236162996826113</v>
      </c>
      <c r="I6242" s="1">
        <v>6.3521461737204534</v>
      </c>
      <c r="J6242" s="1">
        <v>2.001041851857218E-2</v>
      </c>
      <c r="K6242" s="1">
        <v>2.0835341094734692</v>
      </c>
      <c r="L6242" s="1">
        <v>1.2497699116284084</v>
      </c>
      <c r="M6242" s="1">
        <v>0.20915118901751917</v>
      </c>
      <c r="N6242" s="1">
        <v>0.7303725478181875</v>
      </c>
      <c r="O6242" s="1">
        <v>0.20176333333333332</v>
      </c>
      <c r="P6242" s="1">
        <v>9.2992500092474298E-2</v>
      </c>
      <c r="Q6242" s="1">
        <v>0.7708218299740287</v>
      </c>
      <c r="R6242" s="2">
        <f t="shared" si="391"/>
        <v>22.74887921310216</v>
      </c>
      <c r="S6242" s="2">
        <f t="shared" si="390"/>
        <v>2.1965370280845158</v>
      </c>
      <c r="T6242" s="2">
        <f t="shared" si="392"/>
        <v>2.391056981797449</v>
      </c>
      <c r="U6242" s="2">
        <f t="shared" si="393"/>
        <v>27.336473222984125</v>
      </c>
    </row>
    <row r="6243" spans="1:21" x14ac:dyDescent="0.25">
      <c r="A6243">
        <v>6789325</v>
      </c>
      <c r="B6243">
        <v>25</v>
      </c>
      <c r="C6243" s="1">
        <f>0.458593186306889*(10.3/7.3)</f>
        <v>0.64705613958369246</v>
      </c>
      <c r="D6243" s="1">
        <f>0.938712032378982*(10.3/7.3)</f>
        <v>1.3244841004799341</v>
      </c>
      <c r="E6243" s="1">
        <f>3.17591935661051*(10.3/7.3)</f>
        <v>4.4810916949436015</v>
      </c>
      <c r="F6243" s="1">
        <f>10.6432219027144*(38.9/42.5)</f>
        <v>9.7416784003668511</v>
      </c>
      <c r="G6243" s="1">
        <v>0.61538798845144194</v>
      </c>
      <c r="H6243" s="1">
        <v>2.7550014126931912</v>
      </c>
      <c r="I6243" s="1">
        <v>7.9147913221906983</v>
      </c>
      <c r="J6243" s="1">
        <v>2.3032449450481888E-2</v>
      </c>
      <c r="K6243" s="1">
        <v>2.2466662446147465</v>
      </c>
      <c r="L6243" s="1">
        <v>1.3581601231382103</v>
      </c>
      <c r="M6243" s="1">
        <v>0.22369980054236788</v>
      </c>
      <c r="N6243" s="1">
        <v>0.87320181498940541</v>
      </c>
      <c r="O6243" s="1">
        <v>0.22295253333333331</v>
      </c>
      <c r="P6243" s="1">
        <v>9.7801864842098143E-2</v>
      </c>
      <c r="Q6243" s="1">
        <v>0.98349678519636896</v>
      </c>
      <c r="R6243" s="2">
        <f t="shared" si="391"/>
        <v>28.462987843905779</v>
      </c>
      <c r="S6243" s="2">
        <f t="shared" si="390"/>
        <v>2.3675005589073264</v>
      </c>
      <c r="T6243" s="2">
        <f t="shared" si="392"/>
        <v>2.6780142720033169</v>
      </c>
      <c r="U6243" s="2">
        <f t="shared" si="393"/>
        <v>33.508502674816427</v>
      </c>
    </row>
    <row r="6244" spans="1:21" x14ac:dyDescent="0.25">
      <c r="A6244">
        <v>6789765</v>
      </c>
      <c r="B6244">
        <v>27</v>
      </c>
      <c r="C6244" s="1">
        <f>1.59122002266328*(10.3/7.3)</f>
        <v>2.2451460593742163</v>
      </c>
      <c r="D6244" s="1">
        <f>3.36335119906521*(10.3/7.3)</f>
        <v>4.7455503219687154</v>
      </c>
      <c r="E6244" s="1">
        <f>11.4077536236795*(10.3/7.3)</f>
        <v>16.095871551218966</v>
      </c>
      <c r="F6244" s="1">
        <f>36.2246976557353*(38.9/42.5)</f>
        <v>33.156252677837735</v>
      </c>
      <c r="G6244" s="1">
        <v>2.045558181545073</v>
      </c>
      <c r="H6244" s="1">
        <v>6.5940102347897378</v>
      </c>
      <c r="I6244" s="1">
        <v>26.520713828917209</v>
      </c>
      <c r="J6244" s="1">
        <v>2.5271264332434915E-2</v>
      </c>
      <c r="K6244" s="1">
        <v>2.0061066732527162</v>
      </c>
      <c r="L6244" s="1">
        <v>1.9916681314191849</v>
      </c>
      <c r="M6244" s="1">
        <v>0.18914789312023572</v>
      </c>
      <c r="N6244" s="1">
        <v>1.1104204296076527</v>
      </c>
      <c r="O6244" s="1">
        <v>0.15031308641975305</v>
      </c>
      <c r="P6244" s="1">
        <v>8.831171812030035E-2</v>
      </c>
      <c r="Q6244" s="1">
        <v>3.2691569111450978</v>
      </c>
      <c r="R6244" s="2">
        <f t="shared" si="391"/>
        <v>94.672259766796756</v>
      </c>
      <c r="S6244" s="2">
        <f t="shared" si="390"/>
        <v>2.1196896557054514</v>
      </c>
      <c r="T6244" s="2">
        <f t="shared" si="392"/>
        <v>3.4415495405668262</v>
      </c>
      <c r="U6244" s="2">
        <f t="shared" si="393"/>
        <v>100.23349896306904</v>
      </c>
    </row>
    <row r="6245" spans="1:21" x14ac:dyDescent="0.25">
      <c r="A6245">
        <v>6789773</v>
      </c>
      <c r="B6245">
        <v>61</v>
      </c>
      <c r="C6245" s="1">
        <f>2.32834860859754*(10.3/7.3)</f>
        <v>3.2852042011718656</v>
      </c>
      <c r="D6245" s="1">
        <f>4.98263582584079*(10.3/7.3)</f>
        <v>7.0302943844055017</v>
      </c>
      <c r="E6245" s="1">
        <f>16.9026868888067*(10.3/7.3)</f>
        <v>23.848996569138269</v>
      </c>
      <c r="F6245" s="1">
        <f>53.2440325929984*(38.9/42.5)</f>
        <v>48.733949832179668</v>
      </c>
      <c r="G6245" s="1">
        <v>2.9968708286640933</v>
      </c>
      <c r="H6245" s="1">
        <v>8.3343329097015832</v>
      </c>
      <c r="I6245" s="1">
        <v>38.84535365584896</v>
      </c>
      <c r="J6245" s="1">
        <v>3.1718991495967276E-2</v>
      </c>
      <c r="K6245" s="1">
        <v>2.3952653033506479</v>
      </c>
      <c r="L6245" s="1">
        <v>2.5001744134350399</v>
      </c>
      <c r="M6245" s="1">
        <v>0.22633442804268367</v>
      </c>
      <c r="N6245" s="1">
        <v>1.3185466616698458</v>
      </c>
      <c r="O6245" s="1">
        <v>0.18204939890710392</v>
      </c>
      <c r="P6245" s="1">
        <v>0.10327302702733057</v>
      </c>
      <c r="Q6245" s="1">
        <v>4.7895195891891982</v>
      </c>
      <c r="R6245" s="2">
        <f t="shared" si="391"/>
        <v>137.86452197029917</v>
      </c>
      <c r="S6245" s="2">
        <f t="shared" si="390"/>
        <v>2.5302573218739459</v>
      </c>
      <c r="T6245" s="2">
        <f t="shared" si="392"/>
        <v>4.2271049020546734</v>
      </c>
      <c r="U6245" s="2">
        <f t="shared" si="393"/>
        <v>144.62188419422776</v>
      </c>
    </row>
    <row r="6246" spans="1:21" x14ac:dyDescent="0.25">
      <c r="A6246">
        <v>6789781</v>
      </c>
      <c r="B6246">
        <v>33</v>
      </c>
      <c r="C6246" s="1">
        <f>1.33099466261234*(10.3/7.3)</f>
        <v>1.8779787705352238</v>
      </c>
      <c r="D6246" s="1">
        <f>2.80596877276495*(10.3/7.3)</f>
        <v>3.9591066245861612</v>
      </c>
      <c r="E6246" s="1">
        <f>9.51380257095422*(10.3/7.3)</f>
        <v>13.423584449428562</v>
      </c>
      <c r="F6246" s="1">
        <f>30.4227588300144*(38.9/42.5)</f>
        <v>27.845772199707255</v>
      </c>
      <c r="G6246" s="1">
        <v>1.7235469165673347</v>
      </c>
      <c r="H6246" s="1">
        <v>5.9005908312424316</v>
      </c>
      <c r="I6246" s="1">
        <v>22.314977903507096</v>
      </c>
      <c r="J6246" s="1">
        <v>2.2648935836711293E-2</v>
      </c>
      <c r="K6246" s="1">
        <v>1.8328227525478173</v>
      </c>
      <c r="L6246" s="1">
        <v>1.7676805347832281</v>
      </c>
      <c r="M6246" s="1">
        <v>0.16993558241672219</v>
      </c>
      <c r="N6246" s="1">
        <v>0.99874085174949445</v>
      </c>
      <c r="O6246" s="1">
        <v>0.13143595959595958</v>
      </c>
      <c r="P6246" s="1">
        <v>8.1405824078775349E-2</v>
      </c>
      <c r="Q6246" s="1">
        <v>2.754527035609899</v>
      </c>
      <c r="R6246" s="2">
        <f t="shared" si="391"/>
        <v>79.800084731183958</v>
      </c>
      <c r="S6246" s="2">
        <f t="shared" si="390"/>
        <v>1.936877512463304</v>
      </c>
      <c r="T6246" s="2">
        <f t="shared" si="392"/>
        <v>3.0677929285454044</v>
      </c>
      <c r="U6246" s="2">
        <f t="shared" si="393"/>
        <v>84.804755172192657</v>
      </c>
    </row>
    <row r="6247" spans="1:21" x14ac:dyDescent="0.25">
      <c r="A6247">
        <v>6789877</v>
      </c>
      <c r="B6247">
        <v>42</v>
      </c>
      <c r="C6247" s="1">
        <f>1.86301940927207*(10.3/7.3)</f>
        <v>2.6286438240414132</v>
      </c>
      <c r="D6247" s="1">
        <f>3.68690123383512*(10.3/7.3)</f>
        <v>5.2020661244522914</v>
      </c>
      <c r="E6247" s="1">
        <f>12.5553764555496*(10.3/7.3)</f>
        <v>17.715120204405601</v>
      </c>
      <c r="F6247" s="1">
        <f>38.4703588804259*(38.9/42.5)</f>
        <v>35.211693187025091</v>
      </c>
      <c r="G6247" s="1">
        <v>2.1248741216920437</v>
      </c>
      <c r="H6247" s="1">
        <v>6.2243863638497681</v>
      </c>
      <c r="I6247" s="1">
        <v>28.214825309341325</v>
      </c>
      <c r="J6247" s="1">
        <v>2.6696015409878496E-2</v>
      </c>
      <c r="K6247" s="1">
        <v>1.8971652870740077</v>
      </c>
      <c r="L6247" s="1">
        <v>1.8475364392900029</v>
      </c>
      <c r="M6247" s="1">
        <v>0.15652745586830963</v>
      </c>
      <c r="N6247" s="1">
        <v>1.2039231889978737</v>
      </c>
      <c r="O6247" s="1">
        <v>0.12744888888888889</v>
      </c>
      <c r="P6247" s="1">
        <v>8.3018230758624717E-2</v>
      </c>
      <c r="Q6247" s="1">
        <v>3.3959175460831776</v>
      </c>
      <c r="R6247" s="2">
        <f t="shared" si="391"/>
        <v>100.71752668089071</v>
      </c>
      <c r="S6247" s="2">
        <f t="shared" si="390"/>
        <v>2.0068795332425111</v>
      </c>
      <c r="T6247" s="2">
        <f t="shared" si="392"/>
        <v>3.3354359730450751</v>
      </c>
      <c r="U6247" s="2">
        <f t="shared" si="393"/>
        <v>106.0598421871783</v>
      </c>
    </row>
    <row r="6248" spans="1:21" x14ac:dyDescent="0.25">
      <c r="A6248">
        <v>6789885</v>
      </c>
      <c r="B6248">
        <v>46</v>
      </c>
      <c r="C6248" s="1">
        <f>2.37316977949195*(10.3/7.3)</f>
        <v>3.3484450313379628</v>
      </c>
      <c r="D6248" s="1">
        <f>4.70871727271028*(10.3/7.3)</f>
        <v>6.6438065628651879</v>
      </c>
      <c r="E6248" s="1">
        <f>16.0476236771475*(10.3/7.3)</f>
        <v>22.642537517071066</v>
      </c>
      <c r="F6248" s="1">
        <f>48.4616042709072*(38.9/42.5)</f>
        <v>44.356621320900913</v>
      </c>
      <c r="G6248" s="1">
        <v>2.6566927151781838</v>
      </c>
      <c r="H6248" s="1">
        <v>7.280745888233854</v>
      </c>
      <c r="I6248" s="1">
        <v>35.415515464120645</v>
      </c>
      <c r="J6248" s="1">
        <v>3.0222311004347774E-2</v>
      </c>
      <c r="K6248" s="1">
        <v>2.0822349123426731</v>
      </c>
      <c r="L6248" s="1">
        <v>2.0725039815691706</v>
      </c>
      <c r="M6248" s="1">
        <v>0.17088803918204609</v>
      </c>
      <c r="N6248" s="1">
        <v>1.3156505076751512</v>
      </c>
      <c r="O6248" s="1">
        <v>0.14091594202898547</v>
      </c>
      <c r="P6248" s="1">
        <v>9.0187832720492161E-2</v>
      </c>
      <c r="Q6248" s="1">
        <v>4.2458559374993854</v>
      </c>
      <c r="R6248" s="2">
        <f t="shared" si="391"/>
        <v>126.59022043720719</v>
      </c>
      <c r="S6248" s="2">
        <f t="shared" si="390"/>
        <v>2.2026450560675133</v>
      </c>
      <c r="T6248" s="2">
        <f t="shared" si="392"/>
        <v>3.6999584704553539</v>
      </c>
      <c r="U6248" s="2">
        <f t="shared" si="393"/>
        <v>132.49282396373007</v>
      </c>
    </row>
    <row r="6249" spans="1:21" x14ac:dyDescent="0.25">
      <c r="A6249">
        <v>6789893</v>
      </c>
      <c r="B6249">
        <v>38</v>
      </c>
      <c r="C6249" s="1">
        <f>2.62559199699821*(10.3/7.3)</f>
        <v>3.7046024067234984</v>
      </c>
      <c r="D6249" s="1">
        <f>5.31475163854425*(10.3/7.3)</f>
        <v>7.498896147535044</v>
      </c>
      <c r="E6249" s="1">
        <f>18.0784646092677*(10.3/7.3)</f>
        <v>25.507970613076289</v>
      </c>
      <c r="F6249" s="1">
        <f>55.8407632165882*(38.9/42.5)</f>
        <v>51.110722097065391</v>
      </c>
      <c r="G6249" s="1">
        <v>3.1016708614573303</v>
      </c>
      <c r="H6249" s="1">
        <v>9.7764430181880435</v>
      </c>
      <c r="I6249" s="1">
        <v>40.887676579649359</v>
      </c>
      <c r="J6249" s="1">
        <v>3.1682215843041261E-2</v>
      </c>
      <c r="K6249" s="1">
        <v>2.1601651184667992</v>
      </c>
      <c r="L6249" s="1">
        <v>2.1701372903902523</v>
      </c>
      <c r="M6249" s="1">
        <v>0.17420020870612349</v>
      </c>
      <c r="N6249" s="1">
        <v>1.3609061085290346</v>
      </c>
      <c r="O6249" s="1">
        <v>0.14673684210526319</v>
      </c>
      <c r="P6249" s="1">
        <v>9.3062186887505532E-2</v>
      </c>
      <c r="Q6249" s="1">
        <v>4.9570082260733637</v>
      </c>
      <c r="R6249" s="2">
        <f t="shared" si="391"/>
        <v>146.54498994976834</v>
      </c>
      <c r="S6249" s="2">
        <f t="shared" si="390"/>
        <v>2.284909521197346</v>
      </c>
      <c r="T6249" s="2">
        <f t="shared" si="392"/>
        <v>3.8519804497306733</v>
      </c>
      <c r="U6249" s="2">
        <f t="shared" si="393"/>
        <v>152.68187992069633</v>
      </c>
    </row>
    <row r="6250" spans="1:21" x14ac:dyDescent="0.25">
      <c r="A6250">
        <v>6789925</v>
      </c>
      <c r="B6250">
        <v>55</v>
      </c>
      <c r="C6250" s="1">
        <f>2.91278039954977*(10.3/7.3)</f>
        <v>4.1098134404606377</v>
      </c>
      <c r="D6250" s="1">
        <f>5.7202910204748*(10.3/7.3)</f>
        <v>8.0710955494370467</v>
      </c>
      <c r="E6250" s="1">
        <f>19.5565326299211*(10.3/7.3)</f>
        <v>27.593463847696931</v>
      </c>
      <c r="F6250" s="1">
        <f>56.1962258170847*(38.9/42.5)</f>
        <v>51.436074924343373</v>
      </c>
      <c r="G6250" s="1">
        <v>2.9946213126721597</v>
      </c>
      <c r="H6250" s="1">
        <v>10.398753077118357</v>
      </c>
      <c r="I6250" s="1">
        <v>40.673716057946756</v>
      </c>
      <c r="J6250" s="1">
        <v>3.208957558518042E-2</v>
      </c>
      <c r="K6250" s="1">
        <v>2.1759925286896746</v>
      </c>
      <c r="L6250" s="1">
        <v>2.1583452671754211</v>
      </c>
      <c r="M6250" s="1">
        <v>0.16604327409451231</v>
      </c>
      <c r="N6250" s="1">
        <v>1.4087400762828914</v>
      </c>
      <c r="O6250" s="1">
        <v>0.14380896969696971</v>
      </c>
      <c r="P6250" s="1">
        <v>9.2926019555337705E-2</v>
      </c>
      <c r="Q6250" s="1">
        <v>4.7859244723071095</v>
      </c>
      <c r="R6250" s="2">
        <f t="shared" si="391"/>
        <v>150.06346268198237</v>
      </c>
      <c r="S6250" s="2">
        <f t="shared" si="390"/>
        <v>2.3010081238301927</v>
      </c>
      <c r="T6250" s="2">
        <f t="shared" si="392"/>
        <v>3.8769375872497944</v>
      </c>
      <c r="U6250" s="2">
        <f t="shared" si="393"/>
        <v>156.24140839306236</v>
      </c>
    </row>
    <row r="6251" spans="1:21" x14ac:dyDescent="0.25">
      <c r="A6251">
        <v>6789933</v>
      </c>
      <c r="B6251">
        <v>69</v>
      </c>
      <c r="C6251" s="1">
        <f>1.91312831181815*(10.3/7.3)</f>
        <v>2.6993454262639709</v>
      </c>
      <c r="D6251" s="1">
        <f>3.588741904548*(10.3/7.3)</f>
        <v>5.0635673447732046</v>
      </c>
      <c r="E6251" s="1">
        <f>12.3226155787388*(10.3/7.3)</f>
        <v>17.386704172741013</v>
      </c>
      <c r="F6251" s="1">
        <f>33.5290660614558*(38.9/42.5)</f>
        <v>30.688956936250108</v>
      </c>
      <c r="G6251" s="1">
        <v>1.7223948035640442</v>
      </c>
      <c r="H6251" s="1">
        <v>5.3253683751497878</v>
      </c>
      <c r="I6251" s="1">
        <v>24.147580548337444</v>
      </c>
      <c r="J6251" s="1">
        <v>2.3513867359892162E-2</v>
      </c>
      <c r="K6251" s="1">
        <v>1.6893373581604794</v>
      </c>
      <c r="L6251" s="1">
        <v>1.5653603588362808</v>
      </c>
      <c r="M6251" s="1">
        <v>0.12827133603629573</v>
      </c>
      <c r="N6251" s="1">
        <v>1.0688666406079821</v>
      </c>
      <c r="O6251" s="1">
        <v>0.10864077294685993</v>
      </c>
      <c r="P6251" s="1">
        <v>7.4111012494142883E-2</v>
      </c>
      <c r="Q6251" s="1">
        <v>2.7526857591206211</v>
      </c>
      <c r="R6251" s="2">
        <f t="shared" si="391"/>
        <v>89.786603366200183</v>
      </c>
      <c r="S6251" s="2">
        <f t="shared" si="390"/>
        <v>1.7869622380145145</v>
      </c>
      <c r="T6251" s="2">
        <f t="shared" si="392"/>
        <v>2.8711391084274189</v>
      </c>
      <c r="U6251" s="2">
        <f t="shared" si="393"/>
        <v>94.444704712642107</v>
      </c>
    </row>
    <row r="6252" spans="1:21" x14ac:dyDescent="0.25">
      <c r="A6252">
        <v>6789941</v>
      </c>
      <c r="B6252">
        <v>69</v>
      </c>
      <c r="C6252" s="1">
        <f>1.98691619827976*(10.3/7.3)</f>
        <v>2.8034571016824081</v>
      </c>
      <c r="D6252" s="1">
        <f>3.68251564398492*(10.3/7.3)</f>
        <v>5.1958782374033872</v>
      </c>
      <c r="E6252" s="1">
        <f>12.6628583754635*(10.3/7.3)</f>
        <v>17.866772776338927</v>
      </c>
      <c r="F6252" s="1">
        <f>33.7598920034089*(38.9/42.5)</f>
        <v>30.900230563120115</v>
      </c>
      <c r="G6252" s="1">
        <v>1.7097371105192993</v>
      </c>
      <c r="H6252" s="1">
        <v>5.1077580210322306</v>
      </c>
      <c r="I6252" s="1">
        <v>24.248498227369875</v>
      </c>
      <c r="J6252" s="1">
        <v>2.428736035783844E-2</v>
      </c>
      <c r="K6252" s="1">
        <v>1.7359695800360764</v>
      </c>
      <c r="L6252" s="1">
        <v>1.6037972029168786</v>
      </c>
      <c r="M6252" s="1">
        <v>0.13035117993521084</v>
      </c>
      <c r="N6252" s="1">
        <v>1.1162589451631937</v>
      </c>
      <c r="O6252" s="1">
        <v>0.11062028985507241</v>
      </c>
      <c r="P6252" s="1">
        <v>7.5777672065843668E-2</v>
      </c>
      <c r="Q6252" s="1">
        <v>2.7324565693230838</v>
      </c>
      <c r="R6252" s="2">
        <f t="shared" si="391"/>
        <v>90.564788606789335</v>
      </c>
      <c r="S6252" s="2">
        <f t="shared" si="390"/>
        <v>1.8360346124597584</v>
      </c>
      <c r="T6252" s="2">
        <f t="shared" si="392"/>
        <v>2.9610276178703554</v>
      </c>
      <c r="U6252" s="2">
        <f t="shared" si="393"/>
        <v>95.361850837119448</v>
      </c>
    </row>
    <row r="6253" spans="1:21" x14ac:dyDescent="0.25">
      <c r="A6253">
        <v>6789949</v>
      </c>
      <c r="B6253">
        <v>43</v>
      </c>
      <c r="C6253" s="1">
        <f>2.07790688108275*(10.3/7.3)</f>
        <v>2.9318412157742961</v>
      </c>
      <c r="D6253" s="1">
        <f>3.77847038068732*(10.3/7.3)</f>
        <v>5.3312664275451276</v>
      </c>
      <c r="E6253" s="1">
        <f>13.0147918547413*(10.3/7.3)</f>
        <v>18.363336452580224</v>
      </c>
      <c r="F6253" s="1">
        <f>33.9688380560749*(38.9/42.5)</f>
        <v>31.09147765603095</v>
      </c>
      <c r="G6253" s="1">
        <v>1.6930143604059307</v>
      </c>
      <c r="H6253" s="1">
        <v>4.9672288975985079</v>
      </c>
      <c r="I6253" s="1">
        <v>24.361246054360024</v>
      </c>
      <c r="J6253" s="1">
        <v>2.3809899110795153E-2</v>
      </c>
      <c r="K6253" s="1">
        <v>1.7007259204383234</v>
      </c>
      <c r="L6253" s="1">
        <v>1.5570591865856511</v>
      </c>
      <c r="M6253" s="1">
        <v>0.12621847733820651</v>
      </c>
      <c r="N6253" s="1">
        <v>1.1180339482090369</v>
      </c>
      <c r="O6253" s="1">
        <v>0.10725333333333333</v>
      </c>
      <c r="P6253" s="1">
        <v>7.4175543791825574E-2</v>
      </c>
      <c r="Q6253" s="1">
        <v>2.7057307129775174</v>
      </c>
      <c r="R6253" s="2">
        <f t="shared" si="391"/>
        <v>91.445141777272582</v>
      </c>
      <c r="S6253" s="2">
        <f t="shared" si="390"/>
        <v>1.7987113633409442</v>
      </c>
      <c r="T6253" s="2">
        <f t="shared" si="392"/>
        <v>2.9085649454662281</v>
      </c>
      <c r="U6253" s="2">
        <f t="shared" si="393"/>
        <v>96.152418086079749</v>
      </c>
    </row>
    <row r="6254" spans="1:21" x14ac:dyDescent="0.25">
      <c r="A6254">
        <v>6789957</v>
      </c>
      <c r="B6254">
        <v>65</v>
      </c>
      <c r="C6254" s="1">
        <f>2.75363636280276*(10.3/7.3)</f>
        <v>3.8852677447764941</v>
      </c>
      <c r="D6254" s="1">
        <f>5.07569919834776*(10.3/7.3)</f>
        <v>7.1616029784906736</v>
      </c>
      <c r="E6254" s="1">
        <f>17.4911793887319*(10.3/7.3)</f>
        <v>24.679335301909461</v>
      </c>
      <c r="F6254" s="1">
        <f>44.8577990480064*(38.9/42.5)</f>
        <v>41.058079599234134</v>
      </c>
      <c r="G6254" s="1">
        <v>2.2112662003194998</v>
      </c>
      <c r="H6254" s="1">
        <v>5.9459956515573635</v>
      </c>
      <c r="I6254" s="1">
        <v>31.9441822617977</v>
      </c>
      <c r="J6254" s="1">
        <v>2.5140394740998603E-2</v>
      </c>
      <c r="K6254" s="1">
        <v>1.7773251338476055</v>
      </c>
      <c r="L6254" s="1">
        <v>1.6459830099598269</v>
      </c>
      <c r="M6254" s="1">
        <v>0.12960602244838934</v>
      </c>
      <c r="N6254" s="1">
        <v>1.2528805030525456</v>
      </c>
      <c r="O6254" s="1">
        <v>0.11278523076923076</v>
      </c>
      <c r="P6254" s="1">
        <v>7.688301239093738E-2</v>
      </c>
      <c r="Q6254" s="1">
        <v>3.5339870781361911</v>
      </c>
      <c r="R6254" s="2">
        <f t="shared" si="391"/>
        <v>120.41971681622152</v>
      </c>
      <c r="S6254" s="2">
        <f t="shared" si="390"/>
        <v>1.8793485409795414</v>
      </c>
      <c r="T6254" s="2">
        <f t="shared" si="392"/>
        <v>3.1412547662299928</v>
      </c>
      <c r="U6254" s="2">
        <f t="shared" si="393"/>
        <v>125.44032012343105</v>
      </c>
    </row>
    <row r="6255" spans="1:21" x14ac:dyDescent="0.25">
      <c r="A6255">
        <v>6801553</v>
      </c>
      <c r="B6255">
        <v>45</v>
      </c>
      <c r="C6255" s="1">
        <f>0.410271539217501*(10.3/7.3)</f>
        <v>0.57887628136167935</v>
      </c>
      <c r="D6255" s="1">
        <f>0.808339158830282*(10.3/7.3)</f>
        <v>1.140533333692042</v>
      </c>
      <c r="E6255" s="1">
        <f>2.7444628255905*(10.3/7.3)</f>
        <v>3.8723242607646799</v>
      </c>
      <c r="F6255" s="1">
        <f>8.85289779472789*(38.9/42.5)</f>
        <v>8.1030052756450601</v>
      </c>
      <c r="G6255" s="1">
        <v>0.50167061067115459</v>
      </c>
      <c r="H6255" s="1">
        <v>1.9492178905474591</v>
      </c>
      <c r="I6255" s="1">
        <v>6.5676343378569664</v>
      </c>
      <c r="J6255" s="1">
        <v>2.0881088569522078E-2</v>
      </c>
      <c r="K6255" s="1">
        <v>2.1418318535480112</v>
      </c>
      <c r="L6255" s="1">
        <v>1.2905715473326933</v>
      </c>
      <c r="M6255" s="1">
        <v>0.21228958792074273</v>
      </c>
      <c r="N6255" s="1">
        <v>0.76578550813796276</v>
      </c>
      <c r="O6255" s="1">
        <v>0.20938785185185185</v>
      </c>
      <c r="P6255" s="1">
        <v>9.4704357349929547E-2</v>
      </c>
      <c r="Q6255" s="1">
        <v>0.8017566837210246</v>
      </c>
      <c r="R6255" s="2">
        <f t="shared" si="391"/>
        <v>23.515018674260066</v>
      </c>
      <c r="S6255" s="2">
        <f t="shared" si="390"/>
        <v>2.2574172994674626</v>
      </c>
      <c r="T6255" s="2">
        <f t="shared" si="392"/>
        <v>2.4780344952432505</v>
      </c>
      <c r="U6255" s="2">
        <f t="shared" si="393"/>
        <v>28.250470468970779</v>
      </c>
    </row>
    <row r="6256" spans="1:21" x14ac:dyDescent="0.25">
      <c r="A6256">
        <v>6802001</v>
      </c>
      <c r="B6256">
        <v>37</v>
      </c>
      <c r="C6256" s="1">
        <f>1.73796244577538*(10.3/7.3)</f>
        <v>2.4521935878748491</v>
      </c>
      <c r="D6256" s="1">
        <f>3.87714012542322*(10.3/7.3)</f>
        <v>5.4704853824464656</v>
      </c>
      <c r="E6256" s="1">
        <f>13.1525940575606*(10.3/7.3)</f>
        <v>18.557769697653985</v>
      </c>
      <c r="F6256" s="1">
        <f>40.6832990334343*(38.9/42.5)</f>
        <v>37.237184291778718</v>
      </c>
      <c r="G6256" s="1">
        <v>2.2745077569411394</v>
      </c>
      <c r="H6256" s="1">
        <v>7.4972983868298542</v>
      </c>
      <c r="I6256" s="1">
        <v>29.389690513990345</v>
      </c>
      <c r="J6256" s="1">
        <v>2.6646631508235596E-2</v>
      </c>
      <c r="K6256" s="1">
        <v>1.9927795985905079</v>
      </c>
      <c r="L6256" s="1">
        <v>1.9813061503292337</v>
      </c>
      <c r="M6256" s="1">
        <v>0.18772511423858323</v>
      </c>
      <c r="N6256" s="1">
        <v>1.1082562114961614</v>
      </c>
      <c r="O6256" s="1">
        <v>0.14920792792792792</v>
      </c>
      <c r="P6256" s="1">
        <v>8.765097002409114E-2</v>
      </c>
      <c r="Q6256" s="1">
        <v>3.635058059038355</v>
      </c>
      <c r="R6256" s="2">
        <f t="shared" si="391"/>
        <v>106.5141876765537</v>
      </c>
      <c r="S6256" s="2">
        <f t="shared" si="390"/>
        <v>2.1070772001228346</v>
      </c>
      <c r="T6256" s="2">
        <f t="shared" si="392"/>
        <v>3.4264954039919062</v>
      </c>
      <c r="U6256" s="2">
        <f t="shared" si="393"/>
        <v>112.04776028066844</v>
      </c>
    </row>
    <row r="6257" spans="1:21" x14ac:dyDescent="0.25">
      <c r="A6257">
        <v>6802009</v>
      </c>
      <c r="B6257">
        <v>28</v>
      </c>
      <c r="C6257" s="1">
        <f>1.38642532992715*(10.3/7.3)</f>
        <v>1.9561891641437812</v>
      </c>
      <c r="D6257" s="1">
        <f>2.93602088387848*(10.3/7.3)</f>
        <v>4.1426048087600433</v>
      </c>
      <c r="E6257" s="1">
        <f>9.9588134270462*(10.3/7.3)</f>
        <v>14.051476479256966</v>
      </c>
      <c r="F6257" s="1">
        <f>31.5729509121898*(38.9/42.5)</f>
        <v>28.898536246686678</v>
      </c>
      <c r="G6257" s="1">
        <v>1.7816708156354206</v>
      </c>
      <c r="H6257" s="1">
        <v>6.709774291305945</v>
      </c>
      <c r="I6257" s="1">
        <v>23.100930848699818</v>
      </c>
      <c r="J6257" s="1">
        <v>2.3778307683486429E-2</v>
      </c>
      <c r="K6257" s="1">
        <v>1.888820220069793</v>
      </c>
      <c r="L6257" s="1">
        <v>1.8318242341840492</v>
      </c>
      <c r="M6257" s="1">
        <v>0.17563420395071577</v>
      </c>
      <c r="N6257" s="1">
        <v>1.0465288034599076</v>
      </c>
      <c r="O6257" s="1">
        <v>0.13681333333333331</v>
      </c>
      <c r="P6257" s="1">
        <v>8.3864134765960732E-2</v>
      </c>
      <c r="Q6257" s="1">
        <v>2.8474191117461083</v>
      </c>
      <c r="R6257" s="2">
        <f t="shared" si="391"/>
        <v>83.488601766234765</v>
      </c>
      <c r="S6257" s="2">
        <f t="shared" si="390"/>
        <v>1.9964626625192401</v>
      </c>
      <c r="T6257" s="2">
        <f t="shared" si="392"/>
        <v>3.190800574928006</v>
      </c>
      <c r="U6257" s="2">
        <f t="shared" si="393"/>
        <v>88.675865003682006</v>
      </c>
    </row>
    <row r="6258" spans="1:21" x14ac:dyDescent="0.25">
      <c r="A6258">
        <v>6802113</v>
      </c>
      <c r="B6258">
        <v>44</v>
      </c>
      <c r="C6258" s="1">
        <f>2.02376593059526*(10.3/7.3)</f>
        <v>2.8554505596070117</v>
      </c>
      <c r="D6258" s="1">
        <f>3.99366342860795*(10.3/7.3)</f>
        <v>5.6348949746112185</v>
      </c>
      <c r="E6258" s="1">
        <f>13.6062152850079*(10.3/7.3)</f>
        <v>19.197810607613885</v>
      </c>
      <c r="F6258" s="1">
        <f>41.4288807912698*(38.9/42.5)</f>
        <v>37.919610888950444</v>
      </c>
      <c r="G6258" s="1">
        <v>2.2803101197233246</v>
      </c>
      <c r="H6258" s="1">
        <v>6.361574489933246</v>
      </c>
      <c r="I6258" s="1">
        <v>30.356286453827707</v>
      </c>
      <c r="J6258" s="1">
        <v>2.7527398629158061E-2</v>
      </c>
      <c r="K6258" s="1">
        <v>1.9482664618498453</v>
      </c>
      <c r="L6258" s="1">
        <v>1.9083648394566304</v>
      </c>
      <c r="M6258" s="1">
        <v>0.16017014610917182</v>
      </c>
      <c r="N6258" s="1">
        <v>1.2268974193844731</v>
      </c>
      <c r="O6258" s="1">
        <v>0.13143636363636363</v>
      </c>
      <c r="P6258" s="1">
        <v>8.4933798416784848E-2</v>
      </c>
      <c r="Q6258" s="1">
        <v>3.6443312415669609</v>
      </c>
      <c r="R6258" s="2">
        <f t="shared" si="391"/>
        <v>108.25026933583379</v>
      </c>
      <c r="S6258" s="2">
        <f t="shared" si="390"/>
        <v>2.0607276588957881</v>
      </c>
      <c r="T6258" s="2">
        <f t="shared" si="392"/>
        <v>3.426868768586639</v>
      </c>
      <c r="U6258" s="2">
        <f t="shared" si="393"/>
        <v>113.73786576331622</v>
      </c>
    </row>
    <row r="6259" spans="1:21" x14ac:dyDescent="0.25">
      <c r="A6259">
        <v>6802121</v>
      </c>
      <c r="B6259">
        <v>32</v>
      </c>
      <c r="C6259" s="1">
        <f>2.46021115051801*(10.3/7.3)</f>
        <v>3.471256828813083</v>
      </c>
      <c r="D6259" s="1">
        <f>4.90689513491877*(10.3/7.3)</f>
        <v>6.9234273821456593</v>
      </c>
      <c r="E6259" s="1">
        <f>16.7147781963693*(10.3/7.3)</f>
        <v>23.583865126384087</v>
      </c>
      <c r="F6259" s="1">
        <f>50.7718676148923*(38.9/42.5)</f>
        <v>46.471191769866145</v>
      </c>
      <c r="G6259" s="1">
        <v>2.7929543746789829</v>
      </c>
      <c r="H6259" s="1">
        <v>7.9696414853649866</v>
      </c>
      <c r="I6259" s="1">
        <v>37.122084777327835</v>
      </c>
      <c r="J6259" s="1">
        <v>3.0779139253922751E-2</v>
      </c>
      <c r="K6259" s="1">
        <v>2.1232700237608775</v>
      </c>
      <c r="L6259" s="1">
        <v>2.1213437598355696</v>
      </c>
      <c r="M6259" s="1">
        <v>0.1728978407098091</v>
      </c>
      <c r="N6259" s="1">
        <v>1.3354926544622943</v>
      </c>
      <c r="O6259" s="1">
        <v>0.14404666666666663</v>
      </c>
      <c r="P6259" s="1">
        <v>9.1676216021263912E-2</v>
      </c>
      <c r="Q6259" s="1">
        <v>4.4636257129572838</v>
      </c>
      <c r="R6259" s="2">
        <f t="shared" si="391"/>
        <v>132.79804745753808</v>
      </c>
      <c r="S6259" s="2">
        <f t="shared" si="390"/>
        <v>2.2457253790360645</v>
      </c>
      <c r="T6259" s="2">
        <f t="shared" si="392"/>
        <v>3.7737809216743394</v>
      </c>
      <c r="U6259" s="2">
        <f t="shared" si="393"/>
        <v>138.81755375824847</v>
      </c>
    </row>
    <row r="6260" spans="1:21" x14ac:dyDescent="0.25">
      <c r="A6260">
        <v>6802129</v>
      </c>
      <c r="B6260">
        <v>4</v>
      </c>
      <c r="C6260" s="1">
        <f>3.15954933009899*(10.3/7.3)</f>
        <v>4.4579942602766529</v>
      </c>
      <c r="D6260" s="1">
        <f>6.26675706494097*(10.3/7.3)</f>
        <v>8.8421366806701318</v>
      </c>
      <c r="E6260" s="1">
        <f>21.3665850733321*(10.3/7.3)</f>
        <v>30.147373459632899</v>
      </c>
      <c r="F6260" s="1">
        <f>64.0691685248232*(38.9/42.5)</f>
        <v>58.642133073308763</v>
      </c>
      <c r="G6260" s="1">
        <v>3.4988880274016334</v>
      </c>
      <c r="H6260" s="1">
        <v>10.745716124098983</v>
      </c>
      <c r="I6260" s="1">
        <v>46.750492669280831</v>
      </c>
      <c r="J6260" s="1">
        <v>3.6780090167568835E-2</v>
      </c>
      <c r="K6260" s="1">
        <v>2.4299035980900268</v>
      </c>
      <c r="L6260" s="1">
        <v>2.4917822566180567</v>
      </c>
      <c r="M6260" s="1">
        <v>0.19549710796816017</v>
      </c>
      <c r="N6260" s="1">
        <v>1.5498371521881891</v>
      </c>
      <c r="O6260" s="1">
        <v>0.16477333333333333</v>
      </c>
      <c r="P6260" s="1">
        <v>0.10313522385221041</v>
      </c>
      <c r="Q6260" s="1">
        <v>5.5918301807788726</v>
      </c>
      <c r="R6260" s="2">
        <f t="shared" si="391"/>
        <v>168.67656447544877</v>
      </c>
      <c r="S6260" s="2">
        <f t="shared" si="390"/>
        <v>2.5698189121098061</v>
      </c>
      <c r="T6260" s="2">
        <f t="shared" si="392"/>
        <v>4.4018898501077395</v>
      </c>
      <c r="U6260" s="2">
        <f t="shared" si="393"/>
        <v>175.64827323766633</v>
      </c>
    </row>
    <row r="6261" spans="1:21" x14ac:dyDescent="0.25">
      <c r="A6261">
        <v>6802153</v>
      </c>
      <c r="B6261">
        <v>27</v>
      </c>
      <c r="C6261" s="1">
        <f>2.96869010903043*(10.3/7.3)</f>
        <v>4.1886997428785513</v>
      </c>
      <c r="D6261" s="1">
        <f>5.97641466973668*(10.3/7.3)</f>
        <v>8.432475492916133</v>
      </c>
      <c r="E6261" s="1">
        <f>20.3654415177843*(10.3/7.3)</f>
        <v>28.734801045640804</v>
      </c>
      <c r="F6261" s="1">
        <f>61.1969836271806*(38.9/42.5)</f>
        <v>56.013239131701745</v>
      </c>
      <c r="G6261" s="1">
        <v>3.3491519763465223</v>
      </c>
      <c r="H6261" s="1">
        <v>13.059504327310549</v>
      </c>
      <c r="I6261" s="1">
        <v>44.573458048894999</v>
      </c>
      <c r="J6261" s="1">
        <v>3.3053300023173408E-2</v>
      </c>
      <c r="K6261" s="1">
        <v>2.2227115368791019</v>
      </c>
      <c r="L6261" s="1">
        <v>2.220613562808373</v>
      </c>
      <c r="M6261" s="1">
        <v>0.17016054926522842</v>
      </c>
      <c r="N6261" s="1">
        <v>1.4613808021012913</v>
      </c>
      <c r="O6261" s="1">
        <v>0.14741135802469135</v>
      </c>
      <c r="P6261" s="1">
        <v>9.4542320645263564E-2</v>
      </c>
      <c r="Q6261" s="1">
        <v>5.3525259895949047</v>
      </c>
      <c r="R6261" s="2">
        <f t="shared" si="391"/>
        <v>163.7038557552842</v>
      </c>
      <c r="S6261" s="2">
        <f t="shared" si="390"/>
        <v>2.3503071575475385</v>
      </c>
      <c r="T6261" s="2">
        <f t="shared" si="392"/>
        <v>3.9995662721995839</v>
      </c>
      <c r="U6261" s="2">
        <f t="shared" si="393"/>
        <v>170.05372918503133</v>
      </c>
    </row>
    <row r="6262" spans="1:21" x14ac:dyDescent="0.25">
      <c r="A6262">
        <v>6802161</v>
      </c>
      <c r="B6262">
        <v>66</v>
      </c>
      <c r="C6262" s="1">
        <f>3.53420010424084*(10.3/7.3)</f>
        <v>4.9866111059836529</v>
      </c>
      <c r="D6262" s="1">
        <f>6.80562392893988*(10.3/7.3)</f>
        <v>9.6024556805590038</v>
      </c>
      <c r="E6262" s="1">
        <f>23.3194426616475*(10.3/7.3)</f>
        <v>32.902775262324596</v>
      </c>
      <c r="F6262" s="1">
        <f>65.0119021466369*(38.9/42.5)</f>
        <v>59.505011611862933</v>
      </c>
      <c r="G6262" s="1">
        <v>3.3977219034457904</v>
      </c>
      <c r="H6262" s="1">
        <v>8.7869618223187249</v>
      </c>
      <c r="I6262" s="1">
        <v>46.875464088435209</v>
      </c>
      <c r="J6262" s="1">
        <v>3.5768407526302323E-2</v>
      </c>
      <c r="K6262" s="1">
        <v>2.3784720462384628</v>
      </c>
      <c r="L6262" s="1">
        <v>2.3887849443028562</v>
      </c>
      <c r="M6262" s="1">
        <v>0.18187795167304105</v>
      </c>
      <c r="N6262" s="1">
        <v>1.546032420779073</v>
      </c>
      <c r="O6262" s="1">
        <v>0.15694545454545458</v>
      </c>
      <c r="P6262" s="1">
        <v>0.10041566693901706</v>
      </c>
      <c r="Q6262" s="1">
        <v>5.430149160758118</v>
      </c>
      <c r="R6262" s="2">
        <f t="shared" si="391"/>
        <v>171.48715063568801</v>
      </c>
      <c r="S6262" s="2">
        <f t="shared" si="390"/>
        <v>2.5146561207037825</v>
      </c>
      <c r="T6262" s="2">
        <f t="shared" si="392"/>
        <v>4.2736407713004247</v>
      </c>
      <c r="U6262" s="2">
        <f t="shared" si="393"/>
        <v>178.27544752769222</v>
      </c>
    </row>
    <row r="6263" spans="1:21" x14ac:dyDescent="0.25">
      <c r="A6263">
        <v>6802169</v>
      </c>
      <c r="B6263">
        <v>64</v>
      </c>
      <c r="C6263" s="1">
        <f>1.95543229523127*(10.3/7.3)</f>
        <v>2.7590346083400052</v>
      </c>
      <c r="D6263" s="1">
        <f>3.66393542227352*(10.3/7.3)</f>
        <v>5.169662308139344</v>
      </c>
      <c r="E6263" s="1">
        <f>12.5844739486256*(10.3/7.3)</f>
        <v>17.756175571348383</v>
      </c>
      <c r="F6263" s="1">
        <f>34.0761510798387*(38.9/42.5)</f>
        <v>31.189700635428835</v>
      </c>
      <c r="G6263" s="1">
        <v>1.7449175083755792</v>
      </c>
      <c r="H6263" s="1">
        <v>5.2529806803118282</v>
      </c>
      <c r="I6263" s="1">
        <v>24.518124334893528</v>
      </c>
      <c r="J6263" s="1">
        <v>2.419541082424621E-2</v>
      </c>
      <c r="K6263" s="1">
        <v>1.7337423135054881</v>
      </c>
      <c r="L6263" s="1">
        <v>1.6072041520995377</v>
      </c>
      <c r="M6263" s="1">
        <v>0.13120135458230855</v>
      </c>
      <c r="N6263" s="1">
        <v>1.102628116662653</v>
      </c>
      <c r="O6263" s="1">
        <v>0.11093750000000004</v>
      </c>
      <c r="P6263" s="1">
        <v>7.5583205910667597E-2</v>
      </c>
      <c r="Q6263" s="1">
        <v>2.7886809494586897</v>
      </c>
      <c r="R6263" s="2">
        <f t="shared" si="391"/>
        <v>91.179276596296205</v>
      </c>
      <c r="S6263" s="2">
        <f t="shared" si="390"/>
        <v>1.8335209302404019</v>
      </c>
      <c r="T6263" s="2">
        <f t="shared" si="392"/>
        <v>2.951971123344499</v>
      </c>
      <c r="U6263" s="2">
        <f t="shared" si="393"/>
        <v>95.964768649881094</v>
      </c>
    </row>
    <row r="6264" spans="1:21" x14ac:dyDescent="0.25">
      <c r="A6264">
        <v>6802177</v>
      </c>
      <c r="B6264">
        <v>37</v>
      </c>
      <c r="C6264" s="1">
        <f>1.99621700620918*(10.3/7.3)</f>
        <v>2.8165801594458246</v>
      </c>
      <c r="D6264" s="1">
        <f>3.70708043381234*(10.3/7.3)</f>
        <v>5.2305381463379579</v>
      </c>
      <c r="E6264" s="1">
        <f>12.7496188954672*(10.3/7.3)</f>
        <v>17.989188304563378</v>
      </c>
      <c r="F6264" s="1">
        <f>33.8342622927686*(38.9/42.5)</f>
        <v>30.968301251498826</v>
      </c>
      <c r="G6264" s="1">
        <v>1.7085414422573857</v>
      </c>
      <c r="H6264" s="1">
        <v>5.0695870676293389</v>
      </c>
      <c r="I6264" s="1">
        <v>24.265416665571543</v>
      </c>
      <c r="J6264" s="1">
        <v>2.394566029499216E-2</v>
      </c>
      <c r="K6264" s="1">
        <v>1.7161577868341638</v>
      </c>
      <c r="L6264" s="1">
        <v>1.5784131749519992</v>
      </c>
      <c r="M6264" s="1">
        <v>0.12749082869346509</v>
      </c>
      <c r="N6264" s="1">
        <v>1.1020738207620486</v>
      </c>
      <c r="O6264" s="1">
        <v>0.1089974774774775</v>
      </c>
      <c r="P6264" s="1">
        <v>7.491988673663641E-2</v>
      </c>
      <c r="Q6264" s="1">
        <v>2.7305456839729949</v>
      </c>
      <c r="R6264" s="2">
        <f t="shared" si="391"/>
        <v>90.778698721277237</v>
      </c>
      <c r="S6264" s="2">
        <f t="shared" si="390"/>
        <v>1.8150233338657924</v>
      </c>
      <c r="T6264" s="2">
        <f t="shared" si="392"/>
        <v>2.9169753018849907</v>
      </c>
      <c r="U6264" s="2">
        <f t="shared" si="393"/>
        <v>95.510697357028022</v>
      </c>
    </row>
    <row r="6265" spans="1:21" x14ac:dyDescent="0.25">
      <c r="A6265">
        <v>6802185</v>
      </c>
      <c r="B6265">
        <v>42</v>
      </c>
      <c r="C6265" s="1">
        <f>2.16490563252189*(10.3/7.3)</f>
        <v>3.0545928787637648</v>
      </c>
      <c r="D6265" s="1">
        <f>4.0442478484324*(10.3/7.3)</f>
        <v>5.7062675121717419</v>
      </c>
      <c r="E6265" s="1">
        <f>13.9292708620367*(10.3/7.3)</f>
        <v>19.653628750544957</v>
      </c>
      <c r="F6265" s="1">
        <f>35.8104044072383*(38.9/42.5)</f>
        <v>32.777052504507488</v>
      </c>
      <c r="G6265" s="1">
        <v>1.7704687128622745</v>
      </c>
      <c r="H6265" s="1">
        <v>5.1114891797086139</v>
      </c>
      <c r="I6265" s="1">
        <v>25.45020358811119</v>
      </c>
      <c r="J6265" s="1">
        <v>2.373708798984488E-2</v>
      </c>
      <c r="K6265" s="1">
        <v>1.6998391589788164</v>
      </c>
      <c r="L6265" s="1">
        <v>1.5510166666172831</v>
      </c>
      <c r="M6265" s="1">
        <v>0.12508143787370987</v>
      </c>
      <c r="N6265" s="1">
        <v>1.1274164430832159</v>
      </c>
      <c r="O6265" s="1">
        <v>0.1071568253968254</v>
      </c>
      <c r="P6265" s="1">
        <v>7.3906745051416978E-2</v>
      </c>
      <c r="Q6265" s="1">
        <v>2.8295162077707614</v>
      </c>
      <c r="R6265" s="2">
        <f t="shared" si="391"/>
        <v>96.353219334440809</v>
      </c>
      <c r="S6265" s="2">
        <f t="shared" si="390"/>
        <v>1.7974829920200783</v>
      </c>
      <c r="T6265" s="2">
        <f t="shared" si="392"/>
        <v>2.9106713729710343</v>
      </c>
      <c r="U6265" s="2">
        <f t="shared" si="393"/>
        <v>101.06137369943193</v>
      </c>
    </row>
    <row r="6266" spans="1:21" x14ac:dyDescent="0.25">
      <c r="A6266">
        <v>6802193</v>
      </c>
      <c r="B6266">
        <v>59</v>
      </c>
      <c r="C6266" s="1">
        <f>3.58362040528698*(10.3/7.3)</f>
        <v>5.0563411197884784</v>
      </c>
      <c r="D6266" s="1">
        <f>7.26730811353369*(10.3/7.3)</f>
        <v>10.253873091698221</v>
      </c>
      <c r="E6266" s="1">
        <f>24.9829810578995*(10.3/7.3)</f>
        <v>35.249959574844532</v>
      </c>
      <c r="F6266" s="1">
        <f>63.5525055194866*(38.9/42.5)</f>
        <v>58.169234463718354</v>
      </c>
      <c r="G6266" s="1">
        <v>3.1412139764817457</v>
      </c>
      <c r="H6266" s="1">
        <v>8.1338844224917981</v>
      </c>
      <c r="I6266" s="1">
        <v>44.338736853145363</v>
      </c>
      <c r="J6266" s="1">
        <v>2.8897512123396592E-2</v>
      </c>
      <c r="K6266" s="1">
        <v>1.9794748154719626</v>
      </c>
      <c r="L6266" s="1">
        <v>1.8852283030412391</v>
      </c>
      <c r="M6266" s="1">
        <v>0.14372010507596178</v>
      </c>
      <c r="N6266" s="1">
        <v>1.8177176857942003</v>
      </c>
      <c r="O6266" s="1">
        <v>0.12613694915254237</v>
      </c>
      <c r="P6266" s="1">
        <v>8.4339849081193449E-2</v>
      </c>
      <c r="Q6266" s="1">
        <v>5.0202049852448036</v>
      </c>
      <c r="R6266" s="2">
        <f t="shared" si="391"/>
        <v>169.36344848741331</v>
      </c>
      <c r="S6266" s="2">
        <f t="shared" si="390"/>
        <v>2.0927121766765526</v>
      </c>
      <c r="T6266" s="2">
        <f t="shared" si="392"/>
        <v>3.9728030430639434</v>
      </c>
      <c r="U6266" s="2">
        <f t="shared" si="393"/>
        <v>175.4289637071538</v>
      </c>
    </row>
    <row r="6267" spans="1:21" x14ac:dyDescent="0.25">
      <c r="A6267">
        <v>6813781</v>
      </c>
      <c r="B6267">
        <v>9</v>
      </c>
      <c r="C6267" s="1">
        <f>0.369566116566325*(10.3/7.3)</f>
        <v>0.52144260282645849</v>
      </c>
      <c r="D6267" s="1">
        <f>0.705820720694548*(10.3/7.3)</f>
        <v>0.99588403056902042</v>
      </c>
      <c r="E6267" s="1">
        <f>2.40273674738029*(10.3/7.3)</f>
        <v>3.3901628079475392</v>
      </c>
      <c r="F6267" s="1">
        <f>7.53664286685296*(38.9/42.5)</f>
        <v>6.8982448828371821</v>
      </c>
      <c r="G6267" s="1">
        <v>0.42036965734508502</v>
      </c>
      <c r="H6267" s="1">
        <v>1.6261708573060771</v>
      </c>
      <c r="I6267" s="1">
        <v>5.5849845565934357</v>
      </c>
      <c r="J6267" s="1">
        <v>1.9622460041714283E-2</v>
      </c>
      <c r="K6267" s="1">
        <v>2.0392013945118022</v>
      </c>
      <c r="L6267" s="1">
        <v>1.2421790012657334</v>
      </c>
      <c r="M6267" s="1">
        <v>0.20534772651534916</v>
      </c>
      <c r="N6267" s="1">
        <v>0.72193964102668406</v>
      </c>
      <c r="O6267" s="1">
        <v>0.19981037037037036</v>
      </c>
      <c r="P6267" s="1">
        <v>9.2069187918082399E-2</v>
      </c>
      <c r="Q6267" s="1">
        <v>0.6718236532912325</v>
      </c>
      <c r="R6267" s="2">
        <f t="shared" si="391"/>
        <v>20.10908304871603</v>
      </c>
      <c r="S6267" s="2">
        <f t="shared" si="390"/>
        <v>2.1508930424715986</v>
      </c>
      <c r="T6267" s="2">
        <f t="shared" si="392"/>
        <v>2.3692767391781366</v>
      </c>
      <c r="U6267" s="2">
        <f t="shared" si="393"/>
        <v>24.629252830365765</v>
      </c>
    </row>
    <row r="6268" spans="1:21" x14ac:dyDescent="0.25">
      <c r="A6268">
        <v>6813789</v>
      </c>
      <c r="B6268">
        <v>57</v>
      </c>
      <c r="C6268" s="1">
        <f>0.554905036485066*(10.3/7.3)</f>
        <v>0.78294820216386074</v>
      </c>
      <c r="D6268" s="1">
        <f>1.1778515066025*(10.3/7.3)</f>
        <v>1.6619000709596912</v>
      </c>
      <c r="E6268" s="1">
        <f>3.97737763098342*(10.3/7.3)</f>
        <v>5.6119163834423622</v>
      </c>
      <c r="F6268" s="1">
        <f>13.5173158534053*(38.9/42.5)</f>
        <v>12.372319686999209</v>
      </c>
      <c r="G6268" s="1">
        <v>0.78803804750855355</v>
      </c>
      <c r="H6268" s="1">
        <v>3.3815624137113747</v>
      </c>
      <c r="I6268" s="1">
        <v>10.032815678052362</v>
      </c>
      <c r="J6268" s="1">
        <v>2.5658280909043582E-2</v>
      </c>
      <c r="K6268" s="1">
        <v>2.5075240762288313</v>
      </c>
      <c r="L6268" s="1">
        <v>1.6182603750618585</v>
      </c>
      <c r="M6268" s="1">
        <v>0.25457408685169225</v>
      </c>
      <c r="N6268" s="1">
        <v>0.95854699847687508</v>
      </c>
      <c r="O6268" s="1">
        <v>0.25685052631578942</v>
      </c>
      <c r="P6268" s="1">
        <v>0.10726260152708376</v>
      </c>
      <c r="Q6268" s="1">
        <v>1.2594215371141286</v>
      </c>
      <c r="R6268" s="2">
        <f t="shared" si="391"/>
        <v>35.890922019951539</v>
      </c>
      <c r="S6268" s="2">
        <f t="shared" si="390"/>
        <v>2.6404449586649585</v>
      </c>
      <c r="T6268" s="2">
        <f t="shared" si="392"/>
        <v>3.0882319867062149</v>
      </c>
      <c r="U6268" s="2">
        <f t="shared" si="393"/>
        <v>41.619598965322709</v>
      </c>
    </row>
    <row r="6269" spans="1:21" x14ac:dyDescent="0.25">
      <c r="A6269">
        <v>6814237</v>
      </c>
      <c r="B6269">
        <v>46</v>
      </c>
      <c r="C6269" s="1">
        <f>1.50336974166192*(10.3/7.3)</f>
        <v>2.1211929231668241</v>
      </c>
      <c r="D6269" s="1">
        <f>3.40518039013366*(10.3/7.3)</f>
        <v>4.8045695915584572</v>
      </c>
      <c r="E6269" s="1">
        <f>11.5235510122914*(10.3/7.3)</f>
        <v>16.259256907753588</v>
      </c>
      <c r="F6269" s="1">
        <f>36.8560772185692*(38.9/42.5)</f>
        <v>33.734150677702182</v>
      </c>
      <c r="G6269" s="1">
        <v>2.0964731730123218</v>
      </c>
      <c r="H6269" s="1">
        <v>7.7385308915771329</v>
      </c>
      <c r="I6269" s="1">
        <v>26.776936028694013</v>
      </c>
      <c r="J6269" s="1">
        <v>2.4477382091313858E-2</v>
      </c>
      <c r="K6269" s="1">
        <v>1.9235317206647837</v>
      </c>
      <c r="L6269" s="1">
        <v>1.8807858341596921</v>
      </c>
      <c r="M6269" s="1">
        <v>0.18005529488767125</v>
      </c>
      <c r="N6269" s="1">
        <v>1.0716568635110908</v>
      </c>
      <c r="O6269" s="1">
        <v>0.14165681159420293</v>
      </c>
      <c r="P6269" s="1">
        <v>8.5187262181012191E-2</v>
      </c>
      <c r="Q6269" s="1">
        <v>3.3505279020744889</v>
      </c>
      <c r="R6269" s="2">
        <f t="shared" si="391"/>
        <v>96.881638095539003</v>
      </c>
      <c r="S6269" s="2">
        <f t="shared" si="390"/>
        <v>2.0331963649371096</v>
      </c>
      <c r="T6269" s="2">
        <f t="shared" si="392"/>
        <v>3.2741548041526567</v>
      </c>
      <c r="U6269" s="2">
        <f t="shared" si="393"/>
        <v>102.18898926462877</v>
      </c>
    </row>
    <row r="6270" spans="1:21" x14ac:dyDescent="0.25">
      <c r="A6270">
        <v>6814341</v>
      </c>
      <c r="B6270">
        <v>54</v>
      </c>
      <c r="C6270" s="1">
        <f>2.02854442648903*(10.3/7.3)</f>
        <v>2.8621928209365706</v>
      </c>
      <c r="D6270" s="1">
        <f>3.97956532998957*(10.3/7.3)</f>
        <v>5.6150031368346029</v>
      </c>
      <c r="E6270" s="1">
        <f>13.537465391193*(10.3/7.3)</f>
        <v>19.100807332779102</v>
      </c>
      <c r="F6270" s="1">
        <f>42.4068769115795*(38.9/42.5)</f>
        <v>38.814764984951594</v>
      </c>
      <c r="G6270" s="1">
        <v>2.3678006544765737</v>
      </c>
      <c r="H6270" s="1">
        <v>6.8781640285382748</v>
      </c>
      <c r="I6270" s="1">
        <v>31.290079451558064</v>
      </c>
      <c r="J6270" s="1">
        <v>2.7472544148262987E-2</v>
      </c>
      <c r="K6270" s="1">
        <v>1.9465389343836688</v>
      </c>
      <c r="L6270" s="1">
        <v>1.9033342458157378</v>
      </c>
      <c r="M6270" s="1">
        <v>0.16051527026148515</v>
      </c>
      <c r="N6270" s="1">
        <v>1.220790524408965</v>
      </c>
      <c r="O6270" s="1">
        <v>0.13152987654320986</v>
      </c>
      <c r="P6270" s="1">
        <v>8.4678266483293824E-2</v>
      </c>
      <c r="Q6270" s="1">
        <v>3.7841562971086837</v>
      </c>
      <c r="R6270" s="2">
        <f t="shared" si="391"/>
        <v>110.71296870718346</v>
      </c>
      <c r="S6270" s="2">
        <f t="shared" si="390"/>
        <v>2.0586897450152257</v>
      </c>
      <c r="T6270" s="2">
        <f t="shared" si="392"/>
        <v>3.4161699170293982</v>
      </c>
      <c r="U6270" s="2">
        <f t="shared" si="393"/>
        <v>116.18782836922809</v>
      </c>
    </row>
    <row r="6271" spans="1:21" x14ac:dyDescent="0.25">
      <c r="A6271">
        <v>6814349</v>
      </c>
      <c r="B6271">
        <v>31</v>
      </c>
      <c r="C6271" s="1">
        <f>2.54927313324782*(10.3/7.3)</f>
        <v>3.5969196263633605</v>
      </c>
      <c r="D6271" s="1">
        <f>5.03975004085917*(10.3/7.3)</f>
        <v>7.1108801946369145</v>
      </c>
      <c r="E6271" s="1">
        <f>17.1719605862577*(10.3/7.3)</f>
        <v>24.228930690199224</v>
      </c>
      <c r="F6271" s="1">
        <f>52.148160029161*(38.9/42.5)</f>
        <v>47.730904120808582</v>
      </c>
      <c r="G6271" s="1">
        <v>2.8666439344898449</v>
      </c>
      <c r="H6271" s="1">
        <v>7.6182986975468845</v>
      </c>
      <c r="I6271" s="1">
        <v>38.178050078685246</v>
      </c>
      <c r="J6271" s="1">
        <v>3.1079414358516234E-2</v>
      </c>
      <c r="K6271" s="1">
        <v>2.1583372614443621</v>
      </c>
      <c r="L6271" s="1">
        <v>2.1621266109868928</v>
      </c>
      <c r="M6271" s="1">
        <v>0.17676451860987624</v>
      </c>
      <c r="N6271" s="1">
        <v>1.3441919071119917</v>
      </c>
      <c r="O6271" s="1">
        <v>0.14743053763440861</v>
      </c>
      <c r="P6271" s="1">
        <v>9.3105259524915926E-2</v>
      </c>
      <c r="Q6271" s="1">
        <v>4.5813944158513547</v>
      </c>
      <c r="R6271" s="2">
        <f t="shared" si="391"/>
        <v>135.9120217585814</v>
      </c>
      <c r="S6271" s="2">
        <f t="shared" si="390"/>
        <v>2.2825219353277939</v>
      </c>
      <c r="T6271" s="2">
        <f t="shared" si="392"/>
        <v>3.8305135743431693</v>
      </c>
      <c r="U6271" s="2">
        <f t="shared" si="393"/>
        <v>142.02505726825237</v>
      </c>
    </row>
    <row r="6272" spans="1:21" x14ac:dyDescent="0.25">
      <c r="A6272">
        <v>6814357</v>
      </c>
      <c r="B6272">
        <v>39</v>
      </c>
      <c r="C6272" s="1">
        <f>2.96301530183493*(10.3/7.3)</f>
        <v>4.1806928231369502</v>
      </c>
      <c r="D6272" s="1">
        <f>5.86620947151479*(10.3/7.3)</f>
        <v>8.2769804872058064</v>
      </c>
      <c r="E6272" s="1">
        <f>19.9954013686465*(10.3/7.3)</f>
        <v>28.212689602336869</v>
      </c>
      <c r="F6272" s="1">
        <f>60.2957427142054*(38.9/42.5)</f>
        <v>55.188338625472682</v>
      </c>
      <c r="G6272" s="1">
        <v>3.3024007276768166</v>
      </c>
      <c r="H6272" s="1">
        <v>8.4824673316642567</v>
      </c>
      <c r="I6272" s="1">
        <v>44.064587270324715</v>
      </c>
      <c r="J6272" s="1">
        <v>3.4137118227303476E-2</v>
      </c>
      <c r="K6272" s="1">
        <v>2.3199715703102655</v>
      </c>
      <c r="L6272" s="1">
        <v>2.3572601429071782</v>
      </c>
      <c r="M6272" s="1">
        <v>0.18843676434485601</v>
      </c>
      <c r="N6272" s="1">
        <v>1.4555580076539485</v>
      </c>
      <c r="O6272" s="1">
        <v>0.15783111111111112</v>
      </c>
      <c r="P6272" s="1">
        <v>9.9108613381678215E-2</v>
      </c>
      <c r="Q6272" s="1">
        <v>5.2778093821319034</v>
      </c>
      <c r="R6272" s="2">
        <f t="shared" si="391"/>
        <v>156.98596624994997</v>
      </c>
      <c r="S6272" s="2">
        <f t="shared" si="390"/>
        <v>2.4532173019192469</v>
      </c>
      <c r="T6272" s="2">
        <f t="shared" si="392"/>
        <v>4.1590860260170945</v>
      </c>
      <c r="U6272" s="2">
        <f t="shared" si="393"/>
        <v>163.5982695778863</v>
      </c>
    </row>
    <row r="6273" spans="1:21" x14ac:dyDescent="0.25">
      <c r="A6273">
        <v>6814365</v>
      </c>
      <c r="B6273">
        <v>4</v>
      </c>
      <c r="C6273" s="1">
        <f>3.59727202573149*(10.3/7.3)</f>
        <v>5.0756029952101915</v>
      </c>
      <c r="D6273" s="1">
        <f>7.01006792335983*(10.3/7.3)</f>
        <v>9.8909177548775737</v>
      </c>
      <c r="E6273" s="1">
        <f>23.9121508129523*(10.3/7.3)</f>
        <v>33.739062105946367</v>
      </c>
      <c r="F6273" s="1">
        <f>71.7573903668934*(38.9/42.5)</f>
        <v>65.679117300521284</v>
      </c>
      <c r="G6273" s="1">
        <v>3.9157288733524256</v>
      </c>
      <c r="H6273" s="1">
        <v>10.207422592093085</v>
      </c>
      <c r="I6273" s="1">
        <v>52.514403339459264</v>
      </c>
      <c r="J6273" s="1">
        <v>3.7198045737654839E-2</v>
      </c>
      <c r="K6273" s="1">
        <v>2.4682471064272598</v>
      </c>
      <c r="L6273" s="1">
        <v>2.5368695274352566</v>
      </c>
      <c r="M6273" s="1">
        <v>0.19467500970860391</v>
      </c>
      <c r="N6273" s="1">
        <v>1.5563394460240243</v>
      </c>
      <c r="O6273" s="1">
        <v>0.16717333333333334</v>
      </c>
      <c r="P6273" s="1">
        <v>0.10444212226280494</v>
      </c>
      <c r="Q6273" s="1">
        <v>6.2580141811568515</v>
      </c>
      <c r="R6273" s="2">
        <f t="shared" si="391"/>
        <v>187.28026914261704</v>
      </c>
      <c r="S6273" s="2">
        <f t="shared" si="390"/>
        <v>2.6098872744277193</v>
      </c>
      <c r="T6273" s="2">
        <f t="shared" si="392"/>
        <v>4.4550573165012182</v>
      </c>
      <c r="U6273" s="2">
        <f t="shared" si="393"/>
        <v>194.34521373354596</v>
      </c>
    </row>
    <row r="6274" spans="1:21" x14ac:dyDescent="0.25">
      <c r="A6274">
        <v>6814389</v>
      </c>
      <c r="B6274">
        <v>67</v>
      </c>
      <c r="C6274" s="1">
        <f>4.19158730645055*(10.3/7.3)</f>
        <v>5.9141574323891328</v>
      </c>
      <c r="D6274" s="1">
        <f>8.19856859815562*(10.3/7.3)</f>
        <v>11.567843364520948</v>
      </c>
      <c r="E6274" s="1">
        <f>28.0366663887251*(10.3/7.3)</f>
        <v>39.558584082721737</v>
      </c>
      <c r="F6274" s="1">
        <f>80.3539920003202*(38.9/42.5)</f>
        <v>73.547536207351925</v>
      </c>
      <c r="G6274" s="1">
        <v>4.2742300968825528</v>
      </c>
      <c r="H6274" s="1">
        <v>12.056361292674033</v>
      </c>
      <c r="I6274" s="1">
        <v>58.161967898453305</v>
      </c>
      <c r="J6274" s="1">
        <v>4.0946029617566208E-2</v>
      </c>
      <c r="K6274" s="1">
        <v>2.6671042424678721</v>
      </c>
      <c r="L6274" s="1">
        <v>2.7360071449531902</v>
      </c>
      <c r="M6274" s="1">
        <v>0.20521955936688455</v>
      </c>
      <c r="N6274" s="1">
        <v>1.7347113533220619</v>
      </c>
      <c r="O6274" s="1">
        <v>0.1774782089552239</v>
      </c>
      <c r="P6274" s="1">
        <v>0.11147098767841973</v>
      </c>
      <c r="Q6274" s="1">
        <v>6.830961342049747</v>
      </c>
      <c r="R6274" s="2">
        <f t="shared" si="391"/>
        <v>211.91164171704338</v>
      </c>
      <c r="S6274" s="2">
        <f t="shared" si="390"/>
        <v>2.8195212597638579</v>
      </c>
      <c r="T6274" s="2">
        <f t="shared" si="392"/>
        <v>4.8534162665973604</v>
      </c>
      <c r="U6274" s="2">
        <f t="shared" si="393"/>
        <v>219.58457924340459</v>
      </c>
    </row>
    <row r="6275" spans="1:21" x14ac:dyDescent="0.25">
      <c r="A6275">
        <v>6814397</v>
      </c>
      <c r="B6275">
        <v>55</v>
      </c>
      <c r="C6275" s="1">
        <f>3.43803315097035*(10.3/7.3)</f>
        <v>4.8509234869855691</v>
      </c>
      <c r="D6275" s="1">
        <f>6.56574157663017*(10.3/7.3)</f>
        <v>9.2639915396288757</v>
      </c>
      <c r="E6275" s="1">
        <f>22.5163708000191*(10.3/7.3)</f>
        <v>31.769673868520062</v>
      </c>
      <c r="F6275" s="1">
        <f>62.0908816754234*(38.9/42.5)</f>
        <v>56.831418757034555</v>
      </c>
      <c r="G6275" s="1">
        <v>3.2212282281542892</v>
      </c>
      <c r="H6275" s="1">
        <v>8.1471882663477544</v>
      </c>
      <c r="I6275" s="1">
        <v>44.717540920076523</v>
      </c>
      <c r="J6275" s="1">
        <v>3.3619597710874152E-2</v>
      </c>
      <c r="K6275" s="1">
        <v>2.2576001365496965</v>
      </c>
      <c r="L6275" s="1">
        <v>2.2448050582609551</v>
      </c>
      <c r="M6275" s="1">
        <v>0.17199447712655447</v>
      </c>
      <c r="N6275" s="1">
        <v>1.4585956527250754</v>
      </c>
      <c r="O6275" s="1">
        <v>0.14867878787878788</v>
      </c>
      <c r="P6275" s="1">
        <v>9.5687628464077634E-2</v>
      </c>
      <c r="Q6275" s="1">
        <v>5.1480816431689584</v>
      </c>
      <c r="R6275" s="2">
        <f t="shared" si="391"/>
        <v>163.95004670991656</v>
      </c>
      <c r="S6275" s="2">
        <f t="shared" si="390"/>
        <v>2.386907362724648</v>
      </c>
      <c r="T6275" s="2">
        <f t="shared" si="392"/>
        <v>4.0240739759913735</v>
      </c>
      <c r="U6275" s="2">
        <f t="shared" si="393"/>
        <v>170.36102804863259</v>
      </c>
    </row>
    <row r="6276" spans="1:21" x14ac:dyDescent="0.25">
      <c r="A6276">
        <v>6814405</v>
      </c>
      <c r="B6276">
        <v>64</v>
      </c>
      <c r="C6276" s="1">
        <f>2.33085966296225*(10.3/7.3)</f>
        <v>3.2887471956864665</v>
      </c>
      <c r="D6276" s="1">
        <f>4.4036725075802*(10.3/7.3)</f>
        <v>6.213400935352885</v>
      </c>
      <c r="E6276" s="1">
        <f>15.1215744466742*(10.3/7.3)</f>
        <v>21.335920109690935</v>
      </c>
      <c r="F6276" s="1">
        <f>40.9387811142001*(38.9/42.5)</f>
        <v>37.471025537467874</v>
      </c>
      <c r="G6276" s="1">
        <v>2.0975155083770698</v>
      </c>
      <c r="H6276" s="1">
        <v>5.8811297629021722</v>
      </c>
      <c r="I6276" s="1">
        <v>29.410079971688305</v>
      </c>
      <c r="J6276" s="1">
        <v>2.6302957090409602E-2</v>
      </c>
      <c r="K6276" s="1">
        <v>1.8575531967539749</v>
      </c>
      <c r="L6276" s="1">
        <v>1.7493551129423353</v>
      </c>
      <c r="M6276" s="1">
        <v>0.14017306868993798</v>
      </c>
      <c r="N6276" s="1">
        <v>1.1873343187142646</v>
      </c>
      <c r="O6276" s="1">
        <v>0.11948666666666667</v>
      </c>
      <c r="P6276" s="1">
        <v>8.0194625563416985E-2</v>
      </c>
      <c r="Q6276" s="1">
        <v>3.3521937348492017</v>
      </c>
      <c r="R6276" s="2">
        <f t="shared" si="391"/>
        <v>109.05001275601492</v>
      </c>
      <c r="S6276" s="2">
        <f t="shared" si="390"/>
        <v>1.9640507794078015</v>
      </c>
      <c r="T6276" s="2">
        <f t="shared" si="392"/>
        <v>3.1963491670132043</v>
      </c>
      <c r="U6276" s="2">
        <f t="shared" si="393"/>
        <v>114.21041270243593</v>
      </c>
    </row>
    <row r="6277" spans="1:21" x14ac:dyDescent="0.25">
      <c r="A6277">
        <v>6814413</v>
      </c>
      <c r="B6277">
        <v>4</v>
      </c>
      <c r="C6277" s="1">
        <f>1.93101825213859*(10.3/7.3)</f>
        <v>2.7245873968530812</v>
      </c>
      <c r="D6277" s="1">
        <f>3.64451043261741*(10.3/7.3)</f>
        <v>5.1422544460218305</v>
      </c>
      <c r="E6277" s="1">
        <f>12.5308988455838*(10.3/7.3)</f>
        <v>17.680583302673075</v>
      </c>
      <c r="F6277" s="1">
        <f>33.1170299812911*(38.9/42.5)</f>
        <v>30.311822735817014</v>
      </c>
      <c r="G6277" s="1">
        <v>1.6700457573292371</v>
      </c>
      <c r="H6277" s="1">
        <v>5.3527035460305497</v>
      </c>
      <c r="I6277" s="1">
        <v>23.654606272878624</v>
      </c>
      <c r="J6277" s="1">
        <v>2.3687684974671552E-2</v>
      </c>
      <c r="K6277" s="1">
        <v>1.7011961232556303</v>
      </c>
      <c r="L6277" s="1">
        <v>1.5524172880012117</v>
      </c>
      <c r="M6277" s="1">
        <v>0.12431103876457479</v>
      </c>
      <c r="N6277" s="1">
        <v>1.107753883258598</v>
      </c>
      <c r="O6277" s="1">
        <v>0.10719999999999999</v>
      </c>
      <c r="P6277" s="1">
        <v>7.398055864614092E-2</v>
      </c>
      <c r="Q6277" s="1">
        <v>2.6690228998412491</v>
      </c>
      <c r="R6277" s="2">
        <f t="shared" si="391"/>
        <v>89.205626357444658</v>
      </c>
      <c r="S6277" s="2">
        <f t="shared" si="390"/>
        <v>1.7988643668764428</v>
      </c>
      <c r="T6277" s="2">
        <f t="shared" si="392"/>
        <v>2.8916822100243844</v>
      </c>
      <c r="U6277" s="2">
        <f t="shared" si="393"/>
        <v>93.896172934345486</v>
      </c>
    </row>
    <row r="6278" spans="1:21" x14ac:dyDescent="0.25">
      <c r="A6278">
        <v>6814421</v>
      </c>
      <c r="B6278">
        <v>60</v>
      </c>
      <c r="C6278" s="1">
        <f>4.06117576946189*(10.3/7.3)</f>
        <v>5.7301521130763673</v>
      </c>
      <c r="D6278" s="1">
        <f>8.10085421699513*(10.3/7.3)</f>
        <v>11.429972388363</v>
      </c>
      <c r="E6278" s="1">
        <f>27.892784954538*(10.3/7.3)</f>
        <v>39.355573292019336</v>
      </c>
      <c r="F6278" s="1">
        <f>69.3637282801923*(38.9/42.5)</f>
        <v>63.488212472928957</v>
      </c>
      <c r="G6278" s="1">
        <v>3.3683100841526987</v>
      </c>
      <c r="H6278" s="1">
        <v>7.9655685935861591</v>
      </c>
      <c r="I6278" s="1">
        <v>48.236551907446376</v>
      </c>
      <c r="J6278" s="1">
        <v>3.3792591842236624E-2</v>
      </c>
      <c r="K6278" s="1">
        <v>2.2791933378969556</v>
      </c>
      <c r="L6278" s="1">
        <v>2.2250755796775583</v>
      </c>
      <c r="M6278" s="1">
        <v>0.16753956802592038</v>
      </c>
      <c r="N6278" s="1">
        <v>1.5982672475408557</v>
      </c>
      <c r="O6278" s="1">
        <v>0.14689422222222218</v>
      </c>
      <c r="P6278" s="1">
        <v>9.5613669698011758E-2</v>
      </c>
      <c r="Q6278" s="1">
        <v>5.3831439701070565</v>
      </c>
      <c r="R6278" s="2">
        <f t="shared" si="391"/>
        <v>184.95748482167994</v>
      </c>
      <c r="S6278" s="2">
        <f t="shared" si="390"/>
        <v>2.408599599437204</v>
      </c>
      <c r="T6278" s="2">
        <f t="shared" si="392"/>
        <v>4.1377766174665567</v>
      </c>
      <c r="U6278" s="2">
        <f t="shared" si="393"/>
        <v>191.50386103858369</v>
      </c>
    </row>
    <row r="6279" spans="1:21" x14ac:dyDescent="0.25">
      <c r="A6279">
        <v>6814477</v>
      </c>
      <c r="B6279">
        <v>11</v>
      </c>
      <c r="C6279" s="1">
        <f>5.34254146253426*(10.3/7.3)</f>
        <v>7.5381064471373858</v>
      </c>
      <c r="D6279" s="1">
        <f>8.33141179774169*(10.3/7.3)</f>
        <v>11.755279659827314</v>
      </c>
      <c r="E6279" s="1">
        <f>28.9765312556668*(10.3/7.3)</f>
        <v>40.884694785392909</v>
      </c>
      <c r="F6279" s="1">
        <f>69.0176310543397*(38.9/42.5)</f>
        <v>63.171431717972091</v>
      </c>
      <c r="G6279" s="1">
        <v>3.1572024106084609</v>
      </c>
      <c r="H6279" s="1">
        <v>13.712705179251039</v>
      </c>
      <c r="I6279" s="1">
        <v>50.080389375779198</v>
      </c>
      <c r="J6279" s="1">
        <v>3.2106394101890853E-2</v>
      </c>
      <c r="K6279" s="1">
        <v>2.1345820581888102</v>
      </c>
      <c r="L6279" s="1">
        <v>2.0069618372059743</v>
      </c>
      <c r="M6279" s="1">
        <v>0.14424613239362724</v>
      </c>
      <c r="N6279" s="1">
        <v>1.3726456043145441</v>
      </c>
      <c r="O6279" s="1">
        <v>0.13055030303030304</v>
      </c>
      <c r="P6279" s="1">
        <v>8.7803828064021747E-2</v>
      </c>
      <c r="Q6279" s="1">
        <v>5.0457572772281374</v>
      </c>
      <c r="R6279" s="2">
        <f t="shared" si="391"/>
        <v>195.34556685319654</v>
      </c>
      <c r="S6279" s="2">
        <f t="shared" si="390"/>
        <v>2.2544922803547229</v>
      </c>
      <c r="T6279" s="2">
        <f t="shared" si="392"/>
        <v>3.6544038769444485</v>
      </c>
      <c r="U6279" s="2">
        <f t="shared" si="393"/>
        <v>201.25446301049573</v>
      </c>
    </row>
    <row r="6280" spans="1:21" x14ac:dyDescent="0.25">
      <c r="A6280">
        <v>6826017</v>
      </c>
      <c r="B6280">
        <v>49</v>
      </c>
      <c r="C6280" s="1">
        <f>0.346822751244135*(10.3/7.3)</f>
        <v>0.48935264901569692</v>
      </c>
      <c r="D6280" s="1">
        <f>0.656332501881734*(10.3/7.3)</f>
        <v>0.92605818758655667</v>
      </c>
      <c r="E6280" s="1">
        <f>2.23570989980647*(10.3/7.3)</f>
        <v>3.1544947901378988</v>
      </c>
      <c r="F6280" s="1">
        <f>6.97031700407599*(38.9/42.5)</f>
        <v>6.3798901519660278</v>
      </c>
      <c r="G6280" s="1">
        <v>0.38734568562742849</v>
      </c>
      <c r="H6280" s="1">
        <v>1.5394416941365858</v>
      </c>
      <c r="I6280" s="1">
        <v>5.1661623209032967</v>
      </c>
      <c r="J6280" s="1">
        <v>1.9292721736136342E-2</v>
      </c>
      <c r="K6280" s="1">
        <v>2.0026477960113529</v>
      </c>
      <c r="L6280" s="1">
        <v>1.2188221734773366</v>
      </c>
      <c r="M6280" s="1">
        <v>0.19942476235872689</v>
      </c>
      <c r="N6280" s="1">
        <v>0.71354634586942933</v>
      </c>
      <c r="O6280" s="1">
        <v>0.19390258503401356</v>
      </c>
      <c r="P6280" s="1">
        <v>9.0474786239081201E-2</v>
      </c>
      <c r="Q6280" s="1">
        <v>0.61904561629954413</v>
      </c>
      <c r="R6280" s="2">
        <f t="shared" si="391"/>
        <v>18.661791095673038</v>
      </c>
      <c r="S6280" s="2">
        <f t="shared" si="390"/>
        <v>2.1124153039865705</v>
      </c>
      <c r="T6280" s="2">
        <f t="shared" si="392"/>
        <v>2.3256958667395065</v>
      </c>
      <c r="U6280" s="2">
        <f t="shared" si="393"/>
        <v>23.099902266399113</v>
      </c>
    </row>
    <row r="6281" spans="1:21" x14ac:dyDescent="0.25">
      <c r="A6281">
        <v>6826025</v>
      </c>
      <c r="B6281">
        <v>13</v>
      </c>
      <c r="C6281" s="1">
        <f>0.446086823574531*(10.3/7.3)</f>
        <v>0.62941017572844848</v>
      </c>
      <c r="D6281" s="1">
        <f>0.909799414012002*(10.3/7.3)</f>
        <v>1.2836895841539206</v>
      </c>
      <c r="E6281" s="1">
        <f>3.07958820765331*(10.3/7.3)</f>
        <v>4.3451724025793235</v>
      </c>
      <c r="F6281" s="1">
        <f>10.2595606790315*(38.9/42.5)</f>
        <v>9.390515539160555</v>
      </c>
      <c r="G6281" s="1">
        <v>0.59148399614025449</v>
      </c>
      <c r="H6281" s="1">
        <v>3.7995913737862961</v>
      </c>
      <c r="I6281" s="1">
        <v>7.624168494703369</v>
      </c>
      <c r="J6281" s="1">
        <v>2.2072493144471926E-2</v>
      </c>
      <c r="K6281" s="1">
        <v>2.2245612827038763</v>
      </c>
      <c r="L6281" s="1">
        <v>1.3547197962133148</v>
      </c>
      <c r="M6281" s="1">
        <v>0.21751005783802743</v>
      </c>
      <c r="N6281" s="1">
        <v>0.95578172938453632</v>
      </c>
      <c r="O6281" s="1">
        <v>0.21908102564102558</v>
      </c>
      <c r="P6281" s="1">
        <v>9.7128822287021827E-2</v>
      </c>
      <c r="Q6281" s="1">
        <v>0.94529405775839837</v>
      </c>
      <c r="R6281" s="2">
        <f t="shared" si="391"/>
        <v>28.609325624010566</v>
      </c>
      <c r="S6281" s="2">
        <f t="shared" ref="S6281:S6344" si="394">J6281+K6281+P6281</f>
        <v>2.34376259813537</v>
      </c>
      <c r="T6281" s="2">
        <f t="shared" si="392"/>
        <v>2.7470926090769039</v>
      </c>
      <c r="U6281" s="2">
        <f t="shared" si="393"/>
        <v>33.700180831222838</v>
      </c>
    </row>
    <row r="6282" spans="1:21" x14ac:dyDescent="0.25">
      <c r="A6282">
        <v>6826457</v>
      </c>
      <c r="B6282">
        <v>13</v>
      </c>
      <c r="C6282" s="1">
        <f>1.38967075162731*(10.3/7.3)</f>
        <v>1.9607683207892144</v>
      </c>
      <c r="D6282" s="1">
        <f>3.28538606444421*(10.3/7.3)</f>
        <v>4.6355447210651182</v>
      </c>
      <c r="E6282" s="1">
        <f>11.0850357477031*(10.3/7.3)</f>
        <v>15.64052989059479</v>
      </c>
      <c r="F6282" s="1">
        <f>36.5527611644847*(38.9/42.5)</f>
        <v>33.456527277610661</v>
      </c>
      <c r="G6282" s="1">
        <v>2.1137103385406983</v>
      </c>
      <c r="H6282" s="1">
        <v>12.950051715862957</v>
      </c>
      <c r="I6282" s="1">
        <v>26.597630125075277</v>
      </c>
      <c r="J6282" s="1">
        <v>2.189166738435662E-2</v>
      </c>
      <c r="K6282" s="1">
        <v>1.8172606010519263</v>
      </c>
      <c r="L6282" s="1">
        <v>1.7595498423438529</v>
      </c>
      <c r="M6282" s="1">
        <v>0.17006742346520237</v>
      </c>
      <c r="N6282" s="1">
        <v>1.0276134439433213</v>
      </c>
      <c r="O6282" s="1">
        <v>0.13378051282051281</v>
      </c>
      <c r="P6282" s="1">
        <v>8.0440735334533761E-2</v>
      </c>
      <c r="Q6282" s="1">
        <v>3.378075883512536</v>
      </c>
      <c r="R6282" s="2">
        <f t="shared" ref="R6282:R6345" si="395">C6282+D6282+E6282+F6282+G6282+H6282+I6282+Q6282</f>
        <v>100.73283827305124</v>
      </c>
      <c r="S6282" s="2">
        <f t="shared" si="394"/>
        <v>1.9195930037708167</v>
      </c>
      <c r="T6282" s="2">
        <f t="shared" ref="T6282:T6345" si="396">L6282+M6282+N6282+O6282</f>
        <v>3.0910112225728898</v>
      </c>
      <c r="U6282" s="2">
        <f t="shared" ref="U6282:U6345" si="397">R6282+S6282+T6282</f>
        <v>105.74344249939494</v>
      </c>
    </row>
    <row r="6283" spans="1:21" x14ac:dyDescent="0.25">
      <c r="A6283">
        <v>6826465</v>
      </c>
      <c r="B6283">
        <v>1</v>
      </c>
      <c r="C6283" s="1">
        <f>1.24386531252077*(10.3/7.3)</f>
        <v>1.7550428382142365</v>
      </c>
      <c r="D6283" s="1">
        <f>2.88236722107512*(10.3/7.3)</f>
        <v>4.0669016954895474</v>
      </c>
      <c r="E6283" s="1">
        <f>9.79015172650663*(10.3/7.3)</f>
        <v>13.813501751098395</v>
      </c>
      <c r="F6283" s="1">
        <f>29.1702699281308*(38.9/42.5)</f>
        <v>26.699376475394992</v>
      </c>
      <c r="G6283" s="1">
        <v>1.6029864191775653</v>
      </c>
      <c r="H6283" s="1">
        <v>6.7551219523485626</v>
      </c>
      <c r="I6283" s="1">
        <v>20.772991999155032</v>
      </c>
      <c r="J6283" s="1">
        <v>2.3778913855451743E-2</v>
      </c>
      <c r="K6283" s="1">
        <v>1.8672277664549801</v>
      </c>
      <c r="L6283" s="1">
        <v>1.8055222891949649</v>
      </c>
      <c r="M6283" s="1">
        <v>0.17374754045376556</v>
      </c>
      <c r="N6283" s="1">
        <v>1.0822503539165476</v>
      </c>
      <c r="O6283" s="1">
        <v>0.13552</v>
      </c>
      <c r="P6283" s="1">
        <v>8.2638146879507018E-2</v>
      </c>
      <c r="Q6283" s="1">
        <v>2.5618504416079837</v>
      </c>
      <c r="R6283" s="2">
        <f t="shared" si="395"/>
        <v>78.027773572486325</v>
      </c>
      <c r="S6283" s="2">
        <f t="shared" si="394"/>
        <v>1.9736448271899389</v>
      </c>
      <c r="T6283" s="2">
        <f t="shared" si="396"/>
        <v>3.1970401835652784</v>
      </c>
      <c r="U6283" s="2">
        <f t="shared" si="397"/>
        <v>83.198458583241546</v>
      </c>
    </row>
    <row r="6284" spans="1:21" x14ac:dyDescent="0.25">
      <c r="A6284">
        <v>6826473</v>
      </c>
      <c r="B6284">
        <v>4</v>
      </c>
      <c r="C6284" s="1">
        <f>1.64464644307601*(10.3/7.3)</f>
        <v>2.3205285429702647</v>
      </c>
      <c r="D6284" s="1">
        <f>3.88625017592816*(10.3/7.3)</f>
        <v>5.4833392893232888</v>
      </c>
      <c r="E6284" s="1">
        <f>13.0602663527411*(10.3/7.3)</f>
        <v>18.427499100442965</v>
      </c>
      <c r="F6284" s="1">
        <f>45.772074850539*(38.9/42.5)</f>
        <v>41.894910863199222</v>
      </c>
      <c r="G6284" s="1">
        <v>2.718049093963566</v>
      </c>
      <c r="H6284" s="1">
        <v>10.314913344194107</v>
      </c>
      <c r="I6284" s="1">
        <v>33.751169237154365</v>
      </c>
      <c r="J6284" s="1">
        <v>2.5650166712385042E-2</v>
      </c>
      <c r="K6284" s="1">
        <v>1.9817597430650187</v>
      </c>
      <c r="L6284" s="1">
        <v>1.9630351717376699</v>
      </c>
      <c r="M6284" s="1">
        <v>0.18820435971333538</v>
      </c>
      <c r="N6284" s="1">
        <v>1.1065829830718195</v>
      </c>
      <c r="O6284" s="1">
        <v>0.14585333333333333</v>
      </c>
      <c r="P6284" s="1">
        <v>8.6915241250336228E-2</v>
      </c>
      <c r="Q6284" s="1">
        <v>4.3439140771107265</v>
      </c>
      <c r="R6284" s="2">
        <f t="shared" si="395"/>
        <v>119.25432354835851</v>
      </c>
      <c r="S6284" s="2">
        <f t="shared" si="394"/>
        <v>2.0943251510277401</v>
      </c>
      <c r="T6284" s="2">
        <f t="shared" si="396"/>
        <v>3.403675847856158</v>
      </c>
      <c r="U6284" s="2">
        <f t="shared" si="397"/>
        <v>124.75232454724242</v>
      </c>
    </row>
    <row r="6285" spans="1:21" x14ac:dyDescent="0.25">
      <c r="A6285">
        <v>6826569</v>
      </c>
      <c r="B6285">
        <v>1</v>
      </c>
      <c r="C6285" s="1">
        <f>2.9131062746644*(10.3/7.3)</f>
        <v>4.1102732368552433</v>
      </c>
      <c r="D6285" s="1">
        <f>5.69164062834368*(10.3/7.3)</f>
        <v>8.0306710235534187</v>
      </c>
      <c r="E6285" s="1">
        <f>19.3328625881996*(10.3/7.3)</f>
        <v>27.277874610747428</v>
      </c>
      <c r="F6285" s="1">
        <f>62.1587848048133*(38.9/42.5)</f>
        <v>56.893570091934961</v>
      </c>
      <c r="G6285" s="1">
        <v>3.5149822685580348</v>
      </c>
      <c r="H6285" s="1">
        <v>11.481355958790347</v>
      </c>
      <c r="I6285" s="1">
        <v>46.138538747249825</v>
      </c>
      <c r="J6285" s="1">
        <v>3.3546768904568432E-2</v>
      </c>
      <c r="K6285" s="1">
        <v>2.2748805986540037</v>
      </c>
      <c r="L6285" s="1">
        <v>2.3133342031481718</v>
      </c>
      <c r="M6285" s="1">
        <v>0.18725603164254712</v>
      </c>
      <c r="N6285" s="1">
        <v>1.4333928858300564</v>
      </c>
      <c r="O6285" s="1">
        <v>0.15562666666666666</v>
      </c>
      <c r="P6285" s="1">
        <v>9.6979082499321509E-2</v>
      </c>
      <c r="Q6285" s="1">
        <v>5.6175515707548564</v>
      </c>
      <c r="R6285" s="2">
        <f t="shared" si="395"/>
        <v>163.06481750844412</v>
      </c>
      <c r="S6285" s="2">
        <f t="shared" si="394"/>
        <v>2.4054064500578933</v>
      </c>
      <c r="T6285" s="2">
        <f t="shared" si="396"/>
        <v>4.0896097872874426</v>
      </c>
      <c r="U6285" s="2">
        <f t="shared" si="397"/>
        <v>169.55983374578943</v>
      </c>
    </row>
    <row r="6286" spans="1:21" x14ac:dyDescent="0.25">
      <c r="A6286">
        <v>6826577</v>
      </c>
      <c r="B6286">
        <v>38</v>
      </c>
      <c r="C6286" s="1">
        <f>1.83920674999806*(10.3/7.3)</f>
        <v>2.5950451404082182</v>
      </c>
      <c r="D6286" s="1">
        <f>3.58870312766822*(10.3/7.3)</f>
        <v>5.0635126321894059</v>
      </c>
      <c r="E6286" s="1">
        <f>12.2258540239716*(10.3/7.3)</f>
        <v>17.250177595466713</v>
      </c>
      <c r="F6286" s="1">
        <f>37.4688179195702*(38.9/42.5)</f>
        <v>34.294988636971347</v>
      </c>
      <c r="G6286" s="1">
        <v>2.0678841045111569</v>
      </c>
      <c r="H6286" s="1">
        <v>6.2768057848990351</v>
      </c>
      <c r="I6286" s="1">
        <v>27.540971153830284</v>
      </c>
      <c r="J6286" s="1">
        <v>2.5602598165001496E-2</v>
      </c>
      <c r="K6286" s="1">
        <v>1.8449036424196883</v>
      </c>
      <c r="L6286" s="1">
        <v>1.7753236955441736</v>
      </c>
      <c r="M6286" s="1">
        <v>0.15173279831115516</v>
      </c>
      <c r="N6286" s="1">
        <v>1.1379437448555898</v>
      </c>
      <c r="O6286" s="1">
        <v>0.12415157894736843</v>
      </c>
      <c r="P6286" s="1">
        <v>8.0884979637912954E-2</v>
      </c>
      <c r="Q6286" s="1">
        <v>3.3048376099493399</v>
      </c>
      <c r="R6286" s="2">
        <f t="shared" si="395"/>
        <v>98.394222658225502</v>
      </c>
      <c r="S6286" s="2">
        <f t="shared" si="394"/>
        <v>1.9513912202226027</v>
      </c>
      <c r="T6286" s="2">
        <f t="shared" si="396"/>
        <v>3.1891518176582871</v>
      </c>
      <c r="U6286" s="2">
        <f t="shared" si="397"/>
        <v>103.53476569610639</v>
      </c>
    </row>
    <row r="6287" spans="1:21" x14ac:dyDescent="0.25">
      <c r="A6287">
        <v>6826585</v>
      </c>
      <c r="B6287">
        <v>26</v>
      </c>
      <c r="C6287" s="1">
        <f>2.35704495567635*(10.3/7.3)</f>
        <v>3.3256935675981363</v>
      </c>
      <c r="D6287" s="1">
        <f>4.64146610535331*(10.3/7.3)</f>
        <v>6.5489179294711137</v>
      </c>
      <c r="E6287" s="1">
        <f>15.8185262169382*(10.3/7.3)</f>
        <v>22.319290415679887</v>
      </c>
      <c r="F6287" s="1">
        <f>47.943480166637*(38.9/42.5)</f>
        <v>43.882385376051317</v>
      </c>
      <c r="G6287" s="1">
        <v>2.6320687056318679</v>
      </c>
      <c r="H6287" s="1">
        <v>7.2846947803078033</v>
      </c>
      <c r="I6287" s="1">
        <v>35.105866060345846</v>
      </c>
      <c r="J6287" s="1">
        <v>2.9544774960933471E-2</v>
      </c>
      <c r="K6287" s="1">
        <v>2.0780600780485776</v>
      </c>
      <c r="L6287" s="1">
        <v>2.054208691911418</v>
      </c>
      <c r="M6287" s="1">
        <v>0.16940844789485049</v>
      </c>
      <c r="N6287" s="1">
        <v>1.2869400322154687</v>
      </c>
      <c r="O6287" s="1">
        <v>0.14068102564102564</v>
      </c>
      <c r="P6287" s="1">
        <v>8.9882018279905315E-2</v>
      </c>
      <c r="Q6287" s="1">
        <v>4.2065024975851824</v>
      </c>
      <c r="R6287" s="2">
        <f t="shared" si="395"/>
        <v>125.30541933267115</v>
      </c>
      <c r="S6287" s="2">
        <f t="shared" si="394"/>
        <v>2.1974868712894167</v>
      </c>
      <c r="T6287" s="2">
        <f t="shared" si="396"/>
        <v>3.6512381976627624</v>
      </c>
      <c r="U6287" s="2">
        <f t="shared" si="397"/>
        <v>131.15414440162331</v>
      </c>
    </row>
    <row r="6288" spans="1:21" x14ac:dyDescent="0.25">
      <c r="A6288">
        <v>6826593</v>
      </c>
      <c r="B6288">
        <v>12</v>
      </c>
      <c r="C6288" s="1">
        <f>3.1626360916014*(10.3/7.3)</f>
        <v>4.4623495539033442</v>
      </c>
      <c r="D6288" s="1">
        <f>6.2001856288042*(10.3/7.3)</f>
        <v>8.7482071200935927</v>
      </c>
      <c r="E6288" s="1">
        <f>21.1366277653908*(10.3/7.3)</f>
        <v>29.822913148428075</v>
      </c>
      <c r="F6288" s="1">
        <f>63.9018907153415*(38.9/42.5)</f>
        <v>58.489024678277239</v>
      </c>
      <c r="G6288" s="1">
        <v>3.5024645254363893</v>
      </c>
      <c r="H6288" s="1">
        <v>9.316425029755715</v>
      </c>
      <c r="I6288" s="1">
        <v>46.797827412617217</v>
      </c>
      <c r="J6288" s="1">
        <v>3.3720740258614386E-2</v>
      </c>
      <c r="K6288" s="1">
        <v>2.2912554732911734</v>
      </c>
      <c r="L6288" s="1">
        <v>2.3289592403140382</v>
      </c>
      <c r="M6288" s="1">
        <v>0.18452411853359854</v>
      </c>
      <c r="N6288" s="1">
        <v>1.4132925784984522</v>
      </c>
      <c r="O6288" s="1">
        <v>0.15654222222222222</v>
      </c>
      <c r="P6288" s="1">
        <v>9.8083519481409753E-2</v>
      </c>
      <c r="Q6288" s="1">
        <v>5.597546045217979</v>
      </c>
      <c r="R6288" s="2">
        <f t="shared" si="395"/>
        <v>166.73675751372954</v>
      </c>
      <c r="S6288" s="2">
        <f t="shared" si="394"/>
        <v>2.4230597330311978</v>
      </c>
      <c r="T6288" s="2">
        <f t="shared" si="396"/>
        <v>4.0833181595683108</v>
      </c>
      <c r="U6288" s="2">
        <f t="shared" si="397"/>
        <v>173.24313540632906</v>
      </c>
    </row>
    <row r="6289" spans="1:21" x14ac:dyDescent="0.25">
      <c r="A6289">
        <v>6826617</v>
      </c>
      <c r="B6289">
        <v>52</v>
      </c>
      <c r="C6289" s="1">
        <f>3.97041017300582*(10.3/7.3)</f>
        <v>5.6020855865698591</v>
      </c>
      <c r="D6289" s="1">
        <f>7.92255663496223*(10.3/7.3)</f>
        <v>11.178401827412461</v>
      </c>
      <c r="E6289" s="1">
        <f>27.0025018864963*(10.3/7.3)</f>
        <v>38.099420469987933</v>
      </c>
      <c r="F6289" s="1">
        <f>81.2194549913024*(38.9/42.5)</f>
        <v>74.339689392039134</v>
      </c>
      <c r="G6289" s="1">
        <v>4.4446516654077959</v>
      </c>
      <c r="H6289" s="1">
        <v>13.020527924121497</v>
      </c>
      <c r="I6289" s="1">
        <v>59.250515074486735</v>
      </c>
      <c r="J6289" s="1">
        <v>4.0261802050511004E-2</v>
      </c>
      <c r="K6289" s="1">
        <v>2.6193317641584417</v>
      </c>
      <c r="L6289" s="1">
        <v>2.6841330343810208</v>
      </c>
      <c r="M6289" s="1">
        <v>0.20147408589938071</v>
      </c>
      <c r="N6289" s="1">
        <v>1.7398580733351163</v>
      </c>
      <c r="O6289" s="1">
        <v>0.1748051282051282</v>
      </c>
      <c r="P6289" s="1">
        <v>0.10967671417121515</v>
      </c>
      <c r="Q6289" s="1">
        <v>7.103324579418862</v>
      </c>
      <c r="R6289" s="2">
        <f t="shared" si="395"/>
        <v>213.03861651944428</v>
      </c>
      <c r="S6289" s="2">
        <f t="shared" si="394"/>
        <v>2.7692702803801676</v>
      </c>
      <c r="T6289" s="2">
        <f t="shared" si="396"/>
        <v>4.8002703218206459</v>
      </c>
      <c r="U6289" s="2">
        <f t="shared" si="397"/>
        <v>220.60815712164509</v>
      </c>
    </row>
    <row r="6290" spans="1:21" x14ac:dyDescent="0.25">
      <c r="A6290">
        <v>6826625</v>
      </c>
      <c r="B6290">
        <v>48</v>
      </c>
      <c r="C6290" s="1">
        <f>4.5664155645375*(10.3/7.3)</f>
        <v>6.4430247006488033</v>
      </c>
      <c r="D6290" s="1">
        <f>8.82453960289673*(10.3/7.3)</f>
        <v>12.451062727374838</v>
      </c>
      <c r="E6290" s="1">
        <f>30.2214632513441*(10.3/7.3)</f>
        <v>42.641242669704702</v>
      </c>
      <c r="F6290" s="1">
        <f>84.8998969507134*(38.9/42.5)</f>
        <v>77.708376267829436</v>
      </c>
      <c r="G6290" s="1">
        <v>4.4589095123809681</v>
      </c>
      <c r="H6290" s="1">
        <v>10.475869548512046</v>
      </c>
      <c r="I6290" s="1">
        <v>61.288879903589411</v>
      </c>
      <c r="J6290" s="1">
        <v>4.3262467907502655E-2</v>
      </c>
      <c r="K6290" s="1">
        <v>2.7885888857507197</v>
      </c>
      <c r="L6290" s="1">
        <v>2.8660281597214396</v>
      </c>
      <c r="M6290" s="1">
        <v>0.21264958185867655</v>
      </c>
      <c r="N6290" s="1">
        <v>1.82113162927404</v>
      </c>
      <c r="O6290" s="1">
        <v>0.18529333333333331</v>
      </c>
      <c r="P6290" s="1">
        <v>0.11585052695119102</v>
      </c>
      <c r="Q6290" s="1">
        <v>7.1261110928463047</v>
      </c>
      <c r="R6290" s="2">
        <f t="shared" si="395"/>
        <v>222.59347642288651</v>
      </c>
      <c r="S6290" s="2">
        <f t="shared" si="394"/>
        <v>2.9477018806094133</v>
      </c>
      <c r="T6290" s="2">
        <f t="shared" si="396"/>
        <v>5.0851027041874897</v>
      </c>
      <c r="U6290" s="2">
        <f t="shared" si="397"/>
        <v>230.62628100768339</v>
      </c>
    </row>
    <row r="6291" spans="1:21" x14ac:dyDescent="0.25">
      <c r="A6291">
        <v>6826633</v>
      </c>
      <c r="B6291">
        <v>40</v>
      </c>
      <c r="C6291" s="1">
        <f>4.18914360787645*(10.3/7.3)</f>
        <v>5.9107094741270405</v>
      </c>
      <c r="D6291" s="1">
        <f>7.99222436829532*(10.3/7.3)</f>
        <v>11.276700136087916</v>
      </c>
      <c r="E6291" s="1">
        <f>27.4200288353259*(10.3/7.3)</f>
        <v>38.688533836144828</v>
      </c>
      <c r="F6291" s="1">
        <f>75.0546972517576*(38.9/42.5)</f>
        <v>68.697122896314625</v>
      </c>
      <c r="G6291" s="1">
        <v>3.8754664467261621</v>
      </c>
      <c r="H6291" s="1">
        <v>9.148806638198181</v>
      </c>
      <c r="I6291" s="1">
        <v>53.967205834005085</v>
      </c>
      <c r="J6291" s="1">
        <v>3.9377143027174336E-2</v>
      </c>
      <c r="K6291" s="1">
        <v>2.5695909139403841</v>
      </c>
      <c r="L6291" s="1">
        <v>2.5930615950303557</v>
      </c>
      <c r="M6291" s="1">
        <v>0.19513444601443897</v>
      </c>
      <c r="N6291" s="1">
        <v>1.6769881494599843</v>
      </c>
      <c r="O6291" s="1">
        <v>0.16879600000000003</v>
      </c>
      <c r="P6291" s="1">
        <v>0.10695353334110873</v>
      </c>
      <c r="Q6291" s="1">
        <v>6.1936678372335994</v>
      </c>
      <c r="R6291" s="2">
        <f t="shared" si="395"/>
        <v>197.75821309883742</v>
      </c>
      <c r="S6291" s="2">
        <f t="shared" si="394"/>
        <v>2.7159215903086675</v>
      </c>
      <c r="T6291" s="2">
        <f t="shared" si="396"/>
        <v>4.6339801905047793</v>
      </c>
      <c r="U6291" s="2">
        <f t="shared" si="397"/>
        <v>205.10811487965086</v>
      </c>
    </row>
    <row r="6292" spans="1:21" x14ac:dyDescent="0.25">
      <c r="A6292">
        <v>6826641</v>
      </c>
      <c r="B6292">
        <v>44</v>
      </c>
      <c r="C6292" s="1">
        <f>3.4187920358691*(10.3/7.3)</f>
        <v>4.8237750643084505</v>
      </c>
      <c r="D6292" s="1">
        <f>6.85712196788152*(10.3/7.3)</f>
        <v>9.675117297147894</v>
      </c>
      <c r="E6292" s="1">
        <f>23.4028975932811*(10.3/7.3)</f>
        <v>33.020526741204819</v>
      </c>
      <c r="F6292" s="1">
        <f>68.5814057557551*(38.9/42.5)</f>
        <v>62.772157268208801</v>
      </c>
      <c r="G6292" s="1">
        <v>3.7010902208393279</v>
      </c>
      <c r="H6292" s="1">
        <v>7.5375599624929999</v>
      </c>
      <c r="I6292" s="1">
        <v>49.695119450020954</v>
      </c>
      <c r="J6292" s="1">
        <v>3.3213870282524836E-2</v>
      </c>
      <c r="K6292" s="1">
        <v>2.2404767307817171</v>
      </c>
      <c r="L6292" s="1">
        <v>2.1920692717775707</v>
      </c>
      <c r="M6292" s="1">
        <v>0.16713395954004961</v>
      </c>
      <c r="N6292" s="1">
        <v>1.4603066554909823</v>
      </c>
      <c r="O6292" s="1">
        <v>0.14543393939393937</v>
      </c>
      <c r="P6292" s="1">
        <v>9.4395664403688115E-2</v>
      </c>
      <c r="Q6292" s="1">
        <v>5.9149843712044143</v>
      </c>
      <c r="R6292" s="2">
        <f t="shared" si="395"/>
        <v>177.14033037542765</v>
      </c>
      <c r="S6292" s="2">
        <f t="shared" si="394"/>
        <v>2.3680862654679298</v>
      </c>
      <c r="T6292" s="2">
        <f t="shared" si="396"/>
        <v>3.9649438262025418</v>
      </c>
      <c r="U6292" s="2">
        <f t="shared" si="397"/>
        <v>183.4733604670981</v>
      </c>
    </row>
    <row r="6293" spans="1:21" x14ac:dyDescent="0.25">
      <c r="A6293">
        <v>6826649</v>
      </c>
      <c r="B6293">
        <v>48</v>
      </c>
      <c r="C6293" s="1">
        <f>2.94526004031453*(10.3/7.3)</f>
        <v>4.1556408787999564</v>
      </c>
      <c r="D6293" s="1">
        <f>5.76568966015901*(10.3/7.3)</f>
        <v>8.1351511643339531</v>
      </c>
      <c r="E6293" s="1">
        <f>19.832592054135*(10.3/7.3)</f>
        <v>27.982972350354842</v>
      </c>
      <c r="F6293" s="1">
        <f>50.8785460445921*(38.9/42.5)</f>
        <v>46.568833909050163</v>
      </c>
      <c r="G6293" s="1">
        <v>2.5220793547716629</v>
      </c>
      <c r="H6293" s="1">
        <v>7.1204925361502776</v>
      </c>
      <c r="I6293" s="1">
        <v>35.814948923028993</v>
      </c>
      <c r="J6293" s="1">
        <v>2.8367408318413768E-2</v>
      </c>
      <c r="K6293" s="1">
        <v>1.9786599687613542</v>
      </c>
      <c r="L6293" s="1">
        <v>1.8839175091016547</v>
      </c>
      <c r="M6293" s="1">
        <v>0.14637983206993285</v>
      </c>
      <c r="N6293" s="1">
        <v>1.3080653080109199</v>
      </c>
      <c r="O6293" s="1">
        <v>0.12734222222222222</v>
      </c>
      <c r="P6293" s="1">
        <v>8.4450620865688886E-2</v>
      </c>
      <c r="Q6293" s="1">
        <v>4.0307204300003798</v>
      </c>
      <c r="R6293" s="2">
        <f t="shared" si="395"/>
        <v>136.33083954649021</v>
      </c>
      <c r="S6293" s="2">
        <f t="shared" si="394"/>
        <v>2.0914779979454567</v>
      </c>
      <c r="T6293" s="2">
        <f t="shared" si="396"/>
        <v>3.4657048714047294</v>
      </c>
      <c r="U6293" s="2">
        <f t="shared" si="397"/>
        <v>141.8880224158404</v>
      </c>
    </row>
    <row r="6294" spans="1:21" x14ac:dyDescent="0.25">
      <c r="A6294">
        <v>6826657</v>
      </c>
      <c r="B6294">
        <v>63</v>
      </c>
      <c r="C6294" s="1">
        <f>3.74557408335204*(10.3/7.3)</f>
        <v>5.284851103907668</v>
      </c>
      <c r="D6294" s="1">
        <f>9.19057909475391*(10.3/7.3)</f>
        <v>12.967529407666483</v>
      </c>
      <c r="E6294" s="1">
        <f>31.6158110494687*(10.3/7.3)</f>
        <v>44.608610110894205</v>
      </c>
      <c r="F6294" s="1">
        <f>71.4316982621265*(38.9/42.5)</f>
        <v>65.381013232864049</v>
      </c>
      <c r="G6294" s="1">
        <v>3.2766001590700471</v>
      </c>
      <c r="H6294" s="1">
        <v>8.020857549633357</v>
      </c>
      <c r="I6294" s="1">
        <v>46.273500245769917</v>
      </c>
      <c r="J6294" s="1">
        <v>3.2135465864429488E-2</v>
      </c>
      <c r="K6294" s="1">
        <v>2.1769459490566434</v>
      </c>
      <c r="L6294" s="1">
        <v>2.1046784689166769</v>
      </c>
      <c r="M6294" s="1">
        <v>0.15831427873881118</v>
      </c>
      <c r="N6294" s="1">
        <v>1.9030040819955547</v>
      </c>
      <c r="O6294" s="1">
        <v>0.13916529100529099</v>
      </c>
      <c r="P6294" s="1">
        <v>9.1337068448387584E-2</v>
      </c>
      <c r="Q6294" s="1">
        <v>5.2365755966872962</v>
      </c>
      <c r="R6294" s="2">
        <f t="shared" si="395"/>
        <v>191.04953740649302</v>
      </c>
      <c r="S6294" s="2">
        <f t="shared" si="394"/>
        <v>2.3004184833694605</v>
      </c>
      <c r="T6294" s="2">
        <f t="shared" si="396"/>
        <v>4.305162120656334</v>
      </c>
      <c r="U6294" s="2">
        <f t="shared" si="397"/>
        <v>197.65511801051883</v>
      </c>
    </row>
    <row r="6295" spans="1:21" x14ac:dyDescent="0.25">
      <c r="A6295">
        <v>6826713</v>
      </c>
      <c r="B6295">
        <v>17</v>
      </c>
      <c r="C6295" s="1">
        <f>4.80660895294539*(10.3/7.3)</f>
        <v>6.7819277007311616</v>
      </c>
      <c r="D6295" s="1">
        <f>7.64118019850252*(10.3/7.3)</f>
        <v>10.781391238983016</v>
      </c>
      <c r="E6295" s="1">
        <f>26.5957643643028*(10.3/7.3)</f>
        <v>37.525530541413538</v>
      </c>
      <c r="F6295" s="1">
        <f>61.398528183717*(38.9/42.5)</f>
        <v>56.197711678743289</v>
      </c>
      <c r="G6295" s="1">
        <v>2.7408177115995334</v>
      </c>
      <c r="H6295" s="1">
        <v>10.972948412547835</v>
      </c>
      <c r="I6295" s="1">
        <v>44.010055131896166</v>
      </c>
      <c r="J6295" s="1">
        <v>3.0120756270946111E-2</v>
      </c>
      <c r="K6295" s="1">
        <v>2.0331178704298081</v>
      </c>
      <c r="L6295" s="1">
        <v>1.8929550190624942</v>
      </c>
      <c r="M6295" s="1">
        <v>0.1363595859759614</v>
      </c>
      <c r="N6295" s="1">
        <v>1.2913825177857865</v>
      </c>
      <c r="O6295" s="1">
        <v>0.12372078431372549</v>
      </c>
      <c r="P6295" s="1">
        <v>8.3994297139205365E-2</v>
      </c>
      <c r="Q6295" s="1">
        <v>4.3803022788120449</v>
      </c>
      <c r="R6295" s="2">
        <f t="shared" si="395"/>
        <v>173.39068469472659</v>
      </c>
      <c r="S6295" s="2">
        <f t="shared" si="394"/>
        <v>2.1472329238399595</v>
      </c>
      <c r="T6295" s="2">
        <f t="shared" si="396"/>
        <v>3.4444179071379679</v>
      </c>
      <c r="U6295" s="2">
        <f t="shared" si="397"/>
        <v>178.98233552570451</v>
      </c>
    </row>
    <row r="6296" spans="1:21" x14ac:dyDescent="0.25">
      <c r="A6296">
        <v>6838253</v>
      </c>
      <c r="B6296">
        <v>53</v>
      </c>
      <c r="C6296" s="1">
        <f>0.53124837530623*(10.3/7.3)</f>
        <v>0.74956962543207872</v>
      </c>
      <c r="D6296" s="1">
        <f>1.11233407753608*(10.3/7.3)</f>
        <v>1.5694576710440575</v>
      </c>
      <c r="E6296" s="1">
        <f>3.76128571807303*(10.3/7.3)</f>
        <v>5.3070195748153735</v>
      </c>
      <c r="F6296" s="1">
        <f>12.5884474808975*(38.9/42.5)</f>
        <v>11.522131929574389</v>
      </c>
      <c r="G6296" s="1">
        <v>0.7283261575290777</v>
      </c>
      <c r="H6296" s="1">
        <v>2.8550519794341627</v>
      </c>
      <c r="I6296" s="1">
        <v>9.3308761942252794</v>
      </c>
      <c r="J6296" s="1">
        <v>2.5391491404091221E-2</v>
      </c>
      <c r="K6296" s="1">
        <v>2.4959717078620782</v>
      </c>
      <c r="L6296" s="1">
        <v>1.6121945557710442</v>
      </c>
      <c r="M6296" s="1">
        <v>0.24898616713204647</v>
      </c>
      <c r="N6296" s="1">
        <v>0.91988585415806945</v>
      </c>
      <c r="O6296" s="1">
        <v>0.25402867924528305</v>
      </c>
      <c r="P6296" s="1">
        <v>0.10744146329733067</v>
      </c>
      <c r="Q6296" s="1">
        <v>1.1639915759597146</v>
      </c>
      <c r="R6296" s="2">
        <f t="shared" si="395"/>
        <v>33.226424708014136</v>
      </c>
      <c r="S6296" s="2">
        <f t="shared" si="394"/>
        <v>2.6288046625635002</v>
      </c>
      <c r="T6296" s="2">
        <f t="shared" si="396"/>
        <v>3.0350952563064433</v>
      </c>
      <c r="U6296" s="2">
        <f t="shared" si="397"/>
        <v>38.89032462688408</v>
      </c>
    </row>
    <row r="6297" spans="1:21" x14ac:dyDescent="0.25">
      <c r="A6297">
        <v>6838685</v>
      </c>
      <c r="B6297">
        <v>29</v>
      </c>
      <c r="C6297" s="1">
        <f>1.39678189791729*(10.3/7.3)</f>
        <v>1.9708018559654854</v>
      </c>
      <c r="D6297" s="1">
        <f>3.17349488793253*(10.3/7.3)</f>
        <v>4.4776708692746636</v>
      </c>
      <c r="E6297" s="1">
        <f>10.6397891181525*(10.3/7.3)</f>
        <v>15.012305194105581</v>
      </c>
      <c r="F6297" s="1">
        <f>39.1382942963822*(38.9/42.5)</f>
        <v>35.823050544218056</v>
      </c>
      <c r="G6297" s="1">
        <v>2.3659644447575809</v>
      </c>
      <c r="H6297" s="1">
        <v>10.422548884484918</v>
      </c>
      <c r="I6297" s="1">
        <v>29.268832464889858</v>
      </c>
      <c r="J6297" s="1">
        <v>2.2932028912459337E-2</v>
      </c>
      <c r="K6297" s="1">
        <v>1.8828370764439042</v>
      </c>
      <c r="L6297" s="1">
        <v>1.8357874418116731</v>
      </c>
      <c r="M6297" s="1">
        <v>0.17595811791692006</v>
      </c>
      <c r="N6297" s="1">
        <v>1.0445178612188466</v>
      </c>
      <c r="O6297" s="1">
        <v>0.13861333333333334</v>
      </c>
      <c r="P6297" s="1">
        <v>8.3131924719547445E-2</v>
      </c>
      <c r="Q6297" s="1">
        <v>3.7812217153660006</v>
      </c>
      <c r="R6297" s="2">
        <f t="shared" si="395"/>
        <v>103.12239597306214</v>
      </c>
      <c r="S6297" s="2">
        <f t="shared" si="394"/>
        <v>1.9889010300759109</v>
      </c>
      <c r="T6297" s="2">
        <f t="shared" si="396"/>
        <v>3.1948767542807732</v>
      </c>
      <c r="U6297" s="2">
        <f t="shared" si="397"/>
        <v>108.30617375741882</v>
      </c>
    </row>
    <row r="6298" spans="1:21" x14ac:dyDescent="0.25">
      <c r="A6298">
        <v>6838693</v>
      </c>
      <c r="B6298">
        <v>5</v>
      </c>
      <c r="C6298" s="1">
        <f>1.35905130303662*(10.3/7.3)</f>
        <v>1.9175655371612608</v>
      </c>
      <c r="D6298" s="1">
        <f>3.19782280116192*(10.3/7.3)</f>
        <v>4.5119965550640844</v>
      </c>
      <c r="E6298" s="1">
        <f>10.8212457968207*(10.3/7.3)</f>
        <v>15.268333110582679</v>
      </c>
      <c r="F6298" s="1">
        <f>34.1088771811493*(38.9/42.5)</f>
        <v>31.219654643451957</v>
      </c>
      <c r="G6298" s="1">
        <v>1.9304505792398097</v>
      </c>
      <c r="H6298" s="1">
        <v>10.123613396314322</v>
      </c>
      <c r="I6298" s="1">
        <v>24.576373917298522</v>
      </c>
      <c r="J6298" s="1">
        <v>2.1906812357766998E-2</v>
      </c>
      <c r="K6298" s="1">
        <v>1.819189104130063</v>
      </c>
      <c r="L6298" s="1">
        <v>1.754110165178637</v>
      </c>
      <c r="M6298" s="1">
        <v>0.17002817779863183</v>
      </c>
      <c r="N6298" s="1">
        <v>0.97956866614125671</v>
      </c>
      <c r="O6298" s="1">
        <v>0.13328000000000001</v>
      </c>
      <c r="P6298" s="1">
        <v>8.0437242155598027E-2</v>
      </c>
      <c r="Q6298" s="1">
        <v>3.0851949896526665</v>
      </c>
      <c r="R6298" s="2">
        <f t="shared" si="395"/>
        <v>92.633182728765306</v>
      </c>
      <c r="S6298" s="2">
        <f t="shared" si="394"/>
        <v>1.9215331586434281</v>
      </c>
      <c r="T6298" s="2">
        <f t="shared" si="396"/>
        <v>3.0369870091185258</v>
      </c>
      <c r="U6298" s="2">
        <f t="shared" si="397"/>
        <v>97.591702896527252</v>
      </c>
    </row>
    <row r="6299" spans="1:21" x14ac:dyDescent="0.25">
      <c r="A6299">
        <v>6838805</v>
      </c>
      <c r="B6299">
        <v>2</v>
      </c>
      <c r="C6299" s="1">
        <f>2.30869845790158*(10.3/7.3)</f>
        <v>3.257478646080314</v>
      </c>
      <c r="D6299" s="1">
        <f>4.4957593573463*(10.3/7.3)</f>
        <v>6.3433316959817621</v>
      </c>
      <c r="E6299" s="1">
        <f>15.2895189712723*(10.3/7.3)</f>
        <v>21.572882932069174</v>
      </c>
      <c r="F6299" s="1">
        <f>48.2682581271983*(38.9/42.5)</f>
        <v>44.179652732894432</v>
      </c>
      <c r="G6299" s="1">
        <v>2.7043689889806246</v>
      </c>
      <c r="H6299" s="1">
        <v>7.8871339354124448</v>
      </c>
      <c r="I6299" s="1">
        <v>35.711815769532933</v>
      </c>
      <c r="J6299" s="1">
        <v>2.9048972921916959E-2</v>
      </c>
      <c r="K6299" s="1">
        <v>2.0366116685277387</v>
      </c>
      <c r="L6299" s="1">
        <v>2.0177033316757105</v>
      </c>
      <c r="M6299" s="1">
        <v>0.16792120352790962</v>
      </c>
      <c r="N6299" s="1">
        <v>1.2680301805177803</v>
      </c>
      <c r="O6299" s="1">
        <v>0.13911999999999999</v>
      </c>
      <c r="P6299" s="1">
        <v>8.8173045047378301E-2</v>
      </c>
      <c r="Q6299" s="1">
        <v>4.3220508956311399</v>
      </c>
      <c r="R6299" s="2">
        <f t="shared" si="395"/>
        <v>125.97871559658282</v>
      </c>
      <c r="S6299" s="2">
        <f t="shared" si="394"/>
        <v>2.1538336864970336</v>
      </c>
      <c r="T6299" s="2">
        <f t="shared" si="396"/>
        <v>3.5927747157214003</v>
      </c>
      <c r="U6299" s="2">
        <f t="shared" si="397"/>
        <v>131.72532399880123</v>
      </c>
    </row>
    <row r="6300" spans="1:21" x14ac:dyDescent="0.25">
      <c r="A6300">
        <v>6838813</v>
      </c>
      <c r="B6300">
        <v>38</v>
      </c>
      <c r="C6300" s="1">
        <f>1.93855959305875*(10.3/7.3)</f>
        <v>2.735227918973302</v>
      </c>
      <c r="D6300" s="1">
        <f>3.81073410552724*(10.3/7.3)</f>
        <v>5.3767892173877563</v>
      </c>
      <c r="E6300" s="1">
        <f>12.9794954988866*(10.3/7.3)</f>
        <v>18.313534745004365</v>
      </c>
      <c r="F6300" s="1">
        <f>39.7757275986285*(38.9/42.5)</f>
        <v>36.406489496156446</v>
      </c>
      <c r="G6300" s="1">
        <v>2.1961862655895539</v>
      </c>
      <c r="H6300" s="1">
        <v>7.0739699316482243</v>
      </c>
      <c r="I6300" s="1">
        <v>29.202979060554117</v>
      </c>
      <c r="J6300" s="1">
        <v>2.6811464582781653E-2</v>
      </c>
      <c r="K6300" s="1">
        <v>1.9200854929313784</v>
      </c>
      <c r="L6300" s="1">
        <v>1.8602498422900682</v>
      </c>
      <c r="M6300" s="1">
        <v>0.15699659289025139</v>
      </c>
      <c r="N6300" s="1">
        <v>1.187965931402841</v>
      </c>
      <c r="O6300" s="1">
        <v>0.12897403508771932</v>
      </c>
      <c r="P6300" s="1">
        <v>8.3573945577058661E-2</v>
      </c>
      <c r="Q6300" s="1">
        <v>3.5098867258280588</v>
      </c>
      <c r="R6300" s="2">
        <f t="shared" si="395"/>
        <v>104.81506336114181</v>
      </c>
      <c r="S6300" s="2">
        <f t="shared" si="394"/>
        <v>2.0304709030912189</v>
      </c>
      <c r="T6300" s="2">
        <f t="shared" si="396"/>
        <v>3.33418640167088</v>
      </c>
      <c r="U6300" s="2">
        <f t="shared" si="397"/>
        <v>110.1797206659039</v>
      </c>
    </row>
    <row r="6301" spans="1:21" x14ac:dyDescent="0.25">
      <c r="A6301">
        <v>6838821</v>
      </c>
      <c r="B6301">
        <v>28</v>
      </c>
      <c r="C6301" s="1">
        <f>3.0913703076056*(10.3/7.3)</f>
        <v>4.3617964614161142</v>
      </c>
      <c r="D6301" s="1">
        <f>6.07927887466638*(10.3/7.3)</f>
        <v>8.5776126587758483</v>
      </c>
      <c r="E6301" s="1">
        <f>20.7196199863405*(10.3/7.3)</f>
        <v>29.234532309494163</v>
      </c>
      <c r="F6301" s="1">
        <f>62.7934965564971*(38.9/42.5)</f>
        <v>57.474518024652681</v>
      </c>
      <c r="G6301" s="1">
        <v>3.4468883006177364</v>
      </c>
      <c r="H6301" s="1">
        <v>9.1755833523376342</v>
      </c>
      <c r="I6301" s="1">
        <v>45.988445784753971</v>
      </c>
      <c r="J6301" s="1">
        <v>3.4675461103988517E-2</v>
      </c>
      <c r="K6301" s="1">
        <v>2.3606747589098811</v>
      </c>
      <c r="L6301" s="1">
        <v>2.4034605584826401</v>
      </c>
      <c r="M6301" s="1">
        <v>0.19132982587468511</v>
      </c>
      <c r="N6301" s="1">
        <v>1.4682832325226909</v>
      </c>
      <c r="O6301" s="1">
        <v>0.16049523809523811</v>
      </c>
      <c r="P6301" s="1">
        <v>0.10052788457388614</v>
      </c>
      <c r="Q6301" s="1">
        <v>5.508725594594563</v>
      </c>
      <c r="R6301" s="2">
        <f t="shared" si="395"/>
        <v>163.7681024866427</v>
      </c>
      <c r="S6301" s="2">
        <f t="shared" si="394"/>
        <v>2.4958781045877556</v>
      </c>
      <c r="T6301" s="2">
        <f t="shared" si="396"/>
        <v>4.2235688549752544</v>
      </c>
      <c r="U6301" s="2">
        <f t="shared" si="397"/>
        <v>170.48754944620569</v>
      </c>
    </row>
    <row r="6302" spans="1:21" x14ac:dyDescent="0.25">
      <c r="A6302">
        <v>6838829</v>
      </c>
      <c r="B6302">
        <v>6</v>
      </c>
      <c r="C6302" s="1">
        <f>3.50676021264461*(10.3/7.3)</f>
        <v>4.9478945466081479</v>
      </c>
      <c r="D6302" s="1">
        <f>6.85801135709123*(10.3/7.3)</f>
        <v>9.6763721887725609</v>
      </c>
      <c r="E6302" s="1">
        <f>23.3536011078118*(10.3/7.3)</f>
        <v>32.950971426090625</v>
      </c>
      <c r="F6302" s="1">
        <f>72.0077241023696*(38.9/42.5)</f>
        <v>65.908246296051232</v>
      </c>
      <c r="G6302" s="1">
        <v>3.9872588340475428</v>
      </c>
      <c r="H6302" s="1">
        <v>9.4782210055744383</v>
      </c>
      <c r="I6302" s="1">
        <v>52.978648694498013</v>
      </c>
      <c r="J6302" s="1">
        <v>3.7473146781247829E-2</v>
      </c>
      <c r="K6302" s="1">
        <v>2.5015821496512261</v>
      </c>
      <c r="L6302" s="1">
        <v>2.5700314039628283</v>
      </c>
      <c r="M6302" s="1">
        <v>0.19943131714687948</v>
      </c>
      <c r="N6302" s="1">
        <v>1.5811673418902199</v>
      </c>
      <c r="O6302" s="1">
        <v>0.1692177777777778</v>
      </c>
      <c r="P6302" s="1">
        <v>0.10561568430288827</v>
      </c>
      <c r="Q6302" s="1">
        <v>6.3723314699390015</v>
      </c>
      <c r="R6302" s="2">
        <f t="shared" si="395"/>
        <v>186.29994446158156</v>
      </c>
      <c r="S6302" s="2">
        <f t="shared" si="394"/>
        <v>2.6446709807353623</v>
      </c>
      <c r="T6302" s="2">
        <f t="shared" si="396"/>
        <v>4.5198478407777056</v>
      </c>
      <c r="U6302" s="2">
        <f t="shared" si="397"/>
        <v>193.46446328309463</v>
      </c>
    </row>
    <row r="6303" spans="1:21" x14ac:dyDescent="0.25">
      <c r="A6303">
        <v>6838845</v>
      </c>
      <c r="B6303">
        <v>4</v>
      </c>
      <c r="C6303" s="1">
        <f>3.34774220879449*(10.3/7.3)</f>
        <v>4.7235266781620924</v>
      </c>
      <c r="D6303" s="1">
        <f>6.6801814776984*(10.3/7.3)</f>
        <v>9.4254615370265107</v>
      </c>
      <c r="E6303" s="1">
        <f>22.7417960864556*(10.3/7.3)</f>
        <v>32.087739683629067</v>
      </c>
      <c r="F6303" s="1">
        <f>69.7578677127714*(38.9/42.5)</f>
        <v>63.848965977101379</v>
      </c>
      <c r="G6303" s="1">
        <v>3.8572531304841684</v>
      </c>
      <c r="H6303" s="1">
        <v>12.204399220969874</v>
      </c>
      <c r="I6303" s="1">
        <v>51.109683071197885</v>
      </c>
      <c r="J6303" s="1">
        <v>3.5498642632888877E-2</v>
      </c>
      <c r="K6303" s="1">
        <v>2.3489543119998686</v>
      </c>
      <c r="L6303" s="1">
        <v>2.3736976626714972</v>
      </c>
      <c r="M6303" s="1">
        <v>0.17916921375124956</v>
      </c>
      <c r="N6303" s="1">
        <v>1.9208702118710075</v>
      </c>
      <c r="O6303" s="1">
        <v>0.15662666666666666</v>
      </c>
      <c r="P6303" s="1">
        <v>9.9234745833408411E-2</v>
      </c>
      <c r="Q6303" s="1">
        <v>6.1645597975774447</v>
      </c>
      <c r="R6303" s="2">
        <f t="shared" si="395"/>
        <v>183.42158909614844</v>
      </c>
      <c r="S6303" s="2">
        <f t="shared" si="394"/>
        <v>2.4836877004661657</v>
      </c>
      <c r="T6303" s="2">
        <f t="shared" si="396"/>
        <v>4.6303637549604213</v>
      </c>
      <c r="U6303" s="2">
        <f t="shared" si="397"/>
        <v>190.53564055157503</v>
      </c>
    </row>
    <row r="6304" spans="1:21" x14ac:dyDescent="0.25">
      <c r="A6304">
        <v>6838853</v>
      </c>
      <c r="B6304">
        <v>56</v>
      </c>
      <c r="C6304" s="1">
        <f>3.64375836946369*(10.3/7.3)</f>
        <v>5.1411933158186303</v>
      </c>
      <c r="D6304" s="1">
        <f>7.14970040403261*(10.3/7.3)</f>
        <v>10.087933446785733</v>
      </c>
      <c r="E6304" s="1">
        <f>24.4293407603068*(10.3/7.3)</f>
        <v>34.468795867282132</v>
      </c>
      <c r="F6304" s="1">
        <f>70.9515476214456*(38.9/42.5)</f>
        <v>64.941534175864362</v>
      </c>
      <c r="G6304" s="1">
        <v>3.8039122169372392</v>
      </c>
      <c r="H6304" s="1">
        <v>11.285209329677434</v>
      </c>
      <c r="I6304" s="1">
        <v>51.487637145987989</v>
      </c>
      <c r="J6304" s="1">
        <v>3.7362621426238377E-2</v>
      </c>
      <c r="K6304" s="1">
        <v>2.4602354204707879</v>
      </c>
      <c r="L6304" s="1">
        <v>2.4866940378676636</v>
      </c>
      <c r="M6304" s="1">
        <v>0.18821888439624559</v>
      </c>
      <c r="N6304" s="1">
        <v>1.5968887417439166</v>
      </c>
      <c r="O6304" s="1">
        <v>0.16358761904761909</v>
      </c>
      <c r="P6304" s="1">
        <v>0.10334482240387836</v>
      </c>
      <c r="Q6304" s="1">
        <v>6.0793117622284667</v>
      </c>
      <c r="R6304" s="2">
        <f t="shared" si="395"/>
        <v>187.29552726058196</v>
      </c>
      <c r="S6304" s="2">
        <f t="shared" si="394"/>
        <v>2.6009428643009045</v>
      </c>
      <c r="T6304" s="2">
        <f t="shared" si="396"/>
        <v>4.4353892830554447</v>
      </c>
      <c r="U6304" s="2">
        <f t="shared" si="397"/>
        <v>194.33185940793831</v>
      </c>
    </row>
    <row r="6305" spans="1:21" x14ac:dyDescent="0.25">
      <c r="A6305">
        <v>6838861</v>
      </c>
      <c r="B6305">
        <v>45</v>
      </c>
      <c r="C6305" s="1">
        <f>4.04930003542357*(10.3/7.3)</f>
        <v>5.7133959403921679</v>
      </c>
      <c r="D6305" s="1">
        <f>7.82104160500244*(10.3/7.3)</f>
        <v>11.03516829198974</v>
      </c>
      <c r="E6305" s="1">
        <f>26.7867554127512*(10.3/7.3)</f>
        <v>37.795011061827026</v>
      </c>
      <c r="F6305" s="1">
        <f>75.1711974937945*(38.9/42.5)</f>
        <v>68.803754882555424</v>
      </c>
      <c r="G6305" s="1">
        <v>3.9452826687796256</v>
      </c>
      <c r="H6305" s="1">
        <v>9.4922545204320681</v>
      </c>
      <c r="I6305" s="1">
        <v>54.257131511631371</v>
      </c>
      <c r="J6305" s="1">
        <v>3.8605044956840029E-2</v>
      </c>
      <c r="K6305" s="1">
        <v>2.5139945153685934</v>
      </c>
      <c r="L6305" s="1">
        <v>2.5442773305161168</v>
      </c>
      <c r="M6305" s="1">
        <v>0.1899209846964853</v>
      </c>
      <c r="N6305" s="1">
        <v>1.6452105707719307</v>
      </c>
      <c r="O6305" s="1">
        <v>0.16649125925925923</v>
      </c>
      <c r="P6305" s="1">
        <v>0.10511898133201253</v>
      </c>
      <c r="Q6305" s="1">
        <v>6.305246274305345</v>
      </c>
      <c r="R6305" s="2">
        <f t="shared" si="395"/>
        <v>197.34724515191277</v>
      </c>
      <c r="S6305" s="2">
        <f t="shared" si="394"/>
        <v>2.657718541657446</v>
      </c>
      <c r="T6305" s="2">
        <f t="shared" si="396"/>
        <v>4.5459001452437917</v>
      </c>
      <c r="U6305" s="2">
        <f t="shared" si="397"/>
        <v>204.55086383881402</v>
      </c>
    </row>
    <row r="6306" spans="1:21" x14ac:dyDescent="0.25">
      <c r="A6306">
        <v>6838869</v>
      </c>
      <c r="B6306">
        <v>47</v>
      </c>
      <c r="C6306" s="1">
        <f>4.64086223522713*(10.3/7.3)</f>
        <v>6.548065893539655</v>
      </c>
      <c r="D6306" s="1">
        <f>8.89552513159724*(10.3/7.3)</f>
        <v>12.551220391157749</v>
      </c>
      <c r="E6306" s="1">
        <f>30.5169631805355*(10.3/7.3)</f>
        <v>43.058180925961061</v>
      </c>
      <c r="F6306" s="1">
        <f>83.4226476754013*(38.9/42.5)</f>
        <v>76.356258695837894</v>
      </c>
      <c r="G6306" s="1">
        <v>4.3056090117773893</v>
      </c>
      <c r="H6306" s="1">
        <v>9.6118459232461202</v>
      </c>
      <c r="I6306" s="1">
        <v>59.915135698011724</v>
      </c>
      <c r="J6306" s="1">
        <v>4.1923394806903526E-2</v>
      </c>
      <c r="K6306" s="1">
        <v>2.7126140723472059</v>
      </c>
      <c r="L6306" s="1">
        <v>2.7500246233501104</v>
      </c>
      <c r="M6306" s="1">
        <v>0.20489499258964372</v>
      </c>
      <c r="N6306" s="1">
        <v>1.7820121140138101</v>
      </c>
      <c r="O6306" s="1">
        <v>0.17782354609929082</v>
      </c>
      <c r="P6306" s="1">
        <v>0.11241016232026095</v>
      </c>
      <c r="Q6306" s="1">
        <v>6.8811102927949221</v>
      </c>
      <c r="R6306" s="2">
        <f t="shared" si="395"/>
        <v>219.2274268323265</v>
      </c>
      <c r="S6306" s="2">
        <f t="shared" si="394"/>
        <v>2.8669476294743701</v>
      </c>
      <c r="T6306" s="2">
        <f t="shared" si="396"/>
        <v>4.9147552760528557</v>
      </c>
      <c r="U6306" s="2">
        <f t="shared" si="397"/>
        <v>227.00912973785373</v>
      </c>
    </row>
    <row r="6307" spans="1:21" x14ac:dyDescent="0.25">
      <c r="A6307">
        <v>6838877</v>
      </c>
      <c r="B6307">
        <v>55</v>
      </c>
      <c r="C6307" s="1">
        <f>4.21900372567119*(10.3/7.3)</f>
        <v>5.9528408732073013</v>
      </c>
      <c r="D6307" s="1">
        <f>8.16974042198131*(10.3/7.3)</f>
        <v>11.527167992658566</v>
      </c>
      <c r="E6307" s="1">
        <f>28.054036063987*(10.3/7.3)</f>
        <v>39.58309198069405</v>
      </c>
      <c r="F6307" s="1">
        <f>74.8751404759893*(38.9/42.5)</f>
        <v>68.532775635670205</v>
      </c>
      <c r="G6307" s="1">
        <v>3.8086387681062872</v>
      </c>
      <c r="H6307" s="1">
        <v>9.1607161249366484</v>
      </c>
      <c r="I6307" s="1">
        <v>53.360137730894238</v>
      </c>
      <c r="J6307" s="1">
        <v>3.8057988840924567E-2</v>
      </c>
      <c r="K6307" s="1">
        <v>2.511610175973277</v>
      </c>
      <c r="L6307" s="1">
        <v>2.4992388666424539</v>
      </c>
      <c r="M6307" s="1">
        <v>0.18714661477565614</v>
      </c>
      <c r="N6307" s="1">
        <v>1.6788387478187887</v>
      </c>
      <c r="O6307" s="1">
        <v>0.16328048484848479</v>
      </c>
      <c r="P6307" s="1">
        <v>0.10429249325169777</v>
      </c>
      <c r="Q6307" s="1">
        <v>6.0868656111287747</v>
      </c>
      <c r="R6307" s="2">
        <f t="shared" si="395"/>
        <v>198.01223471729608</v>
      </c>
      <c r="S6307" s="2">
        <f t="shared" si="394"/>
        <v>2.6539606580658992</v>
      </c>
      <c r="T6307" s="2">
        <f t="shared" si="396"/>
        <v>4.5285047140853827</v>
      </c>
      <c r="U6307" s="2">
        <f t="shared" si="397"/>
        <v>205.19470008944737</v>
      </c>
    </row>
    <row r="6308" spans="1:21" x14ac:dyDescent="0.25">
      <c r="A6308">
        <v>6838885</v>
      </c>
      <c r="B6308">
        <v>58</v>
      </c>
      <c r="C6308" s="1">
        <f>3.13088262066223*(10.3/7.3)</f>
        <v>4.4175467113453353</v>
      </c>
      <c r="D6308" s="1">
        <f>6.48300380470508*(10.3/7.3)</f>
        <v>9.1472519436249815</v>
      </c>
      <c r="E6308" s="1">
        <f>22.3058713464478*(10.3/7.3)</f>
        <v>31.472667790193427</v>
      </c>
      <c r="F6308" s="1">
        <f>55.1034452864387*(38.9/42.5)</f>
        <v>50.435859332763918</v>
      </c>
      <c r="G6308" s="1">
        <v>2.6715885345793109</v>
      </c>
      <c r="H6308" s="1">
        <v>6.9780957646270831</v>
      </c>
      <c r="I6308" s="1">
        <v>37.973007215839182</v>
      </c>
      <c r="J6308" s="1">
        <v>2.9277813290064871E-2</v>
      </c>
      <c r="K6308" s="1">
        <v>2.037633226179838</v>
      </c>
      <c r="L6308" s="1">
        <v>1.9420015391908259</v>
      </c>
      <c r="M6308" s="1">
        <v>0.14976655650819273</v>
      </c>
      <c r="N6308" s="1">
        <v>1.4667507454839706</v>
      </c>
      <c r="O6308" s="1">
        <v>0.13090390804597699</v>
      </c>
      <c r="P6308" s="1">
        <v>8.644203004244852E-2</v>
      </c>
      <c r="Q6308" s="1">
        <v>4.2696620415651116</v>
      </c>
      <c r="R6308" s="2">
        <f t="shared" si="395"/>
        <v>147.36567933453836</v>
      </c>
      <c r="S6308" s="2">
        <f t="shared" si="394"/>
        <v>2.1533530695123515</v>
      </c>
      <c r="T6308" s="2">
        <f t="shared" si="396"/>
        <v>3.6894227492289664</v>
      </c>
      <c r="U6308" s="2">
        <f t="shared" si="397"/>
        <v>153.20845515327966</v>
      </c>
    </row>
    <row r="6309" spans="1:21" x14ac:dyDescent="0.25">
      <c r="A6309">
        <v>6838893</v>
      </c>
      <c r="B6309">
        <v>9</v>
      </c>
      <c r="C6309" s="1">
        <f>4.83287278326193*(10.3/7.3)</f>
        <v>6.8189848859723154</v>
      </c>
      <c r="D6309" s="1">
        <f>15.2808332836583*(10.3/7.3)</f>
        <v>21.56062778379183</v>
      </c>
      <c r="E6309" s="1">
        <f>52.6197954056307*(10.3/7.3)</f>
        <v>74.244368859999497</v>
      </c>
      <c r="F6309" s="1">
        <f>102.144423883743*(38.9/42.5)</f>
        <v>93.492190331237424</v>
      </c>
      <c r="G6309" s="1">
        <v>4.1476647709063421</v>
      </c>
      <c r="H6309" s="1">
        <v>9.9451339600132496</v>
      </c>
      <c r="I6309" s="1">
        <v>58.865175646739168</v>
      </c>
      <c r="J6309" s="1">
        <v>3.6421775183625944E-2</v>
      </c>
      <c r="K6309" s="1">
        <v>2.3559347391918712</v>
      </c>
      <c r="L6309" s="1">
        <v>2.3142015390023087</v>
      </c>
      <c r="M6309" s="1">
        <v>0.17186018868812358</v>
      </c>
      <c r="N6309" s="1">
        <v>2.3007658352210729</v>
      </c>
      <c r="O6309" s="1">
        <v>0.1508325925925926</v>
      </c>
      <c r="P6309" s="1">
        <v>9.7790979458193761E-2</v>
      </c>
      <c r="Q6309" s="1">
        <v>6.6286879900329732</v>
      </c>
      <c r="R6309" s="2">
        <f t="shared" si="395"/>
        <v>275.70283422869278</v>
      </c>
      <c r="S6309" s="2">
        <f t="shared" si="394"/>
        <v>2.4901474938336912</v>
      </c>
      <c r="T6309" s="2">
        <f t="shared" si="396"/>
        <v>4.9376601555040969</v>
      </c>
      <c r="U6309" s="2">
        <f t="shared" si="397"/>
        <v>283.13064187803059</v>
      </c>
    </row>
    <row r="6310" spans="1:21" x14ac:dyDescent="0.25">
      <c r="A6310">
        <v>6838941</v>
      </c>
      <c r="B6310">
        <v>2</v>
      </c>
      <c r="C6310" s="1">
        <f>4.12829457709823*(10.3/7.3)</f>
        <v>5.8248539923440799</v>
      </c>
      <c r="D6310" s="1">
        <f>6.6802366623881*(10.3/7.3)</f>
        <v>9.4255394003558184</v>
      </c>
      <c r="E6310" s="1">
        <f>23.1987274559416*(10.3/7.3)</f>
        <v>32.732451067972406</v>
      </c>
      <c r="F6310" s="1">
        <f>55.4736482327483*(38.9/42.5)</f>
        <v>50.774703911856655</v>
      </c>
      <c r="G6310" s="1">
        <v>2.55737491975216</v>
      </c>
      <c r="H6310" s="1">
        <v>10.868322763214209</v>
      </c>
      <c r="I6310" s="1">
        <v>39.934422762456769</v>
      </c>
      <c r="J6310" s="1">
        <v>2.7491717143017819E-2</v>
      </c>
      <c r="K6310" s="1">
        <v>1.8985500983168768</v>
      </c>
      <c r="L6310" s="1">
        <v>1.7414577218195979</v>
      </c>
      <c r="M6310" s="1">
        <v>0.12840348953638153</v>
      </c>
      <c r="N6310" s="1">
        <v>1.2105811208386774</v>
      </c>
      <c r="O6310" s="1">
        <v>0.11648</v>
      </c>
      <c r="P6310" s="1">
        <v>7.9207282948360824E-2</v>
      </c>
      <c r="Q6310" s="1">
        <v>4.0871288671838215</v>
      </c>
      <c r="R6310" s="2">
        <f t="shared" si="395"/>
        <v>156.20479768513593</v>
      </c>
      <c r="S6310" s="2">
        <f t="shared" si="394"/>
        <v>2.0052490984082554</v>
      </c>
      <c r="T6310" s="2">
        <f t="shared" si="396"/>
        <v>3.1969223321946569</v>
      </c>
      <c r="U6310" s="2">
        <f t="shared" si="397"/>
        <v>161.40696911573883</v>
      </c>
    </row>
    <row r="6311" spans="1:21" x14ac:dyDescent="0.25">
      <c r="A6311">
        <v>6850481</v>
      </c>
      <c r="B6311">
        <v>55</v>
      </c>
      <c r="C6311" s="1">
        <f>0.426361964969786*(10.3/7.3)</f>
        <v>0.60157921084778032</v>
      </c>
      <c r="D6311" s="1">
        <f>0.834443634013327*(10.3/7.3)</f>
        <v>1.1773656753886665</v>
      </c>
      <c r="E6311" s="1">
        <f>2.83664713983085*(10.3/7.3)</f>
        <v>4.0023925397613374</v>
      </c>
      <c r="F6311" s="1">
        <f>8.99507805629956*(38.9/42.5)</f>
        <v>8.2331420327071267</v>
      </c>
      <c r="G6311" s="1">
        <v>0.50525577900417662</v>
      </c>
      <c r="H6311" s="1">
        <v>1.9371360385878218</v>
      </c>
      <c r="I6311" s="1">
        <v>6.6562669062573203</v>
      </c>
      <c r="J6311" s="1">
        <v>2.0229743934595857E-2</v>
      </c>
      <c r="K6311" s="1">
        <v>2.0859916506914455</v>
      </c>
      <c r="L6311" s="1">
        <v>1.2721485648473354</v>
      </c>
      <c r="M6311" s="1">
        <v>0.20155799450425296</v>
      </c>
      <c r="N6311" s="1">
        <v>0.73488640572861275</v>
      </c>
      <c r="O6311" s="1">
        <v>0.20306812121212128</v>
      </c>
      <c r="P6311" s="1">
        <v>9.3658943622598176E-2</v>
      </c>
      <c r="Q6311" s="1">
        <v>0.80748640480119638</v>
      </c>
      <c r="R6311" s="2">
        <f t="shared" si="395"/>
        <v>23.920624587355427</v>
      </c>
      <c r="S6311" s="2">
        <f t="shared" si="394"/>
        <v>2.1998803382486396</v>
      </c>
      <c r="T6311" s="2">
        <f t="shared" si="396"/>
        <v>2.4116610862923222</v>
      </c>
      <c r="U6311" s="2">
        <f t="shared" si="397"/>
        <v>28.53216601189639</v>
      </c>
    </row>
    <row r="6312" spans="1:21" x14ac:dyDescent="0.25">
      <c r="A6312">
        <v>6850489</v>
      </c>
      <c r="B6312">
        <v>46</v>
      </c>
      <c r="C6312" s="1">
        <f>0.516587936778593*(10.3/7.3)</f>
        <v>0.72888434915335787</v>
      </c>
      <c r="D6312" s="1">
        <f>1.07792560067937*(10.3/7.3)</f>
        <v>1.5209087242462409</v>
      </c>
      <c r="E6312" s="1">
        <f>3.64503970933059*(10.3/7.3)</f>
        <v>5.1430012337130275</v>
      </c>
      <c r="F6312" s="1">
        <f>12.2118409852602*(38.9/42.5)</f>
        <v>11.177426219449938</v>
      </c>
      <c r="G6312" s="1">
        <v>0.70673311665835403</v>
      </c>
      <c r="H6312" s="1">
        <v>3.4538998567764598</v>
      </c>
      <c r="I6312" s="1">
        <v>9.057692392994003</v>
      </c>
      <c r="J6312" s="1">
        <v>2.5039145371345599E-2</v>
      </c>
      <c r="K6312" s="1">
        <v>2.4175335582193194</v>
      </c>
      <c r="L6312" s="1">
        <v>1.5444847630323817</v>
      </c>
      <c r="M6312" s="1">
        <v>0.23865386824960894</v>
      </c>
      <c r="N6312" s="1">
        <v>1.1208956444636389</v>
      </c>
      <c r="O6312" s="1">
        <v>0.24416579710144928</v>
      </c>
      <c r="P6312" s="1">
        <v>0.10381551360526384</v>
      </c>
      <c r="Q6312" s="1">
        <v>1.1294821499106127</v>
      </c>
      <c r="R6312" s="2">
        <f t="shared" si="395"/>
        <v>32.918028042901994</v>
      </c>
      <c r="S6312" s="2">
        <f t="shared" si="394"/>
        <v>2.5463882171959287</v>
      </c>
      <c r="T6312" s="2">
        <f t="shared" si="396"/>
        <v>3.1482000728470787</v>
      </c>
      <c r="U6312" s="2">
        <f t="shared" si="397"/>
        <v>38.612616332944995</v>
      </c>
    </row>
    <row r="6313" spans="1:21" x14ac:dyDescent="0.25">
      <c r="A6313">
        <v>6850913</v>
      </c>
      <c r="B6313">
        <v>29</v>
      </c>
      <c r="C6313" s="1">
        <f>1.442406911092*(10.3/7.3)</f>
        <v>2.0351768745544594</v>
      </c>
      <c r="D6313" s="1">
        <f>2.92946377652767*(10.3/7.3)</f>
        <v>4.1333529997582241</v>
      </c>
      <c r="E6313" s="1">
        <f>9.8982653489406*(10.3/7.3)</f>
        <v>13.966045629327143</v>
      </c>
      <c r="F6313" s="1">
        <f>33.9537643091415*(38.9/42.5)</f>
        <v>31.077680744131825</v>
      </c>
      <c r="G6313" s="1">
        <v>1.9829585034907629</v>
      </c>
      <c r="H6313" s="1">
        <v>9.8938982459191216</v>
      </c>
      <c r="I6313" s="1">
        <v>25.391849344828302</v>
      </c>
      <c r="J6313" s="1">
        <v>2.2802099087065889E-2</v>
      </c>
      <c r="K6313" s="1">
        <v>1.8561142018636387</v>
      </c>
      <c r="L6313" s="1">
        <v>1.8052464187937558</v>
      </c>
      <c r="M6313" s="1">
        <v>0.17392296791901399</v>
      </c>
      <c r="N6313" s="1">
        <v>1.0353663924628675</v>
      </c>
      <c r="O6313" s="1">
        <v>0.13656275862068964</v>
      </c>
      <c r="P6313" s="1">
        <v>8.2179087272541584E-2</v>
      </c>
      <c r="Q6313" s="1">
        <v>3.1691117635697155</v>
      </c>
      <c r="R6313" s="2">
        <f t="shared" si="395"/>
        <v>91.650074105579549</v>
      </c>
      <c r="S6313" s="2">
        <f t="shared" si="394"/>
        <v>1.9610953882232462</v>
      </c>
      <c r="T6313" s="2">
        <f t="shared" si="396"/>
        <v>3.1510985377963268</v>
      </c>
      <c r="U6313" s="2">
        <f t="shared" si="397"/>
        <v>96.76226803159912</v>
      </c>
    </row>
    <row r="6314" spans="1:21" x14ac:dyDescent="0.25">
      <c r="A6314">
        <v>6850921</v>
      </c>
      <c r="B6314">
        <v>44</v>
      </c>
      <c r="C6314" s="1">
        <f>1.42145819790447*(10.3/7.3)</f>
        <v>2.0056191011528814</v>
      </c>
      <c r="D6314" s="1">
        <f>3.07558294762918*(10.3/7.3)</f>
        <v>4.3395211452850075</v>
      </c>
      <c r="E6314" s="1">
        <f>10.3960217693228*(10.3/7.3)</f>
        <v>14.668359482743176</v>
      </c>
      <c r="F6314" s="1">
        <f>34.5167354612722*(38.9/42.5)</f>
        <v>31.592964928082097</v>
      </c>
      <c r="G6314" s="1">
        <v>1.9932473820064232</v>
      </c>
      <c r="H6314" s="1">
        <v>7.5517597351427108</v>
      </c>
      <c r="I6314" s="1">
        <v>25.433499037321724</v>
      </c>
      <c r="J6314" s="1">
        <v>2.2443269036418235E-2</v>
      </c>
      <c r="K6314" s="1">
        <v>1.8575986668201787</v>
      </c>
      <c r="L6314" s="1">
        <v>1.7993604210534571</v>
      </c>
      <c r="M6314" s="1">
        <v>0.17338113195633753</v>
      </c>
      <c r="N6314" s="1">
        <v>1.0059450130236505</v>
      </c>
      <c r="O6314" s="1">
        <v>0.13643151515151514</v>
      </c>
      <c r="P6314" s="1">
        <v>8.1934128648196256E-2</v>
      </c>
      <c r="Q6314" s="1">
        <v>3.1855551767225965</v>
      </c>
      <c r="R6314" s="2">
        <f t="shared" si="395"/>
        <v>90.770525988456626</v>
      </c>
      <c r="S6314" s="2">
        <f t="shared" si="394"/>
        <v>1.9619760645047932</v>
      </c>
      <c r="T6314" s="2">
        <f t="shared" si="396"/>
        <v>3.1151180811849599</v>
      </c>
      <c r="U6314" s="2">
        <f t="shared" si="397"/>
        <v>95.847620134146382</v>
      </c>
    </row>
    <row r="6315" spans="1:21" x14ac:dyDescent="0.25">
      <c r="A6315">
        <v>6851049</v>
      </c>
      <c r="B6315">
        <v>6</v>
      </c>
      <c r="C6315" s="1">
        <f>2.31560218255214*(10.3/7.3)</f>
        <v>3.2672195178475407</v>
      </c>
      <c r="D6315" s="1">
        <f>4.56975140629433*(10.3/7.3)</f>
        <v>6.4477314362783078</v>
      </c>
      <c r="E6315" s="1">
        <f>15.5639258624385*(10.3/7.3)</f>
        <v>21.960059778509148</v>
      </c>
      <c r="F6315" s="1">
        <f>47.6460982264469*(38.9/42.5)</f>
        <v>43.610193435500832</v>
      </c>
      <c r="G6315" s="1">
        <v>2.6299778298577032</v>
      </c>
      <c r="H6315" s="1">
        <v>8.1760153316839403</v>
      </c>
      <c r="I6315" s="1">
        <v>34.952585533216059</v>
      </c>
      <c r="J6315" s="1">
        <v>2.9494509316424892E-2</v>
      </c>
      <c r="K6315" s="1">
        <v>2.0754891253547463</v>
      </c>
      <c r="L6315" s="1">
        <v>2.0589429619712809</v>
      </c>
      <c r="M6315" s="1">
        <v>0.16787294772263231</v>
      </c>
      <c r="N6315" s="1">
        <v>1.2845565099877001</v>
      </c>
      <c r="O6315" s="1">
        <v>0.14099555555555557</v>
      </c>
      <c r="P6315" s="1">
        <v>8.9482923090076535E-2</v>
      </c>
      <c r="Q6315" s="1">
        <v>4.2031609152977039</v>
      </c>
      <c r="R6315" s="2">
        <f t="shared" si="395"/>
        <v>125.24694377819125</v>
      </c>
      <c r="S6315" s="2">
        <f t="shared" si="394"/>
        <v>2.1944665577612477</v>
      </c>
      <c r="T6315" s="2">
        <f t="shared" si="396"/>
        <v>3.6523679752371692</v>
      </c>
      <c r="U6315" s="2">
        <f t="shared" si="397"/>
        <v>131.09377831118968</v>
      </c>
    </row>
    <row r="6316" spans="1:21" x14ac:dyDescent="0.25">
      <c r="A6316">
        <v>6851057</v>
      </c>
      <c r="B6316">
        <v>27</v>
      </c>
      <c r="C6316" s="1">
        <f>3.25637480590049*(10.3/7.3)</f>
        <v>4.5946110275034258</v>
      </c>
      <c r="D6316" s="1">
        <f>6.37310652373284*(10.3/7.3)</f>
        <v>8.9921913964997611</v>
      </c>
      <c r="E6316" s="1">
        <f>21.7039150283359*(10.3/7.3)</f>
        <v>30.623332163268408</v>
      </c>
      <c r="F6316" s="1">
        <f>66.8161304327717*(38.9/42.5)</f>
        <v>61.156411149054556</v>
      </c>
      <c r="G6316" s="1">
        <v>3.6969465407930007</v>
      </c>
      <c r="H6316" s="1">
        <v>10.21398525085851</v>
      </c>
      <c r="I6316" s="1">
        <v>49.136933403164662</v>
      </c>
      <c r="J6316" s="1">
        <v>3.5368203406278102E-2</v>
      </c>
      <c r="K6316" s="1">
        <v>2.4073156748472164</v>
      </c>
      <c r="L6316" s="1">
        <v>2.4503359526435662</v>
      </c>
      <c r="M6316" s="1">
        <v>0.194109572342689</v>
      </c>
      <c r="N6316" s="1">
        <v>1.4960526812811461</v>
      </c>
      <c r="O6316" s="1">
        <v>0.16303407407407408</v>
      </c>
      <c r="P6316" s="1">
        <v>0.1020579893441276</v>
      </c>
      <c r="Q6316" s="1">
        <v>5.9083620514956703</v>
      </c>
      <c r="R6316" s="2">
        <f t="shared" si="395"/>
        <v>174.32277298263799</v>
      </c>
      <c r="S6316" s="2">
        <f t="shared" si="394"/>
        <v>2.5447418675976223</v>
      </c>
      <c r="T6316" s="2">
        <f t="shared" si="396"/>
        <v>4.3035322803414751</v>
      </c>
      <c r="U6316" s="2">
        <f t="shared" si="397"/>
        <v>181.17104713057708</v>
      </c>
    </row>
    <row r="6317" spans="1:21" x14ac:dyDescent="0.25">
      <c r="A6317">
        <v>6851081</v>
      </c>
      <c r="B6317">
        <v>3</v>
      </c>
      <c r="C6317" s="1">
        <f>3.20492140508607*(10.3/7.3)</f>
        <v>4.5220123934776044</v>
      </c>
      <c r="D6317" s="1">
        <f>6.36493541381892*(10.3/7.3)</f>
        <v>8.9806622962102605</v>
      </c>
      <c r="E6317" s="1">
        <f>21.6839305277355*(10.3/7.3)</f>
        <v>30.595134854202165</v>
      </c>
      <c r="F6317" s="1">
        <f>65.8745443817168*(38.9/42.5)</f>
        <v>60.294582975265506</v>
      </c>
      <c r="G6317" s="1">
        <v>3.6229925092076614</v>
      </c>
      <c r="H6317" s="1">
        <v>11.426490887405452</v>
      </c>
      <c r="I6317" s="1">
        <v>48.19736746586765</v>
      </c>
      <c r="J6317" s="1">
        <v>3.5331743285104959E-2</v>
      </c>
      <c r="K6317" s="1">
        <v>2.3183332357814348</v>
      </c>
      <c r="L6317" s="1">
        <v>2.3349201917691214</v>
      </c>
      <c r="M6317" s="1">
        <v>0.17625482462972664</v>
      </c>
      <c r="N6317" s="1">
        <v>1.9861651285720627</v>
      </c>
      <c r="O6317" s="1">
        <v>0.15425777777777777</v>
      </c>
      <c r="P6317" s="1">
        <v>9.7932181608187355E-2</v>
      </c>
      <c r="Q6317" s="1">
        <v>5.7901706768159018</v>
      </c>
      <c r="R6317" s="2">
        <f t="shared" si="395"/>
        <v>173.42941405845221</v>
      </c>
      <c r="S6317" s="2">
        <f t="shared" si="394"/>
        <v>2.4515971606747269</v>
      </c>
      <c r="T6317" s="2">
        <f t="shared" si="396"/>
        <v>4.6515979227486888</v>
      </c>
      <c r="U6317" s="2">
        <f t="shared" si="397"/>
        <v>180.53260914187564</v>
      </c>
    </row>
    <row r="6318" spans="1:21" x14ac:dyDescent="0.25">
      <c r="A6318">
        <v>6851089</v>
      </c>
      <c r="B6318">
        <v>34</v>
      </c>
      <c r="C6318" s="1">
        <f>3.58511826839277*(10.3/7.3)</f>
        <v>5.0584545430747339</v>
      </c>
      <c r="D6318" s="1">
        <f>7.00171207849833*(10.3/7.3)</f>
        <v>9.8791280011688727</v>
      </c>
      <c r="E6318" s="1">
        <f>23.9437266936645*(10.3/7.3)</f>
        <v>33.7836143759924</v>
      </c>
      <c r="F6318" s="1">
        <f>68.6805563342994*(38.9/42.5)</f>
        <v>62.86290920951172</v>
      </c>
      <c r="G6318" s="1">
        <v>3.6546550359271173</v>
      </c>
      <c r="H6318" s="1">
        <v>9.3645389969185793</v>
      </c>
      <c r="I6318" s="1">
        <v>49.734614495277611</v>
      </c>
      <c r="J6318" s="1">
        <v>3.6512768330864073E-2</v>
      </c>
      <c r="K6318" s="1">
        <v>2.3967261737433554</v>
      </c>
      <c r="L6318" s="1">
        <v>2.4082687158854106</v>
      </c>
      <c r="M6318" s="1">
        <v>0.18283570184619344</v>
      </c>
      <c r="N6318" s="1">
        <v>1.5579898902717773</v>
      </c>
      <c r="O6318" s="1">
        <v>0.15897568627450975</v>
      </c>
      <c r="P6318" s="1">
        <v>0.10079249007858826</v>
      </c>
      <c r="Q6318" s="1">
        <v>5.8407728884680017</v>
      </c>
      <c r="R6318" s="2">
        <f t="shared" si="395"/>
        <v>180.17868754633906</v>
      </c>
      <c r="S6318" s="2">
        <f t="shared" si="394"/>
        <v>2.5340314321528075</v>
      </c>
      <c r="T6318" s="2">
        <f t="shared" si="396"/>
        <v>4.3080699942778908</v>
      </c>
      <c r="U6318" s="2">
        <f t="shared" si="397"/>
        <v>187.02078897276976</v>
      </c>
    </row>
    <row r="6319" spans="1:21" x14ac:dyDescent="0.25">
      <c r="A6319">
        <v>6851097</v>
      </c>
      <c r="B6319">
        <v>41</v>
      </c>
      <c r="C6319" s="1">
        <f>3.73797832090483*(10.3/7.3)</f>
        <v>5.2741337952492779</v>
      </c>
      <c r="D6319" s="1">
        <f>7.22966572462279*(10.3/7.3)</f>
        <v>10.200761227892434</v>
      </c>
      <c r="E6319" s="1">
        <f>24.7634560465573*(10.3/7.3)</f>
        <v>34.940218805416535</v>
      </c>
      <c r="F6319" s="1">
        <f>69.331814868226*(38.9/42.5)</f>
        <v>63.459002314682131</v>
      </c>
      <c r="G6319" s="1">
        <v>3.6340796531154047</v>
      </c>
      <c r="H6319" s="1">
        <v>9.3830742117939625</v>
      </c>
      <c r="I6319" s="1">
        <v>50.002965028122873</v>
      </c>
      <c r="J6319" s="1">
        <v>3.7461279609764225E-2</v>
      </c>
      <c r="K6319" s="1">
        <v>2.4339852455345032</v>
      </c>
      <c r="L6319" s="1">
        <v>2.4370179127918021</v>
      </c>
      <c r="M6319" s="1">
        <v>0.18385894471527919</v>
      </c>
      <c r="N6319" s="1">
        <v>1.5832566290413654</v>
      </c>
      <c r="O6319" s="1">
        <v>0.16004292682926829</v>
      </c>
      <c r="P6319" s="1">
        <v>0.1019286924218195</v>
      </c>
      <c r="Q6319" s="1">
        <v>5.8078898565771357</v>
      </c>
      <c r="R6319" s="2">
        <f t="shared" si="395"/>
        <v>182.70212489284975</v>
      </c>
      <c r="S6319" s="2">
        <f t="shared" si="394"/>
        <v>2.5733752175660869</v>
      </c>
      <c r="T6319" s="2">
        <f t="shared" si="396"/>
        <v>4.3641764133777148</v>
      </c>
      <c r="U6319" s="2">
        <f t="shared" si="397"/>
        <v>189.63967652379355</v>
      </c>
    </row>
    <row r="6320" spans="1:21" x14ac:dyDescent="0.25">
      <c r="A6320">
        <v>6851105</v>
      </c>
      <c r="B6320">
        <v>65</v>
      </c>
      <c r="C6320" s="1">
        <f>4.51131648874654*(10.3/7.3)</f>
        <v>6.365282169053339</v>
      </c>
      <c r="D6320" s="1">
        <f>8.75359163214547*(10.3/7.3)</f>
        <v>12.350958056314845</v>
      </c>
      <c r="E6320" s="1">
        <f>30.0073290470811*(10.3/7.3)</f>
        <v>42.339108107525419</v>
      </c>
      <c r="F6320" s="1">
        <f>82.634267953898*(38.9/42.5)</f>
        <v>75.634659374273696</v>
      </c>
      <c r="G6320" s="1">
        <v>4.2886778349597616</v>
      </c>
      <c r="H6320" s="1">
        <v>9.4202207872532639</v>
      </c>
      <c r="I6320" s="1">
        <v>59.326846052688772</v>
      </c>
      <c r="J6320" s="1">
        <v>4.0798077725365617E-2</v>
      </c>
      <c r="K6320" s="1">
        <v>2.649012439801151</v>
      </c>
      <c r="L6320" s="1">
        <v>2.6648231298783842</v>
      </c>
      <c r="M6320" s="1">
        <v>0.19798868653150353</v>
      </c>
      <c r="N6320" s="1">
        <v>1.8111567234611836</v>
      </c>
      <c r="O6320" s="1">
        <v>0.17300758974358979</v>
      </c>
      <c r="P6320" s="1">
        <v>0.109638878923473</v>
      </c>
      <c r="Q6320" s="1">
        <v>6.8540513344105829</v>
      </c>
      <c r="R6320" s="2">
        <f t="shared" si="395"/>
        <v>216.57980371647969</v>
      </c>
      <c r="S6320" s="2">
        <f t="shared" si="394"/>
        <v>2.7994493964499898</v>
      </c>
      <c r="T6320" s="2">
        <f t="shared" si="396"/>
        <v>4.8469761296146618</v>
      </c>
      <c r="U6320" s="2">
        <f t="shared" si="397"/>
        <v>224.22622924254435</v>
      </c>
    </row>
    <row r="6321" spans="1:21" x14ac:dyDescent="0.25">
      <c r="A6321">
        <v>6851113</v>
      </c>
      <c r="B6321">
        <v>69</v>
      </c>
      <c r="C6321" s="1">
        <f>3.99465324506669*(10.3/7.3)</f>
        <v>5.6362915649571104</v>
      </c>
      <c r="D6321" s="1">
        <f>7.84788418663056*(10.3/7.3)</f>
        <v>11.073042071547235</v>
      </c>
      <c r="E6321" s="1">
        <f>26.9725475096964*(10.3/7.3)</f>
        <v>38.057156075325082</v>
      </c>
      <c r="F6321" s="1">
        <f>70.1899433593119*(38.9/42.5)</f>
        <v>64.244442274758413</v>
      </c>
      <c r="G6321" s="1">
        <v>3.5147801186691132</v>
      </c>
      <c r="H6321" s="1">
        <v>8.4335452585926358</v>
      </c>
      <c r="I6321" s="1">
        <v>49.563686726554998</v>
      </c>
      <c r="J6321" s="1">
        <v>3.5423248896564979E-2</v>
      </c>
      <c r="K6321" s="1">
        <v>2.3740828268630452</v>
      </c>
      <c r="L6321" s="1">
        <v>2.3349483074047184</v>
      </c>
      <c r="M6321" s="1">
        <v>0.17666635399026287</v>
      </c>
      <c r="N6321" s="1">
        <v>1.7183120140900248</v>
      </c>
      <c r="O6321" s="1">
        <v>0.15349951690821248</v>
      </c>
      <c r="P6321" s="1">
        <v>9.895368890113912E-2</v>
      </c>
      <c r="Q6321" s="1">
        <v>5.6172285001561226</v>
      </c>
      <c r="R6321" s="2">
        <f t="shared" si="395"/>
        <v>186.14017259056072</v>
      </c>
      <c r="S6321" s="2">
        <f t="shared" si="394"/>
        <v>2.5084597646607492</v>
      </c>
      <c r="T6321" s="2">
        <f t="shared" si="396"/>
        <v>4.3834261923932178</v>
      </c>
      <c r="U6321" s="2">
        <f t="shared" si="397"/>
        <v>193.0320585476147</v>
      </c>
    </row>
    <row r="6322" spans="1:21" x14ac:dyDescent="0.25">
      <c r="A6322">
        <v>6851121</v>
      </c>
      <c r="B6322">
        <v>71</v>
      </c>
      <c r="C6322" s="1">
        <f>4.43688097143942*(10.3/7.3)</f>
        <v>6.2602567131268545</v>
      </c>
      <c r="D6322" s="1">
        <f>10.286078867592*(10.3/7.3)</f>
        <v>14.513234566602447</v>
      </c>
      <c r="E6322" s="1">
        <f>35.4180248763643*(10.3/7.3)</f>
        <v>49.973377565281147</v>
      </c>
      <c r="F6322" s="1">
        <f>80.7781241763842*(38.9/42.5)</f>
        <v>73.935741893208146</v>
      </c>
      <c r="G6322" s="1">
        <v>3.7160922791771793</v>
      </c>
      <c r="H6322" s="1">
        <v>8.6113718021212637</v>
      </c>
      <c r="I6322" s="1">
        <v>53.078822009715559</v>
      </c>
      <c r="J6322" s="1">
        <v>3.7251743182385284E-2</v>
      </c>
      <c r="K6322" s="1">
        <v>2.4606981685235989</v>
      </c>
      <c r="L6322" s="1">
        <v>2.4116085560427085</v>
      </c>
      <c r="M6322" s="1">
        <v>0.18042405920198581</v>
      </c>
      <c r="N6322" s="1">
        <v>1.9913057282917361</v>
      </c>
      <c r="O6322" s="1">
        <v>0.15734159624413147</v>
      </c>
      <c r="P6322" s="1">
        <v>0.10175619424947635</v>
      </c>
      <c r="Q6322" s="1">
        <v>5.9389602635251766</v>
      </c>
      <c r="R6322" s="2">
        <f t="shared" si="395"/>
        <v>216.02785709275781</v>
      </c>
      <c r="S6322" s="2">
        <f t="shared" si="394"/>
        <v>2.5997061059554607</v>
      </c>
      <c r="T6322" s="2">
        <f t="shared" si="396"/>
        <v>4.7406799397805619</v>
      </c>
      <c r="U6322" s="2">
        <f t="shared" si="397"/>
        <v>223.36824313849382</v>
      </c>
    </row>
    <row r="6323" spans="1:21" x14ac:dyDescent="0.25">
      <c r="A6323">
        <v>6851177</v>
      </c>
      <c r="B6323">
        <v>2</v>
      </c>
      <c r="C6323" s="1">
        <f>4.58234723680802*(10.3/7.3)</f>
        <v>6.4655036354962512</v>
      </c>
      <c r="D6323" s="1">
        <f>7.47683795121108*(10.3/7.3)</f>
        <v>10.549511081845774</v>
      </c>
      <c r="E6323" s="1">
        <f>26.024391768023*(10.3/7.3)</f>
        <v>36.719347289128365</v>
      </c>
      <c r="F6323" s="1">
        <f>58.8307790443103*(38.9/42.5)</f>
        <v>53.847465995851053</v>
      </c>
      <c r="G6323" s="1">
        <v>2.5858080791284688</v>
      </c>
      <c r="H6323" s="1">
        <v>10.529055076895361</v>
      </c>
      <c r="I6323" s="1">
        <v>41.671800087839259</v>
      </c>
      <c r="J6323" s="1">
        <v>2.8908947197928754E-2</v>
      </c>
      <c r="K6323" s="1">
        <v>1.9691039730651867</v>
      </c>
      <c r="L6323" s="1">
        <v>1.8175102826901828</v>
      </c>
      <c r="M6323" s="1">
        <v>0.13089610132257135</v>
      </c>
      <c r="N6323" s="1">
        <v>1.2417663721311176</v>
      </c>
      <c r="O6323" s="1">
        <v>0.1192</v>
      </c>
      <c r="P6323" s="1">
        <v>8.1196659593920875E-2</v>
      </c>
      <c r="Q6323" s="1">
        <v>4.1325699894747263</v>
      </c>
      <c r="R6323" s="2">
        <f t="shared" si="395"/>
        <v>166.50106123565925</v>
      </c>
      <c r="S6323" s="2">
        <f t="shared" si="394"/>
        <v>2.0792095798570362</v>
      </c>
      <c r="T6323" s="2">
        <f t="shared" si="396"/>
        <v>3.3093727561438717</v>
      </c>
      <c r="U6323" s="2">
        <f t="shared" si="397"/>
        <v>171.88964357166014</v>
      </c>
    </row>
    <row r="6324" spans="1:21" x14ac:dyDescent="0.25">
      <c r="A6324">
        <v>685945</v>
      </c>
      <c r="B6324">
        <v>22</v>
      </c>
      <c r="C6324" s="1">
        <f>1.74361290497009*(10.3/7.3)</f>
        <v>2.4601661535879416</v>
      </c>
      <c r="D6324" s="1">
        <f>2.19404963906431*(10.3/7.3)</f>
        <v>3.0957138742962234</v>
      </c>
      <c r="E6324" s="1">
        <f>7.74374830344457*(10.3/7.3)</f>
        <v>10.926110619928634</v>
      </c>
      <c r="F6324" s="1">
        <f>16.0922637130023*(38.9/42.5)</f>
        <v>14.729154316136242</v>
      </c>
      <c r="G6324" s="1">
        <v>0.62130598723593389</v>
      </c>
      <c r="H6324" s="1">
        <v>4.7997979899109202</v>
      </c>
      <c r="I6324" s="1">
        <v>12.048977444226841</v>
      </c>
      <c r="J6324" s="1">
        <v>4.5861703445404474E-2</v>
      </c>
      <c r="K6324" s="1">
        <v>7.0235969102873019</v>
      </c>
      <c r="L6324" s="1">
        <v>1.8958487244969604</v>
      </c>
      <c r="M6324" s="1">
        <v>0.14737683753345102</v>
      </c>
      <c r="N6324" s="1">
        <v>1.6035368674311885</v>
      </c>
      <c r="O6324" s="1">
        <v>8.2021818181818168E-2</v>
      </c>
      <c r="P6324" s="1">
        <v>6.8691525418634228E-2</v>
      </c>
      <c r="Q6324" s="1">
        <v>0.99295477412135658</v>
      </c>
      <c r="R6324" s="2">
        <f t="shared" si="395"/>
        <v>49.674181159444096</v>
      </c>
      <c r="S6324" s="2">
        <f t="shared" si="394"/>
        <v>7.1381501391513407</v>
      </c>
      <c r="T6324" s="2">
        <f t="shared" si="396"/>
        <v>3.7287842476434183</v>
      </c>
      <c r="U6324" s="2">
        <f t="shared" si="397"/>
        <v>60.541115546238856</v>
      </c>
    </row>
    <row r="6325" spans="1:21" x14ac:dyDescent="0.25">
      <c r="A6325">
        <v>685961</v>
      </c>
      <c r="B6325">
        <v>18</v>
      </c>
      <c r="C6325" s="1">
        <f>1.53955272439708*(10.3/7.3)</f>
        <v>2.1722456248342392</v>
      </c>
      <c r="D6325" s="1">
        <f>2.02955407924413*(10.3/7.3)</f>
        <v>2.863617399481444</v>
      </c>
      <c r="E6325" s="1">
        <f>7.12295433022894*(10.3/7.3)</f>
        <v>10.050195835802477</v>
      </c>
      <c r="F6325" s="1">
        <f>16.0972436323723*(38.9/42.5)</f>
        <v>14.733712407041944</v>
      </c>
      <c r="G6325" s="1">
        <v>0.68562659492280942</v>
      </c>
      <c r="H6325" s="1">
        <v>3.8687526577803553</v>
      </c>
      <c r="I6325" s="1">
        <v>12.077705752728498</v>
      </c>
      <c r="J6325" s="1">
        <v>3.8780996472639356E-2</v>
      </c>
      <c r="K6325" s="1">
        <v>4.7617843749071573</v>
      </c>
      <c r="L6325" s="1">
        <v>1.6018396280777625</v>
      </c>
      <c r="M6325" s="1">
        <v>0.12635742168114267</v>
      </c>
      <c r="N6325" s="1">
        <v>1.4968290782196836</v>
      </c>
      <c r="O6325" s="1">
        <v>7.5845925925925928E-2</v>
      </c>
      <c r="P6325" s="1">
        <v>6.4668767073342556E-2</v>
      </c>
      <c r="Q6325" s="1">
        <v>1.0957502658583724</v>
      </c>
      <c r="R6325" s="2">
        <f t="shared" si="395"/>
        <v>47.547606538450133</v>
      </c>
      <c r="S6325" s="2">
        <f t="shared" si="394"/>
        <v>4.8652341384531397</v>
      </c>
      <c r="T6325" s="2">
        <f t="shared" si="396"/>
        <v>3.3008720539045147</v>
      </c>
      <c r="U6325" s="2">
        <f t="shared" si="397"/>
        <v>55.713712730807785</v>
      </c>
    </row>
    <row r="6326" spans="1:21" x14ac:dyDescent="0.25">
      <c r="A6326">
        <v>685969</v>
      </c>
      <c r="B6326">
        <v>34</v>
      </c>
      <c r="C6326" s="1">
        <f>1.52956939708377*(10.3/7.3)</f>
        <v>2.1581595602688877</v>
      </c>
      <c r="D6326" s="1">
        <f>2.16468257119454*(10.3/7.3)</f>
        <v>3.0542781483977746</v>
      </c>
      <c r="E6326" s="1">
        <f>7.52500014131978*(10.3/7.3)</f>
        <v>10.617465952821064</v>
      </c>
      <c r="F6326" s="1">
        <f>19.5368726787747*(38.9/42.5)</f>
        <v>17.88198464010199</v>
      </c>
      <c r="G6326" s="1">
        <v>0.94519269298052511</v>
      </c>
      <c r="H6326" s="1">
        <v>5.1415948703968528</v>
      </c>
      <c r="I6326" s="1">
        <v>14.771514019247387</v>
      </c>
      <c r="J6326" s="1">
        <v>3.9137314654814133E-2</v>
      </c>
      <c r="K6326" s="1">
        <v>4.6242226982465215</v>
      </c>
      <c r="L6326" s="1">
        <v>1.5989818077030746</v>
      </c>
      <c r="M6326" s="1">
        <v>0.11597090796371474</v>
      </c>
      <c r="N6326" s="1">
        <v>1.5553568991723878</v>
      </c>
      <c r="O6326" s="1">
        <v>7.6312156862745076E-2</v>
      </c>
      <c r="P6326" s="1">
        <v>6.5660071610416426E-2</v>
      </c>
      <c r="Q6326" s="1">
        <v>1.5105819294209324</v>
      </c>
      <c r="R6326" s="2">
        <f t="shared" si="395"/>
        <v>56.080771813635415</v>
      </c>
      <c r="S6326" s="2">
        <f t="shared" si="394"/>
        <v>4.7290200845117525</v>
      </c>
      <c r="T6326" s="2">
        <f t="shared" si="396"/>
        <v>3.3466217717019222</v>
      </c>
      <c r="U6326" s="2">
        <f t="shared" si="397"/>
        <v>64.156413669849087</v>
      </c>
    </row>
    <row r="6327" spans="1:21" x14ac:dyDescent="0.25">
      <c r="A6327">
        <v>6862717</v>
      </c>
      <c r="B6327">
        <v>48</v>
      </c>
      <c r="C6327" s="1">
        <f>0.482323080243988*(10.3/7.3)</f>
        <v>0.68053804472781887</v>
      </c>
      <c r="D6327" s="1">
        <f>0.977603635288482*(10.3/7.3)</f>
        <v>1.3793585539001869</v>
      </c>
      <c r="E6327" s="1">
        <f>3.3151677567787*(10.3/7.3)</f>
        <v>4.6775654650439122</v>
      </c>
      <c r="F6327" s="1">
        <f>10.7601185162225*(38.9/42.5)</f>
        <v>9.8486731830836369</v>
      </c>
      <c r="G6327" s="1">
        <v>0.61259152463806632</v>
      </c>
      <c r="H6327" s="1">
        <v>2.382298783918086</v>
      </c>
      <c r="I6327" s="1">
        <v>7.9606251555254905</v>
      </c>
      <c r="J6327" s="1">
        <v>2.473840830505275E-2</v>
      </c>
      <c r="K6327" s="1">
        <v>2.3225975409577271</v>
      </c>
      <c r="L6327" s="1">
        <v>1.4462865176471766</v>
      </c>
      <c r="M6327" s="1">
        <v>0.22221104042372331</v>
      </c>
      <c r="N6327" s="1">
        <v>0.95664427290996079</v>
      </c>
      <c r="O6327" s="1">
        <v>0.22932333333333332</v>
      </c>
      <c r="P6327" s="1">
        <v>0.1012914861122825</v>
      </c>
      <c r="Q6327" s="1">
        <v>0.97902755079143133</v>
      </c>
      <c r="R6327" s="2">
        <f t="shared" si="395"/>
        <v>28.520678261628628</v>
      </c>
      <c r="S6327" s="2">
        <f t="shared" si="394"/>
        <v>2.4486274353750623</v>
      </c>
      <c r="T6327" s="2">
        <f t="shared" si="396"/>
        <v>2.8544651643141941</v>
      </c>
      <c r="U6327" s="2">
        <f t="shared" si="397"/>
        <v>33.823770861317882</v>
      </c>
    </row>
    <row r="6328" spans="1:21" x14ac:dyDescent="0.25">
      <c r="A6328">
        <v>6863149</v>
      </c>
      <c r="B6328">
        <v>51</v>
      </c>
      <c r="C6328" s="1">
        <f>1.56170217431762*(10.3/7.3)</f>
        <v>2.2034975884207557</v>
      </c>
      <c r="D6328" s="1">
        <f>3.23464281583466*(10.3/7.3)</f>
        <v>4.5639480826160206</v>
      </c>
      <c r="E6328" s="1">
        <f>10.9257059611559*(10.3/7.3)</f>
        <v>15.41572210957615</v>
      </c>
      <c r="F6328" s="1">
        <f>37.359521405778*(38.9/42.5)</f>
        <v>34.194950180818012</v>
      </c>
      <c r="G6328" s="1">
        <v>2.1810957691602448</v>
      </c>
      <c r="H6328" s="1">
        <v>9.172939365875763</v>
      </c>
      <c r="I6328" s="1">
        <v>27.85032058032504</v>
      </c>
      <c r="J6328" s="1">
        <v>2.3266900602080729E-2</v>
      </c>
      <c r="K6328" s="1">
        <v>1.9026376951639548</v>
      </c>
      <c r="L6328" s="1">
        <v>1.86242424258688</v>
      </c>
      <c r="M6328" s="1">
        <v>0.17837597469172473</v>
      </c>
      <c r="N6328" s="1">
        <v>1.0510461343255924</v>
      </c>
      <c r="O6328" s="1">
        <v>0.14117019607843137</v>
      </c>
      <c r="P6328" s="1">
        <v>8.3895147849322643E-2</v>
      </c>
      <c r="Q6328" s="1">
        <v>3.4857694940917203</v>
      </c>
      <c r="R6328" s="2">
        <f t="shared" si="395"/>
        <v>99.068243170883704</v>
      </c>
      <c r="S6328" s="2">
        <f t="shared" si="394"/>
        <v>2.0097997436153583</v>
      </c>
      <c r="T6328" s="2">
        <f t="shared" si="396"/>
        <v>3.2330165476826287</v>
      </c>
      <c r="U6328" s="2">
        <f t="shared" si="397"/>
        <v>104.31105946218169</v>
      </c>
    </row>
    <row r="6329" spans="1:21" x14ac:dyDescent="0.25">
      <c r="A6329">
        <v>6863157</v>
      </c>
      <c r="B6329">
        <v>56</v>
      </c>
      <c r="C6329" s="1">
        <f>1.29414965312459*(10.3/7.3)</f>
        <v>1.8259919763264834</v>
      </c>
      <c r="D6329" s="1">
        <f>2.79169867423448*(10.3/7.3)</f>
        <v>3.9389721020020794</v>
      </c>
      <c r="E6329" s="1">
        <f>9.46086098708341*(10.3/7.3)</f>
        <v>13.348886050268373</v>
      </c>
      <c r="F6329" s="1">
        <f>30.1863137044019*(38.9/42.5)</f>
        <v>27.629355367087857</v>
      </c>
      <c r="G6329" s="1">
        <v>1.7105304377619464</v>
      </c>
      <c r="H6329" s="1">
        <v>6.0671691421663008</v>
      </c>
      <c r="I6329" s="1">
        <v>22.061548212213246</v>
      </c>
      <c r="J6329" s="1">
        <v>2.124284189555712E-2</v>
      </c>
      <c r="K6329" s="1">
        <v>1.7759828389365098</v>
      </c>
      <c r="L6329" s="1">
        <v>1.6928325881987452</v>
      </c>
      <c r="M6329" s="1">
        <v>0.16522034203334263</v>
      </c>
      <c r="N6329" s="1">
        <v>0.94413140125708239</v>
      </c>
      <c r="O6329" s="1">
        <v>0.12941047619047621</v>
      </c>
      <c r="P6329" s="1">
        <v>7.8983979292421375E-2</v>
      </c>
      <c r="Q6329" s="1">
        <v>2.7337244439117891</v>
      </c>
      <c r="R6329" s="2">
        <f t="shared" si="395"/>
        <v>79.316177731738065</v>
      </c>
      <c r="S6329" s="2">
        <f t="shared" si="394"/>
        <v>1.8762096601244882</v>
      </c>
      <c r="T6329" s="2">
        <f t="shared" si="396"/>
        <v>2.9315948076796468</v>
      </c>
      <c r="U6329" s="2">
        <f t="shared" si="397"/>
        <v>84.123982199542198</v>
      </c>
    </row>
    <row r="6330" spans="1:21" x14ac:dyDescent="0.25">
      <c r="A6330">
        <v>6863285</v>
      </c>
      <c r="B6330">
        <v>21</v>
      </c>
      <c r="C6330" s="1">
        <f>3.04105277601787*(10.3/7.3)</f>
        <v>4.2908004921896019</v>
      </c>
      <c r="D6330" s="1">
        <f>5.99725591603999*(10.3/7.3)</f>
        <v>8.4618816349605286</v>
      </c>
      <c r="E6330" s="1">
        <f>20.4138106078778*(10.3/7.3)</f>
        <v>28.803047843992001</v>
      </c>
      <c r="F6330" s="1">
        <f>63.1323220968868*(38.9/42.5)</f>
        <v>57.784643048679939</v>
      </c>
      <c r="G6330" s="1">
        <v>3.5031287322142726</v>
      </c>
      <c r="H6330" s="1">
        <v>10.262167696120725</v>
      </c>
      <c r="I6330" s="1">
        <v>46.419521121025795</v>
      </c>
      <c r="J6330" s="1">
        <v>3.3446952587612919E-2</v>
      </c>
      <c r="K6330" s="1">
        <v>2.2891169244235279</v>
      </c>
      <c r="L6330" s="1">
        <v>2.3183505710386818</v>
      </c>
      <c r="M6330" s="1">
        <v>0.1849778565203678</v>
      </c>
      <c r="N6330" s="1">
        <v>1.4106448935773226</v>
      </c>
      <c r="O6330" s="1">
        <v>0.15547936507936508</v>
      </c>
      <c r="P6330" s="1">
        <v>9.7302283393032721E-2</v>
      </c>
      <c r="Q6330" s="1">
        <v>5.5986075628995273</v>
      </c>
      <c r="R6330" s="2">
        <f t="shared" si="395"/>
        <v>165.12379813208241</v>
      </c>
      <c r="S6330" s="2">
        <f t="shared" si="394"/>
        <v>2.4198661604041733</v>
      </c>
      <c r="T6330" s="2">
        <f t="shared" si="396"/>
        <v>4.0694526862157367</v>
      </c>
      <c r="U6330" s="2">
        <f t="shared" si="397"/>
        <v>171.61311697870232</v>
      </c>
    </row>
    <row r="6331" spans="1:21" x14ac:dyDescent="0.25">
      <c r="A6331">
        <v>6863293</v>
      </c>
      <c r="B6331">
        <v>9</v>
      </c>
      <c r="C6331" s="1">
        <f>2.20206689030209*(10.3/7.3)</f>
        <v>3.1070258863166536</v>
      </c>
      <c r="D6331" s="1">
        <f>4.11952692269622*(10.3/7.3)</f>
        <v>5.812483192297405</v>
      </c>
      <c r="E6331" s="1">
        <f>14.0077767500731*(10.3/7.3)</f>
        <v>19.764397332294909</v>
      </c>
      <c r="F6331" s="1">
        <f>45.2078196515931*(38.9/42.5)</f>
        <v>41.378451398752269</v>
      </c>
      <c r="G6331" s="1">
        <v>2.5542156798214584</v>
      </c>
      <c r="H6331" s="1">
        <v>10.425110026686561</v>
      </c>
      <c r="I6331" s="1">
        <v>33.797305551472959</v>
      </c>
      <c r="J6331" s="1">
        <v>2.5727958781267383E-2</v>
      </c>
      <c r="K6331" s="1">
        <v>1.8424509642637052</v>
      </c>
      <c r="L6331" s="1">
        <v>1.7574876800520054</v>
      </c>
      <c r="M6331" s="1">
        <v>0.1465774926850027</v>
      </c>
      <c r="N6331" s="1">
        <v>1.1437840409282674</v>
      </c>
      <c r="O6331" s="1">
        <v>0.12147555555555556</v>
      </c>
      <c r="P6331" s="1">
        <v>7.9934559960028365E-2</v>
      </c>
      <c r="Q6331" s="1">
        <v>4.0820798535959426</v>
      </c>
      <c r="R6331" s="2">
        <f t="shared" si="395"/>
        <v>120.92106892123816</v>
      </c>
      <c r="S6331" s="2">
        <f t="shared" si="394"/>
        <v>1.9481134830050009</v>
      </c>
      <c r="T6331" s="2">
        <f t="shared" si="396"/>
        <v>3.1693247692208311</v>
      </c>
      <c r="U6331" s="2">
        <f t="shared" si="397"/>
        <v>126.038507173464</v>
      </c>
    </row>
    <row r="6332" spans="1:21" x14ac:dyDescent="0.25">
      <c r="A6332">
        <v>6863325</v>
      </c>
      <c r="B6332">
        <v>6</v>
      </c>
      <c r="C6332" s="1">
        <f>2.5666587847484*(10.3/7.3)</f>
        <v>3.6214500661518554</v>
      </c>
      <c r="D6332" s="1">
        <f>5.03287218044195*(10.3/7.3)</f>
        <v>7.1011758162400112</v>
      </c>
      <c r="E6332" s="1">
        <f>17.2016040892951*(10.3/7.3)</f>
        <v>24.270756454758899</v>
      </c>
      <c r="F6332" s="1">
        <f>49.7141268138842*(38.9/42.5)</f>
        <v>45.503047836708106</v>
      </c>
      <c r="G6332" s="1">
        <v>2.6576956896270612</v>
      </c>
      <c r="H6332" s="1">
        <v>9.6657699740840339</v>
      </c>
      <c r="I6332" s="1">
        <v>36.039186197139927</v>
      </c>
      <c r="J6332" s="1">
        <v>2.8628895749952341E-2</v>
      </c>
      <c r="K6332" s="1">
        <v>1.9619279084276124</v>
      </c>
      <c r="L6332" s="1">
        <v>1.8960278276378473</v>
      </c>
      <c r="M6332" s="1">
        <v>0.14721416497303758</v>
      </c>
      <c r="N6332" s="1">
        <v>1.2570335746955019</v>
      </c>
      <c r="O6332" s="1">
        <v>0.12957333333333335</v>
      </c>
      <c r="P6332" s="1">
        <v>8.4079056530436527E-2</v>
      </c>
      <c r="Q6332" s="1">
        <v>4.2474588647007865</v>
      </c>
      <c r="R6332" s="2">
        <f t="shared" si="395"/>
        <v>133.10654089941067</v>
      </c>
      <c r="S6332" s="2">
        <f t="shared" si="394"/>
        <v>2.0746358607080011</v>
      </c>
      <c r="T6332" s="2">
        <f t="shared" si="396"/>
        <v>3.4298489006397204</v>
      </c>
      <c r="U6332" s="2">
        <f t="shared" si="397"/>
        <v>138.6110256607584</v>
      </c>
    </row>
    <row r="6333" spans="1:21" x14ac:dyDescent="0.25">
      <c r="A6333">
        <v>6863333</v>
      </c>
      <c r="B6333">
        <v>33</v>
      </c>
      <c r="C6333" s="1">
        <f>4.1435744991395*(10.3/7.3)</f>
        <v>5.8464133344023104</v>
      </c>
      <c r="D6333" s="1">
        <f>8.09720409327413*(10.3/7.3)</f>
        <v>11.424822213797752</v>
      </c>
      <c r="E6333" s="1">
        <f>27.7103647287212*(10.3/7.3)</f>
        <v>39.098185850113516</v>
      </c>
      <c r="F6333" s="1">
        <f>78.4131950270177*(38.9/42.5)</f>
        <v>71.771136154140919</v>
      </c>
      <c r="G6333" s="1">
        <v>4.1396013935188929</v>
      </c>
      <c r="H6333" s="1">
        <v>9.6212366369209654</v>
      </c>
      <c r="I6333" s="1">
        <v>56.59622066540576</v>
      </c>
      <c r="J6333" s="1">
        <v>3.9979465800511482E-2</v>
      </c>
      <c r="K6333" s="1">
        <v>2.5424114138301026</v>
      </c>
      <c r="L6333" s="1">
        <v>2.5493388352616551</v>
      </c>
      <c r="M6333" s="1">
        <v>0.19148224739290526</v>
      </c>
      <c r="N6333" s="1">
        <v>1.6760169105496661</v>
      </c>
      <c r="O6333" s="1">
        <v>0.1663660606060606</v>
      </c>
      <c r="P6333" s="1">
        <v>0.10587903205629856</v>
      </c>
      <c r="Q6333" s="1">
        <v>6.6158013138429839</v>
      </c>
      <c r="R6333" s="2">
        <f t="shared" si="395"/>
        <v>205.11341756214307</v>
      </c>
      <c r="S6333" s="2">
        <f t="shared" si="394"/>
        <v>2.6882699116869126</v>
      </c>
      <c r="T6333" s="2">
        <f t="shared" si="396"/>
        <v>4.5832040538102872</v>
      </c>
      <c r="U6333" s="2">
        <f t="shared" si="397"/>
        <v>212.38489152764026</v>
      </c>
    </row>
    <row r="6334" spans="1:21" x14ac:dyDescent="0.25">
      <c r="A6334">
        <v>6863341</v>
      </c>
      <c r="B6334">
        <v>58</v>
      </c>
      <c r="C6334" s="1">
        <f>4.28026350267866*(10.3/7.3)</f>
        <v>6.0392759010397485</v>
      </c>
      <c r="D6334" s="1">
        <f>8.38440085488169*(10.3/7.3)</f>
        <v>11.830045041819369</v>
      </c>
      <c r="E6334" s="1">
        <f>28.7475713763983*(10.3/7.3)</f>
        <v>40.561641805055167</v>
      </c>
      <c r="F6334" s="1">
        <f>78.4561275547573*(38.9/42.5)</f>
        <v>71.810432044236663</v>
      </c>
      <c r="G6334" s="1">
        <v>4.0519934484766242</v>
      </c>
      <c r="H6334" s="1">
        <v>10.759673705594864</v>
      </c>
      <c r="I6334" s="1">
        <v>56.109485510255986</v>
      </c>
      <c r="J6334" s="1">
        <v>3.8771762220784559E-2</v>
      </c>
      <c r="K6334" s="1">
        <v>2.5497445675402304</v>
      </c>
      <c r="L6334" s="1">
        <v>2.5375899180187331</v>
      </c>
      <c r="M6334" s="1">
        <v>0.18963828395240925</v>
      </c>
      <c r="N6334" s="1">
        <v>1.8700425230335069</v>
      </c>
      <c r="O6334" s="1">
        <v>0.16526896551724141</v>
      </c>
      <c r="P6334" s="1">
        <v>0.10555267488542537</v>
      </c>
      <c r="Q6334" s="1">
        <v>6.475788616286847</v>
      </c>
      <c r="R6334" s="2">
        <f t="shared" si="395"/>
        <v>207.63833607276527</v>
      </c>
      <c r="S6334" s="2">
        <f t="shared" si="394"/>
        <v>2.6940690046464399</v>
      </c>
      <c r="T6334" s="2">
        <f t="shared" si="396"/>
        <v>4.7625396905218906</v>
      </c>
      <c r="U6334" s="2">
        <f t="shared" si="397"/>
        <v>215.09494476793361</v>
      </c>
    </row>
    <row r="6335" spans="1:21" x14ac:dyDescent="0.25">
      <c r="A6335">
        <v>6863349</v>
      </c>
      <c r="B6335">
        <v>67</v>
      </c>
      <c r="C6335" s="1">
        <f>4.10832648487559*(10.3/7.3)</f>
        <v>5.7966798348244657</v>
      </c>
      <c r="D6335" s="1">
        <f>8.27708503519458*(10.3/7.3)</f>
        <v>11.678626830480024</v>
      </c>
      <c r="E6335" s="1">
        <f>28.4625258258884*(10.3/7.3)</f>
        <v>40.159454247486359</v>
      </c>
      <c r="F6335" s="1">
        <f>72.2542778611278*(38.9/42.5)</f>
        <v>66.133915501126395</v>
      </c>
      <c r="G6335" s="1">
        <v>3.5641457713940068</v>
      </c>
      <c r="H6335" s="1">
        <v>8.4285484092645593</v>
      </c>
      <c r="I6335" s="1">
        <v>50.442240622981863</v>
      </c>
      <c r="J6335" s="1">
        <v>3.5721189170245082E-2</v>
      </c>
      <c r="K6335" s="1">
        <v>2.3926634058902176</v>
      </c>
      <c r="L6335" s="1">
        <v>2.3419184345755588</v>
      </c>
      <c r="M6335" s="1">
        <v>0.17724959324233763</v>
      </c>
      <c r="N6335" s="1">
        <v>1.6926442709131109</v>
      </c>
      <c r="O6335" s="1">
        <v>0.15350049751243777</v>
      </c>
      <c r="P6335" s="1">
        <v>9.9407690339312335E-2</v>
      </c>
      <c r="Q6335" s="1">
        <v>5.6961233789401993</v>
      </c>
      <c r="R6335" s="2">
        <f t="shared" si="395"/>
        <v>191.89973459649789</v>
      </c>
      <c r="S6335" s="2">
        <f t="shared" si="394"/>
        <v>2.5277922853997747</v>
      </c>
      <c r="T6335" s="2">
        <f t="shared" si="396"/>
        <v>4.3653127962434448</v>
      </c>
      <c r="U6335" s="2">
        <f t="shared" si="397"/>
        <v>198.79283967814112</v>
      </c>
    </row>
    <row r="6336" spans="1:21" x14ac:dyDescent="0.25">
      <c r="A6336">
        <v>6863357</v>
      </c>
      <c r="B6336">
        <v>51</v>
      </c>
      <c r="C6336" s="1">
        <f>5.0870376234796*(10.3/7.3)</f>
        <v>7.1776010303890247</v>
      </c>
      <c r="D6336" s="1">
        <f>12.2342876463916*(10.3/7.3)</f>
        <v>17.262077090114161</v>
      </c>
      <c r="E6336" s="1">
        <f>42.1369897078688*(10.3/7.3)</f>
        <v>59.453560820691671</v>
      </c>
      <c r="F6336" s="1">
        <f>93.6448705834918*(38.9/42.5)</f>
        <v>85.712599192890167</v>
      </c>
      <c r="G6336" s="1">
        <v>4.2283463589256867</v>
      </c>
      <c r="H6336" s="1">
        <v>9.6802930812153303</v>
      </c>
      <c r="I6336" s="1">
        <v>60.517745027333788</v>
      </c>
      <c r="J6336" s="1">
        <v>4.1048253946888484E-2</v>
      </c>
      <c r="K6336" s="1">
        <v>2.6536255120664256</v>
      </c>
      <c r="L6336" s="1">
        <v>2.6108161652056312</v>
      </c>
      <c r="M6336" s="1">
        <v>0.19408525856837669</v>
      </c>
      <c r="N6336" s="1">
        <v>2.2652410732219082</v>
      </c>
      <c r="O6336" s="1">
        <v>0.16832627450980389</v>
      </c>
      <c r="P6336" s="1">
        <v>0.10825802142952141</v>
      </c>
      <c r="Q6336" s="1">
        <v>6.7576311672328417</v>
      </c>
      <c r="R6336" s="2">
        <f t="shared" si="395"/>
        <v>250.78985376879263</v>
      </c>
      <c r="S6336" s="2">
        <f t="shared" si="394"/>
        <v>2.8029317874428354</v>
      </c>
      <c r="T6336" s="2">
        <f t="shared" si="396"/>
        <v>5.2384687715057199</v>
      </c>
      <c r="U6336" s="2">
        <f t="shared" si="397"/>
        <v>258.83125432774119</v>
      </c>
    </row>
    <row r="6337" spans="1:21" x14ac:dyDescent="0.25">
      <c r="A6337">
        <v>6874945</v>
      </c>
      <c r="B6337">
        <v>32</v>
      </c>
      <c r="C6337" s="1">
        <f>0.384721258109422*(10.3/7.3)</f>
        <v>0.54282588472973303</v>
      </c>
      <c r="D6337" s="1">
        <f>0.739391388729767*(10.3/7.3)</f>
        <v>1.0432508635502187</v>
      </c>
      <c r="E6337" s="1">
        <f>2.5173922835998*(10.3/7.3)</f>
        <v>3.5519370576819069</v>
      </c>
      <c r="F6337" s="1">
        <f>7.85254480904883*(38.9/42.5)</f>
        <v>7.1873880722823387</v>
      </c>
      <c r="G6337" s="1">
        <v>0.43692847069412599</v>
      </c>
      <c r="H6337" s="1">
        <v>1.6967898087759181</v>
      </c>
      <c r="I6337" s="1">
        <v>5.8068766132710303</v>
      </c>
      <c r="J6337" s="1">
        <v>2.2307582952636268E-2</v>
      </c>
      <c r="K6337" s="1">
        <v>2.0150127074453672</v>
      </c>
      <c r="L6337" s="1">
        <v>1.2207937262455804</v>
      </c>
      <c r="M6337" s="1">
        <v>0.19214274932125394</v>
      </c>
      <c r="N6337" s="1">
        <v>0.78565325755069082</v>
      </c>
      <c r="O6337" s="1">
        <v>0.19585333333333335</v>
      </c>
      <c r="P6337" s="1">
        <v>9.058701403290334E-2</v>
      </c>
      <c r="Q6337" s="1">
        <v>0.69828751024175439</v>
      </c>
      <c r="R6337" s="2">
        <f t="shared" si="395"/>
        <v>20.964284281227027</v>
      </c>
      <c r="S6337" s="2">
        <f t="shared" si="394"/>
        <v>2.1279073044309071</v>
      </c>
      <c r="T6337" s="2">
        <f t="shared" si="396"/>
        <v>2.3944430664508585</v>
      </c>
      <c r="U6337" s="2">
        <f t="shared" si="397"/>
        <v>25.486634652108791</v>
      </c>
    </row>
    <row r="6338" spans="1:21" x14ac:dyDescent="0.25">
      <c r="A6338">
        <v>6874953</v>
      </c>
      <c r="B6338">
        <v>1</v>
      </c>
      <c r="C6338" s="1">
        <f>0.46600141391268*(10.3/7.3)</f>
        <v>0.65750884428775425</v>
      </c>
      <c r="D6338" s="1">
        <f>0.942205351970848*(10.3/7.3)</f>
        <v>1.329413030862977</v>
      </c>
      <c r="E6338" s="1">
        <f>3.19419883234091*(10.3/7.3)</f>
        <v>4.506883283987853</v>
      </c>
      <c r="F6338" s="1">
        <f>10.4270454534661*(38.9/42.5)</f>
        <v>9.5438133679959982</v>
      </c>
      <c r="G6338" s="1">
        <v>0.59516503796371856</v>
      </c>
      <c r="H6338" s="1">
        <v>2.3920051428480416</v>
      </c>
      <c r="I6338" s="1">
        <v>7.7259259756011112</v>
      </c>
      <c r="J6338" s="1">
        <v>2.3150919699383425E-2</v>
      </c>
      <c r="K6338" s="1">
        <v>2.2355730086100638</v>
      </c>
      <c r="L6338" s="1">
        <v>1.3623390723414943</v>
      </c>
      <c r="M6338" s="1">
        <v>0.21149432981199218</v>
      </c>
      <c r="N6338" s="1">
        <v>1.303131778997209</v>
      </c>
      <c r="O6338" s="1">
        <v>0.21818666666666667</v>
      </c>
      <c r="P6338" s="1">
        <v>9.736609771925446E-2</v>
      </c>
      <c r="Q6338" s="1">
        <v>0.95117700131187988</v>
      </c>
      <c r="R6338" s="2">
        <f t="shared" si="395"/>
        <v>27.701891684859334</v>
      </c>
      <c r="S6338" s="2">
        <f t="shared" si="394"/>
        <v>2.3560900260287019</v>
      </c>
      <c r="T6338" s="2">
        <f t="shared" si="396"/>
        <v>3.0951518478173621</v>
      </c>
      <c r="U6338" s="2">
        <f t="shared" si="397"/>
        <v>33.153133558705399</v>
      </c>
    </row>
    <row r="6339" spans="1:21" x14ac:dyDescent="0.25">
      <c r="A6339">
        <v>6875377</v>
      </c>
      <c r="B6339">
        <v>21</v>
      </c>
      <c r="C6339" s="1">
        <f>1.53537698251824*(10.3/7.3)</f>
        <v>2.1663538246490264</v>
      </c>
      <c r="D6339" s="1">
        <f>3.0764656152487*(10.3/7.3)</f>
        <v>4.3407665530221387</v>
      </c>
      <c r="E6339" s="1">
        <f>10.3896291422414*(10.3/7.3)</f>
        <v>14.659339748641916</v>
      </c>
      <c r="F6339" s="1">
        <f>36.1234091496355*(38.9/42.5)</f>
        <v>33.063543904019305</v>
      </c>
      <c r="G6339" s="1">
        <v>2.1206078704648701</v>
      </c>
      <c r="H6339" s="1">
        <v>9.9425746563917983</v>
      </c>
      <c r="I6339" s="1">
        <v>27.131776805975132</v>
      </c>
      <c r="J6339" s="1">
        <v>2.3597466380500216E-2</v>
      </c>
      <c r="K6339" s="1">
        <v>1.8835609426795454</v>
      </c>
      <c r="L6339" s="1">
        <v>1.8360393868819642</v>
      </c>
      <c r="M6339" s="1">
        <v>0.17632763807803062</v>
      </c>
      <c r="N6339" s="1">
        <v>1.0294324165630051</v>
      </c>
      <c r="O6339" s="1">
        <v>0.13931936507936507</v>
      </c>
      <c r="P6339" s="1">
        <v>8.3261360761428108E-2</v>
      </c>
      <c r="Q6339" s="1">
        <v>3.3890993363593855</v>
      </c>
      <c r="R6339" s="2">
        <f t="shared" si="395"/>
        <v>96.814062699523561</v>
      </c>
      <c r="S6339" s="2">
        <f t="shared" si="394"/>
        <v>1.9904197698214738</v>
      </c>
      <c r="T6339" s="2">
        <f t="shared" si="396"/>
        <v>3.1811188066023646</v>
      </c>
      <c r="U6339" s="2">
        <f t="shared" si="397"/>
        <v>101.9856012759474</v>
      </c>
    </row>
    <row r="6340" spans="1:21" x14ac:dyDescent="0.25">
      <c r="A6340">
        <v>6875385</v>
      </c>
      <c r="B6340">
        <v>69</v>
      </c>
      <c r="C6340" s="1">
        <f>1.588445448821*(10.3/7.3)</f>
        <v>2.2412312497063396</v>
      </c>
      <c r="D6340" s="1">
        <f>3.29840149827953*(10.3/7.3)</f>
        <v>4.6539089633259163</v>
      </c>
      <c r="E6340" s="1">
        <f>11.1574797710666*(10.3/7.3)</f>
        <v>15.742745430408986</v>
      </c>
      <c r="F6340" s="1">
        <f>37.2595948541307*(38.9/42.5)</f>
        <v>34.103487995898419</v>
      </c>
      <c r="G6340" s="1">
        <v>2.1525697671878929</v>
      </c>
      <c r="H6340" s="1">
        <v>7.0291065324321451</v>
      </c>
      <c r="I6340" s="1">
        <v>27.635543243074508</v>
      </c>
      <c r="J6340" s="1">
        <v>2.3516819153810226E-2</v>
      </c>
      <c r="K6340" s="1">
        <v>1.931237144535197</v>
      </c>
      <c r="L6340" s="1">
        <v>1.8880025969711001</v>
      </c>
      <c r="M6340" s="1">
        <v>0.18006611954039073</v>
      </c>
      <c r="N6340" s="1">
        <v>1.0690464800626915</v>
      </c>
      <c r="O6340" s="1">
        <v>0.14299671497584548</v>
      </c>
      <c r="P6340" s="1">
        <v>8.5139003819197923E-2</v>
      </c>
      <c r="Q6340" s="1">
        <v>3.4401799932226642</v>
      </c>
      <c r="R6340" s="2">
        <f t="shared" si="395"/>
        <v>96.998773175256886</v>
      </c>
      <c r="S6340" s="2">
        <f t="shared" si="394"/>
        <v>2.0398929675082051</v>
      </c>
      <c r="T6340" s="2">
        <f t="shared" si="396"/>
        <v>3.2801119115500277</v>
      </c>
      <c r="U6340" s="2">
        <f t="shared" si="397"/>
        <v>102.31877805431512</v>
      </c>
    </row>
    <row r="6341" spans="1:21" x14ac:dyDescent="0.25">
      <c r="A6341">
        <v>6875393</v>
      </c>
      <c r="B6341">
        <v>5</v>
      </c>
      <c r="C6341" s="1">
        <f>1.29667880609754*(10.3/7.3)</f>
        <v>1.8295605072335155</v>
      </c>
      <c r="D6341" s="1">
        <f>2.73828007279309*(10.3/7.3)</f>
        <v>3.863600650653261</v>
      </c>
      <c r="E6341" s="1">
        <f>9.27560213091472*(10.3/7.3)</f>
        <v>13.087493417592007</v>
      </c>
      <c r="F6341" s="1">
        <f>30.0882535271603*(38.9/42.5)</f>
        <v>27.539601463683198</v>
      </c>
      <c r="G6341" s="1">
        <v>1.7165044668007154</v>
      </c>
      <c r="H6341" s="1">
        <v>5.9469258599890091</v>
      </c>
      <c r="I6341" s="1">
        <v>22.132290047922741</v>
      </c>
      <c r="J6341" s="1">
        <v>2.1507951204588472E-2</v>
      </c>
      <c r="K6341" s="1">
        <v>1.794576053183722</v>
      </c>
      <c r="L6341" s="1">
        <v>1.7057459375325734</v>
      </c>
      <c r="M6341" s="1">
        <v>0.16582380450968431</v>
      </c>
      <c r="N6341" s="1">
        <v>0.95895254893047199</v>
      </c>
      <c r="O6341" s="1">
        <v>0.13044266666666665</v>
      </c>
      <c r="P6341" s="1">
        <v>7.9501821747942791E-2</v>
      </c>
      <c r="Q6341" s="1">
        <v>2.743271978905256</v>
      </c>
      <c r="R6341" s="2">
        <f t="shared" si="395"/>
        <v>78.859248392779705</v>
      </c>
      <c r="S6341" s="2">
        <f t="shared" si="394"/>
        <v>1.8955858261362533</v>
      </c>
      <c r="T6341" s="2">
        <f t="shared" si="396"/>
        <v>2.9609649576393964</v>
      </c>
      <c r="U6341" s="2">
        <f t="shared" si="397"/>
        <v>83.71579917655535</v>
      </c>
    </row>
    <row r="6342" spans="1:21" x14ac:dyDescent="0.25">
      <c r="A6342">
        <v>6875521</v>
      </c>
      <c r="B6342">
        <v>29</v>
      </c>
      <c r="C6342" s="1">
        <f>2.5995132807396*(10.3/7.3)</f>
        <v>3.6678064098106717</v>
      </c>
      <c r="D6342" s="1">
        <f>5.03129687340845*(10.3/7.3)</f>
        <v>7.0989531227543914</v>
      </c>
      <c r="E6342" s="1">
        <f>17.1240603796418*(10.3/7.3)</f>
        <v>24.161345467165866</v>
      </c>
      <c r="F6342" s="1">
        <f>53.5350055481808*(38.9/42.5)</f>
        <v>49.000275666452552</v>
      </c>
      <c r="G6342" s="1">
        <v>2.9835393260970058</v>
      </c>
      <c r="H6342" s="1">
        <v>9.9118519814532355</v>
      </c>
      <c r="I6342" s="1">
        <v>39.564655666713129</v>
      </c>
      <c r="J6342" s="1">
        <v>3.0146645838698072E-2</v>
      </c>
      <c r="K6342" s="1">
        <v>2.1013157700615936</v>
      </c>
      <c r="L6342" s="1">
        <v>2.0769359490611774</v>
      </c>
      <c r="M6342" s="1">
        <v>0.16876398231009454</v>
      </c>
      <c r="N6342" s="1">
        <v>1.3049360756886168</v>
      </c>
      <c r="O6342" s="1">
        <v>0.14111448275862068</v>
      </c>
      <c r="P6342" s="1">
        <v>9.0065055595219073E-2</v>
      </c>
      <c r="Q6342" s="1">
        <v>4.7682135348582335</v>
      </c>
      <c r="R6342" s="2">
        <f t="shared" si="395"/>
        <v>141.15664117530508</v>
      </c>
      <c r="S6342" s="2">
        <f t="shared" si="394"/>
        <v>2.2215274714955107</v>
      </c>
      <c r="T6342" s="2">
        <f t="shared" si="396"/>
        <v>3.6917504898185092</v>
      </c>
      <c r="U6342" s="2">
        <f t="shared" si="397"/>
        <v>147.06991913661909</v>
      </c>
    </row>
    <row r="6343" spans="1:21" x14ac:dyDescent="0.25">
      <c r="A6343">
        <v>6875569</v>
      </c>
      <c r="B6343">
        <v>14</v>
      </c>
      <c r="C6343" s="1">
        <f>3.53151120349345*(10.3/7.3)</f>
        <v>4.9828171775318566</v>
      </c>
      <c r="D6343" s="1">
        <f>7.01953062458054*(10.3/7.3)</f>
        <v>9.9042692374218575</v>
      </c>
      <c r="E6343" s="1">
        <f>23.9975107481599*(10.3/7.3)</f>
        <v>33.859501466581804</v>
      </c>
      <c r="F6343" s="1">
        <f>68.5706422767319*(38.9/42.5)</f>
        <v>62.762305519173474</v>
      </c>
      <c r="G6343" s="1">
        <v>3.6452689826812832</v>
      </c>
      <c r="H6343" s="1">
        <v>9.5244484272369299</v>
      </c>
      <c r="I6343" s="1">
        <v>49.466187671328989</v>
      </c>
      <c r="J6343" s="1">
        <v>3.4977334742716339E-2</v>
      </c>
      <c r="K6343" s="1">
        <v>2.3066865629860298</v>
      </c>
      <c r="L6343" s="1">
        <v>2.2725470811956066</v>
      </c>
      <c r="M6343" s="1">
        <v>0.17212583840404649</v>
      </c>
      <c r="N6343" s="1">
        <v>1.7253801972429064</v>
      </c>
      <c r="O6343" s="1">
        <v>0.14979428571428571</v>
      </c>
      <c r="P6343" s="1">
        <v>9.6268591459087199E-2</v>
      </c>
      <c r="Q6343" s="1">
        <v>5.8257723467509157</v>
      </c>
      <c r="R6343" s="2">
        <f t="shared" si="395"/>
        <v>179.97057082870711</v>
      </c>
      <c r="S6343" s="2">
        <f t="shared" si="394"/>
        <v>2.4379324891878333</v>
      </c>
      <c r="T6343" s="2">
        <f t="shared" si="396"/>
        <v>4.3198474025568459</v>
      </c>
      <c r="U6343" s="2">
        <f t="shared" si="397"/>
        <v>186.72835072045177</v>
      </c>
    </row>
    <row r="6344" spans="1:21" x14ac:dyDescent="0.25">
      <c r="A6344">
        <v>6875577</v>
      </c>
      <c r="B6344">
        <v>66</v>
      </c>
      <c r="C6344" s="1">
        <f>4.66679113456612*(10.3/7.3)</f>
        <v>6.5846505049357553</v>
      </c>
      <c r="D6344" s="1">
        <f>9.19824858144531*(10.3/7.3)</f>
        <v>12.978350738203654</v>
      </c>
      <c r="E6344" s="1">
        <f>31.5585309956998*(10.3/7.3)</f>
        <v>44.527790309001027</v>
      </c>
      <c r="F6344" s="1">
        <f>84.785590037915*(38.9/42.5)</f>
        <v>77.603751822938676</v>
      </c>
      <c r="G6344" s="1">
        <v>4.337430505268637</v>
      </c>
      <c r="H6344" s="1">
        <v>9.9642196759402779</v>
      </c>
      <c r="I6344" s="1">
        <v>60.331426422531301</v>
      </c>
      <c r="J6344" s="1">
        <v>4.072292653154895E-2</v>
      </c>
      <c r="K6344" s="1">
        <v>2.671130117457408</v>
      </c>
      <c r="L6344" s="1">
        <v>2.6609078324910538</v>
      </c>
      <c r="M6344" s="1">
        <v>0.1993015688663653</v>
      </c>
      <c r="N6344" s="1">
        <v>1.8163298792959606</v>
      </c>
      <c r="O6344" s="1">
        <v>0.17230626262626256</v>
      </c>
      <c r="P6344" s="1">
        <v>0.10989429395820649</v>
      </c>
      <c r="Q6344" s="1">
        <v>6.9319665609316212</v>
      </c>
      <c r="R6344" s="2">
        <f t="shared" si="395"/>
        <v>223.25958653975096</v>
      </c>
      <c r="S6344" s="2">
        <f t="shared" si="394"/>
        <v>2.8217473379471634</v>
      </c>
      <c r="T6344" s="2">
        <f t="shared" si="396"/>
        <v>4.8488455432796425</v>
      </c>
      <c r="U6344" s="2">
        <f t="shared" si="397"/>
        <v>230.93017942097777</v>
      </c>
    </row>
    <row r="6345" spans="1:21" x14ac:dyDescent="0.25">
      <c r="A6345">
        <v>6875585</v>
      </c>
      <c r="B6345">
        <v>68</v>
      </c>
      <c r="C6345" s="1">
        <f>3.767131766851*(10.3/7.3)</f>
        <v>5.3152681093925045</v>
      </c>
      <c r="D6345" s="1">
        <f>7.75081540426118*(10.3/7.3)</f>
        <v>10.936082008752072</v>
      </c>
      <c r="E6345" s="1">
        <f>26.6579419137504*(10.3/7.3)</f>
        <v>37.613260508442387</v>
      </c>
      <c r="F6345" s="1">
        <f>66.6078431280313*(38.9/42.5)</f>
        <v>60.965767004245151</v>
      </c>
      <c r="G6345" s="1">
        <v>3.2544449058379392</v>
      </c>
      <c r="H6345" s="1">
        <v>7.8422802576055872</v>
      </c>
      <c r="I6345" s="1">
        <v>46.109183360201186</v>
      </c>
      <c r="J6345" s="1">
        <v>3.3708385047674254E-2</v>
      </c>
      <c r="K6345" s="1">
        <v>2.2846485247449198</v>
      </c>
      <c r="L6345" s="1">
        <v>2.1975895697976964</v>
      </c>
      <c r="M6345" s="1">
        <v>0.16775903648768056</v>
      </c>
      <c r="N6345" s="1">
        <v>1.592686134806816</v>
      </c>
      <c r="O6345" s="1">
        <v>0.14490745098039215</v>
      </c>
      <c r="P6345" s="1">
        <v>9.4755877051213799E-2</v>
      </c>
      <c r="Q6345" s="1">
        <v>5.2011676577318724</v>
      </c>
      <c r="R6345" s="2">
        <f t="shared" si="395"/>
        <v>177.23745381220871</v>
      </c>
      <c r="S6345" s="2">
        <f t="shared" ref="S6345:S6408" si="398">J6345+K6345+P6345</f>
        <v>2.4131127868438078</v>
      </c>
      <c r="T6345" s="2">
        <f t="shared" si="396"/>
        <v>4.102942192072585</v>
      </c>
      <c r="U6345" s="2">
        <f t="shared" si="397"/>
        <v>183.75350879112511</v>
      </c>
    </row>
    <row r="6346" spans="1:21" x14ac:dyDescent="0.25">
      <c r="A6346">
        <v>6875593</v>
      </c>
      <c r="B6346">
        <v>12</v>
      </c>
      <c r="C6346" s="1">
        <f>4.34625976834927*(10.3/7.3)</f>
        <v>6.1323939197256818</v>
      </c>
      <c r="D6346" s="1">
        <f>9.80328131037534*(10.3/7.3)</f>
        <v>13.832027054365204</v>
      </c>
      <c r="E6346" s="1">
        <f>33.7490470369553*(10.3/7.3)</f>
        <v>47.618518422005359</v>
      </c>
      <c r="F6346" s="1">
        <f>78.4884991769902*(38.9/42.5)</f>
        <v>71.840061599645125</v>
      </c>
      <c r="G6346" s="1">
        <v>3.6599198514165145</v>
      </c>
      <c r="H6346" s="1">
        <v>9.9308578444998332</v>
      </c>
      <c r="I6346" s="1">
        <v>52.201845644401239</v>
      </c>
      <c r="J6346" s="1">
        <v>3.5490156225374443E-2</v>
      </c>
      <c r="K6346" s="1">
        <v>2.3643048498236632</v>
      </c>
      <c r="L6346" s="1">
        <v>2.2809515095295319</v>
      </c>
      <c r="M6346" s="1">
        <v>0.17102644349819116</v>
      </c>
      <c r="N6346" s="1">
        <v>2.5275139621216574</v>
      </c>
      <c r="O6346" s="1">
        <v>0.14865777777777778</v>
      </c>
      <c r="P6346" s="1">
        <v>9.6824567154125477E-2</v>
      </c>
      <c r="Q6346" s="1">
        <v>5.8491869771496887</v>
      </c>
      <c r="R6346" s="2">
        <f t="shared" ref="R6346:R6409" si="399">C6346+D6346+E6346+F6346+G6346+H6346+I6346+Q6346</f>
        <v>211.06481131320859</v>
      </c>
      <c r="S6346" s="2">
        <f t="shared" si="398"/>
        <v>2.4966195732031635</v>
      </c>
      <c r="T6346" s="2">
        <f t="shared" ref="T6346:T6409" si="400">L6346+M6346+N6346+O6346</f>
        <v>5.1281496929271579</v>
      </c>
      <c r="U6346" s="2">
        <f t="shared" ref="U6346:U6409" si="401">R6346+S6346+T6346</f>
        <v>218.68958057933892</v>
      </c>
    </row>
    <row r="6347" spans="1:21" x14ac:dyDescent="0.25">
      <c r="A6347">
        <v>6887181</v>
      </c>
      <c r="B6347">
        <v>11</v>
      </c>
      <c r="C6347" s="1">
        <f>0.506152848868995*(10.3/7.3)</f>
        <v>0.71416086895214359</v>
      </c>
      <c r="D6347" s="1">
        <f>1.05804590738224*(10.3/7.3)</f>
        <v>1.492859293977687</v>
      </c>
      <c r="E6347" s="1">
        <f>3.57998574924518*(10.3/7.3)</f>
        <v>5.0512127694829205</v>
      </c>
      <c r="F6347" s="1">
        <f>11.8723095466578*(38.9/42.5)</f>
        <v>10.866655090940899</v>
      </c>
      <c r="G6347" s="1">
        <v>0.68395647871930676</v>
      </c>
      <c r="H6347" s="1">
        <v>2.3531618937933541</v>
      </c>
      <c r="I6347" s="1">
        <v>8.785470365622233</v>
      </c>
      <c r="J6347" s="1">
        <v>3.2227518281869622E-2</v>
      </c>
      <c r="K6347" s="1">
        <v>2.2055605109822931</v>
      </c>
      <c r="L6347" s="1">
        <v>1.4503522724111404</v>
      </c>
      <c r="M6347" s="1">
        <v>0.21929004528197946</v>
      </c>
      <c r="N6347" s="1">
        <v>1.0842648082701509</v>
      </c>
      <c r="O6347" s="1">
        <v>0.22601696969696972</v>
      </c>
      <c r="P6347" s="1">
        <v>9.6755380350486447E-2</v>
      </c>
      <c r="Q6347" s="1">
        <v>1.0930811303733226</v>
      </c>
      <c r="R6347" s="2">
        <f t="shared" si="399"/>
        <v>31.040557891861859</v>
      </c>
      <c r="S6347" s="2">
        <f t="shared" si="398"/>
        <v>2.3345434096146493</v>
      </c>
      <c r="T6347" s="2">
        <f t="shared" si="400"/>
        <v>2.9799240956602406</v>
      </c>
      <c r="U6347" s="2">
        <f t="shared" si="401"/>
        <v>36.355025397136743</v>
      </c>
    </row>
    <row r="6348" spans="1:21" x14ac:dyDescent="0.25">
      <c r="A6348">
        <v>6887189</v>
      </c>
      <c r="B6348">
        <v>3</v>
      </c>
      <c r="C6348" s="1">
        <f>0.515256834015701*(10.3/7.3)</f>
        <v>0.72700621785777053</v>
      </c>
      <c r="D6348" s="1">
        <f>1.12675130937837*(10.3/7.3)</f>
        <v>1.5897997926845477</v>
      </c>
      <c r="E6348" s="1">
        <f>3.79091111299801*(10.3/7.3)</f>
        <v>5.3488197895725405</v>
      </c>
      <c r="F6348" s="1">
        <f>13.4484492609087*(38.9/42.5)</f>
        <v>12.30928649998471</v>
      </c>
      <c r="G6348" s="1">
        <v>0.79977649053209987</v>
      </c>
      <c r="H6348" s="1">
        <v>4.8348444538771913</v>
      </c>
      <c r="I6348" s="1">
        <v>10.030429740834171</v>
      </c>
      <c r="J6348" s="1">
        <v>2.7583653224424215E-2</v>
      </c>
      <c r="K6348" s="1">
        <v>2.3930958368862734</v>
      </c>
      <c r="L6348" s="1">
        <v>1.5622424771888246</v>
      </c>
      <c r="M6348" s="1">
        <v>0.23656995325297481</v>
      </c>
      <c r="N6348" s="1">
        <v>0.90731970696514308</v>
      </c>
      <c r="O6348" s="1">
        <v>0.24259555555555554</v>
      </c>
      <c r="P6348" s="1">
        <v>0.10315784787626121</v>
      </c>
      <c r="Q6348" s="1">
        <v>1.2781816058732203</v>
      </c>
      <c r="R6348" s="2">
        <f t="shared" si="399"/>
        <v>36.918144591216254</v>
      </c>
      <c r="S6348" s="2">
        <f t="shared" si="398"/>
        <v>2.5238373379869588</v>
      </c>
      <c r="T6348" s="2">
        <f t="shared" si="400"/>
        <v>2.9487276929624979</v>
      </c>
      <c r="U6348" s="2">
        <f t="shared" si="401"/>
        <v>42.390709622165716</v>
      </c>
    </row>
    <row r="6349" spans="1:21" x14ac:dyDescent="0.25">
      <c r="A6349">
        <v>6887613</v>
      </c>
      <c r="B6349">
        <v>37</v>
      </c>
      <c r="C6349" s="1">
        <f>1.52061353036048*(10.3/7.3)</f>
        <v>2.1455232003716378</v>
      </c>
      <c r="D6349" s="1">
        <f>3.08473379747089*(10.3/7.3)</f>
        <v>4.3524326183493338</v>
      </c>
      <c r="E6349" s="1">
        <f>10.4230708162182*(10.3/7.3)</f>
        <v>14.706524576307942</v>
      </c>
      <c r="F6349" s="1">
        <f>35.762885371174*(38.9/42.5)</f>
        <v>32.733558610321602</v>
      </c>
      <c r="G6349" s="1">
        <v>2.0887135171410263</v>
      </c>
      <c r="H6349" s="1">
        <v>8.2454667044519105</v>
      </c>
      <c r="I6349" s="1">
        <v>26.750102788250288</v>
      </c>
      <c r="J6349" s="1">
        <v>2.1958464762422438E-2</v>
      </c>
      <c r="K6349" s="1">
        <v>1.818189714972364</v>
      </c>
      <c r="L6349" s="1">
        <v>1.7550846114144996</v>
      </c>
      <c r="M6349" s="1">
        <v>0.17017453797059187</v>
      </c>
      <c r="N6349" s="1">
        <v>0.98930598525641822</v>
      </c>
      <c r="O6349" s="1">
        <v>0.13456720720720719</v>
      </c>
      <c r="P6349" s="1">
        <v>8.0845512051579346E-2</v>
      </c>
      <c r="Q6349" s="1">
        <v>3.3381266255678534</v>
      </c>
      <c r="R6349" s="2">
        <f t="shared" si="399"/>
        <v>94.360448640761589</v>
      </c>
      <c r="S6349" s="2">
        <f t="shared" si="398"/>
        <v>1.9209936917863659</v>
      </c>
      <c r="T6349" s="2">
        <f t="shared" si="400"/>
        <v>3.0491323418487166</v>
      </c>
      <c r="U6349" s="2">
        <f t="shared" si="401"/>
        <v>99.330574674396672</v>
      </c>
    </row>
    <row r="6350" spans="1:21" x14ac:dyDescent="0.25">
      <c r="A6350">
        <v>6887621</v>
      </c>
      <c r="B6350">
        <v>54</v>
      </c>
      <c r="C6350" s="1">
        <f>1.36985828739346*(10.3/7.3)</f>
        <v>1.9328137479661112</v>
      </c>
      <c r="D6350" s="1">
        <f>2.83492069179923*(10.3/7.3)</f>
        <v>3.9999565925386369</v>
      </c>
      <c r="E6350" s="1">
        <f>9.60265768069231*(10.3/7.3)</f>
        <v>13.548955357689151</v>
      </c>
      <c r="F6350" s="1">
        <f>31.4407361903658*(38.9/42.5)</f>
        <v>28.777520889534777</v>
      </c>
      <c r="G6350" s="1">
        <v>1.7995348556209241</v>
      </c>
      <c r="H6350" s="1">
        <v>5.9312128021297967</v>
      </c>
      <c r="I6350" s="1">
        <v>23.236004635957308</v>
      </c>
      <c r="J6350" s="1">
        <v>2.1942078095660327E-2</v>
      </c>
      <c r="K6350" s="1">
        <v>1.8291005238469393</v>
      </c>
      <c r="L6350" s="1">
        <v>1.7508528991840935</v>
      </c>
      <c r="M6350" s="1">
        <v>0.16916762078983363</v>
      </c>
      <c r="N6350" s="1">
        <v>0.9889062223465499</v>
      </c>
      <c r="O6350" s="1">
        <v>0.13353481481481483</v>
      </c>
      <c r="P6350" s="1">
        <v>8.0940093533940424E-2</v>
      </c>
      <c r="Q6350" s="1">
        <v>2.875968947339381</v>
      </c>
      <c r="R6350" s="2">
        <f t="shared" si="399"/>
        <v>82.101967828776097</v>
      </c>
      <c r="S6350" s="2">
        <f t="shared" si="398"/>
        <v>1.93198269547654</v>
      </c>
      <c r="T6350" s="2">
        <f t="shared" si="400"/>
        <v>3.042461557135292</v>
      </c>
      <c r="U6350" s="2">
        <f t="shared" si="401"/>
        <v>87.076412081387929</v>
      </c>
    </row>
    <row r="6351" spans="1:21" x14ac:dyDescent="0.25">
      <c r="A6351">
        <v>6887805</v>
      </c>
      <c r="B6351">
        <v>10</v>
      </c>
      <c r="C6351" s="1">
        <f>3.97805890758724*(10.3/7.3)</f>
        <v>5.6128776367326783</v>
      </c>
      <c r="D6351" s="1">
        <f>7.9381547423036*(10.3/7.3)</f>
        <v>11.200410115853025</v>
      </c>
      <c r="E6351" s="1">
        <f>27.1467702923546*(10.3/7.3)</f>
        <v>38.302977261815379</v>
      </c>
      <c r="F6351" s="1">
        <f>76.961592972259*(38.9/42.5)</f>
        <v>70.442493332255893</v>
      </c>
      <c r="G6351" s="1">
        <v>4.0736670265672448</v>
      </c>
      <c r="H6351" s="1">
        <v>10.61874267317965</v>
      </c>
      <c r="I6351" s="1">
        <v>55.3794141330428</v>
      </c>
      <c r="J6351" s="1">
        <v>3.5954362716414133E-2</v>
      </c>
      <c r="K6351" s="1">
        <v>2.3945927461367491</v>
      </c>
      <c r="L6351" s="1">
        <v>2.3646975145216205</v>
      </c>
      <c r="M6351" s="1">
        <v>0.17772500151293288</v>
      </c>
      <c r="N6351" s="1">
        <v>1.5753473410480641</v>
      </c>
      <c r="O6351" s="1">
        <v>0.15456000000000003</v>
      </c>
      <c r="P6351" s="1">
        <v>9.9194312562714576E-2</v>
      </c>
      <c r="Q6351" s="1">
        <v>6.5104267547878392</v>
      </c>
      <c r="R6351" s="2">
        <f t="shared" si="399"/>
        <v>202.14100893423449</v>
      </c>
      <c r="S6351" s="2">
        <f t="shared" si="398"/>
        <v>2.5297414214158778</v>
      </c>
      <c r="T6351" s="2">
        <f t="shared" si="400"/>
        <v>4.2723298570826174</v>
      </c>
      <c r="U6351" s="2">
        <f t="shared" si="401"/>
        <v>208.94308021273298</v>
      </c>
    </row>
    <row r="6352" spans="1:21" x14ac:dyDescent="0.25">
      <c r="A6352">
        <v>6887813</v>
      </c>
      <c r="B6352">
        <v>58</v>
      </c>
      <c r="C6352" s="1">
        <f>3.74809071204239*(10.3/7.3)</f>
        <v>5.2884019635666588</v>
      </c>
      <c r="D6352" s="1">
        <f>7.46173919304691*(10.3/7.3)</f>
        <v>10.528207354573031</v>
      </c>
      <c r="E6352" s="1">
        <f>25.6008640683398*(10.3/7.3)</f>
        <v>36.121767110123287</v>
      </c>
      <c r="F6352" s="1">
        <f>68.3917370762416*(38.9/42.5)</f>
        <v>62.598554641548176</v>
      </c>
      <c r="G6352" s="1">
        <v>3.4887505053858776</v>
      </c>
      <c r="H6352" s="1">
        <v>8.3095100426714659</v>
      </c>
      <c r="I6352" s="1">
        <v>48.509053725194811</v>
      </c>
      <c r="J6352" s="1">
        <v>3.4593816011004801E-2</v>
      </c>
      <c r="K6352" s="1">
        <v>2.3358576616354494</v>
      </c>
      <c r="L6352" s="1">
        <v>2.2649354758573503</v>
      </c>
      <c r="M6352" s="1">
        <v>0.1720203291022335</v>
      </c>
      <c r="N6352" s="1">
        <v>1.5557002868558896</v>
      </c>
      <c r="O6352" s="1">
        <v>0.14861793103448276</v>
      </c>
      <c r="P6352" s="1">
        <v>9.6595542946954244E-2</v>
      </c>
      <c r="Q6352" s="1">
        <v>5.5756286615756085</v>
      </c>
      <c r="R6352" s="2">
        <f t="shared" si="399"/>
        <v>180.41987400463893</v>
      </c>
      <c r="S6352" s="2">
        <f t="shared" si="398"/>
        <v>2.4670470205934083</v>
      </c>
      <c r="T6352" s="2">
        <f t="shared" si="400"/>
        <v>4.1412740228499558</v>
      </c>
      <c r="U6352" s="2">
        <f t="shared" si="401"/>
        <v>187.0281950480823</v>
      </c>
    </row>
    <row r="6353" spans="1:21" x14ac:dyDescent="0.25">
      <c r="A6353">
        <v>6887821</v>
      </c>
      <c r="B6353">
        <v>50</v>
      </c>
      <c r="C6353" s="1">
        <f>4.55834617253248*(10.3/7.3)</f>
        <v>6.4316391201485734</v>
      </c>
      <c r="D6353" s="1">
        <f>9.50457735485188*(10.3/7.3)</f>
        <v>13.410568048626628</v>
      </c>
      <c r="E6353" s="1">
        <f>32.6932671093423*(10.3/7.3)</f>
        <v>46.128856332359739</v>
      </c>
      <c r="F6353" s="1">
        <f>80.8946340418174*(38.9/42.5)</f>
        <v>74.042382687686967</v>
      </c>
      <c r="G6353" s="1">
        <v>3.9290334460417169</v>
      </c>
      <c r="H6353" s="1">
        <v>8.9570028274179236</v>
      </c>
      <c r="I6353" s="1">
        <v>55.699610436309612</v>
      </c>
      <c r="J6353" s="1">
        <v>3.8334969752363925E-2</v>
      </c>
      <c r="K6353" s="1">
        <v>2.5382070140339987</v>
      </c>
      <c r="L6353" s="1">
        <v>2.4614239533052573</v>
      </c>
      <c r="M6353" s="1">
        <v>0.18460607551875657</v>
      </c>
      <c r="N6353" s="1">
        <v>1.9189251226296824</v>
      </c>
      <c r="O6353" s="1">
        <v>0.15959786666666667</v>
      </c>
      <c r="P6353" s="1">
        <v>0.10320791316634514</v>
      </c>
      <c r="Q6353" s="1">
        <v>6.279277196870332</v>
      </c>
      <c r="R6353" s="2">
        <f t="shared" si="399"/>
        <v>214.87837009546149</v>
      </c>
      <c r="S6353" s="2">
        <f t="shared" si="398"/>
        <v>2.6797498969527078</v>
      </c>
      <c r="T6353" s="2">
        <f t="shared" si="400"/>
        <v>4.7245530181203632</v>
      </c>
      <c r="U6353" s="2">
        <f t="shared" si="401"/>
        <v>222.28267301053455</v>
      </c>
    </row>
    <row r="6354" spans="1:21" x14ac:dyDescent="0.25">
      <c r="A6354">
        <v>6899409</v>
      </c>
      <c r="B6354">
        <v>9</v>
      </c>
      <c r="C6354" s="1">
        <f>0.401854305701243*(10.3/7.3)</f>
        <v>0.56699991078394618</v>
      </c>
      <c r="D6354" s="1">
        <f>0.7960644240081*(10.3/7.3)</f>
        <v>1.1232141872990999</v>
      </c>
      <c r="E6354" s="1">
        <f>2.70420071711778*(10.3/7.3)</f>
        <v>3.815516080316864</v>
      </c>
      <c r="F6354" s="1">
        <f>8.62796796230647*(38.9/42.5)</f>
        <v>7.8971283231463918</v>
      </c>
      <c r="G6354" s="1">
        <v>0.4864752626874887</v>
      </c>
      <c r="H6354" s="1">
        <v>1.8206246137110496</v>
      </c>
      <c r="I6354" s="1">
        <v>6.3814101523815632</v>
      </c>
      <c r="J6354" s="1">
        <v>2.8139041449535687E-2</v>
      </c>
      <c r="K6354" s="1">
        <v>1.9563951824329004</v>
      </c>
      <c r="L6354" s="1">
        <v>1.2518566583252162</v>
      </c>
      <c r="M6354" s="1">
        <v>0.1921043466475324</v>
      </c>
      <c r="N6354" s="1">
        <v>0.71998891250797692</v>
      </c>
      <c r="O6354" s="1">
        <v>0.19647407407407408</v>
      </c>
      <c r="P6354" s="1">
        <v>8.8477583344682587E-2</v>
      </c>
      <c r="Q6354" s="1">
        <v>0.77747188100740283</v>
      </c>
      <c r="R6354" s="2">
        <f t="shared" si="399"/>
        <v>22.868840411333807</v>
      </c>
      <c r="S6354" s="2">
        <f t="shared" si="398"/>
        <v>2.0730118072271186</v>
      </c>
      <c r="T6354" s="2">
        <f t="shared" si="400"/>
        <v>2.3604239915548</v>
      </c>
      <c r="U6354" s="2">
        <f t="shared" si="401"/>
        <v>27.302276210115725</v>
      </c>
    </row>
    <row r="6355" spans="1:21" x14ac:dyDescent="0.25">
      <c r="A6355">
        <v>6899417</v>
      </c>
      <c r="B6355">
        <v>34</v>
      </c>
      <c r="C6355" s="1">
        <f>0.579631723489176*(10.3/7.3)</f>
        <v>0.81783654136143991</v>
      </c>
      <c r="D6355" s="1">
        <f>1.37154491443177*(10.3/7.3)</f>
        <v>1.9351935094037291</v>
      </c>
      <c r="E6355" s="1">
        <f>4.5820135709152*(10.3/7.3)</f>
        <v>6.4650328466337816</v>
      </c>
      <c r="F6355" s="1">
        <f>17.4666827369759*(38.9/42.5)</f>
        <v>15.987151963961502</v>
      </c>
      <c r="G6355" s="1">
        <v>1.0721730999709711</v>
      </c>
      <c r="H6355" s="1">
        <v>4.4521227089194646</v>
      </c>
      <c r="I6355" s="1">
        <v>13.094589129611551</v>
      </c>
      <c r="J6355" s="1">
        <v>3.607596794409159E-2</v>
      </c>
      <c r="K6355" s="1">
        <v>2.5404567084129335</v>
      </c>
      <c r="L6355" s="1">
        <v>1.7294340431857069</v>
      </c>
      <c r="M6355" s="1">
        <v>0.26088624436950442</v>
      </c>
      <c r="N6355" s="1">
        <v>0.96209883664310636</v>
      </c>
      <c r="O6355" s="1">
        <v>0.26551058823529416</v>
      </c>
      <c r="P6355" s="1">
        <v>0.10807697243637369</v>
      </c>
      <c r="Q6355" s="1">
        <v>1.7135186529216453</v>
      </c>
      <c r="R6355" s="2">
        <f t="shared" si="399"/>
        <v>45.537618452784081</v>
      </c>
      <c r="S6355" s="2">
        <f t="shared" si="398"/>
        <v>2.6846096487933986</v>
      </c>
      <c r="T6355" s="2">
        <f t="shared" si="400"/>
        <v>3.2179297124336119</v>
      </c>
      <c r="U6355" s="2">
        <f t="shared" si="401"/>
        <v>51.440157814011087</v>
      </c>
    </row>
    <row r="6356" spans="1:21" x14ac:dyDescent="0.25">
      <c r="A6356">
        <v>6899841</v>
      </c>
      <c r="B6356">
        <v>23</v>
      </c>
      <c r="C6356" s="1">
        <f>1.45875240078693*(10.3/7.3)</f>
        <v>2.0582396887815624</v>
      </c>
      <c r="D6356" s="1">
        <f>3.17950771858601*(10.3/7.3)</f>
        <v>4.4861547262241031</v>
      </c>
      <c r="E6356" s="1">
        <f>10.6300576113068*(10.3/7.3)</f>
        <v>14.998574437871241</v>
      </c>
      <c r="F6356" s="1">
        <f>41.2583102136599*(38.9/42.5)</f>
        <v>37.763488642620459</v>
      </c>
      <c r="G6356" s="1">
        <v>2.5408375038392781</v>
      </c>
      <c r="H6356" s="1">
        <v>11.09316245459943</v>
      </c>
      <c r="I6356" s="1">
        <v>31.301375411227141</v>
      </c>
      <c r="J6356" s="1">
        <v>2.2791538789859019E-2</v>
      </c>
      <c r="K6356" s="1">
        <v>1.8601075446898008</v>
      </c>
      <c r="L6356" s="1">
        <v>1.7948999933616558</v>
      </c>
      <c r="M6356" s="1">
        <v>0.17234080602746102</v>
      </c>
      <c r="N6356" s="1">
        <v>1.0044706120417424</v>
      </c>
      <c r="O6356" s="1">
        <v>0.13604405797101449</v>
      </c>
      <c r="P6356" s="1">
        <v>8.266931554328702E-2</v>
      </c>
      <c r="Q6356" s="1">
        <v>4.0606992070490779</v>
      </c>
      <c r="R6356" s="2">
        <f t="shared" si="399"/>
        <v>108.3025320722123</v>
      </c>
      <c r="S6356" s="2">
        <f t="shared" si="398"/>
        <v>1.9655683990229467</v>
      </c>
      <c r="T6356" s="2">
        <f t="shared" si="400"/>
        <v>3.1077554694018739</v>
      </c>
      <c r="U6356" s="2">
        <f t="shared" si="401"/>
        <v>113.37585594063712</v>
      </c>
    </row>
    <row r="6357" spans="1:21" x14ac:dyDescent="0.25">
      <c r="A6357">
        <v>6899849</v>
      </c>
      <c r="B6357">
        <v>65</v>
      </c>
      <c r="C6357" s="1">
        <f>1.65847482822851*(10.3/7.3)</f>
        <v>2.3400398261306381</v>
      </c>
      <c r="D6357" s="1">
        <f>3.36650964579965*(10.3/7.3)</f>
        <v>4.7500067605118321</v>
      </c>
      <c r="E6357" s="1">
        <f>11.3861723390429*(10.3/7.3)</f>
        <v>16.065421245498918</v>
      </c>
      <c r="F6357" s="1">
        <f>38.4858410402234*(38.9/42.5)</f>
        <v>35.225863916816238</v>
      </c>
      <c r="G6357" s="1">
        <v>2.2328572438400873</v>
      </c>
      <c r="H6357" s="1">
        <v>7.3187249054320915</v>
      </c>
      <c r="I6357" s="1">
        <v>28.700475022580132</v>
      </c>
      <c r="J6357" s="1">
        <v>2.343123226759105E-2</v>
      </c>
      <c r="K6357" s="1">
        <v>1.9259259978489229</v>
      </c>
      <c r="L6357" s="1">
        <v>1.8750444506258026</v>
      </c>
      <c r="M6357" s="1">
        <v>0.17971790823756914</v>
      </c>
      <c r="N6357" s="1">
        <v>1.1068926927109068</v>
      </c>
      <c r="O6357" s="1">
        <v>0.14363158974358972</v>
      </c>
      <c r="P6357" s="1">
        <v>8.5247624681935044E-2</v>
      </c>
      <c r="Q6357" s="1">
        <v>3.568493312073203</v>
      </c>
      <c r="R6357" s="2">
        <f t="shared" si="399"/>
        <v>100.20188223288314</v>
      </c>
      <c r="S6357" s="2">
        <f t="shared" si="398"/>
        <v>2.0346048547984492</v>
      </c>
      <c r="T6357" s="2">
        <f t="shared" si="400"/>
        <v>3.3052866413178683</v>
      </c>
      <c r="U6357" s="2">
        <f t="shared" si="401"/>
        <v>105.54177372899944</v>
      </c>
    </row>
    <row r="6358" spans="1:21" x14ac:dyDescent="0.25">
      <c r="A6358">
        <v>6899857</v>
      </c>
      <c r="B6358">
        <v>39</v>
      </c>
      <c r="C6358" s="1">
        <f>1.43516793109216*(10.3/7.3)</f>
        <v>2.0249629712670143</v>
      </c>
      <c r="D6358" s="1">
        <f>2.99974691101243*(10.3/7.3)</f>
        <v>4.2325196141682273</v>
      </c>
      <c r="E6358" s="1">
        <f>10.1400028946646*(10.3/7.3)</f>
        <v>14.307127371924045</v>
      </c>
      <c r="F6358" s="1">
        <f>34.1407784677152*(38.9/42.5)</f>
        <v>31.248853703391049</v>
      </c>
      <c r="G6358" s="1">
        <v>1.980444519461027</v>
      </c>
      <c r="H6358" s="1">
        <v>6.8669192249664519</v>
      </c>
      <c r="I6358" s="1">
        <v>25.342513200893777</v>
      </c>
      <c r="J6358" s="1">
        <v>2.1948461034645546E-2</v>
      </c>
      <c r="K6358" s="1">
        <v>1.8263055057154509</v>
      </c>
      <c r="L6358" s="1">
        <v>1.7398466198418976</v>
      </c>
      <c r="M6358" s="1">
        <v>0.16719349931894079</v>
      </c>
      <c r="N6358" s="1">
        <v>0.98081821776386369</v>
      </c>
      <c r="O6358" s="1">
        <v>0.13291623931623928</v>
      </c>
      <c r="P6358" s="1">
        <v>8.0702744934651266E-2</v>
      </c>
      <c r="Q6358" s="1">
        <v>3.1650939808737912</v>
      </c>
      <c r="R6358" s="2">
        <f t="shared" si="399"/>
        <v>89.168434586945381</v>
      </c>
      <c r="S6358" s="2">
        <f t="shared" si="398"/>
        <v>1.9289567116847479</v>
      </c>
      <c r="T6358" s="2">
        <f t="shared" si="400"/>
        <v>3.020774576240941</v>
      </c>
      <c r="U6358" s="2">
        <f t="shared" si="401"/>
        <v>94.118165874871067</v>
      </c>
    </row>
    <row r="6359" spans="1:21" x14ac:dyDescent="0.25">
      <c r="A6359">
        <v>6900041</v>
      </c>
      <c r="B6359">
        <v>52</v>
      </c>
      <c r="C6359" s="1">
        <f>3.78667509876293*(10.3/7.3)</f>
        <v>5.3428429475696202</v>
      </c>
      <c r="D6359" s="1">
        <f>7.61478703119852*(10.3/7.3)</f>
        <v>10.744151564567774</v>
      </c>
      <c r="E6359" s="1">
        <f>26.0316342485295*(10.3/7.3)</f>
        <v>36.729566131486834</v>
      </c>
      <c r="F6359" s="1">
        <f>73.9815340148466*(38.9/42.5)</f>
        <v>67.714862898294911</v>
      </c>
      <c r="G6359" s="1">
        <v>3.9237553602881183</v>
      </c>
      <c r="H6359" s="1">
        <v>10.175059090408825</v>
      </c>
      <c r="I6359" s="1">
        <v>53.198873207833238</v>
      </c>
      <c r="J6359" s="1">
        <v>3.55671866935824E-2</v>
      </c>
      <c r="K6359" s="1">
        <v>2.380333976043413</v>
      </c>
      <c r="L6359" s="1">
        <v>2.3299665397270077</v>
      </c>
      <c r="M6359" s="1">
        <v>0.17694871945552826</v>
      </c>
      <c r="N6359" s="1">
        <v>1.5636884947507446</v>
      </c>
      <c r="O6359" s="1">
        <v>0.15251384615384619</v>
      </c>
      <c r="P6359" s="1">
        <v>9.835358671470848E-2</v>
      </c>
      <c r="Q6359" s="1">
        <v>6.2708419000038482</v>
      </c>
      <c r="R6359" s="2">
        <f t="shared" si="399"/>
        <v>194.09995310045318</v>
      </c>
      <c r="S6359" s="2">
        <f t="shared" si="398"/>
        <v>2.5142547494517036</v>
      </c>
      <c r="T6359" s="2">
        <f t="shared" si="400"/>
        <v>4.2231176000871269</v>
      </c>
      <c r="U6359" s="2">
        <f t="shared" si="401"/>
        <v>200.83732544999202</v>
      </c>
    </row>
    <row r="6360" spans="1:21" x14ac:dyDescent="0.25">
      <c r="A6360">
        <v>6900049</v>
      </c>
      <c r="B6360">
        <v>61</v>
      </c>
      <c r="C6360" s="1">
        <f>2.85471408404339*(10.3/7.3)</f>
        <v>4.0278842555680727</v>
      </c>
      <c r="D6360" s="1">
        <f>5.7812738132148*(10.3/7.3)</f>
        <v>8.1571397638510152</v>
      </c>
      <c r="E6360" s="1">
        <f>19.7960551330148*(10.3/7.3)</f>
        <v>27.931420256171503</v>
      </c>
      <c r="F6360" s="1">
        <f>54.394189105351*(38.9/42.5)</f>
        <v>49.786681322309484</v>
      </c>
      <c r="G6360" s="1">
        <v>2.8283650032233036</v>
      </c>
      <c r="H6360" s="1">
        <v>7.2005037161769732</v>
      </c>
      <c r="I6360" s="1">
        <v>38.744020804552349</v>
      </c>
      <c r="J6360" s="1">
        <v>2.9232752337106659E-2</v>
      </c>
      <c r="K6360" s="1">
        <v>2.0342360996995876</v>
      </c>
      <c r="L6360" s="1">
        <v>1.9022355578406629</v>
      </c>
      <c r="M6360" s="1">
        <v>0.14824747448821804</v>
      </c>
      <c r="N6360" s="1">
        <v>1.3559775714401938</v>
      </c>
      <c r="O6360" s="1">
        <v>0.12740721311475409</v>
      </c>
      <c r="P6360" s="1">
        <v>8.4769732679551207E-2</v>
      </c>
      <c r="Q6360" s="1">
        <v>4.5202180416810815</v>
      </c>
      <c r="R6360" s="2">
        <f t="shared" si="399"/>
        <v>143.19623316353378</v>
      </c>
      <c r="S6360" s="2">
        <f t="shared" si="398"/>
        <v>2.1482385847162457</v>
      </c>
      <c r="T6360" s="2">
        <f t="shared" si="400"/>
        <v>3.5338678168838289</v>
      </c>
      <c r="U6360" s="2">
        <f t="shared" si="401"/>
        <v>148.87833956513384</v>
      </c>
    </row>
    <row r="6361" spans="1:21" x14ac:dyDescent="0.25">
      <c r="A6361">
        <v>6900057</v>
      </c>
      <c r="B6361">
        <v>35</v>
      </c>
      <c r="C6361" s="1">
        <f>4.41023965722279*(10.3/7.3)</f>
        <v>6.222666913615714</v>
      </c>
      <c r="D6361" s="1">
        <f>9.28799335266388*(10.3/7.3)</f>
        <v>13.104976922251774</v>
      </c>
      <c r="E6361" s="1">
        <f>31.8350067507198*(10.3/7.3)</f>
        <v>44.917886237317042</v>
      </c>
      <c r="F6361" s="1">
        <f>84.096471599027*(38.9/42.5)</f>
        <v>76.973005769462318</v>
      </c>
      <c r="G6361" s="1">
        <v>4.2772668411200803</v>
      </c>
      <c r="H6361" s="1">
        <v>9.2894083809017509</v>
      </c>
      <c r="I6361" s="1">
        <v>58.88673232449532</v>
      </c>
      <c r="J6361" s="1">
        <v>3.7780031441555617E-2</v>
      </c>
      <c r="K6361" s="1">
        <v>2.516171100794546</v>
      </c>
      <c r="L6361" s="1">
        <v>2.4130539135575511</v>
      </c>
      <c r="M6361" s="1">
        <v>0.18071232098893616</v>
      </c>
      <c r="N6361" s="1">
        <v>2.2715306763125951</v>
      </c>
      <c r="O6361" s="1">
        <v>0.15586590476190482</v>
      </c>
      <c r="P6361" s="1">
        <v>0.10124564027763901</v>
      </c>
      <c r="Q6361" s="1">
        <v>6.8358145862649735</v>
      </c>
      <c r="R6361" s="2">
        <f t="shared" si="399"/>
        <v>220.50775797542897</v>
      </c>
      <c r="S6361" s="2">
        <f t="shared" si="398"/>
        <v>2.6551967725137406</v>
      </c>
      <c r="T6361" s="2">
        <f t="shared" si="400"/>
        <v>5.0211628156209871</v>
      </c>
      <c r="U6361" s="2">
        <f t="shared" si="401"/>
        <v>228.18411756356369</v>
      </c>
    </row>
    <row r="6362" spans="1:21" x14ac:dyDescent="0.25">
      <c r="A6362">
        <v>6911645</v>
      </c>
      <c r="B6362">
        <v>20</v>
      </c>
      <c r="C6362" s="1">
        <f>0.454506712369501*(10.3/7.3)</f>
        <v>0.64129029279532301</v>
      </c>
      <c r="D6362" s="1">
        <f>0.951018405338789*(10.3/7.3)</f>
        <v>1.3418478869848662</v>
      </c>
      <c r="E6362" s="1">
        <f>3.21465527597903*(10.3/7.3)</f>
        <v>4.5357464852854763</v>
      </c>
      <c r="F6362" s="1">
        <f>10.8216938629515*(38.9/42.5)</f>
        <v>9.9050327357367589</v>
      </c>
      <c r="G6362" s="1">
        <v>0.62773441731722246</v>
      </c>
      <c r="H6362" s="1">
        <v>2.2417196350668016</v>
      </c>
      <c r="I6362" s="1">
        <v>8.0314793629140144</v>
      </c>
      <c r="J6362" s="1">
        <v>3.1783293423068473E-2</v>
      </c>
      <c r="K6362" s="1">
        <v>2.0636224843066104</v>
      </c>
      <c r="L6362" s="1">
        <v>1.3686520776584656</v>
      </c>
      <c r="M6362" s="1">
        <v>0.20586559143439631</v>
      </c>
      <c r="N6362" s="1">
        <v>0.78423489033346583</v>
      </c>
      <c r="O6362" s="1">
        <v>0.21284800000000001</v>
      </c>
      <c r="P6362" s="1">
        <v>9.2381398583531546E-2</v>
      </c>
      <c r="Q6362" s="1">
        <v>1.0032285208266125</v>
      </c>
      <c r="R6362" s="2">
        <f t="shared" si="399"/>
        <v>28.328079336927072</v>
      </c>
      <c r="S6362" s="2">
        <f t="shared" si="398"/>
        <v>2.1877871763132104</v>
      </c>
      <c r="T6362" s="2">
        <f t="shared" si="400"/>
        <v>2.571600559426328</v>
      </c>
      <c r="U6362" s="2">
        <f t="shared" si="401"/>
        <v>33.087467072666612</v>
      </c>
    </row>
    <row r="6363" spans="1:21" x14ac:dyDescent="0.25">
      <c r="A6363">
        <v>6911653</v>
      </c>
      <c r="B6363">
        <v>19</v>
      </c>
      <c r="C6363" s="1">
        <f>0.543102322611323*(10.3/7.3)</f>
        <v>0.76629505793104524</v>
      </c>
      <c r="D6363" s="1">
        <f>1.19503377829004*(10.3/7.3)</f>
        <v>1.6861435501900619</v>
      </c>
      <c r="E6363" s="1">
        <f>4.02042012179735*(10.3/7.3)</f>
        <v>5.6726475691113354</v>
      </c>
      <c r="F6363" s="1">
        <f>14.2403230638455*(38.9/42.5)</f>
        <v>13.034083933731511</v>
      </c>
      <c r="G6363" s="1">
        <v>0.84656837903102655</v>
      </c>
      <c r="H6363" s="1">
        <v>4.993192946692675</v>
      </c>
      <c r="I6363" s="1">
        <v>10.609983015293679</v>
      </c>
      <c r="J6363" s="1">
        <v>3.01620322653894E-2</v>
      </c>
      <c r="K6363" s="1">
        <v>2.4228497104700004</v>
      </c>
      <c r="L6363" s="1">
        <v>1.6062745161005623</v>
      </c>
      <c r="M6363" s="1">
        <v>0.23895406400042143</v>
      </c>
      <c r="N6363" s="1">
        <v>0.90379443972053541</v>
      </c>
      <c r="O6363" s="1">
        <v>0.24763508771929824</v>
      </c>
      <c r="P6363" s="1">
        <v>0.1039614691208338</v>
      </c>
      <c r="Q6363" s="1">
        <v>1.3529631628349754</v>
      </c>
      <c r="R6363" s="2">
        <f t="shared" si="399"/>
        <v>38.961877614816309</v>
      </c>
      <c r="S6363" s="2">
        <f t="shared" si="398"/>
        <v>2.5569732118562234</v>
      </c>
      <c r="T6363" s="2">
        <f t="shared" si="400"/>
        <v>2.9966581075408176</v>
      </c>
      <c r="U6363" s="2">
        <f t="shared" si="401"/>
        <v>44.515508934213351</v>
      </c>
    </row>
    <row r="6364" spans="1:21" x14ac:dyDescent="0.25">
      <c r="A6364">
        <v>6912077</v>
      </c>
      <c r="B6364">
        <v>52</v>
      </c>
      <c r="C6364" s="1">
        <f>1.82036972443671*(10.3/7.3)</f>
        <v>2.5684668714654921</v>
      </c>
      <c r="D6364" s="1">
        <f>3.68046171683529*(10.3/7.3)</f>
        <v>5.192980230603216</v>
      </c>
      <c r="E6364" s="1">
        <f>12.4133628925471*(10.3/7.3)</f>
        <v>17.514744903182915</v>
      </c>
      <c r="F6364" s="1">
        <f>43.8274785114991*(38.9/42.5)</f>
        <v>40.115033272878037</v>
      </c>
      <c r="G6364" s="1">
        <v>2.5910696579680623</v>
      </c>
      <c r="H6364" s="1">
        <v>10.092955276754738</v>
      </c>
      <c r="I6364" s="1">
        <v>32.974727574916933</v>
      </c>
      <c r="J6364" s="1">
        <v>2.4789612350392256E-2</v>
      </c>
      <c r="K6364" s="1">
        <v>2.0143913212522979</v>
      </c>
      <c r="L6364" s="1">
        <v>1.9788699271739114</v>
      </c>
      <c r="M6364" s="1">
        <v>0.18687531264379287</v>
      </c>
      <c r="N6364" s="1">
        <v>1.0726263649832579</v>
      </c>
      <c r="O6364" s="1">
        <v>0.15098666666666666</v>
      </c>
      <c r="P6364" s="1">
        <v>8.9049214402397395E-2</v>
      </c>
      <c r="Q6364" s="1">
        <v>4.1409789054284136</v>
      </c>
      <c r="R6364" s="2">
        <f t="shared" si="399"/>
        <v>115.1909566931978</v>
      </c>
      <c r="S6364" s="2">
        <f t="shared" si="398"/>
        <v>2.1282301480050876</v>
      </c>
      <c r="T6364" s="2">
        <f t="shared" si="400"/>
        <v>3.3893582714676289</v>
      </c>
      <c r="U6364" s="2">
        <f t="shared" si="401"/>
        <v>120.70854511267052</v>
      </c>
    </row>
    <row r="6365" spans="1:21" x14ac:dyDescent="0.25">
      <c r="A6365">
        <v>6912085</v>
      </c>
      <c r="B6365">
        <v>42</v>
      </c>
      <c r="C6365" s="1">
        <f>1.39552914265316*(10.3/7.3)</f>
        <v>1.9690342697708918</v>
      </c>
      <c r="D6365" s="1">
        <f>2.82118826030155*(10.3/7.3)</f>
        <v>3.9805806960419119</v>
      </c>
      <c r="E6365" s="1">
        <f>9.55368878084626*(10.3/7.3)</f>
        <v>13.479862252426921</v>
      </c>
      <c r="F6365" s="1">
        <f>31.7324633490288*(38.9/42.5)</f>
        <v>29.044537041816909</v>
      </c>
      <c r="G6365" s="1">
        <v>1.8260066180591252</v>
      </c>
      <c r="H6365" s="1">
        <v>6.0686687341319949</v>
      </c>
      <c r="I6365" s="1">
        <v>23.595305478949342</v>
      </c>
      <c r="J6365" s="1">
        <v>2.1782385459019622E-2</v>
      </c>
      <c r="K6365" s="1">
        <v>1.8058414461492982</v>
      </c>
      <c r="L6365" s="1">
        <v>1.718368992850402</v>
      </c>
      <c r="M6365" s="1">
        <v>0.16649758235479548</v>
      </c>
      <c r="N6365" s="1">
        <v>1.0502413159829698</v>
      </c>
      <c r="O6365" s="1">
        <v>0.1318806349206349</v>
      </c>
      <c r="P6365" s="1">
        <v>8.0108354091109071E-2</v>
      </c>
      <c r="Q6365" s="1">
        <v>2.9182754169894727</v>
      </c>
      <c r="R6365" s="2">
        <f t="shared" si="399"/>
        <v>82.882270508186565</v>
      </c>
      <c r="S6365" s="2">
        <f t="shared" si="398"/>
        <v>1.9077321856994269</v>
      </c>
      <c r="T6365" s="2">
        <f t="shared" si="400"/>
        <v>3.0669885261088021</v>
      </c>
      <c r="U6365" s="2">
        <f t="shared" si="401"/>
        <v>87.856991219994796</v>
      </c>
    </row>
    <row r="6366" spans="1:21" x14ac:dyDescent="0.25">
      <c r="A6366">
        <v>6912093</v>
      </c>
      <c r="B6366">
        <v>5</v>
      </c>
      <c r="C6366" s="1">
        <f>1.3553870184144*(10.3/7.3)</f>
        <v>1.9123953821463489</v>
      </c>
      <c r="D6366" s="1">
        <f>2.92365795858914*(10.3/7.3)</f>
        <v>4.1251612292422042</v>
      </c>
      <c r="E6366" s="1">
        <f>9.83988240714192*(10.3/7.3)</f>
        <v>13.883669697748186</v>
      </c>
      <c r="F6366" s="1">
        <f>34.9186084669934*(38.9/42.5)</f>
        <v>31.960796926259871</v>
      </c>
      <c r="G6366" s="1">
        <v>2.0755133395295062</v>
      </c>
      <c r="H6366" s="1">
        <v>8.4440703947358617</v>
      </c>
      <c r="I6366" s="1">
        <v>26.087921296658084</v>
      </c>
      <c r="J6366" s="1">
        <v>2.2076540508055735E-2</v>
      </c>
      <c r="K6366" s="1">
        <v>1.8297025827725275</v>
      </c>
      <c r="L6366" s="1">
        <v>1.7360479082974762</v>
      </c>
      <c r="M6366" s="1">
        <v>0.1662644159827284</v>
      </c>
      <c r="N6366" s="1">
        <v>1.0007192893161592</v>
      </c>
      <c r="O6366" s="1">
        <v>0.13116800000000001</v>
      </c>
      <c r="P6366" s="1">
        <v>8.0345513772127342E-2</v>
      </c>
      <c r="Q6366" s="1">
        <v>3.3170304513028674</v>
      </c>
      <c r="R6366" s="2">
        <f t="shared" si="399"/>
        <v>91.806558717622934</v>
      </c>
      <c r="S6366" s="2">
        <f t="shared" si="398"/>
        <v>1.9321246370527105</v>
      </c>
      <c r="T6366" s="2">
        <f t="shared" si="400"/>
        <v>3.034199613596364</v>
      </c>
      <c r="U6366" s="2">
        <f t="shared" si="401"/>
        <v>96.772882968272</v>
      </c>
    </row>
    <row r="6367" spans="1:21" x14ac:dyDescent="0.25">
      <c r="A6367">
        <v>6912269</v>
      </c>
      <c r="B6367">
        <v>9</v>
      </c>
      <c r="C6367" s="1">
        <f>3.21178087509143*(10.3/7.3)</f>
        <v>4.531690823759142</v>
      </c>
      <c r="D6367" s="1">
        <f>6.76693869530001*(10.3/7.3)</f>
        <v>9.5478724056972748</v>
      </c>
      <c r="E6367" s="1">
        <f>22.9827588580759*(10.3/7.3)</f>
        <v>32.427728251805661</v>
      </c>
      <c r="F6367" s="1">
        <f>71.4945363662457*(38.9/42.5)</f>
        <v>65.438528579928416</v>
      </c>
      <c r="G6367" s="1">
        <v>3.9953059546257439</v>
      </c>
      <c r="H6367" s="1">
        <v>12.687267833923681</v>
      </c>
      <c r="I6367" s="1">
        <v>52.128395340471876</v>
      </c>
      <c r="J6367" s="1">
        <v>3.2612321143812115E-2</v>
      </c>
      <c r="K6367" s="1">
        <v>2.2026987400652471</v>
      </c>
      <c r="L6367" s="1">
        <v>2.1423777610715198</v>
      </c>
      <c r="M6367" s="1">
        <v>0.16412891016071296</v>
      </c>
      <c r="N6367" s="1">
        <v>1.4374883169734596</v>
      </c>
      <c r="O6367" s="1">
        <v>0.14176</v>
      </c>
      <c r="P6367" s="1">
        <v>9.1814132051820874E-2</v>
      </c>
      <c r="Q6367" s="1">
        <v>6.3851921649269938</v>
      </c>
      <c r="R6367" s="2">
        <f t="shared" si="399"/>
        <v>187.1419813551388</v>
      </c>
      <c r="S6367" s="2">
        <f t="shared" si="398"/>
        <v>2.3271251932608803</v>
      </c>
      <c r="T6367" s="2">
        <f t="shared" si="400"/>
        <v>3.8857549882056923</v>
      </c>
      <c r="U6367" s="2">
        <f t="shared" si="401"/>
        <v>193.35486153660537</v>
      </c>
    </row>
    <row r="6368" spans="1:21" x14ac:dyDescent="0.25">
      <c r="A6368">
        <v>6912277</v>
      </c>
      <c r="B6368">
        <v>45</v>
      </c>
      <c r="C6368" s="1">
        <f>3.74781083956208*(10.3/7.3)</f>
        <v>5.2880070749985544</v>
      </c>
      <c r="D6368" s="1">
        <f>7.59560602574073*(10.3/7.3)</f>
        <v>10.717087954127337</v>
      </c>
      <c r="E6368" s="1">
        <f>25.9493425660092*(10.3/7.3)</f>
        <v>36.613455949300587</v>
      </c>
      <c r="F6368" s="1">
        <f>74.3105328895588*(38.9/42.5)</f>
        <v>68.015993633031457</v>
      </c>
      <c r="G6368" s="1">
        <v>3.9608762002111608</v>
      </c>
      <c r="H6368" s="1">
        <v>9.5591376550727052</v>
      </c>
      <c r="I6368" s="1">
        <v>53.465486644250518</v>
      </c>
      <c r="J6368" s="1">
        <v>3.5768133218180648E-2</v>
      </c>
      <c r="K6368" s="1">
        <v>2.3886326955365242</v>
      </c>
      <c r="L6368" s="1">
        <v>2.3191386864151351</v>
      </c>
      <c r="M6368" s="1">
        <v>0.17555374646003652</v>
      </c>
      <c r="N6368" s="1">
        <v>1.5947148606714339</v>
      </c>
      <c r="O6368" s="1">
        <v>0.15168237037037036</v>
      </c>
      <c r="P6368" s="1">
        <v>9.7947583401944857E-2</v>
      </c>
      <c r="Q6368" s="1">
        <v>6.3301674432598514</v>
      </c>
      <c r="R6368" s="2">
        <f t="shared" si="399"/>
        <v>193.95021255425218</v>
      </c>
      <c r="S6368" s="2">
        <f t="shared" si="398"/>
        <v>2.5223484121566497</v>
      </c>
      <c r="T6368" s="2">
        <f t="shared" si="400"/>
        <v>4.2410896639169753</v>
      </c>
      <c r="U6368" s="2">
        <f t="shared" si="401"/>
        <v>200.71365063032579</v>
      </c>
    </row>
    <row r="6369" spans="1:21" x14ac:dyDescent="0.25">
      <c r="A6369">
        <v>6912285</v>
      </c>
      <c r="B6369">
        <v>27</v>
      </c>
      <c r="C6369" s="1">
        <f>3.2196286988395*(10.3/7.3)</f>
        <v>4.5427637805543659</v>
      </c>
      <c r="D6369" s="1">
        <f>6.89513152277722*(10.3/7.3)</f>
        <v>9.728747217069234</v>
      </c>
      <c r="E6369" s="1">
        <f>23.5018817763464*(10.3/7.3)</f>
        <v>33.160189355666894</v>
      </c>
      <c r="F6369" s="1">
        <f>68.2566634845759*(38.9/42.5)</f>
        <v>62.474922577647071</v>
      </c>
      <c r="G6369" s="1">
        <v>3.6811304717059694</v>
      </c>
      <c r="H6369" s="1">
        <v>8.0491165271202352</v>
      </c>
      <c r="I6369" s="1">
        <v>48.854421421822956</v>
      </c>
      <c r="J6369" s="1">
        <v>3.0797801492669776E-2</v>
      </c>
      <c r="K6369" s="1">
        <v>2.1224259605996187</v>
      </c>
      <c r="L6369" s="1">
        <v>1.9844557999720593</v>
      </c>
      <c r="M6369" s="1">
        <v>0.15269271463986775</v>
      </c>
      <c r="N6369" s="1">
        <v>1.4816533704746404</v>
      </c>
      <c r="O6369" s="1">
        <v>0.13178074074074075</v>
      </c>
      <c r="P6369" s="1">
        <v>8.7029346505103258E-2</v>
      </c>
      <c r="Q6369" s="1">
        <v>5.8830852287538393</v>
      </c>
      <c r="R6369" s="2">
        <f t="shared" si="399"/>
        <v>176.37437658034057</v>
      </c>
      <c r="S6369" s="2">
        <f t="shared" si="398"/>
        <v>2.2402531085973916</v>
      </c>
      <c r="T6369" s="2">
        <f t="shared" si="400"/>
        <v>3.7505826258273083</v>
      </c>
      <c r="U6369" s="2">
        <f t="shared" si="401"/>
        <v>182.36521231476527</v>
      </c>
    </row>
    <row r="6370" spans="1:21" x14ac:dyDescent="0.25">
      <c r="A6370">
        <v>6923873</v>
      </c>
      <c r="B6370">
        <v>1</v>
      </c>
      <c r="C6370" s="1">
        <f>0.286650613327313*(10.3/7.3)</f>
        <v>0.40445223524264684</v>
      </c>
      <c r="D6370" s="1">
        <f>0.517065729197573*(10.3/7.3)</f>
        <v>0.72955849462123334</v>
      </c>
      <c r="E6370" s="1">
        <f>1.76887995230129*(10.3/7.3)</f>
        <v>2.4958169190004562</v>
      </c>
      <c r="F6370" s="1">
        <f>5.25969849073559*(38.9/42.5)</f>
        <v>4.8141710891674032</v>
      </c>
      <c r="G6370" s="1">
        <v>0.28400970893996086</v>
      </c>
      <c r="H6370" s="1">
        <v>1.2630163371870013</v>
      </c>
      <c r="I6370" s="1">
        <v>3.8904575058388149</v>
      </c>
      <c r="J6370" s="1">
        <v>1.8602205271645335E-2</v>
      </c>
      <c r="K6370" s="1">
        <v>1.6547752108862066</v>
      </c>
      <c r="L6370" s="1">
        <v>1.0179388756575471</v>
      </c>
      <c r="M6370" s="1">
        <v>0.1619474325920193</v>
      </c>
      <c r="N6370" s="1">
        <v>0.59797758954314073</v>
      </c>
      <c r="O6370" s="1">
        <v>0.15557333333333334</v>
      </c>
      <c r="P6370" s="1">
        <v>7.7946020563812279E-2</v>
      </c>
      <c r="Q6370" s="1">
        <v>0.45389679510952696</v>
      </c>
      <c r="R6370" s="2">
        <f t="shared" si="399"/>
        <v>14.335379085107041</v>
      </c>
      <c r="S6370" s="2">
        <f t="shared" si="398"/>
        <v>1.7513234367216641</v>
      </c>
      <c r="T6370" s="2">
        <f t="shared" si="400"/>
        <v>1.9334372311260406</v>
      </c>
      <c r="U6370" s="2">
        <f t="shared" si="401"/>
        <v>18.020139752954748</v>
      </c>
    </row>
    <row r="6371" spans="1:21" x14ac:dyDescent="0.25">
      <c r="A6371">
        <v>6923881</v>
      </c>
      <c r="B6371">
        <v>11</v>
      </c>
      <c r="C6371" s="1">
        <f>0.379912450298167*(10.3/7.3)</f>
        <v>0.53604085453029005</v>
      </c>
      <c r="D6371" s="1">
        <f>0.837946666200544*(10.3/7.3)</f>
        <v>1.182308309844603</v>
      </c>
      <c r="E6371" s="1">
        <f>2.80940247095772*(10.3/7.3)</f>
        <v>3.9639514316252802</v>
      </c>
      <c r="F6371" s="1">
        <f>10.445231987917*(38.9/42.5)</f>
        <v>9.5604593959993416</v>
      </c>
      <c r="G6371" s="1">
        <v>0.63323523386276948</v>
      </c>
      <c r="H6371" s="1">
        <v>4.5857631372188585</v>
      </c>
      <c r="I6371" s="1">
        <v>7.8528591895083144</v>
      </c>
      <c r="J6371" s="1">
        <v>2.4230236436901333E-2</v>
      </c>
      <c r="K6371" s="1">
        <v>1.964989769806827</v>
      </c>
      <c r="L6371" s="1">
        <v>1.2102980050524286</v>
      </c>
      <c r="M6371" s="1">
        <v>0.18393240011511247</v>
      </c>
      <c r="N6371" s="1">
        <v>0.72062235516370299</v>
      </c>
      <c r="O6371" s="1">
        <v>0.19130181818181813</v>
      </c>
      <c r="P6371" s="1">
        <v>8.8663244983951117E-2</v>
      </c>
      <c r="Q6371" s="1">
        <v>1.0120197801459796</v>
      </c>
      <c r="R6371" s="2">
        <f t="shared" si="399"/>
        <v>29.326637332735441</v>
      </c>
      <c r="S6371" s="2">
        <f t="shared" si="398"/>
        <v>2.0778832512276795</v>
      </c>
      <c r="T6371" s="2">
        <f t="shared" si="400"/>
        <v>2.3061545785130622</v>
      </c>
      <c r="U6371" s="2">
        <f t="shared" si="401"/>
        <v>33.710675162476178</v>
      </c>
    </row>
    <row r="6372" spans="1:21" x14ac:dyDescent="0.25">
      <c r="A6372">
        <v>6924305</v>
      </c>
      <c r="B6372">
        <v>6</v>
      </c>
      <c r="C6372" s="1">
        <f>1.55592694311956*(10.3/7.3)</f>
        <v>2.1953489745385575</v>
      </c>
      <c r="D6372" s="1">
        <f>3.17342711272619*(10.3/7.3)</f>
        <v>4.4775752412438079</v>
      </c>
      <c r="E6372" s="1">
        <f>10.6734764348844*(10.3/7.3)</f>
        <v>15.059836613603999</v>
      </c>
      <c r="F6372" s="1">
        <f>39.0953536731285*(38.9/42.5)</f>
        <v>35.783747244345804</v>
      </c>
      <c r="G6372" s="1">
        <v>2.3476133100137302</v>
      </c>
      <c r="H6372" s="1">
        <v>10.503861931871684</v>
      </c>
      <c r="I6372" s="1">
        <v>29.580453862178739</v>
      </c>
      <c r="J6372" s="1">
        <v>2.3402683122311713E-2</v>
      </c>
      <c r="K6372" s="1">
        <v>1.889393519702476</v>
      </c>
      <c r="L6372" s="1">
        <v>1.8286255892220418</v>
      </c>
      <c r="M6372" s="1">
        <v>0.17513942835131016</v>
      </c>
      <c r="N6372" s="1">
        <v>1.0097880192535833</v>
      </c>
      <c r="O6372" s="1">
        <v>0.13856000000000002</v>
      </c>
      <c r="P6372" s="1">
        <v>8.3991930932454661E-2</v>
      </c>
      <c r="Q6372" s="1">
        <v>3.7518934178301659</v>
      </c>
      <c r="R6372" s="2">
        <f t="shared" si="399"/>
        <v>103.70033059562648</v>
      </c>
      <c r="S6372" s="2">
        <f t="shared" si="398"/>
        <v>1.9967881337572424</v>
      </c>
      <c r="T6372" s="2">
        <f t="shared" si="400"/>
        <v>3.1521130368269352</v>
      </c>
      <c r="U6372" s="2">
        <f t="shared" si="401"/>
        <v>108.84923176621066</v>
      </c>
    </row>
    <row r="6373" spans="1:21" x14ac:dyDescent="0.25">
      <c r="A6373">
        <v>6924313</v>
      </c>
      <c r="B6373">
        <v>56</v>
      </c>
      <c r="C6373" s="1">
        <f>1.98315891705608*(10.3/7.3)</f>
        <v>2.7981557322846053</v>
      </c>
      <c r="D6373" s="1">
        <f>4.0032438579953*(10.3/7.3)</f>
        <v>5.6484125667604923</v>
      </c>
      <c r="E6373" s="1">
        <f>13.522057622832*(10.3/7.3)</f>
        <v>19.079067604817705</v>
      </c>
      <c r="F6373" s="1">
        <f>46.7322180149761*(38.9/42.5)</f>
        <v>42.77372425370757</v>
      </c>
      <c r="G6373" s="1">
        <v>2.7373047039185456</v>
      </c>
      <c r="H6373" s="1">
        <v>8.6235535579259679</v>
      </c>
      <c r="I6373" s="1">
        <v>35.026051661201819</v>
      </c>
      <c r="J6373" s="1">
        <v>2.6381967817513879E-2</v>
      </c>
      <c r="K6373" s="1">
        <v>2.1245157175977991</v>
      </c>
      <c r="L6373" s="1">
        <v>2.1133003866310274</v>
      </c>
      <c r="M6373" s="1">
        <v>0.19655812413063228</v>
      </c>
      <c r="N6373" s="1">
        <v>1.1380357727438974</v>
      </c>
      <c r="O6373" s="1">
        <v>0.15977238095238086</v>
      </c>
      <c r="P6373" s="1">
        <v>9.3128941214881772E-2</v>
      </c>
      <c r="Q6373" s="1">
        <v>4.3746878829748512</v>
      </c>
      <c r="R6373" s="2">
        <f t="shared" si="399"/>
        <v>121.06095796359156</v>
      </c>
      <c r="S6373" s="2">
        <f t="shared" si="398"/>
        <v>2.2440266266301947</v>
      </c>
      <c r="T6373" s="2">
        <f t="shared" si="400"/>
        <v>3.6076666644579385</v>
      </c>
      <c r="U6373" s="2">
        <f t="shared" si="401"/>
        <v>126.91265125467969</v>
      </c>
    </row>
    <row r="6374" spans="1:21" x14ac:dyDescent="0.25">
      <c r="A6374">
        <v>6924321</v>
      </c>
      <c r="B6374">
        <v>36</v>
      </c>
      <c r="C6374" s="1">
        <f>1.54911172775939*(10.3/7.3)</f>
        <v>2.1857329857427059</v>
      </c>
      <c r="D6374" s="1">
        <f>3.21909969297152*(10.3/7.3)</f>
        <v>4.5420173750146144</v>
      </c>
      <c r="E6374" s="1">
        <f>10.8598826160354*(10.3/7.3)</f>
        <v>15.322848074680072</v>
      </c>
      <c r="F6374" s="1">
        <f>37.7746178413904*(38.9/42.5)</f>
        <v>34.574885506590256</v>
      </c>
      <c r="G6374" s="1">
        <v>2.2221974455949596</v>
      </c>
      <c r="H6374" s="1">
        <v>8.1335602169218166</v>
      </c>
      <c r="I6374" s="1">
        <v>28.241990824826733</v>
      </c>
      <c r="J6374" s="1">
        <v>2.3148562363962746E-2</v>
      </c>
      <c r="K6374" s="1">
        <v>1.9072618788558995</v>
      </c>
      <c r="L6374" s="1">
        <v>1.8274643067039651</v>
      </c>
      <c r="M6374" s="1">
        <v>0.17393730232759352</v>
      </c>
      <c r="N6374" s="1">
        <v>1.1325883290793277</v>
      </c>
      <c r="O6374" s="1">
        <v>0.13868888888888892</v>
      </c>
      <c r="P6374" s="1">
        <v>8.3617141991845265E-2</v>
      </c>
      <c r="Q6374" s="1">
        <v>3.5514571048321302</v>
      </c>
      <c r="R6374" s="2">
        <f t="shared" si="399"/>
        <v>98.774689534203276</v>
      </c>
      <c r="S6374" s="2">
        <f t="shared" si="398"/>
        <v>2.0140275832117074</v>
      </c>
      <c r="T6374" s="2">
        <f t="shared" si="400"/>
        <v>3.2726788269997753</v>
      </c>
      <c r="U6374" s="2">
        <f t="shared" si="401"/>
        <v>104.06139594441477</v>
      </c>
    </row>
    <row r="6375" spans="1:21" x14ac:dyDescent="0.25">
      <c r="A6375">
        <v>6924505</v>
      </c>
      <c r="B6375">
        <v>15</v>
      </c>
      <c r="C6375" s="1">
        <f>3.63035016028316*(10.3/7.3)</f>
        <v>5.122274883687199</v>
      </c>
      <c r="D6375" s="1">
        <f>7.48296843038718*(10.3/7.3)</f>
        <v>10.558160936025754</v>
      </c>
      <c r="E6375" s="1">
        <f>25.4868319417351*(10.3/7.3)</f>
        <v>35.960872465735882</v>
      </c>
      <c r="F6375" s="1">
        <f>76.3520967373209*(38.9/42.5)</f>
        <v>69.884625013689032</v>
      </c>
      <c r="G6375" s="1">
        <v>4.1780650042017662</v>
      </c>
      <c r="H6375" s="1">
        <v>11.389093063236968</v>
      </c>
      <c r="I6375" s="1">
        <v>55.373752679226371</v>
      </c>
      <c r="J6375" s="1">
        <v>3.4953249509961079E-2</v>
      </c>
      <c r="K6375" s="1">
        <v>2.3363167326709164</v>
      </c>
      <c r="L6375" s="1">
        <v>2.2776935700165053</v>
      </c>
      <c r="M6375" s="1">
        <v>0.17374401339932188</v>
      </c>
      <c r="N6375" s="1">
        <v>1.5330376094651788</v>
      </c>
      <c r="O6375" s="1">
        <v>0.15019022222222222</v>
      </c>
      <c r="P6375" s="1">
        <v>9.6637123167694378E-2</v>
      </c>
      <c r="Q6375" s="1">
        <v>6.6772728377653889</v>
      </c>
      <c r="R6375" s="2">
        <f t="shared" si="399"/>
        <v>199.14411688356839</v>
      </c>
      <c r="S6375" s="2">
        <f t="shared" si="398"/>
        <v>2.4679071053485719</v>
      </c>
      <c r="T6375" s="2">
        <f t="shared" si="400"/>
        <v>4.1346654151032283</v>
      </c>
      <c r="U6375" s="2">
        <f t="shared" si="401"/>
        <v>205.74668940402017</v>
      </c>
    </row>
    <row r="6376" spans="1:21" x14ac:dyDescent="0.25">
      <c r="A6376">
        <v>6924513</v>
      </c>
      <c r="B6376">
        <v>12</v>
      </c>
      <c r="C6376" s="1">
        <f>3.52066723489742*(10.3/7.3)</f>
        <v>4.9675167834853964</v>
      </c>
      <c r="D6376" s="1">
        <f>8.41817298575971*(10.3/7.3)</f>
        <v>11.877696130592469</v>
      </c>
      <c r="E6376" s="1">
        <f>28.2487435461201*(10.3/7.3)</f>
        <v>39.857816236306476</v>
      </c>
      <c r="F6376" s="1">
        <f>100.746785395967*(38.9/42.5)</f>
        <v>92.212940044778946</v>
      </c>
      <c r="G6376" s="1">
        <v>6.028902737187912</v>
      </c>
      <c r="H6376" s="1">
        <v>10.043107301771995</v>
      </c>
      <c r="I6376" s="1">
        <v>74.45997907912826</v>
      </c>
      <c r="J6376" s="1">
        <v>3.3096989306303282E-2</v>
      </c>
      <c r="K6376" s="1">
        <v>2.2420349301322511</v>
      </c>
      <c r="L6376" s="1">
        <v>2.1402102138681998</v>
      </c>
      <c r="M6376" s="1">
        <v>0.16258273539715262</v>
      </c>
      <c r="N6376" s="1">
        <v>1.5016145549442168</v>
      </c>
      <c r="O6376" s="1">
        <v>0.14095555555555556</v>
      </c>
      <c r="P6376" s="1">
        <v>9.1972868301816016E-2</v>
      </c>
      <c r="Q6376" s="1">
        <v>9.6352326850035226</v>
      </c>
      <c r="R6376" s="2">
        <f t="shared" si="399"/>
        <v>249.08319099825496</v>
      </c>
      <c r="S6376" s="2">
        <f t="shared" si="398"/>
        <v>2.3671047877403701</v>
      </c>
      <c r="T6376" s="2">
        <f t="shared" si="400"/>
        <v>3.9453630597651248</v>
      </c>
      <c r="U6376" s="2">
        <f t="shared" si="401"/>
        <v>255.39565884576047</v>
      </c>
    </row>
    <row r="6377" spans="1:21" x14ac:dyDescent="0.25">
      <c r="A6377">
        <v>6936109</v>
      </c>
      <c r="B6377">
        <v>22</v>
      </c>
      <c r="C6377" s="1">
        <f>0.360235024626772*(10.3/7.3)</f>
        <v>0.50827681556928173</v>
      </c>
      <c r="D6377" s="1">
        <f>0.685227222476961*(10.3/7.3)</f>
        <v>0.96682745089215083</v>
      </c>
      <c r="E6377" s="1">
        <f>2.33425604703137*(10.3/7.3)</f>
        <v>3.2935393540305586</v>
      </c>
      <c r="F6377" s="1">
        <f>7.25267862144432*(38.9/42.5)</f>
        <v>6.638334079392564</v>
      </c>
      <c r="G6377" s="1">
        <v>0.4024633238510742</v>
      </c>
      <c r="H6377" s="1">
        <v>2.9695236382271655</v>
      </c>
      <c r="I6377" s="1">
        <v>5.3673991341768179</v>
      </c>
      <c r="J6377" s="1">
        <v>1.9794545527423699E-2</v>
      </c>
      <c r="K6377" s="1">
        <v>1.8705357341778091</v>
      </c>
      <c r="L6377" s="1">
        <v>1.1522594348553026</v>
      </c>
      <c r="M6377" s="1">
        <v>0.17599305808372903</v>
      </c>
      <c r="N6377" s="1">
        <v>0.71315574594963127</v>
      </c>
      <c r="O6377" s="1">
        <v>0.18234909090909091</v>
      </c>
      <c r="P6377" s="1">
        <v>8.6142918902406052E-2</v>
      </c>
      <c r="Q6377" s="1">
        <v>0.64320622533276761</v>
      </c>
      <c r="R6377" s="2">
        <f t="shared" si="399"/>
        <v>20.789570021472382</v>
      </c>
      <c r="S6377" s="2">
        <f t="shared" si="398"/>
        <v>1.9764731986076389</v>
      </c>
      <c r="T6377" s="2">
        <f t="shared" si="400"/>
        <v>2.2237573297977535</v>
      </c>
      <c r="U6377" s="2">
        <f t="shared" si="401"/>
        <v>24.989800549877774</v>
      </c>
    </row>
    <row r="6378" spans="1:21" x14ac:dyDescent="0.25">
      <c r="A6378">
        <v>6936117</v>
      </c>
      <c r="B6378">
        <v>11</v>
      </c>
      <c r="C6378" s="1">
        <f>0.383859160019727*(10.3/7.3)</f>
        <v>0.54160949975386152</v>
      </c>
      <c r="D6378" s="1">
        <f>0.784248693853121*(10.3/7.3)</f>
        <v>1.1065426776283758</v>
      </c>
      <c r="E6378" s="1">
        <f>2.6517626299048*(10.3/7.3)</f>
        <v>3.7415280942492388</v>
      </c>
      <c r="F6378" s="1">
        <f>8.9750724716891*(38.9/42.5)</f>
        <v>8.2148310387930792</v>
      </c>
      <c r="G6378" s="1">
        <v>0.52120956132866736</v>
      </c>
      <c r="H6378" s="1">
        <v>5.2520836516632583</v>
      </c>
      <c r="I6378" s="1">
        <v>6.6890961970836944</v>
      </c>
      <c r="J6378" s="1">
        <v>2.163108126270703E-2</v>
      </c>
      <c r="K6378" s="1">
        <v>1.9879754134405359</v>
      </c>
      <c r="L6378" s="1">
        <v>1.2335664015524432</v>
      </c>
      <c r="M6378" s="1">
        <v>0.18754206132417253</v>
      </c>
      <c r="N6378" s="1">
        <v>0.73813397769033595</v>
      </c>
      <c r="O6378" s="1">
        <v>0.19353212121212121</v>
      </c>
      <c r="P6378" s="1">
        <v>8.967462865495518E-2</v>
      </c>
      <c r="Q6378" s="1">
        <v>0.83298331719193508</v>
      </c>
      <c r="R6378" s="2">
        <f t="shared" si="399"/>
        <v>26.899884037692114</v>
      </c>
      <c r="S6378" s="2">
        <f t="shared" si="398"/>
        <v>2.0992811233581983</v>
      </c>
      <c r="T6378" s="2">
        <f t="shared" si="400"/>
        <v>2.3527745617790727</v>
      </c>
      <c r="U6378" s="2">
        <f t="shared" si="401"/>
        <v>31.351939722829385</v>
      </c>
    </row>
    <row r="6379" spans="1:21" x14ac:dyDescent="0.25">
      <c r="A6379">
        <v>6936541</v>
      </c>
      <c r="B6379">
        <v>30</v>
      </c>
      <c r="C6379" s="1">
        <f>1.78252842838057*(10.3/7.3)</f>
        <v>2.5150743578520443</v>
      </c>
      <c r="D6379" s="1">
        <f>3.54796059582692*(10.3/7.3)</f>
        <v>5.0060265941119528</v>
      </c>
      <c r="E6379" s="1">
        <f>11.9747698970323*(10.3/7.3)</f>
        <v>16.895908210881146</v>
      </c>
      <c r="F6379" s="1">
        <f>42.1258517326045*(38.9/42.5)</f>
        <v>38.55754429172503</v>
      </c>
      <c r="G6379" s="1">
        <v>2.4845931847448783</v>
      </c>
      <c r="H6379" s="1">
        <v>9.9129987039163812</v>
      </c>
      <c r="I6379" s="1">
        <v>31.736810849930727</v>
      </c>
      <c r="J6379" s="1">
        <v>2.5318913939071534E-2</v>
      </c>
      <c r="K6379" s="1">
        <v>1.9965795964302624</v>
      </c>
      <c r="L6379" s="1">
        <v>1.9492501438300713</v>
      </c>
      <c r="M6379" s="1">
        <v>0.18431254162833446</v>
      </c>
      <c r="N6379" s="1">
        <v>1.0645569876705705</v>
      </c>
      <c r="O6379" s="1">
        <v>0.14863644444444446</v>
      </c>
      <c r="P6379" s="1">
        <v>8.8206949506093285E-2</v>
      </c>
      <c r="Q6379" s="1">
        <v>3.9708110258479832</v>
      </c>
      <c r="R6379" s="2">
        <f t="shared" si="399"/>
        <v>111.07976721901014</v>
      </c>
      <c r="S6379" s="2">
        <f t="shared" si="398"/>
        <v>2.1101054598754274</v>
      </c>
      <c r="T6379" s="2">
        <f t="shared" si="400"/>
        <v>3.3467561175734213</v>
      </c>
      <c r="U6379" s="2">
        <f t="shared" si="401"/>
        <v>116.53662879645898</v>
      </c>
    </row>
    <row r="6380" spans="1:21" x14ac:dyDescent="0.25">
      <c r="A6380">
        <v>6936549</v>
      </c>
      <c r="B6380">
        <v>38</v>
      </c>
      <c r="C6380" s="1">
        <f>1.62746224788686*(10.3/7.3)</f>
        <v>2.2962823497581693</v>
      </c>
      <c r="D6380" s="1">
        <f>3.28604210357923*(10.3/7.3)</f>
        <v>4.6364703653241222</v>
      </c>
      <c r="E6380" s="1">
        <f>11.103280057374*(10.3/7.3)</f>
        <v>15.666271861774339</v>
      </c>
      <c r="F6380" s="1">
        <f>38.1731624470475*(38.9/42.5)</f>
        <v>34.939671039768143</v>
      </c>
      <c r="G6380" s="1">
        <v>2.2308877083636189</v>
      </c>
      <c r="H6380" s="1">
        <v>7.3509177329084991</v>
      </c>
      <c r="I6380" s="1">
        <v>28.581520385617367</v>
      </c>
      <c r="J6380" s="1">
        <v>2.411636021740737E-2</v>
      </c>
      <c r="K6380" s="1">
        <v>1.9725083448994734</v>
      </c>
      <c r="L6380" s="1">
        <v>1.9110599357696363</v>
      </c>
      <c r="M6380" s="1">
        <v>0.17989965912794573</v>
      </c>
      <c r="N6380" s="1">
        <v>1.074679351106983</v>
      </c>
      <c r="O6380" s="1">
        <v>0.1451340350877193</v>
      </c>
      <c r="P6380" s="1">
        <v>8.6659290041912015E-2</v>
      </c>
      <c r="Q6380" s="1">
        <v>3.5653456526359264</v>
      </c>
      <c r="R6380" s="2">
        <f t="shared" si="399"/>
        <v>99.267367096150181</v>
      </c>
      <c r="S6380" s="2">
        <f t="shared" si="398"/>
        <v>2.0832839951587925</v>
      </c>
      <c r="T6380" s="2">
        <f t="shared" si="400"/>
        <v>3.3107729810922844</v>
      </c>
      <c r="U6380" s="2">
        <f t="shared" si="401"/>
        <v>104.66142407240126</v>
      </c>
    </row>
    <row r="6381" spans="1:21" x14ac:dyDescent="0.25">
      <c r="A6381">
        <v>6948345</v>
      </c>
      <c r="B6381">
        <v>1</v>
      </c>
      <c r="C6381" s="1">
        <f>0.34551814236688*(10.3/7.3)</f>
        <v>0.48751189950395463</v>
      </c>
      <c r="D6381" s="1">
        <f>0.667162889885843*(10.3/7.3)</f>
        <v>0.94133941997591497</v>
      </c>
      <c r="E6381" s="1">
        <f>2.26776249348542*(10.3/7.3)</f>
        <v>3.1997196825890222</v>
      </c>
      <c r="F6381" s="1">
        <f>7.24920664208512*(38.9/42.5)</f>
        <v>6.6351561971084969</v>
      </c>
      <c r="G6381" s="1">
        <v>0.40847184054946395</v>
      </c>
      <c r="H6381" s="1">
        <v>3.5673493353526475</v>
      </c>
      <c r="I6381" s="1">
        <v>5.3838528251556479</v>
      </c>
      <c r="J6381" s="1">
        <v>2.0324945997075992E-2</v>
      </c>
      <c r="K6381" s="1">
        <v>1.8906539706743004</v>
      </c>
      <c r="L6381" s="1">
        <v>1.1306237617833359</v>
      </c>
      <c r="M6381" s="1">
        <v>0.17263904042708345</v>
      </c>
      <c r="N6381" s="1">
        <v>0.68687037380635763</v>
      </c>
      <c r="O6381" s="1">
        <v>0.18015999999999999</v>
      </c>
      <c r="P6381" s="1">
        <v>8.5414836673861877E-2</v>
      </c>
      <c r="Q6381" s="1">
        <v>0.65280887759046813</v>
      </c>
      <c r="R6381" s="2">
        <f t="shared" si="399"/>
        <v>21.276210077825617</v>
      </c>
      <c r="S6381" s="2">
        <f t="shared" si="398"/>
        <v>1.9963937533452383</v>
      </c>
      <c r="T6381" s="2">
        <f t="shared" si="400"/>
        <v>2.1702931760167767</v>
      </c>
      <c r="U6381" s="2">
        <f t="shared" si="401"/>
        <v>25.442897007187632</v>
      </c>
    </row>
    <row r="6382" spans="1:21" x14ac:dyDescent="0.25">
      <c r="A6382">
        <v>6948777</v>
      </c>
      <c r="B6382">
        <v>55</v>
      </c>
      <c r="C6382" s="1">
        <f>1.68772894364664*(10.3/7.3)</f>
        <v>2.3813161807617003</v>
      </c>
      <c r="D6382" s="1">
        <f>3.45776000205836*(10.3/7.3)</f>
        <v>4.8787572631782288</v>
      </c>
      <c r="E6382" s="1">
        <f>11.6432266470872*(10.3/7.3)</f>
        <v>16.428114310273656</v>
      </c>
      <c r="F6382" s="1">
        <f>41.8708190732366*(38.9/42.5)</f>
        <v>38.324114398797697</v>
      </c>
      <c r="G6382" s="1">
        <v>2.4961290165878913</v>
      </c>
      <c r="H6382" s="1">
        <v>8.9002953482555398</v>
      </c>
      <c r="I6382" s="1">
        <v>31.55753082235135</v>
      </c>
      <c r="J6382" s="1">
        <v>2.3756540599277311E-2</v>
      </c>
      <c r="K6382" s="1">
        <v>1.9458999242995212</v>
      </c>
      <c r="L6382" s="1">
        <v>1.8812110429029596</v>
      </c>
      <c r="M6382" s="1">
        <v>0.1781189760587093</v>
      </c>
      <c r="N6382" s="1">
        <v>1.0326180710125163</v>
      </c>
      <c r="O6382" s="1">
        <v>0.14395345454545461</v>
      </c>
      <c r="P6382" s="1">
        <v>8.6210597309411816E-2</v>
      </c>
      <c r="Q6382" s="1">
        <v>3.9892472867843041</v>
      </c>
      <c r="R6382" s="2">
        <f t="shared" si="399"/>
        <v>108.95550462699038</v>
      </c>
      <c r="S6382" s="2">
        <f t="shared" si="398"/>
        <v>2.0558670622082102</v>
      </c>
      <c r="T6382" s="2">
        <f t="shared" si="400"/>
        <v>3.2359015445196393</v>
      </c>
      <c r="U6382" s="2">
        <f t="shared" si="401"/>
        <v>114.24727323371822</v>
      </c>
    </row>
    <row r="6383" spans="1:21" x14ac:dyDescent="0.25">
      <c r="A6383">
        <v>6948785</v>
      </c>
      <c r="B6383">
        <v>4</v>
      </c>
      <c r="C6383" s="1">
        <f>1.38993883265109*(10.3/7.3)</f>
        <v>1.961146572096744</v>
      </c>
      <c r="D6383" s="1">
        <f>2.8145380515065*(10.3/7.3)</f>
        <v>3.971197524728348</v>
      </c>
      <c r="E6383" s="1">
        <f>9.49915724930136*(10.3/7.3)</f>
        <v>13.402920502438912</v>
      </c>
      <c r="F6383" s="1">
        <f>33.1861650380919*(38.9/42.5)</f>
        <v>30.375101646629986</v>
      </c>
      <c r="G6383" s="1">
        <v>1.9533044016818992</v>
      </c>
      <c r="H6383" s="1">
        <v>7.9828678865024161</v>
      </c>
      <c r="I6383" s="1">
        <v>24.914217299196839</v>
      </c>
      <c r="J6383" s="1">
        <v>2.165731197684256E-2</v>
      </c>
      <c r="K6383" s="1">
        <v>1.8074224521469777</v>
      </c>
      <c r="L6383" s="1">
        <v>1.7020138167568342</v>
      </c>
      <c r="M6383" s="1">
        <v>0.16376164714167024</v>
      </c>
      <c r="N6383" s="1">
        <v>0.97479476066617798</v>
      </c>
      <c r="O6383" s="1">
        <v>0.12978666666666666</v>
      </c>
      <c r="P6383" s="1">
        <v>7.9713439648480849E-2</v>
      </c>
      <c r="Q6383" s="1">
        <v>3.1217193634185638</v>
      </c>
      <c r="R6383" s="2">
        <f t="shared" si="399"/>
        <v>87.682475196693716</v>
      </c>
      <c r="S6383" s="2">
        <f t="shared" si="398"/>
        <v>1.9087932037723012</v>
      </c>
      <c r="T6383" s="2">
        <f t="shared" si="400"/>
        <v>2.9703568912313489</v>
      </c>
      <c r="U6383" s="2">
        <f t="shared" si="401"/>
        <v>92.561625291697368</v>
      </c>
    </row>
    <row r="6384" spans="1:21" x14ac:dyDescent="0.25">
      <c r="A6384">
        <v>6960573</v>
      </c>
      <c r="B6384">
        <v>22</v>
      </c>
      <c r="C6384" s="1">
        <f>0.376668182490352*(10.3/7.3)</f>
        <v>0.53146332597953783</v>
      </c>
      <c r="D6384" s="1">
        <f>0.722391138320211*(10.3/7.3)</f>
        <v>1.0192642088627633</v>
      </c>
      <c r="E6384" s="1">
        <f>2.45988586933525*(10.3/7.3)</f>
        <v>3.4707978704319276</v>
      </c>
      <c r="F6384" s="1">
        <f>7.66184277830135*(38.9/42.5)</f>
        <v>7.0128396253158218</v>
      </c>
      <c r="G6384" s="1">
        <v>0.42593653072554649</v>
      </c>
      <c r="H6384" s="1">
        <v>1.9708062951976479</v>
      </c>
      <c r="I6384" s="1">
        <v>5.6659421772203409</v>
      </c>
      <c r="J6384" s="1">
        <v>1.925643014184918E-2</v>
      </c>
      <c r="K6384" s="1">
        <v>1.8815993272160656</v>
      </c>
      <c r="L6384" s="1">
        <v>1.1726543775729754</v>
      </c>
      <c r="M6384" s="1">
        <v>0.17871950629587455</v>
      </c>
      <c r="N6384" s="1">
        <v>0.71705360761283943</v>
      </c>
      <c r="O6384" s="1">
        <v>0.18246545454545451</v>
      </c>
      <c r="P6384" s="1">
        <v>8.7013833902736579E-2</v>
      </c>
      <c r="Q6384" s="1">
        <v>0.68072048289470999</v>
      </c>
      <c r="R6384" s="2">
        <f t="shared" si="399"/>
        <v>20.777770516628298</v>
      </c>
      <c r="S6384" s="2">
        <f t="shared" si="398"/>
        <v>1.9878695912606514</v>
      </c>
      <c r="T6384" s="2">
        <f t="shared" si="400"/>
        <v>2.2508929460271441</v>
      </c>
      <c r="U6384" s="2">
        <f t="shared" si="401"/>
        <v>25.016533053916092</v>
      </c>
    </row>
    <row r="6385" spans="1:21" x14ac:dyDescent="0.25">
      <c r="A6385">
        <v>6961005</v>
      </c>
      <c r="B6385">
        <v>13</v>
      </c>
      <c r="C6385" s="1">
        <f>1.59791609090176*(10.3/7.3)</f>
        <v>2.254593936477832</v>
      </c>
      <c r="D6385" s="1">
        <f>3.29756812081291*(10.3/7.3)</f>
        <v>4.6527331019688987</v>
      </c>
      <c r="E6385" s="1">
        <f>11.073578835635*(10.3/7.3)</f>
        <v>15.624364658498715</v>
      </c>
      <c r="F6385" s="1">
        <f>41.2797432015481*(38.9/42.5)</f>
        <v>37.783106130358163</v>
      </c>
      <c r="G6385" s="1">
        <v>2.4974960891933438</v>
      </c>
      <c r="H6385" s="1">
        <v>11.927856005979205</v>
      </c>
      <c r="I6385" s="1">
        <v>31.287280759672761</v>
      </c>
      <c r="J6385" s="1">
        <v>2.3611796907475138E-2</v>
      </c>
      <c r="K6385" s="1">
        <v>1.9597872999307309</v>
      </c>
      <c r="L6385" s="1">
        <v>1.887646206442851</v>
      </c>
      <c r="M6385" s="1">
        <v>0.17801102846506944</v>
      </c>
      <c r="N6385" s="1">
        <v>1.0690036892692241</v>
      </c>
      <c r="O6385" s="1">
        <v>0.14432410256410255</v>
      </c>
      <c r="P6385" s="1">
        <v>8.7282373952137698E-2</v>
      </c>
      <c r="Q6385" s="1">
        <v>3.9914321060167635</v>
      </c>
      <c r="R6385" s="2">
        <f t="shared" si="399"/>
        <v>110.01886278816568</v>
      </c>
      <c r="S6385" s="2">
        <f t="shared" si="398"/>
        <v>2.0706814707903436</v>
      </c>
      <c r="T6385" s="2">
        <f t="shared" si="400"/>
        <v>3.2789850267412475</v>
      </c>
      <c r="U6385" s="2">
        <f t="shared" si="401"/>
        <v>115.36852928569728</v>
      </c>
    </row>
    <row r="6386" spans="1:21" x14ac:dyDescent="0.25">
      <c r="A6386">
        <v>6961013</v>
      </c>
      <c r="B6386">
        <v>3</v>
      </c>
      <c r="C6386" s="1">
        <f>1.46982953089096*(10.3/7.3)</f>
        <v>2.073869064133826</v>
      </c>
      <c r="D6386" s="1">
        <f>3.03833517408626*(10.3/7.3)</f>
        <v>4.2869660675463708</v>
      </c>
      <c r="E6386" s="1">
        <f>10.2252599965564*(10.3/7.3)</f>
        <v>14.427421638976785</v>
      </c>
      <c r="F6386" s="1">
        <f>36.9330670739702*(38.9/42.5)</f>
        <v>33.804619039469202</v>
      </c>
      <c r="G6386" s="1">
        <v>2.2066992874443501</v>
      </c>
      <c r="H6386" s="1">
        <v>10.035829282098485</v>
      </c>
      <c r="I6386" s="1">
        <v>27.828026009695154</v>
      </c>
      <c r="J6386" s="1">
        <v>2.1968480252371903E-2</v>
      </c>
      <c r="K6386" s="1">
        <v>1.8207681320449967</v>
      </c>
      <c r="L6386" s="1">
        <v>1.7259800331481685</v>
      </c>
      <c r="M6386" s="1">
        <v>0.16562457049928669</v>
      </c>
      <c r="N6386" s="1">
        <v>0.98479967995844897</v>
      </c>
      <c r="O6386" s="1">
        <v>0.13086222222222224</v>
      </c>
      <c r="P6386" s="1">
        <v>8.0071140390952741E-2</v>
      </c>
      <c r="Q6386" s="1">
        <v>3.5266883589293307</v>
      </c>
      <c r="R6386" s="2">
        <f t="shared" si="399"/>
        <v>98.190118748293514</v>
      </c>
      <c r="S6386" s="2">
        <f t="shared" si="398"/>
        <v>1.9228077526883212</v>
      </c>
      <c r="T6386" s="2">
        <f t="shared" si="400"/>
        <v>3.0072665058281265</v>
      </c>
      <c r="U6386" s="2">
        <f t="shared" si="401"/>
        <v>103.12019300680997</v>
      </c>
    </row>
    <row r="6387" spans="1:21" x14ac:dyDescent="0.25">
      <c r="A6387">
        <v>6972809</v>
      </c>
      <c r="B6387">
        <v>27</v>
      </c>
      <c r="C6387" s="1">
        <f>0.433064156648222*(10.3/7.3)</f>
        <v>0.6110357278735189</v>
      </c>
      <c r="D6387" s="1">
        <f>0.863209669783673*(10.3/7.3)</f>
        <v>1.2179533696947713</v>
      </c>
      <c r="E6387" s="1">
        <f>2.9308412360403*(10.3/7.3)</f>
        <v>4.1352965385226179</v>
      </c>
      <c r="F6387" s="1">
        <f>9.39893832090139*(38.9/42.5)</f>
        <v>8.602792957248564</v>
      </c>
      <c r="G6387" s="1">
        <v>0.5314715818514224</v>
      </c>
      <c r="H6387" s="1">
        <v>3.0423863983555766</v>
      </c>
      <c r="I6387" s="1">
        <v>6.9527711409238853</v>
      </c>
      <c r="J6387" s="1">
        <v>2.2179068883285708E-2</v>
      </c>
      <c r="K6387" s="1">
        <v>1.9940998689041456</v>
      </c>
      <c r="L6387" s="1">
        <v>1.273441763477059</v>
      </c>
      <c r="M6387" s="1">
        <v>0.18774559595551535</v>
      </c>
      <c r="N6387" s="1">
        <v>0.77682175692571187</v>
      </c>
      <c r="O6387" s="1">
        <v>0.19634567901234573</v>
      </c>
      <c r="P6387" s="1">
        <v>9.1043993158030453E-2</v>
      </c>
      <c r="Q6387" s="1">
        <v>0.84938380661186319</v>
      </c>
      <c r="R6387" s="2">
        <f t="shared" si="399"/>
        <v>25.94309152108222</v>
      </c>
      <c r="S6387" s="2">
        <f t="shared" si="398"/>
        <v>2.107322930945462</v>
      </c>
      <c r="T6387" s="2">
        <f t="shared" si="400"/>
        <v>2.4343547953706324</v>
      </c>
      <c r="U6387" s="2">
        <f t="shared" si="401"/>
        <v>30.484769247398312</v>
      </c>
    </row>
    <row r="6388" spans="1:21" x14ac:dyDescent="0.25">
      <c r="A6388">
        <v>6973233</v>
      </c>
      <c r="B6388">
        <v>27</v>
      </c>
      <c r="C6388" s="1">
        <f>1.67773785402124*(10.3/7.3)</f>
        <v>2.3672191638929774</v>
      </c>
      <c r="D6388" s="1">
        <f>3.24114098827809*(10.3/7.3)</f>
        <v>4.5731167368855248</v>
      </c>
      <c r="E6388" s="1">
        <f>10.9348700633136*(10.3/7.3)</f>
        <v>15.428652281113756</v>
      </c>
      <c r="F6388" s="1">
        <f>39.1904042109528*(38.9/42.5)</f>
        <v>35.87074644249558</v>
      </c>
      <c r="G6388" s="1">
        <v>2.3259953663369841</v>
      </c>
      <c r="H6388" s="1">
        <v>12.26676003056552</v>
      </c>
      <c r="I6388" s="1">
        <v>29.739467133952118</v>
      </c>
      <c r="J6388" s="1">
        <v>2.3304617968811558E-2</v>
      </c>
      <c r="K6388" s="1">
        <v>1.956599655704123</v>
      </c>
      <c r="L6388" s="1">
        <v>1.8819635413835192</v>
      </c>
      <c r="M6388" s="1">
        <v>0.17876167874788038</v>
      </c>
      <c r="N6388" s="1">
        <v>1.0432728500580073</v>
      </c>
      <c r="O6388" s="1">
        <v>0.14460444444444445</v>
      </c>
      <c r="P6388" s="1">
        <v>8.7474831830427771E-2</v>
      </c>
      <c r="Q6388" s="1">
        <v>3.717344192776006</v>
      </c>
      <c r="R6388" s="2">
        <f t="shared" si="399"/>
        <v>106.28930134801847</v>
      </c>
      <c r="S6388" s="2">
        <f t="shared" si="398"/>
        <v>2.0673791055033623</v>
      </c>
      <c r="T6388" s="2">
        <f t="shared" si="400"/>
        <v>3.2486025146338515</v>
      </c>
      <c r="U6388" s="2">
        <f t="shared" si="401"/>
        <v>111.60528296815568</v>
      </c>
    </row>
    <row r="6389" spans="1:21" x14ac:dyDescent="0.25">
      <c r="A6389">
        <v>6973241</v>
      </c>
      <c r="B6389">
        <v>4</v>
      </c>
      <c r="C6389" s="1">
        <f>1.48493142856406*(10.3/7.3)</f>
        <v>2.0951772211246324</v>
      </c>
      <c r="D6389" s="1">
        <f>3.35364964416384*(10.3/7.3)</f>
        <v>4.7318618266969299</v>
      </c>
      <c r="E6389" s="1">
        <f>11.1672923964617*(10.3/7.3)</f>
        <v>15.756590641582964</v>
      </c>
      <c r="F6389" s="1">
        <f>45.1574776123719*(38.9/42.5)</f>
        <v>41.33237362638274</v>
      </c>
      <c r="G6389" s="1">
        <v>2.8258805097114545</v>
      </c>
      <c r="H6389" s="1">
        <v>9.9756456578752584</v>
      </c>
      <c r="I6389" s="1">
        <v>34.377284637661205</v>
      </c>
      <c r="J6389" s="1">
        <v>2.3509470416868378E-2</v>
      </c>
      <c r="K6389" s="1">
        <v>1.9400325450735436</v>
      </c>
      <c r="L6389" s="1">
        <v>1.8628517487400602</v>
      </c>
      <c r="M6389" s="1">
        <v>0.17575958984767337</v>
      </c>
      <c r="N6389" s="1">
        <v>1.0926421468214131</v>
      </c>
      <c r="O6389" s="1">
        <v>0.14186666666666667</v>
      </c>
      <c r="P6389" s="1">
        <v>8.5816294204296886E-2</v>
      </c>
      <c r="Q6389" s="1">
        <v>4.5162473899498172</v>
      </c>
      <c r="R6389" s="2">
        <f t="shared" si="399"/>
        <v>115.611061510985</v>
      </c>
      <c r="S6389" s="2">
        <f t="shared" si="398"/>
        <v>2.0493583096947088</v>
      </c>
      <c r="T6389" s="2">
        <f t="shared" si="400"/>
        <v>3.2731201520758133</v>
      </c>
      <c r="U6389" s="2">
        <f t="shared" si="401"/>
        <v>120.93353997275553</v>
      </c>
    </row>
    <row r="6390" spans="1:21" x14ac:dyDescent="0.25">
      <c r="A6390">
        <v>6973345</v>
      </c>
      <c r="B6390">
        <v>8</v>
      </c>
      <c r="C6390" s="1">
        <f>2.52482154954634*(10.3/7.3)</f>
        <v>3.5624194466201802</v>
      </c>
      <c r="D6390" s="1">
        <f>5.43735840924962*(10.3/7.3)</f>
        <v>7.6718892623659061</v>
      </c>
      <c r="E6390" s="1">
        <f>18.3929078452071*(10.3/7.3)</f>
        <v>25.951637096662083</v>
      </c>
      <c r="F6390" s="1">
        <f>60.479164761413*(38.9/42.5)</f>
        <v>55.356223746328567</v>
      </c>
      <c r="G6390" s="1">
        <v>3.4760878524300649</v>
      </c>
      <c r="H6390" s="1">
        <v>10.239333909123078</v>
      </c>
      <c r="I6390" s="1">
        <v>44.499727580108804</v>
      </c>
      <c r="J6390" s="1">
        <v>3.3092746102546061E-2</v>
      </c>
      <c r="K6390" s="1">
        <v>2.2384243681616205</v>
      </c>
      <c r="L6390" s="1">
        <v>2.2505155319013306</v>
      </c>
      <c r="M6390" s="1">
        <v>0.18470808312933076</v>
      </c>
      <c r="N6390" s="1">
        <v>1.3789302716659799</v>
      </c>
      <c r="O6390" s="1">
        <v>0.15490666666666666</v>
      </c>
      <c r="P6390" s="1">
        <v>9.4396333540925567E-2</v>
      </c>
      <c r="Q6390" s="1">
        <v>5.5553915449795621</v>
      </c>
      <c r="R6390" s="2">
        <f t="shared" si="399"/>
        <v>156.31271043861824</v>
      </c>
      <c r="S6390" s="2">
        <f t="shared" si="398"/>
        <v>2.3659134478050921</v>
      </c>
      <c r="T6390" s="2">
        <f t="shared" si="400"/>
        <v>3.9690605533633079</v>
      </c>
      <c r="U6390" s="2">
        <f t="shared" si="401"/>
        <v>162.64768443978664</v>
      </c>
    </row>
    <row r="6391" spans="1:21" x14ac:dyDescent="0.25">
      <c r="A6391">
        <v>6973393</v>
      </c>
      <c r="B6391">
        <v>2</v>
      </c>
      <c r="C6391" s="1">
        <f>2.97523979651942*(10.3/7.3)</f>
        <v>4.1979410827602779</v>
      </c>
      <c r="D6391" s="1">
        <f>6.00853675600219*(10.3/7.3)</f>
        <v>8.4777984365510299</v>
      </c>
      <c r="E6391" s="1">
        <f>20.4658753360812*(10.3/7.3)</f>
        <v>28.876509035840574</v>
      </c>
      <c r="F6391" s="1">
        <f>61.8687829544634*(38.9/42.5)</f>
        <v>56.628133104202995</v>
      </c>
      <c r="G6391" s="1">
        <v>3.3974943081163058</v>
      </c>
      <c r="H6391" s="1">
        <v>12.267382083529066</v>
      </c>
      <c r="I6391" s="1">
        <v>45.101807572875948</v>
      </c>
      <c r="J6391" s="1">
        <v>3.627514892045984E-2</v>
      </c>
      <c r="K6391" s="1">
        <v>2.2590978492635418</v>
      </c>
      <c r="L6391" s="1">
        <v>2.2372329033221132</v>
      </c>
      <c r="M6391" s="1">
        <v>0.17973246015311189</v>
      </c>
      <c r="N6391" s="1">
        <v>1.5467138468376307</v>
      </c>
      <c r="O6391" s="1">
        <v>0.15154666666666666</v>
      </c>
      <c r="P6391" s="1">
        <v>9.454435242168352E-2</v>
      </c>
      <c r="Q6391" s="1">
        <v>5.4297854239301744</v>
      </c>
      <c r="R6391" s="2">
        <f t="shared" si="399"/>
        <v>164.37685104780638</v>
      </c>
      <c r="S6391" s="2">
        <f t="shared" si="398"/>
        <v>2.389917350605685</v>
      </c>
      <c r="T6391" s="2">
        <f t="shared" si="400"/>
        <v>4.1152258769795225</v>
      </c>
      <c r="U6391" s="2">
        <f t="shared" si="401"/>
        <v>170.88199427539161</v>
      </c>
    </row>
    <row r="6392" spans="1:21" x14ac:dyDescent="0.25">
      <c r="A6392">
        <v>6973401</v>
      </c>
      <c r="B6392">
        <v>10</v>
      </c>
      <c r="C6392" s="1">
        <f>3.2730425804361*(10.3/7.3)</f>
        <v>4.6181285723961363</v>
      </c>
      <c r="D6392" s="1">
        <f>7.07938879985087*(10.3/7.3)</f>
        <v>9.9887266628032805</v>
      </c>
      <c r="E6392" s="1">
        <f>24.0970951988729*(10.3/7.3)</f>
        <v>34.000011034026166</v>
      </c>
      <c r="F6392" s="1">
        <f>71.3433717681058*(38.9/42.5)</f>
        <v>65.300168512454491</v>
      </c>
      <c r="G6392" s="1">
        <v>3.8910510369126117</v>
      </c>
      <c r="H6392" s="1">
        <v>14.581120522503554</v>
      </c>
      <c r="I6392" s="1">
        <v>51.227848450587146</v>
      </c>
      <c r="J6392" s="1">
        <v>3.6730020363233654E-2</v>
      </c>
      <c r="K6392" s="1">
        <v>2.4215406594683868</v>
      </c>
      <c r="L6392" s="1">
        <v>2.4142525053792774</v>
      </c>
      <c r="M6392" s="1">
        <v>0.1907417932995597</v>
      </c>
      <c r="N6392" s="1">
        <v>1.5309979616790663</v>
      </c>
      <c r="O6392" s="1">
        <v>0.16053866666666666</v>
      </c>
      <c r="P6392" s="1">
        <v>0.10055868504400778</v>
      </c>
      <c r="Q6392" s="1">
        <v>6.2185747165270104</v>
      </c>
      <c r="R6392" s="2">
        <f t="shared" si="399"/>
        <v>189.82562950821037</v>
      </c>
      <c r="S6392" s="2">
        <f t="shared" si="398"/>
        <v>2.5588293648756282</v>
      </c>
      <c r="T6392" s="2">
        <f t="shared" si="400"/>
        <v>4.2965309270245706</v>
      </c>
      <c r="U6392" s="2">
        <f t="shared" si="401"/>
        <v>196.68098980011058</v>
      </c>
    </row>
    <row r="6393" spans="1:21" x14ac:dyDescent="0.25">
      <c r="A6393">
        <v>698189</v>
      </c>
      <c r="B6393">
        <v>18</v>
      </c>
      <c r="C6393" s="1">
        <f>1.64757831332024*(10.3/7.3)</f>
        <v>2.3246652913970518</v>
      </c>
      <c r="D6393" s="1">
        <f>2.16759192339119*(10.3/7.3)</f>
        <v>3.0583831247848323</v>
      </c>
      <c r="E6393" s="1">
        <f>7.60893598185593*(10.3/7.3)</f>
        <v>10.735895974399456</v>
      </c>
      <c r="F6393" s="1">
        <f>17.1516654565415*(38.9/42.5)</f>
        <v>15.698818500222648</v>
      </c>
      <c r="G6393" s="1">
        <v>0.72847900220924233</v>
      </c>
      <c r="H6393" s="1">
        <v>5.444705179339234</v>
      </c>
      <c r="I6393" s="1">
        <v>12.869973959047366</v>
      </c>
      <c r="J6393" s="1">
        <v>3.644723440616926E-2</v>
      </c>
      <c r="K6393" s="1">
        <v>5.0622662057960905</v>
      </c>
      <c r="L6393" s="1">
        <v>1.6554904889339699</v>
      </c>
      <c r="M6393" s="1">
        <v>0.14073362387492933</v>
      </c>
      <c r="N6393" s="1">
        <v>1.3330418848740628</v>
      </c>
      <c r="O6393" s="1">
        <v>7.7268148148148155E-2</v>
      </c>
      <c r="P6393" s="1">
        <v>6.5415841871049346E-2</v>
      </c>
      <c r="Q6393" s="1">
        <v>1.164235848279612</v>
      </c>
      <c r="R6393" s="2">
        <f t="shared" si="399"/>
        <v>52.025156879679443</v>
      </c>
      <c r="S6393" s="2">
        <f t="shared" si="398"/>
        <v>5.1641292820733087</v>
      </c>
      <c r="T6393" s="2">
        <f t="shared" si="400"/>
        <v>3.2065341458311103</v>
      </c>
      <c r="U6393" s="2">
        <f t="shared" si="401"/>
        <v>60.395820307583861</v>
      </c>
    </row>
    <row r="6394" spans="1:21" x14ac:dyDescent="0.25">
      <c r="A6394">
        <v>698197</v>
      </c>
      <c r="B6394">
        <v>17</v>
      </c>
      <c r="C6394" s="1">
        <f>1.68578178658919*(10.3/7.3)</f>
        <v>2.3785688221737953</v>
      </c>
      <c r="D6394" s="1">
        <f>2.25244651839221*(10.3/7.3)</f>
        <v>3.1781094711561351</v>
      </c>
      <c r="E6394" s="1">
        <f>7.89013323719565*(10.3/7.3)</f>
        <v>11.132653745632215</v>
      </c>
      <c r="F6394" s="1">
        <f>18.3664960515391*(38.9/42.5)</f>
        <v>16.810745797761655</v>
      </c>
      <c r="G6394" s="1">
        <v>0.80613213792209826</v>
      </c>
      <c r="H6394" s="1">
        <v>3.1958344234034919</v>
      </c>
      <c r="I6394" s="1">
        <v>13.806393328930687</v>
      </c>
      <c r="J6394" s="1">
        <v>3.9305046003334766E-2</v>
      </c>
      <c r="K6394" s="1">
        <v>4.9856014784371396</v>
      </c>
      <c r="L6394" s="1">
        <v>1.7007070656675967</v>
      </c>
      <c r="M6394" s="1">
        <v>0.13301551926745447</v>
      </c>
      <c r="N6394" s="1">
        <v>1.3489905546313437</v>
      </c>
      <c r="O6394" s="1">
        <v>7.9808627450980371E-2</v>
      </c>
      <c r="P6394" s="1">
        <v>6.7648833346895254E-2</v>
      </c>
      <c r="Q6394" s="1">
        <v>1.2883390332088343</v>
      </c>
      <c r="R6394" s="2">
        <f t="shared" si="399"/>
        <v>52.596776760188916</v>
      </c>
      <c r="S6394" s="2">
        <f t="shared" si="398"/>
        <v>5.0925553577873703</v>
      </c>
      <c r="T6394" s="2">
        <f t="shared" si="400"/>
        <v>3.262521767017375</v>
      </c>
      <c r="U6394" s="2">
        <f t="shared" si="401"/>
        <v>60.95185388499366</v>
      </c>
    </row>
    <row r="6395" spans="1:21" x14ac:dyDescent="0.25">
      <c r="A6395">
        <v>698205</v>
      </c>
      <c r="B6395">
        <v>4</v>
      </c>
      <c r="C6395" s="1">
        <f>1.27732182428886*(10.3/7.3)</f>
        <v>1.8022486013938703</v>
      </c>
      <c r="D6395" s="1">
        <f>2.13812488875203*(10.3/7.3)</f>
        <v>3.0168063498830064</v>
      </c>
      <c r="E6395" s="1">
        <f>7.27479550270346*(10.3/7.3)</f>
        <v>10.264437490115839</v>
      </c>
      <c r="F6395" s="1">
        <f>24.600557896802*(38.9/42.5)</f>
        <v>22.516745933778743</v>
      </c>
      <c r="G6395" s="1">
        <v>1.4110089459169588</v>
      </c>
      <c r="H6395" s="1">
        <v>6.2789715114010702</v>
      </c>
      <c r="I6395" s="1">
        <v>18.863247520060966</v>
      </c>
      <c r="J6395" s="1">
        <v>3.2034066765120085E-2</v>
      </c>
      <c r="K6395" s="1">
        <v>4.1280315149598366</v>
      </c>
      <c r="L6395" s="1">
        <v>1.4075347689127715</v>
      </c>
      <c r="M6395" s="1">
        <v>0.10865721377203344</v>
      </c>
      <c r="N6395" s="1">
        <v>1.1808667978659952</v>
      </c>
      <c r="O6395" s="1">
        <v>6.8933333333333346E-2</v>
      </c>
      <c r="P6395" s="1">
        <v>6.0345495464884921E-2</v>
      </c>
      <c r="Q6395" s="1">
        <v>2.2550371281777908</v>
      </c>
      <c r="R6395" s="2">
        <f t="shared" si="399"/>
        <v>66.408503480728243</v>
      </c>
      <c r="S6395" s="2">
        <f t="shared" si="398"/>
        <v>4.2204110771898415</v>
      </c>
      <c r="T6395" s="2">
        <f t="shared" si="400"/>
        <v>2.7659921138841335</v>
      </c>
      <c r="U6395" s="2">
        <f t="shared" si="401"/>
        <v>73.394906671802218</v>
      </c>
    </row>
    <row r="6396" spans="1:21" x14ac:dyDescent="0.25">
      <c r="A6396">
        <v>698245</v>
      </c>
      <c r="B6396">
        <v>1</v>
      </c>
      <c r="C6396" s="1">
        <f>1.366140897197*(10.3/7.3)</f>
        <v>1.9275686631683737</v>
      </c>
      <c r="D6396" s="1">
        <f>1.99762248931377*(10.3/7.3)</f>
        <v>2.8185632383468286</v>
      </c>
      <c r="E6396" s="1">
        <f>6.88148973045682*(10.3/7.3)</f>
        <v>9.70949920872674</v>
      </c>
      <c r="F6396" s="1">
        <f>20.6148162615887*(38.9/42.5)</f>
        <v>18.868620060607032</v>
      </c>
      <c r="G6396" s="1">
        <v>1.0987001962769927</v>
      </c>
      <c r="H6396" s="1">
        <v>2.2774603101403907</v>
      </c>
      <c r="I6396" s="1">
        <v>15.86546082505243</v>
      </c>
      <c r="J6396" s="1">
        <v>4.8007607309168636E-2</v>
      </c>
      <c r="K6396" s="1">
        <v>3.1172719300855682</v>
      </c>
      <c r="L6396" s="1">
        <v>1.2252847084789193</v>
      </c>
      <c r="M6396" s="1">
        <v>7.2143072888018397E-2</v>
      </c>
      <c r="N6396" s="1">
        <v>1.1925574100232663</v>
      </c>
      <c r="O6396" s="1">
        <v>6.2346666666666668E-2</v>
      </c>
      <c r="P6396" s="1">
        <v>5.5123675280899703E-2</v>
      </c>
      <c r="Q6396" s="1">
        <v>1.7559135556938257</v>
      </c>
      <c r="R6396" s="2">
        <f t="shared" si="399"/>
        <v>54.321786058012613</v>
      </c>
      <c r="S6396" s="2">
        <f t="shared" si="398"/>
        <v>3.2204032126756363</v>
      </c>
      <c r="T6396" s="2">
        <f t="shared" si="400"/>
        <v>2.5523318580568706</v>
      </c>
      <c r="U6396" s="2">
        <f t="shared" si="401"/>
        <v>60.094521128745114</v>
      </c>
    </row>
    <row r="6397" spans="1:21" x14ac:dyDescent="0.25">
      <c r="A6397">
        <v>698253</v>
      </c>
      <c r="B6397">
        <v>1</v>
      </c>
      <c r="C6397" s="1">
        <f>1.25382260768984*(10.3/7.3)</f>
        <v>1.7690921724938893</v>
      </c>
      <c r="D6397" s="1">
        <f>1.67079474733567*(10.3/7.3)</f>
        <v>2.3574227256927989</v>
      </c>
      <c r="E6397" s="1">
        <f>5.85894627043543*(10.3/7.3)</f>
        <v>8.2667324089705367</v>
      </c>
      <c r="F6397" s="1">
        <f>13.3525942543463*(38.9/42.5)</f>
        <v>12.221550976331065</v>
      </c>
      <c r="G6397" s="1">
        <v>0.57434981940143959</v>
      </c>
      <c r="H6397" s="1">
        <v>2.1625795688324239</v>
      </c>
      <c r="I6397" s="1">
        <v>10.003860972381396</v>
      </c>
      <c r="J6397" s="1">
        <v>3.6500038719592419E-2</v>
      </c>
      <c r="K6397" s="1">
        <v>3.2647411674087667</v>
      </c>
      <c r="L6397" s="1">
        <v>1.2416959464018782</v>
      </c>
      <c r="M6397" s="1">
        <v>6.9895910201609776E-2</v>
      </c>
      <c r="N6397" s="1">
        <v>1.3465033052080762</v>
      </c>
      <c r="O6397" s="1">
        <v>6.2346666666666668E-2</v>
      </c>
      <c r="P6397" s="1">
        <v>5.483485795259152E-2</v>
      </c>
      <c r="Q6397" s="1">
        <v>0.91791067027627427</v>
      </c>
      <c r="R6397" s="2">
        <f t="shared" si="399"/>
        <v>38.273499314379819</v>
      </c>
      <c r="S6397" s="2">
        <f t="shared" si="398"/>
        <v>3.356076064080951</v>
      </c>
      <c r="T6397" s="2">
        <f t="shared" si="400"/>
        <v>2.7204418284782306</v>
      </c>
      <c r="U6397" s="2">
        <f t="shared" si="401"/>
        <v>44.350017206939</v>
      </c>
    </row>
    <row r="6398" spans="1:21" x14ac:dyDescent="0.25">
      <c r="A6398">
        <v>6985037</v>
      </c>
      <c r="B6398">
        <v>6</v>
      </c>
      <c r="C6398" s="1">
        <f>0.311364619936955*(10.3/7.3)</f>
        <v>0.43932268292474524</v>
      </c>
      <c r="D6398" s="1">
        <f>0.573014555113501*(10.3/7.3)</f>
        <v>0.80849998872178908</v>
      </c>
      <c r="E6398" s="1">
        <f>1.95756020627661*(10.3/7.3)</f>
        <v>2.7620370033765806</v>
      </c>
      <c r="F6398" s="1">
        <f>5.89726171216742*(38.9/42.5)</f>
        <v>5.3977289553720613</v>
      </c>
      <c r="G6398" s="1">
        <v>0.32120528850142155</v>
      </c>
      <c r="H6398" s="1">
        <v>1.3793526824296694</v>
      </c>
      <c r="I6398" s="1">
        <v>4.359326309547602</v>
      </c>
      <c r="J6398" s="1">
        <v>1.7821455780317151E-2</v>
      </c>
      <c r="K6398" s="1">
        <v>1.7342442008952481</v>
      </c>
      <c r="L6398" s="1">
        <v>1.0866270891327217</v>
      </c>
      <c r="M6398" s="1">
        <v>0.16742405633991322</v>
      </c>
      <c r="N6398" s="1">
        <v>0.62736534875469929</v>
      </c>
      <c r="O6398" s="1">
        <v>0.16811555555555557</v>
      </c>
      <c r="P6398" s="1">
        <v>8.1833500840115994E-2</v>
      </c>
      <c r="Q6398" s="1">
        <v>0.51334178527624497</v>
      </c>
      <c r="R6398" s="2">
        <f t="shared" si="399"/>
        <v>15.980814696150114</v>
      </c>
      <c r="S6398" s="2">
        <f t="shared" si="398"/>
        <v>1.8338991575156813</v>
      </c>
      <c r="T6398" s="2">
        <f t="shared" si="400"/>
        <v>2.0495320497828899</v>
      </c>
      <c r="U6398" s="2">
        <f t="shared" si="401"/>
        <v>19.864245903448687</v>
      </c>
    </row>
    <row r="6399" spans="1:21" x14ac:dyDescent="0.25">
      <c r="A6399">
        <v>6985045</v>
      </c>
      <c r="B6399">
        <v>2</v>
      </c>
      <c r="C6399" s="1">
        <f>0.400761215964905*(10.3/7.3)</f>
        <v>0.56545760608746876</v>
      </c>
      <c r="D6399" s="1">
        <f>0.792094928893744*(10.3/7.3)</f>
        <v>1.1176133928226797</v>
      </c>
      <c r="E6399" s="1">
        <f>2.68955644920015*(10.3/7.3)</f>
        <v>3.7948536201043179</v>
      </c>
      <c r="F6399" s="1">
        <f>8.65034006413274*(38.9/42.5)</f>
        <v>7.9176053763473764</v>
      </c>
      <c r="G6399" s="1">
        <v>0.4895868159777263</v>
      </c>
      <c r="H6399" s="1">
        <v>3.9922737147519975</v>
      </c>
      <c r="I6399" s="1">
        <v>6.4106176139707038</v>
      </c>
      <c r="J6399" s="1">
        <v>2.2136794001408236E-2</v>
      </c>
      <c r="K6399" s="1">
        <v>1.9738763410556577</v>
      </c>
      <c r="L6399" s="1">
        <v>1.256935554574468</v>
      </c>
      <c r="M6399" s="1">
        <v>0.18872562133632292</v>
      </c>
      <c r="N6399" s="1">
        <v>0.87846602048084121</v>
      </c>
      <c r="O6399" s="1">
        <v>0.19416</v>
      </c>
      <c r="P6399" s="1">
        <v>9.1055439095720669E-2</v>
      </c>
      <c r="Q6399" s="1">
        <v>0.78244468306942638</v>
      </c>
      <c r="R6399" s="2">
        <f t="shared" si="399"/>
        <v>25.070452823131696</v>
      </c>
      <c r="S6399" s="2">
        <f t="shared" si="398"/>
        <v>2.0870685741527866</v>
      </c>
      <c r="T6399" s="2">
        <f t="shared" si="400"/>
        <v>2.5182871963916322</v>
      </c>
      <c r="U6399" s="2">
        <f t="shared" si="401"/>
        <v>29.675808593676116</v>
      </c>
    </row>
    <row r="6400" spans="1:21" x14ac:dyDescent="0.25">
      <c r="A6400">
        <v>6985461</v>
      </c>
      <c r="B6400">
        <v>30</v>
      </c>
      <c r="C6400" s="1">
        <f>1.52381134710091*(10.3/7.3)</f>
        <v>2.15003518837525</v>
      </c>
      <c r="D6400" s="1">
        <f>2.8660547940149*(10.3/7.3)</f>
        <v>4.043885531281302</v>
      </c>
      <c r="E6400" s="1">
        <f>9.67924769339284*(10.3/7.3)</f>
        <v>13.657020718074834</v>
      </c>
      <c r="F6400" s="1">
        <f>34.5832785069738*(38.9/42.5)</f>
        <v>31.653871386383102</v>
      </c>
      <c r="G6400" s="1">
        <v>2.0469371202318074</v>
      </c>
      <c r="H6400" s="1">
        <v>8.3739774668033196</v>
      </c>
      <c r="I6400" s="1">
        <v>26.321584053137506</v>
      </c>
      <c r="J6400" s="1">
        <v>2.0860438311236948E-2</v>
      </c>
      <c r="K6400" s="1">
        <v>1.7970447033707484</v>
      </c>
      <c r="L6400" s="1">
        <v>1.6864953961437896</v>
      </c>
      <c r="M6400" s="1">
        <v>0.1637636733288291</v>
      </c>
      <c r="N6400" s="1">
        <v>0.92813363453101283</v>
      </c>
      <c r="O6400" s="1">
        <v>0.13100444444444442</v>
      </c>
      <c r="P6400" s="1">
        <v>8.1586409143773381E-2</v>
      </c>
      <c r="Q6400" s="1">
        <v>3.2713606944343985</v>
      </c>
      <c r="R6400" s="2">
        <f t="shared" si="399"/>
        <v>91.518672158721515</v>
      </c>
      <c r="S6400" s="2">
        <f t="shared" si="398"/>
        <v>1.8994915508257588</v>
      </c>
      <c r="T6400" s="2">
        <f t="shared" si="400"/>
        <v>2.9093971484480758</v>
      </c>
      <c r="U6400" s="2">
        <f t="shared" si="401"/>
        <v>96.327560857995351</v>
      </c>
    </row>
    <row r="6401" spans="1:21" x14ac:dyDescent="0.25">
      <c r="A6401">
        <v>6985469</v>
      </c>
      <c r="B6401">
        <v>5</v>
      </c>
      <c r="C6401" s="1">
        <f>1.44978217661723*(10.3/7.3)</f>
        <v>2.0455830711174579</v>
      </c>
      <c r="D6401" s="1">
        <f>2.81939216315028*(10.3/7.3)</f>
        <v>3.9780464767736774</v>
      </c>
      <c r="E6401" s="1">
        <f>9.5245053424904*(10.3/7.3)</f>
        <v>13.438685620226178</v>
      </c>
      <c r="F6401" s="1">
        <f>33.3869237291637*(38.9/42.5)</f>
        <v>30.55885489563455</v>
      </c>
      <c r="G6401" s="1">
        <v>1.9637120109630388</v>
      </c>
      <c r="H6401" s="1">
        <v>11.340946163858387</v>
      </c>
      <c r="I6401" s="1">
        <v>25.213132354611673</v>
      </c>
      <c r="J6401" s="1">
        <v>2.1222807912103396E-2</v>
      </c>
      <c r="K6401" s="1">
        <v>1.8100896119907675</v>
      </c>
      <c r="L6401" s="1">
        <v>1.7035635650080505</v>
      </c>
      <c r="M6401" s="1">
        <v>0.16396317016240802</v>
      </c>
      <c r="N6401" s="1">
        <v>0.93977083721816379</v>
      </c>
      <c r="O6401" s="1">
        <v>0.13221333333333335</v>
      </c>
      <c r="P6401" s="1">
        <v>8.1579571297253239E-2</v>
      </c>
      <c r="Q6401" s="1">
        <v>3.138352528936367</v>
      </c>
      <c r="R6401" s="2">
        <f t="shared" si="399"/>
        <v>91.677313122121333</v>
      </c>
      <c r="S6401" s="2">
        <f t="shared" si="398"/>
        <v>1.9128919912001239</v>
      </c>
      <c r="T6401" s="2">
        <f t="shared" si="400"/>
        <v>2.9395109057219559</v>
      </c>
      <c r="U6401" s="2">
        <f t="shared" si="401"/>
        <v>96.52971601904342</v>
      </c>
    </row>
    <row r="6402" spans="1:21" x14ac:dyDescent="0.25">
      <c r="A6402">
        <v>6985573</v>
      </c>
      <c r="B6402">
        <v>7</v>
      </c>
      <c r="C6402" s="1">
        <f>2.1799079572433*(10.3/7.3)</f>
        <v>3.0757605424117762</v>
      </c>
      <c r="D6402" s="1">
        <f>4.74758513964635*(10.3/7.3)</f>
        <v>6.6986475258023912</v>
      </c>
      <c r="E6402" s="1">
        <f>16.0357502639326*(10.3/7.3)</f>
        <v>22.625784618973405</v>
      </c>
      <c r="F6402" s="1">
        <f>53.7160348452305*(38.9/42.5)</f>
        <v>49.165970717163916</v>
      </c>
      <c r="G6402" s="1">
        <v>3.115538530904876</v>
      </c>
      <c r="H6402" s="1">
        <v>9.7658227500352073</v>
      </c>
      <c r="I6402" s="1">
        <v>39.6209769390112</v>
      </c>
      <c r="J6402" s="1">
        <v>2.9537547525962386E-2</v>
      </c>
      <c r="K6402" s="1">
        <v>2.045870935628181</v>
      </c>
      <c r="L6402" s="1">
        <v>2.0245719828905377</v>
      </c>
      <c r="M6402" s="1">
        <v>0.1685564080950083</v>
      </c>
      <c r="N6402" s="1">
        <v>1.2104599274041321</v>
      </c>
      <c r="O6402" s="1">
        <v>0.14142476190476189</v>
      </c>
      <c r="P6402" s="1">
        <v>8.7123728371035422E-2</v>
      </c>
      <c r="Q6402" s="1">
        <v>4.9791711681128206</v>
      </c>
      <c r="R6402" s="2">
        <f t="shared" si="399"/>
        <v>139.0476727924156</v>
      </c>
      <c r="S6402" s="2">
        <f t="shared" si="398"/>
        <v>2.1625322115251788</v>
      </c>
      <c r="T6402" s="2">
        <f t="shared" si="400"/>
        <v>3.54501308029444</v>
      </c>
      <c r="U6402" s="2">
        <f t="shared" si="401"/>
        <v>144.75521808423522</v>
      </c>
    </row>
    <row r="6403" spans="1:21" x14ac:dyDescent="0.25">
      <c r="A6403">
        <v>6985581</v>
      </c>
      <c r="B6403">
        <v>6</v>
      </c>
      <c r="C6403" s="1">
        <f>2.54893479934745*(10.3/7.3)</f>
        <v>3.5964422511340723</v>
      </c>
      <c r="D6403" s="1">
        <f>5.53190285475796*(10.3/7.3)</f>
        <v>7.8052875895900042</v>
      </c>
      <c r="E6403" s="1">
        <f>18.7134084011872*(10.3/7.3)</f>
        <v>26.403850209894287</v>
      </c>
      <c r="F6403" s="1">
        <f>61.298396313304*(38.9/42.5)</f>
        <v>56.106061566765284</v>
      </c>
      <c r="G6403" s="1">
        <v>3.5183799416910531</v>
      </c>
      <c r="H6403" s="1">
        <v>11.950508303897928</v>
      </c>
      <c r="I6403" s="1">
        <v>45.020206021653131</v>
      </c>
      <c r="J6403" s="1">
        <v>3.3852279575088157E-2</v>
      </c>
      <c r="K6403" s="1">
        <v>2.2925550892305497</v>
      </c>
      <c r="L6403" s="1">
        <v>2.3068399917283142</v>
      </c>
      <c r="M6403" s="1">
        <v>0.18907154561612527</v>
      </c>
      <c r="N6403" s="1">
        <v>1.372656568339951</v>
      </c>
      <c r="O6403" s="1">
        <v>0.1584088888888889</v>
      </c>
      <c r="P6403" s="1">
        <v>9.6473652174782168E-2</v>
      </c>
      <c r="Q6403" s="1">
        <v>5.6229816419720073</v>
      </c>
      <c r="R6403" s="2">
        <f t="shared" si="399"/>
        <v>160.02371752659778</v>
      </c>
      <c r="S6403" s="2">
        <f t="shared" si="398"/>
        <v>2.4228810209804199</v>
      </c>
      <c r="T6403" s="2">
        <f t="shared" si="400"/>
        <v>4.0269769945732801</v>
      </c>
      <c r="U6403" s="2">
        <f t="shared" si="401"/>
        <v>166.47357554215148</v>
      </c>
    </row>
    <row r="6404" spans="1:21" x14ac:dyDescent="0.25">
      <c r="A6404">
        <v>6985605</v>
      </c>
      <c r="B6404">
        <v>13</v>
      </c>
      <c r="C6404" s="1">
        <f>1.98857907767366*(10.3/7.3)</f>
        <v>2.8058033561696893</v>
      </c>
      <c r="D6404" s="1">
        <f>5.00159325888724*(10.3/7.3)</f>
        <v>7.0570425433614519</v>
      </c>
      <c r="E6404" s="1">
        <f>16.6501494331106*(10.3/7.3)</f>
        <v>23.492676597402621</v>
      </c>
      <c r="F6404" s="1">
        <f>65.296577887538*(38.9/42.5)</f>
        <v>59.765573642946535</v>
      </c>
      <c r="G6404" s="1">
        <v>4.0590501542144306</v>
      </c>
      <c r="H6404" s="1">
        <v>11.388593506857013</v>
      </c>
      <c r="I6404" s="1">
        <v>48.921554617581435</v>
      </c>
      <c r="J6404" s="1">
        <v>2.9349261187812406E-2</v>
      </c>
      <c r="K6404" s="1">
        <v>1.9814435993374129</v>
      </c>
      <c r="L6404" s="1">
        <v>1.930715175169619</v>
      </c>
      <c r="M6404" s="1">
        <v>0.15957449563990941</v>
      </c>
      <c r="N6404" s="1">
        <v>1.1902772824864987</v>
      </c>
      <c r="O6404" s="1">
        <v>0.13392410256410259</v>
      </c>
      <c r="P6404" s="1">
        <v>8.4634586441747248E-2</v>
      </c>
      <c r="Q6404" s="1">
        <v>6.4870664565070877</v>
      </c>
      <c r="R6404" s="2">
        <f t="shared" si="399"/>
        <v>163.97736087504023</v>
      </c>
      <c r="S6404" s="2">
        <f t="shared" si="398"/>
        <v>2.0954274469669723</v>
      </c>
      <c r="T6404" s="2">
        <f t="shared" si="400"/>
        <v>3.4144910558601294</v>
      </c>
      <c r="U6404" s="2">
        <f t="shared" si="401"/>
        <v>169.48727937786734</v>
      </c>
    </row>
    <row r="6405" spans="1:21" x14ac:dyDescent="0.25">
      <c r="A6405">
        <v>6985613</v>
      </c>
      <c r="B6405">
        <v>5</v>
      </c>
      <c r="C6405" s="1">
        <f>1.69210291185182*(10.3/7.3)</f>
        <v>2.38748767014709</v>
      </c>
      <c r="D6405" s="1">
        <f>3.52273644147709*(10.3/7.3)</f>
        <v>4.9704363489334273</v>
      </c>
      <c r="E6405" s="1">
        <f>11.9582360387809*(10.3/7.3)</f>
        <v>16.872579616362074</v>
      </c>
      <c r="F6405" s="1">
        <f>37.7186981737668*(38.9/42.5)</f>
        <v>34.523702563753645</v>
      </c>
      <c r="G6405" s="1">
        <v>2.1210063945316007</v>
      </c>
      <c r="H6405" s="1">
        <v>9.8616046880680805</v>
      </c>
      <c r="I6405" s="1">
        <v>27.632603782112245</v>
      </c>
      <c r="J6405" s="1">
        <v>2.5785100591864583E-2</v>
      </c>
      <c r="K6405" s="1">
        <v>1.8249711821217562</v>
      </c>
      <c r="L6405" s="1">
        <v>1.7143619195509505</v>
      </c>
      <c r="M6405" s="1">
        <v>0.14567271011658506</v>
      </c>
      <c r="N6405" s="1">
        <v>1.1168343111660408</v>
      </c>
      <c r="O6405" s="1">
        <v>0.12066133333333333</v>
      </c>
      <c r="P6405" s="1">
        <v>7.8612150005091586E-2</v>
      </c>
      <c r="Q6405" s="1">
        <v>3.3897362469683152</v>
      </c>
      <c r="R6405" s="2">
        <f t="shared" si="399"/>
        <v>101.75915731087646</v>
      </c>
      <c r="S6405" s="2">
        <f t="shared" si="398"/>
        <v>1.9293684327187124</v>
      </c>
      <c r="T6405" s="2">
        <f t="shared" si="400"/>
        <v>3.09753027416691</v>
      </c>
      <c r="U6405" s="2">
        <f t="shared" si="401"/>
        <v>106.78605601776209</v>
      </c>
    </row>
    <row r="6406" spans="1:21" x14ac:dyDescent="0.25">
      <c r="A6406">
        <v>6985621</v>
      </c>
      <c r="B6406">
        <v>40</v>
      </c>
      <c r="C6406" s="1">
        <f>2.71720644950803*(10.3/7.3)</f>
        <v>3.8338666342373524</v>
      </c>
      <c r="D6406" s="1">
        <f>5.49399210056527*(10.3/7.3)</f>
        <v>7.7517970734003105</v>
      </c>
      <c r="E6406" s="1">
        <f>18.7166015712351*(10.3/7.3)</f>
        <v>26.408355641605628</v>
      </c>
      <c r="F6406" s="1">
        <f>56.3763432649128*(38.9/42.5)</f>
        <v>51.600935364826071</v>
      </c>
      <c r="G6406" s="1">
        <v>3.0901479494995625</v>
      </c>
      <c r="H6406" s="1">
        <v>10.925595179568036</v>
      </c>
      <c r="I6406" s="1">
        <v>41.056999345927643</v>
      </c>
      <c r="J6406" s="1">
        <v>3.5298363415548172E-2</v>
      </c>
      <c r="K6406" s="1">
        <v>2.2243973677419429</v>
      </c>
      <c r="L6406" s="1">
        <v>2.1873788068633684</v>
      </c>
      <c r="M6406" s="1">
        <v>0.17701967351144693</v>
      </c>
      <c r="N6406" s="1">
        <v>1.4337192025270045</v>
      </c>
      <c r="O6406" s="1">
        <v>0.14848266666666668</v>
      </c>
      <c r="P6406" s="1">
        <v>9.3634029084588982E-2</v>
      </c>
      <c r="Q6406" s="1">
        <v>4.9385926133554703</v>
      </c>
      <c r="R6406" s="2">
        <f t="shared" si="399"/>
        <v>149.60628980242006</v>
      </c>
      <c r="S6406" s="2">
        <f t="shared" si="398"/>
        <v>2.3533297602420804</v>
      </c>
      <c r="T6406" s="2">
        <f t="shared" si="400"/>
        <v>3.9466003495684867</v>
      </c>
      <c r="U6406" s="2">
        <f t="shared" si="401"/>
        <v>155.90621991223063</v>
      </c>
    </row>
    <row r="6407" spans="1:21" x14ac:dyDescent="0.25">
      <c r="A6407">
        <v>6985629</v>
      </c>
      <c r="B6407">
        <v>38</v>
      </c>
      <c r="C6407" s="1">
        <f>3.58529706812027*(10.3/7.3)</f>
        <v>5.0587068221422946</v>
      </c>
      <c r="D6407" s="1">
        <f>7.41867967358579*(10.3/7.3)</f>
        <v>10.467452142182692</v>
      </c>
      <c r="E6407" s="1">
        <f>25.2772531891723*(10.3/7.3)</f>
        <v>35.665165458695128</v>
      </c>
      <c r="F6407" s="1">
        <f>75.1015906651622*(38.9/42.5)</f>
        <v>68.740044161760196</v>
      </c>
      <c r="G6407" s="1">
        <v>4.0923419934108294</v>
      </c>
      <c r="H6407" s="1">
        <v>12.67630660591338</v>
      </c>
      <c r="I6407" s="1">
        <v>54.33089414009833</v>
      </c>
      <c r="J6407" s="1">
        <v>4.0191402661858854E-2</v>
      </c>
      <c r="K6407" s="1">
        <v>2.5893222372802964</v>
      </c>
      <c r="L6407" s="1">
        <v>2.6083328145182416</v>
      </c>
      <c r="M6407" s="1">
        <v>0.20548634795843673</v>
      </c>
      <c r="N6407" s="1">
        <v>1.6230767693437969</v>
      </c>
      <c r="O6407" s="1">
        <v>0.17247017543859655</v>
      </c>
      <c r="P6407" s="1">
        <v>0.10699344348761643</v>
      </c>
      <c r="Q6407" s="1">
        <v>6.540272592209095</v>
      </c>
      <c r="R6407" s="2">
        <f t="shared" si="399"/>
        <v>197.57118391641194</v>
      </c>
      <c r="S6407" s="2">
        <f t="shared" si="398"/>
        <v>2.736507083429772</v>
      </c>
      <c r="T6407" s="2">
        <f t="shared" si="400"/>
        <v>4.6093661072590715</v>
      </c>
      <c r="U6407" s="2">
        <f t="shared" si="401"/>
        <v>204.91705710710079</v>
      </c>
    </row>
    <row r="6408" spans="1:21" x14ac:dyDescent="0.25">
      <c r="A6408">
        <v>6985637</v>
      </c>
      <c r="B6408">
        <v>1</v>
      </c>
      <c r="C6408" s="1">
        <f>3.86223565018056*(10.3/7.3)</f>
        <v>5.4494557803917552</v>
      </c>
      <c r="D6408" s="1">
        <f>8.58418401308128*(10.3/7.3)</f>
        <v>12.111930867772214</v>
      </c>
      <c r="E6408" s="1">
        <f>29.2213955647812*(10.3/7.3)</f>
        <v>41.230188262636453</v>
      </c>
      <c r="F6408" s="1">
        <f>85.3284979683653*(38.9/42.5)</f>
        <v>78.100672258103785</v>
      </c>
      <c r="G6408" s="1">
        <v>4.6265578577601483</v>
      </c>
      <c r="H6408" s="1">
        <v>16.949947971929813</v>
      </c>
      <c r="I6408" s="1">
        <v>60.817740213742326</v>
      </c>
      <c r="J6408" s="1">
        <v>3.6457606682020235E-2</v>
      </c>
      <c r="K6408" s="1">
        <v>2.435406233441987</v>
      </c>
      <c r="L6408" s="1">
        <v>2.4491358811141257</v>
      </c>
      <c r="M6408" s="1">
        <v>0.19319374601312012</v>
      </c>
      <c r="N6408" s="1">
        <v>1.5085195472509094</v>
      </c>
      <c r="O6408" s="1">
        <v>0.16293333333333332</v>
      </c>
      <c r="P6408" s="1">
        <v>0.10110917607047508</v>
      </c>
      <c r="Q6408" s="1">
        <v>7.394042238429468</v>
      </c>
      <c r="R6408" s="2">
        <f t="shared" si="399"/>
        <v>226.68053545076597</v>
      </c>
      <c r="S6408" s="2">
        <f t="shared" si="398"/>
        <v>2.5729730161944824</v>
      </c>
      <c r="T6408" s="2">
        <f t="shared" si="400"/>
        <v>4.3137825077114886</v>
      </c>
      <c r="U6408" s="2">
        <f t="shared" si="401"/>
        <v>233.56729097467195</v>
      </c>
    </row>
    <row r="6409" spans="1:21" x14ac:dyDescent="0.25">
      <c r="A6409">
        <v>6997273</v>
      </c>
      <c r="B6409">
        <v>56</v>
      </c>
      <c r="C6409" s="1">
        <f>0.381993848277307*(10.3/7.3)</f>
        <v>0.53897762154195428</v>
      </c>
      <c r="D6409" s="1">
        <f>0.733134458168399*(10.3/7.3)</f>
        <v>1.0344225916622618</v>
      </c>
      <c r="E6409" s="1">
        <f>2.49690817596245*(10.3/7.3)</f>
        <v>3.52303482361825</v>
      </c>
      <c r="F6409" s="1">
        <f>7.75172330455272*(38.9/42.5)</f>
        <v>7.095106742284722</v>
      </c>
      <c r="G6409" s="1">
        <v>0.43022780582695636</v>
      </c>
      <c r="H6409" s="1">
        <v>2.394326511210938</v>
      </c>
      <c r="I6409" s="1">
        <v>5.7278768532021429</v>
      </c>
      <c r="J6409" s="1">
        <v>1.9339765010444685E-2</v>
      </c>
      <c r="K6409" s="1">
        <v>1.8661178838903822</v>
      </c>
      <c r="L6409" s="1">
        <v>1.1648996514025618</v>
      </c>
      <c r="M6409" s="1">
        <v>0.17269415327633356</v>
      </c>
      <c r="N6409" s="1">
        <v>0.71175960478964506</v>
      </c>
      <c r="O6409" s="1">
        <v>0.18074857142857145</v>
      </c>
      <c r="P6409" s="1">
        <v>8.6389285709764535E-2</v>
      </c>
      <c r="Q6409" s="1">
        <v>0.68757868511157472</v>
      </c>
      <c r="R6409" s="2">
        <f t="shared" si="399"/>
        <v>21.431551634458799</v>
      </c>
      <c r="S6409" s="2">
        <f t="shared" ref="S6409:S6472" si="402">J6409+K6409+P6409</f>
        <v>1.9718469346105916</v>
      </c>
      <c r="T6409" s="2">
        <f t="shared" si="400"/>
        <v>2.2301019808971119</v>
      </c>
      <c r="U6409" s="2">
        <f t="shared" si="401"/>
        <v>25.633500549966502</v>
      </c>
    </row>
    <row r="6410" spans="1:21" x14ac:dyDescent="0.25">
      <c r="A6410">
        <v>6997689</v>
      </c>
      <c r="B6410">
        <v>17</v>
      </c>
      <c r="C6410" s="1">
        <f>1.59525240180495*(10.3/7.3)</f>
        <v>2.2508355806289044</v>
      </c>
      <c r="D6410" s="1">
        <f>2.86252495130685*(10.3/7.3)</f>
        <v>4.0389050682822631</v>
      </c>
      <c r="E6410" s="1">
        <f>9.68949991769784*(10.3/7.3)</f>
        <v>13.671486185244895</v>
      </c>
      <c r="F6410" s="1">
        <f>34.2037120440199*(38.9/42.5)</f>
        <v>31.306456435585307</v>
      </c>
      <c r="G6410" s="1">
        <v>2.0086875256612799</v>
      </c>
      <c r="H6410" s="1">
        <v>9.2884655786117882</v>
      </c>
      <c r="I6410" s="1">
        <v>26.146349985689387</v>
      </c>
      <c r="J6410" s="1">
        <v>2.0617477456103043E-2</v>
      </c>
      <c r="K6410" s="1">
        <v>1.7707031801404387</v>
      </c>
      <c r="L6410" s="1">
        <v>1.6555094154512362</v>
      </c>
      <c r="M6410" s="1">
        <v>0.16115243231949938</v>
      </c>
      <c r="N6410" s="1">
        <v>0.91090721026800292</v>
      </c>
      <c r="O6410" s="1">
        <v>0.1291356862745098</v>
      </c>
      <c r="P6410" s="1">
        <v>8.0396889413970996E-2</v>
      </c>
      <c r="Q6410" s="1">
        <v>3.2102312053947428</v>
      </c>
      <c r="R6410" s="2">
        <f t="shared" ref="R6410:R6473" si="403">C6410+D6410+E6410+F6410+G6410+H6410+I6410+Q6410</f>
        <v>91.921417565098565</v>
      </c>
      <c r="S6410" s="2">
        <f t="shared" si="402"/>
        <v>1.8717175470105127</v>
      </c>
      <c r="T6410" s="2">
        <f t="shared" ref="T6410:T6473" si="404">L6410+M6410+N6410+O6410</f>
        <v>2.8567047443132485</v>
      </c>
      <c r="U6410" s="2">
        <f t="shared" ref="U6410:U6473" si="405">R6410+S6410+T6410</f>
        <v>96.649839856422332</v>
      </c>
    </row>
    <row r="6411" spans="1:21" x14ac:dyDescent="0.25">
      <c r="A6411">
        <v>6997697</v>
      </c>
      <c r="B6411">
        <v>28</v>
      </c>
      <c r="C6411" s="1">
        <f>1.49784746286909*(10.3/7.3)</f>
        <v>2.1134012147330967</v>
      </c>
      <c r="D6411" s="1">
        <f>2.86274937867804*(10.3/7.3)</f>
        <v>4.0392217260799734</v>
      </c>
      <c r="E6411" s="1">
        <f>9.67392164568271*(10.3/7.3)</f>
        <v>13.649505883634511</v>
      </c>
      <c r="F6411" s="1">
        <f>34.0168662377682*(38.9/42.5)</f>
        <v>31.135437568216048</v>
      </c>
      <c r="G6411" s="1">
        <v>2.0015488055293025</v>
      </c>
      <c r="H6411" s="1">
        <v>8.7908480376189111</v>
      </c>
      <c r="I6411" s="1">
        <v>25.762730843684498</v>
      </c>
      <c r="J6411" s="1">
        <v>2.1370895723230317E-2</v>
      </c>
      <c r="K6411" s="1">
        <v>1.8300957668737039</v>
      </c>
      <c r="L6411" s="1">
        <v>1.7254099395060507</v>
      </c>
      <c r="M6411" s="1">
        <v>0.16649308526826351</v>
      </c>
      <c r="N6411" s="1">
        <v>0.94746724979205688</v>
      </c>
      <c r="O6411" s="1">
        <v>0.13349523809523808</v>
      </c>
      <c r="P6411" s="1">
        <v>8.2657621213060556E-2</v>
      </c>
      <c r="Q6411" s="1">
        <v>3.1988222919418101</v>
      </c>
      <c r="R6411" s="2">
        <f t="shared" si="403"/>
        <v>90.691516371438141</v>
      </c>
      <c r="S6411" s="2">
        <f t="shared" si="402"/>
        <v>1.9341242838099948</v>
      </c>
      <c r="T6411" s="2">
        <f t="shared" si="404"/>
        <v>2.9728655126616093</v>
      </c>
      <c r="U6411" s="2">
        <f t="shared" si="405"/>
        <v>95.598506167909747</v>
      </c>
    </row>
    <row r="6412" spans="1:21" x14ac:dyDescent="0.25">
      <c r="A6412">
        <v>6997809</v>
      </c>
      <c r="B6412">
        <v>45</v>
      </c>
      <c r="C6412" s="1">
        <f>2.84973362274389*(10.3/7.3)</f>
        <v>4.0208570293509629</v>
      </c>
      <c r="D6412" s="1">
        <f>6.26928928073639*(10.3/7.3)</f>
        <v>8.8457095330938103</v>
      </c>
      <c r="E6412" s="1">
        <f>21.1893799823751*(10.3/7.3)</f>
        <v>29.897344358693619</v>
      </c>
      <c r="F6412" s="1">
        <f>69.9724872553984*(38.9/42.5)</f>
        <v>64.04540598199992</v>
      </c>
      <c r="G6412" s="1">
        <v>4.0342182532438864</v>
      </c>
      <c r="H6412" s="1">
        <v>11.41857837370913</v>
      </c>
      <c r="I6412" s="1">
        <v>51.389697546922463</v>
      </c>
      <c r="J6412" s="1">
        <v>3.6936805826335434E-2</v>
      </c>
      <c r="K6412" s="1">
        <v>2.4623764191870987</v>
      </c>
      <c r="L6412" s="1">
        <v>2.508774043690797</v>
      </c>
      <c r="M6412" s="1">
        <v>0.20516440544190423</v>
      </c>
      <c r="N6412" s="1">
        <v>1.4869182514944539</v>
      </c>
      <c r="O6412" s="1">
        <v>0.17148207407407404</v>
      </c>
      <c r="P6412" s="1">
        <v>0.10301772641652851</v>
      </c>
      <c r="Q6412" s="1">
        <v>6.447380770024485</v>
      </c>
      <c r="R6412" s="2">
        <f t="shared" si="403"/>
        <v>180.0991918470383</v>
      </c>
      <c r="S6412" s="2">
        <f t="shared" si="402"/>
        <v>2.6023309514299626</v>
      </c>
      <c r="T6412" s="2">
        <f t="shared" si="404"/>
        <v>4.3723387747012294</v>
      </c>
      <c r="U6412" s="2">
        <f t="shared" si="405"/>
        <v>187.07386157316949</v>
      </c>
    </row>
    <row r="6413" spans="1:21" x14ac:dyDescent="0.25">
      <c r="A6413">
        <v>6997817</v>
      </c>
      <c r="B6413">
        <v>2</v>
      </c>
      <c r="C6413" s="1">
        <f>2.58590955540861*(10.3/7.3)</f>
        <v>3.6486121124258508</v>
      </c>
      <c r="D6413" s="1">
        <f>5.76848099743951*(10.3/7.3)</f>
        <v>8.1390896265242443</v>
      </c>
      <c r="E6413" s="1">
        <f>19.4726417256508*(10.3/7.3)</f>
        <v>27.475097229342957</v>
      </c>
      <c r="F6413" s="1">
        <f>65.185612758383*(38.9/42.5)</f>
        <v>59.664007912967044</v>
      </c>
      <c r="G6413" s="1">
        <v>3.7842925705751496</v>
      </c>
      <c r="H6413" s="1">
        <v>14.108161213259057</v>
      </c>
      <c r="I6413" s="1">
        <v>47.929456437454519</v>
      </c>
      <c r="J6413" s="1">
        <v>3.4603326640115797E-2</v>
      </c>
      <c r="K6413" s="1">
        <v>2.3490147204274203</v>
      </c>
      <c r="L6413" s="1">
        <v>2.3695522723970446</v>
      </c>
      <c r="M6413" s="1">
        <v>0.19199488541779014</v>
      </c>
      <c r="N6413" s="1">
        <v>1.4118378796775102</v>
      </c>
      <c r="O6413" s="1">
        <v>0.16183999999999998</v>
      </c>
      <c r="P6413" s="1">
        <v>9.8449162700410153E-2</v>
      </c>
      <c r="Q6413" s="1">
        <v>6.0479561630196512</v>
      </c>
      <c r="R6413" s="2">
        <f t="shared" si="403"/>
        <v>170.79667326556847</v>
      </c>
      <c r="S6413" s="2">
        <f t="shared" si="402"/>
        <v>2.4820672097679464</v>
      </c>
      <c r="T6413" s="2">
        <f t="shared" si="404"/>
        <v>4.1352250374923445</v>
      </c>
      <c r="U6413" s="2">
        <f t="shared" si="405"/>
        <v>177.41396551282875</v>
      </c>
    </row>
    <row r="6414" spans="1:21" x14ac:dyDescent="0.25">
      <c r="A6414">
        <v>6997825</v>
      </c>
      <c r="B6414">
        <v>6</v>
      </c>
      <c r="C6414" s="1">
        <f>1.90429951010158*(10.3/7.3)</f>
        <v>2.6868883498693461</v>
      </c>
      <c r="D6414" s="1">
        <f>4.15796393523627*(10.3/7.3)</f>
        <v>5.8667162373881627</v>
      </c>
      <c r="E6414" s="1">
        <f>14.0568884428247*(10.3/7.3)</f>
        <v>19.833691912478677</v>
      </c>
      <c r="F6414" s="1">
        <f>46.3810814604727*(38.9/42.5)</f>
        <v>42.452331030879684</v>
      </c>
      <c r="G6414" s="1">
        <v>2.6720016817660848</v>
      </c>
      <c r="H6414" s="1">
        <v>9.0247443951482555</v>
      </c>
      <c r="I6414" s="1">
        <v>34.090475535949096</v>
      </c>
      <c r="J6414" s="1">
        <v>2.8626066947447529E-2</v>
      </c>
      <c r="K6414" s="1">
        <v>2.0312006338850126</v>
      </c>
      <c r="L6414" s="1">
        <v>1.9734068670784588</v>
      </c>
      <c r="M6414" s="1">
        <v>0.16348226936487462</v>
      </c>
      <c r="N6414" s="1">
        <v>1.2220748584499801</v>
      </c>
      <c r="O6414" s="1">
        <v>0.13903111111111111</v>
      </c>
      <c r="P6414" s="1">
        <v>8.7006222078288828E-2</v>
      </c>
      <c r="Q6414" s="1">
        <v>4.2703223224572167</v>
      </c>
      <c r="R6414" s="2">
        <f t="shared" si="403"/>
        <v>120.89717146593654</v>
      </c>
      <c r="S6414" s="2">
        <f t="shared" si="402"/>
        <v>2.146832922910749</v>
      </c>
      <c r="T6414" s="2">
        <f t="shared" si="404"/>
        <v>3.4979951060044248</v>
      </c>
      <c r="U6414" s="2">
        <f t="shared" si="405"/>
        <v>126.54199949485171</v>
      </c>
    </row>
    <row r="6415" spans="1:21" x14ac:dyDescent="0.25">
      <c r="A6415">
        <v>6997841</v>
      </c>
      <c r="B6415">
        <v>5</v>
      </c>
      <c r="C6415" s="1">
        <f>2.84507803406928*(10.3/7.3)</f>
        <v>4.014288185056655</v>
      </c>
      <c r="D6415" s="1">
        <f>6.22748441032194*(10.3/7.3)</f>
        <v>8.786724578947398</v>
      </c>
      <c r="E6415" s="1">
        <f>21.0716713694253*(10.3/7.3)</f>
        <v>29.731262343161745</v>
      </c>
      <c r="F6415" s="1">
        <f>68.5069885108615*(38.9/42.5)</f>
        <v>62.70404360170614</v>
      </c>
      <c r="G6415" s="1">
        <v>3.9201279659351753</v>
      </c>
      <c r="H6415" s="1">
        <v>12.626132468666224</v>
      </c>
      <c r="I6415" s="1">
        <v>50.17699662308712</v>
      </c>
      <c r="J6415" s="1">
        <v>3.4899502262369646E-2</v>
      </c>
      <c r="K6415" s="1">
        <v>2.3632956815562238</v>
      </c>
      <c r="L6415" s="1">
        <v>2.3788408330527662</v>
      </c>
      <c r="M6415" s="1">
        <v>0.19113963984964005</v>
      </c>
      <c r="N6415" s="1">
        <v>1.419524870743845</v>
      </c>
      <c r="O6415" s="1">
        <v>0.16026666666666667</v>
      </c>
      <c r="P6415" s="1">
        <v>9.8880656944171877E-2</v>
      </c>
      <c r="Q6415" s="1">
        <v>6.2650446944169547</v>
      </c>
      <c r="R6415" s="2">
        <f t="shared" si="403"/>
        <v>178.22462046097743</v>
      </c>
      <c r="S6415" s="2">
        <f t="shared" si="402"/>
        <v>2.4970758407627653</v>
      </c>
      <c r="T6415" s="2">
        <f t="shared" si="404"/>
        <v>4.1497720103129181</v>
      </c>
      <c r="U6415" s="2">
        <f t="shared" si="405"/>
        <v>184.87146831205311</v>
      </c>
    </row>
    <row r="6416" spans="1:21" x14ac:dyDescent="0.25">
      <c r="A6416">
        <v>6997849</v>
      </c>
      <c r="B6416">
        <v>43</v>
      </c>
      <c r="C6416" s="1">
        <f>3.2128718035544*(10.3/7.3)</f>
        <v>4.5332300789877147</v>
      </c>
      <c r="D6416" s="1">
        <f>6.6493574362332*(10.3/7.3)</f>
        <v>9.3819700812605475</v>
      </c>
      <c r="E6416" s="1">
        <f>22.6242661013643*(10.3/7.3)</f>
        <v>31.921909704664696</v>
      </c>
      <c r="F6416" s="1">
        <f>68.8446489338839*(38.9/42.5)</f>
        <v>63.013102200660754</v>
      </c>
      <c r="G6416" s="1">
        <v>3.7996382423754387</v>
      </c>
      <c r="H6416" s="1">
        <v>11.297074938291574</v>
      </c>
      <c r="I6416" s="1">
        <v>50.077341361030044</v>
      </c>
      <c r="J6416" s="1">
        <v>3.9146021639268072E-2</v>
      </c>
      <c r="K6416" s="1">
        <v>2.5135722998216137</v>
      </c>
      <c r="L6416" s="1">
        <v>2.5335283732572504</v>
      </c>
      <c r="M6416" s="1">
        <v>0.20241089051744221</v>
      </c>
      <c r="N6416" s="1">
        <v>1.5562456199235029</v>
      </c>
      <c r="O6416" s="1">
        <v>0.16951441860465116</v>
      </c>
      <c r="P6416" s="1">
        <v>0.1046929777101476</v>
      </c>
      <c r="Q6416" s="1">
        <v>6.0724812092758205</v>
      </c>
      <c r="R6416" s="2">
        <f t="shared" si="403"/>
        <v>180.09674781654658</v>
      </c>
      <c r="S6416" s="2">
        <f t="shared" si="402"/>
        <v>2.6574112991710295</v>
      </c>
      <c r="T6416" s="2">
        <f t="shared" si="404"/>
        <v>4.4616993023028471</v>
      </c>
      <c r="U6416" s="2">
        <f t="shared" si="405"/>
        <v>187.21585841802045</v>
      </c>
    </row>
    <row r="6417" spans="1:21" x14ac:dyDescent="0.25">
      <c r="A6417">
        <v>6997857</v>
      </c>
      <c r="B6417">
        <v>50</v>
      </c>
      <c r="C6417" s="1">
        <f>3.80308931687626*(10.3/7.3)</f>
        <v>5.3660027347706185</v>
      </c>
      <c r="D6417" s="1">
        <f>7.76932501337722*(10.3/7.3)</f>
        <v>10.962198306545943</v>
      </c>
      <c r="E6417" s="1">
        <f>26.4857567998208*(10.3/7.3)</f>
        <v>37.370314388788209</v>
      </c>
      <c r="F6417" s="1">
        <f>78.4702321573389*(38.9/42.5)</f>
        <v>71.823341904011329</v>
      </c>
      <c r="G6417" s="1">
        <v>4.2657464300218404</v>
      </c>
      <c r="H6417" s="1">
        <v>11.286461788887179</v>
      </c>
      <c r="I6417" s="1">
        <v>56.841793793488534</v>
      </c>
      <c r="J6417" s="1">
        <v>4.2793558532298694E-2</v>
      </c>
      <c r="K6417" s="1">
        <v>2.7120001568757606</v>
      </c>
      <c r="L6417" s="1">
        <v>2.7544676974394768</v>
      </c>
      <c r="M6417" s="1">
        <v>0.21699409313309231</v>
      </c>
      <c r="N6417" s="1">
        <v>1.7304866916002399</v>
      </c>
      <c r="O6417" s="1">
        <v>0.18199040000000002</v>
      </c>
      <c r="P6417" s="1">
        <v>0.11190088764535633</v>
      </c>
      <c r="Q6417" s="1">
        <v>6.8174029703545465</v>
      </c>
      <c r="R6417" s="2">
        <f t="shared" si="403"/>
        <v>204.73326231686821</v>
      </c>
      <c r="S6417" s="2">
        <f t="shared" si="402"/>
        <v>2.8666946030534155</v>
      </c>
      <c r="T6417" s="2">
        <f t="shared" si="404"/>
        <v>4.8839388821728091</v>
      </c>
      <c r="U6417" s="2">
        <f t="shared" si="405"/>
        <v>212.48389580209442</v>
      </c>
    </row>
    <row r="6418" spans="1:21" x14ac:dyDescent="0.25">
      <c r="A6418">
        <v>6997865</v>
      </c>
      <c r="B6418">
        <v>59</v>
      </c>
      <c r="C6418" s="1">
        <f>3.8765336509725*(10.3/7.3)</f>
        <v>5.4696296719200967</v>
      </c>
      <c r="D6418" s="1">
        <f>8.202290821733*(10.3/7.3)</f>
        <v>11.573095269020532</v>
      </c>
      <c r="E6418" s="1">
        <f>27.9619063029759*(10.3/7.3)</f>
        <v>39.453100674061943</v>
      </c>
      <c r="F6418" s="1">
        <f>81.4416603100561*(38.9/42.5)</f>
        <v>74.543072613204259</v>
      </c>
      <c r="G6418" s="1">
        <v>4.3957646210190315</v>
      </c>
      <c r="H6418" s="1">
        <v>11.949350652789498</v>
      </c>
      <c r="I6418" s="1">
        <v>58.439719585733293</v>
      </c>
      <c r="J6418" s="1">
        <v>4.1656178552982495E-2</v>
      </c>
      <c r="K6418" s="1">
        <v>2.712736476964539</v>
      </c>
      <c r="L6418" s="1">
        <v>2.7446234109563474</v>
      </c>
      <c r="M6418" s="1">
        <v>0.2149294501511563</v>
      </c>
      <c r="N6418" s="1">
        <v>1.7101812585255343</v>
      </c>
      <c r="O6418" s="1">
        <v>0.18063276836158199</v>
      </c>
      <c r="P6418" s="1">
        <v>0.11154448273681741</v>
      </c>
      <c r="Q6418" s="1">
        <v>7.025194599802111</v>
      </c>
      <c r="R6418" s="2">
        <f t="shared" si="403"/>
        <v>212.84892768755077</v>
      </c>
      <c r="S6418" s="2">
        <f t="shared" si="402"/>
        <v>2.8659371382543388</v>
      </c>
      <c r="T6418" s="2">
        <f t="shared" si="404"/>
        <v>4.8503668879946193</v>
      </c>
      <c r="U6418" s="2">
        <f t="shared" si="405"/>
        <v>220.56523171379973</v>
      </c>
    </row>
    <row r="6419" spans="1:21" x14ac:dyDescent="0.25">
      <c r="A6419">
        <v>6997873</v>
      </c>
      <c r="B6419">
        <v>1</v>
      </c>
      <c r="C6419" s="1">
        <f>2.08306614937036*(10.3/7.3)</f>
        <v>2.93912073130338</v>
      </c>
      <c r="D6419" s="1">
        <f>5.19790037009813*(10.3/7.3)</f>
        <v>7.3340238098644788</v>
      </c>
      <c r="E6419" s="1">
        <f>17.6616880991323*(10.3/7.3)</f>
        <v>24.919916085077059</v>
      </c>
      <c r="F6419" s="1">
        <f>50.6698967678349*(38.9/42.5)</f>
        <v>46.377858453382963</v>
      </c>
      <c r="G6419" s="1">
        <v>2.7392398448194943</v>
      </c>
      <c r="H6419" s="1">
        <v>10.107489783499167</v>
      </c>
      <c r="I6419" s="1">
        <v>35.362962637798034</v>
      </c>
      <c r="J6419" s="1">
        <v>2.7003748710937706E-2</v>
      </c>
      <c r="K6419" s="1">
        <v>1.8762689966590735</v>
      </c>
      <c r="L6419" s="1">
        <v>1.7704662428150555</v>
      </c>
      <c r="M6419" s="1">
        <v>0.14578463948998277</v>
      </c>
      <c r="N6419" s="1">
        <v>1.2866438526332191</v>
      </c>
      <c r="O6419" s="1">
        <v>0.12357333333333333</v>
      </c>
      <c r="P6419" s="1">
        <v>7.9897270433862369E-2</v>
      </c>
      <c r="Q6419" s="1">
        <v>4.377780573912438</v>
      </c>
      <c r="R6419" s="2">
        <f t="shared" si="403"/>
        <v>134.15839191965702</v>
      </c>
      <c r="S6419" s="2">
        <f t="shared" si="402"/>
        <v>1.9831700158038736</v>
      </c>
      <c r="T6419" s="2">
        <f t="shared" si="404"/>
        <v>3.3264680682715908</v>
      </c>
      <c r="U6419" s="2">
        <f t="shared" si="405"/>
        <v>139.46803000373248</v>
      </c>
    </row>
    <row r="6420" spans="1:21" x14ac:dyDescent="0.25">
      <c r="A6420">
        <v>6997881</v>
      </c>
      <c r="B6420">
        <v>9</v>
      </c>
      <c r="C6420" s="1">
        <f>1.82488454929756*(10.3/7.3)</f>
        <v>2.5748371038034032</v>
      </c>
      <c r="D6420" s="1">
        <f>3.91673811297118*(10.3/7.3)</f>
        <v>5.5263565155620791</v>
      </c>
      <c r="E6420" s="1">
        <f>13.3314452420329*(10.3/7.3)</f>
        <v>18.810121368895686</v>
      </c>
      <c r="F6420" s="1">
        <f>39.6368562783779*(38.9/42.5)</f>
        <v>36.279381393621215</v>
      </c>
      <c r="G6420" s="1">
        <v>2.1656887766458173</v>
      </c>
      <c r="H6420" s="1">
        <v>8.4667628868460767</v>
      </c>
      <c r="I6420" s="1">
        <v>28.522535167357759</v>
      </c>
      <c r="J6420" s="1">
        <v>2.5134853189425082E-2</v>
      </c>
      <c r="K6420" s="1">
        <v>1.7747215781627244</v>
      </c>
      <c r="L6420" s="1">
        <v>1.6319706421900531</v>
      </c>
      <c r="M6420" s="1">
        <v>0.13564407337534726</v>
      </c>
      <c r="N6420" s="1">
        <v>1.0884585392151729</v>
      </c>
      <c r="O6420" s="1">
        <v>0.11348148148148146</v>
      </c>
      <c r="P6420" s="1">
        <v>7.5894004253364331E-2</v>
      </c>
      <c r="Q6420" s="1">
        <v>3.4611464466942312</v>
      </c>
      <c r="R6420" s="2">
        <f t="shared" si="403"/>
        <v>105.80682965942626</v>
      </c>
      <c r="S6420" s="2">
        <f t="shared" si="402"/>
        <v>1.8757504356055137</v>
      </c>
      <c r="T6420" s="2">
        <f t="shared" si="404"/>
        <v>2.9695547362620545</v>
      </c>
      <c r="U6420" s="2">
        <f t="shared" si="405"/>
        <v>110.65213483129382</v>
      </c>
    </row>
    <row r="6421" spans="1:21" x14ac:dyDescent="0.25">
      <c r="A6421">
        <v>7009509</v>
      </c>
      <c r="B6421">
        <v>8</v>
      </c>
      <c r="C6421" s="1">
        <f>0.403370027299203*(10.3/7.3)</f>
        <v>0.56913853166873785</v>
      </c>
      <c r="D6421" s="1">
        <f>0.784969991362502*(10.3/7.3)</f>
        <v>1.1075603987717493</v>
      </c>
      <c r="E6421" s="1">
        <f>2.67059011892653*(10.3/7.3)</f>
        <v>3.7680929075264711</v>
      </c>
      <c r="F6421" s="1">
        <f>8.38172512723097*(38.9/42.5)</f>
        <v>7.671743704689054</v>
      </c>
      <c r="G6421" s="1">
        <v>0.46820829897497318</v>
      </c>
      <c r="H6421" s="1">
        <v>4.476401984956988</v>
      </c>
      <c r="I6421" s="1">
        <v>6.1944101424112263</v>
      </c>
      <c r="J6421" s="1">
        <v>1.9716046257915155E-2</v>
      </c>
      <c r="K6421" s="1">
        <v>1.919540710886702</v>
      </c>
      <c r="L6421" s="1">
        <v>1.2069410393954529</v>
      </c>
      <c r="M6421" s="1">
        <v>0.17683309358019486</v>
      </c>
      <c r="N6421" s="1">
        <v>0.84242095757574975</v>
      </c>
      <c r="O6421" s="1">
        <v>0.18602666666666665</v>
      </c>
      <c r="P6421" s="1">
        <v>8.8608435003672922E-2</v>
      </c>
      <c r="Q6421" s="1">
        <v>0.74827810338466128</v>
      </c>
      <c r="R6421" s="2">
        <f t="shared" si="403"/>
        <v>25.00383407238386</v>
      </c>
      <c r="S6421" s="2">
        <f t="shared" si="402"/>
        <v>2.02786519214829</v>
      </c>
      <c r="T6421" s="2">
        <f t="shared" si="404"/>
        <v>2.4122217572180644</v>
      </c>
      <c r="U6421" s="2">
        <f t="shared" si="405"/>
        <v>29.443921021750214</v>
      </c>
    </row>
    <row r="6422" spans="1:21" x14ac:dyDescent="0.25">
      <c r="A6422">
        <v>7009925</v>
      </c>
      <c r="B6422">
        <v>29</v>
      </c>
      <c r="C6422" s="1">
        <f>1.44071760446331*(10.3/7.3)</f>
        <v>2.0327933323249461</v>
      </c>
      <c r="D6422" s="1">
        <f>2.72760481425178*(10.3/7.3)</f>
        <v>3.8485382995607318</v>
      </c>
      <c r="E6422" s="1">
        <f>9.21664277870757*(10.3/7.3)</f>
        <v>13.004304194614791</v>
      </c>
      <c r="F6422" s="1">
        <f>32.5763936859376*(38.9/42.5)</f>
        <v>29.816981514893488</v>
      </c>
      <c r="G6422" s="1">
        <v>1.9200244708309044</v>
      </c>
      <c r="H6422" s="1">
        <v>7.2104518516040752</v>
      </c>
      <c r="I6422" s="1">
        <v>24.725688826289147</v>
      </c>
      <c r="J6422" s="1">
        <v>1.9859071488007599E-2</v>
      </c>
      <c r="K6422" s="1">
        <v>1.7261954719800658</v>
      </c>
      <c r="L6422" s="1">
        <v>1.6011372395654566</v>
      </c>
      <c r="M6422" s="1">
        <v>0.15677438253729037</v>
      </c>
      <c r="N6422" s="1">
        <v>0.87214382577774763</v>
      </c>
      <c r="O6422" s="1">
        <v>0.12576183908045976</v>
      </c>
      <c r="P6422" s="1">
        <v>7.8629561347769425E-2</v>
      </c>
      <c r="Q6422" s="1">
        <v>3.0685322593188</v>
      </c>
      <c r="R6422" s="2">
        <f t="shared" si="403"/>
        <v>85.627314749436891</v>
      </c>
      <c r="S6422" s="2">
        <f t="shared" si="402"/>
        <v>1.8246841048158429</v>
      </c>
      <c r="T6422" s="2">
        <f t="shared" si="404"/>
        <v>2.7558172869609545</v>
      </c>
      <c r="U6422" s="2">
        <f t="shared" si="405"/>
        <v>90.207816141213684</v>
      </c>
    </row>
    <row r="6423" spans="1:21" x14ac:dyDescent="0.25">
      <c r="A6423">
        <v>7010045</v>
      </c>
      <c r="B6423">
        <v>62</v>
      </c>
      <c r="C6423" s="1">
        <f>2.47826798260022*(10.3/7.3)</f>
        <v>3.4967342768194878</v>
      </c>
      <c r="D6423" s="1">
        <f>5.58893324530005*(10.3/7.3)</f>
        <v>7.8857551269302038</v>
      </c>
      <c r="E6423" s="1">
        <f>18.8493940791875*(10.3/7.3)</f>
        <v>26.595720413100203</v>
      </c>
      <c r="F6423" s="1">
        <f>63.7146630169412*(38.9/42.5)</f>
        <v>58.317656267270884</v>
      </c>
      <c r="G6423" s="1">
        <v>3.7169736478886963</v>
      </c>
      <c r="H6423" s="1">
        <v>11.758751448083306</v>
      </c>
      <c r="I6423" s="1">
        <v>46.881506712606132</v>
      </c>
      <c r="J6423" s="1">
        <v>3.4105639902656242E-2</v>
      </c>
      <c r="K6423" s="1">
        <v>2.3096595910183577</v>
      </c>
      <c r="L6423" s="1">
        <v>2.3199496258227348</v>
      </c>
      <c r="M6423" s="1">
        <v>0.19067339877202066</v>
      </c>
      <c r="N6423" s="1">
        <v>1.3781777467989775</v>
      </c>
      <c r="O6423" s="1">
        <v>0.16002150537634405</v>
      </c>
      <c r="P6423" s="1">
        <v>9.7215129547740073E-2</v>
      </c>
      <c r="Q6423" s="1">
        <v>5.9403688436577413</v>
      </c>
      <c r="R6423" s="2">
        <f t="shared" si="403"/>
        <v>164.59346673635665</v>
      </c>
      <c r="S6423" s="2">
        <f t="shared" si="402"/>
        <v>2.4409803604687537</v>
      </c>
      <c r="T6423" s="2">
        <f t="shared" si="404"/>
        <v>4.0488222767700766</v>
      </c>
      <c r="U6423" s="2">
        <f t="shared" si="405"/>
        <v>171.08326937359547</v>
      </c>
    </row>
    <row r="6424" spans="1:21" x14ac:dyDescent="0.25">
      <c r="A6424">
        <v>7010053</v>
      </c>
      <c r="B6424">
        <v>41</v>
      </c>
      <c r="C6424" s="1">
        <f>2.15259235573627*(10.3/7.3)</f>
        <v>3.0372193512443313</v>
      </c>
      <c r="D6424" s="1">
        <f>4.75388538934068*(10.3/7.3)</f>
        <v>6.70753691920671</v>
      </c>
      <c r="E6424" s="1">
        <f>16.0632055811723*(10.3/7.3)</f>
        <v>22.664522943297889</v>
      </c>
      <c r="F6424" s="1">
        <f>53.1839997831526*(38.9/42.5)</f>
        <v>48.679002154462026</v>
      </c>
      <c r="G6424" s="1">
        <v>3.0705980261566528</v>
      </c>
      <c r="H6424" s="1">
        <v>11.60023483173134</v>
      </c>
      <c r="I6424" s="1">
        <v>39.062542331747757</v>
      </c>
      <c r="J6424" s="1">
        <v>2.9898234630008031E-2</v>
      </c>
      <c r="K6424" s="1">
        <v>2.087937005534557</v>
      </c>
      <c r="L6424" s="1">
        <v>2.0500844494878963</v>
      </c>
      <c r="M6424" s="1">
        <v>0.16937791498534283</v>
      </c>
      <c r="N6424" s="1">
        <v>1.3160848760899506</v>
      </c>
      <c r="O6424" s="1">
        <v>0.14250406504065039</v>
      </c>
      <c r="P6424" s="1">
        <v>8.8659000701242802E-2</v>
      </c>
      <c r="Q6424" s="1">
        <v>4.907348443629358</v>
      </c>
      <c r="R6424" s="2">
        <f t="shared" si="403"/>
        <v>139.72900500147608</v>
      </c>
      <c r="S6424" s="2">
        <f t="shared" si="402"/>
        <v>2.2064942408658079</v>
      </c>
      <c r="T6424" s="2">
        <f t="shared" si="404"/>
        <v>3.6780513056038404</v>
      </c>
      <c r="U6424" s="2">
        <f t="shared" si="405"/>
        <v>145.61355054794572</v>
      </c>
    </row>
    <row r="6425" spans="1:21" x14ac:dyDescent="0.25">
      <c r="A6425">
        <v>7010061</v>
      </c>
      <c r="B6425">
        <v>4</v>
      </c>
      <c r="C6425" s="1">
        <f>1.81063455354448*(10.3/7.3)</f>
        <v>2.5547309454120781</v>
      </c>
      <c r="D6425" s="1">
        <f>4.31286469144052*(10.3/7.3)</f>
        <v>6.0852748386078526</v>
      </c>
      <c r="E6425" s="1">
        <f>14.4466076955196*(10.3/7.3)</f>
        <v>20.383569762171557</v>
      </c>
      <c r="F6425" s="1">
        <f>52.9456245350025*(38.9/42.5)</f>
        <v>48.460818692037549</v>
      </c>
      <c r="G6425" s="1">
        <v>3.2024857527712438</v>
      </c>
      <c r="H6425" s="1">
        <v>10.472790386342481</v>
      </c>
      <c r="I6425" s="1">
        <v>39.363747180132656</v>
      </c>
      <c r="J6425" s="1">
        <v>2.709709919359651E-2</v>
      </c>
      <c r="K6425" s="1">
        <v>1.9604321184195759</v>
      </c>
      <c r="L6425" s="1">
        <v>1.8861591541085707</v>
      </c>
      <c r="M6425" s="1">
        <v>0.15918787734065906</v>
      </c>
      <c r="N6425" s="1">
        <v>1.1653127292680368</v>
      </c>
      <c r="O6425" s="1">
        <v>0.13381333333333334</v>
      </c>
      <c r="P6425" s="1">
        <v>8.417292216213669E-2</v>
      </c>
      <c r="Q6425" s="1">
        <v>5.1181279153878378</v>
      </c>
      <c r="R6425" s="2">
        <f t="shared" si="403"/>
        <v>135.64154547286327</v>
      </c>
      <c r="S6425" s="2">
        <f t="shared" si="402"/>
        <v>2.0717021397753093</v>
      </c>
      <c r="T6425" s="2">
        <f t="shared" si="404"/>
        <v>3.3444730940506</v>
      </c>
      <c r="U6425" s="2">
        <f t="shared" si="405"/>
        <v>141.0577207066892</v>
      </c>
    </row>
    <row r="6426" spans="1:21" x14ac:dyDescent="0.25">
      <c r="A6426">
        <v>7010069</v>
      </c>
      <c r="B6426">
        <v>47</v>
      </c>
      <c r="C6426" s="1">
        <f>2.59912521652876*(10.3/7.3)</f>
        <v>3.6672588671570154</v>
      </c>
      <c r="D6426" s="1">
        <f>5.85805493751715*(10.3/7.3)</f>
        <v>8.2654747748529669</v>
      </c>
      <c r="E6426" s="1">
        <f>19.754695825847*(10.3/7.3)</f>
        <v>27.87306397345542</v>
      </c>
      <c r="F6426" s="1">
        <f>66.9117078712829*(38.9/42.5)</f>
        <v>61.24389261630364</v>
      </c>
      <c r="G6426" s="1">
        <v>3.9069055766049803</v>
      </c>
      <c r="H6426" s="1">
        <v>12.902606687700528</v>
      </c>
      <c r="I6426" s="1">
        <v>49.25877157602784</v>
      </c>
      <c r="J6426" s="1">
        <v>3.3870696885013103E-2</v>
      </c>
      <c r="K6426" s="1">
        <v>2.3140600929067778</v>
      </c>
      <c r="L6426" s="1">
        <v>2.3159743086671365</v>
      </c>
      <c r="M6426" s="1">
        <v>0.18752693735733716</v>
      </c>
      <c r="N6426" s="1">
        <v>1.3910174850591122</v>
      </c>
      <c r="O6426" s="1">
        <v>0.15756368794326245</v>
      </c>
      <c r="P6426" s="1">
        <v>9.7306539776226594E-2</v>
      </c>
      <c r="Q6426" s="1">
        <v>6.2439130219714363</v>
      </c>
      <c r="R6426" s="2">
        <f t="shared" si="403"/>
        <v>173.36188709407381</v>
      </c>
      <c r="S6426" s="2">
        <f t="shared" si="402"/>
        <v>2.4452373295680174</v>
      </c>
      <c r="T6426" s="2">
        <f t="shared" si="404"/>
        <v>4.0520824190268483</v>
      </c>
      <c r="U6426" s="2">
        <f t="shared" si="405"/>
        <v>179.85920684266867</v>
      </c>
    </row>
    <row r="6427" spans="1:21" x14ac:dyDescent="0.25">
      <c r="A6427">
        <v>7010077</v>
      </c>
      <c r="B6427">
        <v>64</v>
      </c>
      <c r="C6427" s="1">
        <f>3.3574319016559*(10.3/7.3)</f>
        <v>4.7371984365829771</v>
      </c>
      <c r="D6427" s="1">
        <f>7.09427224803806*(10.3/7.3)</f>
        <v>10.009726596546859</v>
      </c>
      <c r="E6427" s="1">
        <f>24.0991667159839*(10.3/7.3)</f>
        <v>34.002933859538906</v>
      </c>
      <c r="F6427" s="1">
        <f>74.6285750214705*(38.9/42.5)</f>
        <v>68.307095725534182</v>
      </c>
      <c r="G6427" s="1">
        <v>4.1615851718509917</v>
      </c>
      <c r="H6427" s="1">
        <v>13.338563118504531</v>
      </c>
      <c r="I6427" s="1">
        <v>54.335874782270444</v>
      </c>
      <c r="J6427" s="1">
        <v>3.9407694094226307E-2</v>
      </c>
      <c r="K6427" s="1">
        <v>2.6322873381551397</v>
      </c>
      <c r="L6427" s="1">
        <v>2.674418810784335</v>
      </c>
      <c r="M6427" s="1">
        <v>0.21388609087995264</v>
      </c>
      <c r="N6427" s="1">
        <v>1.620257113586496</v>
      </c>
      <c r="O6427" s="1">
        <v>0.1784975</v>
      </c>
      <c r="P6427" s="1">
        <v>0.1091687629712758</v>
      </c>
      <c r="Q6427" s="1">
        <v>6.6509352061545615</v>
      </c>
      <c r="R6427" s="2">
        <f t="shared" si="403"/>
        <v>195.54391289698347</v>
      </c>
      <c r="S6427" s="2">
        <f t="shared" si="402"/>
        <v>2.7808637952206419</v>
      </c>
      <c r="T6427" s="2">
        <f t="shared" si="404"/>
        <v>4.687059515250783</v>
      </c>
      <c r="U6427" s="2">
        <f t="shared" si="405"/>
        <v>203.01183620745491</v>
      </c>
    </row>
    <row r="6428" spans="1:21" x14ac:dyDescent="0.25">
      <c r="A6428">
        <v>7010085</v>
      </c>
      <c r="B6428">
        <v>71</v>
      </c>
      <c r="C6428" s="1">
        <f>3.7653665949808*(10.3/7.3)</f>
        <v>5.312777524424968</v>
      </c>
      <c r="D6428" s="1">
        <f>7.74796327954837*(10.3/7.3)</f>
        <v>10.932057777992904</v>
      </c>
      <c r="E6428" s="1">
        <f>26.3993504416394*(10.3/7.3)</f>
        <v>37.248398568340498</v>
      </c>
      <c r="F6428" s="1">
        <f>78.638533563986*(38.9/42.5)</f>
        <v>71.977387191507162</v>
      </c>
      <c r="G6428" s="1">
        <v>4.28954595914146</v>
      </c>
      <c r="H6428" s="1">
        <v>11.486985976175918</v>
      </c>
      <c r="I6428" s="1">
        <v>56.972150837974901</v>
      </c>
      <c r="J6428" s="1">
        <v>4.2963454020200402E-2</v>
      </c>
      <c r="K6428" s="1">
        <v>2.7677539840632268</v>
      </c>
      <c r="L6428" s="1">
        <v>2.8158184494688325</v>
      </c>
      <c r="M6428" s="1">
        <v>0.22255333707081668</v>
      </c>
      <c r="N6428" s="1">
        <v>1.7017105792622194</v>
      </c>
      <c r="O6428" s="1">
        <v>0.18605370892018783</v>
      </c>
      <c r="P6428" s="1">
        <v>0.11403045085902414</v>
      </c>
      <c r="Q6428" s="1">
        <v>6.8554387474863567</v>
      </c>
      <c r="R6428" s="2">
        <f t="shared" si="403"/>
        <v>205.07474258304418</v>
      </c>
      <c r="S6428" s="2">
        <f t="shared" si="402"/>
        <v>2.9247478889424512</v>
      </c>
      <c r="T6428" s="2">
        <f t="shared" si="404"/>
        <v>4.9261360747220557</v>
      </c>
      <c r="U6428" s="2">
        <f t="shared" si="405"/>
        <v>212.92562654670868</v>
      </c>
    </row>
    <row r="6429" spans="1:21" x14ac:dyDescent="0.25">
      <c r="A6429">
        <v>7010093</v>
      </c>
      <c r="B6429">
        <v>71</v>
      </c>
      <c r="C6429" s="1">
        <f>3.82632768039057*(10.3/7.3)</f>
        <v>5.3987911106880615</v>
      </c>
      <c r="D6429" s="1">
        <f>7.89943580005528*(10.3/7.3)</f>
        <v>11.145779279530057</v>
      </c>
      <c r="E6429" s="1">
        <f>26.9410712226985*(10.3/7.3)</f>
        <v>38.012744327917098</v>
      </c>
      <c r="F6429" s="1">
        <f>78.807029145852*(38.9/42.5)</f>
        <v>72.131610206438694</v>
      </c>
      <c r="G6429" s="1">
        <v>4.2569041179228417</v>
      </c>
      <c r="H6429" s="1">
        <v>10.667416302476099</v>
      </c>
      <c r="I6429" s="1">
        <v>56.82258862890118</v>
      </c>
      <c r="J6429" s="1">
        <v>4.2250834842720512E-2</v>
      </c>
      <c r="K6429" s="1">
        <v>2.7444809927535636</v>
      </c>
      <c r="L6429" s="1">
        <v>2.7814875212616617</v>
      </c>
      <c r="M6429" s="1">
        <v>0.21871707509754326</v>
      </c>
      <c r="N6429" s="1">
        <v>1.701019464588333</v>
      </c>
      <c r="O6429" s="1">
        <v>0.18327737089201876</v>
      </c>
      <c r="P6429" s="1">
        <v>0.11288884976483583</v>
      </c>
      <c r="Q6429" s="1">
        <v>6.8032714213378807</v>
      </c>
      <c r="R6429" s="2">
        <f t="shared" si="403"/>
        <v>205.23910539521188</v>
      </c>
      <c r="S6429" s="2">
        <f t="shared" si="402"/>
        <v>2.8996206773611197</v>
      </c>
      <c r="T6429" s="2">
        <f t="shared" si="404"/>
        <v>4.8845014318395563</v>
      </c>
      <c r="U6429" s="2">
        <f t="shared" si="405"/>
        <v>213.02322750441257</v>
      </c>
    </row>
    <row r="6430" spans="1:21" x14ac:dyDescent="0.25">
      <c r="A6430">
        <v>7010101</v>
      </c>
      <c r="B6430">
        <v>65</v>
      </c>
      <c r="C6430" s="1">
        <f>3.55179476085699*(10.3/7.3)</f>
        <v>5.0114364434009522</v>
      </c>
      <c r="D6430" s="1">
        <f>7.8169038577457*(10.3/7.3)</f>
        <v>11.029330100654898</v>
      </c>
      <c r="E6430" s="1">
        <f>26.6477250542578*(10.3/7.3)</f>
        <v>37.598844939569247</v>
      </c>
      <c r="F6430" s="1">
        <f>76.1986714856058*(38.9/42.5)</f>
        <v>69.744195783295638</v>
      </c>
      <c r="G6430" s="1">
        <v>4.0806246908210104</v>
      </c>
      <c r="H6430" s="1">
        <v>10.803750794584294</v>
      </c>
      <c r="I6430" s="1">
        <v>54.101698353266123</v>
      </c>
      <c r="J6430" s="1">
        <v>4.0295029599932919E-2</v>
      </c>
      <c r="K6430" s="1">
        <v>2.6420661845576849</v>
      </c>
      <c r="L6430" s="1">
        <v>2.6529762080872157</v>
      </c>
      <c r="M6430" s="1">
        <v>0.20812575842471073</v>
      </c>
      <c r="N6430" s="1">
        <v>1.6872907271665198</v>
      </c>
      <c r="O6430" s="1">
        <v>0.1747380512820513</v>
      </c>
      <c r="P6430" s="1">
        <v>0.10849550897303344</v>
      </c>
      <c r="Q6430" s="1">
        <v>6.5215463095313053</v>
      </c>
      <c r="R6430" s="2">
        <f t="shared" si="403"/>
        <v>198.8914274151235</v>
      </c>
      <c r="S6430" s="2">
        <f t="shared" si="402"/>
        <v>2.7908567231306516</v>
      </c>
      <c r="T6430" s="2">
        <f t="shared" si="404"/>
        <v>4.7231307449604971</v>
      </c>
      <c r="U6430" s="2">
        <f t="shared" si="405"/>
        <v>206.40541488321463</v>
      </c>
    </row>
    <row r="6431" spans="1:21" x14ac:dyDescent="0.25">
      <c r="A6431">
        <v>7010117</v>
      </c>
      <c r="B6431">
        <v>25</v>
      </c>
      <c r="C6431" s="1">
        <f>2.29298186320672*(10.3/7.3)</f>
        <v>3.2353031768533107</v>
      </c>
      <c r="D6431" s="1">
        <f>5.2411930071992*(10.3/7.3)</f>
        <v>7.3951079416646239</v>
      </c>
      <c r="E6431" s="1">
        <f>17.689903892449*(10.3/7.3)</f>
        <v>24.959727409893766</v>
      </c>
      <c r="F6431" s="1">
        <f>58.7924253939924*(38.9/42.5)</f>
        <v>53.81236112532477</v>
      </c>
      <c r="G6431" s="1">
        <v>3.4062281163171786</v>
      </c>
      <c r="H6431" s="1">
        <v>9.8825653847277817</v>
      </c>
      <c r="I6431" s="1">
        <v>43.031532923816577</v>
      </c>
      <c r="J6431" s="1">
        <v>2.8587312353131597E-2</v>
      </c>
      <c r="K6431" s="1">
        <v>1.9824274350638222</v>
      </c>
      <c r="L6431" s="1">
        <v>1.8754782673960322</v>
      </c>
      <c r="M6431" s="1">
        <v>0.15032676198449058</v>
      </c>
      <c r="N6431" s="1">
        <v>1.2237180700425223</v>
      </c>
      <c r="O6431" s="1">
        <v>0.12774826666666669</v>
      </c>
      <c r="P6431" s="1">
        <v>8.3256192625646402E-2</v>
      </c>
      <c r="Q6431" s="1">
        <v>5.4437435648904753</v>
      </c>
      <c r="R6431" s="2">
        <f t="shared" si="403"/>
        <v>151.16656964348849</v>
      </c>
      <c r="S6431" s="2">
        <f t="shared" si="402"/>
        <v>2.0942709400426005</v>
      </c>
      <c r="T6431" s="2">
        <f t="shared" si="404"/>
        <v>3.3772713660897118</v>
      </c>
      <c r="U6431" s="2">
        <f t="shared" si="405"/>
        <v>156.63811194962079</v>
      </c>
    </row>
    <row r="6432" spans="1:21" x14ac:dyDescent="0.25">
      <c r="A6432">
        <v>7021737</v>
      </c>
      <c r="B6432">
        <v>40</v>
      </c>
      <c r="C6432" s="1">
        <f>0.388416161414287*(10.3/7.3)</f>
        <v>0.54803924144755511</v>
      </c>
      <c r="D6432" s="1">
        <f>0.746837725867515*(10.3/7.3)</f>
        <v>1.0537573392377271</v>
      </c>
      <c r="E6432" s="1">
        <f>2.54410268899422*(10.3/7.3)</f>
        <v>3.5896243420055383</v>
      </c>
      <c r="F6432" s="1">
        <f>7.86399460993453*(38.9/42.5)</f>
        <v>7.1978680076812491</v>
      </c>
      <c r="G6432" s="1">
        <v>0.43553162468042661</v>
      </c>
      <c r="H6432" s="1">
        <v>2.688771993511947</v>
      </c>
      <c r="I6432" s="1">
        <v>5.8039183601173816</v>
      </c>
      <c r="J6432" s="1">
        <v>1.9042437661456739E-2</v>
      </c>
      <c r="K6432" s="1">
        <v>1.8791782036683808</v>
      </c>
      <c r="L6432" s="1">
        <v>1.1776398893955291</v>
      </c>
      <c r="M6432" s="1">
        <v>0.17096213931767992</v>
      </c>
      <c r="N6432" s="1">
        <v>0.71106118983395172</v>
      </c>
      <c r="O6432" s="1">
        <v>0.18120933333333328</v>
      </c>
      <c r="P6432" s="1">
        <v>8.6851197740687877E-2</v>
      </c>
      <c r="Q6432" s="1">
        <v>0.6960551079367554</v>
      </c>
      <c r="R6432" s="2">
        <f t="shared" si="403"/>
        <v>22.013566016618579</v>
      </c>
      <c r="S6432" s="2">
        <f t="shared" si="402"/>
        <v>1.9850718390705253</v>
      </c>
      <c r="T6432" s="2">
        <f t="shared" si="404"/>
        <v>2.2408725518804942</v>
      </c>
      <c r="U6432" s="2">
        <f t="shared" si="405"/>
        <v>26.239510407569597</v>
      </c>
    </row>
    <row r="6433" spans="1:21" x14ac:dyDescent="0.25">
      <c r="A6433">
        <v>7022001</v>
      </c>
      <c r="B6433">
        <v>19</v>
      </c>
      <c r="C6433" s="1">
        <f>1.15156642698512*(10.3/7.3)</f>
        <v>1.6248129038283177</v>
      </c>
      <c r="D6433" s="1">
        <f>2.1986060152245*(10.3/7.3)</f>
        <v>3.1021427338099103</v>
      </c>
      <c r="E6433" s="1">
        <f>7.44121705693243*(10.3/7.3)</f>
        <v>10.499251463890962</v>
      </c>
      <c r="F6433" s="1">
        <f>25.5752255257706*(38.9/42.5)</f>
        <v>23.408853481234765</v>
      </c>
      <c r="G6433" s="1">
        <v>1.4898184918883435</v>
      </c>
      <c r="H6433" s="1">
        <v>10.483177033852243</v>
      </c>
      <c r="I6433" s="1">
        <v>19.292246548585275</v>
      </c>
      <c r="J6433" s="1">
        <v>1.7441354054275805E-2</v>
      </c>
      <c r="K6433" s="1">
        <v>1.6669753461923282</v>
      </c>
      <c r="L6433" s="1">
        <v>1.376237970856069</v>
      </c>
      <c r="M6433" s="1">
        <v>0.17107872802026322</v>
      </c>
      <c r="N6433" s="1">
        <v>0.68896686358422177</v>
      </c>
      <c r="O6433" s="1">
        <v>0.13457964912280704</v>
      </c>
      <c r="P6433" s="1">
        <v>7.9524181073445679E-2</v>
      </c>
      <c r="Q6433" s="1">
        <v>2.3809884573558038</v>
      </c>
      <c r="R6433" s="2">
        <f t="shared" si="403"/>
        <v>72.281291114445608</v>
      </c>
      <c r="S6433" s="2">
        <f t="shared" si="402"/>
        <v>1.7639408813200497</v>
      </c>
      <c r="T6433" s="2">
        <f t="shared" si="404"/>
        <v>2.370863211583361</v>
      </c>
      <c r="U6433" s="2">
        <f t="shared" si="405"/>
        <v>76.416095207349017</v>
      </c>
    </row>
    <row r="6434" spans="1:21" x14ac:dyDescent="0.25">
      <c r="A6434">
        <v>7022153</v>
      </c>
      <c r="B6434">
        <v>1</v>
      </c>
      <c r="C6434" s="1">
        <f>1.46611214069451*(10.3/7.3)</f>
        <v>2.0686239793360888</v>
      </c>
      <c r="D6434" s="1">
        <f>2.73076674605323*(10.3/7.3)</f>
        <v>3.8529996553901737</v>
      </c>
      <c r="E6434" s="1">
        <f>9.23032565719698*(10.3/7.3)</f>
        <v>13.02361017385328</v>
      </c>
      <c r="F6434" s="1">
        <f>32.7075503476043*(38.9/42.5)</f>
        <v>29.9370284358072</v>
      </c>
      <c r="G6434" s="1">
        <v>1.9280900905368705</v>
      </c>
      <c r="H6434" s="1">
        <v>8.4178695239112376</v>
      </c>
      <c r="I6434" s="1">
        <v>24.89084955437303</v>
      </c>
      <c r="J6434" s="1">
        <v>2.0138245031758383E-2</v>
      </c>
      <c r="K6434" s="1">
        <v>1.7372684893661707</v>
      </c>
      <c r="L6434" s="1">
        <v>1.6134130538893217</v>
      </c>
      <c r="M6434" s="1">
        <v>0.1580191401997626</v>
      </c>
      <c r="N6434" s="1">
        <v>0.88255751404504545</v>
      </c>
      <c r="O6434" s="1">
        <v>0.12661333333333333</v>
      </c>
      <c r="P6434" s="1">
        <v>7.9014644678552542E-2</v>
      </c>
      <c r="Q6434" s="1">
        <v>3.0814225191228557</v>
      </c>
      <c r="R6434" s="2">
        <f t="shared" si="403"/>
        <v>87.20049393233073</v>
      </c>
      <c r="S6434" s="2">
        <f t="shared" si="402"/>
        <v>1.8364213790764816</v>
      </c>
      <c r="T6434" s="2">
        <f t="shared" si="404"/>
        <v>2.780603041467463</v>
      </c>
      <c r="U6434" s="2">
        <f t="shared" si="405"/>
        <v>91.817518352874671</v>
      </c>
    </row>
    <row r="6435" spans="1:21" x14ac:dyDescent="0.25">
      <c r="A6435">
        <v>7022161</v>
      </c>
      <c r="B6435">
        <v>8</v>
      </c>
      <c r="C6435" s="1">
        <f>1.34632587981054*(10.3/7.3)</f>
        <v>1.8996104879518645</v>
      </c>
      <c r="D6435" s="1">
        <f>2.6161580539352*(10.3/7.3)</f>
        <v>3.6912915007578917</v>
      </c>
      <c r="E6435" s="1">
        <f>8.83607757111411*(10.3/7.3)</f>
        <v>12.467342326366483</v>
      </c>
      <c r="F6435" s="1">
        <f>31.0809667403787*(38.9/42.5)</f>
        <v>28.448226028252488</v>
      </c>
      <c r="G6435" s="1">
        <v>1.8307199315406431</v>
      </c>
      <c r="H6435" s="1">
        <v>6.6056426252080804</v>
      </c>
      <c r="I6435" s="1">
        <v>23.488877036278151</v>
      </c>
      <c r="J6435" s="1">
        <v>1.9986550497437826E-2</v>
      </c>
      <c r="K6435" s="1">
        <v>1.7355082378721483</v>
      </c>
      <c r="L6435" s="1">
        <v>1.6069875831694254</v>
      </c>
      <c r="M6435" s="1">
        <v>0.15614929998083002</v>
      </c>
      <c r="N6435" s="1">
        <v>0.88257553215960327</v>
      </c>
      <c r="O6435" s="1">
        <v>0.12578666666666666</v>
      </c>
      <c r="P6435" s="1">
        <v>7.8916952939295626E-2</v>
      </c>
      <c r="Q6435" s="1">
        <v>2.9258081097681536</v>
      </c>
      <c r="R6435" s="2">
        <f t="shared" si="403"/>
        <v>81.357518046123758</v>
      </c>
      <c r="S6435" s="2">
        <f t="shared" si="402"/>
        <v>1.8344117413088818</v>
      </c>
      <c r="T6435" s="2">
        <f t="shared" si="404"/>
        <v>2.7714990819765251</v>
      </c>
      <c r="U6435" s="2">
        <f t="shared" si="405"/>
        <v>85.963428869409171</v>
      </c>
    </row>
    <row r="6436" spans="1:21" x14ac:dyDescent="0.25">
      <c r="A6436">
        <v>7022273</v>
      </c>
      <c r="B6436">
        <v>1</v>
      </c>
      <c r="C6436" s="1">
        <f>1.73456081845275*(10.3/7.3)</f>
        <v>2.4473940315155298</v>
      </c>
      <c r="D6436" s="1">
        <f>3.94458459039097*(10.3/7.3)</f>
        <v>5.5656467508256187</v>
      </c>
      <c r="E6436" s="1">
        <f>13.282123630764*(10.3/7.3)</f>
        <v>18.740530602310812</v>
      </c>
      <c r="F6436" s="1">
        <f>45.8641424237943*(38.9/42.5)</f>
        <v>41.979179771425848</v>
      </c>
      <c r="G6436" s="1">
        <v>2.701686615454558</v>
      </c>
      <c r="H6436" s="1">
        <v>8.9519641984131884</v>
      </c>
      <c r="I6436" s="1">
        <v>33.864289248817222</v>
      </c>
      <c r="J6436" s="1">
        <v>2.8242764208045466E-2</v>
      </c>
      <c r="K6436" s="1">
        <v>1.9366992979895161</v>
      </c>
      <c r="L6436" s="1">
        <v>1.8635229094211849</v>
      </c>
      <c r="M6436" s="1">
        <v>0.15898235614268186</v>
      </c>
      <c r="N6436" s="1">
        <v>1.1602618497928439</v>
      </c>
      <c r="O6436" s="1">
        <v>0.13386666666666666</v>
      </c>
      <c r="P6436" s="1">
        <v>8.2792375332823576E-2</v>
      </c>
      <c r="Q6436" s="1">
        <v>4.3177639973018094</v>
      </c>
      <c r="R6436" s="2">
        <f t="shared" si="403"/>
        <v>118.56845521606461</v>
      </c>
      <c r="S6436" s="2">
        <f t="shared" si="402"/>
        <v>2.047734437530385</v>
      </c>
      <c r="T6436" s="2">
        <f t="shared" si="404"/>
        <v>3.3166337820233771</v>
      </c>
      <c r="U6436" s="2">
        <f t="shared" si="405"/>
        <v>123.93282343561836</v>
      </c>
    </row>
    <row r="6437" spans="1:21" x14ac:dyDescent="0.25">
      <c r="A6437">
        <v>7022281</v>
      </c>
      <c r="B6437">
        <v>48</v>
      </c>
      <c r="C6437" s="1">
        <f>2.42253523492203*(10.3/7.3)</f>
        <v>3.4180976602324469</v>
      </c>
      <c r="D6437" s="1">
        <f>5.50837820012515*(10.3/7.3)</f>
        <v>7.7720952686697276</v>
      </c>
      <c r="E6437" s="1">
        <f>18.5691539815371*(10.3/7.3)</f>
        <v>26.200313152031825</v>
      </c>
      <c r="F6437" s="1">
        <f>63.0097512076282*(38.9/42.5)</f>
        <v>57.672454634746742</v>
      </c>
      <c r="G6437" s="1">
        <v>3.6835917977840555</v>
      </c>
      <c r="H6437" s="1">
        <v>12.671452137325483</v>
      </c>
      <c r="I6437" s="1">
        <v>46.354388031255219</v>
      </c>
      <c r="J6437" s="1">
        <v>3.3491784055881137E-2</v>
      </c>
      <c r="K6437" s="1">
        <v>2.2959064771561706</v>
      </c>
      <c r="L6437" s="1">
        <v>2.2991100907628499</v>
      </c>
      <c r="M6437" s="1">
        <v>0.18625721478971716</v>
      </c>
      <c r="N6437" s="1">
        <v>1.3726071918838922</v>
      </c>
      <c r="O6437" s="1">
        <v>0.15853444444444445</v>
      </c>
      <c r="P6437" s="1">
        <v>9.6577145291440361E-2</v>
      </c>
      <c r="Q6437" s="1">
        <v>5.8870188549060316</v>
      </c>
      <c r="R6437" s="2">
        <f t="shared" si="403"/>
        <v>163.65941153695155</v>
      </c>
      <c r="S6437" s="2">
        <f t="shared" si="402"/>
        <v>2.4259754065034924</v>
      </c>
      <c r="T6437" s="2">
        <f t="shared" si="404"/>
        <v>4.0165089418809039</v>
      </c>
      <c r="U6437" s="2">
        <f t="shared" si="405"/>
        <v>170.10189588533595</v>
      </c>
    </row>
    <row r="6438" spans="1:21" x14ac:dyDescent="0.25">
      <c r="A6438">
        <v>7022289</v>
      </c>
      <c r="B6438">
        <v>53</v>
      </c>
      <c r="C6438" s="1">
        <f>1.74329317844254*(10.3/7.3)</f>
        <v>2.4597150325970061</v>
      </c>
      <c r="D6438" s="1">
        <f>3.8346110695669*(10.3/7.3)</f>
        <v>5.4104786324026142</v>
      </c>
      <c r="E6438" s="1">
        <f>12.9648149240264*(10.3/7.3)</f>
        <v>18.292821057187883</v>
      </c>
      <c r="F6438" s="1">
        <f>42.5913552191205*(38.9/42.5)</f>
        <v>38.983616894677311</v>
      </c>
      <c r="G6438" s="1">
        <v>2.449685214303762</v>
      </c>
      <c r="H6438" s="1">
        <v>8.8859866789926905</v>
      </c>
      <c r="I6438" s="1">
        <v>31.245946159947103</v>
      </c>
      <c r="J6438" s="1">
        <v>2.6243014331671879E-2</v>
      </c>
      <c r="K6438" s="1">
        <v>1.9015023333660384</v>
      </c>
      <c r="L6438" s="1">
        <v>1.8135245209858408</v>
      </c>
      <c r="M6438" s="1">
        <v>0.15425098871619869</v>
      </c>
      <c r="N6438" s="1">
        <v>1.1948946150078901</v>
      </c>
      <c r="O6438" s="1">
        <v>0.12882415094339622</v>
      </c>
      <c r="P6438" s="1">
        <v>8.1707577556685729E-2</v>
      </c>
      <c r="Q6438" s="1">
        <v>3.9150220319923172</v>
      </c>
      <c r="R6438" s="2">
        <f t="shared" si="403"/>
        <v>111.64327170210069</v>
      </c>
      <c r="S6438" s="2">
        <f t="shared" si="402"/>
        <v>2.0094529252543958</v>
      </c>
      <c r="T6438" s="2">
        <f t="shared" si="404"/>
        <v>3.2914942756533261</v>
      </c>
      <c r="U6438" s="2">
        <f t="shared" si="405"/>
        <v>116.94421890300841</v>
      </c>
    </row>
    <row r="6439" spans="1:21" x14ac:dyDescent="0.25">
      <c r="A6439">
        <v>7022297</v>
      </c>
      <c r="B6439">
        <v>12</v>
      </c>
      <c r="C6439" s="1">
        <f>1.53415365768318*(10.3/7.3)</f>
        <v>2.1646277635803832</v>
      </c>
      <c r="D6439" s="1">
        <f>3.5554872814768*(10.3/7.3)</f>
        <v>5.0166464382480935</v>
      </c>
      <c r="E6439" s="1">
        <f>11.949971005002*(10.3/7.3)</f>
        <v>16.860917993359028</v>
      </c>
      <c r="F6439" s="1">
        <f>42.1111366918341*(38.9/42.5)</f>
        <v>38.544075701466973</v>
      </c>
      <c r="G6439" s="1">
        <v>2.5041745114851666</v>
      </c>
      <c r="H6439" s="1">
        <v>9.9683676382017499</v>
      </c>
      <c r="I6439" s="1">
        <v>31.155349991980653</v>
      </c>
      <c r="J6439" s="1">
        <v>2.5174927891576587E-2</v>
      </c>
      <c r="K6439" s="1">
        <v>1.8398122380614301</v>
      </c>
      <c r="L6439" s="1">
        <v>1.7353347580763463</v>
      </c>
      <c r="M6439" s="1">
        <v>0.14792975577083015</v>
      </c>
      <c r="N6439" s="1">
        <v>1.0952954448673158</v>
      </c>
      <c r="O6439" s="1">
        <v>0.12335555555555555</v>
      </c>
      <c r="P6439" s="1">
        <v>7.9305530420293632E-2</v>
      </c>
      <c r="Q6439" s="1">
        <v>4.0021053836520979</v>
      </c>
      <c r="R6439" s="2">
        <f t="shared" si="403"/>
        <v>110.21626542197414</v>
      </c>
      <c r="S6439" s="2">
        <f t="shared" si="402"/>
        <v>1.9442926963733003</v>
      </c>
      <c r="T6439" s="2">
        <f t="shared" si="404"/>
        <v>3.1019155142700479</v>
      </c>
      <c r="U6439" s="2">
        <f t="shared" si="405"/>
        <v>115.26247363261749</v>
      </c>
    </row>
    <row r="6440" spans="1:21" x14ac:dyDescent="0.25">
      <c r="A6440">
        <v>7022305</v>
      </c>
      <c r="B6440">
        <v>59</v>
      </c>
      <c r="C6440" s="1">
        <f>3.309251356096*(10.3/7.3)</f>
        <v>4.669217666820388</v>
      </c>
      <c r="D6440" s="1">
        <f>7.13969466917957*(10.3/7.3)</f>
        <v>10.073815766102676</v>
      </c>
      <c r="E6440" s="1">
        <f>24.2173804000336*(10.3/7.3)</f>
        <v>34.169728509636457</v>
      </c>
      <c r="F6440" s="1">
        <f>76.1543821694633*(38.9/42.5)</f>
        <v>69.703658032755868</v>
      </c>
      <c r="G6440" s="1">
        <v>4.2847416354147052</v>
      </c>
      <c r="H6440" s="1">
        <v>11.670888116493895</v>
      </c>
      <c r="I6440" s="1">
        <v>55.476340262991933</v>
      </c>
      <c r="J6440" s="1">
        <v>3.9079906603981168E-2</v>
      </c>
      <c r="K6440" s="1">
        <v>2.6338530113195584</v>
      </c>
      <c r="L6440" s="1">
        <v>2.6832047906044005</v>
      </c>
      <c r="M6440" s="1">
        <v>0.21352280720416536</v>
      </c>
      <c r="N6440" s="1">
        <v>1.6036175124626633</v>
      </c>
      <c r="O6440" s="1">
        <v>0.17980836158192093</v>
      </c>
      <c r="P6440" s="1">
        <v>0.10943572472135553</v>
      </c>
      <c r="Q6440" s="1">
        <v>6.8477606045440558</v>
      </c>
      <c r="R6440" s="2">
        <f t="shared" si="403"/>
        <v>196.89615059475994</v>
      </c>
      <c r="S6440" s="2">
        <f t="shared" si="402"/>
        <v>2.782368642644895</v>
      </c>
      <c r="T6440" s="2">
        <f t="shared" si="404"/>
        <v>4.680153471853151</v>
      </c>
      <c r="U6440" s="2">
        <f t="shared" si="405"/>
        <v>204.35867270925797</v>
      </c>
    </row>
    <row r="6441" spans="1:21" x14ac:dyDescent="0.25">
      <c r="A6441">
        <v>7022313</v>
      </c>
      <c r="B6441">
        <v>59</v>
      </c>
      <c r="C6441" s="1">
        <f>3.6808981160574*(10.3/7.3)</f>
        <v>5.1935959719713933</v>
      </c>
      <c r="D6441" s="1">
        <f>7.69720543206022*(10.3/7.3)</f>
        <v>10.860440541126058</v>
      </c>
      <c r="E6441" s="1">
        <f>26.1973576690039*(10.3/7.3)</f>
        <v>36.963395067224631</v>
      </c>
      <c r="F6441" s="1">
        <f>78.9295657079678*(38.9/42.5)</f>
        <v>72.243767200939899</v>
      </c>
      <c r="G6441" s="1">
        <v>4.3362613926984155</v>
      </c>
      <c r="H6441" s="1">
        <v>10.813751849078177</v>
      </c>
      <c r="I6441" s="1">
        <v>57.194994135839792</v>
      </c>
      <c r="J6441" s="1">
        <v>4.1728528772978425E-2</v>
      </c>
      <c r="K6441" s="1">
        <v>2.7655161269130799</v>
      </c>
      <c r="L6441" s="1">
        <v>2.820330513493376</v>
      </c>
      <c r="M6441" s="1">
        <v>0.22381589170354804</v>
      </c>
      <c r="N6441" s="1">
        <v>1.675723409092531</v>
      </c>
      <c r="O6441" s="1">
        <v>0.18710327683615824</v>
      </c>
      <c r="P6441" s="1">
        <v>0.11372608204894551</v>
      </c>
      <c r="Q6441" s="1">
        <v>6.9300981161846886</v>
      </c>
      <c r="R6441" s="2">
        <f t="shared" si="403"/>
        <v>204.53630427506306</v>
      </c>
      <c r="S6441" s="2">
        <f t="shared" si="402"/>
        <v>2.9209707377350038</v>
      </c>
      <c r="T6441" s="2">
        <f t="shared" si="404"/>
        <v>4.9069730911256126</v>
      </c>
      <c r="U6441" s="2">
        <f t="shared" si="405"/>
        <v>212.36424810392367</v>
      </c>
    </row>
    <row r="6442" spans="1:21" x14ac:dyDescent="0.25">
      <c r="A6442">
        <v>7022321</v>
      </c>
      <c r="B6442">
        <v>60</v>
      </c>
      <c r="C6442" s="1">
        <f>3.68504890174528*(10.3/7.3)</f>
        <v>5.19945255999676</v>
      </c>
      <c r="D6442" s="1">
        <f>7.60968057017234*(10.3/7.3)</f>
        <v>10.736946557914397</v>
      </c>
      <c r="E6442" s="1">
        <f>25.9449191686148*(10.3/7.3)</f>
        <v>36.607214717360648</v>
      </c>
      <c r="F6442" s="1">
        <f>76.2918957716383*(38.9/42.5)</f>
        <v>69.829523423923064</v>
      </c>
      <c r="G6442" s="1">
        <v>4.1331263063950594</v>
      </c>
      <c r="H6442" s="1">
        <v>10.166497727621293</v>
      </c>
      <c r="I6442" s="1">
        <v>55.075228986933027</v>
      </c>
      <c r="J6442" s="1">
        <v>4.11173516080722E-2</v>
      </c>
      <c r="K6442" s="1">
        <v>2.7160912254687832</v>
      </c>
      <c r="L6442" s="1">
        <v>2.7512104793612409</v>
      </c>
      <c r="M6442" s="1">
        <v>0.21733382071158178</v>
      </c>
      <c r="N6442" s="1">
        <v>1.7047552905310097</v>
      </c>
      <c r="O6442" s="1">
        <v>0.18226399999999998</v>
      </c>
      <c r="P6442" s="1">
        <v>0.11176845525382827</v>
      </c>
      <c r="Q6442" s="1">
        <v>6.6054530010880006</v>
      </c>
      <c r="R6442" s="2">
        <f t="shared" si="403"/>
        <v>198.35344328123222</v>
      </c>
      <c r="S6442" s="2">
        <f t="shared" si="402"/>
        <v>2.8689770323306836</v>
      </c>
      <c r="T6442" s="2">
        <f t="shared" si="404"/>
        <v>4.8555635906038326</v>
      </c>
      <c r="U6442" s="2">
        <f t="shared" si="405"/>
        <v>206.07798390416673</v>
      </c>
    </row>
    <row r="6443" spans="1:21" x14ac:dyDescent="0.25">
      <c r="A6443">
        <v>7022329</v>
      </c>
      <c r="B6443">
        <v>61</v>
      </c>
      <c r="C6443" s="1">
        <f>3.81492380703623*(10.3/7.3)</f>
        <v>5.3827007140374175</v>
      </c>
      <c r="D6443" s="1">
        <f>7.95842778280383*(10.3/7.3)</f>
        <v>11.229014542860202</v>
      </c>
      <c r="E6443" s="1">
        <f>27.1506394057441*(10.3/7.3)</f>
        <v>38.308436421803336</v>
      </c>
      <c r="F6443" s="1">
        <f>78.5872512021716*(38.9/42.5)</f>
        <v>71.930448747399424</v>
      </c>
      <c r="G6443" s="1">
        <v>4.2229002180899275</v>
      </c>
      <c r="H6443" s="1">
        <v>10.239980946181062</v>
      </c>
      <c r="I6443" s="1">
        <v>56.429410406539297</v>
      </c>
      <c r="J6443" s="1">
        <v>4.1381948983348148E-2</v>
      </c>
      <c r="K6443" s="1">
        <v>2.7332296088869028</v>
      </c>
      <c r="L6443" s="1">
        <v>2.757840987315149</v>
      </c>
      <c r="M6443" s="1">
        <v>0.21670432902305933</v>
      </c>
      <c r="N6443" s="1">
        <v>1.678018496732953</v>
      </c>
      <c r="O6443" s="1">
        <v>0.18187278688524591</v>
      </c>
      <c r="P6443" s="1">
        <v>0.11208100926152954</v>
      </c>
      <c r="Q6443" s="1">
        <v>6.748927289184822</v>
      </c>
      <c r="R6443" s="2">
        <f t="shared" si="403"/>
        <v>204.49181928609548</v>
      </c>
      <c r="S6443" s="2">
        <f t="shared" si="402"/>
        <v>2.8866925671317807</v>
      </c>
      <c r="T6443" s="2">
        <f t="shared" si="404"/>
        <v>4.8344365999564074</v>
      </c>
      <c r="U6443" s="2">
        <f t="shared" si="405"/>
        <v>212.21294845318366</v>
      </c>
    </row>
    <row r="6444" spans="1:21" x14ac:dyDescent="0.25">
      <c r="A6444">
        <v>7022337</v>
      </c>
      <c r="B6444">
        <v>8</v>
      </c>
      <c r="C6444" s="1">
        <f>2.87940083051708*(10.3/7.3)</f>
        <v>4.0627162403186183</v>
      </c>
      <c r="D6444" s="1">
        <f>6.5008039117478*(10.3/7.3)</f>
        <v>9.1723671631510033</v>
      </c>
      <c r="E6444" s="1">
        <f>22.1281385695077*(10.3/7.3)</f>
        <v>31.221894146017654</v>
      </c>
      <c r="F6444" s="1">
        <f>64.2212711695831*(38.9/42.5)</f>
        <v>58.781351729336052</v>
      </c>
      <c r="G6444" s="1">
        <v>3.4736737162566045</v>
      </c>
      <c r="H6444" s="1">
        <v>11.36882657768459</v>
      </c>
      <c r="I6444" s="1">
        <v>45.597991126170619</v>
      </c>
      <c r="J6444" s="1">
        <v>3.3658153003195412E-2</v>
      </c>
      <c r="K6444" s="1">
        <v>2.2614131223508021</v>
      </c>
      <c r="L6444" s="1">
        <v>2.2217137040788155</v>
      </c>
      <c r="M6444" s="1">
        <v>0.17630688504541903</v>
      </c>
      <c r="N6444" s="1">
        <v>1.4219100879617736</v>
      </c>
      <c r="O6444" s="1">
        <v>0.14897333333333335</v>
      </c>
      <c r="P6444" s="1">
        <v>9.3878627035846512E-2</v>
      </c>
      <c r="Q6444" s="1">
        <v>5.551533336483164</v>
      </c>
      <c r="R6444" s="2">
        <f t="shared" si="403"/>
        <v>169.23035403541832</v>
      </c>
      <c r="S6444" s="2">
        <f t="shared" si="402"/>
        <v>2.3889499023898439</v>
      </c>
      <c r="T6444" s="2">
        <f t="shared" si="404"/>
        <v>3.9689040104193412</v>
      </c>
      <c r="U6444" s="2">
        <f t="shared" si="405"/>
        <v>175.58820794822751</v>
      </c>
    </row>
    <row r="6445" spans="1:21" x14ac:dyDescent="0.25">
      <c r="A6445">
        <v>7022345</v>
      </c>
      <c r="B6445">
        <v>49</v>
      </c>
      <c r="C6445" s="1">
        <f>1.82666376666564*(10.3/7.3)</f>
        <v>2.5773475063912414</v>
      </c>
      <c r="D6445" s="1">
        <f>3.90047279292287*(10.3/7.3)</f>
        <v>5.5034068174117152</v>
      </c>
      <c r="E6445" s="1">
        <f>13.2877826045278*(10.3/7.3)</f>
        <v>18.748515181731069</v>
      </c>
      <c r="F6445" s="1">
        <f>38.9993043426013*(38.9/42.5)</f>
        <v>35.69583385711033</v>
      </c>
      <c r="G6445" s="1">
        <v>2.1151774326325063</v>
      </c>
      <c r="H6445" s="1">
        <v>7.2245028067080632</v>
      </c>
      <c r="I6445" s="1">
        <v>27.997804145342734</v>
      </c>
      <c r="J6445" s="1">
        <v>2.5092401908298433E-2</v>
      </c>
      <c r="K6445" s="1">
        <v>1.7875413782127654</v>
      </c>
      <c r="L6445" s="1">
        <v>1.6460022839608968</v>
      </c>
      <c r="M6445" s="1">
        <v>0.13523061404333675</v>
      </c>
      <c r="N6445" s="1">
        <v>1.0950737242995547</v>
      </c>
      <c r="O6445" s="1">
        <v>0.11458612244897962</v>
      </c>
      <c r="P6445" s="1">
        <v>7.6064381328346392E-2</v>
      </c>
      <c r="Q6445" s="1">
        <v>3.3804205544355157</v>
      </c>
      <c r="R6445" s="2">
        <f t="shared" si="403"/>
        <v>103.24300830176318</v>
      </c>
      <c r="S6445" s="2">
        <f t="shared" si="402"/>
        <v>1.8886981614494103</v>
      </c>
      <c r="T6445" s="2">
        <f t="shared" si="404"/>
        <v>2.990892744752768</v>
      </c>
      <c r="U6445" s="2">
        <f t="shared" si="405"/>
        <v>108.12259920796537</v>
      </c>
    </row>
    <row r="6446" spans="1:21" x14ac:dyDescent="0.25">
      <c r="A6446">
        <v>7022353</v>
      </c>
      <c r="B6446">
        <v>4</v>
      </c>
      <c r="C6446" s="1">
        <f>2.58401766932649*(10.3/7.3)</f>
        <v>3.6459427389127166</v>
      </c>
      <c r="D6446" s="1">
        <f>5.94386749673878*(10.3/7.3)</f>
        <v>8.3865527693711552</v>
      </c>
      <c r="E6446" s="1">
        <f>20.0370099004802*(10.3/7.3)</f>
        <v>28.271397530814479</v>
      </c>
      <c r="F6446" s="1">
        <f>67.6991773327866*(38.9/42.5)</f>
        <v>61.964658782244719</v>
      </c>
      <c r="G6446" s="1">
        <v>3.9524773906595425</v>
      </c>
      <c r="H6446" s="1">
        <v>10.806179672155807</v>
      </c>
      <c r="I6446" s="1">
        <v>49.689401926874261</v>
      </c>
      <c r="J6446" s="1">
        <v>3.0525607829428952E-2</v>
      </c>
      <c r="K6446" s="1">
        <v>2.092342020431027</v>
      </c>
      <c r="L6446" s="1">
        <v>2.0057122327826815</v>
      </c>
      <c r="M6446" s="1">
        <v>0.15594859713982417</v>
      </c>
      <c r="N6446" s="1">
        <v>1.2906360658620213</v>
      </c>
      <c r="O6446" s="1">
        <v>0.13446666666666668</v>
      </c>
      <c r="P6446" s="1">
        <v>8.7009108326123047E-2</v>
      </c>
      <c r="Q6446" s="1">
        <v>6.3167446882686811</v>
      </c>
      <c r="R6446" s="2">
        <f t="shared" si="403"/>
        <v>173.03335549930134</v>
      </c>
      <c r="S6446" s="2">
        <f t="shared" si="402"/>
        <v>2.2098767365865788</v>
      </c>
      <c r="T6446" s="2">
        <f t="shared" si="404"/>
        <v>3.5867635624511935</v>
      </c>
      <c r="U6446" s="2">
        <f t="shared" si="405"/>
        <v>178.8299957983391</v>
      </c>
    </row>
    <row r="6447" spans="1:21" x14ac:dyDescent="0.25">
      <c r="A6447">
        <v>7022441</v>
      </c>
      <c r="B6447">
        <v>11</v>
      </c>
      <c r="C6447" s="1">
        <f>2.16482459479497*(10.3/7.3)</f>
        <v>3.054478537861403</v>
      </c>
      <c r="D6447" s="1">
        <f>4.01537607544538*(10.3/7.3)</f>
        <v>5.6655306269982759</v>
      </c>
      <c r="E6447" s="1">
        <f>13.868907573315*(10.3/7.3)</f>
        <v>19.568458630841761</v>
      </c>
      <c r="F6447" s="1">
        <f>33.8153003401181*(38.9/42.5)</f>
        <v>30.950945487778728</v>
      </c>
      <c r="G6447" s="1">
        <v>1.6068880533972989</v>
      </c>
      <c r="H6447" s="1">
        <v>6.4500558689709493</v>
      </c>
      <c r="I6447" s="1">
        <v>23.732349866546066</v>
      </c>
      <c r="J6447" s="1">
        <v>2.3177150413518956E-2</v>
      </c>
      <c r="K6447" s="1">
        <v>1.6179615494612742</v>
      </c>
      <c r="L6447" s="1">
        <v>1.4049926137063833</v>
      </c>
      <c r="M6447" s="1">
        <v>0.10922452439825929</v>
      </c>
      <c r="N6447" s="1">
        <v>0.98916294611883804</v>
      </c>
      <c r="O6447" s="1">
        <v>9.5883636363636351E-2</v>
      </c>
      <c r="P6447" s="1">
        <v>6.7784638220062934E-2</v>
      </c>
      <c r="Q6447" s="1">
        <v>2.5680859300870096</v>
      </c>
      <c r="R6447" s="2">
        <f t="shared" si="403"/>
        <v>93.596793002481476</v>
      </c>
      <c r="S6447" s="2">
        <f t="shared" si="402"/>
        <v>1.7089233380948561</v>
      </c>
      <c r="T6447" s="2">
        <f t="shared" si="404"/>
        <v>2.5992637205871167</v>
      </c>
      <c r="U6447" s="2">
        <f t="shared" si="405"/>
        <v>97.904980061163457</v>
      </c>
    </row>
    <row r="6448" spans="1:21" x14ac:dyDescent="0.25">
      <c r="A6448">
        <v>7022449</v>
      </c>
      <c r="B6448">
        <v>2</v>
      </c>
      <c r="C6448" s="1">
        <f>4.2039700203832*(10.3/7.3)</f>
        <v>5.9316289328694429</v>
      </c>
      <c r="D6448" s="1">
        <f>7.68538862130272*(10.3/7.3)</f>
        <v>10.843767506769593</v>
      </c>
      <c r="E6448" s="1">
        <f>26.6000661457304*(10.3/7.3)</f>
        <v>37.531600178222391</v>
      </c>
      <c r="F6448" s="1">
        <f>62.6593869013932*(38.9/42.5)</f>
        <v>57.351768246216409</v>
      </c>
      <c r="G6448" s="1">
        <v>2.8926716105105195</v>
      </c>
      <c r="H6448" s="1">
        <v>10.337587174715416</v>
      </c>
      <c r="I6448" s="1">
        <v>43.694842874074752</v>
      </c>
      <c r="J6448" s="1">
        <v>3.3584957738383395E-2</v>
      </c>
      <c r="K6448" s="1">
        <v>2.2147324077466428</v>
      </c>
      <c r="L6448" s="1">
        <v>2.0659189486673459</v>
      </c>
      <c r="M6448" s="1">
        <v>0.14843586343362117</v>
      </c>
      <c r="N6448" s="1">
        <v>1.333583620050165</v>
      </c>
      <c r="O6448" s="1">
        <v>0.13391999999999998</v>
      </c>
      <c r="P6448" s="1">
        <v>8.9296538678150572E-2</v>
      </c>
      <c r="Q6448" s="1">
        <v>4.6229911583501497</v>
      </c>
      <c r="R6448" s="2">
        <f t="shared" si="403"/>
        <v>173.20685768172865</v>
      </c>
      <c r="S6448" s="2">
        <f t="shared" si="402"/>
        <v>2.3376139041631769</v>
      </c>
      <c r="T6448" s="2">
        <f t="shared" si="404"/>
        <v>3.6818584321511318</v>
      </c>
      <c r="U6448" s="2">
        <f t="shared" si="405"/>
        <v>179.22633001804294</v>
      </c>
    </row>
    <row r="6449" spans="1:21" x14ac:dyDescent="0.25">
      <c r="A6449">
        <v>7033973</v>
      </c>
      <c r="B6449">
        <v>11</v>
      </c>
      <c r="C6449" s="1">
        <f>0.406598001351286*(10.3/7.3)</f>
        <v>0.5736930703997597</v>
      </c>
      <c r="D6449" s="1">
        <f>0.79410779933041*(10.3/7.3)</f>
        <v>1.1204534702881122</v>
      </c>
      <c r="E6449" s="1">
        <f>2.70162862385525*(10.3/7.3)</f>
        <v>3.8118869624259064</v>
      </c>
      <c r="F6449" s="1">
        <f>8.46693834362248*(38.9/42.5)</f>
        <v>7.7497388603979864</v>
      </c>
      <c r="G6449" s="1">
        <v>0.4727317561484769</v>
      </c>
      <c r="H6449" s="1">
        <v>3.5807856793652757</v>
      </c>
      <c r="I6449" s="1">
        <v>6.2521354394550794</v>
      </c>
      <c r="J6449" s="1">
        <v>1.9918369927975247E-2</v>
      </c>
      <c r="K6449" s="1">
        <v>1.9099245006596945</v>
      </c>
      <c r="L6449" s="1">
        <v>1.2004269837339494</v>
      </c>
      <c r="M6449" s="1">
        <v>0.17193429423909923</v>
      </c>
      <c r="N6449" s="1">
        <v>0.83576387724034618</v>
      </c>
      <c r="O6449" s="1">
        <v>0.18341818181818181</v>
      </c>
      <c r="P6449" s="1">
        <v>8.8101363999787907E-2</v>
      </c>
      <c r="Q6449" s="1">
        <v>0.75550737284003244</v>
      </c>
      <c r="R6449" s="2">
        <f t="shared" si="403"/>
        <v>24.316932611320627</v>
      </c>
      <c r="S6449" s="2">
        <f t="shared" si="402"/>
        <v>2.0179442345874579</v>
      </c>
      <c r="T6449" s="2">
        <f t="shared" si="404"/>
        <v>2.3915433370315768</v>
      </c>
      <c r="U6449" s="2">
        <f t="shared" si="405"/>
        <v>28.726420182939663</v>
      </c>
    </row>
    <row r="6450" spans="1:21" x14ac:dyDescent="0.25">
      <c r="A6450">
        <v>7034229</v>
      </c>
      <c r="B6450">
        <v>10</v>
      </c>
      <c r="C6450" s="1">
        <f>0.889823725489162*(10.3/7.3)</f>
        <v>1.2555047085668993</v>
      </c>
      <c r="D6450" s="1">
        <f>2.16371116004029*(10.3/7.3)</f>
        <v>3.0529075271801398</v>
      </c>
      <c r="E6450" s="1">
        <f>7.21450601045705*(10.3/7.3)</f>
        <v>10.179371494206521</v>
      </c>
      <c r="F6450" s="1">
        <f>27.9837795524449*(38.9/42.5)</f>
        <v>25.613388813884818</v>
      </c>
      <c r="G6450" s="1">
        <v>1.7305601040773062</v>
      </c>
      <c r="H6450" s="1">
        <v>9.5794414638029011</v>
      </c>
      <c r="I6450" s="1">
        <v>20.990607591346446</v>
      </c>
      <c r="J6450" s="1">
        <v>1.7918200825981733E-2</v>
      </c>
      <c r="K6450" s="1">
        <v>1.7070655634859495</v>
      </c>
      <c r="L6450" s="1">
        <v>1.4129593620231184</v>
      </c>
      <c r="M6450" s="1">
        <v>0.17532768435169749</v>
      </c>
      <c r="N6450" s="1">
        <v>0.70927402083094648</v>
      </c>
      <c r="O6450" s="1">
        <v>0.13824</v>
      </c>
      <c r="P6450" s="1">
        <v>8.1324951095886069E-2</v>
      </c>
      <c r="Q6450" s="1">
        <v>2.7657353261509483</v>
      </c>
      <c r="R6450" s="2">
        <f t="shared" si="403"/>
        <v>75.167517029215972</v>
      </c>
      <c r="S6450" s="2">
        <f t="shared" si="402"/>
        <v>1.8063087154078172</v>
      </c>
      <c r="T6450" s="2">
        <f t="shared" si="404"/>
        <v>2.4358010672057628</v>
      </c>
      <c r="U6450" s="2">
        <f t="shared" si="405"/>
        <v>79.409626811829554</v>
      </c>
    </row>
    <row r="6451" spans="1:21" x14ac:dyDescent="0.25">
      <c r="A6451">
        <v>7034237</v>
      </c>
      <c r="B6451">
        <v>10</v>
      </c>
      <c r="C6451" s="1">
        <f>1.50179908658047*(10.3/7.3)</f>
        <v>2.1189767933943648</v>
      </c>
      <c r="D6451" s="1">
        <f>2.26950118158753*(10.3/7.3)</f>
        <v>3.2021729000481525</v>
      </c>
      <c r="E6451" s="1">
        <f>7.7944436638614*(10.3/7.3)</f>
        <v>10.997639690105808</v>
      </c>
      <c r="F6451" s="1">
        <f>24.0597263620605*(38.9/42.5)</f>
        <v>22.021726011391817</v>
      </c>
      <c r="G6451" s="1">
        <v>1.307818036369166</v>
      </c>
      <c r="H6451" s="1">
        <v>9.5488737811741728</v>
      </c>
      <c r="I6451" s="1">
        <v>18.491079908430589</v>
      </c>
      <c r="J6451" s="1">
        <v>1.8634453620200199E-2</v>
      </c>
      <c r="K6451" s="1">
        <v>1.7324963380692133</v>
      </c>
      <c r="L6451" s="1">
        <v>1.4458138560994831</v>
      </c>
      <c r="M6451" s="1">
        <v>0.17533349502942233</v>
      </c>
      <c r="N6451" s="1">
        <v>0.72391449971395516</v>
      </c>
      <c r="O6451" s="1">
        <v>0.13944533333333334</v>
      </c>
      <c r="P6451" s="1">
        <v>8.2209138197672699E-2</v>
      </c>
      <c r="Q6451" s="1">
        <v>2.0901201494484414</v>
      </c>
      <c r="R6451" s="2">
        <f t="shared" si="403"/>
        <v>69.778407270362507</v>
      </c>
      <c r="S6451" s="2">
        <f t="shared" si="402"/>
        <v>1.8333399298870861</v>
      </c>
      <c r="T6451" s="2">
        <f t="shared" si="404"/>
        <v>2.4845071841761937</v>
      </c>
      <c r="U6451" s="2">
        <f t="shared" si="405"/>
        <v>74.096254384425791</v>
      </c>
    </row>
    <row r="6452" spans="1:21" x14ac:dyDescent="0.25">
      <c r="A6452">
        <v>7034389</v>
      </c>
      <c r="B6452">
        <v>11</v>
      </c>
      <c r="C6452" s="1">
        <f>1.40879432886671*(10.3/7.3)</f>
        <v>1.9877509023735778</v>
      </c>
      <c r="D6452" s="1">
        <f>2.77466525372922*(10.3/7.3)</f>
        <v>3.9149386456727364</v>
      </c>
      <c r="E6452" s="1">
        <f>9.35342346601949*(10.3/7.3)</f>
        <v>13.197296123287776</v>
      </c>
      <c r="F6452" s="1">
        <f>33.6449627183631*(38.9/42.5)</f>
        <v>30.795036464572366</v>
      </c>
      <c r="G6452" s="1">
        <v>2.0019285181453301</v>
      </c>
      <c r="H6452" s="1">
        <v>9.3807057209979448</v>
      </c>
      <c r="I6452" s="1">
        <v>25.484520943184727</v>
      </c>
      <c r="J6452" s="1">
        <v>2.0118186250360624E-2</v>
      </c>
      <c r="K6452" s="1">
        <v>1.7454726804756915</v>
      </c>
      <c r="L6452" s="1">
        <v>1.6189787248872778</v>
      </c>
      <c r="M6452" s="1">
        <v>0.15745233744854073</v>
      </c>
      <c r="N6452" s="1">
        <v>0.88499692216096026</v>
      </c>
      <c r="O6452" s="1">
        <v>0.12699636363636366</v>
      </c>
      <c r="P6452" s="1">
        <v>7.9112685033452798E-2</v>
      </c>
      <c r="Q6452" s="1">
        <v>3.1994291385884299</v>
      </c>
      <c r="R6452" s="2">
        <f t="shared" si="403"/>
        <v>89.961606456822878</v>
      </c>
      <c r="S6452" s="2">
        <f t="shared" si="402"/>
        <v>1.8447035517595047</v>
      </c>
      <c r="T6452" s="2">
        <f t="shared" si="404"/>
        <v>2.7884243481331428</v>
      </c>
      <c r="U6452" s="2">
        <f t="shared" si="405"/>
        <v>94.594734356715534</v>
      </c>
    </row>
    <row r="6453" spans="1:21" x14ac:dyDescent="0.25">
      <c r="A6453">
        <v>7034509</v>
      </c>
      <c r="B6453">
        <v>4</v>
      </c>
      <c r="C6453" s="1">
        <f>1.86380650974734*(10.3/7.3)</f>
        <v>2.6297543904654241</v>
      </c>
      <c r="D6453" s="1">
        <f>5.2260567473591*(10.3/7.3)</f>
        <v>7.3737513010683191</v>
      </c>
      <c r="E6453" s="1">
        <f>17.2516857026785*(10.3/7.3)</f>
        <v>24.34141955309433</v>
      </c>
      <c r="F6453" s="1">
        <f>73.1354862756195*(38.9/42.5)</f>
        <v>66.940480379331689</v>
      </c>
      <c r="G6453" s="1">
        <v>4.6828877018075534</v>
      </c>
      <c r="H6453" s="1">
        <v>11.250418796073308</v>
      </c>
      <c r="I6453" s="1">
        <v>55.076462111490059</v>
      </c>
      <c r="J6453" s="1">
        <v>2.9108377774518017E-2</v>
      </c>
      <c r="K6453" s="1">
        <v>2.0127501863241086</v>
      </c>
      <c r="L6453" s="1">
        <v>1.959398750901046</v>
      </c>
      <c r="M6453" s="1">
        <v>0.16328983627159155</v>
      </c>
      <c r="N6453" s="1">
        <v>1.1857009673011374</v>
      </c>
      <c r="O6453" s="1">
        <v>0.13875999999999999</v>
      </c>
      <c r="P6453" s="1">
        <v>8.5736579177597194E-2</v>
      </c>
      <c r="Q6453" s="1">
        <v>7.4840671033454118</v>
      </c>
      <c r="R6453" s="2">
        <f t="shared" si="403"/>
        <v>179.77924133667608</v>
      </c>
      <c r="S6453" s="2">
        <f t="shared" si="402"/>
        <v>2.1275951432762237</v>
      </c>
      <c r="T6453" s="2">
        <f t="shared" si="404"/>
        <v>3.4471495544737754</v>
      </c>
      <c r="U6453" s="2">
        <f t="shared" si="405"/>
        <v>185.35398603442607</v>
      </c>
    </row>
    <row r="6454" spans="1:21" x14ac:dyDescent="0.25">
      <c r="A6454">
        <v>7034517</v>
      </c>
      <c r="B6454">
        <v>66</v>
      </c>
      <c r="C6454" s="1">
        <f>2.70208403377216*(10.3/7.3)</f>
        <v>3.8125295271031829</v>
      </c>
      <c r="D6454" s="1">
        <f>6.04518940385485*(10.3/7.3)</f>
        <v>8.5295138163979338</v>
      </c>
      <c r="E6454" s="1">
        <f>20.4348103081427*(10.3/7.3)</f>
        <v>28.832677558064415</v>
      </c>
      <c r="F6454" s="1">
        <f>66.8719747454859*(38.9/42.5)</f>
        <v>61.207525119985917</v>
      </c>
      <c r="G6454" s="1">
        <v>3.8427195430156589</v>
      </c>
      <c r="H6454" s="1">
        <v>12.390803046523846</v>
      </c>
      <c r="I6454" s="1">
        <v>48.911080264824022</v>
      </c>
      <c r="J6454" s="1">
        <v>3.5043205429614109E-2</v>
      </c>
      <c r="K6454" s="1">
        <v>2.4117379014785074</v>
      </c>
      <c r="L6454" s="1">
        <v>2.4294771626643481</v>
      </c>
      <c r="M6454" s="1">
        <v>0.19574331823118066</v>
      </c>
      <c r="N6454" s="1">
        <v>1.4655887815298121</v>
      </c>
      <c r="O6454" s="1">
        <v>0.16658262626262621</v>
      </c>
      <c r="P6454" s="1">
        <v>0.10098756069483024</v>
      </c>
      <c r="Q6454" s="1">
        <v>6.1413326029930726</v>
      </c>
      <c r="R6454" s="2">
        <f t="shared" si="403"/>
        <v>173.66818147890805</v>
      </c>
      <c r="S6454" s="2">
        <f t="shared" si="402"/>
        <v>2.5477686676029516</v>
      </c>
      <c r="T6454" s="2">
        <f t="shared" si="404"/>
        <v>4.2573918886879678</v>
      </c>
      <c r="U6454" s="2">
        <f t="shared" si="405"/>
        <v>180.47334203519898</v>
      </c>
    </row>
    <row r="6455" spans="1:21" x14ac:dyDescent="0.25">
      <c r="A6455">
        <v>7034525</v>
      </c>
      <c r="B6455">
        <v>11</v>
      </c>
      <c r="C6455" s="1">
        <f>2.28036542710231*(10.3/7.3)</f>
        <v>3.2175019039936656</v>
      </c>
      <c r="D6455" s="1">
        <f>5.12684267882487*(10.3/7.3)</f>
        <v>7.2337643276570027</v>
      </c>
      <c r="E6455" s="1">
        <f>17.3137270648276*(10.3/7.3)</f>
        <v>24.428957365441711</v>
      </c>
      <c r="F6455" s="1">
        <f>57.4123886569436*(38.9/42.5)</f>
        <v>52.54922161776723</v>
      </c>
      <c r="G6455" s="1">
        <v>3.3200956392823389</v>
      </c>
      <c r="H6455" s="1">
        <v>11.81115713000939</v>
      </c>
      <c r="I6455" s="1">
        <v>42.087162199663744</v>
      </c>
      <c r="J6455" s="1">
        <v>3.1522374966579163E-2</v>
      </c>
      <c r="K6455" s="1">
        <v>2.2137792815138764</v>
      </c>
      <c r="L6455" s="1">
        <v>2.1919751897076503</v>
      </c>
      <c r="M6455" s="1">
        <v>0.18046781017872432</v>
      </c>
      <c r="N6455" s="1">
        <v>1.3401126311576486</v>
      </c>
      <c r="O6455" s="1">
        <v>0.15192727272727272</v>
      </c>
      <c r="P6455" s="1">
        <v>9.3408565675173652E-2</v>
      </c>
      <c r="Q6455" s="1">
        <v>5.306088921227488</v>
      </c>
      <c r="R6455" s="2">
        <f t="shared" si="403"/>
        <v>149.95394910504257</v>
      </c>
      <c r="S6455" s="2">
        <f t="shared" si="402"/>
        <v>2.3387102221556288</v>
      </c>
      <c r="T6455" s="2">
        <f t="shared" si="404"/>
        <v>3.8644829037712962</v>
      </c>
      <c r="U6455" s="2">
        <f t="shared" si="405"/>
        <v>156.1571422309695</v>
      </c>
    </row>
    <row r="6456" spans="1:21" x14ac:dyDescent="0.25">
      <c r="A6456">
        <v>7034533</v>
      </c>
      <c r="B6456">
        <v>62</v>
      </c>
      <c r="C6456" s="1">
        <f>2.70094522288772*(10.3/7.3)</f>
        <v>3.8109227117456879</v>
      </c>
      <c r="D6456" s="1">
        <f>5.95182992210523*(10.3/7.3)</f>
        <v>8.3977874243402635</v>
      </c>
      <c r="E6456" s="1">
        <f>20.1484776674478*(10.3/7.3)</f>
        <v>28.428673969138739</v>
      </c>
      <c r="F6456" s="1">
        <f>64.829682370926*(38.9/42.5)</f>
        <v>59.338226923035762</v>
      </c>
      <c r="G6456" s="1">
        <v>3.6928495917897473</v>
      </c>
      <c r="H6456" s="1">
        <v>10.816852897036803</v>
      </c>
      <c r="I6456" s="1">
        <v>47.333837045092238</v>
      </c>
      <c r="J6456" s="1">
        <v>3.4626048311847998E-2</v>
      </c>
      <c r="K6456" s="1">
        <v>2.3927004410155774</v>
      </c>
      <c r="L6456" s="1">
        <v>2.3962393531740309</v>
      </c>
      <c r="M6456" s="1">
        <v>0.1939087454719198</v>
      </c>
      <c r="N6456" s="1">
        <v>1.4507611466230466</v>
      </c>
      <c r="O6456" s="1">
        <v>0.16330666666666668</v>
      </c>
      <c r="P6456" s="1">
        <v>0.10032800243274503</v>
      </c>
      <c r="Q6456" s="1">
        <v>5.9018144161023383</v>
      </c>
      <c r="R6456" s="2">
        <f t="shared" si="403"/>
        <v>167.72096497828156</v>
      </c>
      <c r="S6456" s="2">
        <f t="shared" si="402"/>
        <v>2.5276544917601704</v>
      </c>
      <c r="T6456" s="2">
        <f t="shared" si="404"/>
        <v>4.2042159119356635</v>
      </c>
      <c r="U6456" s="2">
        <f t="shared" si="405"/>
        <v>174.45283538197739</v>
      </c>
    </row>
    <row r="6457" spans="1:21" x14ac:dyDescent="0.25">
      <c r="A6457">
        <v>7034541</v>
      </c>
      <c r="B6457">
        <v>67</v>
      </c>
      <c r="C6457" s="1">
        <f>3.53686096732438*(10.3/7.3)</f>
        <v>4.9903654744439816</v>
      </c>
      <c r="D6457" s="1">
        <f>7.51015850035324*(10.3/7.3)</f>
        <v>10.596525007347728</v>
      </c>
      <c r="E6457" s="1">
        <f>25.5316207930896*(10.3/7.3)</f>
        <v>36.02406769435931</v>
      </c>
      <c r="F6457" s="1">
        <f>77.8739221747399*(38.9/42.5)</f>
        <v>71.277542884644305</v>
      </c>
      <c r="G6457" s="1">
        <v>4.3100537958545617</v>
      </c>
      <c r="H6457" s="1">
        <v>10.7281185242914</v>
      </c>
      <c r="I6457" s="1">
        <v>56.463380860384561</v>
      </c>
      <c r="J6457" s="1">
        <v>4.0586053943595629E-2</v>
      </c>
      <c r="K6457" s="1">
        <v>2.7330856781304025</v>
      </c>
      <c r="L6457" s="1">
        <v>2.7859425859288995</v>
      </c>
      <c r="M6457" s="1">
        <v>0.22104329009865653</v>
      </c>
      <c r="N6457" s="1">
        <v>1.6440322635388769</v>
      </c>
      <c r="O6457" s="1">
        <v>0.18594945273631838</v>
      </c>
      <c r="P6457" s="1">
        <v>0.1128153251775334</v>
      </c>
      <c r="Q6457" s="1">
        <v>6.888213828991316</v>
      </c>
      <c r="R6457" s="2">
        <f t="shared" si="403"/>
        <v>201.27826807031718</v>
      </c>
      <c r="S6457" s="2">
        <f t="shared" si="402"/>
        <v>2.8864870572515313</v>
      </c>
      <c r="T6457" s="2">
        <f t="shared" si="404"/>
        <v>4.8369675923027513</v>
      </c>
      <c r="U6457" s="2">
        <f t="shared" si="405"/>
        <v>209.00172271987148</v>
      </c>
    </row>
    <row r="6458" spans="1:21" x14ac:dyDescent="0.25">
      <c r="A6458">
        <v>7034549</v>
      </c>
      <c r="B6458">
        <v>66</v>
      </c>
      <c r="C6458" s="1">
        <f>3.71576685560565*(10.3/7.3)</f>
        <v>5.2427943305120852</v>
      </c>
      <c r="D6458" s="1">
        <f>7.74391462040018*(10.3/7.3)</f>
        <v>10.926345286318064</v>
      </c>
      <c r="E6458" s="1">
        <f>26.383828454729*(10.3/7.3)</f>
        <v>37.226497682699765</v>
      </c>
      <c r="F6458" s="1">
        <f>78.2018276424656*(38.9/42.5)</f>
        <v>71.577672830397901</v>
      </c>
      <c r="G6458" s="1">
        <v>4.2576908559028306</v>
      </c>
      <c r="H6458" s="1">
        <v>10.433677392502689</v>
      </c>
      <c r="I6458" s="1">
        <v>56.48049764125642</v>
      </c>
      <c r="J6458" s="1">
        <v>4.1689219750806417E-2</v>
      </c>
      <c r="K6458" s="1">
        <v>2.7731947383960756</v>
      </c>
      <c r="L6458" s="1">
        <v>2.8197838522906311</v>
      </c>
      <c r="M6458" s="1">
        <v>0.2227589745463292</v>
      </c>
      <c r="N6458" s="1">
        <v>1.6808532016603608</v>
      </c>
      <c r="O6458" s="1">
        <v>0.18736888888888886</v>
      </c>
      <c r="P6458" s="1">
        <v>0.11369346641093109</v>
      </c>
      <c r="Q6458" s="1">
        <v>6.8045287651415158</v>
      </c>
      <c r="R6458" s="2">
        <f t="shared" si="403"/>
        <v>202.9497047847313</v>
      </c>
      <c r="S6458" s="2">
        <f t="shared" si="402"/>
        <v>2.9285774245578131</v>
      </c>
      <c r="T6458" s="2">
        <f t="shared" si="404"/>
        <v>4.91076491738621</v>
      </c>
      <c r="U6458" s="2">
        <f t="shared" si="405"/>
        <v>210.78904712667531</v>
      </c>
    </row>
    <row r="6459" spans="1:21" x14ac:dyDescent="0.25">
      <c r="A6459">
        <v>7034557</v>
      </c>
      <c r="B6459">
        <v>63</v>
      </c>
      <c r="C6459" s="1">
        <f>3.61690686349108*(10.3/7.3)</f>
        <v>5.1033069443778309</v>
      </c>
      <c r="D6459" s="1">
        <f>7.48763576772952*(10.3/7.3)</f>
        <v>10.56474635720741</v>
      </c>
      <c r="E6459" s="1">
        <f>25.5425700103994*(10.3/7.3)</f>
        <v>36.03951659001563</v>
      </c>
      <c r="F6459" s="1">
        <f>74.3104581673942*(38.9/42.5)</f>
        <v>68.015925240273717</v>
      </c>
      <c r="G6459" s="1">
        <v>4.0025270744673458</v>
      </c>
      <c r="H6459" s="1">
        <v>9.9009326537177405</v>
      </c>
      <c r="I6459" s="1">
        <v>53.488004496259329</v>
      </c>
      <c r="J6459" s="1">
        <v>3.9940131975206461E-2</v>
      </c>
      <c r="K6459" s="1">
        <v>2.6645757785102058</v>
      </c>
      <c r="L6459" s="1">
        <v>2.6849714438475356</v>
      </c>
      <c r="M6459" s="1">
        <v>0.21237052321945687</v>
      </c>
      <c r="N6459" s="1">
        <v>1.6194368302974553</v>
      </c>
      <c r="O6459" s="1">
        <v>0.17809185185185192</v>
      </c>
      <c r="P6459" s="1">
        <v>0.1097576446445577</v>
      </c>
      <c r="Q6459" s="1">
        <v>6.3967327674135763</v>
      </c>
      <c r="R6459" s="2">
        <f t="shared" si="403"/>
        <v>193.51169212373256</v>
      </c>
      <c r="S6459" s="2">
        <f t="shared" si="402"/>
        <v>2.81427355512997</v>
      </c>
      <c r="T6459" s="2">
        <f t="shared" si="404"/>
        <v>4.6948706492162993</v>
      </c>
      <c r="U6459" s="2">
        <f t="shared" si="405"/>
        <v>201.02083632807884</v>
      </c>
    </row>
    <row r="6460" spans="1:21" x14ac:dyDescent="0.25">
      <c r="A6460">
        <v>7034565</v>
      </c>
      <c r="B6460">
        <v>60</v>
      </c>
      <c r="C6460" s="1">
        <f>3.24811615152951*(10.3/7.3)</f>
        <v>4.5829584055827377</v>
      </c>
      <c r="D6460" s="1">
        <f>6.85518367061097*(10.3/7.3)</f>
        <v>9.6723824393552054</v>
      </c>
      <c r="E6460" s="1">
        <f>23.3848477466528*(10.3/7.3)</f>
        <v>32.995059149386869</v>
      </c>
      <c r="F6460" s="1">
        <f>67.4084581219626*(38.9/42.5)</f>
        <v>61.698565198690446</v>
      </c>
      <c r="G6460" s="1">
        <v>3.6165369302549264</v>
      </c>
      <c r="H6460" s="1">
        <v>10.214196748866121</v>
      </c>
      <c r="I6460" s="1">
        <v>48.26646197592266</v>
      </c>
      <c r="J6460" s="1">
        <v>3.6566091258079782E-2</v>
      </c>
      <c r="K6460" s="1">
        <v>2.4648017323750135</v>
      </c>
      <c r="L6460" s="1">
        <v>2.4451467169120331</v>
      </c>
      <c r="M6460" s="1">
        <v>0.19384536923996654</v>
      </c>
      <c r="N6460" s="1">
        <v>1.5086864090426815</v>
      </c>
      <c r="O6460" s="1">
        <v>0.163128</v>
      </c>
      <c r="P6460" s="1">
        <v>0.10174785121043249</v>
      </c>
      <c r="Q6460" s="1">
        <v>5.7798535415033134</v>
      </c>
      <c r="R6460" s="2">
        <f t="shared" si="403"/>
        <v>176.82601438956226</v>
      </c>
      <c r="S6460" s="2">
        <f t="shared" si="402"/>
        <v>2.6031156748435258</v>
      </c>
      <c r="T6460" s="2">
        <f t="shared" si="404"/>
        <v>4.3108064951946812</v>
      </c>
      <c r="U6460" s="2">
        <f t="shared" si="405"/>
        <v>183.73993655960047</v>
      </c>
    </row>
    <row r="6461" spans="1:21" x14ac:dyDescent="0.25">
      <c r="A6461">
        <v>7034573</v>
      </c>
      <c r="B6461">
        <v>3</v>
      </c>
      <c r="C6461" s="1">
        <f>2.30026794799177*(10.3/7.3)</f>
        <v>3.2455835430568745</v>
      </c>
      <c r="D6461" s="1">
        <f>5.0452272105167*(10.3/7.3)</f>
        <v>7.1186082559345207</v>
      </c>
      <c r="E6461" s="1">
        <f>17.1671818604977*(10.3/7.3)</f>
        <v>24.222188104537832</v>
      </c>
      <c r="F6461" s="1">
        <f>50.8074073681923*(38.9/42.5)</f>
        <v>46.503721097004231</v>
      </c>
      <c r="G6461" s="1">
        <v>2.7728589263461991</v>
      </c>
      <c r="H6461" s="1">
        <v>10.394131789101893</v>
      </c>
      <c r="I6461" s="1">
        <v>36.404245009196707</v>
      </c>
      <c r="J6461" s="1">
        <v>2.8418149963343825E-2</v>
      </c>
      <c r="K6461" s="1">
        <v>1.9821737264823689</v>
      </c>
      <c r="L6461" s="1">
        <v>1.8898622971365791</v>
      </c>
      <c r="M6461" s="1">
        <v>0.15190797069176831</v>
      </c>
      <c r="N6461" s="1">
        <v>1.2437288861426365</v>
      </c>
      <c r="O6461" s="1">
        <v>0.12906666666666666</v>
      </c>
      <c r="P6461" s="1">
        <v>8.301938382742495E-2</v>
      </c>
      <c r="Q6461" s="1">
        <v>4.4315096996400483</v>
      </c>
      <c r="R6461" s="2">
        <f t="shared" si="403"/>
        <v>135.0928464248183</v>
      </c>
      <c r="S6461" s="2">
        <f t="shared" si="402"/>
        <v>2.0936112602731378</v>
      </c>
      <c r="T6461" s="2">
        <f t="shared" si="404"/>
        <v>3.4145658206376508</v>
      </c>
      <c r="U6461" s="2">
        <f t="shared" si="405"/>
        <v>140.6010235057291</v>
      </c>
    </row>
    <row r="6462" spans="1:21" x14ac:dyDescent="0.25">
      <c r="A6462">
        <v>7034581</v>
      </c>
      <c r="B6462">
        <v>45</v>
      </c>
      <c r="C6462" s="1">
        <f>1.98142208028445*(10.3/7.3)</f>
        <v>2.7957051269766833</v>
      </c>
      <c r="D6462" s="1">
        <f>4.19776360356752*(10.3/7.3)</f>
        <v>5.9228719338007512</v>
      </c>
      <c r="E6462" s="1">
        <f>14.2864174922526*(10.3/7.3)</f>
        <v>20.157547968520856</v>
      </c>
      <c r="F6462" s="1">
        <f>42.813925071203*(38.9/42.5)</f>
        <v>39.187333771054071</v>
      </c>
      <c r="G6462" s="1">
        <v>2.3473510334911816</v>
      </c>
      <c r="H6462" s="1">
        <v>6.6830882191697532</v>
      </c>
      <c r="I6462" s="1">
        <v>30.926034329751772</v>
      </c>
      <c r="J6462" s="1">
        <v>2.6137192210296888E-2</v>
      </c>
      <c r="K6462" s="1">
        <v>1.8558133266094081</v>
      </c>
      <c r="L6462" s="1">
        <v>1.7201768580081029</v>
      </c>
      <c r="M6462" s="1">
        <v>0.14124093415782996</v>
      </c>
      <c r="N6462" s="1">
        <v>1.137452669280687</v>
      </c>
      <c r="O6462" s="1">
        <v>0.11840711111111114</v>
      </c>
      <c r="P6462" s="1">
        <v>7.8223169672056794E-2</v>
      </c>
      <c r="Q6462" s="1">
        <v>3.7514742544379662</v>
      </c>
      <c r="R6462" s="2">
        <f t="shared" si="403"/>
        <v>111.77140663720303</v>
      </c>
      <c r="S6462" s="2">
        <f t="shared" si="402"/>
        <v>1.9601736884917618</v>
      </c>
      <c r="T6462" s="2">
        <f t="shared" si="404"/>
        <v>3.1172775725577311</v>
      </c>
      <c r="U6462" s="2">
        <f t="shared" si="405"/>
        <v>116.84885789825252</v>
      </c>
    </row>
    <row r="6463" spans="1:21" x14ac:dyDescent="0.25">
      <c r="A6463">
        <v>7034677</v>
      </c>
      <c r="B6463">
        <v>7</v>
      </c>
      <c r="C6463" s="1">
        <f>2.15760361606457*(10.3/7.3)</f>
        <v>3.0442900336253538</v>
      </c>
      <c r="D6463" s="1">
        <f>3.99351691659097*(10.3/7.3)</f>
        <v>5.6346882521762955</v>
      </c>
      <c r="E6463" s="1">
        <f>13.7970635601751*(10.3/7.3)</f>
        <v>19.467089680795024</v>
      </c>
      <c r="F6463" s="1">
        <f>33.4999081652357*(38.9/42.5)</f>
        <v>30.662268885356905</v>
      </c>
      <c r="G6463" s="1">
        <v>1.5864323425595526</v>
      </c>
      <c r="H6463" s="1">
        <v>6.1720805960863272</v>
      </c>
      <c r="I6463" s="1">
        <v>23.494682634623778</v>
      </c>
      <c r="J6463" s="1">
        <v>2.3355805823660539E-2</v>
      </c>
      <c r="K6463" s="1">
        <v>1.6344272606811807</v>
      </c>
      <c r="L6463" s="1">
        <v>1.4232201873935715</v>
      </c>
      <c r="M6463" s="1">
        <v>0.10955383919431028</v>
      </c>
      <c r="N6463" s="1">
        <v>0.99575388125137265</v>
      </c>
      <c r="O6463" s="1">
        <v>9.6967619047619052E-2</v>
      </c>
      <c r="P6463" s="1">
        <v>6.8445745885679574E-2</v>
      </c>
      <c r="Q6463" s="1">
        <v>2.5353941547755432</v>
      </c>
      <c r="R6463" s="2">
        <f t="shared" si="403"/>
        <v>92.596926579998794</v>
      </c>
      <c r="S6463" s="2">
        <f t="shared" si="402"/>
        <v>1.7262288123905207</v>
      </c>
      <c r="T6463" s="2">
        <f t="shared" si="404"/>
        <v>2.6254955268868736</v>
      </c>
      <c r="U6463" s="2">
        <f t="shared" si="405"/>
        <v>96.94865091927619</v>
      </c>
    </row>
    <row r="6464" spans="1:21" x14ac:dyDescent="0.25">
      <c r="A6464">
        <v>7046201</v>
      </c>
      <c r="B6464">
        <v>24</v>
      </c>
      <c r="C6464" s="1">
        <f>0.36241235317041*(10.3/7.3)</f>
        <v>0.51134893666509895</v>
      </c>
      <c r="D6464" s="1">
        <f>0.686801159830355*(10.3/7.3)</f>
        <v>0.96904821181543188</v>
      </c>
      <c r="E6464" s="1">
        <f>2.34278413924204*(10.3/7.3)</f>
        <v>3.3055721416702704</v>
      </c>
      <c r="F6464" s="1">
        <f>7.12943909175206*(38.9/42.5)</f>
        <v>6.5255336628036504</v>
      </c>
      <c r="G6464" s="1">
        <v>0.39123759064448421</v>
      </c>
      <c r="H6464" s="1">
        <v>2.194490885862415</v>
      </c>
      <c r="I6464" s="1">
        <v>5.2564285840724398</v>
      </c>
      <c r="J6464" s="1">
        <v>1.8442731530436542E-2</v>
      </c>
      <c r="K6464" s="1">
        <v>1.798004401803792</v>
      </c>
      <c r="L6464" s="1">
        <v>1.1332384479656785</v>
      </c>
      <c r="M6464" s="1">
        <v>0.16322438983051821</v>
      </c>
      <c r="N6464" s="1">
        <v>0.66335794468251408</v>
      </c>
      <c r="O6464" s="1">
        <v>0.17261999999999997</v>
      </c>
      <c r="P6464" s="1">
        <v>8.4173860577772597E-2</v>
      </c>
      <c r="Q6464" s="1">
        <v>0.62526555582451893</v>
      </c>
      <c r="R6464" s="2">
        <f t="shared" si="403"/>
        <v>19.778925569358311</v>
      </c>
      <c r="S6464" s="2">
        <f t="shared" si="402"/>
        <v>1.9006209939120011</v>
      </c>
      <c r="T6464" s="2">
        <f t="shared" si="404"/>
        <v>2.1324407824787106</v>
      </c>
      <c r="U6464" s="2">
        <f t="shared" si="405"/>
        <v>23.811987345749021</v>
      </c>
    </row>
    <row r="6465" spans="1:21" x14ac:dyDescent="0.25">
      <c r="A6465">
        <v>7046265</v>
      </c>
      <c r="B6465">
        <v>2</v>
      </c>
      <c r="C6465" s="1">
        <f>0.342969074803597*(10.3/7.3)</f>
        <v>0.48391526992836348</v>
      </c>
      <c r="D6465" s="1">
        <f>0.714843834289282*(10.3/7.3)</f>
        <v>1.008615273038302</v>
      </c>
      <c r="E6465" s="1">
        <f>2.4280036067951*(10.3/7.3)</f>
        <v>3.425813308217744</v>
      </c>
      <c r="F6465" s="1">
        <f>7.58193961928566*(38.9/42.5)</f>
        <v>6.9397047338873499</v>
      </c>
      <c r="G6465" s="1">
        <v>0.42424419688273718</v>
      </c>
      <c r="H6465" s="1">
        <v>2.5822973649268812</v>
      </c>
      <c r="I6465" s="1">
        <v>5.5413849293108424</v>
      </c>
      <c r="J6465" s="1">
        <v>1.8063318394478597E-2</v>
      </c>
      <c r="K6465" s="1">
        <v>1.7781055063161162</v>
      </c>
      <c r="L6465" s="1">
        <v>1.1310058520353499</v>
      </c>
      <c r="M6465" s="1">
        <v>0.17458427804614013</v>
      </c>
      <c r="N6465" s="1">
        <v>1.3247876132729417</v>
      </c>
      <c r="O6465" s="1">
        <v>0.16152</v>
      </c>
      <c r="P6465" s="1">
        <v>7.949985779011029E-2</v>
      </c>
      <c r="Q6465" s="1">
        <v>0.67801583976693225</v>
      </c>
      <c r="R6465" s="2">
        <f t="shared" si="403"/>
        <v>21.083990915959152</v>
      </c>
      <c r="S6465" s="2">
        <f t="shared" si="402"/>
        <v>1.875668682500705</v>
      </c>
      <c r="T6465" s="2">
        <f t="shared" si="404"/>
        <v>2.7918977433544314</v>
      </c>
      <c r="U6465" s="2">
        <f t="shared" si="405"/>
        <v>25.751557341814291</v>
      </c>
    </row>
    <row r="6466" spans="1:21" x14ac:dyDescent="0.25">
      <c r="A6466">
        <v>7046465</v>
      </c>
      <c r="B6466">
        <v>51</v>
      </c>
      <c r="C6466" s="1">
        <f>0.881779011956876*(10.3/7.3)</f>
        <v>1.2441539483775108</v>
      </c>
      <c r="D6466" s="1">
        <f>1.77630106779277*(10.3/7.3)</f>
        <v>2.506287807981578</v>
      </c>
      <c r="E6466" s="1">
        <f>6.0144526377329*(10.3/7.3)</f>
        <v>8.4861455025546402</v>
      </c>
      <c r="F6466" s="1">
        <f>20.0509411942777*(38.9/42.5)</f>
        <v>18.352508528409462</v>
      </c>
      <c r="G6466" s="1">
        <v>1.1555454768058768</v>
      </c>
      <c r="H6466" s="1">
        <v>6.7472182205764284</v>
      </c>
      <c r="I6466" s="1">
        <v>14.927461436895223</v>
      </c>
      <c r="J6466" s="1">
        <v>1.6758491639097112E-2</v>
      </c>
      <c r="K6466" s="1">
        <v>1.6139596961377753</v>
      </c>
      <c r="L6466" s="1">
        <v>1.3251670634167656</v>
      </c>
      <c r="M6466" s="1">
        <v>0.1648356569312488</v>
      </c>
      <c r="N6466" s="1">
        <v>0.65562835082741233</v>
      </c>
      <c r="O6466" s="1">
        <v>0.13058091503267974</v>
      </c>
      <c r="P6466" s="1">
        <v>7.7389418038090102E-2</v>
      </c>
      <c r="Q6466" s="1">
        <v>1.8467621775436396</v>
      </c>
      <c r="R6466" s="2">
        <f t="shared" si="403"/>
        <v>55.26608309914436</v>
      </c>
      <c r="S6466" s="2">
        <f t="shared" si="402"/>
        <v>1.7081076058149625</v>
      </c>
      <c r="T6466" s="2">
        <f t="shared" si="404"/>
        <v>2.2762119862081063</v>
      </c>
      <c r="U6466" s="2">
        <f t="shared" si="405"/>
        <v>59.250402691167423</v>
      </c>
    </row>
    <row r="6467" spans="1:21" x14ac:dyDescent="0.25">
      <c r="A6467">
        <v>7046473</v>
      </c>
      <c r="B6467">
        <v>7</v>
      </c>
      <c r="C6467" s="1">
        <f>1.15459104897633*(10.3/7.3)</f>
        <v>1.6290805211583772</v>
      </c>
      <c r="D6467" s="1">
        <f>2.07185334340234*(10.3/7.3)</f>
        <v>2.9232999228827605</v>
      </c>
      <c r="E6467" s="1">
        <f>7.04327981636124*(10.3/7.3)</f>
        <v>9.9377783710302463</v>
      </c>
      <c r="F6467" s="1">
        <f>23.2937974358529*(38.9/42.5)</f>
        <v>21.320675770698333</v>
      </c>
      <c r="G6467" s="1">
        <v>1.3281580916211133</v>
      </c>
      <c r="H6467" s="1">
        <v>8.2575931346177516</v>
      </c>
      <c r="I6467" s="1">
        <v>17.604396948361142</v>
      </c>
      <c r="J6467" s="1">
        <v>1.9169582231181957E-2</v>
      </c>
      <c r="K6467" s="1">
        <v>1.7778564986015812</v>
      </c>
      <c r="L6467" s="1">
        <v>1.49777357348405</v>
      </c>
      <c r="M6467" s="1">
        <v>0.17993204649116018</v>
      </c>
      <c r="N6467" s="1">
        <v>0.76652205803940554</v>
      </c>
      <c r="O6467" s="1">
        <v>0.14259047619047618</v>
      </c>
      <c r="P6467" s="1">
        <v>8.4019602245615749E-2</v>
      </c>
      <c r="Q6467" s="1">
        <v>2.122627087065708</v>
      </c>
      <c r="R6467" s="2">
        <f t="shared" si="403"/>
        <v>65.123609847435432</v>
      </c>
      <c r="S6467" s="2">
        <f t="shared" si="402"/>
        <v>1.8810456830783788</v>
      </c>
      <c r="T6467" s="2">
        <f t="shared" si="404"/>
        <v>2.5868181542050919</v>
      </c>
      <c r="U6467" s="2">
        <f t="shared" si="405"/>
        <v>69.591473684718906</v>
      </c>
    </row>
    <row r="6468" spans="1:21" x14ac:dyDescent="0.25">
      <c r="A6468">
        <v>7046745</v>
      </c>
      <c r="B6468">
        <v>46</v>
      </c>
      <c r="C6468" s="1">
        <f>2.8043033432778*(10.3/7.3)</f>
        <v>3.9567567720220977</v>
      </c>
      <c r="D6468" s="1">
        <f>6.57914155426009*(10.3/7.3)</f>
        <v>9.2828983573806774</v>
      </c>
      <c r="E6468" s="1">
        <f>22.1475565674132*(10.3/7.3)</f>
        <v>31.249292143062522</v>
      </c>
      <c r="F6468" s="1">
        <f>75.8743564976196*(38.9/42.5)</f>
        <v>69.447352182527084</v>
      </c>
      <c r="G6468" s="1">
        <v>4.4608338238235827</v>
      </c>
      <c r="H6468" s="1">
        <v>13.805697425757405</v>
      </c>
      <c r="I6468" s="1">
        <v>55.725198858560795</v>
      </c>
      <c r="J6468" s="1">
        <v>3.7164930299636537E-2</v>
      </c>
      <c r="K6468" s="1">
        <v>2.5261335965634082</v>
      </c>
      <c r="L6468" s="1">
        <v>2.5627501370577401</v>
      </c>
      <c r="M6468" s="1">
        <v>0.20683742406334868</v>
      </c>
      <c r="N6468" s="1">
        <v>1.5004035066243873</v>
      </c>
      <c r="O6468" s="1">
        <v>0.17530318840579709</v>
      </c>
      <c r="P6468" s="1">
        <v>0.10520196260504007</v>
      </c>
      <c r="Q6468" s="1">
        <v>7.1291864764303909</v>
      </c>
      <c r="R6468" s="2">
        <f t="shared" si="403"/>
        <v>195.05721603956454</v>
      </c>
      <c r="S6468" s="2">
        <f t="shared" si="402"/>
        <v>2.668500489468085</v>
      </c>
      <c r="T6468" s="2">
        <f t="shared" si="404"/>
        <v>4.4452942561512732</v>
      </c>
      <c r="U6468" s="2">
        <f t="shared" si="405"/>
        <v>202.17101078518388</v>
      </c>
    </row>
    <row r="6469" spans="1:21" x14ac:dyDescent="0.25">
      <c r="A6469">
        <v>7046753</v>
      </c>
      <c r="B6469">
        <v>42</v>
      </c>
      <c r="C6469" s="1">
        <f>2.84863990079833*(10.3/7.3)</f>
        <v>4.019313832633264</v>
      </c>
      <c r="D6469" s="1">
        <f>6.36656904196422*(10.3/7.3)</f>
        <v>8.9829672783878731</v>
      </c>
      <c r="E6469" s="1">
        <f>21.5402256086905*(10.3/7.3)</f>
        <v>30.392373119111202</v>
      </c>
      <c r="F6469" s="1">
        <f>69.5333063902527*(38.9/42.5)</f>
        <v>63.643426319548929</v>
      </c>
      <c r="G6469" s="1">
        <v>3.969912818578976</v>
      </c>
      <c r="H6469" s="1">
        <v>10.776347789318248</v>
      </c>
      <c r="I6469" s="1">
        <v>50.711024631600282</v>
      </c>
      <c r="J6469" s="1">
        <v>3.5895483212849688E-2</v>
      </c>
      <c r="K6469" s="1">
        <v>2.4698445810346095</v>
      </c>
      <c r="L6469" s="1">
        <v>2.4976432049900432</v>
      </c>
      <c r="M6469" s="1">
        <v>0.20063401724607485</v>
      </c>
      <c r="N6469" s="1">
        <v>1.5549285297435527</v>
      </c>
      <c r="O6469" s="1">
        <v>0.17029333333333335</v>
      </c>
      <c r="P6469" s="1">
        <v>0.10291496625636014</v>
      </c>
      <c r="Q6469" s="1">
        <v>6.3446095274093288</v>
      </c>
      <c r="R6469" s="2">
        <f t="shared" si="403"/>
        <v>178.8399753165881</v>
      </c>
      <c r="S6469" s="2">
        <f t="shared" si="402"/>
        <v>2.6086550305038192</v>
      </c>
      <c r="T6469" s="2">
        <f t="shared" si="404"/>
        <v>4.4234990853130043</v>
      </c>
      <c r="U6469" s="2">
        <f t="shared" si="405"/>
        <v>185.87212943240493</v>
      </c>
    </row>
    <row r="6470" spans="1:21" x14ac:dyDescent="0.25">
      <c r="A6470">
        <v>7046761</v>
      </c>
      <c r="B6470">
        <v>4</v>
      </c>
      <c r="C6470" s="1">
        <f>1.40477520245301*(10.3/7.3)</f>
        <v>1.9820800801734269</v>
      </c>
      <c r="D6470" s="1">
        <f>3.12797785421774*(10.3/7.3)</f>
        <v>4.4134482052661248</v>
      </c>
      <c r="E6470" s="1">
        <f>10.5658945118378*(10.3/7.3)</f>
        <v>14.90804294136019</v>
      </c>
      <c r="F6470" s="1">
        <f>35.0437071389517*(38.9/42.5)</f>
        <v>32.07529900482875</v>
      </c>
      <c r="G6470" s="1">
        <v>2.0257284868857051</v>
      </c>
      <c r="H6470" s="1">
        <v>8.1205904126318504</v>
      </c>
      <c r="I6470" s="1">
        <v>25.721684567441571</v>
      </c>
      <c r="J6470" s="1">
        <v>2.3938033996347433E-2</v>
      </c>
      <c r="K6470" s="1">
        <v>1.7629973688069378</v>
      </c>
      <c r="L6470" s="1">
        <v>1.6351461330987882</v>
      </c>
      <c r="M6470" s="1">
        <v>0.14206977625344128</v>
      </c>
      <c r="N6470" s="1">
        <v>1.0582292669648941</v>
      </c>
      <c r="O6470" s="1">
        <v>0.11705333333333334</v>
      </c>
      <c r="P6470" s="1">
        <v>7.6237666066869381E-2</v>
      </c>
      <c r="Q6470" s="1">
        <v>3.2374656183104906</v>
      </c>
      <c r="R6470" s="2">
        <f t="shared" si="403"/>
        <v>92.484339316898115</v>
      </c>
      <c r="S6470" s="2">
        <f t="shared" si="402"/>
        <v>1.8631730688701547</v>
      </c>
      <c r="T6470" s="2">
        <f t="shared" si="404"/>
        <v>2.9524985096504568</v>
      </c>
      <c r="U6470" s="2">
        <f t="shared" si="405"/>
        <v>97.300010895418723</v>
      </c>
    </row>
    <row r="6471" spans="1:21" x14ac:dyDescent="0.25">
      <c r="A6471">
        <v>7046769</v>
      </c>
      <c r="B6471">
        <v>55</v>
      </c>
      <c r="C6471" s="1">
        <f>2.20100397418748*(10.3/7.3)</f>
        <v>3.1055261553604185</v>
      </c>
      <c r="D6471" s="1">
        <f>4.68559015317133*(10.3/7.3)</f>
        <v>6.6111751476253042</v>
      </c>
      <c r="E6471" s="1">
        <f>15.9180349688173*(10.3/7.3)</f>
        <v>22.459693175180576</v>
      </c>
      <c r="F6471" s="1">
        <f>49.0692712929168*(38.9/42.5)</f>
        <v>44.912815371634444</v>
      </c>
      <c r="G6471" s="1">
        <v>2.7311439538135458</v>
      </c>
      <c r="H6471" s="1">
        <v>7.6819853920560073</v>
      </c>
      <c r="I6471" s="1">
        <v>35.651684196403878</v>
      </c>
      <c r="J6471" s="1">
        <v>2.9243697399793666E-2</v>
      </c>
      <c r="K6471" s="1">
        <v>2.0844403213863609</v>
      </c>
      <c r="L6471" s="1">
        <v>2.0236656194885807</v>
      </c>
      <c r="M6471" s="1">
        <v>0.16772295526026576</v>
      </c>
      <c r="N6471" s="1">
        <v>1.2272475832463905</v>
      </c>
      <c r="O6471" s="1">
        <v>0.14032872727272724</v>
      </c>
      <c r="P6471" s="1">
        <v>8.8433922870005094E-2</v>
      </c>
      <c r="Q6471" s="1">
        <v>4.3648419353184593</v>
      </c>
      <c r="R6471" s="2">
        <f t="shared" si="403"/>
        <v>127.51886532739263</v>
      </c>
      <c r="S6471" s="2">
        <f t="shared" si="402"/>
        <v>2.2021179416561596</v>
      </c>
      <c r="T6471" s="2">
        <f t="shared" si="404"/>
        <v>3.5589648852679643</v>
      </c>
      <c r="U6471" s="2">
        <f t="shared" si="405"/>
        <v>133.27994815431674</v>
      </c>
    </row>
    <row r="6472" spans="1:21" x14ac:dyDescent="0.25">
      <c r="A6472">
        <v>7046777</v>
      </c>
      <c r="B6472">
        <v>55</v>
      </c>
      <c r="C6472" s="1">
        <f>3.59823335731964*(10.3/7.3)</f>
        <v>5.076959394574283</v>
      </c>
      <c r="D6472" s="1">
        <f>7.60049589648307*(10.3/7.3)</f>
        <v>10.723987360791178</v>
      </c>
      <c r="E6472" s="1">
        <f>25.8712034863469*(10.3/7.3)</f>
        <v>36.503204919092155</v>
      </c>
      <c r="F6472" s="1">
        <f>77.4261949960432*(38.9/42.5)</f>
        <v>70.867740831672506</v>
      </c>
      <c r="G6472" s="1">
        <v>4.24115442953486</v>
      </c>
      <c r="H6472" s="1">
        <v>10.459583070920976</v>
      </c>
      <c r="I6472" s="1">
        <v>55.934418004253921</v>
      </c>
      <c r="J6472" s="1">
        <v>4.0805116102506943E-2</v>
      </c>
      <c r="K6472" s="1">
        <v>2.7497185336043164</v>
      </c>
      <c r="L6472" s="1">
        <v>2.7957131138232576</v>
      </c>
      <c r="M6472" s="1">
        <v>0.22139225218357589</v>
      </c>
      <c r="N6472" s="1">
        <v>1.6501789478305369</v>
      </c>
      <c r="O6472" s="1">
        <v>0.18629721212121209</v>
      </c>
      <c r="P6472" s="1">
        <v>0.11311903573621829</v>
      </c>
      <c r="Q6472" s="1">
        <v>6.7781006864712454</v>
      </c>
      <c r="R6472" s="2">
        <f t="shared" si="403"/>
        <v>200.58514869731113</v>
      </c>
      <c r="S6472" s="2">
        <f t="shared" si="402"/>
        <v>2.9036426854430415</v>
      </c>
      <c r="T6472" s="2">
        <f t="shared" si="404"/>
        <v>4.8535815259585826</v>
      </c>
      <c r="U6472" s="2">
        <f t="shared" si="405"/>
        <v>208.34237290871275</v>
      </c>
    </row>
    <row r="6473" spans="1:21" x14ac:dyDescent="0.25">
      <c r="A6473">
        <v>7046785</v>
      </c>
      <c r="B6473">
        <v>55</v>
      </c>
      <c r="C6473" s="1">
        <f>3.08545800195456*(10.3/7.3)</f>
        <v>4.3534544411139615</v>
      </c>
      <c r="D6473" s="1">
        <f>6.40880940760153*(10.3/7.3)</f>
        <v>9.042566698396687</v>
      </c>
      <c r="E6473" s="1">
        <f>21.8518055065308*(10.3/7.3)</f>
        <v>30.831999550310581</v>
      </c>
      <c r="F6473" s="1">
        <f>64.0119466953552*(38.9/42.5)</f>
        <v>58.589758269395681</v>
      </c>
      <c r="G6473" s="1">
        <v>3.4618810268274611</v>
      </c>
      <c r="H6473" s="1">
        <v>8.9184344126725836</v>
      </c>
      <c r="I6473" s="1">
        <v>46.127134143145206</v>
      </c>
      <c r="J6473" s="1">
        <v>3.602387410887329E-2</v>
      </c>
      <c r="K6473" s="1">
        <v>2.455836945329958</v>
      </c>
      <c r="L6473" s="1">
        <v>2.4432777606888672</v>
      </c>
      <c r="M6473" s="1">
        <v>0.195383278654741</v>
      </c>
      <c r="N6473" s="1">
        <v>1.5253659127689485</v>
      </c>
      <c r="O6473" s="1">
        <v>0.16462060606060611</v>
      </c>
      <c r="P6473" s="1">
        <v>0.1016366345451567</v>
      </c>
      <c r="Q6473" s="1">
        <v>5.5326865725553063</v>
      </c>
      <c r="R6473" s="2">
        <f t="shared" si="403"/>
        <v>166.85791511441744</v>
      </c>
      <c r="S6473" s="2">
        <f t="shared" ref="S6473:S6536" si="406">J6473+K6473+P6473</f>
        <v>2.5934974539839883</v>
      </c>
      <c r="T6473" s="2">
        <f t="shared" si="404"/>
        <v>4.3286475581731629</v>
      </c>
      <c r="U6473" s="2">
        <f t="shared" si="405"/>
        <v>173.7800601265746</v>
      </c>
    </row>
    <row r="6474" spans="1:21" x14ac:dyDescent="0.25">
      <c r="A6474">
        <v>7046793</v>
      </c>
      <c r="B6474">
        <v>55</v>
      </c>
      <c r="C6474" s="1">
        <f>3.78140413841532*(10.3/7.3)</f>
        <v>5.3354058391339478</v>
      </c>
      <c r="D6474" s="1">
        <f>7.86392560554594*(10.3/7.3)</f>
        <v>11.095675854400438</v>
      </c>
      <c r="E6474" s="1">
        <f>26.835625554764*(10.3/7.3)</f>
        <v>37.86396482384513</v>
      </c>
      <c r="F6474" s="1">
        <f>77.4146114016895*(38.9/42.5)</f>
        <v>70.857138435899344</v>
      </c>
      <c r="G6474" s="1">
        <v>4.1510852035723094</v>
      </c>
      <c r="H6474" s="1">
        <v>10.117261670053802</v>
      </c>
      <c r="I6474" s="1">
        <v>55.569133628759573</v>
      </c>
      <c r="J6474" s="1">
        <v>4.1040883933089842E-2</v>
      </c>
      <c r="K6474" s="1">
        <v>2.7405214271700773</v>
      </c>
      <c r="L6474" s="1">
        <v>2.7572546921618648</v>
      </c>
      <c r="M6474" s="1">
        <v>0.21674462660512697</v>
      </c>
      <c r="N6474" s="1">
        <v>1.6631536674299898</v>
      </c>
      <c r="O6474" s="1">
        <v>0.18255806060606061</v>
      </c>
      <c r="P6474" s="1">
        <v>0.11236716483212293</v>
      </c>
      <c r="Q6474" s="1">
        <v>6.6341544349329187</v>
      </c>
      <c r="R6474" s="2">
        <f t="shared" ref="R6474:R6537" si="407">C6474+D6474+E6474+F6474+G6474+H6474+I6474+Q6474</f>
        <v>201.62381989059747</v>
      </c>
      <c r="S6474" s="2">
        <f t="shared" si="406"/>
        <v>2.8939294759352903</v>
      </c>
      <c r="T6474" s="2">
        <f t="shared" ref="T6474:T6537" si="408">L6474+M6474+N6474+O6474</f>
        <v>4.8197110468030431</v>
      </c>
      <c r="U6474" s="2">
        <f t="shared" ref="U6474:U6537" si="409">R6474+S6474+T6474</f>
        <v>209.3374604133358</v>
      </c>
    </row>
    <row r="6475" spans="1:21" x14ac:dyDescent="0.25">
      <c r="A6475">
        <v>7046801</v>
      </c>
      <c r="B6475">
        <v>27</v>
      </c>
      <c r="C6475" s="1">
        <f>3.58773883757888*(10.3/7.3)</f>
        <v>5.0621520585017086</v>
      </c>
      <c r="D6475" s="1">
        <f>7.59086939870744*(10.3/7.3)</f>
        <v>10.710404768039266</v>
      </c>
      <c r="E6475" s="1">
        <f>25.9000086793813*(10.3/7.3)</f>
        <v>36.543847862688679</v>
      </c>
      <c r="F6475" s="1">
        <f>74.283819158847*(38.9/42.5)</f>
        <v>67.991542712450581</v>
      </c>
      <c r="G6475" s="1">
        <v>3.9746417437582653</v>
      </c>
      <c r="H6475" s="1">
        <v>13.043206539665606</v>
      </c>
      <c r="I6475" s="1">
        <v>53.102779143456253</v>
      </c>
      <c r="J6475" s="1">
        <v>3.9511456141659768E-2</v>
      </c>
      <c r="K6475" s="1">
        <v>2.627325503766301</v>
      </c>
      <c r="L6475" s="1">
        <v>2.6162126072042517</v>
      </c>
      <c r="M6475" s="1">
        <v>0.20637476205740551</v>
      </c>
      <c r="N6475" s="1">
        <v>1.6351295626602598</v>
      </c>
      <c r="O6475" s="1">
        <v>0.17288296296296296</v>
      </c>
      <c r="P6475" s="1">
        <v>0.10754273737808084</v>
      </c>
      <c r="Q6475" s="1">
        <v>6.3521671703899267</v>
      </c>
      <c r="R6475" s="2">
        <f t="shared" si="407"/>
        <v>196.78074199895028</v>
      </c>
      <c r="S6475" s="2">
        <f t="shared" si="406"/>
        <v>2.7743796972860415</v>
      </c>
      <c r="T6475" s="2">
        <f t="shared" si="408"/>
        <v>4.6305998948848801</v>
      </c>
      <c r="U6475" s="2">
        <f t="shared" si="409"/>
        <v>204.18572159112119</v>
      </c>
    </row>
    <row r="6476" spans="1:21" x14ac:dyDescent="0.25">
      <c r="A6476">
        <v>7046809</v>
      </c>
      <c r="B6476">
        <v>29</v>
      </c>
      <c r="C6476" s="1">
        <f>1.84345929210184*(10.3/7.3)</f>
        <v>2.6010453025546578</v>
      </c>
      <c r="D6476" s="1">
        <f>3.86654954732451*(10.3/7.3)</f>
        <v>5.4555425119784191</v>
      </c>
      <c r="E6476" s="1">
        <f>13.1882887373485*(10.3/7.3)</f>
        <v>18.608133423930099</v>
      </c>
      <c r="F6476" s="1">
        <f>38.2099234854524*(38.9/42.5)</f>
        <v>34.973318201978763</v>
      </c>
      <c r="G6476" s="1">
        <v>2.0550681035225464</v>
      </c>
      <c r="H6476" s="1">
        <v>6.9436940907326816</v>
      </c>
      <c r="I6476" s="1">
        <v>27.419878852528775</v>
      </c>
      <c r="J6476" s="1">
        <v>2.5101622888736366E-2</v>
      </c>
      <c r="K6476" s="1">
        <v>1.8008379388308167</v>
      </c>
      <c r="L6476" s="1">
        <v>1.65550372181266</v>
      </c>
      <c r="M6476" s="1">
        <v>0.13784449736750062</v>
      </c>
      <c r="N6476" s="1">
        <v>1.104910314177292</v>
      </c>
      <c r="O6476" s="1">
        <v>0.11520735632183908</v>
      </c>
      <c r="P6476" s="1">
        <v>7.623769554615531E-2</v>
      </c>
      <c r="Q6476" s="1">
        <v>3.2843554165885491</v>
      </c>
      <c r="R6476" s="2">
        <f t="shared" si="407"/>
        <v>101.3410359038145</v>
      </c>
      <c r="S6476" s="2">
        <f t="shared" si="406"/>
        <v>1.9021772572657083</v>
      </c>
      <c r="T6476" s="2">
        <f t="shared" si="408"/>
        <v>3.0134658896792916</v>
      </c>
      <c r="U6476" s="2">
        <f t="shared" si="409"/>
        <v>106.2566790507595</v>
      </c>
    </row>
    <row r="6477" spans="1:21" x14ac:dyDescent="0.25">
      <c r="A6477">
        <v>7046817</v>
      </c>
      <c r="B6477">
        <v>16</v>
      </c>
      <c r="C6477" s="1">
        <f>3.06557735694085*(10.3/7.3)</f>
        <v>4.3254036680124281</v>
      </c>
      <c r="D6477" s="1">
        <f>6.7392279211905*(10.3/7.3)</f>
        <v>9.5087736422276858</v>
      </c>
      <c r="E6477" s="1">
        <f>22.8397720885009*(10.3/7.3)</f>
        <v>32.225979796103999</v>
      </c>
      <c r="F6477" s="1">
        <f>72.2317697591975*(38.9/42.5)</f>
        <v>66.11331396783018</v>
      </c>
      <c r="G6477" s="1">
        <v>4.0797560144714158</v>
      </c>
      <c r="H6477" s="1">
        <v>10.675595203783082</v>
      </c>
      <c r="I6477" s="1">
        <v>52.551822539624254</v>
      </c>
      <c r="J6477" s="1">
        <v>3.3739834675521864E-2</v>
      </c>
      <c r="K6477" s="1">
        <v>2.2841036227056888</v>
      </c>
      <c r="L6477" s="1">
        <v>2.2107360767624744</v>
      </c>
      <c r="M6477" s="1">
        <v>0.17446162909872515</v>
      </c>
      <c r="N6477" s="1">
        <v>1.4098524987853784</v>
      </c>
      <c r="O6477" s="1">
        <v>0.1469166666666667</v>
      </c>
      <c r="P6477" s="1">
        <v>9.3836532271267259E-2</v>
      </c>
      <c r="Q6477" s="1">
        <v>6.5201580139954194</v>
      </c>
      <c r="R6477" s="2">
        <f t="shared" si="407"/>
        <v>186.00080284604849</v>
      </c>
      <c r="S6477" s="2">
        <f t="shared" si="406"/>
        <v>2.4116799896524777</v>
      </c>
      <c r="T6477" s="2">
        <f t="shared" si="408"/>
        <v>3.9419668713132445</v>
      </c>
      <c r="U6477" s="2">
        <f t="shared" si="409"/>
        <v>192.3544497070142</v>
      </c>
    </row>
    <row r="6478" spans="1:21" x14ac:dyDescent="0.25">
      <c r="A6478">
        <v>7046905</v>
      </c>
      <c r="B6478">
        <v>1</v>
      </c>
      <c r="C6478" s="1">
        <f>2.08625248382446*(10.3/7.3)</f>
        <v>2.9436165182728695</v>
      </c>
      <c r="D6478" s="1">
        <f>3.86644008907644*(10.3/7.3)</f>
        <v>5.4553880708886791</v>
      </c>
      <c r="E6478" s="1">
        <f>13.3486521460024*(10.3/7.3)</f>
        <v>18.834399603263609</v>
      </c>
      <c r="F6478" s="1">
        <f>32.8613757721906*(38.9/42.5)</f>
        <v>30.077823942075604</v>
      </c>
      <c r="G6478" s="1">
        <v>1.5729438356856162</v>
      </c>
      <c r="H6478" s="1">
        <v>6.1404092137708473</v>
      </c>
      <c r="I6478" s="1">
        <v>23.126951588572535</v>
      </c>
      <c r="J6478" s="1">
        <v>2.2989677956609129E-2</v>
      </c>
      <c r="K6478" s="1">
        <v>1.6043681089028099</v>
      </c>
      <c r="L6478" s="1">
        <v>1.3898012526019095</v>
      </c>
      <c r="M6478" s="1">
        <v>0.10871093866652205</v>
      </c>
      <c r="N6478" s="1">
        <v>0.98066711459374956</v>
      </c>
      <c r="O6478" s="1">
        <v>9.5039999999999999E-2</v>
      </c>
      <c r="P6478" s="1">
        <v>6.7293859861149885E-2</v>
      </c>
      <c r="Q6478" s="1">
        <v>2.5138371803194803</v>
      </c>
      <c r="R6478" s="2">
        <f t="shared" si="407"/>
        <v>90.665369952849247</v>
      </c>
      <c r="S6478" s="2">
        <f t="shared" si="406"/>
        <v>1.694651646720569</v>
      </c>
      <c r="T6478" s="2">
        <f t="shared" si="408"/>
        <v>2.5742193058621812</v>
      </c>
      <c r="U6478" s="2">
        <f t="shared" si="409"/>
        <v>94.934240905432006</v>
      </c>
    </row>
    <row r="6479" spans="1:21" x14ac:dyDescent="0.25">
      <c r="A6479">
        <v>7046913</v>
      </c>
      <c r="B6479">
        <v>7</v>
      </c>
      <c r="C6479" s="1">
        <f>4.39543458177711*(10.3/7.3)</f>
        <v>6.2017775605896235</v>
      </c>
      <c r="D6479" s="1">
        <f>8.01187288891069*(10.3/7.3)</f>
        <v>11.304423391202754</v>
      </c>
      <c r="E6479" s="1">
        <f>27.7268534442668*(10.3/7.3)</f>
        <v>39.12145075012986</v>
      </c>
      <c r="F6479" s="1">
        <f>65.6066094512754*(38.9/42.5)</f>
        <v>60.049343709520322</v>
      </c>
      <c r="G6479" s="1">
        <v>3.0388992873029648</v>
      </c>
      <c r="H6479" s="1">
        <v>9.3301013084828526</v>
      </c>
      <c r="I6479" s="1">
        <v>45.836957803233602</v>
      </c>
      <c r="J6479" s="1">
        <v>3.5310729323640641E-2</v>
      </c>
      <c r="K6479" s="1">
        <v>2.3096391289217673</v>
      </c>
      <c r="L6479" s="1">
        <v>2.1629247639559961</v>
      </c>
      <c r="M6479" s="1">
        <v>0.1556997090675119</v>
      </c>
      <c r="N6479" s="1">
        <v>1.3969699334597776</v>
      </c>
      <c r="O6479" s="1">
        <v>0.13976380952380954</v>
      </c>
      <c r="P6479" s="1">
        <v>9.2765651100680788E-2</v>
      </c>
      <c r="Q6479" s="1">
        <v>4.8566883587033747</v>
      </c>
      <c r="R6479" s="2">
        <f t="shared" si="407"/>
        <v>179.73964216916534</v>
      </c>
      <c r="S6479" s="2">
        <f t="shared" si="406"/>
        <v>2.4377155093460887</v>
      </c>
      <c r="T6479" s="2">
        <f t="shared" si="408"/>
        <v>3.8553582160070952</v>
      </c>
      <c r="U6479" s="2">
        <f t="shared" si="409"/>
        <v>186.0327158945185</v>
      </c>
    </row>
    <row r="6480" spans="1:21" x14ac:dyDescent="0.25">
      <c r="A6480">
        <v>7058437</v>
      </c>
      <c r="B6480">
        <v>21</v>
      </c>
      <c r="C6480" s="1">
        <f>0.412311678361031*(10.3/7.3)</f>
        <v>0.5817548338518661</v>
      </c>
      <c r="D6480" s="1">
        <f>0.799965439293423*(10.3/7.3)</f>
        <v>1.1287183595509935</v>
      </c>
      <c r="E6480" s="1">
        <f>2.72461158399919*(10.3/7.3)</f>
        <v>3.844314974683793</v>
      </c>
      <c r="F6480" s="1">
        <f>8.40864054677849*(38.9/42.5)</f>
        <v>7.6963792298748981</v>
      </c>
      <c r="G6480" s="1">
        <v>0.46558851416451463</v>
      </c>
      <c r="H6480" s="1">
        <v>2.5476907812705485</v>
      </c>
      <c r="I6480" s="1">
        <v>6.1952372391477768</v>
      </c>
      <c r="J6480" s="1">
        <v>2.0410214186863906E-2</v>
      </c>
      <c r="K6480" s="1">
        <v>1.9122530913138207</v>
      </c>
      <c r="L6480" s="1">
        <v>1.2224670544731391</v>
      </c>
      <c r="M6480" s="1">
        <v>0.17226842569342771</v>
      </c>
      <c r="N6480" s="1">
        <v>0.75854204353901711</v>
      </c>
      <c r="O6480" s="1">
        <v>0.18407873015873011</v>
      </c>
      <c r="P6480" s="1">
        <v>8.8833608923728297E-2</v>
      </c>
      <c r="Q6480" s="1">
        <v>0.74409123268301491</v>
      </c>
      <c r="R6480" s="2">
        <f t="shared" si="407"/>
        <v>23.203775165227405</v>
      </c>
      <c r="S6480" s="2">
        <f t="shared" si="406"/>
        <v>2.021496914424413</v>
      </c>
      <c r="T6480" s="2">
        <f t="shared" si="408"/>
        <v>2.3373562538643142</v>
      </c>
      <c r="U6480" s="2">
        <f t="shared" si="409"/>
        <v>27.562628333516134</v>
      </c>
    </row>
    <row r="6481" spans="1:21" x14ac:dyDescent="0.25">
      <c r="A6481">
        <v>7058493</v>
      </c>
      <c r="B6481">
        <v>26</v>
      </c>
      <c r="C6481" s="1">
        <f>0.302628242344766*(10.3/7.3)</f>
        <v>0.42699601317138219</v>
      </c>
      <c r="D6481" s="1">
        <f>0.600901412510753*(10.3/7.3)</f>
        <v>0.84784719847407597</v>
      </c>
      <c r="E6481" s="1">
        <f>2.04674317084174*(10.3/7.3)</f>
        <v>2.8878705013246457</v>
      </c>
      <c r="F6481" s="1">
        <f>6.23883459710906*(38.9/42.5)</f>
        <v>5.7103686077068803</v>
      </c>
      <c r="G6481" s="1">
        <v>0.34373172381571443</v>
      </c>
      <c r="H6481" s="1">
        <v>2.6374251340633066</v>
      </c>
      <c r="I6481" s="1">
        <v>4.5681695259162884</v>
      </c>
      <c r="J6481" s="1">
        <v>1.6743682025983687E-2</v>
      </c>
      <c r="K6481" s="1">
        <v>1.6592209063289061</v>
      </c>
      <c r="L6481" s="1">
        <v>1.0313525698389243</v>
      </c>
      <c r="M6481" s="1">
        <v>0.16078502166662625</v>
      </c>
      <c r="N6481" s="1">
        <v>0.93399080317842553</v>
      </c>
      <c r="O6481" s="1">
        <v>0.14516307692307692</v>
      </c>
      <c r="P6481" s="1">
        <v>7.4257667542126676E-2</v>
      </c>
      <c r="Q6481" s="1">
        <v>0.54934293760502362</v>
      </c>
      <c r="R6481" s="2">
        <f t="shared" si="407"/>
        <v>17.971751642077319</v>
      </c>
      <c r="S6481" s="2">
        <f t="shared" si="406"/>
        <v>1.7502222558970164</v>
      </c>
      <c r="T6481" s="2">
        <f t="shared" si="408"/>
        <v>2.2712914716070531</v>
      </c>
      <c r="U6481" s="2">
        <f t="shared" si="409"/>
        <v>21.99326536958139</v>
      </c>
    </row>
    <row r="6482" spans="1:21" x14ac:dyDescent="0.25">
      <c r="A6482">
        <v>7058501</v>
      </c>
      <c r="B6482">
        <v>18</v>
      </c>
      <c r="C6482" s="1">
        <f>0.292441333651194*(10.3/7.3)</f>
        <v>0.41262270364483605</v>
      </c>
      <c r="D6482" s="1">
        <f>0.593698790262314*(10.3/7.3)</f>
        <v>0.83768459447970345</v>
      </c>
      <c r="E6482" s="1">
        <f>2.0203009870216*(10.3/7.3)</f>
        <v>2.8505616666195128</v>
      </c>
      <c r="F6482" s="1">
        <f>6.19058622741583*(38.9/42.5)</f>
        <v>5.6662071587406082</v>
      </c>
      <c r="G6482" s="1">
        <v>0.34249737346833459</v>
      </c>
      <c r="H6482" s="1">
        <v>1.8494007838047613</v>
      </c>
      <c r="I6482" s="1">
        <v>4.5229279633604422</v>
      </c>
      <c r="J6482" s="1">
        <v>1.6416955336677874E-2</v>
      </c>
      <c r="K6482" s="1">
        <v>1.5978141533979333</v>
      </c>
      <c r="L6482" s="1">
        <v>1.0440641184148938</v>
      </c>
      <c r="M6482" s="1">
        <v>0.16173202858944982</v>
      </c>
      <c r="N6482" s="1">
        <v>1.0615061931029217</v>
      </c>
      <c r="O6482" s="1">
        <v>0.14752888888888893</v>
      </c>
      <c r="P6482" s="1">
        <v>7.4929162473745745E-2</v>
      </c>
      <c r="Q6482" s="1">
        <v>0.54737023157039821</v>
      </c>
      <c r="R6482" s="2">
        <f t="shared" si="407"/>
        <v>17.029272475688597</v>
      </c>
      <c r="S6482" s="2">
        <f t="shared" si="406"/>
        <v>1.6891602712083571</v>
      </c>
      <c r="T6482" s="2">
        <f t="shared" si="408"/>
        <v>2.4148312289961544</v>
      </c>
      <c r="U6482" s="2">
        <f t="shared" si="409"/>
        <v>21.133263975893108</v>
      </c>
    </row>
    <row r="6483" spans="1:21" x14ac:dyDescent="0.25">
      <c r="A6483">
        <v>7058701</v>
      </c>
      <c r="B6483">
        <v>61</v>
      </c>
      <c r="C6483" s="1">
        <f>0.995997221236572*(10.3/7.3)</f>
        <v>1.4053111477721498</v>
      </c>
      <c r="D6483" s="1">
        <f>1.84294993576679*(10.3/7.3)</f>
        <v>2.6003266216983509</v>
      </c>
      <c r="E6483" s="1">
        <f>6.2704111302659*(10.3/7.3)</f>
        <v>8.8472924166765488</v>
      </c>
      <c r="F6483" s="1">
        <f>20.1515429266442*(38.9/42.5)</f>
        <v>18.444588702269652</v>
      </c>
      <c r="G6483" s="1">
        <v>1.1353968250470474</v>
      </c>
      <c r="H6483" s="1">
        <v>5.7796654038252591</v>
      </c>
      <c r="I6483" s="1">
        <v>15.077842068009014</v>
      </c>
      <c r="J6483" s="1">
        <v>1.6887950953729108E-2</v>
      </c>
      <c r="K6483" s="1">
        <v>1.6106958172066936</v>
      </c>
      <c r="L6483" s="1">
        <v>1.3275033702872827</v>
      </c>
      <c r="M6483" s="1">
        <v>0.16401921142402301</v>
      </c>
      <c r="N6483" s="1">
        <v>0.65537757040906874</v>
      </c>
      <c r="O6483" s="1">
        <v>0.13026273224043713</v>
      </c>
      <c r="P6483" s="1">
        <v>7.7130239259131372E-2</v>
      </c>
      <c r="Q6483" s="1">
        <v>1.8145611359199401</v>
      </c>
      <c r="R6483" s="2">
        <f t="shared" si="407"/>
        <v>55.104984321217955</v>
      </c>
      <c r="S6483" s="2">
        <f t="shared" si="406"/>
        <v>1.7047140074195541</v>
      </c>
      <c r="T6483" s="2">
        <f t="shared" si="408"/>
        <v>2.2771628843608118</v>
      </c>
      <c r="U6483" s="2">
        <f t="shared" si="409"/>
        <v>59.086861212998322</v>
      </c>
    </row>
    <row r="6484" spans="1:21" x14ac:dyDescent="0.25">
      <c r="A6484">
        <v>7058709</v>
      </c>
      <c r="B6484">
        <v>9</v>
      </c>
      <c r="C6484" s="1">
        <f>0.984046290575722*(10.3/7.3)</f>
        <v>1.3884488757438276</v>
      </c>
      <c r="D6484" s="1">
        <f>2.00946428518989*(10.3/7.3)</f>
        <v>2.8352715256788921</v>
      </c>
      <c r="E6484" s="1">
        <f>6.79041829529983*(10.3/7.3)</f>
        <v>9.5810011563819586</v>
      </c>
      <c r="F6484" s="1">
        <f>23.2021958349926*(38.9/42.5)</f>
        <v>21.236833364263809</v>
      </c>
      <c r="G6484" s="1">
        <v>1.3531084231492909</v>
      </c>
      <c r="H6484" s="1">
        <v>9.6652101264168415</v>
      </c>
      <c r="I6484" s="1">
        <v>17.325943026141939</v>
      </c>
      <c r="J6484" s="1">
        <v>1.9074615289948981E-2</v>
      </c>
      <c r="K6484" s="1">
        <v>1.7821708378980139</v>
      </c>
      <c r="L6484" s="1">
        <v>1.5050458777906384</v>
      </c>
      <c r="M6484" s="1">
        <v>0.17966528298329962</v>
      </c>
      <c r="N6484" s="1">
        <v>0.88470636619632037</v>
      </c>
      <c r="O6484" s="1">
        <v>0.14273185185185186</v>
      </c>
      <c r="P6484" s="1">
        <v>8.413101284235032E-2</v>
      </c>
      <c r="Q6484" s="1">
        <v>2.1625020461290059</v>
      </c>
      <c r="R6484" s="2">
        <f t="shared" si="407"/>
        <v>65.548318543905566</v>
      </c>
      <c r="S6484" s="2">
        <f t="shared" si="406"/>
        <v>1.8853764660303132</v>
      </c>
      <c r="T6484" s="2">
        <f t="shared" si="408"/>
        <v>2.7121493788221098</v>
      </c>
      <c r="U6484" s="2">
        <f t="shared" si="409"/>
        <v>70.145844388757979</v>
      </c>
    </row>
    <row r="6485" spans="1:21" x14ac:dyDescent="0.25">
      <c r="A6485">
        <v>7058717</v>
      </c>
      <c r="B6485">
        <v>3</v>
      </c>
      <c r="C6485" s="1">
        <f>0.802159698820631*(10.3/7.3)</f>
        <v>1.1318143695688352</v>
      </c>
      <c r="D6485" s="1">
        <f>2.08898031340939*(10.3/7.3)</f>
        <v>2.9474653737146137</v>
      </c>
      <c r="E6485" s="1">
        <f>6.93585035554109*(10.3/7.3)</f>
        <v>9.7861998167223625</v>
      </c>
      <c r="F6485" s="1">
        <f>27.8732759208288*(38.9/42.5)</f>
        <v>25.512245489888052</v>
      </c>
      <c r="G6485" s="1">
        <v>1.7496228386025543</v>
      </c>
      <c r="H6485" s="1">
        <v>8.9978717071229983</v>
      </c>
      <c r="I6485" s="1">
        <v>20.912971307072024</v>
      </c>
      <c r="J6485" s="1">
        <v>1.8695555754304136E-2</v>
      </c>
      <c r="K6485" s="1">
        <v>1.7620257232700471</v>
      </c>
      <c r="L6485" s="1">
        <v>1.4954416508157404</v>
      </c>
      <c r="M6485" s="1">
        <v>0.17506101970764112</v>
      </c>
      <c r="N6485" s="1">
        <v>0.79530151427993589</v>
      </c>
      <c r="O6485" s="1">
        <v>0.14069333333333334</v>
      </c>
      <c r="P6485" s="1">
        <v>8.318844208782572E-2</v>
      </c>
      <c r="Q6485" s="1">
        <v>2.7962008836113914</v>
      </c>
      <c r="R6485" s="2">
        <f t="shared" si="407"/>
        <v>73.834391786302831</v>
      </c>
      <c r="S6485" s="2">
        <f t="shared" si="406"/>
        <v>1.8639097211121769</v>
      </c>
      <c r="T6485" s="2">
        <f t="shared" si="408"/>
        <v>2.606497518136651</v>
      </c>
      <c r="U6485" s="2">
        <f t="shared" si="409"/>
        <v>78.304799025551659</v>
      </c>
    </row>
    <row r="6486" spans="1:21" x14ac:dyDescent="0.25">
      <c r="A6486">
        <v>7058973</v>
      </c>
      <c r="B6486">
        <v>18</v>
      </c>
      <c r="C6486" s="1">
        <f>2.52047906248649*(10.3/7.3)</f>
        <v>3.556292375837109</v>
      </c>
      <c r="D6486" s="1">
        <f>6.11278651732785*(10.3/7.3)</f>
        <v>8.6248905655447778</v>
      </c>
      <c r="E6486" s="1">
        <f>20.5269882408641*(10.3/7.3)</f>
        <v>28.962736833000001</v>
      </c>
      <c r="F6486" s="1">
        <f>72.0960530165969*(38.9/42.5)</f>
        <v>65.989093231661599</v>
      </c>
      <c r="G6486" s="1">
        <v>4.2900093926896243</v>
      </c>
      <c r="H6486" s="1">
        <v>13.312617678178063</v>
      </c>
      <c r="I6486" s="1">
        <v>53.032143020813372</v>
      </c>
      <c r="J6486" s="1">
        <v>3.4648587480192811E-2</v>
      </c>
      <c r="K6486" s="1">
        <v>2.3700504079169478</v>
      </c>
      <c r="L6486" s="1">
        <v>2.3743997866835262</v>
      </c>
      <c r="M6486" s="1">
        <v>0.19346229797792572</v>
      </c>
      <c r="N6486" s="1">
        <v>1.4138080215584721</v>
      </c>
      <c r="O6486" s="1">
        <v>0.16425777777777775</v>
      </c>
      <c r="P6486" s="1">
        <v>9.8991818048578831E-2</v>
      </c>
      <c r="Q6486" s="1">
        <v>6.8561793947094518</v>
      </c>
      <c r="R6486" s="2">
        <f t="shared" si="407"/>
        <v>184.62396249243398</v>
      </c>
      <c r="S6486" s="2">
        <f t="shared" si="406"/>
        <v>2.5036908134457194</v>
      </c>
      <c r="T6486" s="2">
        <f t="shared" si="408"/>
        <v>4.1459278839977012</v>
      </c>
      <c r="U6486" s="2">
        <f t="shared" si="409"/>
        <v>191.2735811898774</v>
      </c>
    </row>
    <row r="6487" spans="1:21" x14ac:dyDescent="0.25">
      <c r="A6487">
        <v>7058981</v>
      </c>
      <c r="B6487">
        <v>70</v>
      </c>
      <c r="C6487" s="1">
        <f>3.10442289910151*(10.3/7.3)</f>
        <v>4.3802131316089863</v>
      </c>
      <c r="D6487" s="1">
        <f>7.0495237693852*(10.3/7.3)</f>
        <v>9.9465883321462361</v>
      </c>
      <c r="E6487" s="1">
        <f>23.8351326971918*(10.3/7.3)</f>
        <v>33.630392709736348</v>
      </c>
      <c r="F6487" s="1">
        <f>77.2549237540277*(38.9/42.5)</f>
        <v>70.710977271333633</v>
      </c>
      <c r="G6487" s="1">
        <v>4.4229427153585918</v>
      </c>
      <c r="H6487" s="1">
        <v>11.940782950136407</v>
      </c>
      <c r="I6487" s="1">
        <v>56.278378970040848</v>
      </c>
      <c r="J6487" s="1">
        <v>3.8843742006293709E-2</v>
      </c>
      <c r="K6487" s="1">
        <v>2.6424765090910576</v>
      </c>
      <c r="L6487" s="1">
        <v>2.6939654054300743</v>
      </c>
      <c r="M6487" s="1">
        <v>0.21690776069932877</v>
      </c>
      <c r="N6487" s="1">
        <v>1.5646814365707109</v>
      </c>
      <c r="O6487" s="1">
        <v>0.18308571428571419</v>
      </c>
      <c r="P6487" s="1">
        <v>0.10957721200592627</v>
      </c>
      <c r="Q6487" s="1">
        <v>7.0686299103904524</v>
      </c>
      <c r="R6487" s="2">
        <f t="shared" si="407"/>
        <v>198.37890599075149</v>
      </c>
      <c r="S6487" s="2">
        <f t="shared" si="406"/>
        <v>2.7908974631032777</v>
      </c>
      <c r="T6487" s="2">
        <f t="shared" si="408"/>
        <v>4.6586403169858288</v>
      </c>
      <c r="U6487" s="2">
        <f t="shared" si="409"/>
        <v>205.82844377084061</v>
      </c>
    </row>
    <row r="6488" spans="1:21" x14ac:dyDescent="0.25">
      <c r="A6488">
        <v>7058989</v>
      </c>
      <c r="B6488">
        <v>19</v>
      </c>
      <c r="C6488" s="1">
        <f>2.50408155184549*(10.3/7.3)</f>
        <v>3.5331561621929555</v>
      </c>
      <c r="D6488" s="1">
        <f>5.67773979667848*(10.3/7.3)</f>
        <v>8.0110575213408737</v>
      </c>
      <c r="E6488" s="1">
        <f>19.1953808241185*(10.3/7.3)</f>
        <v>27.083893491564467</v>
      </c>
      <c r="F6488" s="1">
        <f>62.3378002186448*(38.9/42.5)</f>
        <v>57.057421847183107</v>
      </c>
      <c r="G6488" s="1">
        <v>3.5719050583322538</v>
      </c>
      <c r="H6488" s="1">
        <v>12.167139885434853</v>
      </c>
      <c r="I6488" s="1">
        <v>45.44008610024467</v>
      </c>
      <c r="J6488" s="1">
        <v>3.3348454960546857E-2</v>
      </c>
      <c r="K6488" s="1">
        <v>2.3044352429590957</v>
      </c>
      <c r="L6488" s="1">
        <v>2.2908643313258441</v>
      </c>
      <c r="M6488" s="1">
        <v>0.18712039219866308</v>
      </c>
      <c r="N6488" s="1">
        <v>1.4158637059314101</v>
      </c>
      <c r="O6488" s="1">
        <v>0.15778807017543861</v>
      </c>
      <c r="P6488" s="1">
        <v>9.6508279244318637E-2</v>
      </c>
      <c r="Q6488" s="1">
        <v>5.7085240658278078</v>
      </c>
      <c r="R6488" s="2">
        <f t="shared" si="407"/>
        <v>162.57318413212099</v>
      </c>
      <c r="S6488" s="2">
        <f t="shared" si="406"/>
        <v>2.4342919771639613</v>
      </c>
      <c r="T6488" s="2">
        <f t="shared" si="408"/>
        <v>4.0516364996313561</v>
      </c>
      <c r="U6488" s="2">
        <f t="shared" si="409"/>
        <v>169.05911260891628</v>
      </c>
    </row>
    <row r="6489" spans="1:21" x14ac:dyDescent="0.25">
      <c r="A6489">
        <v>7058997</v>
      </c>
      <c r="B6489">
        <v>39</v>
      </c>
      <c r="C6489" s="1">
        <f>1.43537218330075*(10.3/7.3)</f>
        <v>2.0252511627394165</v>
      </c>
      <c r="D6489" s="1">
        <f>3.03990982757256*(10.3/7.3)</f>
        <v>4.2891878389037528</v>
      </c>
      <c r="E6489" s="1">
        <f>10.3281499928409*(10.3/7.3)</f>
        <v>14.572595195378225</v>
      </c>
      <c r="F6489" s="1">
        <f>31.8673563091726*(38.9/42.5)</f>
        <v>29.168003774748556</v>
      </c>
      <c r="G6489" s="1">
        <v>1.7739980482855828</v>
      </c>
      <c r="H6489" s="1">
        <v>6.3203356409655864</v>
      </c>
      <c r="I6489" s="1">
        <v>23.175472500133676</v>
      </c>
      <c r="J6489" s="1">
        <v>2.3013178777418337E-2</v>
      </c>
      <c r="K6489" s="1">
        <v>1.7216378133238044</v>
      </c>
      <c r="L6489" s="1">
        <v>1.5884217575569504</v>
      </c>
      <c r="M6489" s="1">
        <v>0.13795733293160237</v>
      </c>
      <c r="N6489" s="1">
        <v>1.0029522061605662</v>
      </c>
      <c r="O6489" s="1">
        <v>0.1139063247863248</v>
      </c>
      <c r="P6489" s="1">
        <v>7.4614816606473636E-2</v>
      </c>
      <c r="Q6489" s="1">
        <v>2.835156698173309</v>
      </c>
      <c r="R6489" s="2">
        <f t="shared" si="407"/>
        <v>84.160000859328107</v>
      </c>
      <c r="S6489" s="2">
        <f t="shared" si="406"/>
        <v>1.8192658087076965</v>
      </c>
      <c r="T6489" s="2">
        <f t="shared" si="408"/>
        <v>2.8432376214354438</v>
      </c>
      <c r="U6489" s="2">
        <f t="shared" si="409"/>
        <v>88.822504289471254</v>
      </c>
    </row>
    <row r="6490" spans="1:21" x14ac:dyDescent="0.25">
      <c r="A6490">
        <v>7059005</v>
      </c>
      <c r="B6490">
        <v>68</v>
      </c>
      <c r="C6490" s="1">
        <f>2.40968885984581*(10.3/7.3)</f>
        <v>3.3999719529331238</v>
      </c>
      <c r="D6490" s="1">
        <f>5.11253965327503*(10.3/7.3)</f>
        <v>7.213583346401748</v>
      </c>
      <c r="E6490" s="1">
        <f>17.3905477941987*(10.3/7.3)</f>
        <v>24.537348257568084</v>
      </c>
      <c r="F6490" s="1">
        <f>52.5526508918516*(38.9/42.5)</f>
        <v>48.101132228071215</v>
      </c>
      <c r="G6490" s="1">
        <v>2.8943441492973601</v>
      </c>
      <c r="H6490" s="1">
        <v>7.9723460435807647</v>
      </c>
      <c r="I6490" s="1">
        <v>38.026579362528409</v>
      </c>
      <c r="J6490" s="1">
        <v>3.0801790473979664E-2</v>
      </c>
      <c r="K6490" s="1">
        <v>2.1822119318137494</v>
      </c>
      <c r="L6490" s="1">
        <v>2.1311258209921173</v>
      </c>
      <c r="M6490" s="1">
        <v>0.17453070028750076</v>
      </c>
      <c r="N6490" s="1">
        <v>1.2846527002016441</v>
      </c>
      <c r="O6490" s="1">
        <v>0.1467686274509804</v>
      </c>
      <c r="P6490" s="1">
        <v>9.1792135903427954E-2</v>
      </c>
      <c r="Q6490" s="1">
        <v>4.6256641655437338</v>
      </c>
      <c r="R6490" s="2">
        <f t="shared" si="407"/>
        <v>136.77096950592443</v>
      </c>
      <c r="S6490" s="2">
        <f t="shared" si="406"/>
        <v>2.3048058581911568</v>
      </c>
      <c r="T6490" s="2">
        <f t="shared" si="408"/>
        <v>3.7370778489322425</v>
      </c>
      <c r="U6490" s="2">
        <f t="shared" si="409"/>
        <v>142.81285321304782</v>
      </c>
    </row>
    <row r="6491" spans="1:21" x14ac:dyDescent="0.25">
      <c r="A6491">
        <v>7059013</v>
      </c>
      <c r="B6491">
        <v>67</v>
      </c>
      <c r="C6491" s="1">
        <f>3.4704829626331*(10.3/7.3)</f>
        <v>4.8967088376877994</v>
      </c>
      <c r="D6491" s="1">
        <f>7.31952819457909*(10.3/7.3)</f>
        <v>10.327553480022553</v>
      </c>
      <c r="E6491" s="1">
        <f>24.9346135064337*(10.3/7.3)</f>
        <v>35.181714947433839</v>
      </c>
      <c r="F6491" s="1">
        <f>73.6576355937401*(38.9/42.5)</f>
        <v>67.418400578740957</v>
      </c>
      <c r="G6491" s="1">
        <v>4.0059767301055604</v>
      </c>
      <c r="H6491" s="1">
        <v>9.9603918979280852</v>
      </c>
      <c r="I6491" s="1">
        <v>53.060229089364576</v>
      </c>
      <c r="J6491" s="1">
        <v>3.9762365763500361E-2</v>
      </c>
      <c r="K6491" s="1">
        <v>2.6827797206361894</v>
      </c>
      <c r="L6491" s="1">
        <v>2.712582928942282</v>
      </c>
      <c r="M6491" s="1">
        <v>0.21484235993231096</v>
      </c>
      <c r="N6491" s="1">
        <v>1.6368717824172196</v>
      </c>
      <c r="O6491" s="1">
        <v>0.18108179104477609</v>
      </c>
      <c r="P6491" s="1">
        <v>0.11020907148903254</v>
      </c>
      <c r="Q6491" s="1">
        <v>6.4022459156938236</v>
      </c>
      <c r="R6491" s="2">
        <f t="shared" si="407"/>
        <v>191.25322147697719</v>
      </c>
      <c r="S6491" s="2">
        <f t="shared" si="406"/>
        <v>2.8327511578887226</v>
      </c>
      <c r="T6491" s="2">
        <f t="shared" si="408"/>
        <v>4.7453788623365893</v>
      </c>
      <c r="U6491" s="2">
        <f t="shared" si="409"/>
        <v>198.83135149720252</v>
      </c>
    </row>
    <row r="6492" spans="1:21" x14ac:dyDescent="0.25">
      <c r="A6492">
        <v>7059021</v>
      </c>
      <c r="B6492">
        <v>68</v>
      </c>
      <c r="C6492" s="1">
        <f>2.81787938945333*(10.3/7.3)</f>
        <v>3.9759120152560707</v>
      </c>
      <c r="D6492" s="1">
        <f>5.85409484975534*(10.3/7.3)</f>
        <v>8.2598872537643881</v>
      </c>
      <c r="E6492" s="1">
        <f>19.9721764233991*(10.3/7.3)</f>
        <v>28.179920159042538</v>
      </c>
      <c r="F6492" s="1">
        <f>57.8964421718844*(38.9/42.5)</f>
        <v>52.992272952618919</v>
      </c>
      <c r="G6492" s="1">
        <v>3.1128629196650084</v>
      </c>
      <c r="H6492" s="1">
        <v>8.2872603563767235</v>
      </c>
      <c r="I6492" s="1">
        <v>41.614524949816065</v>
      </c>
      <c r="J6492" s="1">
        <v>3.3521684082356652E-2</v>
      </c>
      <c r="K6492" s="1">
        <v>2.3236486177346207</v>
      </c>
      <c r="L6492" s="1">
        <v>2.2822216528394708</v>
      </c>
      <c r="M6492" s="1">
        <v>0.184284695833967</v>
      </c>
      <c r="N6492" s="1">
        <v>1.3869060316969839</v>
      </c>
      <c r="O6492" s="1">
        <v>0.15494431372549017</v>
      </c>
      <c r="P6492" s="1">
        <v>9.6655930142292665E-2</v>
      </c>
      <c r="Q6492" s="1">
        <v>4.9748950770902018</v>
      </c>
      <c r="R6492" s="2">
        <f t="shared" si="407"/>
        <v>151.39753568362991</v>
      </c>
      <c r="S6492" s="2">
        <f t="shared" si="406"/>
        <v>2.4538262319592699</v>
      </c>
      <c r="T6492" s="2">
        <f t="shared" si="408"/>
        <v>4.0083566940959114</v>
      </c>
      <c r="U6492" s="2">
        <f t="shared" si="409"/>
        <v>157.8597186096851</v>
      </c>
    </row>
    <row r="6493" spans="1:21" x14ac:dyDescent="0.25">
      <c r="A6493">
        <v>7059029</v>
      </c>
      <c r="B6493">
        <v>68</v>
      </c>
      <c r="C6493" s="1">
        <f>3.7114177717638*(10.3/7.3)</f>
        <v>5.2366579519407086</v>
      </c>
      <c r="D6493" s="1">
        <f>7.77942597433549*(10.3/7.3)</f>
        <v>10.976450347350074</v>
      </c>
      <c r="E6493" s="1">
        <f>26.5546647990653*(10.3/7.3)</f>
        <v>37.467540743886651</v>
      </c>
      <c r="F6493" s="1">
        <f>75.9289712597893*(38.9/42.5)</f>
        <v>69.497340753077737</v>
      </c>
      <c r="G6493" s="1">
        <v>4.0529875045480486</v>
      </c>
      <c r="H6493" s="1">
        <v>10.160741176313921</v>
      </c>
      <c r="I6493" s="1">
        <v>54.317330815734088</v>
      </c>
      <c r="J6493" s="1">
        <v>4.0481162244747286E-2</v>
      </c>
      <c r="K6493" s="1">
        <v>2.7083850376473393</v>
      </c>
      <c r="L6493" s="1">
        <v>2.7113760508634548</v>
      </c>
      <c r="M6493" s="1">
        <v>0.21391294270882119</v>
      </c>
      <c r="N6493" s="1">
        <v>1.6509354380558563</v>
      </c>
      <c r="O6493" s="1">
        <v>0.17913568627450979</v>
      </c>
      <c r="P6493" s="1">
        <v>0.11086142691470757</v>
      </c>
      <c r="Q6493" s="1">
        <v>6.4773772903735987</v>
      </c>
      <c r="R6493" s="2">
        <f t="shared" si="407"/>
        <v>198.18642658322483</v>
      </c>
      <c r="S6493" s="2">
        <f t="shared" si="406"/>
        <v>2.8597276268067939</v>
      </c>
      <c r="T6493" s="2">
        <f t="shared" si="408"/>
        <v>4.7553601179026419</v>
      </c>
      <c r="U6493" s="2">
        <f t="shared" si="409"/>
        <v>205.80151432793429</v>
      </c>
    </row>
    <row r="6494" spans="1:21" x14ac:dyDescent="0.25">
      <c r="A6494">
        <v>7059037</v>
      </c>
      <c r="B6494">
        <v>1</v>
      </c>
      <c r="C6494" s="1">
        <f>2.31805831536051*(10.3/7.3)</f>
        <v>3.2706850203031883</v>
      </c>
      <c r="D6494" s="1">
        <f>4.87912075611578*(10.3/7.3)</f>
        <v>6.8842388750674735</v>
      </c>
      <c r="E6494" s="1">
        <f>16.6508041614427*(10.3/7.3)</f>
        <v>23.493600392172628</v>
      </c>
      <c r="F6494" s="1">
        <f>47.7091017110027*(38.9/42.5)</f>
        <v>43.667860154305991</v>
      </c>
      <c r="G6494" s="1">
        <v>2.5504007485843858</v>
      </c>
      <c r="H6494" s="1">
        <v>8.6126965120943382</v>
      </c>
      <c r="I6494" s="1">
        <v>34.124809319995563</v>
      </c>
      <c r="J6494" s="1">
        <v>2.8692543806310613E-2</v>
      </c>
      <c r="K6494" s="1">
        <v>2.0277937757419187</v>
      </c>
      <c r="L6494" s="1">
        <v>1.9365723927069967</v>
      </c>
      <c r="M6494" s="1">
        <v>0.1557459335317774</v>
      </c>
      <c r="N6494" s="1">
        <v>1.2690275827296795</v>
      </c>
      <c r="O6494" s="1">
        <v>0.13210666666666668</v>
      </c>
      <c r="P6494" s="1">
        <v>8.4502168140061451E-2</v>
      </c>
      <c r="Q6494" s="1">
        <v>4.0759829315275615</v>
      </c>
      <c r="R6494" s="2">
        <f t="shared" si="407"/>
        <v>126.68027395405113</v>
      </c>
      <c r="S6494" s="2">
        <f t="shared" si="406"/>
        <v>2.1409884876882908</v>
      </c>
      <c r="T6494" s="2">
        <f t="shared" si="408"/>
        <v>3.49345257563512</v>
      </c>
      <c r="U6494" s="2">
        <f t="shared" si="409"/>
        <v>132.31471501737457</v>
      </c>
    </row>
    <row r="6495" spans="1:21" x14ac:dyDescent="0.25">
      <c r="A6495">
        <v>7059045</v>
      </c>
      <c r="B6495">
        <v>7</v>
      </c>
      <c r="C6495" s="1">
        <f>2.44721865841079*(10.3/7.3)</f>
        <v>3.4529249563878279</v>
      </c>
      <c r="D6495" s="1">
        <f>5.15447337220726*(10.3/7.3)</f>
        <v>7.272750100511618</v>
      </c>
      <c r="E6495" s="1">
        <f>17.5699506482042*(10.3/7.3)</f>
        <v>24.790478311849832</v>
      </c>
      <c r="F6495" s="1">
        <f>51.3804703756018*(38.9/42.5)</f>
        <v>47.028242296727257</v>
      </c>
      <c r="G6495" s="1">
        <v>2.7786324160308764</v>
      </c>
      <c r="H6495" s="1">
        <v>8.0498096718510421</v>
      </c>
      <c r="I6495" s="1">
        <v>36.930532827542606</v>
      </c>
      <c r="J6495" s="1">
        <v>2.8590706916137371E-2</v>
      </c>
      <c r="K6495" s="1">
        <v>2.0210463573520867</v>
      </c>
      <c r="L6495" s="1">
        <v>1.9179424420371514</v>
      </c>
      <c r="M6495" s="1">
        <v>0.15414800240458632</v>
      </c>
      <c r="N6495" s="1">
        <v>1.2235615306992238</v>
      </c>
      <c r="O6495" s="1">
        <v>0.13113142857142857</v>
      </c>
      <c r="P6495" s="1">
        <v>8.4464464275639375E-2</v>
      </c>
      <c r="Q6495" s="1">
        <v>4.4407367379488933</v>
      </c>
      <c r="R6495" s="2">
        <f t="shared" si="407"/>
        <v>134.74410731884996</v>
      </c>
      <c r="S6495" s="2">
        <f t="shared" si="406"/>
        <v>2.1341015285438636</v>
      </c>
      <c r="T6495" s="2">
        <f t="shared" si="408"/>
        <v>3.4267834037123901</v>
      </c>
      <c r="U6495" s="2">
        <f t="shared" si="409"/>
        <v>140.3049922511062</v>
      </c>
    </row>
    <row r="6496" spans="1:21" x14ac:dyDescent="0.25">
      <c r="A6496">
        <v>7059053</v>
      </c>
      <c r="B6496">
        <v>3</v>
      </c>
      <c r="C6496" s="1">
        <f>1.85789851461369*(10.3/7.3)</f>
        <v>2.6214184521261634</v>
      </c>
      <c r="D6496" s="1">
        <f>4.16727674416541*(10.3/7.3)</f>
        <v>5.8798562280690065</v>
      </c>
      <c r="E6496" s="1">
        <f>14.0750897427269*(10.3/7.3)</f>
        <v>19.859373198642082</v>
      </c>
      <c r="F6496" s="1">
        <f>46.6189393392195*(38.9/42.5)</f>
        <v>42.67004094813263</v>
      </c>
      <c r="G6496" s="1">
        <v>2.6941759695815706</v>
      </c>
      <c r="H6496" s="1">
        <v>6.8626127044495844</v>
      </c>
      <c r="I6496" s="1">
        <v>34.176267315731003</v>
      </c>
      <c r="J6496" s="1">
        <v>2.4296584713832382E-2</v>
      </c>
      <c r="K6496" s="1">
        <v>1.7357410385959786</v>
      </c>
      <c r="L6496" s="1">
        <v>1.578948534912999</v>
      </c>
      <c r="M6496" s="1">
        <v>0.13098509880204937</v>
      </c>
      <c r="N6496" s="1">
        <v>1.0645607542143669</v>
      </c>
      <c r="O6496" s="1">
        <v>0.10967111111111111</v>
      </c>
      <c r="P6496" s="1">
        <v>7.323483037900036E-2</v>
      </c>
      <c r="Q6496" s="1">
        <v>4.3057606819796836</v>
      </c>
      <c r="R6496" s="2">
        <f t="shared" si="407"/>
        <v>119.06950549871172</v>
      </c>
      <c r="S6496" s="2">
        <f t="shared" si="406"/>
        <v>1.8332724536888114</v>
      </c>
      <c r="T6496" s="2">
        <f t="shared" si="408"/>
        <v>2.8841654990405265</v>
      </c>
      <c r="U6496" s="2">
        <f t="shared" si="409"/>
        <v>123.78694345144105</v>
      </c>
    </row>
    <row r="6497" spans="1:21" x14ac:dyDescent="0.25">
      <c r="A6497">
        <v>7059141</v>
      </c>
      <c r="B6497">
        <v>7</v>
      </c>
      <c r="C6497" s="1">
        <f>2.32966567658618*(10.3/7.3)</f>
        <v>3.2870625299777547</v>
      </c>
      <c r="D6497" s="1">
        <f>4.37064900415425*(10.3/7.3)</f>
        <v>6.1668061291491423</v>
      </c>
      <c r="E6497" s="1">
        <f>15.074791253313*(10.3/7.3)</f>
        <v>21.269910946455301</v>
      </c>
      <c r="F6497" s="1">
        <f>37.5666957592221*(38.9/42.5)</f>
        <v>34.384575647852728</v>
      </c>
      <c r="G6497" s="1">
        <v>1.8168099088268961</v>
      </c>
      <c r="H6497" s="1">
        <v>7.5685006345415591</v>
      </c>
      <c r="I6497" s="1">
        <v>26.458887601162726</v>
      </c>
      <c r="J6497" s="1">
        <v>2.4531779436375349E-2</v>
      </c>
      <c r="K6497" s="1">
        <v>1.7089245397561612</v>
      </c>
      <c r="L6497" s="1">
        <v>1.5069083485241104</v>
      </c>
      <c r="M6497" s="1">
        <v>0.11640014053188716</v>
      </c>
      <c r="N6497" s="1">
        <v>1.0420699363840706</v>
      </c>
      <c r="O6497" s="1">
        <v>0.10245333333333331</v>
      </c>
      <c r="P6497" s="1">
        <v>7.1173335909029703E-2</v>
      </c>
      <c r="Q6497" s="1">
        <v>2.9035774798603389</v>
      </c>
      <c r="R6497" s="2">
        <f t="shared" si="407"/>
        <v>103.85613087782646</v>
      </c>
      <c r="S6497" s="2">
        <f t="shared" si="406"/>
        <v>1.8046296551015661</v>
      </c>
      <c r="T6497" s="2">
        <f t="shared" si="408"/>
        <v>2.7678317587734016</v>
      </c>
      <c r="U6497" s="2">
        <f t="shared" si="409"/>
        <v>108.42859229170142</v>
      </c>
    </row>
    <row r="6498" spans="1:21" x14ac:dyDescent="0.25">
      <c r="A6498">
        <v>7070665</v>
      </c>
      <c r="B6498">
        <v>17</v>
      </c>
      <c r="C6498" s="1">
        <f>0.346619302067931*(10.3/7.3)</f>
        <v>0.48906559058899851</v>
      </c>
      <c r="D6498" s="1">
        <f>0.647838139930134*(10.3/7.3)</f>
        <v>0.91407299195621627</v>
      </c>
      <c r="E6498" s="1">
        <f>2.21324016024825*(10.3/7.3)</f>
        <v>3.1227909110351995</v>
      </c>
      <c r="F6498" s="1">
        <f>6.60984701410673*(38.9/42.5)</f>
        <v>6.0499540905588685</v>
      </c>
      <c r="G6498" s="1">
        <v>0.3587059223070232</v>
      </c>
      <c r="H6498" s="1">
        <v>1.5599397805366422</v>
      </c>
      <c r="I6498" s="1">
        <v>4.8648001041539191</v>
      </c>
      <c r="J6498" s="1">
        <v>1.8228803341010111E-2</v>
      </c>
      <c r="K6498" s="1">
        <v>1.764503896186999</v>
      </c>
      <c r="L6498" s="1">
        <v>1.1180936791479328</v>
      </c>
      <c r="M6498" s="1">
        <v>0.15874719171633234</v>
      </c>
      <c r="N6498" s="1">
        <v>0.64729988947007933</v>
      </c>
      <c r="O6498" s="1">
        <v>0.16876549019607845</v>
      </c>
      <c r="P6498" s="1">
        <v>8.3222475642223376E-2</v>
      </c>
      <c r="Q6498" s="1">
        <v>0.57327430505688703</v>
      </c>
      <c r="R6498" s="2">
        <f t="shared" si="407"/>
        <v>17.932603696193755</v>
      </c>
      <c r="S6498" s="2">
        <f t="shared" si="406"/>
        <v>1.8659551751702323</v>
      </c>
      <c r="T6498" s="2">
        <f t="shared" si="408"/>
        <v>2.0929062505304228</v>
      </c>
      <c r="U6498" s="2">
        <f t="shared" si="409"/>
        <v>21.891465121894409</v>
      </c>
    </row>
    <row r="6499" spans="1:21" x14ac:dyDescent="0.25">
      <c r="A6499">
        <v>7070721</v>
      </c>
      <c r="B6499">
        <v>23</v>
      </c>
      <c r="C6499" s="1">
        <f>0.272578790624026*(10.3/7.3)</f>
        <v>0.38459747170239295</v>
      </c>
      <c r="D6499" s="1">
        <f>0.52200242131071*(10.3/7.3)</f>
        <v>0.73652396431511125</v>
      </c>
      <c r="E6499" s="1">
        <f>1.78193122850355*(10.3/7.3)</f>
        <v>2.5142317333680282</v>
      </c>
      <c r="F6499" s="1">
        <f>5.32676117088538*(38.9/42.5)</f>
        <v>4.8755531658221436</v>
      </c>
      <c r="G6499" s="1">
        <v>0.28971966580240582</v>
      </c>
      <c r="H6499" s="1">
        <v>2.1225918406731039</v>
      </c>
      <c r="I6499" s="1">
        <v>3.9058204217404322</v>
      </c>
      <c r="J6499" s="1">
        <v>1.6105356591202137E-2</v>
      </c>
      <c r="K6499" s="1">
        <v>1.6032590611910482</v>
      </c>
      <c r="L6499" s="1">
        <v>0.9997017599357565</v>
      </c>
      <c r="M6499" s="1">
        <v>0.15582101124827705</v>
      </c>
      <c r="N6499" s="1">
        <v>0.71378729309864941</v>
      </c>
      <c r="O6499" s="1">
        <v>0.14089507246376809</v>
      </c>
      <c r="P6499" s="1">
        <v>7.2251396744284713E-2</v>
      </c>
      <c r="Q6499" s="1">
        <v>0.46302229694448471</v>
      </c>
      <c r="R6499" s="2">
        <f t="shared" si="407"/>
        <v>15.292060560368101</v>
      </c>
      <c r="S6499" s="2">
        <f t="shared" si="406"/>
        <v>1.6916158145265352</v>
      </c>
      <c r="T6499" s="2">
        <f t="shared" si="408"/>
        <v>2.0102051367464506</v>
      </c>
      <c r="U6499" s="2">
        <f t="shared" si="409"/>
        <v>18.993881511641085</v>
      </c>
    </row>
    <row r="6500" spans="1:21" x14ac:dyDescent="0.25">
      <c r="A6500">
        <v>7070729</v>
      </c>
      <c r="B6500">
        <v>7</v>
      </c>
      <c r="C6500" s="1">
        <f>0.298058828649595*(10.3/7.3)</f>
        <v>0.42054875823162058</v>
      </c>
      <c r="D6500" s="1">
        <f>0.602422506391784*(10.3/7.3)</f>
        <v>0.84999339942950358</v>
      </c>
      <c r="E6500" s="1">
        <f>2.05032423419838*(10.3/7.3)</f>
        <v>2.892923234553872</v>
      </c>
      <c r="F6500" s="1">
        <f>6.27848932084*(38.9/42.5)</f>
        <v>5.7466643430747268</v>
      </c>
      <c r="G6500" s="1">
        <v>0.34714511781921498</v>
      </c>
      <c r="H6500" s="1">
        <v>2.0593116677067997</v>
      </c>
      <c r="I6500" s="1">
        <v>4.5895303322742667</v>
      </c>
      <c r="J6500" s="1">
        <v>1.6741257338122421E-2</v>
      </c>
      <c r="K6500" s="1">
        <v>1.6409087680942744</v>
      </c>
      <c r="L6500" s="1">
        <v>1.0569522785946754</v>
      </c>
      <c r="M6500" s="1">
        <v>0.16435928396846083</v>
      </c>
      <c r="N6500" s="1">
        <v>1.0089208776684844</v>
      </c>
      <c r="O6500" s="1">
        <v>0.15059809523809523</v>
      </c>
      <c r="P6500" s="1">
        <v>7.534542682048874E-2</v>
      </c>
      <c r="Q6500" s="1">
        <v>0.55479813350102902</v>
      </c>
      <c r="R6500" s="2">
        <f t="shared" si="407"/>
        <v>17.460914986591035</v>
      </c>
      <c r="S6500" s="2">
        <f t="shared" si="406"/>
        <v>1.7329954522528856</v>
      </c>
      <c r="T6500" s="2">
        <f t="shared" si="408"/>
        <v>2.3808305354697161</v>
      </c>
      <c r="U6500" s="2">
        <f t="shared" si="409"/>
        <v>21.574740974313638</v>
      </c>
    </row>
    <row r="6501" spans="1:21" x14ac:dyDescent="0.25">
      <c r="A6501">
        <v>7070737</v>
      </c>
      <c r="B6501">
        <v>18</v>
      </c>
      <c r="C6501" s="1">
        <f>0.305155693215973*(10.3/7.3)</f>
        <v>0.43056214248281055</v>
      </c>
      <c r="D6501" s="1">
        <f>0.637030051995289*(10.3/7.3)</f>
        <v>0.89882322404814685</v>
      </c>
      <c r="E6501" s="1">
        <f>2.16365566249748*(10.3/7.3)</f>
        <v>3.052829222427953</v>
      </c>
      <c r="F6501" s="1">
        <f>6.75418287813654*(38.9/42.5)</f>
        <v>6.182063857870852</v>
      </c>
      <c r="G6501" s="1">
        <v>0.37789874318235944</v>
      </c>
      <c r="H6501" s="1">
        <v>2.3524612359553219</v>
      </c>
      <c r="I6501" s="1">
        <v>4.9349323663469677</v>
      </c>
      <c r="J6501" s="1">
        <v>1.6673904897531653E-2</v>
      </c>
      <c r="K6501" s="1">
        <v>1.6086092393438445</v>
      </c>
      <c r="L6501" s="1">
        <v>1.0578705626897229</v>
      </c>
      <c r="M6501" s="1">
        <v>0.16351385059012094</v>
      </c>
      <c r="N6501" s="1">
        <v>1.0008833665627861</v>
      </c>
      <c r="O6501" s="1">
        <v>0.14865481481481482</v>
      </c>
      <c r="P6501" s="1">
        <v>7.5853473875866551E-2</v>
      </c>
      <c r="Q6501" s="1">
        <v>0.60394776307683073</v>
      </c>
      <c r="R6501" s="2">
        <f t="shared" si="407"/>
        <v>18.833518555391244</v>
      </c>
      <c r="S6501" s="2">
        <f t="shared" si="406"/>
        <v>1.7011366181172427</v>
      </c>
      <c r="T6501" s="2">
        <f t="shared" si="408"/>
        <v>2.3709225946574448</v>
      </c>
      <c r="U6501" s="2">
        <f t="shared" si="409"/>
        <v>22.90557776816593</v>
      </c>
    </row>
    <row r="6502" spans="1:21" x14ac:dyDescent="0.25">
      <c r="A6502">
        <v>7070929</v>
      </c>
      <c r="B6502">
        <v>35</v>
      </c>
      <c r="C6502" s="1">
        <f>0.771013279531766*(10.3/7.3)</f>
        <v>1.0878680519420807</v>
      </c>
      <c r="D6502" s="1">
        <f>1.77971109412074*(10.3/7.3)</f>
        <v>2.5110992149922775</v>
      </c>
      <c r="E6502" s="1">
        <f>5.98705856875525*(10.3/7.3)</f>
        <v>8.4474935970108262</v>
      </c>
      <c r="F6502" s="1">
        <f>20.845260135474*(38.9/42.5)</f>
        <v>19.079543982822063</v>
      </c>
      <c r="G6502" s="1">
        <v>1.2331070361362795</v>
      </c>
      <c r="H6502" s="1">
        <v>7.2451646132662546</v>
      </c>
      <c r="I6502" s="1">
        <v>15.390856749876994</v>
      </c>
      <c r="J6502" s="1">
        <v>1.6952690119624955E-2</v>
      </c>
      <c r="K6502" s="1">
        <v>1.6268518832443761</v>
      </c>
      <c r="L6502" s="1">
        <v>1.3366708826522025</v>
      </c>
      <c r="M6502" s="1">
        <v>0.16626688199643549</v>
      </c>
      <c r="N6502" s="1">
        <v>0.66308039194932811</v>
      </c>
      <c r="O6502" s="1">
        <v>0.13195733333333337</v>
      </c>
      <c r="P6502" s="1">
        <v>7.7890088695127549E-2</v>
      </c>
      <c r="Q6502" s="1">
        <v>1.9707190075237366</v>
      </c>
      <c r="R6502" s="2">
        <f t="shared" si="407"/>
        <v>56.96585225357051</v>
      </c>
      <c r="S6502" s="2">
        <f t="shared" si="406"/>
        <v>1.7216946620591285</v>
      </c>
      <c r="T6502" s="2">
        <f t="shared" si="408"/>
        <v>2.2979754899312992</v>
      </c>
      <c r="U6502" s="2">
        <f t="shared" si="409"/>
        <v>60.985522405560936</v>
      </c>
    </row>
    <row r="6503" spans="1:21" x14ac:dyDescent="0.25">
      <c r="A6503">
        <v>7070937</v>
      </c>
      <c r="B6503">
        <v>39</v>
      </c>
      <c r="C6503" s="1">
        <f>0.856541849359422*(10.3/7.3)</f>
        <v>1.2085453490961704</v>
      </c>
      <c r="D6503" s="1">
        <f>1.81205283253434*(10.3/7.3)</f>
        <v>2.556732078781323</v>
      </c>
      <c r="E6503" s="1">
        <f>6.13368550362028*(10.3/7.3)</f>
        <v>8.6543781763409449</v>
      </c>
      <c r="F6503" s="1">
        <f>20.1101891693213*(38.9/42.5)</f>
        <v>18.406737851449407</v>
      </c>
      <c r="G6503" s="1">
        <v>1.1531702613463239</v>
      </c>
      <c r="H6503" s="1">
        <v>6.6378123334690828</v>
      </c>
      <c r="I6503" s="1">
        <v>14.822548648356493</v>
      </c>
      <c r="J6503" s="1">
        <v>1.7479605877620222E-2</v>
      </c>
      <c r="K6503" s="1">
        <v>1.6634165183772303</v>
      </c>
      <c r="L6503" s="1">
        <v>1.382384230857711</v>
      </c>
      <c r="M6503" s="1">
        <v>0.16856633919118497</v>
      </c>
      <c r="N6503" s="1">
        <v>0.69441436190763173</v>
      </c>
      <c r="O6503" s="1">
        <v>0.13371623931623933</v>
      </c>
      <c r="P6503" s="1">
        <v>7.9263901586566474E-2</v>
      </c>
      <c r="Q6503" s="1">
        <v>1.8429661711014331</v>
      </c>
      <c r="R6503" s="2">
        <f t="shared" si="407"/>
        <v>55.282890869941177</v>
      </c>
      <c r="S6503" s="2">
        <f t="shared" si="406"/>
        <v>1.760160025841417</v>
      </c>
      <c r="T6503" s="2">
        <f t="shared" si="408"/>
        <v>2.3790811712727669</v>
      </c>
      <c r="U6503" s="2">
        <f t="shared" si="409"/>
        <v>59.422132067055358</v>
      </c>
    </row>
    <row r="6504" spans="1:21" x14ac:dyDescent="0.25">
      <c r="A6504">
        <v>7070945</v>
      </c>
      <c r="B6504">
        <v>63</v>
      </c>
      <c r="C6504" s="1">
        <f>0.754421580838611*(10.3/7.3)</f>
        <v>1.064457846936671</v>
      </c>
      <c r="D6504" s="1">
        <f>1.75638533846299*(10.3/7.3)</f>
        <v>2.4781875323518925</v>
      </c>
      <c r="E6504" s="1">
        <f>5.90460620658219*(10.3/7.3)</f>
        <v>8.331156702437891</v>
      </c>
      <c r="F6504" s="1">
        <f>20.6998462396157*(38.9/42.5)</f>
        <v>18.946447499318811</v>
      </c>
      <c r="G6504" s="1">
        <v>1.2285287780329315</v>
      </c>
      <c r="H6504" s="1">
        <v>7.3382166274362479</v>
      </c>
      <c r="I6504" s="1">
        <v>15.290208275292695</v>
      </c>
      <c r="J6504" s="1">
        <v>1.6984534353536269E-2</v>
      </c>
      <c r="K6504" s="1">
        <v>1.6244942665799746</v>
      </c>
      <c r="L6504" s="1">
        <v>1.3555704650636666</v>
      </c>
      <c r="M6504" s="1">
        <v>0.16348293788879031</v>
      </c>
      <c r="N6504" s="1">
        <v>0.71755533180618658</v>
      </c>
      <c r="O6504" s="1">
        <v>0.13027470899470894</v>
      </c>
      <c r="P6504" s="1">
        <v>7.7575335534062109E-2</v>
      </c>
      <c r="Q6504" s="1">
        <v>1.9634021566736366</v>
      </c>
      <c r="R6504" s="2">
        <f t="shared" si="407"/>
        <v>56.640605418480774</v>
      </c>
      <c r="S6504" s="2">
        <f t="shared" si="406"/>
        <v>1.7190541364675729</v>
      </c>
      <c r="T6504" s="2">
        <f t="shared" si="408"/>
        <v>2.3668834437533528</v>
      </c>
      <c r="U6504" s="2">
        <f t="shared" si="409"/>
        <v>60.726542998701696</v>
      </c>
    </row>
    <row r="6505" spans="1:21" x14ac:dyDescent="0.25">
      <c r="A6505">
        <v>7071209</v>
      </c>
      <c r="B6505">
        <v>53</v>
      </c>
      <c r="C6505" s="1">
        <f>2.76025991508417*(10.3/7.3)</f>
        <v>3.8946133048447842</v>
      </c>
      <c r="D6505" s="1">
        <f>6.50934300533056*(10.3/7.3)</f>
        <v>9.1844154732746333</v>
      </c>
      <c r="E6505" s="1">
        <f>21.9469592896239*(10.3/7.3)</f>
        <v>30.966257627825435</v>
      </c>
      <c r="F6505" s="1">
        <f>73.2596984268524*(38.9/42.5)</f>
        <v>67.054171030695443</v>
      </c>
      <c r="G6505" s="1">
        <v>4.2592650058097234</v>
      </c>
      <c r="H6505" s="1">
        <v>13.640804605951908</v>
      </c>
      <c r="I6505" s="1">
        <v>53.469158827003454</v>
      </c>
      <c r="J6505" s="1">
        <v>3.7025075139212001E-2</v>
      </c>
      <c r="K6505" s="1">
        <v>2.5182820619870498</v>
      </c>
      <c r="L6505" s="1">
        <v>2.5438691785139369</v>
      </c>
      <c r="M6505" s="1">
        <v>0.20644768461923604</v>
      </c>
      <c r="N6505" s="1">
        <v>1.4976779823888766</v>
      </c>
      <c r="O6505" s="1">
        <v>0.17451572327044021</v>
      </c>
      <c r="P6505" s="1">
        <v>0.10456080972760125</v>
      </c>
      <c r="Q6505" s="1">
        <v>6.8070445298328979</v>
      </c>
      <c r="R6505" s="2">
        <f t="shared" si="407"/>
        <v>189.27573040523825</v>
      </c>
      <c r="S6505" s="2">
        <f t="shared" si="406"/>
        <v>2.6598679468538631</v>
      </c>
      <c r="T6505" s="2">
        <f t="shared" si="408"/>
        <v>4.4225105687924904</v>
      </c>
      <c r="U6505" s="2">
        <f t="shared" si="409"/>
        <v>196.3581089208846</v>
      </c>
    </row>
    <row r="6506" spans="1:21" x14ac:dyDescent="0.25">
      <c r="A6506">
        <v>7071217</v>
      </c>
      <c r="B6506">
        <v>63</v>
      </c>
      <c r="C6506" s="1">
        <f>3.2006223824099*(10.3/7.3)</f>
        <v>4.5159466491536904</v>
      </c>
      <c r="D6506" s="1">
        <f>7.2445883380863*(10.3/7.3)</f>
        <v>10.221816422231361</v>
      </c>
      <c r="E6506" s="1">
        <f>24.5258349078686*(10.3/7.3)</f>
        <v>34.604945143978988</v>
      </c>
      <c r="F6506" s="1">
        <f>77.9853809835326*(38.9/42.5)</f>
        <v>71.379560476692205</v>
      </c>
      <c r="G6506" s="1">
        <v>4.4234127693860152</v>
      </c>
      <c r="H6506" s="1">
        <v>11.416573585872323</v>
      </c>
      <c r="I6506" s="1">
        <v>56.588157198251196</v>
      </c>
      <c r="J6506" s="1">
        <v>4.0114709501217739E-2</v>
      </c>
      <c r="K6506" s="1">
        <v>2.7240190292056048</v>
      </c>
      <c r="L6506" s="1">
        <v>2.7806687796757732</v>
      </c>
      <c r="M6506" s="1">
        <v>0.22371906672998373</v>
      </c>
      <c r="N6506" s="1">
        <v>1.6388020509224184</v>
      </c>
      <c r="O6506" s="1">
        <v>0.1877511111111112</v>
      </c>
      <c r="P6506" s="1">
        <v>0.1124273249598212</v>
      </c>
      <c r="Q6506" s="1">
        <v>7.0693811382881631</v>
      </c>
      <c r="R6506" s="2">
        <f t="shared" si="407"/>
        <v>200.21979338385393</v>
      </c>
      <c r="S6506" s="2">
        <f t="shared" si="406"/>
        <v>2.8765610636666437</v>
      </c>
      <c r="T6506" s="2">
        <f t="shared" si="408"/>
        <v>4.8309410084392868</v>
      </c>
      <c r="U6506" s="2">
        <f t="shared" si="409"/>
        <v>207.92729545595986</v>
      </c>
    </row>
    <row r="6507" spans="1:21" x14ac:dyDescent="0.25">
      <c r="A6507">
        <v>7071225</v>
      </c>
      <c r="B6507">
        <v>14</v>
      </c>
      <c r="C6507" s="1">
        <f>1.69382125650386*(10.3/7.3)</f>
        <v>2.3899121838342077</v>
      </c>
      <c r="D6507" s="1">
        <f>3.82259799211379*(10.3/7.3)</f>
        <v>5.3935286738043882</v>
      </c>
      <c r="E6507" s="1">
        <f>12.9258528266187*(10.3/7.3)</f>
        <v>18.237847138927702</v>
      </c>
      <c r="F6507" s="1">
        <f>41.9348601755695*(38.9/42.5)</f>
        <v>38.382730843050652</v>
      </c>
      <c r="G6507" s="1">
        <v>2.4011075020478638</v>
      </c>
      <c r="H6507" s="1">
        <v>9.2605202412746017</v>
      </c>
      <c r="I6507" s="1">
        <v>30.579110604064134</v>
      </c>
      <c r="J6507" s="1">
        <v>2.5181595783195069E-2</v>
      </c>
      <c r="K6507" s="1">
        <v>1.8566448874802777</v>
      </c>
      <c r="L6507" s="1">
        <v>1.7588709971768328</v>
      </c>
      <c r="M6507" s="1">
        <v>0.14841903831910619</v>
      </c>
      <c r="N6507" s="1">
        <v>1.2128615973507493</v>
      </c>
      <c r="O6507" s="1">
        <v>0.12520000000000001</v>
      </c>
      <c r="P6507" s="1">
        <v>7.9235135666310491E-2</v>
      </c>
      <c r="Q6507" s="1">
        <v>3.8373864187979612</v>
      </c>
      <c r="R6507" s="2">
        <f t="shared" si="407"/>
        <v>110.48214360580153</v>
      </c>
      <c r="S6507" s="2">
        <f t="shared" si="406"/>
        <v>1.9610616189297834</v>
      </c>
      <c r="T6507" s="2">
        <f t="shared" si="408"/>
        <v>3.2453516328466883</v>
      </c>
      <c r="U6507" s="2">
        <f t="shared" si="409"/>
        <v>115.68855685757801</v>
      </c>
    </row>
    <row r="6508" spans="1:21" x14ac:dyDescent="0.25">
      <c r="A6508">
        <v>7071233</v>
      </c>
      <c r="B6508">
        <v>64</v>
      </c>
      <c r="C6508" s="1">
        <f>1.45757998339651*(10.3/7.3)</f>
        <v>2.0565854560252115</v>
      </c>
      <c r="D6508" s="1">
        <f>3.06717088818582*(10.3/7.3)</f>
        <v>4.3276520751115024</v>
      </c>
      <c r="E6508" s="1">
        <f>10.4339829005848*(10.3/7.3)</f>
        <v>14.721921078907361</v>
      </c>
      <c r="F6508" s="1">
        <f>31.606620711922*(38.9/42.5)</f>
        <v>28.92935401632392</v>
      </c>
      <c r="G6508" s="1">
        <v>1.7420674865041335</v>
      </c>
      <c r="H6508" s="1">
        <v>5.7345896360144524</v>
      </c>
      <c r="I6508" s="1">
        <v>22.910575003047679</v>
      </c>
      <c r="J6508" s="1">
        <v>2.3021767185023089E-2</v>
      </c>
      <c r="K6508" s="1">
        <v>1.7261305338126176</v>
      </c>
      <c r="L6508" s="1">
        <v>1.5904878160788087</v>
      </c>
      <c r="M6508" s="1">
        <v>0.1379116583037783</v>
      </c>
      <c r="N6508" s="1">
        <v>1.0022769534755807</v>
      </c>
      <c r="O6508" s="1">
        <v>0.11405999999999999</v>
      </c>
      <c r="P6508" s="1">
        <v>7.451042102129142E-2</v>
      </c>
      <c r="Q6508" s="1">
        <v>2.7841261199837759</v>
      </c>
      <c r="R6508" s="2">
        <f t="shared" si="407"/>
        <v>83.206870871918042</v>
      </c>
      <c r="S6508" s="2">
        <f t="shared" si="406"/>
        <v>1.8236627220189321</v>
      </c>
      <c r="T6508" s="2">
        <f t="shared" si="408"/>
        <v>2.8447364278581673</v>
      </c>
      <c r="U6508" s="2">
        <f t="shared" si="409"/>
        <v>87.875270021795146</v>
      </c>
    </row>
    <row r="6509" spans="1:21" x14ac:dyDescent="0.25">
      <c r="A6509">
        <v>7071241</v>
      </c>
      <c r="B6509">
        <v>65</v>
      </c>
      <c r="C6509" s="1">
        <f>3.34962796731036*(10.3/7.3)</f>
        <v>4.7261874059310518</v>
      </c>
      <c r="D6509" s="1">
        <f>7.15733518322693*(10.3/7.3)</f>
        <v>10.098705806470877</v>
      </c>
      <c r="E6509" s="1">
        <f>24.3604677363424*(10.3/7.3)</f>
        <v>34.371618860866704</v>
      </c>
      <c r="F6509" s="1">
        <f>72.6311765445724*(38.9/42.5)</f>
        <v>66.478888649032157</v>
      </c>
      <c r="G6509" s="1">
        <v>3.9733297497783373</v>
      </c>
      <c r="H6509" s="1">
        <v>10.058033701883456</v>
      </c>
      <c r="I6509" s="1">
        <v>52.334463277855555</v>
      </c>
      <c r="J6509" s="1">
        <v>3.8982900438085402E-2</v>
      </c>
      <c r="K6509" s="1">
        <v>2.6559372914494754</v>
      </c>
      <c r="L6509" s="1">
        <v>2.6828245242014561</v>
      </c>
      <c r="M6509" s="1">
        <v>0.21235542708239322</v>
      </c>
      <c r="N6509" s="1">
        <v>1.585719315604412</v>
      </c>
      <c r="O6509" s="1">
        <v>0.17967671794871792</v>
      </c>
      <c r="P6509" s="1">
        <v>0.10944221698394703</v>
      </c>
      <c r="Q6509" s="1">
        <v>6.3500703763580777</v>
      </c>
      <c r="R6509" s="2">
        <f t="shared" si="407"/>
        <v>188.39129782817622</v>
      </c>
      <c r="S6509" s="2">
        <f t="shared" si="406"/>
        <v>2.8043624088715076</v>
      </c>
      <c r="T6509" s="2">
        <f t="shared" si="408"/>
        <v>4.6605759848369797</v>
      </c>
      <c r="U6509" s="2">
        <f t="shared" si="409"/>
        <v>195.8562362218847</v>
      </c>
    </row>
    <row r="6510" spans="1:21" x14ac:dyDescent="0.25">
      <c r="A6510">
        <v>7071249</v>
      </c>
      <c r="B6510">
        <v>56</v>
      </c>
      <c r="C6510" s="1">
        <f>2.93548173938004*(10.3/7.3)</f>
        <v>4.1418440980293783</v>
      </c>
      <c r="D6510" s="1">
        <f>6.17357976743754*(10.3/7.3)</f>
        <v>8.7106673430968069</v>
      </c>
      <c r="E6510" s="1">
        <f>21.0459804697378*(10.3/7.3)</f>
        <v>29.695013539493011</v>
      </c>
      <c r="F6510" s="1">
        <f>61.4757845671344*(38.9/42.5)</f>
        <v>56.268423992035935</v>
      </c>
      <c r="G6510" s="1">
        <v>3.3221579316556284</v>
      </c>
      <c r="H6510" s="1">
        <v>8.8461529893137421</v>
      </c>
      <c r="I6510" s="1">
        <v>44.184787917042335</v>
      </c>
      <c r="J6510" s="1">
        <v>3.4830944213092303E-2</v>
      </c>
      <c r="K6510" s="1">
        <v>2.4021002725123259</v>
      </c>
      <c r="L6510" s="1">
        <v>2.3810893516033405</v>
      </c>
      <c r="M6510" s="1">
        <v>0.18946755307440416</v>
      </c>
      <c r="N6510" s="1">
        <v>1.4362364743418787</v>
      </c>
      <c r="O6510" s="1">
        <v>0.16081428571428572</v>
      </c>
      <c r="P6510" s="1">
        <v>9.9388849270081417E-2</v>
      </c>
      <c r="Q6510" s="1">
        <v>5.3093848222806894</v>
      </c>
      <c r="R6510" s="2">
        <f t="shared" si="407"/>
        <v>160.47843263294752</v>
      </c>
      <c r="S6510" s="2">
        <f t="shared" si="406"/>
        <v>2.5363200659955001</v>
      </c>
      <c r="T6510" s="2">
        <f t="shared" si="408"/>
        <v>4.1676076647339082</v>
      </c>
      <c r="U6510" s="2">
        <f t="shared" si="409"/>
        <v>167.18236036367693</v>
      </c>
    </row>
    <row r="6511" spans="1:21" x14ac:dyDescent="0.25">
      <c r="A6511">
        <v>7071257</v>
      </c>
      <c r="B6511">
        <v>65</v>
      </c>
      <c r="C6511" s="1">
        <f>3.53008479360527*(10.3/7.3)</f>
        <v>4.9808045717992222</v>
      </c>
      <c r="D6511" s="1">
        <f>7.39295245356912*(10.3/7.3)</f>
        <v>10.43115209202219</v>
      </c>
      <c r="E6511" s="1">
        <f>25.2291131345851*(10.3/7.3)</f>
        <v>35.597241820031073</v>
      </c>
      <c r="F6511" s="1">
        <f>72.4950868205633*(38.9/42.5)</f>
        <v>66.3543265251744</v>
      </c>
      <c r="G6511" s="1">
        <v>3.8804288377493847</v>
      </c>
      <c r="H6511" s="1">
        <v>9.7272412479418069</v>
      </c>
      <c r="I6511" s="1">
        <v>51.930846056806317</v>
      </c>
      <c r="J6511" s="1">
        <v>3.9136439134038879E-2</v>
      </c>
      <c r="K6511" s="1">
        <v>2.6457850478129137</v>
      </c>
      <c r="L6511" s="1">
        <v>2.64612990474714</v>
      </c>
      <c r="M6511" s="1">
        <v>0.20970018827293405</v>
      </c>
      <c r="N6511" s="1">
        <v>1.5887466627332012</v>
      </c>
      <c r="O6511" s="1">
        <v>0.17611979487179477</v>
      </c>
      <c r="P6511" s="1">
        <v>0.10838247955623162</v>
      </c>
      <c r="Q6511" s="1">
        <v>6.2015985991428595</v>
      </c>
      <c r="R6511" s="2">
        <f t="shared" si="407"/>
        <v>189.10363975066724</v>
      </c>
      <c r="S6511" s="2">
        <f t="shared" si="406"/>
        <v>2.7933039665031845</v>
      </c>
      <c r="T6511" s="2">
        <f t="shared" si="408"/>
        <v>4.6206965506250697</v>
      </c>
      <c r="U6511" s="2">
        <f t="shared" si="409"/>
        <v>196.51764026779549</v>
      </c>
    </row>
    <row r="6512" spans="1:21" x14ac:dyDescent="0.25">
      <c r="A6512">
        <v>7071265</v>
      </c>
      <c r="B6512">
        <v>56</v>
      </c>
      <c r="C6512" s="1">
        <f>3.44964801249628*(10.3/7.3)</f>
        <v>4.867311579275567</v>
      </c>
      <c r="D6512" s="1">
        <f>7.24576887993433*(10.3/7.3)</f>
        <v>10.223482118263512</v>
      </c>
      <c r="E6512" s="1">
        <f>24.7392184966474*(10.3/7.3)</f>
        <v>34.90602061855725</v>
      </c>
      <c r="F6512" s="1">
        <f>70.3493831104537*(38.9/42.5)</f>
        <v>64.390376541097652</v>
      </c>
      <c r="G6512" s="1">
        <v>3.7437312508988376</v>
      </c>
      <c r="H6512" s="1">
        <v>10.029750935997537</v>
      </c>
      <c r="I6512" s="1">
        <v>50.24062852491393</v>
      </c>
      <c r="J6512" s="1">
        <v>3.7988797066410743E-2</v>
      </c>
      <c r="K6512" s="1">
        <v>2.5551292389635831</v>
      </c>
      <c r="L6512" s="1">
        <v>2.5285117214236723</v>
      </c>
      <c r="M6512" s="1">
        <v>0.19949271953325967</v>
      </c>
      <c r="N6512" s="1">
        <v>1.5638145606546925</v>
      </c>
      <c r="O6512" s="1">
        <v>0.1674428571428572</v>
      </c>
      <c r="P6512" s="1">
        <v>0.10444439112921686</v>
      </c>
      <c r="Q6512" s="1">
        <v>5.9831321361396999</v>
      </c>
      <c r="R6512" s="2">
        <f t="shared" si="407"/>
        <v>184.38443370514395</v>
      </c>
      <c r="S6512" s="2">
        <f t="shared" si="406"/>
        <v>2.6975624271592107</v>
      </c>
      <c r="T6512" s="2">
        <f t="shared" si="408"/>
        <v>4.4592618587544823</v>
      </c>
      <c r="U6512" s="2">
        <f t="shared" si="409"/>
        <v>191.54125799105762</v>
      </c>
    </row>
    <row r="6513" spans="1:21" x14ac:dyDescent="0.25">
      <c r="A6513">
        <v>7071281</v>
      </c>
      <c r="B6513">
        <v>17</v>
      </c>
      <c r="C6513" s="1">
        <f>1.89900847678624*(10.3/7.3)</f>
        <v>2.6794229193011376</v>
      </c>
      <c r="D6513" s="1">
        <f>4.01156677534224*(10.3/7.3)</f>
        <v>5.6601558610993248</v>
      </c>
      <c r="E6513" s="1">
        <f>13.6552134239975*(10.3/7.3)</f>
        <v>19.266944968106021</v>
      </c>
      <c r="F6513" s="1">
        <f>40.8494015062782*(38.9/42.5)</f>
        <v>37.389216908099364</v>
      </c>
      <c r="G6513" s="1">
        <v>2.2370995207397746</v>
      </c>
      <c r="H6513" s="1">
        <v>7.0366923967308344</v>
      </c>
      <c r="I6513" s="1">
        <v>29.507236303197729</v>
      </c>
      <c r="J6513" s="1">
        <v>2.4791791552321873E-2</v>
      </c>
      <c r="K6513" s="1">
        <v>1.7795054462214512</v>
      </c>
      <c r="L6513" s="1">
        <v>1.6220891403095492</v>
      </c>
      <c r="M6513" s="1">
        <v>0.13462511776027053</v>
      </c>
      <c r="N6513" s="1">
        <v>1.078822544971912</v>
      </c>
      <c r="O6513" s="1">
        <v>0.11242039215686274</v>
      </c>
      <c r="P6513" s="1">
        <v>7.5008068764733801E-2</v>
      </c>
      <c r="Q6513" s="1">
        <v>3.5752732066617439</v>
      </c>
      <c r="R6513" s="2">
        <f t="shared" si="407"/>
        <v>107.35204208393593</v>
      </c>
      <c r="S6513" s="2">
        <f t="shared" si="406"/>
        <v>1.879305306538507</v>
      </c>
      <c r="T6513" s="2">
        <f t="shared" si="408"/>
        <v>2.9479571951985948</v>
      </c>
      <c r="U6513" s="2">
        <f t="shared" si="409"/>
        <v>112.17930458567304</v>
      </c>
    </row>
    <row r="6514" spans="1:21" x14ac:dyDescent="0.25">
      <c r="A6514">
        <v>7071377</v>
      </c>
      <c r="B6514">
        <v>9</v>
      </c>
      <c r="C6514" s="1">
        <f>2.85402632332789*(10.3/7.3)</f>
        <v>4.026913853462637</v>
      </c>
      <c r="D6514" s="1">
        <f>5.31090854993604*(10.3/7.3)</f>
        <v>7.4934737074440037</v>
      </c>
      <c r="E6514" s="1">
        <f>18.3377318220418*(10.3/7.3)</f>
        <v>25.873785995483633</v>
      </c>
      <c r="F6514" s="1">
        <f>44.9173593489236*(38.9/42.5)</f>
        <v>41.112594792308904</v>
      </c>
      <c r="G6514" s="1">
        <v>2.1426799726222208</v>
      </c>
      <c r="H6514" s="1">
        <v>7.3993200013984328</v>
      </c>
      <c r="I6514" s="1">
        <v>31.542148566061385</v>
      </c>
      <c r="J6514" s="1">
        <v>2.6923599306634689E-2</v>
      </c>
      <c r="K6514" s="1">
        <v>1.8578913083745572</v>
      </c>
      <c r="L6514" s="1">
        <v>1.6758813415221374</v>
      </c>
      <c r="M6514" s="1">
        <v>0.12475556907817127</v>
      </c>
      <c r="N6514" s="1">
        <v>1.1229723371463762</v>
      </c>
      <c r="O6514" s="1">
        <v>0.11225481481481481</v>
      </c>
      <c r="P6514" s="1">
        <v>7.66013512648379E-2</v>
      </c>
      <c r="Q6514" s="1">
        <v>3.4243743854693065</v>
      </c>
      <c r="R6514" s="2">
        <f t="shared" si="407"/>
        <v>123.01529127425053</v>
      </c>
      <c r="S6514" s="2">
        <f t="shared" si="406"/>
        <v>1.9614162589460298</v>
      </c>
      <c r="T6514" s="2">
        <f t="shared" si="408"/>
        <v>3.0358640625614997</v>
      </c>
      <c r="U6514" s="2">
        <f t="shared" si="409"/>
        <v>128.01257159575806</v>
      </c>
    </row>
    <row r="6515" spans="1:21" x14ac:dyDescent="0.25">
      <c r="A6515">
        <v>7082901</v>
      </c>
      <c r="B6515">
        <v>29</v>
      </c>
      <c r="C6515" s="1">
        <f>0.399788834588394*(10.3/7.3)</f>
        <v>0.56408561592609008</v>
      </c>
      <c r="D6515" s="1">
        <f>0.766085774423354*(10.3/7.3)</f>
        <v>1.0809155447343222</v>
      </c>
      <c r="E6515" s="1">
        <f>2.61323915626602*(10.3/7.3)</f>
        <v>3.6871730561013742</v>
      </c>
      <c r="F6515" s="1">
        <f>7.90743017018252*(38.9/42.5)</f>
        <v>7.2376243204729436</v>
      </c>
      <c r="G6515" s="1">
        <v>0.43294248675830022</v>
      </c>
      <c r="H6515" s="1">
        <v>1.8340262085581274</v>
      </c>
      <c r="I6515" s="1">
        <v>5.812770817059147</v>
      </c>
      <c r="J6515" s="1">
        <v>1.9691099146170135E-2</v>
      </c>
      <c r="K6515" s="1">
        <v>1.8570121483435</v>
      </c>
      <c r="L6515" s="1">
        <v>1.1891247340138333</v>
      </c>
      <c r="M6515" s="1">
        <v>0.16438635515820993</v>
      </c>
      <c r="N6515" s="1">
        <v>0.71560106294254477</v>
      </c>
      <c r="O6515" s="1">
        <v>0.17698022988505746</v>
      </c>
      <c r="P6515" s="1">
        <v>8.6925052723551513E-2</v>
      </c>
      <c r="Q6515" s="1">
        <v>0.69191721628038916</v>
      </c>
      <c r="R6515" s="2">
        <f t="shared" si="407"/>
        <v>21.341455265890691</v>
      </c>
      <c r="S6515" s="2">
        <f t="shared" si="406"/>
        <v>1.9636283002132215</v>
      </c>
      <c r="T6515" s="2">
        <f t="shared" si="408"/>
        <v>2.2460923819996457</v>
      </c>
      <c r="U6515" s="2">
        <f t="shared" si="409"/>
        <v>25.551175948103559</v>
      </c>
    </row>
    <row r="6516" spans="1:21" x14ac:dyDescent="0.25">
      <c r="A6516">
        <v>7082949</v>
      </c>
      <c r="B6516">
        <v>29</v>
      </c>
      <c r="C6516" s="1">
        <f>0.289604839797475*(10.3/7.3)</f>
        <v>0.40862052738547905</v>
      </c>
      <c r="D6516" s="1">
        <f>0.556038207580018*(10.3/7.3)</f>
        <v>0.78454706001016306</v>
      </c>
      <c r="E6516" s="1">
        <f>1.89760772738531*(10.3/7.3)</f>
        <v>2.6774465194614683</v>
      </c>
      <c r="F6516" s="1">
        <f>5.69126600176405*(38.9/42.5)</f>
        <v>5.2091822933793264</v>
      </c>
      <c r="G6516" s="1">
        <v>0.31015637612439478</v>
      </c>
      <c r="H6516" s="1">
        <v>2.5401640016976281</v>
      </c>
      <c r="I6516" s="1">
        <v>4.1743590403310389</v>
      </c>
      <c r="J6516" s="1">
        <v>1.6286586559171611E-2</v>
      </c>
      <c r="K6516" s="1">
        <v>1.5840077428784893</v>
      </c>
      <c r="L6516" s="1">
        <v>0.99839435849688551</v>
      </c>
      <c r="M6516" s="1">
        <v>0.1542762460603477</v>
      </c>
      <c r="N6516" s="1">
        <v>0.71256058084815277</v>
      </c>
      <c r="O6516" s="1">
        <v>0.14061241379310346</v>
      </c>
      <c r="P6516" s="1">
        <v>7.2012557371048974E-2</v>
      </c>
      <c r="Q6516" s="1">
        <v>0.49568370613487811</v>
      </c>
      <c r="R6516" s="2">
        <f t="shared" si="407"/>
        <v>16.600159524524372</v>
      </c>
      <c r="S6516" s="2">
        <f t="shared" si="406"/>
        <v>1.6723068868087101</v>
      </c>
      <c r="T6516" s="2">
        <f t="shared" si="408"/>
        <v>2.0058435991984895</v>
      </c>
      <c r="U6516" s="2">
        <f t="shared" si="409"/>
        <v>20.27831001053157</v>
      </c>
    </row>
    <row r="6517" spans="1:21" x14ac:dyDescent="0.25">
      <c r="A6517">
        <v>7082965</v>
      </c>
      <c r="B6517">
        <v>1</v>
      </c>
      <c r="C6517" s="1">
        <f>0.25494658550898*(10.3/7.3)</f>
        <v>0.35971915489623202</v>
      </c>
      <c r="D6517" s="1">
        <f>0.496509338374024*(10.3/7.3)</f>
        <v>0.70055427195239028</v>
      </c>
      <c r="E6517" s="1">
        <f>1.69401151958142*(10.3/7.3)</f>
        <v>2.3901806372176142</v>
      </c>
      <c r="F6517" s="1">
        <f>5.06654220637977*(38.9/42.5)</f>
        <v>4.6373762783099544</v>
      </c>
      <c r="G6517" s="1">
        <v>0.27596258836176024</v>
      </c>
      <c r="H6517" s="1">
        <v>1.5871681364916439</v>
      </c>
      <c r="I6517" s="1">
        <v>3.7054971252995261</v>
      </c>
      <c r="J6517" s="1">
        <v>1.5233101488413947E-2</v>
      </c>
      <c r="K6517" s="1">
        <v>1.4876438992134045</v>
      </c>
      <c r="L6517" s="1">
        <v>0.96919149876618238</v>
      </c>
      <c r="M6517" s="1">
        <v>0.15369615758426383</v>
      </c>
      <c r="N6517" s="1">
        <v>0.76880097458482499</v>
      </c>
      <c r="O6517" s="1">
        <v>0.13578666666666667</v>
      </c>
      <c r="P6517" s="1">
        <v>7.0804723304064163E-2</v>
      </c>
      <c r="Q6517" s="1">
        <v>0.44103610012153505</v>
      </c>
      <c r="R6517" s="2">
        <f t="shared" si="407"/>
        <v>14.097494292650657</v>
      </c>
      <c r="S6517" s="2">
        <f t="shared" si="406"/>
        <v>1.5736817240058825</v>
      </c>
      <c r="T6517" s="2">
        <f t="shared" si="408"/>
        <v>2.0274752976019377</v>
      </c>
      <c r="U6517" s="2">
        <f t="shared" si="409"/>
        <v>17.698651314258477</v>
      </c>
    </row>
    <row r="6518" spans="1:21" x14ac:dyDescent="0.25">
      <c r="A6518">
        <v>7082973</v>
      </c>
      <c r="B6518">
        <v>2</v>
      </c>
      <c r="C6518" s="1">
        <f>0.334146911283797*(10.3/7.3)</f>
        <v>0.47146755975659099</v>
      </c>
      <c r="D6518" s="1">
        <f>0.72059203490527*(10.3/7.3)</f>
        <v>1.0167257478800389</v>
      </c>
      <c r="E6518" s="1">
        <f>2.44152487146457*(10.3/7.3)</f>
        <v>3.4448912569979488</v>
      </c>
      <c r="F6518" s="1">
        <f>7.81734386114817*(38.9/42.5)</f>
        <v>7.1551688517332703</v>
      </c>
      <c r="G6518" s="1">
        <v>0.44371822868198263</v>
      </c>
      <c r="H6518" s="1">
        <v>3.1689617353782369</v>
      </c>
      <c r="I6518" s="1">
        <v>5.7179060652070621</v>
      </c>
      <c r="J6518" s="1">
        <v>1.6569710671937733E-2</v>
      </c>
      <c r="K6518" s="1">
        <v>1.596825774306398</v>
      </c>
      <c r="L6518" s="1">
        <v>1.04894127258308</v>
      </c>
      <c r="M6518" s="1">
        <v>0.16113060752861999</v>
      </c>
      <c r="N6518" s="1">
        <v>0.77651786204187956</v>
      </c>
      <c r="O6518" s="1">
        <v>0.14776</v>
      </c>
      <c r="P6518" s="1">
        <v>7.5255112404138236E-2</v>
      </c>
      <c r="Q6518" s="1">
        <v>0.7091387216378725</v>
      </c>
      <c r="R6518" s="2">
        <f t="shared" si="407"/>
        <v>22.127978167273003</v>
      </c>
      <c r="S6518" s="2">
        <f t="shared" si="406"/>
        <v>1.6886505973824741</v>
      </c>
      <c r="T6518" s="2">
        <f t="shared" si="408"/>
        <v>2.1343497421535798</v>
      </c>
      <c r="U6518" s="2">
        <f t="shared" si="409"/>
        <v>25.950978506809058</v>
      </c>
    </row>
    <row r="6519" spans="1:21" x14ac:dyDescent="0.25">
      <c r="A6519">
        <v>7083165</v>
      </c>
      <c r="B6519">
        <v>28</v>
      </c>
      <c r="C6519" s="1">
        <f>0.800239363323738*(10.3/7.3)</f>
        <v>1.1291048551006164</v>
      </c>
      <c r="D6519" s="1">
        <f>1.82931352438678*(10.3/7.3)</f>
        <v>2.5810862056416264</v>
      </c>
      <c r="E6519" s="1">
        <f>6.16494034561869*(10.3/7.3)</f>
        <v>8.6984774739551352</v>
      </c>
      <c r="F6519" s="1">
        <f>20.9701238846529*(38.9/42.5)</f>
        <v>19.193831037952926</v>
      </c>
      <c r="G6519" s="1">
        <v>1.2275537565448853</v>
      </c>
      <c r="H6519" s="1">
        <v>6.902681801772955</v>
      </c>
      <c r="I6519" s="1">
        <v>15.42516067179761</v>
      </c>
      <c r="J6519" s="1">
        <v>1.7645362824392587E-2</v>
      </c>
      <c r="K6519" s="1">
        <v>1.6800891857674982</v>
      </c>
      <c r="L6519" s="1">
        <v>1.3919946319194871</v>
      </c>
      <c r="M6519" s="1">
        <v>0.17081209370342196</v>
      </c>
      <c r="N6519" s="1">
        <v>0.69580320172975763</v>
      </c>
      <c r="O6519" s="1">
        <v>0.13564000000000001</v>
      </c>
      <c r="P6519" s="1">
        <v>8.0075244003825777E-2</v>
      </c>
      <c r="Q6519" s="1">
        <v>1.9618439031539274</v>
      </c>
      <c r="R6519" s="2">
        <f t="shared" si="407"/>
        <v>57.119739705919677</v>
      </c>
      <c r="S6519" s="2">
        <f t="shared" si="406"/>
        <v>1.7778097925957166</v>
      </c>
      <c r="T6519" s="2">
        <f t="shared" si="408"/>
        <v>2.3942499273526665</v>
      </c>
      <c r="U6519" s="2">
        <f t="shared" si="409"/>
        <v>61.291799425868064</v>
      </c>
    </row>
    <row r="6520" spans="1:21" x14ac:dyDescent="0.25">
      <c r="A6520">
        <v>7083173</v>
      </c>
      <c r="B6520">
        <v>5</v>
      </c>
      <c r="C6520" s="1">
        <f>0.826774132478582*(10.3/7.3)</f>
        <v>1.166544323908137</v>
      </c>
      <c r="D6520" s="1">
        <f>1.95557795176837*(10.3/7.3)</f>
        <v>2.7592401237279747</v>
      </c>
      <c r="E6520" s="1">
        <f>6.5938586195294*(10.3/7.3)</f>
        <v>9.3036635316647658</v>
      </c>
      <c r="F6520" s="1">
        <f>21.9640895326097*(38.9/42.5)</f>
        <v>20.103601948671031</v>
      </c>
      <c r="G6520" s="1">
        <v>1.2759514388794917</v>
      </c>
      <c r="H6520" s="1">
        <v>9.7487393983620088</v>
      </c>
      <c r="I6520" s="1">
        <v>16.017421295584555</v>
      </c>
      <c r="J6520" s="1">
        <v>1.9411808548522598E-2</v>
      </c>
      <c r="K6520" s="1">
        <v>1.8161804986818144</v>
      </c>
      <c r="L6520" s="1">
        <v>1.5403716509538818</v>
      </c>
      <c r="M6520" s="1">
        <v>0.18134520065528861</v>
      </c>
      <c r="N6520" s="1">
        <v>0.84515395829081608</v>
      </c>
      <c r="O6520" s="1">
        <v>0.14500266666666667</v>
      </c>
      <c r="P6520" s="1">
        <v>8.5515343948843803E-2</v>
      </c>
      <c r="Q6520" s="1">
        <v>2.0391917972959934</v>
      </c>
      <c r="R6520" s="2">
        <f t="shared" si="407"/>
        <v>62.414353858093953</v>
      </c>
      <c r="S6520" s="2">
        <f t="shared" si="406"/>
        <v>1.9211076511791809</v>
      </c>
      <c r="T6520" s="2">
        <f t="shared" si="408"/>
        <v>2.7118734765666535</v>
      </c>
      <c r="U6520" s="2">
        <f t="shared" si="409"/>
        <v>67.047334985839782</v>
      </c>
    </row>
    <row r="6521" spans="1:21" x14ac:dyDescent="0.25">
      <c r="A6521">
        <v>7083181</v>
      </c>
      <c r="B6521">
        <v>26</v>
      </c>
      <c r="C6521" s="1">
        <f>0.782811908361337*(10.3/7.3)</f>
        <v>1.1045154323454482</v>
      </c>
      <c r="D6521" s="1">
        <f>1.86987542127458*(10.3/7.3)</f>
        <v>2.63831737522304</v>
      </c>
      <c r="E6521" s="1">
        <f>6.28115307143181*(10.3/7.3)</f>
        <v>8.8624488542120012</v>
      </c>
      <c r="F6521" s="1">
        <f>22.0740821011649*(38.9/42.5)</f>
        <v>20.204277499654506</v>
      </c>
      <c r="G6521" s="1">
        <v>1.3129434331682051</v>
      </c>
      <c r="H6521" s="1">
        <v>7.4092393536556198</v>
      </c>
      <c r="I6521" s="1">
        <v>16.266527117525207</v>
      </c>
      <c r="J6521" s="1">
        <v>1.7628553209508221E-2</v>
      </c>
      <c r="K6521" s="1">
        <v>1.6756987489117181</v>
      </c>
      <c r="L6521" s="1">
        <v>1.4087388939992953</v>
      </c>
      <c r="M6521" s="1">
        <v>0.16757931269865373</v>
      </c>
      <c r="N6521" s="1">
        <v>0.71270686874298295</v>
      </c>
      <c r="O6521" s="1">
        <v>0.13388102564102566</v>
      </c>
      <c r="P6521" s="1">
        <v>7.9544890854441636E-2</v>
      </c>
      <c r="Q6521" s="1">
        <v>2.0983114228715625</v>
      </c>
      <c r="R6521" s="2">
        <f t="shared" si="407"/>
        <v>59.896580488655594</v>
      </c>
      <c r="S6521" s="2">
        <f t="shared" si="406"/>
        <v>1.7728721929756679</v>
      </c>
      <c r="T6521" s="2">
        <f t="shared" si="408"/>
        <v>2.4229061010819581</v>
      </c>
      <c r="U6521" s="2">
        <f t="shared" si="409"/>
        <v>64.09235878271322</v>
      </c>
    </row>
    <row r="6522" spans="1:21" x14ac:dyDescent="0.25">
      <c r="A6522">
        <v>7083445</v>
      </c>
      <c r="B6522">
        <v>60</v>
      </c>
      <c r="C6522" s="1">
        <f>3.01537433424757*(10.3/7.3)</f>
        <v>4.2545692661301331</v>
      </c>
      <c r="D6522" s="1">
        <f>7.06216210285452*(10.3/7.3)</f>
        <v>9.9644205012878828</v>
      </c>
      <c r="E6522" s="1">
        <f>23.8607456647268*(10.3/7.3)</f>
        <v>33.666531554340501</v>
      </c>
      <c r="F6522" s="1">
        <f>77.2710753963916*(38.9/42.5)</f>
        <v>70.725760774579584</v>
      </c>
      <c r="G6522" s="1">
        <v>4.4290815187711035</v>
      </c>
      <c r="H6522" s="1">
        <v>12.271636925799726</v>
      </c>
      <c r="I6522" s="1">
        <v>56.060654001894271</v>
      </c>
      <c r="J6522" s="1">
        <v>3.8285720300755138E-2</v>
      </c>
      <c r="K6522" s="1">
        <v>2.6128696502644142</v>
      </c>
      <c r="L6522" s="1">
        <v>2.6499934062804056</v>
      </c>
      <c r="M6522" s="1">
        <v>0.21467644140006492</v>
      </c>
      <c r="N6522" s="1">
        <v>1.5394896345939992</v>
      </c>
      <c r="O6522" s="1">
        <v>0.18074488888888882</v>
      </c>
      <c r="P6522" s="1">
        <v>0.10806610678869767</v>
      </c>
      <c r="Q6522" s="1">
        <v>7.0784407834241456</v>
      </c>
      <c r="R6522" s="2">
        <f t="shared" si="407"/>
        <v>198.45109532622735</v>
      </c>
      <c r="S6522" s="2">
        <f t="shared" si="406"/>
        <v>2.7592214773538672</v>
      </c>
      <c r="T6522" s="2">
        <f t="shared" si="408"/>
        <v>4.5849043711633577</v>
      </c>
      <c r="U6522" s="2">
        <f t="shared" si="409"/>
        <v>205.79522117474457</v>
      </c>
    </row>
    <row r="6523" spans="1:21" x14ac:dyDescent="0.25">
      <c r="A6523">
        <v>7083453</v>
      </c>
      <c r="B6523">
        <v>43</v>
      </c>
      <c r="C6523" s="1">
        <f>2.14239310337773*(10.3/7.3)</f>
        <v>3.0228286253137777</v>
      </c>
      <c r="D6523" s="1">
        <f>4.81621694332039*(10.3/7.3)</f>
        <v>6.7954841803013784</v>
      </c>
      <c r="E6523" s="1">
        <f>16.3202697996925*(10.3/7.3)</f>
        <v>23.027229991346964</v>
      </c>
      <c r="F6523" s="1">
        <f>51.2432243932333*(38.9/42.5)</f>
        <v>46.902621856394738</v>
      </c>
      <c r="G6523" s="1">
        <v>2.8876312435127001</v>
      </c>
      <c r="H6523" s="1">
        <v>10.152642148843928</v>
      </c>
      <c r="I6523" s="1">
        <v>37.109071114736018</v>
      </c>
      <c r="J6523" s="1">
        <v>2.9948334760132967E-2</v>
      </c>
      <c r="K6523" s="1">
        <v>2.1395515702537327</v>
      </c>
      <c r="L6523" s="1">
        <v>2.0807264137443875</v>
      </c>
      <c r="M6523" s="1">
        <v>0.17325142170430452</v>
      </c>
      <c r="N6523" s="1">
        <v>1.257261088443423</v>
      </c>
      <c r="O6523" s="1">
        <v>0.14521550387596896</v>
      </c>
      <c r="P6523" s="1">
        <v>9.0016986451099165E-2</v>
      </c>
      <c r="Q6523" s="1">
        <v>4.6149357773034083</v>
      </c>
      <c r="R6523" s="2">
        <f t="shared" si="407"/>
        <v>134.51244493775292</v>
      </c>
      <c r="S6523" s="2">
        <f t="shared" si="406"/>
        <v>2.259516891464965</v>
      </c>
      <c r="T6523" s="2">
        <f t="shared" si="408"/>
        <v>3.6564544277680837</v>
      </c>
      <c r="U6523" s="2">
        <f t="shared" si="409"/>
        <v>140.42841625698597</v>
      </c>
    </row>
    <row r="6524" spans="1:21" x14ac:dyDescent="0.25">
      <c r="A6524">
        <v>7083461</v>
      </c>
      <c r="B6524">
        <v>55</v>
      </c>
      <c r="C6524" s="1">
        <f>1.42999069465571*(10.3/7.3)</f>
        <v>2.017658103418337</v>
      </c>
      <c r="D6524" s="1">
        <f>3.06470656069446*(10.3/7.3)</f>
        <v>4.3241750102949208</v>
      </c>
      <c r="E6524" s="1">
        <f>10.4166809965932*(10.3/7.3)</f>
        <v>14.69750880341237</v>
      </c>
      <c r="F6524" s="1">
        <f>31.7476834251712*(38.9/42.5)</f>
        <v>29.058467887980228</v>
      </c>
      <c r="G6524" s="1">
        <v>1.7574131015946228</v>
      </c>
      <c r="H6524" s="1">
        <v>6.4546975150843995</v>
      </c>
      <c r="I6524" s="1">
        <v>22.984277377659122</v>
      </c>
      <c r="J6524" s="1">
        <v>2.2981037250776253E-2</v>
      </c>
      <c r="K6524" s="1">
        <v>1.7258947133159257</v>
      </c>
      <c r="L6524" s="1">
        <v>1.5887344178667497</v>
      </c>
      <c r="M6524" s="1">
        <v>0.13752110611818183</v>
      </c>
      <c r="N6524" s="1">
        <v>1.0614886343616685</v>
      </c>
      <c r="O6524" s="1">
        <v>0.11424096969696973</v>
      </c>
      <c r="P6524" s="1">
        <v>7.4247352130310612E-2</v>
      </c>
      <c r="Q6524" s="1">
        <v>2.8086510756078469</v>
      </c>
      <c r="R6524" s="2">
        <f t="shared" si="407"/>
        <v>84.102848875051833</v>
      </c>
      <c r="S6524" s="2">
        <f t="shared" si="406"/>
        <v>1.8231231026970125</v>
      </c>
      <c r="T6524" s="2">
        <f t="shared" si="408"/>
        <v>2.9019851280435693</v>
      </c>
      <c r="U6524" s="2">
        <f t="shared" si="409"/>
        <v>88.827957105792407</v>
      </c>
    </row>
    <row r="6525" spans="1:21" x14ac:dyDescent="0.25">
      <c r="A6525">
        <v>7083469</v>
      </c>
      <c r="B6525">
        <v>68</v>
      </c>
      <c r="C6525" s="1">
        <f>2.20259469202642*(10.3/7.3)</f>
        <v>3.1077705928591892</v>
      </c>
      <c r="D6525" s="1">
        <f>4.72648268022467*(10.3/7.3)</f>
        <v>6.6688728227827605</v>
      </c>
      <c r="E6525" s="1">
        <f>16.0788507190161*(10.3/7.3)</f>
        <v>22.686597589844684</v>
      </c>
      <c r="F6525" s="1">
        <f>48.2589503770623*(38.9/42.5)</f>
        <v>44.171133403946392</v>
      </c>
      <c r="G6525" s="1">
        <v>2.6501377077506731</v>
      </c>
      <c r="H6525" s="1">
        <v>7.579431777858554</v>
      </c>
      <c r="I6525" s="1">
        <v>34.80615937431665</v>
      </c>
      <c r="J6525" s="1">
        <v>2.944384047155928E-2</v>
      </c>
      <c r="K6525" s="1">
        <v>2.1086946049176003</v>
      </c>
      <c r="L6525" s="1">
        <v>2.0406495681328134</v>
      </c>
      <c r="M6525" s="1">
        <v>0.16761451235373739</v>
      </c>
      <c r="N6525" s="1">
        <v>1.2371862816739267</v>
      </c>
      <c r="O6525" s="1">
        <v>0.14147215686274509</v>
      </c>
      <c r="P6525" s="1">
        <v>8.8882853981175347E-2</v>
      </c>
      <c r="Q6525" s="1">
        <v>4.2353798982316722</v>
      </c>
      <c r="R6525" s="2">
        <f t="shared" si="407"/>
        <v>125.90548316759059</v>
      </c>
      <c r="S6525" s="2">
        <f t="shared" si="406"/>
        <v>2.2270212993703349</v>
      </c>
      <c r="T6525" s="2">
        <f t="shared" si="408"/>
        <v>3.586922519023223</v>
      </c>
      <c r="U6525" s="2">
        <f t="shared" si="409"/>
        <v>131.71942698598414</v>
      </c>
    </row>
    <row r="6526" spans="1:21" x14ac:dyDescent="0.25">
      <c r="A6526">
        <v>7083477</v>
      </c>
      <c r="B6526">
        <v>17</v>
      </c>
      <c r="C6526" s="1">
        <f>2.68853998243951*(10.3/7.3)</f>
        <v>3.7934194272776605</v>
      </c>
      <c r="D6526" s="1">
        <f>5.71706573105401*(10.3/7.3)</f>
        <v>8.0665447986104546</v>
      </c>
      <c r="E6526" s="1">
        <f>19.4702226570514*(10.3/7.3)</f>
        <v>27.471684022962954</v>
      </c>
      <c r="F6526" s="1">
        <f>57.573642644223*(38.9/42.5)</f>
        <v>52.696816443771134</v>
      </c>
      <c r="G6526" s="1">
        <v>3.1345901452261504</v>
      </c>
      <c r="H6526" s="1">
        <v>8.453041130297235</v>
      </c>
      <c r="I6526" s="1">
        <v>41.432802390280472</v>
      </c>
      <c r="J6526" s="1">
        <v>3.2542377615212739E-2</v>
      </c>
      <c r="K6526" s="1">
        <v>2.2776793060108691</v>
      </c>
      <c r="L6526" s="1">
        <v>2.2480687737951457</v>
      </c>
      <c r="M6526" s="1">
        <v>0.18025493487264638</v>
      </c>
      <c r="N6526" s="1">
        <v>1.4239200890742199</v>
      </c>
      <c r="O6526" s="1">
        <v>0.15309176470588232</v>
      </c>
      <c r="P6526" s="1">
        <v>9.4949852290413306E-2</v>
      </c>
      <c r="Q6526" s="1">
        <v>5.0096189535577809</v>
      </c>
      <c r="R6526" s="2">
        <f t="shared" si="407"/>
        <v>150.05851731198385</v>
      </c>
      <c r="S6526" s="2">
        <f t="shared" si="406"/>
        <v>2.4051715359164954</v>
      </c>
      <c r="T6526" s="2">
        <f t="shared" si="408"/>
        <v>4.0053355624478941</v>
      </c>
      <c r="U6526" s="2">
        <f t="shared" si="409"/>
        <v>156.46902441034825</v>
      </c>
    </row>
    <row r="6527" spans="1:21" x14ac:dyDescent="0.25">
      <c r="A6527">
        <v>7083485</v>
      </c>
      <c r="B6527">
        <v>71</v>
      </c>
      <c r="C6527" s="1">
        <f>3.48268038756672*(10.3/7.3)</f>
        <v>4.9139189030050998</v>
      </c>
      <c r="D6527" s="1">
        <f>7.34367296147752*(10.3/7.3)</f>
        <v>10.361620753865537</v>
      </c>
      <c r="E6527" s="1">
        <f>25.0485752526572*(10.3/7.3)</f>
        <v>35.342510287995843</v>
      </c>
      <c r="F6527" s="1">
        <f>72.3710723313639*(38.9/42.5)</f>
        <v>66.240816792707179</v>
      </c>
      <c r="G6527" s="1">
        <v>3.8876432891372406</v>
      </c>
      <c r="H6527" s="1">
        <v>9.99919474320021</v>
      </c>
      <c r="I6527" s="1">
        <v>51.85637988689259</v>
      </c>
      <c r="J6527" s="1">
        <v>3.9623156211771517E-2</v>
      </c>
      <c r="K6527" s="1">
        <v>2.6823906984693964</v>
      </c>
      <c r="L6527" s="1">
        <v>2.6913944612923335</v>
      </c>
      <c r="M6527" s="1">
        <v>0.21243033883076567</v>
      </c>
      <c r="N6527" s="1">
        <v>1.6050486658417698</v>
      </c>
      <c r="O6527" s="1">
        <v>0.17879511737089196</v>
      </c>
      <c r="P6527" s="1">
        <v>0.10972951370247687</v>
      </c>
      <c r="Q6527" s="1">
        <v>6.2131285442832693</v>
      </c>
      <c r="R6527" s="2">
        <f t="shared" si="407"/>
        <v>188.815213201087</v>
      </c>
      <c r="S6527" s="2">
        <f t="shared" si="406"/>
        <v>2.8317433683836448</v>
      </c>
      <c r="T6527" s="2">
        <f t="shared" si="408"/>
        <v>4.6876685833357605</v>
      </c>
      <c r="U6527" s="2">
        <f t="shared" si="409"/>
        <v>196.33462515280641</v>
      </c>
    </row>
    <row r="6528" spans="1:21" x14ac:dyDescent="0.25">
      <c r="A6528">
        <v>7083493</v>
      </c>
      <c r="B6528">
        <v>71</v>
      </c>
      <c r="C6528" s="1">
        <f>3.49389426533741*(10.3/7.3)</f>
        <v>4.9297412236952569</v>
      </c>
      <c r="D6528" s="1">
        <f>7.34093677755101*(10.3/7.3)</f>
        <v>10.357760110791144</v>
      </c>
      <c r="E6528" s="1">
        <f>25.0638433224504*(10.3/7.3)</f>
        <v>35.364052907019001</v>
      </c>
      <c r="F6528" s="1">
        <f>71.2775512160983*(38.9/42.5)</f>
        <v>65.239923348381708</v>
      </c>
      <c r="G6528" s="1">
        <v>3.7933597486914326</v>
      </c>
      <c r="H6528" s="1">
        <v>9.7122531008178594</v>
      </c>
      <c r="I6528" s="1">
        <v>50.901937916989326</v>
      </c>
      <c r="J6528" s="1">
        <v>3.8853522719018617E-2</v>
      </c>
      <c r="K6528" s="1">
        <v>2.6250143331656761</v>
      </c>
      <c r="L6528" s="1">
        <v>2.6122698929392874</v>
      </c>
      <c r="M6528" s="1">
        <v>0.2070572401131191</v>
      </c>
      <c r="N6528" s="1">
        <v>1.5791047122816773</v>
      </c>
      <c r="O6528" s="1">
        <v>0.17326723004694833</v>
      </c>
      <c r="P6528" s="1">
        <v>0.10717697845361573</v>
      </c>
      <c r="Q6528" s="1">
        <v>6.0624470869497822</v>
      </c>
      <c r="R6528" s="2">
        <f t="shared" si="407"/>
        <v>186.36147544333548</v>
      </c>
      <c r="S6528" s="2">
        <f t="shared" si="406"/>
        <v>2.7710448343383107</v>
      </c>
      <c r="T6528" s="2">
        <f t="shared" si="408"/>
        <v>4.5716990753810327</v>
      </c>
      <c r="U6528" s="2">
        <f t="shared" si="409"/>
        <v>193.70421935305481</v>
      </c>
    </row>
    <row r="6529" spans="1:21" x14ac:dyDescent="0.25">
      <c r="A6529">
        <v>7083509</v>
      </c>
      <c r="B6529">
        <v>2</v>
      </c>
      <c r="C6529" s="1">
        <f>2.08127383623992*(10.3/7.3)</f>
        <v>2.9365918511330427</v>
      </c>
      <c r="D6529" s="1">
        <f>4.36039070120478*(10.3/7.3)</f>
        <v>6.1523320852615448</v>
      </c>
      <c r="E6529" s="1">
        <f>14.8745642000744*(10.3/7.3)</f>
        <v>20.987398802844737</v>
      </c>
      <c r="F6529" s="1">
        <f>43.0243432834721*(38.9/42.5)</f>
        <v>39.379928322989777</v>
      </c>
      <c r="G6529" s="1">
        <v>2.311669504764434</v>
      </c>
      <c r="H6529" s="1">
        <v>7.6553570011946173</v>
      </c>
      <c r="I6529" s="1">
        <v>30.867794478462276</v>
      </c>
      <c r="J6529" s="1">
        <v>2.7041937544752669E-2</v>
      </c>
      <c r="K6529" s="1">
        <v>1.9328398025311266</v>
      </c>
      <c r="L6529" s="1">
        <v>1.7893840631100639</v>
      </c>
      <c r="M6529" s="1">
        <v>0.14576039037851674</v>
      </c>
      <c r="N6529" s="1">
        <v>1.1725674861327839</v>
      </c>
      <c r="O6529" s="1">
        <v>0.12296000000000001</v>
      </c>
      <c r="P6529" s="1">
        <v>8.0238938445077651E-2</v>
      </c>
      <c r="Q6529" s="1">
        <v>3.6944489802171359</v>
      </c>
      <c r="R6529" s="2">
        <f t="shared" si="407"/>
        <v>113.98552102686756</v>
      </c>
      <c r="S6529" s="2">
        <f t="shared" si="406"/>
        <v>2.0401206785209567</v>
      </c>
      <c r="T6529" s="2">
        <f t="shared" si="408"/>
        <v>3.2306719396213648</v>
      </c>
      <c r="U6529" s="2">
        <f t="shared" si="409"/>
        <v>119.25631364500988</v>
      </c>
    </row>
    <row r="6530" spans="1:21" x14ac:dyDescent="0.25">
      <c r="A6530">
        <v>7083605</v>
      </c>
      <c r="B6530">
        <v>1</v>
      </c>
      <c r="C6530" s="1">
        <f>2.08107469033654*(10.3/7.3)</f>
        <v>2.9363108644474494</v>
      </c>
      <c r="D6530" s="1">
        <f>3.85561219138416*(10.3/7.3)</f>
        <v>5.4401103522269656</v>
      </c>
      <c r="E6530" s="1">
        <f>13.3098205501675*(10.3/7.3)</f>
        <v>18.779609817359638</v>
      </c>
      <c r="F6530" s="1">
        <f>32.8462701088115*(38.9/42.5)</f>
        <v>30.063997817241543</v>
      </c>
      <c r="G6530" s="1">
        <v>1.5750897345064698</v>
      </c>
      <c r="H6530" s="1">
        <v>5.5324146471994444</v>
      </c>
      <c r="I6530" s="1">
        <v>23.133075825336142</v>
      </c>
      <c r="J6530" s="1">
        <v>2.2887841066435887E-2</v>
      </c>
      <c r="K6530" s="1">
        <v>1.6161905799083753</v>
      </c>
      <c r="L6530" s="1">
        <v>1.4039008745014854</v>
      </c>
      <c r="M6530" s="1">
        <v>0.11058897517328203</v>
      </c>
      <c r="N6530" s="1">
        <v>0.97677353926968036</v>
      </c>
      <c r="O6530" s="1">
        <v>9.5839999999999995E-2</v>
      </c>
      <c r="P6530" s="1">
        <v>6.7741532496374143E-2</v>
      </c>
      <c r="Q6530" s="1">
        <v>2.5172666989829455</v>
      </c>
      <c r="R6530" s="2">
        <f t="shared" si="407"/>
        <v>89.977875757300609</v>
      </c>
      <c r="S6530" s="2">
        <f t="shared" si="406"/>
        <v>1.7068199534711854</v>
      </c>
      <c r="T6530" s="2">
        <f t="shared" si="408"/>
        <v>2.5871033889444477</v>
      </c>
      <c r="U6530" s="2">
        <f t="shared" si="409"/>
        <v>94.271799099716233</v>
      </c>
    </row>
    <row r="6531" spans="1:21" x14ac:dyDescent="0.25">
      <c r="A6531">
        <v>7095129</v>
      </c>
      <c r="B6531">
        <v>8</v>
      </c>
      <c r="C6531" s="1">
        <f>0.28382772014688*(10.3/7.3)</f>
        <v>0.4004692489743652</v>
      </c>
      <c r="D6531" s="1">
        <f>0.507827697039235*(10.3/7.3)</f>
        <v>0.7165240108909755</v>
      </c>
      <c r="E6531" s="1">
        <f>1.74056989355277*(10.3/7.3)</f>
        <v>2.4558725895333602</v>
      </c>
      <c r="F6531" s="1">
        <f>5.0292279623682*(38.9/42.5)</f>
        <v>4.6032227702617146</v>
      </c>
      <c r="G6531" s="1">
        <v>0.26699004891706657</v>
      </c>
      <c r="H6531" s="1">
        <v>1.1482195730291136</v>
      </c>
      <c r="I6531" s="1">
        <v>3.7028057233051674</v>
      </c>
      <c r="J6531" s="1">
        <v>1.6886890152789807E-2</v>
      </c>
      <c r="K6531" s="1">
        <v>1.6384106521890549</v>
      </c>
      <c r="L6531" s="1">
        <v>1.0440471103674667</v>
      </c>
      <c r="M6531" s="1">
        <v>0.14887544499893199</v>
      </c>
      <c r="N6531" s="1">
        <v>0.59884842905674829</v>
      </c>
      <c r="O6531" s="1">
        <v>0.15728666666666666</v>
      </c>
      <c r="P6531" s="1">
        <v>7.8439537173558893E-2</v>
      </c>
      <c r="Q6531" s="1">
        <v>0.42669642520992418</v>
      </c>
      <c r="R6531" s="2">
        <f t="shared" si="407"/>
        <v>13.720800390121687</v>
      </c>
      <c r="S6531" s="2">
        <f t="shared" si="406"/>
        <v>1.7337370795154037</v>
      </c>
      <c r="T6531" s="2">
        <f t="shared" si="408"/>
        <v>1.9490576510898137</v>
      </c>
      <c r="U6531" s="2">
        <f t="shared" si="409"/>
        <v>17.403595120726905</v>
      </c>
    </row>
    <row r="6532" spans="1:21" x14ac:dyDescent="0.25">
      <c r="A6532">
        <v>7095177</v>
      </c>
      <c r="B6532">
        <v>15</v>
      </c>
      <c r="C6532" s="1">
        <f>0.296106060819866*(10.3/7.3)</f>
        <v>0.41779348307460518</v>
      </c>
      <c r="D6532" s="1">
        <f>0.567516538213373*(10.3/7.3)</f>
        <v>0.80074251282160802</v>
      </c>
      <c r="E6532" s="1">
        <f>1.9368092188823*(10.3/7.3)</f>
        <v>2.7327582129435202</v>
      </c>
      <c r="F6532" s="1">
        <f>5.81260453079117*(38.9/42.5)</f>
        <v>5.3202427352418038</v>
      </c>
      <c r="G6532" s="1">
        <v>0.31684196089901939</v>
      </c>
      <c r="H6532" s="1">
        <v>2.7961703707478827</v>
      </c>
      <c r="I6532" s="1">
        <v>4.2651591374324802</v>
      </c>
      <c r="J6532" s="1">
        <v>1.6648068501321035E-2</v>
      </c>
      <c r="K6532" s="1">
        <v>1.5749561307006601</v>
      </c>
      <c r="L6532" s="1">
        <v>1.013767470921749</v>
      </c>
      <c r="M6532" s="1">
        <v>0.1540372664863017</v>
      </c>
      <c r="N6532" s="1">
        <v>0.73040542896370353</v>
      </c>
      <c r="O6532" s="1">
        <v>0.14420266666666667</v>
      </c>
      <c r="P6532" s="1">
        <v>7.2855712965182409E-2</v>
      </c>
      <c r="Q6532" s="1">
        <v>0.50636843066053383</v>
      </c>
      <c r="R6532" s="2">
        <f t="shared" si="407"/>
        <v>17.156076843821452</v>
      </c>
      <c r="S6532" s="2">
        <f t="shared" si="406"/>
        <v>1.6644599121671635</v>
      </c>
      <c r="T6532" s="2">
        <f t="shared" si="408"/>
        <v>2.042412833038421</v>
      </c>
      <c r="U6532" s="2">
        <f t="shared" si="409"/>
        <v>20.862949589027039</v>
      </c>
    </row>
    <row r="6533" spans="1:21" x14ac:dyDescent="0.25">
      <c r="A6533">
        <v>7095209</v>
      </c>
      <c r="B6533">
        <v>1</v>
      </c>
      <c r="C6533" s="1">
        <f>0.319469858204582*(10.3/7.3)</f>
        <v>0.45075884102838271</v>
      </c>
      <c r="D6533" s="1">
        <f>0.711741688168565*(10.3/7.3)</f>
        <v>1.0042382723474277</v>
      </c>
      <c r="E6533" s="1">
        <f>2.40369823581308*(10.3/7.3)</f>
        <v>3.3915194286129755</v>
      </c>
      <c r="F6533" s="1">
        <f>7.99494023223798*(38.9/42.5)</f>
        <v>7.3177217655072297</v>
      </c>
      <c r="G6533" s="1">
        <v>0.46276308071705752</v>
      </c>
      <c r="H6533" s="1">
        <v>5.3577421750352849</v>
      </c>
      <c r="I6533" s="1">
        <v>5.8713674903045874</v>
      </c>
      <c r="J6533" s="1">
        <v>1.6684277173382629E-2</v>
      </c>
      <c r="K6533" s="1">
        <v>1.5760156638557328</v>
      </c>
      <c r="L6533" s="1">
        <v>1.0433819999486875</v>
      </c>
      <c r="M6533" s="1">
        <v>0.15830547217998786</v>
      </c>
      <c r="N6533" s="1">
        <v>0.68295862816438746</v>
      </c>
      <c r="O6533" s="1">
        <v>0.1464</v>
      </c>
      <c r="P6533" s="1">
        <v>7.4146339792589833E-2</v>
      </c>
      <c r="Q6533" s="1">
        <v>0.73957569977612014</v>
      </c>
      <c r="R6533" s="2">
        <f t="shared" si="407"/>
        <v>24.595686753329066</v>
      </c>
      <c r="S6533" s="2">
        <f t="shared" si="406"/>
        <v>1.6668462808217053</v>
      </c>
      <c r="T6533" s="2">
        <f t="shared" si="408"/>
        <v>2.0310461002930627</v>
      </c>
      <c r="U6533" s="2">
        <f t="shared" si="409"/>
        <v>28.293579134443831</v>
      </c>
    </row>
    <row r="6534" spans="1:21" x14ac:dyDescent="0.25">
      <c r="A6534">
        <v>7095401</v>
      </c>
      <c r="B6534">
        <v>1</v>
      </c>
      <c r="C6534" s="1">
        <f>0.846370089371321*(10.3/7.3)</f>
        <v>1.1941934137704939</v>
      </c>
      <c r="D6534" s="1">
        <f>2.05769832102951*(10.3/7.3)</f>
        <v>2.903327768027939</v>
      </c>
      <c r="E6534" s="1">
        <f>6.92694168699225*(10.3/7.3)</f>
        <v>9.7736300515096133</v>
      </c>
      <c r="F6534" s="1">
        <f>23.419024040251*(38.9/42.5)</f>
        <v>21.435294945076841</v>
      </c>
      <c r="G6534" s="1">
        <v>1.3712293465253871</v>
      </c>
      <c r="H6534" s="1">
        <v>8.8075235002774406</v>
      </c>
      <c r="I6534" s="1">
        <v>17.079936162949807</v>
      </c>
      <c r="J6534" s="1">
        <v>1.8763447014419631E-2</v>
      </c>
      <c r="K6534" s="1">
        <v>1.7627735203190573</v>
      </c>
      <c r="L6534" s="1">
        <v>1.4841402063882003</v>
      </c>
      <c r="M6534" s="1">
        <v>0.17928254767784699</v>
      </c>
      <c r="N6534" s="1">
        <v>0.74776261714324588</v>
      </c>
      <c r="O6534" s="1">
        <v>0.14186666666666667</v>
      </c>
      <c r="P6534" s="1">
        <v>8.3318022870344469E-2</v>
      </c>
      <c r="Q6534" s="1">
        <v>2.1914624259538171</v>
      </c>
      <c r="R6534" s="2">
        <f t="shared" si="407"/>
        <v>64.756597614091348</v>
      </c>
      <c r="S6534" s="2">
        <f t="shared" si="406"/>
        <v>1.8648549902038214</v>
      </c>
      <c r="T6534" s="2">
        <f t="shared" si="408"/>
        <v>2.5530520378759598</v>
      </c>
      <c r="U6534" s="2">
        <f t="shared" si="409"/>
        <v>69.174504642171129</v>
      </c>
    </row>
    <row r="6535" spans="1:21" x14ac:dyDescent="0.25">
      <c r="A6535">
        <v>7095409</v>
      </c>
      <c r="B6535">
        <v>58</v>
      </c>
      <c r="C6535" s="1">
        <f>0.697766042848032*(10.3/7.3)</f>
        <v>0.98451921114174368</v>
      </c>
      <c r="D6535" s="1">
        <f>1.70017505716994*(10.3/7.3)</f>
        <v>2.398877135458954</v>
      </c>
      <c r="E6535" s="1">
        <f>5.74211097637786*(10.3/7.3)</f>
        <v>8.1018826105057542</v>
      </c>
      <c r="F6535" s="1">
        <f>18.4270463374954*(38.9/42.5)</f>
        <v>16.866167118319275</v>
      </c>
      <c r="G6535" s="1">
        <v>1.0537861639739736</v>
      </c>
      <c r="H6535" s="1">
        <v>5.2500776771065114</v>
      </c>
      <c r="I6535" s="1">
        <v>13.275877379435938</v>
      </c>
      <c r="J6535" s="1">
        <v>1.6435683960158008E-2</v>
      </c>
      <c r="K6535" s="1">
        <v>1.5760462698759581</v>
      </c>
      <c r="L6535" s="1">
        <v>1.3052459633351683</v>
      </c>
      <c r="M6535" s="1">
        <v>0.15872929431794908</v>
      </c>
      <c r="N6535" s="1">
        <v>0.65406979227297135</v>
      </c>
      <c r="O6535" s="1">
        <v>0.126127816091954</v>
      </c>
      <c r="P6535" s="1">
        <v>7.555520087847975E-2</v>
      </c>
      <c r="Q6535" s="1">
        <v>1.6841331387711918</v>
      </c>
      <c r="R6535" s="2">
        <f t="shared" si="407"/>
        <v>49.615320434713347</v>
      </c>
      <c r="S6535" s="2">
        <f t="shared" si="406"/>
        <v>1.6680371547145958</v>
      </c>
      <c r="T6535" s="2">
        <f t="shared" si="408"/>
        <v>2.2441728660180424</v>
      </c>
      <c r="U6535" s="2">
        <f t="shared" si="409"/>
        <v>53.527530455445984</v>
      </c>
    </row>
    <row r="6536" spans="1:21" x14ac:dyDescent="0.25">
      <c r="A6536">
        <v>7095673</v>
      </c>
      <c r="B6536">
        <v>16</v>
      </c>
      <c r="C6536" s="1">
        <f>2.35134057446314*(10.3/7.3)</f>
        <v>3.3176449201329286</v>
      </c>
      <c r="D6536" s="1">
        <f>5.69966083594596*(10.3/7.3)</f>
        <v>8.0419872068826574</v>
      </c>
      <c r="E6536" s="1">
        <f>19.1889702888097*(10.3/7.3)</f>
        <v>27.074848489690375</v>
      </c>
      <c r="F6536" s="1">
        <f>64.8471804670573*(38.9/42.5)</f>
        <v>59.354242827494808</v>
      </c>
      <c r="G6536" s="1">
        <v>3.7956926580609336</v>
      </c>
      <c r="H6536" s="1">
        <v>14.46905301572323</v>
      </c>
      <c r="I6536" s="1">
        <v>47.305841177401298</v>
      </c>
      <c r="J6536" s="1">
        <v>3.3805073933289097E-2</v>
      </c>
      <c r="K6536" s="1">
        <v>2.3310146188864063</v>
      </c>
      <c r="L6536" s="1">
        <v>2.3181297334554314</v>
      </c>
      <c r="M6536" s="1">
        <v>0.18968330911603171</v>
      </c>
      <c r="N6536" s="1">
        <v>1.3807785195506317</v>
      </c>
      <c r="O6536" s="1">
        <v>0.16062666666666664</v>
      </c>
      <c r="P6536" s="1">
        <v>9.7291005213894347E-2</v>
      </c>
      <c r="Q6536" s="1">
        <v>6.0661754809193056</v>
      </c>
      <c r="R6536" s="2">
        <f t="shared" si="407"/>
        <v>169.42548577630552</v>
      </c>
      <c r="S6536" s="2">
        <f t="shared" si="406"/>
        <v>2.4621106980335896</v>
      </c>
      <c r="T6536" s="2">
        <f t="shared" si="408"/>
        <v>4.0492182287887619</v>
      </c>
      <c r="U6536" s="2">
        <f t="shared" si="409"/>
        <v>175.93681470312788</v>
      </c>
    </row>
    <row r="6537" spans="1:21" x14ac:dyDescent="0.25">
      <c r="A6537">
        <v>7095681</v>
      </c>
      <c r="B6537">
        <v>55</v>
      </c>
      <c r="C6537" s="1">
        <f>3.1329343853207*(10.3/7.3)</f>
        <v>4.4204416669593467</v>
      </c>
      <c r="D6537" s="1">
        <f>7.26993828624364*(10.3/7.3)</f>
        <v>10.257584157302675</v>
      </c>
      <c r="E6537" s="1">
        <f>24.6076049114798*(10.3/7.3)</f>
        <v>34.720319258663288</v>
      </c>
      <c r="F6537" s="1">
        <f>77.6607029739333*(38.9/42.5)</f>
        <v>71.082384604376628</v>
      </c>
      <c r="G6537" s="1">
        <v>4.3948007851079698</v>
      </c>
      <c r="H6537" s="1">
        <v>12.576112624364672</v>
      </c>
      <c r="I6537" s="1">
        <v>56.073237600625831</v>
      </c>
      <c r="J6537" s="1">
        <v>3.9430626681805074E-2</v>
      </c>
      <c r="K6537" s="1">
        <v>2.6942623779789399</v>
      </c>
      <c r="L6537" s="1">
        <v>2.7368783655624087</v>
      </c>
      <c r="M6537" s="1">
        <v>0.21993760939697432</v>
      </c>
      <c r="N6537" s="1">
        <v>1.6027711475990931</v>
      </c>
      <c r="O6537" s="1">
        <v>0.18597333333333343</v>
      </c>
      <c r="P6537" s="1">
        <v>0.11101696997337843</v>
      </c>
      <c r="Q6537" s="1">
        <v>7.0236542227753027</v>
      </c>
      <c r="R6537" s="2">
        <f t="shared" si="407"/>
        <v>200.54853492017571</v>
      </c>
      <c r="S6537" s="2">
        <f t="shared" ref="S6537:S6600" si="410">J6537+K6537+P6537</f>
        <v>2.8447099746341231</v>
      </c>
      <c r="T6537" s="2">
        <f t="shared" si="408"/>
        <v>4.745560455891809</v>
      </c>
      <c r="U6537" s="2">
        <f t="shared" si="409"/>
        <v>208.13880535070166</v>
      </c>
    </row>
    <row r="6538" spans="1:21" x14ac:dyDescent="0.25">
      <c r="A6538">
        <v>7095689</v>
      </c>
      <c r="B6538">
        <v>58</v>
      </c>
      <c r="C6538" s="1">
        <f>1.32814523225184*(10.3/7.3)</f>
        <v>1.8739583413964291</v>
      </c>
      <c r="D6538" s="1">
        <f>2.87001131065737*(10.3/7.3)</f>
        <v>4.0494680136672416</v>
      </c>
      <c r="E6538" s="1">
        <f>9.75225123208811*(10.3/7.3)</f>
        <v>13.760025711028433</v>
      </c>
      <c r="F6538" s="1">
        <f>29.7498637823091*(38.9/42.5)</f>
        <v>27.229875320748786</v>
      </c>
      <c r="G6538" s="1">
        <v>1.6484202769708085</v>
      </c>
      <c r="H6538" s="1">
        <v>5.8739989445549536</v>
      </c>
      <c r="I6538" s="1">
        <v>21.517118742851178</v>
      </c>
      <c r="J6538" s="1">
        <v>2.1772610065142143E-2</v>
      </c>
      <c r="K6538" s="1">
        <v>1.6497124658336439</v>
      </c>
      <c r="L6538" s="1">
        <v>1.5047642026610217</v>
      </c>
      <c r="M6538" s="1">
        <v>0.13191578208742202</v>
      </c>
      <c r="N6538" s="1">
        <v>0.95721988972939731</v>
      </c>
      <c r="O6538" s="1">
        <v>0.10915310344827586</v>
      </c>
      <c r="P6538" s="1">
        <v>7.1476820747105013E-2</v>
      </c>
      <c r="Q6538" s="1">
        <v>2.6344616298620247</v>
      </c>
      <c r="R6538" s="2">
        <f t="shared" ref="R6538:R6601" si="411">C6538+D6538+E6538+F6538+G6538+H6538+I6538+Q6538</f>
        <v>78.587326981079869</v>
      </c>
      <c r="S6538" s="2">
        <f t="shared" si="410"/>
        <v>1.7429618966458911</v>
      </c>
      <c r="T6538" s="2">
        <f t="shared" ref="T6538:T6601" si="412">L6538+M6538+N6538+O6538</f>
        <v>2.7030529779261165</v>
      </c>
      <c r="U6538" s="2">
        <f t="shared" ref="U6538:U6601" si="413">R6538+S6538+T6538</f>
        <v>83.033341855651884</v>
      </c>
    </row>
    <row r="6539" spans="1:21" x14ac:dyDescent="0.25">
      <c r="A6539">
        <v>7095697</v>
      </c>
      <c r="B6539">
        <v>50</v>
      </c>
      <c r="C6539" s="1">
        <f>1.620322762437*(10.3/7.3)</f>
        <v>2.2862088291919287</v>
      </c>
      <c r="D6539" s="1">
        <f>3.48514202603548*(10.3/7.3)</f>
        <v>4.917392173721292</v>
      </c>
      <c r="E6539" s="1">
        <f>11.8502741038541*(10.3/7.3)</f>
        <v>16.720249762972283</v>
      </c>
      <c r="F6539" s="1">
        <f>35.8228000721663*(38.9/42.5)</f>
        <v>32.788398183700401</v>
      </c>
      <c r="G6539" s="1">
        <v>1.9749565207843116</v>
      </c>
      <c r="H6539" s="1">
        <v>6.5375203610640584</v>
      </c>
      <c r="I6539" s="1">
        <v>25.871618888677077</v>
      </c>
      <c r="J6539" s="1">
        <v>2.4579351812213421E-2</v>
      </c>
      <c r="K6539" s="1">
        <v>1.8277563908676568</v>
      </c>
      <c r="L6539" s="1">
        <v>1.7077403924351222</v>
      </c>
      <c r="M6539" s="1">
        <v>0.14519076462139277</v>
      </c>
      <c r="N6539" s="1">
        <v>1.0709998802906593</v>
      </c>
      <c r="O6539" s="1">
        <v>0.12226773333333335</v>
      </c>
      <c r="P6539" s="1">
        <v>7.8125249276121064E-2</v>
      </c>
      <c r="Q6539" s="1">
        <v>3.1563232067329197</v>
      </c>
      <c r="R6539" s="2">
        <f t="shared" si="411"/>
        <v>94.252667926844268</v>
      </c>
      <c r="S6539" s="2">
        <f t="shared" si="410"/>
        <v>1.9304609919559914</v>
      </c>
      <c r="T6539" s="2">
        <f t="shared" si="412"/>
        <v>3.0461987706805078</v>
      </c>
      <c r="U6539" s="2">
        <f t="shared" si="413"/>
        <v>99.229327689480769</v>
      </c>
    </row>
    <row r="6540" spans="1:21" x14ac:dyDescent="0.25">
      <c r="A6540">
        <v>7095705</v>
      </c>
      <c r="B6540">
        <v>36</v>
      </c>
      <c r="C6540" s="1">
        <f>2.58340916795504*(10.3/7.3)</f>
        <v>3.6450841684845141</v>
      </c>
      <c r="D6540" s="1">
        <f>5.58633392942069*(10.3/7.3)</f>
        <v>7.8820875990456338</v>
      </c>
      <c r="E6540" s="1">
        <f>19.0094912033347*(10.3/7.3)</f>
        <v>26.821610875937978</v>
      </c>
      <c r="F6540" s="1">
        <f>56.5694897231924*(38.9/42.5)</f>
        <v>51.777721181933742</v>
      </c>
      <c r="G6540" s="1">
        <v>3.0937900166649555</v>
      </c>
      <c r="H6540" s="1">
        <v>8.5407560868600623</v>
      </c>
      <c r="I6540" s="1">
        <v>40.671256244488696</v>
      </c>
      <c r="J6540" s="1">
        <v>3.266795425974009E-2</v>
      </c>
      <c r="K6540" s="1">
        <v>2.295398799773654</v>
      </c>
      <c r="L6540" s="1">
        <v>2.264099408045857</v>
      </c>
      <c r="M6540" s="1">
        <v>0.18281071122990325</v>
      </c>
      <c r="N6540" s="1">
        <v>1.4042312103828731</v>
      </c>
      <c r="O6540" s="1">
        <v>0.15457629629629632</v>
      </c>
      <c r="P6540" s="1">
        <v>9.5755829277448676E-2</v>
      </c>
      <c r="Q6540" s="1">
        <v>4.9444132686426281</v>
      </c>
      <c r="R6540" s="2">
        <f t="shared" si="411"/>
        <v>147.3767194420582</v>
      </c>
      <c r="S6540" s="2">
        <f t="shared" si="410"/>
        <v>2.4238225833108427</v>
      </c>
      <c r="T6540" s="2">
        <f t="shared" si="412"/>
        <v>4.0057176259549294</v>
      </c>
      <c r="U6540" s="2">
        <f t="shared" si="413"/>
        <v>153.80625965132398</v>
      </c>
    </row>
    <row r="6541" spans="1:21" x14ac:dyDescent="0.25">
      <c r="A6541">
        <v>7095713</v>
      </c>
      <c r="B6541">
        <v>21</v>
      </c>
      <c r="C6541" s="1">
        <f>2.84059819955702*(10.3/7.3)</f>
        <v>4.0079673226626467</v>
      </c>
      <c r="D6541" s="1">
        <f>6.03387925906935*(10.3/7.3)</f>
        <v>8.5135556669060648</v>
      </c>
      <c r="E6541" s="1">
        <f>20.5690884780707*(10.3/7.3)</f>
        <v>29.022138537551811</v>
      </c>
      <c r="F6541" s="1">
        <f>59.829672106661*(38.9/42.5)</f>
        <v>54.761746939979169</v>
      </c>
      <c r="G6541" s="1">
        <v>3.2276872907090048</v>
      </c>
      <c r="H6541" s="1">
        <v>10.714204698259845</v>
      </c>
      <c r="I6541" s="1">
        <v>42.892173566391691</v>
      </c>
      <c r="J6541" s="1">
        <v>3.4007863712852832E-2</v>
      </c>
      <c r="K6541" s="1">
        <v>2.3689406478468107</v>
      </c>
      <c r="L6541" s="1">
        <v>2.337813344787961</v>
      </c>
      <c r="M6541" s="1">
        <v>0.18645219149017939</v>
      </c>
      <c r="N6541" s="1">
        <v>1.4021152743373511</v>
      </c>
      <c r="O6541" s="1">
        <v>0.15791999999999998</v>
      </c>
      <c r="P6541" s="1">
        <v>9.8267730955536425E-2</v>
      </c>
      <c r="Q6541" s="1">
        <v>5.1584043458819764</v>
      </c>
      <c r="R6541" s="2">
        <f t="shared" si="411"/>
        <v>158.2978783683422</v>
      </c>
      <c r="S6541" s="2">
        <f t="shared" si="410"/>
        <v>2.5012162425151998</v>
      </c>
      <c r="T6541" s="2">
        <f t="shared" si="412"/>
        <v>4.084300810615491</v>
      </c>
      <c r="U6541" s="2">
        <f t="shared" si="413"/>
        <v>164.8833954214729</v>
      </c>
    </row>
    <row r="6542" spans="1:21" x14ac:dyDescent="0.25">
      <c r="A6542">
        <v>7095721</v>
      </c>
      <c r="B6542">
        <v>58</v>
      </c>
      <c r="C6542" s="1">
        <f>3.14233694365672*(10.3/7.3)</f>
        <v>4.4337082903649643</v>
      </c>
      <c r="D6542" s="1">
        <f>6.63782434103586*(10.3/7.3)</f>
        <v>9.3656973578999079</v>
      </c>
      <c r="E6542" s="1">
        <f>22.6516907062119*(10.3/7.3)</f>
        <v>31.960604695066074</v>
      </c>
      <c r="F6542" s="1">
        <f>64.8400793135412*(38.9/42.5)</f>
        <v>59.347743183452977</v>
      </c>
      <c r="G6542" s="1">
        <v>3.4650716218454254</v>
      </c>
      <c r="H6542" s="1">
        <v>9.1381038952088147</v>
      </c>
      <c r="I6542" s="1">
        <v>46.340876774078609</v>
      </c>
      <c r="J6542" s="1">
        <v>3.6240764338289287E-2</v>
      </c>
      <c r="K6542" s="1">
        <v>2.4886030987531296</v>
      </c>
      <c r="L6542" s="1">
        <v>2.4623607235216176</v>
      </c>
      <c r="M6542" s="1">
        <v>0.19528676509907264</v>
      </c>
      <c r="N6542" s="1">
        <v>1.4767473532514932</v>
      </c>
      <c r="O6542" s="1">
        <v>0.16483402298850583</v>
      </c>
      <c r="P6542" s="1">
        <v>0.10210726302626794</v>
      </c>
      <c r="Q6542" s="1">
        <v>5.5377856970132422</v>
      </c>
      <c r="R6542" s="2">
        <f t="shared" si="411"/>
        <v>169.58959151493002</v>
      </c>
      <c r="S6542" s="2">
        <f t="shared" si="410"/>
        <v>2.626951126117687</v>
      </c>
      <c r="T6542" s="2">
        <f t="shared" si="412"/>
        <v>4.29922886486069</v>
      </c>
      <c r="U6542" s="2">
        <f t="shared" si="413"/>
        <v>176.51577150590839</v>
      </c>
    </row>
    <row r="6543" spans="1:21" x14ac:dyDescent="0.25">
      <c r="A6543">
        <v>7095729</v>
      </c>
      <c r="B6543">
        <v>32</v>
      </c>
      <c r="C6543" s="1">
        <f>3.36929975283554*(10.3/7.3)</f>
        <v>4.7539434868775405</v>
      </c>
      <c r="D6543" s="1">
        <f>7.10805229497704*(10.3/7.3)</f>
        <v>10.029169676474451</v>
      </c>
      <c r="E6543" s="1">
        <f>24.275164324291*(10.3/7.3)</f>
        <v>34.251259252081823</v>
      </c>
      <c r="F6543" s="1">
        <f>68.5653580732321*(38.9/42.5)</f>
        <v>62.757468918793656</v>
      </c>
      <c r="G6543" s="1">
        <v>3.635521428885665</v>
      </c>
      <c r="H6543" s="1">
        <v>10.235135051619128</v>
      </c>
      <c r="I6543" s="1">
        <v>48.849813035859462</v>
      </c>
      <c r="J6543" s="1">
        <v>3.7117955266737335E-2</v>
      </c>
      <c r="K6543" s="1">
        <v>2.5198049806506271</v>
      </c>
      <c r="L6543" s="1">
        <v>2.4868892089244548</v>
      </c>
      <c r="M6543" s="1">
        <v>0.19707745498270285</v>
      </c>
      <c r="N6543" s="1">
        <v>1.506827083832335</v>
      </c>
      <c r="O6543" s="1">
        <v>0.16533833333333342</v>
      </c>
      <c r="P6543" s="1">
        <v>0.10283998033834736</v>
      </c>
      <c r="Q6543" s="1">
        <v>5.810194064429151</v>
      </c>
      <c r="R6543" s="2">
        <f t="shared" si="411"/>
        <v>180.32250491502086</v>
      </c>
      <c r="S6543" s="2">
        <f t="shared" si="410"/>
        <v>2.6597629162557115</v>
      </c>
      <c r="T6543" s="2">
        <f t="shared" si="412"/>
        <v>4.3561320810728263</v>
      </c>
      <c r="U6543" s="2">
        <f t="shared" si="413"/>
        <v>187.33839991234939</v>
      </c>
    </row>
    <row r="6544" spans="1:21" x14ac:dyDescent="0.25">
      <c r="A6544">
        <v>7095745</v>
      </c>
      <c r="B6544">
        <v>3</v>
      </c>
      <c r="C6544" s="1">
        <f>2.56380436013327*(10.3/7.3)</f>
        <v>3.6174225903250208</v>
      </c>
      <c r="D6544" s="1">
        <f>5.65087585588971*(10.3/7.3)</f>
        <v>7.9731536048854856</v>
      </c>
      <c r="E6544" s="1">
        <f>19.1806568670137*(10.3/7.3)</f>
        <v>27.063118593183702</v>
      </c>
      <c r="F6544" s="1">
        <f>59.0744424930436*(38.9/42.5)</f>
        <v>54.070489717162303</v>
      </c>
      <c r="G6544" s="1">
        <v>3.2932393904031727</v>
      </c>
      <c r="H6544" s="1">
        <v>9.705519158454722</v>
      </c>
      <c r="I6544" s="1">
        <v>42.703349784304741</v>
      </c>
      <c r="J6544" s="1">
        <v>2.9778803968158518E-2</v>
      </c>
      <c r="K6544" s="1">
        <v>2.0487652444960474</v>
      </c>
      <c r="L6544" s="1">
        <v>1.9427297123259171</v>
      </c>
      <c r="M6544" s="1">
        <v>0.15390959939140547</v>
      </c>
      <c r="N6544" s="1">
        <v>1.2506127336548394</v>
      </c>
      <c r="O6544" s="1">
        <v>0.13047111111111112</v>
      </c>
      <c r="P6544" s="1">
        <v>8.4167914069663827E-2</v>
      </c>
      <c r="Q6544" s="1">
        <v>5.2631679755301901</v>
      </c>
      <c r="R6544" s="2">
        <f t="shared" si="411"/>
        <v>153.68946081424934</v>
      </c>
      <c r="S6544" s="2">
        <f t="shared" si="410"/>
        <v>2.1627119625338698</v>
      </c>
      <c r="T6544" s="2">
        <f t="shared" si="412"/>
        <v>3.4777231564832731</v>
      </c>
      <c r="U6544" s="2">
        <f t="shared" si="413"/>
        <v>159.3298959332665</v>
      </c>
    </row>
    <row r="6545" spans="1:21" x14ac:dyDescent="0.25">
      <c r="A6545">
        <v>710425</v>
      </c>
      <c r="B6545">
        <v>7</v>
      </c>
      <c r="C6545" s="1">
        <f>1.45251332043503*(10.3/7.3)</f>
        <v>2.0494366028055913</v>
      </c>
      <c r="D6545" s="1">
        <f>1.94028084167127*(10.3/7.3)</f>
        <v>2.7376565300293296</v>
      </c>
      <c r="E6545" s="1">
        <f>6.79347606634679*(10.3/7.3)</f>
        <v>9.5853155456673953</v>
      </c>
      <c r="F6545" s="1">
        <f>15.9782447103424*(38.9/42.5)</f>
        <v>14.624793393701644</v>
      </c>
      <c r="G6545" s="1">
        <v>0.70788603745340883</v>
      </c>
      <c r="H6545" s="1">
        <v>6.0314308664398562</v>
      </c>
      <c r="I6545" s="1">
        <v>12.035614244200747</v>
      </c>
      <c r="J6545" s="1">
        <v>3.2516276563529685E-2</v>
      </c>
      <c r="K6545" s="1">
        <v>4.534683475741442</v>
      </c>
      <c r="L6545" s="1">
        <v>1.5236107268907497</v>
      </c>
      <c r="M6545" s="1">
        <v>0.13822551900812641</v>
      </c>
      <c r="N6545" s="1">
        <v>1.1448114041404707</v>
      </c>
      <c r="O6545" s="1">
        <v>7.2251428571428564E-2</v>
      </c>
      <c r="P6545" s="1">
        <v>6.1788753200693596E-2</v>
      </c>
      <c r="Q6545" s="1">
        <v>1.1313247173912939</v>
      </c>
      <c r="R6545" s="2">
        <f t="shared" si="411"/>
        <v>48.903457937689268</v>
      </c>
      <c r="S6545" s="2">
        <f t="shared" si="410"/>
        <v>4.6289885055056654</v>
      </c>
      <c r="T6545" s="2">
        <f t="shared" si="412"/>
        <v>2.8788990786107753</v>
      </c>
      <c r="U6545" s="2">
        <f t="shared" si="413"/>
        <v>56.411345521805714</v>
      </c>
    </row>
    <row r="6546" spans="1:21" x14ac:dyDescent="0.25">
      <c r="A6546">
        <v>710433</v>
      </c>
      <c r="B6546">
        <v>25</v>
      </c>
      <c r="C6546" s="1">
        <f>1.59528613946388*(10.3/7.3)</f>
        <v>2.2508831830791696</v>
      </c>
      <c r="D6546" s="1">
        <f>2.31032436697156*(10.3/7.3)</f>
        <v>3.2597727369598699</v>
      </c>
      <c r="E6546" s="1">
        <f>8.00787475269683*(10.3/7.3)</f>
        <v>11.298782185311964</v>
      </c>
      <c r="F6546" s="1">
        <f>21.6119773314521*(38.9/42.5)</f>
        <v>19.781315722199718</v>
      </c>
      <c r="G6546" s="1">
        <v>1.0776017190703606</v>
      </c>
      <c r="H6546" s="1">
        <v>6.9502176674119163</v>
      </c>
      <c r="I6546" s="1">
        <v>16.370055926390766</v>
      </c>
      <c r="J6546" s="1">
        <v>3.7905387803983143E-2</v>
      </c>
      <c r="K6546" s="1">
        <v>4.8780678399845936</v>
      </c>
      <c r="L6546" s="1">
        <v>1.6606713295802373</v>
      </c>
      <c r="M6546" s="1">
        <v>0.12502070523402217</v>
      </c>
      <c r="N6546" s="1">
        <v>1.3764706349050053</v>
      </c>
      <c r="O6546" s="1">
        <v>7.8045866666666658E-2</v>
      </c>
      <c r="P6546" s="1">
        <v>6.722350349786628E-2</v>
      </c>
      <c r="Q6546" s="1">
        <v>1.7221945281946427</v>
      </c>
      <c r="R6546" s="2">
        <f t="shared" si="411"/>
        <v>62.710823668618396</v>
      </c>
      <c r="S6546" s="2">
        <f t="shared" si="410"/>
        <v>4.9831967312864425</v>
      </c>
      <c r="T6546" s="2">
        <f t="shared" si="412"/>
        <v>3.2402085363859316</v>
      </c>
      <c r="U6546" s="2">
        <f t="shared" si="413"/>
        <v>70.934228936290779</v>
      </c>
    </row>
    <row r="6547" spans="1:21" x14ac:dyDescent="0.25">
      <c r="A6547">
        <v>710481</v>
      </c>
      <c r="B6547">
        <v>2</v>
      </c>
      <c r="C6547" s="1">
        <f>1.38585634163177*(10.3/7.3)</f>
        <v>1.9553863450420865</v>
      </c>
      <c r="D6547" s="1">
        <f>1.84564287434948*(10.3/7.3)</f>
        <v>2.6041262473698077</v>
      </c>
      <c r="E6547" s="1">
        <f>6.46250656503214*(10.3/7.3)</f>
        <v>9.1183311807987728</v>
      </c>
      <c r="F6547" s="1">
        <f>15.2224024509295*(38.9/42.5)</f>
        <v>13.932975419791925</v>
      </c>
      <c r="G6547" s="1">
        <v>0.67499247409946883</v>
      </c>
      <c r="H6547" s="1">
        <v>3.2900567857920437</v>
      </c>
      <c r="I6547" s="1">
        <v>11.479005218522289</v>
      </c>
      <c r="J6547" s="1">
        <v>3.6101177566413886E-2</v>
      </c>
      <c r="K6547" s="1">
        <v>3.191009359630006</v>
      </c>
      <c r="L6547" s="1">
        <v>1.2856672951474057</v>
      </c>
      <c r="M6547" s="1">
        <v>7.2376014216279011E-2</v>
      </c>
      <c r="N6547" s="1">
        <v>1.5829052166265138</v>
      </c>
      <c r="O6547" s="1">
        <v>6.4399999999999999E-2</v>
      </c>
      <c r="P6547" s="1">
        <v>5.634537257964331E-2</v>
      </c>
      <c r="Q6547" s="1">
        <v>1.0787550955927594</v>
      </c>
      <c r="R6547" s="2">
        <f t="shared" si="411"/>
        <v>44.133628767009149</v>
      </c>
      <c r="S6547" s="2">
        <f t="shared" si="410"/>
        <v>3.2834559097760634</v>
      </c>
      <c r="T6547" s="2">
        <f t="shared" si="412"/>
        <v>3.0053485259901986</v>
      </c>
      <c r="U6547" s="2">
        <f t="shared" si="413"/>
        <v>50.422433202775416</v>
      </c>
    </row>
    <row r="6548" spans="1:21" x14ac:dyDescent="0.25">
      <c r="A6548">
        <v>710489</v>
      </c>
      <c r="B6548">
        <v>4</v>
      </c>
      <c r="C6548" s="1">
        <f>1.51072082305196*(10.3/7.3)</f>
        <v>2.1315649969089336</v>
      </c>
      <c r="D6548" s="1">
        <f>2.00723173730328*(10.3/7.3)</f>
        <v>2.8321214923594247</v>
      </c>
      <c r="E6548" s="1">
        <f>7.04695162240257*(10.3/7.3)</f>
        <v>9.9429591384584164</v>
      </c>
      <c r="F6548" s="1">
        <f>15.687023464798*(38.9/42.5)</f>
        <v>14.358240300721006</v>
      </c>
      <c r="G6548" s="1">
        <v>0.65913964656041357</v>
      </c>
      <c r="H6548" s="1">
        <v>2.8190289509993649</v>
      </c>
      <c r="I6548" s="1">
        <v>11.708228546143301</v>
      </c>
      <c r="J6548" s="1">
        <v>4.7460234024487465E-2</v>
      </c>
      <c r="K6548" s="1">
        <v>4.2068859267307674</v>
      </c>
      <c r="L6548" s="1">
        <v>1.4305125547255007</v>
      </c>
      <c r="M6548" s="1">
        <v>7.8857074703055002E-2</v>
      </c>
      <c r="N6548" s="1">
        <v>1.5074806013488282</v>
      </c>
      <c r="O6548" s="1">
        <v>7.0800000000000002E-2</v>
      </c>
      <c r="P6548" s="1">
        <v>6.1327468604786176E-2</v>
      </c>
      <c r="Q6548" s="1">
        <v>1.0534195264664152</v>
      </c>
      <c r="R6548" s="2">
        <f t="shared" si="411"/>
        <v>45.504702598617278</v>
      </c>
      <c r="S6548" s="2">
        <f t="shared" si="410"/>
        <v>4.3156736293600417</v>
      </c>
      <c r="T6548" s="2">
        <f t="shared" si="412"/>
        <v>3.0876502307773839</v>
      </c>
      <c r="U6548" s="2">
        <f t="shared" si="413"/>
        <v>52.908026458754705</v>
      </c>
    </row>
    <row r="6549" spans="1:21" x14ac:dyDescent="0.25">
      <c r="A6549">
        <v>7107365</v>
      </c>
      <c r="B6549">
        <v>28</v>
      </c>
      <c r="C6549" s="1">
        <f>0.402389944960418*(10.3/7.3)</f>
        <v>0.56775567576606911</v>
      </c>
      <c r="D6549" s="1">
        <f>0.771045074969566*(10.3/7.3)</f>
        <v>1.0879129139981547</v>
      </c>
      <c r="E6549" s="1">
        <f>2.63103803750214*(10.3/7.3)</f>
        <v>3.7122865460646697</v>
      </c>
      <c r="F6549" s="1">
        <f>7.91600180697192*(38.9/42.5)</f>
        <v>7.245469889204891</v>
      </c>
      <c r="G6549" s="1">
        <v>0.43208055954103253</v>
      </c>
      <c r="H6549" s="1">
        <v>1.8476652560364626</v>
      </c>
      <c r="I6549" s="1">
        <v>5.8119631349786562</v>
      </c>
      <c r="J6549" s="1">
        <v>1.9722714149533641E-2</v>
      </c>
      <c r="K6549" s="1">
        <v>1.8679205505112901</v>
      </c>
      <c r="L6549" s="1">
        <v>1.2124925703407747</v>
      </c>
      <c r="M6549" s="1">
        <v>0.16475780669938772</v>
      </c>
      <c r="N6549" s="1">
        <v>0.69297901899120784</v>
      </c>
      <c r="O6549" s="1">
        <v>0.17648</v>
      </c>
      <c r="P6549" s="1">
        <v>8.7535992620703357E-2</v>
      </c>
      <c r="Q6549" s="1">
        <v>0.6905397070290481</v>
      </c>
      <c r="R6549" s="2">
        <f t="shared" si="411"/>
        <v>21.395673682618987</v>
      </c>
      <c r="S6549" s="2">
        <f t="shared" si="410"/>
        <v>1.9751792572815272</v>
      </c>
      <c r="T6549" s="2">
        <f t="shared" si="412"/>
        <v>2.2467093960313704</v>
      </c>
      <c r="U6549" s="2">
        <f t="shared" si="413"/>
        <v>25.617562335931886</v>
      </c>
    </row>
    <row r="6550" spans="1:21" x14ac:dyDescent="0.25">
      <c r="A6550">
        <v>7107405</v>
      </c>
      <c r="B6550">
        <v>14</v>
      </c>
      <c r="C6550" s="1">
        <f>0.28164067138653*(10.3/7.3)</f>
        <v>0.39738341305222719</v>
      </c>
      <c r="D6550" s="1">
        <f>0.529932426467098*(10.3/7.3)</f>
        <v>0.74771287570015177</v>
      </c>
      <c r="E6550" s="1">
        <f>1.81078845196003*(10.3/7.3)</f>
        <v>2.5549480897518246</v>
      </c>
      <c r="F6550" s="1">
        <f>5.37058399153475*(38.9/42.5)</f>
        <v>4.9156639357812182</v>
      </c>
      <c r="G6550" s="1">
        <v>0.2904780610999621</v>
      </c>
      <c r="H6550" s="1">
        <v>2.2496758701999924</v>
      </c>
      <c r="I6550" s="1">
        <v>3.9424994006582339</v>
      </c>
      <c r="J6550" s="1">
        <v>1.6324211025984383E-2</v>
      </c>
      <c r="K6550" s="1">
        <v>1.4950780768789793</v>
      </c>
      <c r="L6550" s="1">
        <v>0.98992967919677655</v>
      </c>
      <c r="M6550" s="1">
        <v>0.14946412741428433</v>
      </c>
      <c r="N6550" s="1">
        <v>0.69214842520196995</v>
      </c>
      <c r="O6550" s="1">
        <v>0.14147809523809524</v>
      </c>
      <c r="P6550" s="1">
        <v>7.0937992696461588E-2</v>
      </c>
      <c r="Q6550" s="1">
        <v>0.46423434422368415</v>
      </c>
      <c r="R6550" s="2">
        <f t="shared" si="411"/>
        <v>15.562595990467294</v>
      </c>
      <c r="S6550" s="2">
        <f t="shared" si="410"/>
        <v>1.5823402806014253</v>
      </c>
      <c r="T6550" s="2">
        <f t="shared" si="412"/>
        <v>1.973020327051126</v>
      </c>
      <c r="U6550" s="2">
        <f t="shared" si="413"/>
        <v>19.117956598119846</v>
      </c>
    </row>
    <row r="6551" spans="1:21" x14ac:dyDescent="0.25">
      <c r="A6551">
        <v>7107445</v>
      </c>
      <c r="B6551">
        <v>27</v>
      </c>
      <c r="C6551" s="1">
        <f>0.330058519645118*(10.3/7.3)</f>
        <v>0.46569900717050838</v>
      </c>
      <c r="D6551" s="1">
        <f>0.733351640713217*(10.3/7.3)</f>
        <v>1.0347290273076899</v>
      </c>
      <c r="E6551" s="1">
        <f>2.47877346917919*(10.3/7.3)</f>
        <v>3.4974474976089964</v>
      </c>
      <c r="F6551" s="1">
        <f>8.14512874009963*(38.9/42.5)</f>
        <v>7.4551884232911947</v>
      </c>
      <c r="G6551" s="1">
        <v>0.46877557130215258</v>
      </c>
      <c r="H6551" s="1">
        <v>4.3260673349916274</v>
      </c>
      <c r="I6551" s="1">
        <v>5.9680526234252236</v>
      </c>
      <c r="J6551" s="1">
        <v>1.7096339404916946E-2</v>
      </c>
      <c r="K6551" s="1">
        <v>1.5946520245325826</v>
      </c>
      <c r="L6551" s="1">
        <v>1.0584429968677485</v>
      </c>
      <c r="M6551" s="1">
        <v>0.1615608463556065</v>
      </c>
      <c r="N6551" s="1">
        <v>0.68196017546843501</v>
      </c>
      <c r="O6551" s="1">
        <v>0.14739753086419752</v>
      </c>
      <c r="P6551" s="1">
        <v>7.5150312255357676E-2</v>
      </c>
      <c r="Q6551" s="1">
        <v>0.74918470299430862</v>
      </c>
      <c r="R6551" s="2">
        <f t="shared" si="411"/>
        <v>23.965144188091703</v>
      </c>
      <c r="S6551" s="2">
        <f t="shared" si="410"/>
        <v>1.686898676192857</v>
      </c>
      <c r="T6551" s="2">
        <f t="shared" si="412"/>
        <v>2.0493615495559876</v>
      </c>
      <c r="U6551" s="2">
        <f t="shared" si="413"/>
        <v>27.70140441384055</v>
      </c>
    </row>
    <row r="6552" spans="1:21" x14ac:dyDescent="0.25">
      <c r="A6552">
        <v>7107637</v>
      </c>
      <c r="B6552">
        <v>5</v>
      </c>
      <c r="C6552" s="1">
        <f>0.732060340830347*(10.3/7.3)</f>
        <v>1.0329070562400791</v>
      </c>
      <c r="D6552" s="1">
        <f>1.95897425776086*(10.3/7.3)</f>
        <v>2.7640321719091605</v>
      </c>
      <c r="E6552" s="1">
        <f>6.61942512576392*(10.3/7.3)</f>
        <v>9.3397368212833403</v>
      </c>
      <c r="F6552" s="1">
        <f>20.3504874282973*(38.9/42.5)</f>
        <v>18.626681434370912</v>
      </c>
      <c r="G6552" s="1">
        <v>1.1450516108074282</v>
      </c>
      <c r="H6552" s="1">
        <v>5.0251926607227499</v>
      </c>
      <c r="I6552" s="1">
        <v>14.342838388258372</v>
      </c>
      <c r="J6552" s="1">
        <v>1.7609295592456237E-2</v>
      </c>
      <c r="K6552" s="1">
        <v>1.6592192227869944</v>
      </c>
      <c r="L6552" s="1">
        <v>1.3861064018632878</v>
      </c>
      <c r="M6552" s="1">
        <v>0.16613312943716455</v>
      </c>
      <c r="N6552" s="1">
        <v>0.69656946630264849</v>
      </c>
      <c r="O6552" s="1">
        <v>0.13262933333333332</v>
      </c>
      <c r="P6552" s="1">
        <v>7.8957230104223522E-2</v>
      </c>
      <c r="Q6552" s="1">
        <v>1.8299911588246587</v>
      </c>
      <c r="R6552" s="2">
        <f t="shared" si="411"/>
        <v>54.106431302416702</v>
      </c>
      <c r="S6552" s="2">
        <f t="shared" si="410"/>
        <v>1.7557857484836743</v>
      </c>
      <c r="T6552" s="2">
        <f t="shared" si="412"/>
        <v>2.3814383309364344</v>
      </c>
      <c r="U6552" s="2">
        <f t="shared" si="413"/>
        <v>58.24365538183681</v>
      </c>
    </row>
    <row r="6553" spans="1:21" x14ac:dyDescent="0.25">
      <c r="A6553">
        <v>7107645</v>
      </c>
      <c r="B6553">
        <v>52</v>
      </c>
      <c r="C6553" s="1">
        <f>0.738808323171851*(10.3/7.3)</f>
        <v>1.0424281820095975</v>
      </c>
      <c r="D6553" s="1">
        <f>1.78745557848156*(10.3/7.3)</f>
        <v>2.5220263641589153</v>
      </c>
      <c r="E6553" s="1">
        <f>6.02853859862474*(10.3/7.3)</f>
        <v>8.5060202144979158</v>
      </c>
      <c r="F6553" s="1">
        <f>19.8303351855739*(38.9/42.5)</f>
        <v>18.150589146325313</v>
      </c>
      <c r="G6553" s="1">
        <v>1.1467126190293391</v>
      </c>
      <c r="H6553" s="1">
        <v>5.6003069431478663</v>
      </c>
      <c r="I6553" s="1">
        <v>14.381662383543414</v>
      </c>
      <c r="J6553" s="1">
        <v>1.6717570002862347E-2</v>
      </c>
      <c r="K6553" s="1">
        <v>1.599616450632207</v>
      </c>
      <c r="L6553" s="1">
        <v>1.3313557458785026</v>
      </c>
      <c r="M6553" s="1">
        <v>0.16005757488122246</v>
      </c>
      <c r="N6553" s="1">
        <v>0.6644850780270537</v>
      </c>
      <c r="O6553" s="1">
        <v>0.12768820512820514</v>
      </c>
      <c r="P6553" s="1">
        <v>7.6316335574840605E-2</v>
      </c>
      <c r="Q6553" s="1">
        <v>1.8326457381747443</v>
      </c>
      <c r="R6553" s="2">
        <f t="shared" si="411"/>
        <v>53.182391590887107</v>
      </c>
      <c r="S6553" s="2">
        <f t="shared" si="410"/>
        <v>1.69265035620991</v>
      </c>
      <c r="T6553" s="2">
        <f t="shared" si="412"/>
        <v>2.2835866039149839</v>
      </c>
      <c r="U6553" s="2">
        <f t="shared" si="413"/>
        <v>57.158628551012001</v>
      </c>
    </row>
    <row r="6554" spans="1:21" x14ac:dyDescent="0.25">
      <c r="A6554">
        <v>7107909</v>
      </c>
      <c r="B6554">
        <v>46</v>
      </c>
      <c r="C6554" s="1">
        <f>2.78511606841287*(10.3/7.3)</f>
        <v>3.9296843157058281</v>
      </c>
      <c r="D6554" s="1">
        <f>6.76373611445721*(10.3/7.3)</f>
        <v>9.5433536957409988</v>
      </c>
      <c r="E6554" s="1">
        <f>22.8171689116542*(10.3/7.3)</f>
        <v>32.194087642470976</v>
      </c>
      <c r="F6554" s="1">
        <f>74.6816623837152*(38.9/42.5)</f>
        <v>68.355686275918131</v>
      </c>
      <c r="G6554" s="1">
        <v>4.3095013069790431</v>
      </c>
      <c r="H6554" s="1">
        <v>13.809786747848207</v>
      </c>
      <c r="I6554" s="1">
        <v>54.075405650597048</v>
      </c>
      <c r="J6554" s="1">
        <v>3.6952032163296109E-2</v>
      </c>
      <c r="K6554" s="1">
        <v>2.5343530379496007</v>
      </c>
      <c r="L6554" s="1">
        <v>2.5486977725848674</v>
      </c>
      <c r="M6554" s="1">
        <v>0.2055073083079289</v>
      </c>
      <c r="N6554" s="1">
        <v>1.5044281859768811</v>
      </c>
      <c r="O6554" s="1">
        <v>0.17506434782608696</v>
      </c>
      <c r="P6554" s="1">
        <v>0.10485563333329143</v>
      </c>
      <c r="Q6554" s="1">
        <v>6.8873308559025883</v>
      </c>
      <c r="R6554" s="2">
        <f t="shared" si="411"/>
        <v>193.10483649116281</v>
      </c>
      <c r="S6554" s="2">
        <f t="shared" si="410"/>
        <v>2.6761607034461878</v>
      </c>
      <c r="T6554" s="2">
        <f t="shared" si="412"/>
        <v>4.4336976146957641</v>
      </c>
      <c r="U6554" s="2">
        <f t="shared" si="413"/>
        <v>200.21469480930477</v>
      </c>
    </row>
    <row r="6555" spans="1:21" x14ac:dyDescent="0.25">
      <c r="A6555">
        <v>7107917</v>
      </c>
      <c r="B6555">
        <v>67</v>
      </c>
      <c r="C6555" s="1">
        <f>2.06718797898433*(10.3/7.3)</f>
        <v>2.9167172854162438</v>
      </c>
      <c r="D6555" s="1">
        <f>4.71470422734842*(10.3/7.3)</f>
        <v>6.6522539098203701</v>
      </c>
      <c r="E6555" s="1">
        <f>15.9815391331942*(10.3/7.3)</f>
        <v>22.549294941356166</v>
      </c>
      <c r="F6555" s="1">
        <f>49.6059896048878*(38.9/42.5)</f>
        <v>45.404070485414906</v>
      </c>
      <c r="G6555" s="1">
        <v>2.7816453677868087</v>
      </c>
      <c r="H6555" s="1">
        <v>8.0816099743116343</v>
      </c>
      <c r="I6555" s="1">
        <v>35.757904935516649</v>
      </c>
      <c r="J6555" s="1">
        <v>2.8875191562069087E-2</v>
      </c>
      <c r="K6555" s="1">
        <v>2.0824867150777964</v>
      </c>
      <c r="L6555" s="1">
        <v>2.006020016434841</v>
      </c>
      <c r="M6555" s="1">
        <v>0.16739819732377478</v>
      </c>
      <c r="N6555" s="1">
        <v>1.2038689521503276</v>
      </c>
      <c r="O6555" s="1">
        <v>0.14109452736318409</v>
      </c>
      <c r="P6555" s="1">
        <v>8.7823857439931624E-2</v>
      </c>
      <c r="Q6555" s="1">
        <v>4.4455519576501539</v>
      </c>
      <c r="R6555" s="2">
        <f t="shared" si="411"/>
        <v>128.58904885727293</v>
      </c>
      <c r="S6555" s="2">
        <f t="shared" si="410"/>
        <v>2.1991857640797972</v>
      </c>
      <c r="T6555" s="2">
        <f t="shared" si="412"/>
        <v>3.5183816932721275</v>
      </c>
      <c r="U6555" s="2">
        <f t="shared" si="413"/>
        <v>134.30661631462485</v>
      </c>
    </row>
    <row r="6556" spans="1:21" x14ac:dyDescent="0.25">
      <c r="A6556">
        <v>7107925</v>
      </c>
      <c r="B6556">
        <v>57</v>
      </c>
      <c r="C6556" s="1">
        <f>1.51970684521858*(10.3/7.3)</f>
        <v>2.1442439048974484</v>
      </c>
      <c r="D6556" s="1">
        <f>3.30972033293855*(10.3/7.3)</f>
        <v>4.6698793738722051</v>
      </c>
      <c r="E6556" s="1">
        <f>11.2471610240773*(10.3/7.3)</f>
        <v>15.869281992876195</v>
      </c>
      <c r="F6556" s="1">
        <f>34.1497329495482*(38.9/42.5)</f>
        <v>31.257049687939375</v>
      </c>
      <c r="G6556" s="1">
        <v>1.8884850807204165</v>
      </c>
      <c r="H6556" s="1">
        <v>6.2245042265165464</v>
      </c>
      <c r="I6556" s="1">
        <v>24.644831047873243</v>
      </c>
      <c r="J6556" s="1">
        <v>2.3676779196593792E-2</v>
      </c>
      <c r="K6556" s="1">
        <v>1.7731489058018304</v>
      </c>
      <c r="L6556" s="1">
        <v>1.6402720393889028</v>
      </c>
      <c r="M6556" s="1">
        <v>0.14084198502483863</v>
      </c>
      <c r="N6556" s="1">
        <v>1.1105312895600326</v>
      </c>
      <c r="O6556" s="1">
        <v>0.11808561403508774</v>
      </c>
      <c r="P6556" s="1">
        <v>7.5914053952295488E-2</v>
      </c>
      <c r="Q6556" s="1">
        <v>3.0181268413340021</v>
      </c>
      <c r="R6556" s="2">
        <f t="shared" si="411"/>
        <v>89.716402156029432</v>
      </c>
      <c r="S6556" s="2">
        <f t="shared" si="410"/>
        <v>1.8727397389507197</v>
      </c>
      <c r="T6556" s="2">
        <f t="shared" si="412"/>
        <v>3.0097309280088616</v>
      </c>
      <c r="U6556" s="2">
        <f t="shared" si="413"/>
        <v>94.598872822989009</v>
      </c>
    </row>
    <row r="6557" spans="1:21" x14ac:dyDescent="0.25">
      <c r="A6557">
        <v>7107933</v>
      </c>
      <c r="B6557">
        <v>65</v>
      </c>
      <c r="C6557" s="1">
        <f>2.22917183922353*(10.3/7.3)</f>
        <v>3.145269855342792</v>
      </c>
      <c r="D6557" s="1">
        <f>4.85515174168477*(10.3/7.3)</f>
        <v>6.8504195807333037</v>
      </c>
      <c r="E6557" s="1">
        <f>16.5149441503478*(10.3/7.3)</f>
        <v>23.301907499805765</v>
      </c>
      <c r="F6557" s="1">
        <f>49.3153363829822*(38.9/42.5)</f>
        <v>45.138037301129629</v>
      </c>
      <c r="G6557" s="1">
        <v>2.7032382653711751</v>
      </c>
      <c r="H6557" s="1">
        <v>7.7809868177126855</v>
      </c>
      <c r="I6557" s="1">
        <v>35.447934478673659</v>
      </c>
      <c r="J6557" s="1">
        <v>3.0201557622493078E-2</v>
      </c>
      <c r="K6557" s="1">
        <v>2.1477336369712958</v>
      </c>
      <c r="L6557" s="1">
        <v>2.0835766814492453</v>
      </c>
      <c r="M6557" s="1">
        <v>0.17024465348689555</v>
      </c>
      <c r="N6557" s="1">
        <v>1.2985346355212215</v>
      </c>
      <c r="O6557" s="1">
        <v>0.14430194871794874</v>
      </c>
      <c r="P6557" s="1">
        <v>8.9995888377299674E-2</v>
      </c>
      <c r="Q6557" s="1">
        <v>4.3202438031046242</v>
      </c>
      <c r="R6557" s="2">
        <f t="shared" si="411"/>
        <v>128.68803760187362</v>
      </c>
      <c r="S6557" s="2">
        <f t="shared" si="410"/>
        <v>2.2679310829710886</v>
      </c>
      <c r="T6557" s="2">
        <f t="shared" si="412"/>
        <v>3.6966579191753111</v>
      </c>
      <c r="U6557" s="2">
        <f t="shared" si="413"/>
        <v>134.65262660402004</v>
      </c>
    </row>
    <row r="6558" spans="1:21" x14ac:dyDescent="0.25">
      <c r="A6558">
        <v>7107941</v>
      </c>
      <c r="B6558">
        <v>9</v>
      </c>
      <c r="C6558" s="1">
        <f>2.21211269476156*(10.3/7.3)</f>
        <v>3.1212001035676815</v>
      </c>
      <c r="D6558" s="1">
        <f>4.79832710288675*(10.3/7.3)</f>
        <v>6.7702423506484255</v>
      </c>
      <c r="E6558" s="1">
        <f>16.3401988482743*(10.3/7.3)</f>
        <v>23.055349059893828</v>
      </c>
      <c r="F6558" s="1">
        <f>47.930094377188*(38.9/42.5)</f>
        <v>43.87013344170856</v>
      </c>
      <c r="G6558" s="1">
        <v>2.6013062372790774</v>
      </c>
      <c r="H6558" s="1">
        <v>7.7591154355143521</v>
      </c>
      <c r="I6558" s="1">
        <v>34.323590149172539</v>
      </c>
      <c r="J6558" s="1">
        <v>3.022292596141404E-2</v>
      </c>
      <c r="K6558" s="1">
        <v>2.1459564078759712</v>
      </c>
      <c r="L6558" s="1">
        <v>2.0880594057750308</v>
      </c>
      <c r="M6558" s="1">
        <v>0.16887191197138196</v>
      </c>
      <c r="N6558" s="1">
        <v>1.2653683186035241</v>
      </c>
      <c r="O6558" s="1">
        <v>0.14295703703703702</v>
      </c>
      <c r="P6558" s="1">
        <v>8.9519188277451478E-2</v>
      </c>
      <c r="Q6558" s="1">
        <v>4.1573387353775253</v>
      </c>
      <c r="R6558" s="2">
        <f t="shared" si="411"/>
        <v>125.65827551316198</v>
      </c>
      <c r="S6558" s="2">
        <f t="shared" si="410"/>
        <v>2.2656985221148367</v>
      </c>
      <c r="T6558" s="2">
        <f t="shared" si="412"/>
        <v>3.665256673386974</v>
      </c>
      <c r="U6558" s="2">
        <f t="shared" si="413"/>
        <v>131.58923070866379</v>
      </c>
    </row>
    <row r="6559" spans="1:21" x14ac:dyDescent="0.25">
      <c r="A6559">
        <v>7107949</v>
      </c>
      <c r="B6559">
        <v>64</v>
      </c>
      <c r="C6559" s="1">
        <f>3.08367474091064*(10.3/7.3)</f>
        <v>4.3509383330656979</v>
      </c>
      <c r="D6559" s="1">
        <f>6.57874918163227*(10.3/7.3)</f>
        <v>9.2823447357277242</v>
      </c>
      <c r="E6559" s="1">
        <f>22.4336974808197*(10.3/7.3)</f>
        <v>31.653025212663469</v>
      </c>
      <c r="F6559" s="1">
        <f>64.7489741192057*(38.9/42.5)</f>
        <v>59.264355134990652</v>
      </c>
      <c r="G6559" s="1">
        <v>3.4788372852942837</v>
      </c>
      <c r="H6559" s="1">
        <v>10.753903896231677</v>
      </c>
      <c r="I6559" s="1">
        <v>46.299523953080929</v>
      </c>
      <c r="J6559" s="1">
        <v>3.6595776004364644E-2</v>
      </c>
      <c r="K6559" s="1">
        <v>2.5112355188007847</v>
      </c>
      <c r="L6559" s="1">
        <v>2.4939599990733945</v>
      </c>
      <c r="M6559" s="1">
        <v>0.19678415066363633</v>
      </c>
      <c r="N6559" s="1">
        <v>1.4898669126544277</v>
      </c>
      <c r="O6559" s="1">
        <v>0.16701916666666664</v>
      </c>
      <c r="P6559" s="1">
        <v>0.10320101111452952</v>
      </c>
      <c r="Q6559" s="1">
        <v>5.5597856157671242</v>
      </c>
      <c r="R6559" s="2">
        <f t="shared" si="411"/>
        <v>170.64271416682155</v>
      </c>
      <c r="S6559" s="2">
        <f t="shared" si="410"/>
        <v>2.6510323059196788</v>
      </c>
      <c r="T6559" s="2">
        <f t="shared" si="412"/>
        <v>4.347630229058125</v>
      </c>
      <c r="U6559" s="2">
        <f t="shared" si="413"/>
        <v>177.64137670179935</v>
      </c>
    </row>
    <row r="6560" spans="1:21" x14ac:dyDescent="0.25">
      <c r="A6560">
        <v>7107957</v>
      </c>
      <c r="B6560">
        <v>64</v>
      </c>
      <c r="C6560" s="1">
        <f>3.52919524332243*(10.3/7.3)</f>
        <v>4.9795494529069915</v>
      </c>
      <c r="D6560" s="1">
        <f>7.48990421798091*(10.3/7.3)</f>
        <v>10.567947047288127</v>
      </c>
      <c r="E6560" s="1">
        <f>25.5706838006534*(10.3/7.3)</f>
        <v>36.079183992702703</v>
      </c>
      <c r="F6560" s="1">
        <f>72.4516423859357*(38.9/42.5)</f>
        <v>66.314562089715281</v>
      </c>
      <c r="G6560" s="1">
        <v>3.8502118999782429</v>
      </c>
      <c r="H6560" s="1">
        <v>9.9692948859005401</v>
      </c>
      <c r="I6560" s="1">
        <v>51.610749350212132</v>
      </c>
      <c r="J6560" s="1">
        <v>3.9536581408351819E-2</v>
      </c>
      <c r="K6560" s="1">
        <v>2.6693300114390395</v>
      </c>
      <c r="L6560" s="1">
        <v>2.6584076790261566</v>
      </c>
      <c r="M6560" s="1">
        <v>0.20953357149441401</v>
      </c>
      <c r="N6560" s="1">
        <v>1.5949615117696498</v>
      </c>
      <c r="O6560" s="1">
        <v>0.17579583333333335</v>
      </c>
      <c r="P6560" s="1">
        <v>0.10857130714243932</v>
      </c>
      <c r="Q6560" s="1">
        <v>6.1533066894629522</v>
      </c>
      <c r="R6560" s="2">
        <f t="shared" si="411"/>
        <v>189.524805408167</v>
      </c>
      <c r="S6560" s="2">
        <f t="shared" si="410"/>
        <v>2.8174378999898306</v>
      </c>
      <c r="T6560" s="2">
        <f t="shared" si="412"/>
        <v>4.6386985956235529</v>
      </c>
      <c r="U6560" s="2">
        <f t="shared" si="413"/>
        <v>196.9809419037804</v>
      </c>
    </row>
    <row r="6561" spans="1:21" x14ac:dyDescent="0.25">
      <c r="A6561">
        <v>7119593</v>
      </c>
      <c r="B6561">
        <v>3</v>
      </c>
      <c r="C6561" s="1">
        <f>0.282256127059361*(10.3/7.3)</f>
        <v>0.3982517957138933</v>
      </c>
      <c r="D6561" s="1">
        <f>0.50294574639709*(10.3/7.3)</f>
        <v>0.70963577916301779</v>
      </c>
      <c r="E6561" s="1">
        <f>1.72465562160348*(10.3/7.3)</f>
        <v>2.4334182058240872</v>
      </c>
      <c r="F6561" s="1">
        <f>4.95284707713277*(38.9/42.5)</f>
        <v>4.5333117953050515</v>
      </c>
      <c r="G6561" s="1">
        <v>0.26190695108516987</v>
      </c>
      <c r="H6561" s="1">
        <v>1.1514946818821916</v>
      </c>
      <c r="I6561" s="1">
        <v>3.6444530381503726</v>
      </c>
      <c r="J6561" s="1">
        <v>1.6610728308257511E-2</v>
      </c>
      <c r="K6561" s="1">
        <v>1.6319887840437535</v>
      </c>
      <c r="L6561" s="1">
        <v>1.0487696791777115</v>
      </c>
      <c r="M6561" s="1">
        <v>0.14882045292124804</v>
      </c>
      <c r="N6561" s="1">
        <v>0.59466863513041712</v>
      </c>
      <c r="O6561" s="1">
        <v>0.15361777777777777</v>
      </c>
      <c r="P6561" s="1">
        <v>7.8440862845095827E-2</v>
      </c>
      <c r="Q6561" s="1">
        <v>0.41857275287584256</v>
      </c>
      <c r="R6561" s="2">
        <f t="shared" si="411"/>
        <v>13.551044999999625</v>
      </c>
      <c r="S6561" s="2">
        <f t="shared" si="410"/>
        <v>1.7270403751971068</v>
      </c>
      <c r="T6561" s="2">
        <f t="shared" si="412"/>
        <v>1.9458765450071545</v>
      </c>
      <c r="U6561" s="2">
        <f t="shared" si="413"/>
        <v>17.223961920203887</v>
      </c>
    </row>
    <row r="6562" spans="1:21" x14ac:dyDescent="0.25">
      <c r="A6562">
        <v>7119633</v>
      </c>
      <c r="B6562">
        <v>9</v>
      </c>
      <c r="C6562" s="1">
        <f>0.284406902815881*(10.3/7.3)</f>
        <v>0.40128645191829831</v>
      </c>
      <c r="D6562" s="1">
        <f>0.532925313397982*(10.3/7.3)</f>
        <v>0.75193571616427535</v>
      </c>
      <c r="E6562" s="1">
        <f>1.8217630802365*(10.3/7.3)</f>
        <v>2.5704328392378022</v>
      </c>
      <c r="F6562" s="1">
        <f>5.37649432698559*(38.9/42.5)</f>
        <v>4.9210736310526926</v>
      </c>
      <c r="G6562" s="1">
        <v>0.289910930697308</v>
      </c>
      <c r="H6562" s="1">
        <v>2.628335504759038</v>
      </c>
      <c r="I6562" s="1">
        <v>3.9453103305869721</v>
      </c>
      <c r="J6562" s="1">
        <v>1.653623650896412E-2</v>
      </c>
      <c r="K6562" s="1">
        <v>1.4976095384941759</v>
      </c>
      <c r="L6562" s="1">
        <v>0.99972125531453004</v>
      </c>
      <c r="M6562" s="1">
        <v>0.14874071030029359</v>
      </c>
      <c r="N6562" s="1">
        <v>0.72000358338083847</v>
      </c>
      <c r="O6562" s="1">
        <v>0.14168888888888886</v>
      </c>
      <c r="P6562" s="1">
        <v>7.1450710753230506E-2</v>
      </c>
      <c r="Q6562" s="1">
        <v>0.46332797143405435</v>
      </c>
      <c r="R6562" s="2">
        <f t="shared" si="411"/>
        <v>15.971613375850442</v>
      </c>
      <c r="S6562" s="2">
        <f t="shared" si="410"/>
        <v>1.5855964857563705</v>
      </c>
      <c r="T6562" s="2">
        <f t="shared" si="412"/>
        <v>2.0101544378845508</v>
      </c>
      <c r="U6562" s="2">
        <f t="shared" si="413"/>
        <v>19.567364299491363</v>
      </c>
    </row>
    <row r="6563" spans="1:21" x14ac:dyDescent="0.25">
      <c r="A6563">
        <v>7119681</v>
      </c>
      <c r="B6563">
        <v>1</v>
      </c>
      <c r="C6563" s="1">
        <f>0.352249273901175*(10.3/7.3)</f>
        <v>0.49700924947699993</v>
      </c>
      <c r="D6563" s="1">
        <f>0.789888032198684*(10.3/7.3)</f>
        <v>1.1144995522803356</v>
      </c>
      <c r="E6563" s="1">
        <f>2.66905670470188*(10.3/7.3)</f>
        <v>3.7659293230725099</v>
      </c>
      <c r="F6563" s="1">
        <f>8.77973085512085*(38.9/42.5)</f>
        <v>8.0360360062165004</v>
      </c>
      <c r="G6563" s="1">
        <v>0.50578835207517026</v>
      </c>
      <c r="H6563" s="1">
        <v>3.1706412783798155</v>
      </c>
      <c r="I6563" s="1">
        <v>6.4270062072875263</v>
      </c>
      <c r="J6563" s="1">
        <v>1.8508854788986531E-2</v>
      </c>
      <c r="K6563" s="1">
        <v>1.6735391315084107</v>
      </c>
      <c r="L6563" s="1">
        <v>1.1176800426364017</v>
      </c>
      <c r="M6563" s="1">
        <v>0.16808218109398954</v>
      </c>
      <c r="N6563" s="1">
        <v>0.70689384148796075</v>
      </c>
      <c r="O6563" s="1">
        <v>0.15493333333333331</v>
      </c>
      <c r="P6563" s="1">
        <v>7.8951110642671324E-2</v>
      </c>
      <c r="Q6563" s="1">
        <v>0.80833754897858334</v>
      </c>
      <c r="R6563" s="2">
        <f t="shared" si="411"/>
        <v>24.325247517767444</v>
      </c>
      <c r="S6563" s="2">
        <f t="shared" si="410"/>
        <v>1.7709990969400684</v>
      </c>
      <c r="T6563" s="2">
        <f t="shared" si="412"/>
        <v>2.147589398551685</v>
      </c>
      <c r="U6563" s="2">
        <f t="shared" si="413"/>
        <v>28.243836013259198</v>
      </c>
    </row>
    <row r="6564" spans="1:21" x14ac:dyDescent="0.25">
      <c r="A6564">
        <v>7119873</v>
      </c>
      <c r="B6564">
        <v>30</v>
      </c>
      <c r="C6564" s="1">
        <f>0.691912526708639*(10.3/7.3)</f>
        <v>0.97626014042451859</v>
      </c>
      <c r="D6564" s="1">
        <f>1.91976692079974*(10.3/7.3)</f>
        <v>2.7087122307174365</v>
      </c>
      <c r="E6564" s="1">
        <f>6.49278117030436*(10.3/7.3)</f>
        <v>9.1610474046760206</v>
      </c>
      <c r="F6564" s="1">
        <f>19.4036022020512*(38.9/42.5)</f>
        <v>17.76000295670099</v>
      </c>
      <c r="G6564" s="1">
        <v>1.0781031440948337</v>
      </c>
      <c r="H6564" s="1">
        <v>4.4585148519901781</v>
      </c>
      <c r="I6564" s="1">
        <v>13.512656699605367</v>
      </c>
      <c r="J6564" s="1">
        <v>1.6822322735617463E-2</v>
      </c>
      <c r="K6564" s="1">
        <v>1.6045055600514819</v>
      </c>
      <c r="L6564" s="1">
        <v>1.3307243092140471</v>
      </c>
      <c r="M6564" s="1">
        <v>0.16076993805212786</v>
      </c>
      <c r="N6564" s="1">
        <v>0.66503997508042301</v>
      </c>
      <c r="O6564" s="1">
        <v>0.12809066666666666</v>
      </c>
      <c r="P6564" s="1">
        <v>7.6569844695945771E-2</v>
      </c>
      <c r="Q6564" s="1">
        <v>1.7229958923890054</v>
      </c>
      <c r="R6564" s="2">
        <f t="shared" si="411"/>
        <v>51.378293320598353</v>
      </c>
      <c r="S6564" s="2">
        <f t="shared" si="410"/>
        <v>1.6978977274830451</v>
      </c>
      <c r="T6564" s="2">
        <f t="shared" si="412"/>
        <v>2.2846248890132643</v>
      </c>
      <c r="U6564" s="2">
        <f t="shared" si="413"/>
        <v>55.360815937094664</v>
      </c>
    </row>
    <row r="6565" spans="1:21" x14ac:dyDescent="0.25">
      <c r="A6565">
        <v>7120145</v>
      </c>
      <c r="B6565">
        <v>54</v>
      </c>
      <c r="C6565" s="1">
        <f>2.94056628200844*(10.3/7.3)</f>
        <v>4.1490181787242424</v>
      </c>
      <c r="D6565" s="1">
        <f>7.07565110935763*(10.3/7.3)</f>
        <v>9.9834529351210399</v>
      </c>
      <c r="E6565" s="1">
        <f>23.9332086768878*(10.3/7.3)</f>
        <v>33.768773886567764</v>
      </c>
      <c r="F6565" s="1">
        <f>75.3045752615401*(38.9/42.5)</f>
        <v>68.925834768797898</v>
      </c>
      <c r="G6565" s="1">
        <v>4.2632452657295339</v>
      </c>
      <c r="H6565" s="1">
        <v>11.437874456638372</v>
      </c>
      <c r="I6565" s="1">
        <v>54.082317126787729</v>
      </c>
      <c r="J6565" s="1">
        <v>3.7786200925113714E-2</v>
      </c>
      <c r="K6565" s="1">
        <v>2.6044019743625033</v>
      </c>
      <c r="L6565" s="1">
        <v>2.6206662213699055</v>
      </c>
      <c r="M6565" s="1">
        <v>0.20979869168611462</v>
      </c>
      <c r="N6565" s="1">
        <v>1.519920963118838</v>
      </c>
      <c r="O6565" s="1">
        <v>0.17938962962962968</v>
      </c>
      <c r="P6565" s="1">
        <v>0.10740902436837967</v>
      </c>
      <c r="Q6565" s="1">
        <v>6.8134056758234633</v>
      </c>
      <c r="R6565" s="2">
        <f t="shared" si="411"/>
        <v>193.42392229419005</v>
      </c>
      <c r="S6565" s="2">
        <f t="shared" si="410"/>
        <v>2.7495971996559967</v>
      </c>
      <c r="T6565" s="2">
        <f t="shared" si="412"/>
        <v>4.529775505804488</v>
      </c>
      <c r="U6565" s="2">
        <f t="shared" si="413"/>
        <v>200.70329499965052</v>
      </c>
    </row>
    <row r="6566" spans="1:21" x14ac:dyDescent="0.25">
      <c r="A6566">
        <v>7120153</v>
      </c>
      <c r="B6566">
        <v>53</v>
      </c>
      <c r="C6566" s="1">
        <f>1.46734459081355*(10.3/7.3)</f>
        <v>2.0703629158054184</v>
      </c>
      <c r="D6566" s="1">
        <f>3.24820575659499*(10.3/7.3)</f>
        <v>4.583084834647722</v>
      </c>
      <c r="E6566" s="1">
        <f>11.0328746816704*(10.3/7.3)</f>
        <v>15.566932770028046</v>
      </c>
      <c r="F6566" s="1">
        <f>33.5266272394041*(38.9/42.5)</f>
        <v>30.686724696772195</v>
      </c>
      <c r="G6566" s="1">
        <v>1.856607366608251</v>
      </c>
      <c r="H6566" s="1">
        <v>6.1531483889903651</v>
      </c>
      <c r="I6566" s="1">
        <v>24.1441864145743</v>
      </c>
      <c r="J6566" s="1">
        <v>2.3206481650468513E-2</v>
      </c>
      <c r="K6566" s="1">
        <v>1.7442497233410119</v>
      </c>
      <c r="L6566" s="1">
        <v>1.6042207486486382</v>
      </c>
      <c r="M6566" s="1">
        <v>0.138618406223248</v>
      </c>
      <c r="N6566" s="1">
        <v>1.000432540458857</v>
      </c>
      <c r="O6566" s="1">
        <v>0.11618515723270437</v>
      </c>
      <c r="P6566" s="1">
        <v>7.4806859682034765E-2</v>
      </c>
      <c r="Q6566" s="1">
        <v>2.9671807228899016</v>
      </c>
      <c r="R6566" s="2">
        <f t="shared" si="411"/>
        <v>88.028228110316206</v>
      </c>
      <c r="S6566" s="2">
        <f t="shared" si="410"/>
        <v>1.8422630646735152</v>
      </c>
      <c r="T6566" s="2">
        <f t="shared" si="412"/>
        <v>2.8594568525634476</v>
      </c>
      <c r="U6566" s="2">
        <f t="shared" si="413"/>
        <v>92.729948027553178</v>
      </c>
    </row>
    <row r="6567" spans="1:21" x14ac:dyDescent="0.25">
      <c r="A6567">
        <v>7120161</v>
      </c>
      <c r="B6567">
        <v>35</v>
      </c>
      <c r="C6567" s="1">
        <f>1.7478068659691*(10.3/7.3)</f>
        <v>2.4660836602029761</v>
      </c>
      <c r="D6567" s="1">
        <f>3.8161872158062*(10.3/7.3)</f>
        <v>5.3844833318909391</v>
      </c>
      <c r="E6567" s="1">
        <f>12.9733431156747*(10.3/7.3)</f>
        <v>18.304853985130059</v>
      </c>
      <c r="F6567" s="1">
        <f>39.0836652160729*(38.9/42.5)</f>
        <v>35.773048868358522</v>
      </c>
      <c r="G6567" s="1">
        <v>2.1527963527776728</v>
      </c>
      <c r="H6567" s="1">
        <v>7.2092703799753801</v>
      </c>
      <c r="I6567" s="1">
        <v>28.142916356194849</v>
      </c>
      <c r="J6567" s="1">
        <v>2.5679384201113323E-2</v>
      </c>
      <c r="K6567" s="1">
        <v>1.8914650410610594</v>
      </c>
      <c r="L6567" s="1">
        <v>1.781289581298426</v>
      </c>
      <c r="M6567" s="1">
        <v>0.15004743774246826</v>
      </c>
      <c r="N6567" s="1">
        <v>1.1975000353548766</v>
      </c>
      <c r="O6567" s="1">
        <v>0.12680533333333333</v>
      </c>
      <c r="P6567" s="1">
        <v>8.0358322408041596E-2</v>
      </c>
      <c r="Q6567" s="1">
        <v>3.4405421163113532</v>
      </c>
      <c r="R6567" s="2">
        <f t="shared" si="411"/>
        <v>102.87399505084174</v>
      </c>
      <c r="S6567" s="2">
        <f t="shared" si="410"/>
        <v>1.9975027476702143</v>
      </c>
      <c r="T6567" s="2">
        <f t="shared" si="412"/>
        <v>3.2556423877291043</v>
      </c>
      <c r="U6567" s="2">
        <f t="shared" si="413"/>
        <v>108.12714018624106</v>
      </c>
    </row>
    <row r="6568" spans="1:21" x14ac:dyDescent="0.25">
      <c r="A6568">
        <v>7120169</v>
      </c>
      <c r="B6568">
        <v>49</v>
      </c>
      <c r="C6568" s="1">
        <f>2.27027955535739*(10.3/7.3)</f>
        <v>3.2032711534494736</v>
      </c>
      <c r="D6568" s="1">
        <f>4.9498443481987*(10.3/7.3)</f>
        <v>6.9840269570474787</v>
      </c>
      <c r="E6568" s="1">
        <f>16.8468555696562*(10.3/7.3)</f>
        <v>23.770220872254672</v>
      </c>
      <c r="F6568" s="1">
        <f>49.7777258592867*(38.9/42.5)</f>
        <v>45.561259668853005</v>
      </c>
      <c r="G6568" s="1">
        <v>2.7132481927750747</v>
      </c>
      <c r="H6568" s="1">
        <v>7.8010316492907084</v>
      </c>
      <c r="I6568" s="1">
        <v>35.683303299338803</v>
      </c>
      <c r="J6568" s="1">
        <v>3.0189442176663202E-2</v>
      </c>
      <c r="K6568" s="1">
        <v>2.1534948563269047</v>
      </c>
      <c r="L6568" s="1">
        <v>2.0873927377937864</v>
      </c>
      <c r="M6568" s="1">
        <v>0.17069491470100109</v>
      </c>
      <c r="N6568" s="1">
        <v>1.2633984447582522</v>
      </c>
      <c r="O6568" s="1">
        <v>0.14435700680272112</v>
      </c>
      <c r="P6568" s="1">
        <v>8.999679945496232E-2</v>
      </c>
      <c r="Q6568" s="1">
        <v>4.3362414039784341</v>
      </c>
      <c r="R6568" s="2">
        <f t="shared" si="411"/>
        <v>130.05260319698766</v>
      </c>
      <c r="S6568" s="2">
        <f t="shared" si="410"/>
        <v>2.2736810979585305</v>
      </c>
      <c r="T6568" s="2">
        <f t="shared" si="412"/>
        <v>3.6658431040557611</v>
      </c>
      <c r="U6568" s="2">
        <f t="shared" si="413"/>
        <v>135.99212739900196</v>
      </c>
    </row>
    <row r="6569" spans="1:21" x14ac:dyDescent="0.25">
      <c r="A6569">
        <v>7120177</v>
      </c>
      <c r="B6569">
        <v>19</v>
      </c>
      <c r="C6569" s="1">
        <f>2.21894654365655*(10.3/7.3)</f>
        <v>3.1308423835154011</v>
      </c>
      <c r="D6569" s="1">
        <f>4.78526331270934*(10.3/7.3)</f>
        <v>6.7518098795761983</v>
      </c>
      <c r="E6569" s="1">
        <f>16.3055099262471*(10.3/7.3)</f>
        <v>23.006404416485662</v>
      </c>
      <c r="F6569" s="1">
        <f>47.4540263301349*(38.9/42.5)</f>
        <v>43.434391158641112</v>
      </c>
      <c r="G6569" s="1">
        <v>2.5633326125311084</v>
      </c>
      <c r="H6569" s="1">
        <v>9.0477865465032448</v>
      </c>
      <c r="I6569" s="1">
        <v>33.946522597330379</v>
      </c>
      <c r="J6569" s="1">
        <v>2.9266939599129859E-2</v>
      </c>
      <c r="K6569" s="1">
        <v>2.089901004046637</v>
      </c>
      <c r="L6569" s="1">
        <v>2.010983378796201</v>
      </c>
      <c r="M6569" s="1">
        <v>0.1634205996538233</v>
      </c>
      <c r="N6569" s="1">
        <v>1.2281868444158595</v>
      </c>
      <c r="O6569" s="1">
        <v>0.13832982456140352</v>
      </c>
      <c r="P6569" s="1">
        <v>8.7376909289249266E-2</v>
      </c>
      <c r="Q6569" s="1">
        <v>4.0966502939994927</v>
      </c>
      <c r="R6569" s="2">
        <f t="shared" si="411"/>
        <v>125.97773988858262</v>
      </c>
      <c r="S6569" s="2">
        <f t="shared" si="410"/>
        <v>2.206544852935016</v>
      </c>
      <c r="T6569" s="2">
        <f t="shared" si="412"/>
        <v>3.5409206474272876</v>
      </c>
      <c r="U6569" s="2">
        <f t="shared" si="413"/>
        <v>131.72520538894494</v>
      </c>
    </row>
    <row r="6570" spans="1:21" x14ac:dyDescent="0.25">
      <c r="A6570">
        <v>7120185</v>
      </c>
      <c r="B6570">
        <v>52</v>
      </c>
      <c r="C6570" s="1">
        <f>2.9406420255358*(10.3/7.3)</f>
        <v>4.1491250497285908</v>
      </c>
      <c r="D6570" s="1">
        <f>6.28095344502627*(10.3/7.3)</f>
        <v>8.8621671895576206</v>
      </c>
      <c r="E6570" s="1">
        <f>21.4314745912012*(10.3/7.3)</f>
        <v>30.238929902653702</v>
      </c>
      <c r="F6570" s="1">
        <f>61.1402210630205*(38.9/42.5)</f>
        <v>55.961284690623437</v>
      </c>
      <c r="G6570" s="1">
        <v>3.2634168990979768</v>
      </c>
      <c r="H6570" s="1">
        <v>9.0088102692358447</v>
      </c>
      <c r="I6570" s="1">
        <v>43.584359297763939</v>
      </c>
      <c r="J6570" s="1">
        <v>3.5191010360490542E-2</v>
      </c>
      <c r="K6570" s="1">
        <v>2.4310862269202662</v>
      </c>
      <c r="L6570" s="1">
        <v>2.3947262303610026</v>
      </c>
      <c r="M6570" s="1">
        <v>0.19034082907384758</v>
      </c>
      <c r="N6570" s="1">
        <v>1.4364987866742718</v>
      </c>
      <c r="O6570" s="1">
        <v>0.16114871794871793</v>
      </c>
      <c r="P6570" s="1">
        <v>9.9874498210161422E-2</v>
      </c>
      <c r="Q6570" s="1">
        <v>5.2155064597456322</v>
      </c>
      <c r="R6570" s="2">
        <f t="shared" si="411"/>
        <v>160.28359975840672</v>
      </c>
      <c r="S6570" s="2">
        <f t="shared" si="410"/>
        <v>2.566151735490918</v>
      </c>
      <c r="T6570" s="2">
        <f t="shared" si="412"/>
        <v>4.1827145640578403</v>
      </c>
      <c r="U6570" s="2">
        <f t="shared" si="413"/>
        <v>167.03246605795547</v>
      </c>
    </row>
    <row r="6571" spans="1:21" x14ac:dyDescent="0.25">
      <c r="A6571">
        <v>7120193</v>
      </c>
      <c r="B6571">
        <v>55</v>
      </c>
      <c r="C6571" s="1">
        <f>3.28395215510679*(10.3/7.3)</f>
        <v>4.633521533917806</v>
      </c>
      <c r="D6571" s="1">
        <f>6.99464501797559*(10.3/7.3)</f>
        <v>9.8691566691984303</v>
      </c>
      <c r="E6571" s="1">
        <f>23.8915967239015*(10.3/7.3)</f>
        <v>33.710061130984343</v>
      </c>
      <c r="F6571" s="1">
        <f>66.9723719230091*(38.9/42.5)</f>
        <v>61.299418066001252</v>
      </c>
      <c r="G6571" s="1">
        <v>3.537533714348096</v>
      </c>
      <c r="H6571" s="1">
        <v>10.407547775017534</v>
      </c>
      <c r="I6571" s="1">
        <v>47.550487474622798</v>
      </c>
      <c r="J6571" s="1">
        <v>3.7742757376342841E-2</v>
      </c>
      <c r="K6571" s="1">
        <v>2.5447368678885436</v>
      </c>
      <c r="L6571" s="1">
        <v>2.5115741923275179</v>
      </c>
      <c r="M6571" s="1">
        <v>0.19831674339668548</v>
      </c>
      <c r="N6571" s="1">
        <v>1.5293624698553709</v>
      </c>
      <c r="O6571" s="1">
        <v>0.16681793939393941</v>
      </c>
      <c r="P6571" s="1">
        <v>0.10366882699432019</v>
      </c>
      <c r="Q6571" s="1">
        <v>5.6535926941636294</v>
      </c>
      <c r="R6571" s="2">
        <f t="shared" si="411"/>
        <v>176.66131905825389</v>
      </c>
      <c r="S6571" s="2">
        <f t="shared" si="410"/>
        <v>2.6861484522592063</v>
      </c>
      <c r="T6571" s="2">
        <f t="shared" si="412"/>
        <v>4.4060713449735145</v>
      </c>
      <c r="U6571" s="2">
        <f t="shared" si="413"/>
        <v>183.75353885548662</v>
      </c>
    </row>
    <row r="6572" spans="1:21" x14ac:dyDescent="0.25">
      <c r="A6572">
        <v>7131829</v>
      </c>
      <c r="B6572">
        <v>36</v>
      </c>
      <c r="C6572" s="1">
        <f>0.381729505798414*(10.3/7.3)</f>
        <v>0.53860464516762541</v>
      </c>
      <c r="D6572" s="1">
        <f>0.721804160696055*(10.3/7.3)</f>
        <v>1.0184360075574481</v>
      </c>
      <c r="E6572" s="1">
        <f>2.4657485333405*(10.3/7.3)</f>
        <v>3.4790698484119398</v>
      </c>
      <c r="F6572" s="1">
        <f>7.32856876713484*(38.9/42.5)</f>
        <v>6.7077958833304754</v>
      </c>
      <c r="G6572" s="1">
        <v>0.39698234061281079</v>
      </c>
      <c r="H6572" s="1">
        <v>2.1854866692150638</v>
      </c>
      <c r="I6572" s="1">
        <v>5.3779618042386987</v>
      </c>
      <c r="J6572" s="1">
        <v>1.8706635230781313E-2</v>
      </c>
      <c r="K6572" s="1">
        <v>1.8127350474012727</v>
      </c>
      <c r="L6572" s="1">
        <v>1.1741458869565273</v>
      </c>
      <c r="M6572" s="1">
        <v>0.16018111212567934</v>
      </c>
      <c r="N6572" s="1">
        <v>0.67492209358457567</v>
      </c>
      <c r="O6572" s="1">
        <v>0.16844000000000003</v>
      </c>
      <c r="P6572" s="1">
        <v>8.5305566969956406E-2</v>
      </c>
      <c r="Q6572" s="1">
        <v>0.63444666307983522</v>
      </c>
      <c r="R6572" s="2">
        <f t="shared" si="411"/>
        <v>20.338783861613898</v>
      </c>
      <c r="S6572" s="2">
        <f t="shared" si="410"/>
        <v>1.9167472496020106</v>
      </c>
      <c r="T6572" s="2">
        <f t="shared" si="412"/>
        <v>2.1776890926667822</v>
      </c>
      <c r="U6572" s="2">
        <f t="shared" si="413"/>
        <v>24.433220203882691</v>
      </c>
    </row>
    <row r="6573" spans="1:21" x14ac:dyDescent="0.25">
      <c r="A6573">
        <v>7131861</v>
      </c>
      <c r="B6573">
        <v>27</v>
      </c>
      <c r="C6573" s="1">
        <f>0.28269867351132*(10.3/7.3)</f>
        <v>0.39887621057076683</v>
      </c>
      <c r="D6573" s="1">
        <f>0.524761833556353*(10.3/7.3)</f>
        <v>0.7404173815932098</v>
      </c>
      <c r="E6573" s="1">
        <f>1.79498370627814*(10.3/7.3)</f>
        <v>2.5326482431047714</v>
      </c>
      <c r="F6573" s="1">
        <f>5.26616681540298*(38.9/42.5)</f>
        <v>4.8200915086864935</v>
      </c>
      <c r="G6573" s="1">
        <v>0.28282151681508083</v>
      </c>
      <c r="H6573" s="1">
        <v>2.1584366960951971</v>
      </c>
      <c r="I6573" s="1">
        <v>3.8654583459089138</v>
      </c>
      <c r="J6573" s="1">
        <v>1.6140832781069252E-2</v>
      </c>
      <c r="K6573" s="1">
        <v>1.4776743659607974</v>
      </c>
      <c r="L6573" s="1">
        <v>1.0053659406193602</v>
      </c>
      <c r="M6573" s="1">
        <v>0.14517488118448302</v>
      </c>
      <c r="N6573" s="1">
        <v>0.73281347407334407</v>
      </c>
      <c r="O6573" s="1">
        <v>0.13848098765432096</v>
      </c>
      <c r="P6573" s="1">
        <v>7.022843624770779E-2</v>
      </c>
      <c r="Q6573" s="1">
        <v>0.45199785792364577</v>
      </c>
      <c r="R6573" s="2">
        <f t="shared" si="411"/>
        <v>15.250747760698081</v>
      </c>
      <c r="S6573" s="2">
        <f t="shared" si="410"/>
        <v>1.5640436349895743</v>
      </c>
      <c r="T6573" s="2">
        <f t="shared" si="412"/>
        <v>2.0218352835315083</v>
      </c>
      <c r="U6573" s="2">
        <f t="shared" si="413"/>
        <v>18.836626679219165</v>
      </c>
    </row>
    <row r="6574" spans="1:21" x14ac:dyDescent="0.25">
      <c r="A6574">
        <v>7131909</v>
      </c>
      <c r="B6574">
        <v>8</v>
      </c>
      <c r="C6574" s="1">
        <f>0.299654840818124*(10.3/7.3)</f>
        <v>0.42280066581187342</v>
      </c>
      <c r="D6574" s="1">
        <f>0.632882064313365*(10.3/7.3)</f>
        <v>0.8929705838941997</v>
      </c>
      <c r="E6574" s="1">
        <f>2.14672651672586*(10.3/7.3)</f>
        <v>3.0289428934625104</v>
      </c>
      <c r="F6574" s="1">
        <f>6.81253377908441*(38.9/42.5)</f>
        <v>6.2354720942678474</v>
      </c>
      <c r="G6574" s="1">
        <v>0.3845584805645777</v>
      </c>
      <c r="H6574" s="1">
        <v>2.5042406039285221</v>
      </c>
      <c r="I6574" s="1">
        <v>4.9874281796609363</v>
      </c>
      <c r="J6574" s="1">
        <v>1.6107201462400932E-2</v>
      </c>
      <c r="K6574" s="1">
        <v>1.5104940078842417</v>
      </c>
      <c r="L6574" s="1">
        <v>1.0008231466608573</v>
      </c>
      <c r="M6574" s="1">
        <v>0.15435274335353188</v>
      </c>
      <c r="N6574" s="1">
        <v>0.62797971835765054</v>
      </c>
      <c r="O6574" s="1">
        <v>0.13925333333333334</v>
      </c>
      <c r="P6574" s="1">
        <v>7.1993421778961911E-2</v>
      </c>
      <c r="Q6574" s="1">
        <v>0.61459117898448556</v>
      </c>
      <c r="R6574" s="2">
        <f t="shared" si="411"/>
        <v>19.071004680574955</v>
      </c>
      <c r="S6574" s="2">
        <f t="shared" si="410"/>
        <v>1.5985946311256045</v>
      </c>
      <c r="T6574" s="2">
        <f t="shared" si="412"/>
        <v>1.9224089417053731</v>
      </c>
      <c r="U6574" s="2">
        <f t="shared" si="413"/>
        <v>22.592008253405933</v>
      </c>
    </row>
    <row r="6575" spans="1:21" x14ac:dyDescent="0.25">
      <c r="A6575">
        <v>7132101</v>
      </c>
      <c r="B6575">
        <v>18</v>
      </c>
      <c r="C6575" s="1">
        <f>0.703936513808362*(10.3/7.3)</f>
        <v>0.9932254920857706</v>
      </c>
      <c r="D6575" s="1">
        <f>3.44802120926256*(10.3/7.3)</f>
        <v>4.8650162267677146</v>
      </c>
      <c r="E6575" s="1">
        <f>11.7295799821093*(10.3/7.3)</f>
        <v>16.549955317222732</v>
      </c>
      <c r="F6575" s="1">
        <f>26.1253279154721*(38.9/42.5)</f>
        <v>23.912358962632073</v>
      </c>
      <c r="G6575" s="1">
        <v>1.2360556033017902</v>
      </c>
      <c r="H6575" s="1">
        <v>8.8375686584167887</v>
      </c>
      <c r="I6575" s="1">
        <v>15.209259848820295</v>
      </c>
      <c r="J6575" s="1">
        <v>1.740467887794148E-2</v>
      </c>
      <c r="K6575" s="1">
        <v>1.6300374135273406</v>
      </c>
      <c r="L6575" s="1">
        <v>1.3463037419463206</v>
      </c>
      <c r="M6575" s="1">
        <v>0.16349211489537177</v>
      </c>
      <c r="N6575" s="1">
        <v>0.68010894316354253</v>
      </c>
      <c r="O6575" s="1">
        <v>0.13027555555555556</v>
      </c>
      <c r="P6575" s="1">
        <v>7.7326956986898968E-2</v>
      </c>
      <c r="Q6575" s="1">
        <v>1.9754313294777492</v>
      </c>
      <c r="R6575" s="2">
        <f t="shared" si="411"/>
        <v>73.578871438724903</v>
      </c>
      <c r="S6575" s="2">
        <f t="shared" si="410"/>
        <v>1.724769049392181</v>
      </c>
      <c r="T6575" s="2">
        <f t="shared" si="412"/>
        <v>2.3201803555607903</v>
      </c>
      <c r="U6575" s="2">
        <f t="shared" si="413"/>
        <v>77.623820843677876</v>
      </c>
    </row>
    <row r="6576" spans="1:21" x14ac:dyDescent="0.25">
      <c r="A6576">
        <v>7132109</v>
      </c>
      <c r="B6576">
        <v>21</v>
      </c>
      <c r="C6576" s="1">
        <f>0.755047467963525*(10.3/7.3)</f>
        <v>1.0653409479485347</v>
      </c>
      <c r="D6576" s="1">
        <f>1.93645552710384*(10.3/7.3)</f>
        <v>2.7322591683793869</v>
      </c>
      <c r="E6576" s="1">
        <f>6.53196110477355*(10.3/7.3)</f>
        <v>9.2163286820777532</v>
      </c>
      <c r="F6576" s="1">
        <f>20.9838199441461*(38.9/42.5)</f>
        <v>19.206366960641969</v>
      </c>
      <c r="G6576" s="1">
        <v>1.2035426815244061</v>
      </c>
      <c r="H6576" s="1">
        <v>6.2368629690043536</v>
      </c>
      <c r="I6576" s="1">
        <v>15.029837610408228</v>
      </c>
      <c r="J6576" s="1">
        <v>1.7418957595346729E-2</v>
      </c>
      <c r="K6576" s="1">
        <v>1.6581546766718294</v>
      </c>
      <c r="L6576" s="1">
        <v>1.3892045851258203</v>
      </c>
      <c r="M6576" s="1">
        <v>0.1659242190094998</v>
      </c>
      <c r="N6576" s="1">
        <v>0.69418460313763053</v>
      </c>
      <c r="O6576" s="1">
        <v>0.13194666666666668</v>
      </c>
      <c r="P6576" s="1">
        <v>7.8620836750121922E-2</v>
      </c>
      <c r="Q6576" s="1">
        <v>1.9234700389659485</v>
      </c>
      <c r="R6576" s="2">
        <f t="shared" si="411"/>
        <v>56.614009058950579</v>
      </c>
      <c r="S6576" s="2">
        <f t="shared" si="410"/>
        <v>1.7541944710172981</v>
      </c>
      <c r="T6576" s="2">
        <f t="shared" si="412"/>
        <v>2.3812600739396177</v>
      </c>
      <c r="U6576" s="2">
        <f t="shared" si="413"/>
        <v>60.749463603907493</v>
      </c>
    </row>
    <row r="6577" spans="1:21" x14ac:dyDescent="0.25">
      <c r="A6577">
        <v>7132373</v>
      </c>
      <c r="B6577">
        <v>14</v>
      </c>
      <c r="C6577" s="1">
        <f>2.60869753663841*(10.3/7.3)</f>
        <v>3.6807650174487136</v>
      </c>
      <c r="D6577" s="1">
        <f>6.52281607104341*(10.3/7.3)</f>
        <v>9.2034254153078248</v>
      </c>
      <c r="E6577" s="1">
        <f>22.0134022386684*(10.3/7.3)</f>
        <v>31.060005898395175</v>
      </c>
      <c r="F6577" s="1">
        <f>70.8098933762052*(38.9/42.5)</f>
        <v>64.811878878456028</v>
      </c>
      <c r="G6577" s="1">
        <v>4.0589676196443971</v>
      </c>
      <c r="H6577" s="1">
        <v>12.610248790565581</v>
      </c>
      <c r="I6577" s="1">
        <v>50.88575636688568</v>
      </c>
      <c r="J6577" s="1">
        <v>3.5313154011501903E-2</v>
      </c>
      <c r="K6577" s="1">
        <v>2.4412158902098748</v>
      </c>
      <c r="L6577" s="1">
        <v>2.4371976942898521</v>
      </c>
      <c r="M6577" s="1">
        <v>0.19697442179503108</v>
      </c>
      <c r="N6577" s="1">
        <v>1.4201154611592808</v>
      </c>
      <c r="O6577" s="1">
        <v>0.1677447619047619</v>
      </c>
      <c r="P6577" s="1">
        <v>0.10082200376314969</v>
      </c>
      <c r="Q6577" s="1">
        <v>6.4869345519431079</v>
      </c>
      <c r="R6577" s="2">
        <f t="shared" si="411"/>
        <v>182.79798253864649</v>
      </c>
      <c r="S6577" s="2">
        <f t="shared" si="410"/>
        <v>2.5773510479845263</v>
      </c>
      <c r="T6577" s="2">
        <f t="shared" si="412"/>
        <v>4.2220323391489263</v>
      </c>
      <c r="U6577" s="2">
        <f t="shared" si="413"/>
        <v>189.59736592577997</v>
      </c>
    </row>
    <row r="6578" spans="1:21" x14ac:dyDescent="0.25">
      <c r="A6578">
        <v>7132381</v>
      </c>
      <c r="B6578">
        <v>63</v>
      </c>
      <c r="C6578" s="1">
        <f>2.89010018125471*(10.3/7.3)</f>
        <v>4.077812584510065</v>
      </c>
      <c r="D6578" s="1">
        <f>6.9221243828845*(10.3/7.3)</f>
        <v>9.7668330333849749</v>
      </c>
      <c r="E6578" s="1">
        <f>23.4514483341248*(10.3/7.3)</f>
        <v>33.089029841299322</v>
      </c>
      <c r="F6578" s="1">
        <f>71.9852061918507*(38.9/42.5)</f>
        <v>65.887635785011568</v>
      </c>
      <c r="G6578" s="1">
        <v>4.0246332385107415</v>
      </c>
      <c r="H6578" s="1">
        <v>11.171200351165526</v>
      </c>
      <c r="I6578" s="1">
        <v>51.416970850663319</v>
      </c>
      <c r="J6578" s="1">
        <v>3.6252047033337217E-2</v>
      </c>
      <c r="K6578" s="1">
        <v>2.5185831900158187</v>
      </c>
      <c r="L6578" s="1">
        <v>2.5149715929572056</v>
      </c>
      <c r="M6578" s="1">
        <v>0.20131494469016387</v>
      </c>
      <c r="N6578" s="1">
        <v>1.4624277298189954</v>
      </c>
      <c r="O6578" s="1">
        <v>0.17267216931216936</v>
      </c>
      <c r="P6578" s="1">
        <v>0.10399801253315549</v>
      </c>
      <c r="Q6578" s="1">
        <v>6.432062253327671</v>
      </c>
      <c r="R6578" s="2">
        <f t="shared" si="411"/>
        <v>185.8661779378732</v>
      </c>
      <c r="S6578" s="2">
        <f t="shared" si="410"/>
        <v>2.6588332495823117</v>
      </c>
      <c r="T6578" s="2">
        <f t="shared" si="412"/>
        <v>4.351386436778534</v>
      </c>
      <c r="U6578" s="2">
        <f t="shared" si="413"/>
        <v>192.87639762423404</v>
      </c>
    </row>
    <row r="6579" spans="1:21" x14ac:dyDescent="0.25">
      <c r="A6579">
        <v>7132389</v>
      </c>
      <c r="B6579">
        <v>13</v>
      </c>
      <c r="C6579" s="1">
        <f>2.06039415421616*(10.3/7.3)</f>
        <v>2.9071314778666322</v>
      </c>
      <c r="D6579" s="1">
        <f>4.58243209057842*(10.3/7.3)</f>
        <v>6.4656233606791389</v>
      </c>
      <c r="E6579" s="1">
        <f>15.5647609612007*(10.3/7.3)</f>
        <v>21.961238068543487</v>
      </c>
      <c r="F6579" s="1">
        <f>47.1984095128561*(38.9/42.5)</f>
        <v>43.200426589414157</v>
      </c>
      <c r="G6579" s="1">
        <v>2.6115588649787114</v>
      </c>
      <c r="H6579" s="1">
        <v>8.7010663131004673</v>
      </c>
      <c r="I6579" s="1">
        <v>33.950467978860551</v>
      </c>
      <c r="J6579" s="1">
        <v>2.8486258823652001E-2</v>
      </c>
      <c r="K6579" s="1">
        <v>2.0553362603780299</v>
      </c>
      <c r="L6579" s="1">
        <v>1.9777730812330421</v>
      </c>
      <c r="M6579" s="1">
        <v>0.16182333170506313</v>
      </c>
      <c r="N6579" s="1">
        <v>1.1971817164160874</v>
      </c>
      <c r="O6579" s="1">
        <v>0.13896615384615382</v>
      </c>
      <c r="P6579" s="1">
        <v>8.6451425170546214E-2</v>
      </c>
      <c r="Q6579" s="1">
        <v>4.1737242134362997</v>
      </c>
      <c r="R6579" s="2">
        <f t="shared" si="411"/>
        <v>123.97123686687944</v>
      </c>
      <c r="S6579" s="2">
        <f t="shared" si="410"/>
        <v>2.1702739443722279</v>
      </c>
      <c r="T6579" s="2">
        <f t="shared" si="412"/>
        <v>3.4757442832003465</v>
      </c>
      <c r="U6579" s="2">
        <f t="shared" si="413"/>
        <v>129.61725509445202</v>
      </c>
    </row>
    <row r="6580" spans="1:21" x14ac:dyDescent="0.25">
      <c r="A6580">
        <v>7132397</v>
      </c>
      <c r="B6580">
        <v>52</v>
      </c>
      <c r="C6580" s="1">
        <f>2.56715920265946*(10.3/7.3)</f>
        <v>3.6221561352592428</v>
      </c>
      <c r="D6580" s="1">
        <f>5.6982027800785*(10.3/7.3)</f>
        <v>8.0399299499737698</v>
      </c>
      <c r="E6580" s="1">
        <f>19.3767966368574*(10.3/7.3)</f>
        <v>27.339863747894668</v>
      </c>
      <c r="F6580" s="1">
        <f>57.6661690995111*(38.9/42.5)</f>
        <v>52.78150536402309</v>
      </c>
      <c r="G6580" s="1">
        <v>3.1589074997939104</v>
      </c>
      <c r="H6580" s="1">
        <v>9.3911000955182029</v>
      </c>
      <c r="I6580" s="1">
        <v>41.303495958017919</v>
      </c>
      <c r="J6580" s="1">
        <v>3.323065022465567E-2</v>
      </c>
      <c r="K6580" s="1">
        <v>2.3235796529380841</v>
      </c>
      <c r="L6580" s="1">
        <v>2.2879426495142381</v>
      </c>
      <c r="M6580" s="1">
        <v>0.18490232564343442</v>
      </c>
      <c r="N6580" s="1">
        <v>1.3925290063688918</v>
      </c>
      <c r="O6580" s="1">
        <v>0.15655384615384615</v>
      </c>
      <c r="P6580" s="1">
        <v>9.6132125461890566E-2</v>
      </c>
      <c r="Q6580" s="1">
        <v>5.0484823056067132</v>
      </c>
      <c r="R6580" s="2">
        <f t="shared" si="411"/>
        <v>150.68544105608751</v>
      </c>
      <c r="S6580" s="2">
        <f t="shared" si="410"/>
        <v>2.4529424286246302</v>
      </c>
      <c r="T6580" s="2">
        <f t="shared" si="412"/>
        <v>4.0219278276804102</v>
      </c>
      <c r="U6580" s="2">
        <f t="shared" si="413"/>
        <v>157.16031131239254</v>
      </c>
    </row>
    <row r="6581" spans="1:21" x14ac:dyDescent="0.25">
      <c r="A6581">
        <v>7132405</v>
      </c>
      <c r="B6581">
        <v>68</v>
      </c>
      <c r="C6581" s="1">
        <f>2.42810399867614*(10.3/7.3)</f>
        <v>3.4259549570361978</v>
      </c>
      <c r="D6581" s="1">
        <f>5.30914635135975*(10.3/7.3)</f>
        <v>7.4909873176719834</v>
      </c>
      <c r="E6581" s="1">
        <f>18.0788947869681*(10.3/7.3)</f>
        <v>25.508577576133039</v>
      </c>
      <c r="F6581" s="1">
        <f>52.8773158592265*(38.9/42.5)</f>
        <v>48.398296162915571</v>
      </c>
      <c r="G6581" s="1">
        <v>2.8666841446432714</v>
      </c>
      <c r="H6581" s="1">
        <v>8.2164725586925478</v>
      </c>
      <c r="I6581" s="1">
        <v>37.79450430403292</v>
      </c>
      <c r="J6581" s="1">
        <v>3.1451000648834083E-2</v>
      </c>
      <c r="K6581" s="1">
        <v>2.2274829480893699</v>
      </c>
      <c r="L6581" s="1">
        <v>2.1688486461640339</v>
      </c>
      <c r="M6581" s="1">
        <v>0.1760923754890954</v>
      </c>
      <c r="N6581" s="1">
        <v>1.30322254827052</v>
      </c>
      <c r="O6581" s="1">
        <v>0.14870823529411767</v>
      </c>
      <c r="P6581" s="1">
        <v>9.2418741916554567E-2</v>
      </c>
      <c r="Q6581" s="1">
        <v>4.5814586786536333</v>
      </c>
      <c r="R6581" s="2">
        <f t="shared" si="411"/>
        <v>138.28293569977916</v>
      </c>
      <c r="S6581" s="2">
        <f t="shared" si="410"/>
        <v>2.3513526906547586</v>
      </c>
      <c r="T6581" s="2">
        <f t="shared" si="412"/>
        <v>3.796871805217767</v>
      </c>
      <c r="U6581" s="2">
        <f t="shared" si="413"/>
        <v>144.43116019565167</v>
      </c>
    </row>
    <row r="6582" spans="1:21" x14ac:dyDescent="0.25">
      <c r="A6582">
        <v>7132413</v>
      </c>
      <c r="B6582">
        <v>22</v>
      </c>
      <c r="C6582" s="1">
        <f>2.30935020813083*(10.3/7.3)</f>
        <v>3.2583982388695278</v>
      </c>
      <c r="D6582" s="1">
        <f>4.98234918259578*(10.3/7.3)</f>
        <v>7.0298899425666468</v>
      </c>
      <c r="E6582" s="1">
        <f>16.9827483699355*(10.3/7.3)</f>
        <v>23.961960028813053</v>
      </c>
      <c r="F6582" s="1">
        <f>49.1232411881878*(38.9/42.5)</f>
        <v>44.962213699306055</v>
      </c>
      <c r="G6582" s="1">
        <v>2.644478903707713</v>
      </c>
      <c r="H6582" s="1">
        <v>9.9511395986249553</v>
      </c>
      <c r="I6582" s="1">
        <v>35.085035179170141</v>
      </c>
      <c r="J6582" s="1">
        <v>2.9945060406282253E-2</v>
      </c>
      <c r="K6582" s="1">
        <v>2.1277504885376826</v>
      </c>
      <c r="L6582" s="1">
        <v>2.0585321881788703</v>
      </c>
      <c r="M6582" s="1">
        <v>0.1653443425911563</v>
      </c>
      <c r="N6582" s="1">
        <v>1.2394118635209872</v>
      </c>
      <c r="O6582" s="1">
        <v>0.14092121212121211</v>
      </c>
      <c r="P6582" s="1">
        <v>8.8606136345941111E-2</v>
      </c>
      <c r="Q6582" s="1">
        <v>4.2263361474780838</v>
      </c>
      <c r="R6582" s="2">
        <f t="shared" si="411"/>
        <v>131.11945173853618</v>
      </c>
      <c r="S6582" s="2">
        <f t="shared" si="410"/>
        <v>2.246301685289906</v>
      </c>
      <c r="T6582" s="2">
        <f t="shared" si="412"/>
        <v>3.6042096064122262</v>
      </c>
      <c r="U6582" s="2">
        <f t="shared" si="413"/>
        <v>136.96996303023832</v>
      </c>
    </row>
    <row r="6583" spans="1:21" x14ac:dyDescent="0.25">
      <c r="A6583">
        <v>7132421</v>
      </c>
      <c r="B6583">
        <v>67</v>
      </c>
      <c r="C6583" s="1">
        <f>3.20963155247251*(10.3/7.3)</f>
        <v>4.5286582178721773</v>
      </c>
      <c r="D6583" s="1">
        <f>6.88716399546023*(10.3/7.3)</f>
        <v>9.7175053634575868</v>
      </c>
      <c r="E6583" s="1">
        <f>23.5093827469247*(10.3/7.3)</f>
        <v>33.170772916893732</v>
      </c>
      <c r="F6583" s="1">
        <f>66.4346720362083*(38.9/42.5)</f>
        <v>60.80726452255302</v>
      </c>
      <c r="G6583" s="1">
        <v>3.5276174489285821</v>
      </c>
      <c r="H6583" s="1">
        <v>9.8877955317703083</v>
      </c>
      <c r="I6583" s="1">
        <v>47.210855128931641</v>
      </c>
      <c r="J6583" s="1">
        <v>3.7793139231754862E-2</v>
      </c>
      <c r="K6583" s="1">
        <v>2.565029486078124</v>
      </c>
      <c r="L6583" s="1">
        <v>2.5413986201290348</v>
      </c>
      <c r="M6583" s="1">
        <v>0.20067035915983814</v>
      </c>
      <c r="N6583" s="1">
        <v>1.5331084710411647</v>
      </c>
      <c r="O6583" s="1">
        <v>0.16922427860696515</v>
      </c>
      <c r="P6583" s="1">
        <v>0.10443158698259541</v>
      </c>
      <c r="Q6583" s="1">
        <v>5.6377447813927182</v>
      </c>
      <c r="R6583" s="2">
        <f t="shared" si="411"/>
        <v>174.48821391179976</v>
      </c>
      <c r="S6583" s="2">
        <f t="shared" si="410"/>
        <v>2.7072542122924741</v>
      </c>
      <c r="T6583" s="2">
        <f t="shared" si="412"/>
        <v>4.4444017289370024</v>
      </c>
      <c r="U6583" s="2">
        <f t="shared" si="413"/>
        <v>181.63986985302924</v>
      </c>
    </row>
    <row r="6584" spans="1:21" x14ac:dyDescent="0.25">
      <c r="A6584">
        <v>7132429</v>
      </c>
      <c r="B6584">
        <v>30</v>
      </c>
      <c r="C6584" s="1">
        <f>3.29781633081675*(10.3/7.3)</f>
        <v>4.6530833160839125</v>
      </c>
      <c r="D6584" s="1">
        <f>7.09234714984008*(10.3/7.3)</f>
        <v>10.007010362103129</v>
      </c>
      <c r="E6584" s="1">
        <f>24.2305413153254*(10.3/7.3)</f>
        <v>34.188298020253676</v>
      </c>
      <c r="F6584" s="1">
        <f>67.3325639855001*(38.9/42.5)</f>
        <v>61.629099742022433</v>
      </c>
      <c r="G6584" s="1">
        <v>3.5404469345654959</v>
      </c>
      <c r="H6584" s="1">
        <v>10.626132662386597</v>
      </c>
      <c r="I6584" s="1">
        <v>47.625009913881144</v>
      </c>
      <c r="J6584" s="1">
        <v>3.7517558980573386E-2</v>
      </c>
      <c r="K6584" s="1">
        <v>2.502156646403622</v>
      </c>
      <c r="L6584" s="1">
        <v>2.4632880737142697</v>
      </c>
      <c r="M6584" s="1">
        <v>0.19408831025567516</v>
      </c>
      <c r="N6584" s="1">
        <v>1.5168609796108834</v>
      </c>
      <c r="O6584" s="1">
        <v>0.16354133333333337</v>
      </c>
      <c r="P6584" s="1">
        <v>0.10191420007547641</v>
      </c>
      <c r="Q6584" s="1">
        <v>5.6582485255613015</v>
      </c>
      <c r="R6584" s="2">
        <f t="shared" si="411"/>
        <v>177.92732947685769</v>
      </c>
      <c r="S6584" s="2">
        <f t="shared" si="410"/>
        <v>2.6415884054596717</v>
      </c>
      <c r="T6584" s="2">
        <f t="shared" si="412"/>
        <v>4.3377786969141621</v>
      </c>
      <c r="U6584" s="2">
        <f t="shared" si="413"/>
        <v>184.90669657923152</v>
      </c>
    </row>
    <row r="6585" spans="1:21" x14ac:dyDescent="0.25">
      <c r="A6585">
        <v>7144057</v>
      </c>
      <c r="B6585">
        <v>7</v>
      </c>
      <c r="C6585" s="1">
        <f>0.281273673936013*(10.3/7.3)</f>
        <v>0.39686559473163424</v>
      </c>
      <c r="D6585" s="1">
        <f>0.500434719473194*(10.3/7.3)</f>
        <v>0.7060928233662872</v>
      </c>
      <c r="E6585" s="1">
        <f>1.71650195420445*(10.3/7.3)</f>
        <v>2.4219137162062818</v>
      </c>
      <c r="F6585" s="1">
        <f>4.91026599414633*(38.9/42.5)</f>
        <v>4.4943375805245234</v>
      </c>
      <c r="G6585" s="1">
        <v>0.25902531552573793</v>
      </c>
      <c r="H6585" s="1">
        <v>1.1628675873500229</v>
      </c>
      <c r="I6585" s="1">
        <v>3.6110826087166044</v>
      </c>
      <c r="J6585" s="1">
        <v>1.6280566644481569E-2</v>
      </c>
      <c r="K6585" s="1">
        <v>1.608586494961644</v>
      </c>
      <c r="L6585" s="1">
        <v>1.0364329557742598</v>
      </c>
      <c r="M6585" s="1">
        <v>0.14565049612406836</v>
      </c>
      <c r="N6585" s="1">
        <v>0.58648161994125236</v>
      </c>
      <c r="O6585" s="1">
        <v>0.1503238095238095</v>
      </c>
      <c r="P6585" s="1">
        <v>7.8006506339091314E-2</v>
      </c>
      <c r="Q6585" s="1">
        <v>0.41396739924204745</v>
      </c>
      <c r="R6585" s="2">
        <f t="shared" si="411"/>
        <v>13.466152625663138</v>
      </c>
      <c r="S6585" s="2">
        <f t="shared" si="410"/>
        <v>1.7028735679452169</v>
      </c>
      <c r="T6585" s="2">
        <f t="shared" si="412"/>
        <v>1.91888888136339</v>
      </c>
      <c r="U6585" s="2">
        <f t="shared" si="413"/>
        <v>17.087915074971743</v>
      </c>
    </row>
    <row r="6586" spans="1:21" x14ac:dyDescent="0.25">
      <c r="A6586">
        <v>7144089</v>
      </c>
      <c r="B6586">
        <v>2</v>
      </c>
      <c r="C6586" s="1">
        <f>0.267632179554381*(10.3/7.3)</f>
        <v>0.37761800676850993</v>
      </c>
      <c r="D6586" s="1">
        <f>0.49238782861643*(10.3/7.3)</f>
        <v>0.69473899106153869</v>
      </c>
      <c r="E6586" s="1">
        <f>1.68545410294419*(10.3/7.3)</f>
        <v>2.3781064740171418</v>
      </c>
      <c r="F6586" s="1">
        <f>4.9066229295423*(38.9/42.5)</f>
        <v>4.4910031049222487</v>
      </c>
      <c r="G6586" s="1">
        <v>0.26217518843777654</v>
      </c>
      <c r="H6586" s="1">
        <v>1.5841449590888028</v>
      </c>
      <c r="I6586" s="1">
        <v>3.60092829319332</v>
      </c>
      <c r="J6586" s="1">
        <v>1.6391496114134561E-2</v>
      </c>
      <c r="K6586" s="1">
        <v>1.5038179234950102</v>
      </c>
      <c r="L6586" s="1">
        <v>1.0422251603133166</v>
      </c>
      <c r="M6586" s="1">
        <v>0.14585504835104454</v>
      </c>
      <c r="N6586" s="1">
        <v>0.77520852011852037</v>
      </c>
      <c r="O6586" s="1">
        <v>0.14245333333333332</v>
      </c>
      <c r="P6586" s="1">
        <v>7.1017581675027294E-2</v>
      </c>
      <c r="Q6586" s="1">
        <v>0.41900144270877571</v>
      </c>
      <c r="R6586" s="2">
        <f t="shared" si="411"/>
        <v>13.807716460198115</v>
      </c>
      <c r="S6586" s="2">
        <f t="shared" si="410"/>
        <v>1.591227001284172</v>
      </c>
      <c r="T6586" s="2">
        <f t="shared" si="412"/>
        <v>2.1057420621162146</v>
      </c>
      <c r="U6586" s="2">
        <f t="shared" si="413"/>
        <v>17.504685523598503</v>
      </c>
    </row>
    <row r="6587" spans="1:21" x14ac:dyDescent="0.25">
      <c r="A6587">
        <v>7144337</v>
      </c>
      <c r="B6587">
        <v>32</v>
      </c>
      <c r="C6587" s="1">
        <f>0.686829327524827*(10.3/7.3)</f>
        <v>0.969087955274756</v>
      </c>
      <c r="D6587" s="1">
        <f>2.4174121556702*(10.3/7.3)</f>
        <v>3.4108692059456298</v>
      </c>
      <c r="E6587" s="1">
        <f>8.19903380966654*(10.3/7.3)</f>
        <v>11.568499758844569</v>
      </c>
      <c r="F6587" s="1">
        <f>21.4536339560586*(38.9/42.5)</f>
        <v>19.636384962133651</v>
      </c>
      <c r="G6587" s="1">
        <v>1.1184391124619368</v>
      </c>
      <c r="H6587" s="1">
        <v>5.1459098139612012</v>
      </c>
      <c r="I6587" s="1">
        <v>13.920076422677919</v>
      </c>
      <c r="J6587" s="1">
        <v>1.6852679322497229E-2</v>
      </c>
      <c r="K6587" s="1">
        <v>1.6012953054458741</v>
      </c>
      <c r="L6587" s="1">
        <v>1.3216069680001095</v>
      </c>
      <c r="M6587" s="1">
        <v>0.16065761992284214</v>
      </c>
      <c r="N6587" s="1">
        <v>0.66258663734604029</v>
      </c>
      <c r="O6587" s="1">
        <v>0.12797499999999998</v>
      </c>
      <c r="P6587" s="1">
        <v>7.625551858797544E-2</v>
      </c>
      <c r="Q6587" s="1">
        <v>1.7874597687747873</v>
      </c>
      <c r="R6587" s="2">
        <f t="shared" si="411"/>
        <v>57.556727000074453</v>
      </c>
      <c r="S6587" s="2">
        <f t="shared" si="410"/>
        <v>1.6944035033563467</v>
      </c>
      <c r="T6587" s="2">
        <f t="shared" si="412"/>
        <v>2.2728262252689921</v>
      </c>
      <c r="U6587" s="2">
        <f t="shared" si="413"/>
        <v>61.523956728699794</v>
      </c>
    </row>
    <row r="6588" spans="1:21" x14ac:dyDescent="0.25">
      <c r="A6588">
        <v>7144345</v>
      </c>
      <c r="B6588">
        <v>33</v>
      </c>
      <c r="C6588" s="1">
        <f>0.721873726136167*(10.3/7.3)</f>
        <v>1.0185341615345918</v>
      </c>
      <c r="D6588" s="1">
        <f>1.75033967799397*(10.3/7.3)</f>
        <v>2.4696573538819093</v>
      </c>
      <c r="E6588" s="1">
        <f>5.90091774724407*(10.3/7.3)</f>
        <v>8.3259524378923118</v>
      </c>
      <c r="F6588" s="1">
        <f>19.5208171664933*(38.9/42.5)</f>
        <v>17.867289124155025</v>
      </c>
      <c r="G6588" s="1">
        <v>1.1318380762499303</v>
      </c>
      <c r="H6588" s="1">
        <v>5.9411034442502038</v>
      </c>
      <c r="I6588" s="1">
        <v>14.171816323139096</v>
      </c>
      <c r="J6588" s="1">
        <v>1.6318590158669627E-2</v>
      </c>
      <c r="K6588" s="1">
        <v>1.5667201433800506</v>
      </c>
      <c r="L6588" s="1">
        <v>1.2986040548219169</v>
      </c>
      <c r="M6588" s="1">
        <v>0.15566599655127483</v>
      </c>
      <c r="N6588" s="1">
        <v>0.64604261112972217</v>
      </c>
      <c r="O6588" s="1">
        <v>0.12452202020202022</v>
      </c>
      <c r="P6588" s="1">
        <v>7.4696597892257868E-2</v>
      </c>
      <c r="Q6588" s="1">
        <v>1.8088736378423564</v>
      </c>
      <c r="R6588" s="2">
        <f t="shared" si="411"/>
        <v>52.735064558945425</v>
      </c>
      <c r="S6588" s="2">
        <f t="shared" si="410"/>
        <v>1.657735331430978</v>
      </c>
      <c r="T6588" s="2">
        <f t="shared" si="412"/>
        <v>2.2248346827049339</v>
      </c>
      <c r="U6588" s="2">
        <f t="shared" si="413"/>
        <v>56.617634573081332</v>
      </c>
    </row>
    <row r="6589" spans="1:21" x14ac:dyDescent="0.25">
      <c r="A6589">
        <v>7144609</v>
      </c>
      <c r="B6589">
        <v>37</v>
      </c>
      <c r="C6589" s="1">
        <f>2.95981406248992*(10.3/7.3)</f>
        <v>4.1761760059789346</v>
      </c>
      <c r="D6589" s="1">
        <f>7.60670236549598*(10.3/7.3)</f>
        <v>10.73274443350803</v>
      </c>
      <c r="E6589" s="1">
        <f>25.714664449243*(10.3/7.3)</f>
        <v>36.282334770849687</v>
      </c>
      <c r="F6589" s="1">
        <f>79.6471343599839*(38.9/42.5)</f>
        <v>72.900553567138175</v>
      </c>
      <c r="G6589" s="1">
        <v>4.4892493318582378</v>
      </c>
      <c r="H6589" s="1">
        <v>13.511514910211833</v>
      </c>
      <c r="I6589" s="1">
        <v>56.516353336042073</v>
      </c>
      <c r="J6589" s="1">
        <v>3.7922544108904215E-2</v>
      </c>
      <c r="K6589" s="1">
        <v>2.6054417188757908</v>
      </c>
      <c r="L6589" s="1">
        <v>2.6170767848159699</v>
      </c>
      <c r="M6589" s="1">
        <v>0.20988734086225155</v>
      </c>
      <c r="N6589" s="1">
        <v>1.5148273160104777</v>
      </c>
      <c r="O6589" s="1">
        <v>0.17893621621621622</v>
      </c>
      <c r="P6589" s="1">
        <v>0.10680605290952123</v>
      </c>
      <c r="Q6589" s="1">
        <v>7.1745993888145438</v>
      </c>
      <c r="R6589" s="2">
        <f t="shared" si="411"/>
        <v>205.78352574440154</v>
      </c>
      <c r="S6589" s="2">
        <f t="shared" si="410"/>
        <v>2.7501703158942163</v>
      </c>
      <c r="T6589" s="2">
        <f t="shared" si="412"/>
        <v>4.5207276579049145</v>
      </c>
      <c r="U6589" s="2">
        <f t="shared" si="413"/>
        <v>213.0544237182007</v>
      </c>
    </row>
    <row r="6590" spans="1:21" x14ac:dyDescent="0.25">
      <c r="A6590">
        <v>7144617</v>
      </c>
      <c r="B6590">
        <v>25</v>
      </c>
      <c r="C6590" s="1">
        <f>1.91160949239503*(10.3/7.3)</f>
        <v>2.697202434475181</v>
      </c>
      <c r="D6590" s="1">
        <f>4.27899031671164*(10.3/7.3)</f>
        <v>6.0374794879629947</v>
      </c>
      <c r="E6590" s="1">
        <f>14.5384454978004*(10.3/7.3)</f>
        <v>20.5131491270335</v>
      </c>
      <c r="F6590" s="1">
        <f>43.7374152065035*(38.9/42.5)</f>
        <v>40.032598859599645</v>
      </c>
      <c r="G6590" s="1">
        <v>2.4109173252289087</v>
      </c>
      <c r="H6590" s="1">
        <v>10.183673854050769</v>
      </c>
      <c r="I6590" s="1">
        <v>31.372254100234287</v>
      </c>
      <c r="J6590" s="1">
        <v>2.5982664158800673E-2</v>
      </c>
      <c r="K6590" s="1">
        <v>1.8976670231871635</v>
      </c>
      <c r="L6590" s="1">
        <v>1.7892047311235286</v>
      </c>
      <c r="M6590" s="1">
        <v>0.14786316352679521</v>
      </c>
      <c r="N6590" s="1">
        <v>1.0873930740813118</v>
      </c>
      <c r="O6590" s="1">
        <v>0.12788693333333331</v>
      </c>
      <c r="P6590" s="1">
        <v>8.027913176633511E-2</v>
      </c>
      <c r="Q6590" s="1">
        <v>3.8530642184023689</v>
      </c>
      <c r="R6590" s="2">
        <f t="shared" si="411"/>
        <v>117.10033940698766</v>
      </c>
      <c r="S6590" s="2">
        <f t="shared" si="410"/>
        <v>2.003928819112299</v>
      </c>
      <c r="T6590" s="2">
        <f t="shared" si="412"/>
        <v>3.1523479020649692</v>
      </c>
      <c r="U6590" s="2">
        <f t="shared" si="413"/>
        <v>122.25661612816494</v>
      </c>
    </row>
    <row r="6591" spans="1:21" x14ac:dyDescent="0.25">
      <c r="A6591">
        <v>7144633</v>
      </c>
      <c r="B6591">
        <v>65</v>
      </c>
      <c r="C6591" s="1">
        <f>2.8275103016079*(10.3/7.3)</f>
        <v>3.9895008365152611</v>
      </c>
      <c r="D6591" s="1">
        <f>6.32586352267387*(10.3/7.3)</f>
        <v>8.9255334634987431</v>
      </c>
      <c r="E6591" s="1">
        <f>21.518818765495*(10.3/7.3)</f>
        <v>30.362168943095625</v>
      </c>
      <c r="F6591" s="1">
        <f>63.4214133444026*(38.9/42.5)</f>
        <v>58.049246566994391</v>
      </c>
      <c r="G6591" s="1">
        <v>3.4576372492992249</v>
      </c>
      <c r="H6591" s="1">
        <v>9.4689016951759353</v>
      </c>
      <c r="I6591" s="1">
        <v>45.265174419886243</v>
      </c>
      <c r="J6591" s="1">
        <v>3.4667105256589698E-2</v>
      </c>
      <c r="K6591" s="1">
        <v>2.4160120035970802</v>
      </c>
      <c r="L6591" s="1">
        <v>2.3916648514628025</v>
      </c>
      <c r="M6591" s="1">
        <v>0.19165717566207716</v>
      </c>
      <c r="N6591" s="1">
        <v>1.4145128870572674</v>
      </c>
      <c r="O6591" s="1">
        <v>0.16221866666666673</v>
      </c>
      <c r="P6591" s="1">
        <v>9.919841696798383E-2</v>
      </c>
      <c r="Q6591" s="1">
        <v>5.5259042797019662</v>
      </c>
      <c r="R6591" s="2">
        <f t="shared" si="411"/>
        <v>165.04406745416736</v>
      </c>
      <c r="S6591" s="2">
        <f t="shared" si="410"/>
        <v>2.5498775258216542</v>
      </c>
      <c r="T6591" s="2">
        <f t="shared" si="412"/>
        <v>4.1600535808488139</v>
      </c>
      <c r="U6591" s="2">
        <f t="shared" si="413"/>
        <v>171.75399856083783</v>
      </c>
    </row>
    <row r="6592" spans="1:21" x14ac:dyDescent="0.25">
      <c r="A6592">
        <v>7144641</v>
      </c>
      <c r="B6592">
        <v>65</v>
      </c>
      <c r="C6592" s="1">
        <f>3.21928237787248*(10.3/7.3)</f>
        <v>4.5422751359022691</v>
      </c>
      <c r="D6592" s="1">
        <f>7.10701441090466*(10.3/7.3)</f>
        <v>10.027705264701101</v>
      </c>
      <c r="E6592" s="1">
        <f>24.2080189490571*(10.3/7.3)</f>
        <v>34.15651988702573</v>
      </c>
      <c r="F6592" s="1">
        <f>70.1335159506189*(38.9/42.5)</f>
        <v>64.192794599507607</v>
      </c>
      <c r="G6592" s="1">
        <v>3.7844411328012071</v>
      </c>
      <c r="H6592" s="1">
        <v>10.877443973668935</v>
      </c>
      <c r="I6592" s="1">
        <v>49.938085920784893</v>
      </c>
      <c r="J6592" s="1">
        <v>3.8662375354270903E-2</v>
      </c>
      <c r="K6592" s="1">
        <v>2.6404453862685506</v>
      </c>
      <c r="L6592" s="1">
        <v>2.637707236698088</v>
      </c>
      <c r="M6592" s="1">
        <v>0.20877999986268667</v>
      </c>
      <c r="N6592" s="1">
        <v>1.5575402514894727</v>
      </c>
      <c r="O6592" s="1">
        <v>0.17594748717948722</v>
      </c>
      <c r="P6592" s="1">
        <v>0.10761955694194561</v>
      </c>
      <c r="Q6592" s="1">
        <v>6.0481935912348144</v>
      </c>
      <c r="R6592" s="2">
        <f t="shared" si="411"/>
        <v>183.56745950562657</v>
      </c>
      <c r="S6592" s="2">
        <f t="shared" si="410"/>
        <v>2.786727318564767</v>
      </c>
      <c r="T6592" s="2">
        <f t="shared" si="412"/>
        <v>4.5799749752297343</v>
      </c>
      <c r="U6592" s="2">
        <f t="shared" si="413"/>
        <v>190.93416179942108</v>
      </c>
    </row>
    <row r="6593" spans="1:21" x14ac:dyDescent="0.25">
      <c r="A6593">
        <v>7144649</v>
      </c>
      <c r="B6593">
        <v>22</v>
      </c>
      <c r="C6593" s="1">
        <f>2.79662402535926*(10.3/7.3)</f>
        <v>3.9459215700274499</v>
      </c>
      <c r="D6593" s="1">
        <f>6.05305049094509*(10.3/7.3)</f>
        <v>8.5406054872238926</v>
      </c>
      <c r="E6593" s="1">
        <f>20.6472787212494*(10.3/7.3)</f>
        <v>29.132461757379286</v>
      </c>
      <c r="F6593" s="1">
        <f>58.8641937624917*(38.9/42.5)</f>
        <v>53.878050290845316</v>
      </c>
      <c r="G6593" s="1">
        <v>3.1434979204116456</v>
      </c>
      <c r="H6593" s="1">
        <v>10.433931868715053</v>
      </c>
      <c r="I6593" s="1">
        <v>41.868837192050634</v>
      </c>
      <c r="J6593" s="1">
        <v>3.4228381726296137E-2</v>
      </c>
      <c r="K6593" s="1">
        <v>2.3613223312265919</v>
      </c>
      <c r="L6593" s="1">
        <v>2.3217252416328749</v>
      </c>
      <c r="M6593" s="1">
        <v>0.18402928169641297</v>
      </c>
      <c r="N6593" s="1">
        <v>1.3909255458982663</v>
      </c>
      <c r="O6593" s="1">
        <v>0.15621575757575756</v>
      </c>
      <c r="P6593" s="1">
        <v>9.6788200238869318E-2</v>
      </c>
      <c r="Q6593" s="1">
        <v>5.0238551239455571</v>
      </c>
      <c r="R6593" s="2">
        <f t="shared" si="411"/>
        <v>155.96716121059885</v>
      </c>
      <c r="S6593" s="2">
        <f t="shared" si="410"/>
        <v>2.492338913191757</v>
      </c>
      <c r="T6593" s="2">
        <f t="shared" si="412"/>
        <v>4.0528958268033115</v>
      </c>
      <c r="U6593" s="2">
        <f t="shared" si="413"/>
        <v>162.51239595059391</v>
      </c>
    </row>
    <row r="6594" spans="1:21" x14ac:dyDescent="0.25">
      <c r="A6594">
        <v>7144657</v>
      </c>
      <c r="B6594">
        <v>44</v>
      </c>
      <c r="C6594" s="1">
        <f>3.08978489930984*(10.3/7.3)</f>
        <v>4.3595595154645759</v>
      </c>
      <c r="D6594" s="1">
        <f>6.66833677535933*(10.3/7.3)</f>
        <v>9.4087491487946746</v>
      </c>
      <c r="E6594" s="1">
        <f>22.7734555030184*(10.3/7.3)</f>
        <v>32.132409819327272</v>
      </c>
      <c r="F6594" s="1">
        <f>63.608854612343*(38.9/42.5)</f>
        <v>58.220810456944577</v>
      </c>
      <c r="G6594" s="1">
        <v>3.3557224367512828</v>
      </c>
      <c r="H6594" s="1">
        <v>10.430725468439313</v>
      </c>
      <c r="I6594" s="1">
        <v>45.026180277780398</v>
      </c>
      <c r="J6594" s="1">
        <v>3.6329153331915345E-2</v>
      </c>
      <c r="K6594" s="1">
        <v>2.4586161065427379</v>
      </c>
      <c r="L6594" s="1">
        <v>2.4163081251349503</v>
      </c>
      <c r="M6594" s="1">
        <v>0.19060949623522283</v>
      </c>
      <c r="N6594" s="1">
        <v>1.4842954855676873</v>
      </c>
      <c r="O6594" s="1">
        <v>0.161030303030303</v>
      </c>
      <c r="P6594" s="1">
        <v>0.10015523317740854</v>
      </c>
      <c r="Q6594" s="1">
        <v>5.3630267254015971</v>
      </c>
      <c r="R6594" s="2">
        <f t="shared" si="411"/>
        <v>168.29718384890367</v>
      </c>
      <c r="S6594" s="2">
        <f t="shared" si="410"/>
        <v>2.5951004930520618</v>
      </c>
      <c r="T6594" s="2">
        <f t="shared" si="412"/>
        <v>4.2522434099681643</v>
      </c>
      <c r="U6594" s="2">
        <f t="shared" si="413"/>
        <v>175.1445277519239</v>
      </c>
    </row>
    <row r="6595" spans="1:21" x14ac:dyDescent="0.25">
      <c r="A6595">
        <v>7144665</v>
      </c>
      <c r="B6595">
        <v>3</v>
      </c>
      <c r="C6595" s="1">
        <f>2.73108691897372*(10.3/7.3)</f>
        <v>3.8534514062231895</v>
      </c>
      <c r="D6595" s="1">
        <f>5.91176305993299*(10.3/7.3)</f>
        <v>8.3412547283985994</v>
      </c>
      <c r="E6595" s="1">
        <f>20.2109702280838*(10.3/7.3)</f>
        <v>28.516848404008709</v>
      </c>
      <c r="F6595" s="1">
        <f>55.2757899215652*(38.9/42.5)</f>
        <v>50.593605363503208</v>
      </c>
      <c r="G6595" s="1">
        <v>2.8797962175853988</v>
      </c>
      <c r="H6595" s="1">
        <v>9.913782490650453</v>
      </c>
      <c r="I6595" s="1">
        <v>38.892291420429622</v>
      </c>
      <c r="J6595" s="1">
        <v>3.3487364051967373E-2</v>
      </c>
      <c r="K6595" s="1">
        <v>2.2513321125133738</v>
      </c>
      <c r="L6595" s="1">
        <v>2.179923997299817</v>
      </c>
      <c r="M6595" s="1">
        <v>0.17117097053692101</v>
      </c>
      <c r="N6595" s="1">
        <v>1.359549447061265</v>
      </c>
      <c r="O6595" s="1">
        <v>0.14547555555555555</v>
      </c>
      <c r="P6595" s="1">
        <v>9.2217449405396126E-2</v>
      </c>
      <c r="Q6595" s="1">
        <v>4.6024140463693639</v>
      </c>
      <c r="R6595" s="2">
        <f t="shared" si="411"/>
        <v>147.59344407716856</v>
      </c>
      <c r="S6595" s="2">
        <f t="shared" si="410"/>
        <v>2.3770369259707373</v>
      </c>
      <c r="T6595" s="2">
        <f t="shared" si="412"/>
        <v>3.8561199704535589</v>
      </c>
      <c r="U6595" s="2">
        <f t="shared" si="413"/>
        <v>153.82660097359286</v>
      </c>
    </row>
    <row r="6596" spans="1:21" x14ac:dyDescent="0.25">
      <c r="A6596">
        <v>7156293</v>
      </c>
      <c r="B6596">
        <v>40</v>
      </c>
      <c r="C6596" s="1">
        <f>0.372036410861159*(10.3/7.3)</f>
        <v>0.52492808655752599</v>
      </c>
      <c r="D6596" s="1">
        <f>0.698245746497281*(10.3/7.3)</f>
        <v>0.98519605327698623</v>
      </c>
      <c r="E6596" s="1">
        <f>2.3869157951914*(10.3/7.3)</f>
        <v>3.367840094585131</v>
      </c>
      <c r="F6596" s="1">
        <f>7.03747679120781*(38.9/42.5)</f>
        <v>6.4413611100702033</v>
      </c>
      <c r="G6596" s="1">
        <v>0.37930907557406485</v>
      </c>
      <c r="H6596" s="1">
        <v>2.3903004067014395</v>
      </c>
      <c r="I6596" s="1">
        <v>5.1616764639100809</v>
      </c>
      <c r="J6596" s="1">
        <v>1.8328518629304749E-2</v>
      </c>
      <c r="K6596" s="1">
        <v>1.7364990500525121</v>
      </c>
      <c r="L6596" s="1">
        <v>1.1473699600199718</v>
      </c>
      <c r="M6596" s="1">
        <v>0.15612482914291309</v>
      </c>
      <c r="N6596" s="1">
        <v>0.66592832299904881</v>
      </c>
      <c r="O6596" s="1">
        <v>0.16434133333333337</v>
      </c>
      <c r="P6596" s="1">
        <v>8.3893779492283521E-2</v>
      </c>
      <c r="Q6596" s="1">
        <v>0.60620171895398545</v>
      </c>
      <c r="R6596" s="2">
        <f t="shared" si="411"/>
        <v>19.85681300962942</v>
      </c>
      <c r="S6596" s="2">
        <f t="shared" si="410"/>
        <v>1.8387213481741005</v>
      </c>
      <c r="T6596" s="2">
        <f t="shared" si="412"/>
        <v>2.1337644454952671</v>
      </c>
      <c r="U6596" s="2">
        <f t="shared" si="413"/>
        <v>23.829298803298787</v>
      </c>
    </row>
    <row r="6597" spans="1:21" x14ac:dyDescent="0.25">
      <c r="A6597">
        <v>7156325</v>
      </c>
      <c r="B6597">
        <v>9</v>
      </c>
      <c r="C6597" s="1">
        <f>0.247321510141729*(10.3/7.3)</f>
        <v>0.34896048691230241</v>
      </c>
      <c r="D6597" s="1">
        <f>0.447703419694072*(10.3/7.3)</f>
        <v>0.6316911264176629</v>
      </c>
      <c r="E6597" s="1">
        <f>1.53423392173223*(10.3/7.3)</f>
        <v>2.1647410128550693</v>
      </c>
      <c r="F6597" s="1">
        <f>4.41724279789306*(38.9/42.5)</f>
        <v>4.0430763491303505</v>
      </c>
      <c r="G6597" s="1">
        <v>0.23422485629615966</v>
      </c>
      <c r="H6597" s="1">
        <v>1.3759562732486996</v>
      </c>
      <c r="I6597" s="1">
        <v>3.2430881449579179</v>
      </c>
      <c r="J6597" s="1">
        <v>1.5730027795092631E-2</v>
      </c>
      <c r="K6597" s="1">
        <v>1.4492485275324496</v>
      </c>
      <c r="L6597" s="1">
        <v>0.99030729623895475</v>
      </c>
      <c r="M6597" s="1">
        <v>0.14163084371990986</v>
      </c>
      <c r="N6597" s="1">
        <v>0.71848584154382422</v>
      </c>
      <c r="O6597" s="1">
        <v>0.13673481481481481</v>
      </c>
      <c r="P6597" s="1">
        <v>6.8842177467395793E-2</v>
      </c>
      <c r="Q6597" s="1">
        <v>0.37433196211715042</v>
      </c>
      <c r="R6597" s="2">
        <f t="shared" si="411"/>
        <v>12.416070211935311</v>
      </c>
      <c r="S6597" s="2">
        <f t="shared" si="410"/>
        <v>1.533820732794938</v>
      </c>
      <c r="T6597" s="2">
        <f t="shared" si="412"/>
        <v>1.9871587963175037</v>
      </c>
      <c r="U6597" s="2">
        <f t="shared" si="413"/>
        <v>15.937049741047753</v>
      </c>
    </row>
    <row r="6598" spans="1:21" x14ac:dyDescent="0.25">
      <c r="A6598">
        <v>7156565</v>
      </c>
      <c r="B6598">
        <v>2</v>
      </c>
      <c r="C6598" s="1">
        <f>0.73106461131344*(10.3/7.3)</f>
        <v>1.0315021228121137</v>
      </c>
      <c r="D6598" s="1">
        <f>4.02831055023288*(10.3/7.3)</f>
        <v>5.683780639369675</v>
      </c>
      <c r="E6598" s="1">
        <f>13.7154983445558*(10.3/7.3)</f>
        <v>19.352004513551346</v>
      </c>
      <c r="F6598" s="1">
        <f>29.0274224114881*(38.9/42.5)</f>
        <v>26.56862898369144</v>
      </c>
      <c r="G6598" s="1">
        <v>1.3240195724666102</v>
      </c>
      <c r="H6598" s="1">
        <v>10.438359754810124</v>
      </c>
      <c r="I6598" s="1">
        <v>16.218846658592213</v>
      </c>
      <c r="J6598" s="1">
        <v>1.7927535874247613E-2</v>
      </c>
      <c r="K6598" s="1">
        <v>1.6692618877532328</v>
      </c>
      <c r="L6598" s="1">
        <v>1.377897610132655</v>
      </c>
      <c r="M6598" s="1">
        <v>0.16639583818423243</v>
      </c>
      <c r="N6598" s="1">
        <v>0.70252214854215911</v>
      </c>
      <c r="O6598" s="1">
        <v>0.13314666666666664</v>
      </c>
      <c r="P6598" s="1">
        <v>7.8833270284548285E-2</v>
      </c>
      <c r="Q6598" s="1">
        <v>2.1160130153575984</v>
      </c>
      <c r="R6598" s="2">
        <f t="shared" si="411"/>
        <v>82.733155260651117</v>
      </c>
      <c r="S6598" s="2">
        <f t="shared" si="410"/>
        <v>1.7660226939120287</v>
      </c>
      <c r="T6598" s="2">
        <f t="shared" si="412"/>
        <v>2.3799622635257132</v>
      </c>
      <c r="U6598" s="2">
        <f t="shared" si="413"/>
        <v>86.879140218088864</v>
      </c>
    </row>
    <row r="6599" spans="1:21" x14ac:dyDescent="0.25">
      <c r="A6599">
        <v>7156573</v>
      </c>
      <c r="B6599">
        <v>69</v>
      </c>
      <c r="C6599" s="1">
        <f>0.714079486075758*(10.3/7.3)</f>
        <v>1.0075368091205898</v>
      </c>
      <c r="D6599" s="1">
        <f>1.79506978302082*(10.3/7.3)</f>
        <v>2.5327696938512987</v>
      </c>
      <c r="E6599" s="1">
        <f>6.0741944098119*(10.3/7.3)</f>
        <v>8.5704386878167895</v>
      </c>
      <c r="F6599" s="1">
        <f>18.6660326701516*(38.9/42.5)</f>
        <v>17.084909902797552</v>
      </c>
      <c r="G6599" s="1">
        <v>1.0468238697824324</v>
      </c>
      <c r="H6599" s="1">
        <v>4.2375113341853732</v>
      </c>
      <c r="I6599" s="1">
        <v>13.254468302407357</v>
      </c>
      <c r="J6599" s="1">
        <v>1.5962440569002492E-2</v>
      </c>
      <c r="K6599" s="1">
        <v>1.5362077159274521</v>
      </c>
      <c r="L6599" s="1">
        <v>1.2618668643581203</v>
      </c>
      <c r="M6599" s="1">
        <v>0.15396996156488132</v>
      </c>
      <c r="N6599" s="1">
        <v>0.62868616576038894</v>
      </c>
      <c r="O6599" s="1">
        <v>0.12264347826086958</v>
      </c>
      <c r="P6599" s="1">
        <v>7.3456040509946502E-2</v>
      </c>
      <c r="Q6599" s="1">
        <v>1.6730061845837971</v>
      </c>
      <c r="R6599" s="2">
        <f t="shared" si="411"/>
        <v>49.407464784545184</v>
      </c>
      <c r="S6599" s="2">
        <f t="shared" si="410"/>
        <v>1.625626197006401</v>
      </c>
      <c r="T6599" s="2">
        <f t="shared" si="412"/>
        <v>2.1671664699442603</v>
      </c>
      <c r="U6599" s="2">
        <f t="shared" si="413"/>
        <v>53.200257451495844</v>
      </c>
    </row>
    <row r="6600" spans="1:21" x14ac:dyDescent="0.25">
      <c r="A6600">
        <v>7156581</v>
      </c>
      <c r="B6600">
        <v>32</v>
      </c>
      <c r="C6600" s="1">
        <f>0.722028365947505*(10.3/7.3)</f>
        <v>1.018752351953329</v>
      </c>
      <c r="D6600" s="1">
        <f>1.72059631608901*(10.3/7.3)</f>
        <v>2.4276906925639516</v>
      </c>
      <c r="E6600" s="1">
        <f>5.79180010410111*(10.3/7.3)</f>
        <v>8.1719919277043065</v>
      </c>
      <c r="F6600" s="1">
        <f>19.7427833934125*(38.9/42.5)</f>
        <v>18.070453505970526</v>
      </c>
      <c r="G6600" s="1">
        <v>1.1590536006134973</v>
      </c>
      <c r="H6600" s="1">
        <v>5.6232149407222796</v>
      </c>
      <c r="I6600" s="1">
        <v>14.458069360814847</v>
      </c>
      <c r="J6600" s="1">
        <v>1.649890220923916E-2</v>
      </c>
      <c r="K6600" s="1">
        <v>1.5781718876094246</v>
      </c>
      <c r="L6600" s="1">
        <v>1.3142839103336585</v>
      </c>
      <c r="M6600" s="1">
        <v>0.1573102659830436</v>
      </c>
      <c r="N6600" s="1">
        <v>0.65547343566209981</v>
      </c>
      <c r="O6600" s="1">
        <v>0.12501500000000002</v>
      </c>
      <c r="P6600" s="1">
        <v>7.5037304787232875E-2</v>
      </c>
      <c r="Q6600" s="1">
        <v>1.8523687681037644</v>
      </c>
      <c r="R6600" s="2">
        <f t="shared" si="411"/>
        <v>52.781595148446499</v>
      </c>
      <c r="S6600" s="2">
        <f t="shared" si="410"/>
        <v>1.6697080946058966</v>
      </c>
      <c r="T6600" s="2">
        <f t="shared" si="412"/>
        <v>2.252082611978802</v>
      </c>
      <c r="U6600" s="2">
        <f t="shared" si="413"/>
        <v>56.703385855031193</v>
      </c>
    </row>
    <row r="6601" spans="1:21" x14ac:dyDescent="0.25">
      <c r="A6601">
        <v>7156845</v>
      </c>
      <c r="B6601">
        <v>26</v>
      </c>
      <c r="C6601" s="1">
        <f>2.42582688692119*(10.3/7.3)</f>
        <v>3.4227420459298927</v>
      </c>
      <c r="D6601" s="1">
        <f>6.2890570501215*(10.3/7.3)</f>
        <v>8.8736010433221217</v>
      </c>
      <c r="E6601" s="1">
        <f>21.2896376718393*(10.3/7.3)</f>
        <v>30.038803838348656</v>
      </c>
      <c r="F6601" s="1">
        <f>64.215673127076*(38.9/42.5)</f>
        <v>58.776227873958959</v>
      </c>
      <c r="G6601" s="1">
        <v>3.5730453385761285</v>
      </c>
      <c r="H6601" s="1">
        <v>11.985218859263885</v>
      </c>
      <c r="I6601" s="1">
        <v>45.20408099277109</v>
      </c>
      <c r="J6601" s="1">
        <v>3.2477807958038417E-2</v>
      </c>
      <c r="K6601" s="1">
        <v>2.2712025289748059</v>
      </c>
      <c r="L6601" s="1">
        <v>2.2286611834659014</v>
      </c>
      <c r="M6601" s="1">
        <v>0.17933944199010407</v>
      </c>
      <c r="N6601" s="1">
        <v>1.3189008601894363</v>
      </c>
      <c r="O6601" s="1">
        <v>0.15488820512820511</v>
      </c>
      <c r="P6601" s="1">
        <v>9.4066737427532035E-2</v>
      </c>
      <c r="Q6601" s="1">
        <v>5.7103464315143651</v>
      </c>
      <c r="R6601" s="2">
        <f t="shared" si="411"/>
        <v>167.58406642368507</v>
      </c>
      <c r="S6601" s="2">
        <f t="shared" ref="S6601:S6664" si="414">J6601+K6601+P6601</f>
        <v>2.3977470743603764</v>
      </c>
      <c r="T6601" s="2">
        <f t="shared" si="412"/>
        <v>3.8817896907736471</v>
      </c>
      <c r="U6601" s="2">
        <f t="shared" si="413"/>
        <v>173.8636031888191</v>
      </c>
    </row>
    <row r="6602" spans="1:21" x14ac:dyDescent="0.25">
      <c r="A6602">
        <v>7156861</v>
      </c>
      <c r="B6602">
        <v>40</v>
      </c>
      <c r="C6602" s="1">
        <f>1.87398286541013*(10.3/7.3)</f>
        <v>2.6441128100992302</v>
      </c>
      <c r="D6602" s="1">
        <f>4.17621242064063*(10.3/7.3)</f>
        <v>5.8924641003559559</v>
      </c>
      <c r="E6602" s="1">
        <f>14.2034900892185*(10.3/7.3)</f>
        <v>20.040540810815088</v>
      </c>
      <c r="F6602" s="1">
        <f>42.0797374575458*(38.9/42.5)</f>
        <v>38.515336167024316</v>
      </c>
      <c r="G6602" s="1">
        <v>2.3000548273965649</v>
      </c>
      <c r="H6602" s="1">
        <v>8.1408289058008698</v>
      </c>
      <c r="I6602" s="1">
        <v>30.088964373009635</v>
      </c>
      <c r="J6602" s="1">
        <v>2.659682547062046E-2</v>
      </c>
      <c r="K6602" s="1">
        <v>1.9410697250661442</v>
      </c>
      <c r="L6602" s="1">
        <v>1.8324551743993709</v>
      </c>
      <c r="M6602" s="1">
        <v>0.15324381995298605</v>
      </c>
      <c r="N6602" s="1">
        <v>1.1552963868931792</v>
      </c>
      <c r="O6602" s="1">
        <v>0.12947066666666668</v>
      </c>
      <c r="P6602" s="1">
        <v>8.1741355067469684E-2</v>
      </c>
      <c r="Q6602" s="1">
        <v>3.6758867104511337</v>
      </c>
      <c r="R6602" s="2">
        <f t="shared" ref="R6602:R6665" si="415">C6602+D6602+E6602+F6602+G6602+H6602+I6602+Q6602</f>
        <v>111.29818870495279</v>
      </c>
      <c r="S6602" s="2">
        <f t="shared" si="414"/>
        <v>2.0494079056042342</v>
      </c>
      <c r="T6602" s="2">
        <f t="shared" ref="T6602:T6665" si="416">L6602+M6602+N6602+O6602</f>
        <v>3.2704660479122025</v>
      </c>
      <c r="U6602" s="2">
        <f t="shared" ref="U6602:U6665" si="417">R6602+S6602+T6602</f>
        <v>116.61806265846924</v>
      </c>
    </row>
    <row r="6603" spans="1:21" x14ac:dyDescent="0.25">
      <c r="A6603">
        <v>7156869</v>
      </c>
      <c r="B6603">
        <v>71</v>
      </c>
      <c r="C6603" s="1">
        <f>2.97223297386555*(10.3/7.3)</f>
        <v>4.1936985795637174</v>
      </c>
      <c r="D6603" s="1">
        <f>6.68149687396599*(10.3/7.3)</f>
        <v>9.4273175071027051</v>
      </c>
      <c r="E6603" s="1">
        <f>22.7406369396251*(10.3/7.3)</f>
        <v>32.086104175087435</v>
      </c>
      <c r="F6603" s="1">
        <f>66.2593948485618*(38.9/42.5)</f>
        <v>60.646834343742469</v>
      </c>
      <c r="G6603" s="1">
        <v>3.5907989895736829</v>
      </c>
      <c r="H6603" s="1">
        <v>9.65202610811337</v>
      </c>
      <c r="I6603" s="1">
        <v>47.121978529198465</v>
      </c>
      <c r="J6603" s="1">
        <v>3.587837948744331E-2</v>
      </c>
      <c r="K6603" s="1">
        <v>2.4894357694470104</v>
      </c>
      <c r="L6603" s="1">
        <v>2.4686084067070597</v>
      </c>
      <c r="M6603" s="1">
        <v>0.19744208737396018</v>
      </c>
      <c r="N6603" s="1">
        <v>1.4519166648104522</v>
      </c>
      <c r="O6603" s="1">
        <v>0.16625727699530518</v>
      </c>
      <c r="P6603" s="1">
        <v>0.10191825746266146</v>
      </c>
      <c r="Q6603" s="1">
        <v>5.7387198463506399</v>
      </c>
      <c r="R6603" s="2">
        <f t="shared" si="415"/>
        <v>172.45747807873249</v>
      </c>
      <c r="S6603" s="2">
        <f t="shared" si="414"/>
        <v>2.6272324063971149</v>
      </c>
      <c r="T6603" s="2">
        <f t="shared" si="416"/>
        <v>4.2842244358867774</v>
      </c>
      <c r="U6603" s="2">
        <f t="shared" si="417"/>
        <v>179.3689349210164</v>
      </c>
    </row>
    <row r="6604" spans="1:21" x14ac:dyDescent="0.25">
      <c r="A6604">
        <v>7156877</v>
      </c>
      <c r="B6604">
        <v>70</v>
      </c>
      <c r="C6604" s="1">
        <f>3.24131010320299*(10.3/7.3)</f>
        <v>4.5733553510946372</v>
      </c>
      <c r="D6604" s="1">
        <f>7.18287173515476*(10.3/7.3)</f>
        <v>10.134736831793697</v>
      </c>
      <c r="E6604" s="1">
        <f>24.4753487906662*(10.3/7.3)</f>
        <v>34.533711307378375</v>
      </c>
      <c r="F6604" s="1">
        <f>70.3244662198145*(38.9/42.5)</f>
        <v>64.367570257665477</v>
      </c>
      <c r="G6604" s="1">
        <v>3.7780388082972318</v>
      </c>
      <c r="H6604" s="1">
        <v>11.981763799374924</v>
      </c>
      <c r="I6604" s="1">
        <v>49.940664283454993</v>
      </c>
      <c r="J6604" s="1">
        <v>3.8649282039820043E-2</v>
      </c>
      <c r="K6604" s="1">
        <v>2.6281682845890177</v>
      </c>
      <c r="L6604" s="1">
        <v>2.6173574610790284</v>
      </c>
      <c r="M6604" s="1">
        <v>0.20689519717753904</v>
      </c>
      <c r="N6604" s="1">
        <v>1.5486611398621879</v>
      </c>
      <c r="O6604" s="1">
        <v>0.17439999999999997</v>
      </c>
      <c r="P6604" s="1">
        <v>0.1068022220253273</v>
      </c>
      <c r="Q6604" s="1">
        <v>6.0379615657718402</v>
      </c>
      <c r="R6604" s="2">
        <f t="shared" si="415"/>
        <v>185.34780220483117</v>
      </c>
      <c r="S6604" s="2">
        <f t="shared" si="414"/>
        <v>2.7736197886541651</v>
      </c>
      <c r="T6604" s="2">
        <f t="shared" si="416"/>
        <v>4.5473137981187559</v>
      </c>
      <c r="U6604" s="2">
        <f t="shared" si="417"/>
        <v>192.66873579160409</v>
      </c>
    </row>
    <row r="6605" spans="1:21" x14ac:dyDescent="0.25">
      <c r="A6605">
        <v>7156885</v>
      </c>
      <c r="B6605">
        <v>7</v>
      </c>
      <c r="C6605" s="1">
        <f>2.14030637188515*(10.3/7.3)</f>
        <v>3.0198843329338421</v>
      </c>
      <c r="D6605" s="1">
        <f>4.62894776902906*(10.3/7.3)</f>
        <v>6.5312550713697712</v>
      </c>
      <c r="E6605" s="1">
        <f>15.7917837827559*(10.3/7.3)</f>
        <v>22.281557940052853</v>
      </c>
      <c r="F6605" s="1">
        <f>44.9253283978988*(38.9/42.5)</f>
        <v>41.11988881595915</v>
      </c>
      <c r="G6605" s="1">
        <v>2.3960493119701378</v>
      </c>
      <c r="H6605" s="1">
        <v>9.4817400480539362</v>
      </c>
      <c r="I6605" s="1">
        <v>31.940848274313733</v>
      </c>
      <c r="J6605" s="1">
        <v>2.7760251323653212E-2</v>
      </c>
      <c r="K6605" s="1">
        <v>1.9840423332509087</v>
      </c>
      <c r="L6605" s="1">
        <v>1.8873832222229436</v>
      </c>
      <c r="M6605" s="1">
        <v>0.15269915568641265</v>
      </c>
      <c r="N6605" s="1">
        <v>1.1768340070752059</v>
      </c>
      <c r="O6605" s="1">
        <v>0.13028571428571431</v>
      </c>
      <c r="P6605" s="1">
        <v>8.2626100721339454E-2</v>
      </c>
      <c r="Q6605" s="1">
        <v>3.829302553376936</v>
      </c>
      <c r="R6605" s="2">
        <f t="shared" si="415"/>
        <v>120.60052634803036</v>
      </c>
      <c r="S6605" s="2">
        <f t="shared" si="414"/>
        <v>2.0944286852959015</v>
      </c>
      <c r="T6605" s="2">
        <f t="shared" si="416"/>
        <v>3.3472020992702762</v>
      </c>
      <c r="U6605" s="2">
        <f t="shared" si="417"/>
        <v>126.04215713259653</v>
      </c>
    </row>
    <row r="6606" spans="1:21" x14ac:dyDescent="0.25">
      <c r="A6606">
        <v>7156893</v>
      </c>
      <c r="B6606">
        <v>45</v>
      </c>
      <c r="C6606" s="1">
        <f>3.28633225038842*(10.3/7.3)</f>
        <v>4.6368797505480446</v>
      </c>
      <c r="D6606" s="1">
        <f>7.13666167957777*(10.3/7.3)</f>
        <v>10.069536342417944</v>
      </c>
      <c r="E6606" s="1">
        <f>24.3836025993308*(10.3/7.3)</f>
        <v>34.404261201795549</v>
      </c>
      <c r="F6606" s="1">
        <f>67.3497112520464*(38.9/42.5)</f>
        <v>61.644794534225966</v>
      </c>
      <c r="G6606" s="1">
        <v>3.5308380765121195</v>
      </c>
      <c r="H6606" s="1">
        <v>10.858506767449429</v>
      </c>
      <c r="I6606" s="1">
        <v>47.487725465244068</v>
      </c>
      <c r="J6606" s="1">
        <v>3.8153002316571039E-2</v>
      </c>
      <c r="K6606" s="1">
        <v>2.5456104896553269</v>
      </c>
      <c r="L6606" s="1">
        <v>2.5076246184120072</v>
      </c>
      <c r="M6606" s="1">
        <v>0.19691364476224596</v>
      </c>
      <c r="N6606" s="1">
        <v>1.5299089278137854</v>
      </c>
      <c r="O6606" s="1">
        <v>0.16624118518518521</v>
      </c>
      <c r="P6606" s="1">
        <v>0.10319340488354713</v>
      </c>
      <c r="Q6606" s="1">
        <v>5.6428919031015656</v>
      </c>
      <c r="R6606" s="2">
        <f t="shared" si="415"/>
        <v>178.27543404129469</v>
      </c>
      <c r="S6606" s="2">
        <f t="shared" si="414"/>
        <v>2.6869568968554454</v>
      </c>
      <c r="T6606" s="2">
        <f t="shared" si="416"/>
        <v>4.4006883761732238</v>
      </c>
      <c r="U6606" s="2">
        <f t="shared" si="417"/>
        <v>185.36307931432336</v>
      </c>
    </row>
    <row r="6607" spans="1:21" x14ac:dyDescent="0.25">
      <c r="A6607">
        <v>7168553</v>
      </c>
      <c r="B6607">
        <v>12</v>
      </c>
      <c r="C6607" s="1">
        <f>0.233641292945551*(10.3/7.3)</f>
        <v>0.32965826264920156</v>
      </c>
      <c r="D6607" s="1">
        <f>0.419194161045991*(10.3/7.3)</f>
        <v>0.59146573407859016</v>
      </c>
      <c r="E6607" s="1">
        <f>1.43770230141545*(10.3/7.3)</f>
        <v>2.0285388636409798</v>
      </c>
      <c r="F6607" s="1">
        <f>4.10022535239353*(38.9/42.5)</f>
        <v>3.7529121460731338</v>
      </c>
      <c r="G6607" s="1">
        <v>0.21604730503451311</v>
      </c>
      <c r="H6607" s="1">
        <v>1.2698184863433941</v>
      </c>
      <c r="I6607" s="1">
        <v>3.0088731684464243</v>
      </c>
      <c r="J6607" s="1">
        <v>1.6127710280560821E-2</v>
      </c>
      <c r="K6607" s="1">
        <v>1.4654134002609587</v>
      </c>
      <c r="L6607" s="1">
        <v>1.000506695219918</v>
      </c>
      <c r="M6607" s="1">
        <v>0.14037488261186154</v>
      </c>
      <c r="N6607" s="1">
        <v>0.7382363894031867</v>
      </c>
      <c r="O6607" s="1">
        <v>0.13734222222222225</v>
      </c>
      <c r="P6607" s="1">
        <v>6.9689213065608546E-2</v>
      </c>
      <c r="Q6607" s="1">
        <v>0.34528108110538663</v>
      </c>
      <c r="R6607" s="2">
        <f t="shared" si="415"/>
        <v>11.542595047371625</v>
      </c>
      <c r="S6607" s="2">
        <f t="shared" si="414"/>
        <v>1.5512303236071281</v>
      </c>
      <c r="T6607" s="2">
        <f t="shared" si="416"/>
        <v>2.0164601894571885</v>
      </c>
      <c r="U6607" s="2">
        <f t="shared" si="417"/>
        <v>15.110285560435941</v>
      </c>
    </row>
    <row r="6608" spans="1:21" x14ac:dyDescent="0.25">
      <c r="A6608">
        <v>7168801</v>
      </c>
      <c r="B6608">
        <v>40</v>
      </c>
      <c r="C6608" s="1">
        <f>0.815223670082456*(10.3/7.3)</f>
        <v>1.1502470961437399</v>
      </c>
      <c r="D6608" s="1">
        <f>2.24792432945387*(10.3/7.3)</f>
        <v>3.1717288484075175</v>
      </c>
      <c r="E6608" s="1">
        <f>7.61736608652801*(10.3/7.3)</f>
        <v>10.747790505649107</v>
      </c>
      <c r="F6608" s="1">
        <f>22.0568687240103*(38.9/42.5)</f>
        <v>20.188522196800022</v>
      </c>
      <c r="G6608" s="1">
        <v>1.204889999426928</v>
      </c>
      <c r="H6608" s="1">
        <v>5.928534864121727</v>
      </c>
      <c r="I6608" s="1">
        <v>15.234674387116844</v>
      </c>
      <c r="J6608" s="1">
        <v>1.6592836132414572E-2</v>
      </c>
      <c r="K6608" s="1">
        <v>1.583220636804916</v>
      </c>
      <c r="L6608" s="1">
        <v>1.3000221091649906</v>
      </c>
      <c r="M6608" s="1">
        <v>0.1584237808107006</v>
      </c>
      <c r="N6608" s="1">
        <v>0.65240066291334775</v>
      </c>
      <c r="O6608" s="1">
        <v>0.12646933333333335</v>
      </c>
      <c r="P6608" s="1">
        <v>7.5397640867485058E-2</v>
      </c>
      <c r="Q6608" s="1">
        <v>1.9256232867553666</v>
      </c>
      <c r="R6608" s="2">
        <f t="shared" si="415"/>
        <v>59.552011184421247</v>
      </c>
      <c r="S6608" s="2">
        <f t="shared" si="414"/>
        <v>1.6752111138048156</v>
      </c>
      <c r="T6608" s="2">
        <f t="shared" si="416"/>
        <v>2.2373158862223725</v>
      </c>
      <c r="U6608" s="2">
        <f t="shared" si="417"/>
        <v>63.464538184448429</v>
      </c>
    </row>
    <row r="6609" spans="1:21" x14ac:dyDescent="0.25">
      <c r="A6609">
        <v>7168809</v>
      </c>
      <c r="B6609">
        <v>58</v>
      </c>
      <c r="C6609" s="1">
        <f>0.747847803998417*(10.3/7.3)</f>
        <v>1.0551825179703698</v>
      </c>
      <c r="D6609" s="1">
        <f>1.71026854238663*(10.3/7.3)</f>
        <v>2.413118628298947</v>
      </c>
      <c r="E6609" s="1">
        <f>5.78322760049659*(10.3/7.3)</f>
        <v>8.1598964774130049</v>
      </c>
      <c r="F6609" s="1">
        <f>18.6581131075186*(38.9/42.5)</f>
        <v>17.077661173705231</v>
      </c>
      <c r="G6609" s="1">
        <v>1.0662638256521264</v>
      </c>
      <c r="H6609" s="1">
        <v>4.1964829776335719</v>
      </c>
      <c r="I6609" s="1">
        <v>13.565594899123008</v>
      </c>
      <c r="J6609" s="1">
        <v>1.5939082803192527E-2</v>
      </c>
      <c r="K6609" s="1">
        <v>1.5340485299625337</v>
      </c>
      <c r="L6609" s="1">
        <v>1.263944274813303</v>
      </c>
      <c r="M6609" s="1">
        <v>0.15263584100064023</v>
      </c>
      <c r="N6609" s="1">
        <v>0.62953001248629215</v>
      </c>
      <c r="O6609" s="1">
        <v>0.12206988505747124</v>
      </c>
      <c r="P6609" s="1">
        <v>7.3289100582477396E-2</v>
      </c>
      <c r="Q6609" s="1">
        <v>1.7040746072065962</v>
      </c>
      <c r="R6609" s="2">
        <f t="shared" si="415"/>
        <v>49.238275107002849</v>
      </c>
      <c r="S6609" s="2">
        <f t="shared" si="414"/>
        <v>1.6232767133482036</v>
      </c>
      <c r="T6609" s="2">
        <f t="shared" si="416"/>
        <v>2.1681800133577065</v>
      </c>
      <c r="U6609" s="2">
        <f t="shared" si="417"/>
        <v>53.029731833708759</v>
      </c>
    </row>
    <row r="6610" spans="1:21" x14ac:dyDescent="0.25">
      <c r="A6610">
        <v>7168817</v>
      </c>
      <c r="B6610">
        <v>25</v>
      </c>
      <c r="C6610" s="1">
        <f>0.73185322909083*(10.3/7.3)</f>
        <v>1.0326148300870619</v>
      </c>
      <c r="D6610" s="1">
        <f>1.78959250219339*(10.3/7.3)</f>
        <v>2.5250414756975239</v>
      </c>
      <c r="E6610" s="1">
        <f>6.0085169469359*(10.3/7.3)</f>
        <v>8.4777704867725685</v>
      </c>
      <c r="F6610" s="1">
        <f>21.0950060448976*(38.9/42.5)</f>
        <v>19.308134944623948</v>
      </c>
      <c r="G6610" s="1">
        <v>1.2554795641285492</v>
      </c>
      <c r="H6610" s="1">
        <v>7.5641242253488761</v>
      </c>
      <c r="I6610" s="1">
        <v>15.501675590095932</v>
      </c>
      <c r="J6610" s="1">
        <v>1.7144579916965677E-2</v>
      </c>
      <c r="K6610" s="1">
        <v>1.6173267113584386</v>
      </c>
      <c r="L6610" s="1">
        <v>1.3573777414239074</v>
      </c>
      <c r="M6610" s="1">
        <v>0.16007980976002886</v>
      </c>
      <c r="N6610" s="1">
        <v>0.68200735654482458</v>
      </c>
      <c r="O6610" s="1">
        <v>0.12754346666666666</v>
      </c>
      <c r="P6610" s="1">
        <v>7.6359882469623996E-2</v>
      </c>
      <c r="Q6610" s="1">
        <v>2.0064741892465419</v>
      </c>
      <c r="R6610" s="2">
        <f t="shared" si="415"/>
        <v>57.671315306000999</v>
      </c>
      <c r="S6610" s="2">
        <f t="shared" si="414"/>
        <v>1.7108311737450284</v>
      </c>
      <c r="T6610" s="2">
        <f t="shared" si="416"/>
        <v>2.3270083743954277</v>
      </c>
      <c r="U6610" s="2">
        <f t="shared" si="417"/>
        <v>61.709154854141453</v>
      </c>
    </row>
    <row r="6611" spans="1:21" x14ac:dyDescent="0.25">
      <c r="A6611">
        <v>7169089</v>
      </c>
      <c r="B6611">
        <v>49</v>
      </c>
      <c r="C6611" s="1">
        <f>3.01142745210531*(10.3/7.3)</f>
        <v>4.2490003776280458</v>
      </c>
      <c r="D6611" s="1">
        <f>6.67686321458449*(10.3/7.3)</f>
        <v>9.4207796041397618</v>
      </c>
      <c r="E6611" s="1">
        <f>22.6843466769632*(10.3/7.3)</f>
        <v>32.006680927769985</v>
      </c>
      <c r="F6611" s="1">
        <f>68.5926780774243*(38.9/42.5)</f>
        <v>62.782474757924867</v>
      </c>
      <c r="G6611" s="1">
        <v>3.7890223067517237</v>
      </c>
      <c r="H6611" s="1">
        <v>13.066227577300239</v>
      </c>
      <c r="I6611" s="1">
        <v>49.327525160130328</v>
      </c>
      <c r="J6611" s="1">
        <v>3.4591809372774771E-2</v>
      </c>
      <c r="K6611" s="1">
        <v>2.4020488933288311</v>
      </c>
      <c r="L6611" s="1">
        <v>2.3769280476420764</v>
      </c>
      <c r="M6611" s="1">
        <v>0.18966027207409974</v>
      </c>
      <c r="N6611" s="1">
        <v>1.4874945390971952</v>
      </c>
      <c r="O6611" s="1">
        <v>0.16297034013605449</v>
      </c>
      <c r="P6611" s="1">
        <v>9.9059109532409859E-2</v>
      </c>
      <c r="Q6611" s="1">
        <v>6.0555151021146312</v>
      </c>
      <c r="R6611" s="2">
        <f t="shared" si="415"/>
        <v>180.69722581375959</v>
      </c>
      <c r="S6611" s="2">
        <f t="shared" si="414"/>
        <v>2.5356998122340157</v>
      </c>
      <c r="T6611" s="2">
        <f t="shared" si="416"/>
        <v>4.2170531989494258</v>
      </c>
      <c r="U6611" s="2">
        <f t="shared" si="417"/>
        <v>187.44997882494303</v>
      </c>
    </row>
    <row r="6612" spans="1:21" x14ac:dyDescent="0.25">
      <c r="A6612">
        <v>7169097</v>
      </c>
      <c r="B6612">
        <v>55</v>
      </c>
      <c r="C6612" s="1">
        <f>1.57519340406307*(10.3/7.3)</f>
        <v>2.2225331591574786</v>
      </c>
      <c r="D6612" s="1">
        <f>3.49910818567314*(10.3/7.3)</f>
        <v>4.9370978510182724</v>
      </c>
      <c r="E6612" s="1">
        <f>11.9104649125419*(10.3/7.3)</f>
        <v>16.805176520435793</v>
      </c>
      <c r="F6612" s="1">
        <f>34.8311384059242*(38.9/42.5)</f>
        <v>31.880736093892949</v>
      </c>
      <c r="G6612" s="1">
        <v>1.8900491568944677</v>
      </c>
      <c r="H6612" s="1">
        <v>6.2408764224107189</v>
      </c>
      <c r="I6612" s="1">
        <v>24.837082965091767</v>
      </c>
      <c r="J6612" s="1">
        <v>2.3790331931016626E-2</v>
      </c>
      <c r="K6612" s="1">
        <v>1.7749373059094182</v>
      </c>
      <c r="L6612" s="1">
        <v>1.6324390340895594</v>
      </c>
      <c r="M6612" s="1">
        <v>0.13917965897143084</v>
      </c>
      <c r="N6612" s="1">
        <v>1.0187218924323809</v>
      </c>
      <c r="O6612" s="1">
        <v>0.11629963636363636</v>
      </c>
      <c r="P6612" s="1">
        <v>7.5346853758132548E-2</v>
      </c>
      <c r="Q6612" s="1">
        <v>3.0206265064523485</v>
      </c>
      <c r="R6612" s="2">
        <f t="shared" si="415"/>
        <v>91.834178675353797</v>
      </c>
      <c r="S6612" s="2">
        <f t="shared" si="414"/>
        <v>1.8740744915985674</v>
      </c>
      <c r="T6612" s="2">
        <f t="shared" si="416"/>
        <v>2.9066402218570073</v>
      </c>
      <c r="U6612" s="2">
        <f t="shared" si="417"/>
        <v>96.614893388809364</v>
      </c>
    </row>
    <row r="6613" spans="1:21" x14ac:dyDescent="0.25">
      <c r="A6613">
        <v>7169105</v>
      </c>
      <c r="B6613">
        <v>58</v>
      </c>
      <c r="C6613" s="1">
        <f>3.08558722829311*(10.3/7.3)</f>
        <v>4.3536367741669961</v>
      </c>
      <c r="D6613" s="1">
        <f>6.95378750447864*(10.3/7.3)</f>
        <v>9.8115083967301366</v>
      </c>
      <c r="E6613" s="1">
        <f>23.6771393165154*(10.3/7.3)</f>
        <v>33.407470542480624</v>
      </c>
      <c r="F6613" s="1">
        <f>68.4086117347459*(38.9/42.5)</f>
        <v>62.613999917214514</v>
      </c>
      <c r="G6613" s="1">
        <v>3.690483493673872</v>
      </c>
      <c r="H6613" s="1">
        <v>9.8729329160373513</v>
      </c>
      <c r="I6613" s="1">
        <v>48.527869545162396</v>
      </c>
      <c r="J6613" s="1">
        <v>3.7108718982696846E-2</v>
      </c>
      <c r="K6613" s="1">
        <v>2.5470740667110574</v>
      </c>
      <c r="L6613" s="1">
        <v>2.5285864749891451</v>
      </c>
      <c r="M6613" s="1">
        <v>0.20076851567217105</v>
      </c>
      <c r="N6613" s="1">
        <v>1.4920245224132742</v>
      </c>
      <c r="O6613" s="1">
        <v>0.16966528735632186</v>
      </c>
      <c r="P6613" s="1">
        <v>0.10368232364536402</v>
      </c>
      <c r="Q6613" s="1">
        <v>5.8980329807573373</v>
      </c>
      <c r="R6613" s="2">
        <f t="shared" si="415"/>
        <v>178.17593456622322</v>
      </c>
      <c r="S6613" s="2">
        <f t="shared" si="414"/>
        <v>2.6878651093391182</v>
      </c>
      <c r="T6613" s="2">
        <f t="shared" si="416"/>
        <v>4.3910448004309126</v>
      </c>
      <c r="U6613" s="2">
        <f t="shared" si="417"/>
        <v>185.25484447599325</v>
      </c>
    </row>
    <row r="6614" spans="1:21" x14ac:dyDescent="0.25">
      <c r="A6614">
        <v>7169113</v>
      </c>
      <c r="B6614">
        <v>37</v>
      </c>
      <c r="C6614" s="1">
        <f>3.0513781194717*(10.3/7.3)</f>
        <v>4.3053691274737744</v>
      </c>
      <c r="D6614" s="1">
        <f>6.81323791143538*(10.3/7.3)</f>
        <v>9.613198696956772</v>
      </c>
      <c r="E6614" s="1">
        <f>23.2201681902689*(10.3/7.3)</f>
        <v>32.762703062982084</v>
      </c>
      <c r="F6614" s="1">
        <f>66.2627714452884*(38.9/42.5)</f>
        <v>60.649924922863974</v>
      </c>
      <c r="G6614" s="1">
        <v>3.5476927262596942</v>
      </c>
      <c r="H6614" s="1">
        <v>10.747804204587426</v>
      </c>
      <c r="I6614" s="1">
        <v>46.920162622736903</v>
      </c>
      <c r="J6614" s="1">
        <v>3.6975506902766124E-2</v>
      </c>
      <c r="K6614" s="1">
        <v>2.5135958555369746</v>
      </c>
      <c r="L6614" s="1">
        <v>2.484932551357848</v>
      </c>
      <c r="M6614" s="1">
        <v>0.19664691264097392</v>
      </c>
      <c r="N6614" s="1">
        <v>1.4812510232511868</v>
      </c>
      <c r="O6614" s="1">
        <v>0.1662875675675676</v>
      </c>
      <c r="P6614" s="1">
        <v>0.10220074430212861</v>
      </c>
      <c r="Q6614" s="1">
        <v>5.6698285579492875</v>
      </c>
      <c r="R6614" s="2">
        <f t="shared" si="415"/>
        <v>174.21668392180993</v>
      </c>
      <c r="S6614" s="2">
        <f t="shared" si="414"/>
        <v>2.6527721067418693</v>
      </c>
      <c r="T6614" s="2">
        <f t="shared" si="416"/>
        <v>4.3291180548175765</v>
      </c>
      <c r="U6614" s="2">
        <f t="shared" si="417"/>
        <v>181.19857408336938</v>
      </c>
    </row>
    <row r="6615" spans="1:21" x14ac:dyDescent="0.25">
      <c r="A6615">
        <v>7169121</v>
      </c>
      <c r="B6615">
        <v>28</v>
      </c>
      <c r="C6615" s="1">
        <f>2.94987714325305*(10.3/7.3)</f>
        <v>4.1621554213022494</v>
      </c>
      <c r="D6615" s="1">
        <f>6.45700240655506*(10.3/7.3)</f>
        <v>9.1105650393859055</v>
      </c>
      <c r="E6615" s="1">
        <f>22.0396281993369*(10.3/7.3)</f>
        <v>31.097009651119194</v>
      </c>
      <c r="F6615" s="1">
        <f>61.7562762596467*(38.9/42.5)</f>
        <v>56.525156388241321</v>
      </c>
      <c r="G6615" s="1">
        <v>3.2672842332366594</v>
      </c>
      <c r="H6615" s="1">
        <v>12.970630731761418</v>
      </c>
      <c r="I6615" s="1">
        <v>43.654231098109165</v>
      </c>
      <c r="J6615" s="1">
        <v>3.5777178650951993E-2</v>
      </c>
      <c r="K6615" s="1">
        <v>2.4278432355712631</v>
      </c>
      <c r="L6615" s="1">
        <v>2.3788643491100396</v>
      </c>
      <c r="M6615" s="1">
        <v>0.18785668347332959</v>
      </c>
      <c r="N6615" s="1">
        <v>1.441831856761711</v>
      </c>
      <c r="O6615" s="1">
        <v>0.15897142857142854</v>
      </c>
      <c r="P6615" s="1">
        <v>9.8848432439583217E-2</v>
      </c>
      <c r="Q6615" s="1">
        <v>5.2216871307435238</v>
      </c>
      <c r="R6615" s="2">
        <f t="shared" si="415"/>
        <v>166.00871969389945</v>
      </c>
      <c r="S6615" s="2">
        <f t="shared" si="414"/>
        <v>2.5624688466617984</v>
      </c>
      <c r="T6615" s="2">
        <f t="shared" si="416"/>
        <v>4.1675243179165085</v>
      </c>
      <c r="U6615" s="2">
        <f t="shared" si="417"/>
        <v>172.73871285847775</v>
      </c>
    </row>
    <row r="6616" spans="1:21" x14ac:dyDescent="0.25">
      <c r="A6616">
        <v>7180757</v>
      </c>
      <c r="B6616">
        <v>42</v>
      </c>
      <c r="C6616" s="1">
        <f>0.376138247482522*(10.3/7.3)</f>
        <v>0.53071560946164131</v>
      </c>
      <c r="D6616" s="1">
        <f>0.707549564339411*(10.3/7.3)</f>
        <v>0.99832335790355253</v>
      </c>
      <c r="E6616" s="1">
        <f>2.41883569517768*(10.3/7.3)</f>
        <v>3.4128777616890598</v>
      </c>
      <c r="F6616" s="1">
        <f>7.11705153417828*(38.9/42.5)</f>
        <v>6.5141954042243508</v>
      </c>
      <c r="G6616" s="1">
        <v>0.38322176442408767</v>
      </c>
      <c r="H6616" s="1">
        <v>2.017251112252985</v>
      </c>
      <c r="I6616" s="1">
        <v>5.2157578413920556</v>
      </c>
      <c r="J6616" s="1">
        <v>1.863170564062409E-2</v>
      </c>
      <c r="K6616" s="1">
        <v>1.6963228083096449</v>
      </c>
      <c r="L6616" s="1">
        <v>1.150777569005268</v>
      </c>
      <c r="M6616" s="1">
        <v>0.15435258681399289</v>
      </c>
      <c r="N6616" s="1">
        <v>0.66614314279900866</v>
      </c>
      <c r="O6616" s="1">
        <v>0.16301841269841272</v>
      </c>
      <c r="P6616" s="1">
        <v>8.4319256962806469E-2</v>
      </c>
      <c r="Q6616" s="1">
        <v>0.61245487465036919</v>
      </c>
      <c r="R6616" s="2">
        <f t="shared" si="415"/>
        <v>19.684797725998102</v>
      </c>
      <c r="S6616" s="2">
        <f t="shared" si="414"/>
        <v>1.7992737709130753</v>
      </c>
      <c r="T6616" s="2">
        <f t="shared" si="416"/>
        <v>2.1342917113166822</v>
      </c>
      <c r="U6616" s="2">
        <f t="shared" si="417"/>
        <v>23.618363208227859</v>
      </c>
    </row>
    <row r="6617" spans="1:21" x14ac:dyDescent="0.25">
      <c r="A6617">
        <v>7181029</v>
      </c>
      <c r="B6617">
        <v>31</v>
      </c>
      <c r="C6617" s="1">
        <f>0.825466193577664*(10.3/7.3)</f>
        <v>1.1646988758698551</v>
      </c>
      <c r="D6617" s="1">
        <f>2.36618142539409*(10.3/7.3)</f>
        <v>3.3385847508985167</v>
      </c>
      <c r="E6617" s="1">
        <f>7.98532940439251*(10.3/7.3)</f>
        <v>11.266971625375737</v>
      </c>
      <c r="F6617" s="1">
        <f>24.4769216785964*(38.9/42.5)</f>
        <v>22.403582430527084</v>
      </c>
      <c r="G6617" s="1">
        <v>1.3795706629096722</v>
      </c>
      <c r="H6617" s="1">
        <v>9.3817104915912637</v>
      </c>
      <c r="I6617" s="1">
        <v>17.101278473094819</v>
      </c>
      <c r="J6617" s="1">
        <v>1.6849077732211368E-2</v>
      </c>
      <c r="K6617" s="1">
        <v>1.5975035136039539</v>
      </c>
      <c r="L6617" s="1">
        <v>1.3059344472954018</v>
      </c>
      <c r="M6617" s="1">
        <v>0.15897493242783486</v>
      </c>
      <c r="N6617" s="1">
        <v>0.66214223761885049</v>
      </c>
      <c r="O6617" s="1">
        <v>0.12739268817204299</v>
      </c>
      <c r="P6617" s="1">
        <v>7.5936392326691901E-2</v>
      </c>
      <c r="Q6617" s="1">
        <v>2.2047932968876065</v>
      </c>
      <c r="R6617" s="2">
        <f t="shared" si="415"/>
        <v>68.24119060715455</v>
      </c>
      <c r="S6617" s="2">
        <f t="shared" si="414"/>
        <v>1.6902889836628572</v>
      </c>
      <c r="T6617" s="2">
        <f t="shared" si="416"/>
        <v>2.2544443055141299</v>
      </c>
      <c r="U6617" s="2">
        <f t="shared" si="417"/>
        <v>72.185923896331531</v>
      </c>
    </row>
    <row r="6618" spans="1:21" x14ac:dyDescent="0.25">
      <c r="A6618">
        <v>7181037</v>
      </c>
      <c r="B6618">
        <v>30</v>
      </c>
      <c r="C6618" s="1">
        <f>1.12077986783745*(10.3/7.3)</f>
        <v>1.581374334072021</v>
      </c>
      <c r="D6618" s="1">
        <f>2.25423651615358*(10.3/7.3)</f>
        <v>3.1806350844358771</v>
      </c>
      <c r="E6618" s="1">
        <f>7.67100850392454*(10.3/7.3)</f>
        <v>10.82347775211271</v>
      </c>
      <c r="F6618" s="1">
        <f>23.607276657216*(38.9/42.5)</f>
        <v>21.607601458016486</v>
      </c>
      <c r="G6618" s="1">
        <v>1.308250792631372</v>
      </c>
      <c r="H6618" s="1">
        <v>5.8331648140154284</v>
      </c>
      <c r="I6618" s="1">
        <v>17.288227421368699</v>
      </c>
      <c r="J6618" s="1">
        <v>1.7434192717408356E-2</v>
      </c>
      <c r="K6618" s="1">
        <v>1.65560871362689</v>
      </c>
      <c r="L6618" s="1">
        <v>1.3764283927417551</v>
      </c>
      <c r="M6618" s="1">
        <v>0.16455589667326453</v>
      </c>
      <c r="N6618" s="1">
        <v>0.69495304634832955</v>
      </c>
      <c r="O6618" s="1">
        <v>0.13164977777777773</v>
      </c>
      <c r="P6618" s="1">
        <v>7.8220762668442675E-2</v>
      </c>
      <c r="Q6618" s="1">
        <v>2.0908117690455734</v>
      </c>
      <c r="R6618" s="2">
        <f t="shared" si="415"/>
        <v>63.713543425698163</v>
      </c>
      <c r="S6618" s="2">
        <f t="shared" si="414"/>
        <v>1.751263669012741</v>
      </c>
      <c r="T6618" s="2">
        <f t="shared" si="416"/>
        <v>2.3675871135411271</v>
      </c>
      <c r="U6618" s="2">
        <f t="shared" si="417"/>
        <v>67.832394208252026</v>
      </c>
    </row>
    <row r="6619" spans="1:21" x14ac:dyDescent="0.25">
      <c r="A6619">
        <v>7181045</v>
      </c>
      <c r="B6619">
        <v>65</v>
      </c>
      <c r="C6619" s="1">
        <f>0.718144637858675*(10.3/7.3)</f>
        <v>1.0132725712252537</v>
      </c>
      <c r="D6619" s="1">
        <f>1.69305403406729*(10.3/7.3)</f>
        <v>2.3888296645059004</v>
      </c>
      <c r="E6619" s="1">
        <f>5.70644301372159*(10.3/7.3)</f>
        <v>8.0515565810044372</v>
      </c>
      <c r="F6619" s="1">
        <f>19.1474846174097*(38.9/42.5)</f>
        <v>17.525580038052652</v>
      </c>
      <c r="G6619" s="1">
        <v>1.1157865029651883</v>
      </c>
      <c r="H6619" s="1">
        <v>4.4095497137133908</v>
      </c>
      <c r="I6619" s="1">
        <v>13.991457846278738</v>
      </c>
      <c r="J6619" s="1">
        <v>1.6235933736389156E-2</v>
      </c>
      <c r="K6619" s="1">
        <v>1.5565417842057008</v>
      </c>
      <c r="L6619" s="1">
        <v>1.2912003038089588</v>
      </c>
      <c r="M6619" s="1">
        <v>0.15540012781750193</v>
      </c>
      <c r="N6619" s="1">
        <v>0.64390598979445934</v>
      </c>
      <c r="O6619" s="1">
        <v>0.12332471794871794</v>
      </c>
      <c r="P6619" s="1">
        <v>7.4069425516389578E-2</v>
      </c>
      <c r="Q6619" s="1">
        <v>1.7832204385288419</v>
      </c>
      <c r="R6619" s="2">
        <f t="shared" si="415"/>
        <v>50.27925335627441</v>
      </c>
      <c r="S6619" s="2">
        <f t="shared" si="414"/>
        <v>1.6468471434584795</v>
      </c>
      <c r="T6619" s="2">
        <f t="shared" si="416"/>
        <v>2.2138311393696379</v>
      </c>
      <c r="U6619" s="2">
        <f t="shared" si="417"/>
        <v>54.139931639102528</v>
      </c>
    </row>
    <row r="6620" spans="1:21" x14ac:dyDescent="0.25">
      <c r="A6620">
        <v>7181053</v>
      </c>
      <c r="B6620">
        <v>35</v>
      </c>
      <c r="C6620" s="1">
        <f>0.701699125389101*(10.3/7.3)</f>
        <v>0.99006862897366366</v>
      </c>
      <c r="D6620" s="1">
        <f>1.83125421243577*(10.3/7.3)</f>
        <v>2.583824436724445</v>
      </c>
      <c r="E6620" s="1">
        <f>6.10889322537416*(10.3/7.3)</f>
        <v>8.6193972905964173</v>
      </c>
      <c r="F6620" s="1">
        <f>23.025947765202*(38.9/42.5)</f>
        <v>21.07551454273786</v>
      </c>
      <c r="G6620" s="1">
        <v>1.4128291279525045</v>
      </c>
      <c r="H6620" s="1">
        <v>6.9349770143461633</v>
      </c>
      <c r="I6620" s="1">
        <v>17.058291887771574</v>
      </c>
      <c r="J6620" s="1">
        <v>1.7060346260665243E-2</v>
      </c>
      <c r="K6620" s="1">
        <v>1.5774550034999681</v>
      </c>
      <c r="L6620" s="1">
        <v>1.3262879253694504</v>
      </c>
      <c r="M6620" s="1">
        <v>0.15631508988716605</v>
      </c>
      <c r="N6620" s="1">
        <v>0.66371046245681486</v>
      </c>
      <c r="O6620" s="1">
        <v>0.12466438095238098</v>
      </c>
      <c r="P6620" s="1">
        <v>7.4669692305100732E-2</v>
      </c>
      <c r="Q6620" s="1">
        <v>2.2579460949012646</v>
      </c>
      <c r="R6620" s="2">
        <f t="shared" si="415"/>
        <v>60.932849024003893</v>
      </c>
      <c r="S6620" s="2">
        <f t="shared" si="414"/>
        <v>1.6691850420657341</v>
      </c>
      <c r="T6620" s="2">
        <f t="shared" si="416"/>
        <v>2.2709778586658125</v>
      </c>
      <c r="U6620" s="2">
        <f t="shared" si="417"/>
        <v>64.873011924735437</v>
      </c>
    </row>
    <row r="6621" spans="1:21" x14ac:dyDescent="0.25">
      <c r="A6621">
        <v>7181317</v>
      </c>
      <c r="B6621">
        <v>14</v>
      </c>
      <c r="C6621" s="1">
        <f>2.64644991003658*(10.3/7.3)</f>
        <v>3.73403206484614</v>
      </c>
      <c r="D6621" s="1">
        <f>5.61747055091208*(10.3/7.3)</f>
        <v>7.9260200923828004</v>
      </c>
      <c r="E6621" s="1">
        <f>19.1257395220678*(10.3/7.3)</f>
        <v>26.985632476342296</v>
      </c>
      <c r="F6621" s="1">
        <f>56.8752662599324*(38.9/42.5)</f>
        <v>52.057596647326363</v>
      </c>
      <c r="G6621" s="1">
        <v>3.1057287077238311</v>
      </c>
      <c r="H6621" s="1">
        <v>10.901913623245779</v>
      </c>
      <c r="I6621" s="1">
        <v>40.996379764439837</v>
      </c>
      <c r="J6621" s="1">
        <v>3.0185545356886164E-2</v>
      </c>
      <c r="K6621" s="1">
        <v>2.1354127839144188</v>
      </c>
      <c r="L6621" s="1">
        <v>2.0638899629441991</v>
      </c>
      <c r="M6621" s="1">
        <v>0.16718245339036888</v>
      </c>
      <c r="N6621" s="1">
        <v>1.2444137108570199</v>
      </c>
      <c r="O6621" s="1">
        <v>0.14368380952380952</v>
      </c>
      <c r="P6621" s="1">
        <v>8.8653510827251022E-2</v>
      </c>
      <c r="Q6621" s="1">
        <v>4.9634933685084111</v>
      </c>
      <c r="R6621" s="2">
        <f t="shared" si="415"/>
        <v>150.67079674481545</v>
      </c>
      <c r="S6621" s="2">
        <f t="shared" si="414"/>
        <v>2.2542518400985561</v>
      </c>
      <c r="T6621" s="2">
        <f t="shared" si="416"/>
        <v>3.6191699367153976</v>
      </c>
      <c r="U6621" s="2">
        <f t="shared" si="417"/>
        <v>156.5442185216294</v>
      </c>
    </row>
    <row r="6622" spans="1:21" x14ac:dyDescent="0.25">
      <c r="A6622">
        <v>7181325</v>
      </c>
      <c r="B6622">
        <v>67</v>
      </c>
      <c r="C6622" s="1">
        <f>1.58269274699941*(10.3/7.3)</f>
        <v>2.2331144238484897</v>
      </c>
      <c r="D6622" s="1">
        <f>3.55883077533243*(10.3/7.3)</f>
        <v>5.0213639706745248</v>
      </c>
      <c r="E6622" s="1">
        <f>12.1044182073214*(10.3/7.3)</f>
        <v>17.078836648686405</v>
      </c>
      <c r="F6622" s="1">
        <f>35.6829832469307*(38.9/42.5)</f>
        <v>32.660424666014208</v>
      </c>
      <c r="G6622" s="1">
        <v>1.9462181313219913</v>
      </c>
      <c r="H6622" s="1">
        <v>6.759884835487366</v>
      </c>
      <c r="I6622" s="1">
        <v>25.450621561806688</v>
      </c>
      <c r="J6622" s="1">
        <v>2.3782207088218547E-2</v>
      </c>
      <c r="K6622" s="1">
        <v>1.7691871729441475</v>
      </c>
      <c r="L6622" s="1">
        <v>1.6307689659243041</v>
      </c>
      <c r="M6622" s="1">
        <v>0.13833501901736081</v>
      </c>
      <c r="N6622" s="1">
        <v>1.0573452181371221</v>
      </c>
      <c r="O6622" s="1">
        <v>0.11685492537313436</v>
      </c>
      <c r="P6622" s="1">
        <v>7.5188745846193408E-2</v>
      </c>
      <c r="Q6622" s="1">
        <v>3.1103942738022727</v>
      </c>
      <c r="R6622" s="2">
        <f t="shared" si="415"/>
        <v>94.260858511641942</v>
      </c>
      <c r="S6622" s="2">
        <f t="shared" si="414"/>
        <v>1.8681581258785596</v>
      </c>
      <c r="T6622" s="2">
        <f t="shared" si="416"/>
        <v>2.9433041284519215</v>
      </c>
      <c r="U6622" s="2">
        <f t="shared" si="417"/>
        <v>99.072320765972435</v>
      </c>
    </row>
    <row r="6623" spans="1:21" x14ac:dyDescent="0.25">
      <c r="A6623">
        <v>7181333</v>
      </c>
      <c r="B6623">
        <v>58</v>
      </c>
      <c r="C6623" s="1">
        <f>2.04923881419597*(10.3/7.3)</f>
        <v>2.8913917515367804</v>
      </c>
      <c r="D6623" s="1">
        <f>4.64049404355978*(10.3/7.3)</f>
        <v>6.5475463902281792</v>
      </c>
      <c r="E6623" s="1">
        <f>15.7971388120613*(10.3/7.3)</f>
        <v>22.28911366633303</v>
      </c>
      <c r="F6623" s="1">
        <f>45.7170047499899*(38.9/42.5)</f>
        <v>41.844505524108399</v>
      </c>
      <c r="G6623" s="1">
        <v>2.4693375707138689</v>
      </c>
      <c r="H6623" s="1">
        <v>7.3584253815707266</v>
      </c>
      <c r="I6623" s="1">
        <v>32.421794682217495</v>
      </c>
      <c r="J6623" s="1">
        <v>2.8172678187365893E-2</v>
      </c>
      <c r="K6623" s="1">
        <v>2.0259607699647177</v>
      </c>
      <c r="L6623" s="1">
        <v>1.9226071076668798</v>
      </c>
      <c r="M6623" s="1">
        <v>0.15938393707298423</v>
      </c>
      <c r="N6623" s="1">
        <v>1.1707580775193578</v>
      </c>
      <c r="O6623" s="1">
        <v>0.13368735632183906</v>
      </c>
      <c r="P6623" s="1">
        <v>8.4476040927805238E-2</v>
      </c>
      <c r="Q6623" s="1">
        <v>3.946429907533584</v>
      </c>
      <c r="R6623" s="2">
        <f t="shared" si="415"/>
        <v>119.76854487424207</v>
      </c>
      <c r="S6623" s="2">
        <f t="shared" si="414"/>
        <v>2.1386094890798888</v>
      </c>
      <c r="T6623" s="2">
        <f t="shared" si="416"/>
        <v>3.3864364785810612</v>
      </c>
      <c r="U6623" s="2">
        <f t="shared" si="417"/>
        <v>125.29359084190301</v>
      </c>
    </row>
    <row r="6624" spans="1:21" x14ac:dyDescent="0.25">
      <c r="A6624">
        <v>7181341</v>
      </c>
      <c r="B6624">
        <v>66</v>
      </c>
      <c r="C6624" s="1">
        <f>2.62700602819734*(10.3/7.3)</f>
        <v>3.706597546634598</v>
      </c>
      <c r="D6624" s="1">
        <f>5.91235199228087*(10.3/7.3)</f>
        <v>8.342085687738761</v>
      </c>
      <c r="E6624" s="1">
        <f>20.1410649610392*(10.3/7.3)</f>
        <v>28.418214945027898</v>
      </c>
      <c r="F6624" s="1">
        <f>57.717230572021*(38.9/42.5)</f>
        <v>52.82824162944982</v>
      </c>
      <c r="G6624" s="1">
        <v>3.0991005743529265</v>
      </c>
      <c r="H6624" s="1">
        <v>8.757137210230086</v>
      </c>
      <c r="I6624" s="1">
        <v>40.865169431462654</v>
      </c>
      <c r="J6624" s="1">
        <v>3.3251544788611656E-2</v>
      </c>
      <c r="K6624" s="1">
        <v>2.3121142251788624</v>
      </c>
      <c r="L6624" s="1">
        <v>2.2495612803167213</v>
      </c>
      <c r="M6624" s="1">
        <v>0.18082374971353635</v>
      </c>
      <c r="N6624" s="1">
        <v>1.348717974552724</v>
      </c>
      <c r="O6624" s="1">
        <v>0.15258828282828285</v>
      </c>
      <c r="P6624" s="1">
        <v>9.4743269317648052E-2</v>
      </c>
      <c r="Q6624" s="1">
        <v>4.9529004612946368</v>
      </c>
      <c r="R6624" s="2">
        <f t="shared" si="415"/>
        <v>150.96944748619137</v>
      </c>
      <c r="S6624" s="2">
        <f t="shared" si="414"/>
        <v>2.4401090392851219</v>
      </c>
      <c r="T6624" s="2">
        <f t="shared" si="416"/>
        <v>3.9316912874112644</v>
      </c>
      <c r="U6624" s="2">
        <f t="shared" si="417"/>
        <v>157.34124781288776</v>
      </c>
    </row>
    <row r="6625" spans="1:21" x14ac:dyDescent="0.25">
      <c r="A6625">
        <v>7181349</v>
      </c>
      <c r="B6625">
        <v>46</v>
      </c>
      <c r="C6625" s="1">
        <f>2.80360200335719*(10.3/7.3)</f>
        <v>3.9557672102163135</v>
      </c>
      <c r="D6625" s="1">
        <f>6.29587453842482*(10.3/7.3)</f>
        <v>8.8832202391473452</v>
      </c>
      <c r="E6625" s="1">
        <f>21.4573885063893*(10.3/7.3)</f>
        <v>30.275493372028734</v>
      </c>
      <c r="F6625" s="1">
        <f>61.0478577827264*(38.9/42.5)</f>
        <v>55.876745123483694</v>
      </c>
      <c r="G6625" s="1">
        <v>3.2640287314540912</v>
      </c>
      <c r="H6625" s="1">
        <v>11.229424508553581</v>
      </c>
      <c r="I6625" s="1">
        <v>43.156522940906406</v>
      </c>
      <c r="J6625" s="1">
        <v>3.488024180705427E-2</v>
      </c>
      <c r="K6625" s="1">
        <v>2.3875666740589851</v>
      </c>
      <c r="L6625" s="1">
        <v>2.3326157417315199</v>
      </c>
      <c r="M6625" s="1">
        <v>0.18354599296448262</v>
      </c>
      <c r="N6625" s="1">
        <v>1.4013807877293185</v>
      </c>
      <c r="O6625" s="1">
        <v>0.15728347826086961</v>
      </c>
      <c r="P6625" s="1">
        <v>9.7324143737426191E-2</v>
      </c>
      <c r="Q6625" s="1">
        <v>5.2164842740133928</v>
      </c>
      <c r="R6625" s="2">
        <f t="shared" si="415"/>
        <v>161.85768639980355</v>
      </c>
      <c r="S6625" s="2">
        <f t="shared" si="414"/>
        <v>2.5197710596034657</v>
      </c>
      <c r="T6625" s="2">
        <f t="shared" si="416"/>
        <v>4.0748260006861905</v>
      </c>
      <c r="U6625" s="2">
        <f t="shared" si="417"/>
        <v>168.45228346009321</v>
      </c>
    </row>
    <row r="6626" spans="1:21" x14ac:dyDescent="0.25">
      <c r="A6626">
        <v>7192993</v>
      </c>
      <c r="B6626">
        <v>4</v>
      </c>
      <c r="C6626" s="1">
        <f>0.683070448598501*(10.3/7.3)</f>
        <v>0.96378433158418686</v>
      </c>
      <c r="D6626" s="1">
        <f>1.4313406816742*(10.3/7.3)</f>
        <v>2.0195628796224967</v>
      </c>
      <c r="E6626" s="1">
        <f>4.85878340890358*(10.3/7.3)</f>
        <v>6.8555437139324518</v>
      </c>
      <c r="F6626" s="1">
        <f>15.2821536137949*(38.9/42.5)</f>
        <v>13.987665307685234</v>
      </c>
      <c r="G6626" s="1">
        <v>0.85846682328244306</v>
      </c>
      <c r="H6626" s="1">
        <v>3.1188273767811201</v>
      </c>
      <c r="I6626" s="1">
        <v>11.178456026537656</v>
      </c>
      <c r="J6626" s="1">
        <v>3.5424386567137561E-2</v>
      </c>
      <c r="K6626" s="1">
        <v>2.4863487319457107</v>
      </c>
      <c r="L6626" s="1">
        <v>1.9948722364341529</v>
      </c>
      <c r="M6626" s="1">
        <v>0.26618857169612942</v>
      </c>
      <c r="N6626" s="1">
        <v>1.1276124953810487</v>
      </c>
      <c r="O6626" s="1">
        <v>0.27173333333333338</v>
      </c>
      <c r="P6626" s="1">
        <v>0.1143066781111709</v>
      </c>
      <c r="Q6626" s="1">
        <v>1.3719789413189745</v>
      </c>
      <c r="R6626" s="2">
        <f t="shared" si="415"/>
        <v>40.354285400744558</v>
      </c>
      <c r="S6626" s="2">
        <f t="shared" si="414"/>
        <v>2.6360797966240193</v>
      </c>
      <c r="T6626" s="2">
        <f t="shared" si="416"/>
        <v>3.6604066368446642</v>
      </c>
      <c r="U6626" s="2">
        <f t="shared" si="417"/>
        <v>46.650771834213238</v>
      </c>
    </row>
    <row r="6627" spans="1:21" x14ac:dyDescent="0.25">
      <c r="A6627">
        <v>7193017</v>
      </c>
      <c r="B6627">
        <v>10</v>
      </c>
      <c r="C6627" s="1">
        <f>0.230133005947647*(10.3/7.3)</f>
        <v>0.32470821387133719</v>
      </c>
      <c r="D6627" s="1">
        <f>0.411361814169621*(10.3/7.3)</f>
        <v>0.5804146145133009</v>
      </c>
      <c r="E6627" s="1">
        <f>1.4113634789981*(10.3/7.3)</f>
        <v>1.9913758676274502</v>
      </c>
      <c r="F6627" s="1">
        <f>4.00685956323321*(38.9/42.5)</f>
        <v>3.6674549884652161</v>
      </c>
      <c r="G6627" s="1">
        <v>0.21049121533751988</v>
      </c>
      <c r="H6627" s="1">
        <v>1.0762511554114766</v>
      </c>
      <c r="I6627" s="1">
        <v>2.9394169575227953</v>
      </c>
      <c r="J6627" s="1">
        <v>1.6785265422804427E-2</v>
      </c>
      <c r="K6627" s="1">
        <v>1.4362725867337605</v>
      </c>
      <c r="L6627" s="1">
        <v>0.99013577535135067</v>
      </c>
      <c r="M6627" s="1">
        <v>0.13864713354233899</v>
      </c>
      <c r="N6627" s="1">
        <v>0.7232452997720239</v>
      </c>
      <c r="O6627" s="1">
        <v>0.13574933333333333</v>
      </c>
      <c r="P6627" s="1">
        <v>6.9197627007156787E-2</v>
      </c>
      <c r="Q6627" s="1">
        <v>0.33640148569923312</v>
      </c>
      <c r="R6627" s="2">
        <f t="shared" si="415"/>
        <v>11.126514498448328</v>
      </c>
      <c r="S6627" s="2">
        <f t="shared" si="414"/>
        <v>1.5222554791637217</v>
      </c>
      <c r="T6627" s="2">
        <f t="shared" si="416"/>
        <v>1.9877775419990467</v>
      </c>
      <c r="U6627" s="2">
        <f t="shared" si="417"/>
        <v>14.636547519611096</v>
      </c>
    </row>
    <row r="6628" spans="1:21" x14ac:dyDescent="0.25">
      <c r="A6628">
        <v>7193097</v>
      </c>
      <c r="B6628">
        <v>6</v>
      </c>
      <c r="C6628" s="1">
        <f>0.390664518663464*(10.3/7.3)</f>
        <v>0.5512115811279007</v>
      </c>
      <c r="D6628" s="1">
        <f>0.98011578567794*(10.3/7.3)</f>
        <v>1.3829030948606544</v>
      </c>
      <c r="E6628" s="1">
        <f>3.27446803360723*(10.3/7.3)</f>
        <v>4.6201398282403385</v>
      </c>
      <c r="F6628" s="1">
        <f>12.2386583516775*(38.9/42.5)</f>
        <v>11.201971997182486</v>
      </c>
      <c r="G6628" s="1">
        <v>0.74745232428362185</v>
      </c>
      <c r="H6628" s="1">
        <v>8.0494897588983623</v>
      </c>
      <c r="I6628" s="1">
        <v>9.0862104345146637</v>
      </c>
      <c r="J6628" s="1">
        <v>2.0859589670485509E-2</v>
      </c>
      <c r="K6628" s="1">
        <v>1.6197357368942631</v>
      </c>
      <c r="L6628" s="1">
        <v>1.13140380613313</v>
      </c>
      <c r="M6628" s="1">
        <v>0.1598040622080189</v>
      </c>
      <c r="N6628" s="1">
        <v>0.76457758568697454</v>
      </c>
      <c r="O6628" s="1">
        <v>0.14889777777777777</v>
      </c>
      <c r="P6628" s="1">
        <v>7.6913979977324368E-2</v>
      </c>
      <c r="Q6628" s="1">
        <v>1.1945585091290776</v>
      </c>
      <c r="R6628" s="2">
        <f t="shared" si="415"/>
        <v>36.833937528237108</v>
      </c>
      <c r="S6628" s="2">
        <f t="shared" si="414"/>
        <v>1.717509306542073</v>
      </c>
      <c r="T6628" s="2">
        <f t="shared" si="416"/>
        <v>2.2046832318059009</v>
      </c>
      <c r="U6628" s="2">
        <f t="shared" si="417"/>
        <v>40.756130066585079</v>
      </c>
    </row>
    <row r="6629" spans="1:21" x14ac:dyDescent="0.25">
      <c r="A6629">
        <v>7193265</v>
      </c>
      <c r="B6629">
        <v>14</v>
      </c>
      <c r="C6629" s="1">
        <f>1.10622704386939*(10.3/7.3)</f>
        <v>1.5608408975143488</v>
      </c>
      <c r="D6629" s="1">
        <f>2.459889937327*(10.3/7.3)</f>
        <v>3.4708036102011093</v>
      </c>
      <c r="E6629" s="1">
        <f>8.33926560495161*(10.3/7.3)</f>
        <v>11.766361059041314</v>
      </c>
      <c r="F6629" s="1">
        <f>26.1156924936671*(38.9/42.5)</f>
        <v>23.903539717732922</v>
      </c>
      <c r="G6629" s="1">
        <v>1.4688677428742214</v>
      </c>
      <c r="H6629" s="1">
        <v>6.8050283729668948</v>
      </c>
      <c r="I6629" s="1">
        <v>18.928589542265449</v>
      </c>
      <c r="J6629" s="1">
        <v>1.6669122874249705E-2</v>
      </c>
      <c r="K6629" s="1">
        <v>1.5871434467056518</v>
      </c>
      <c r="L6629" s="1">
        <v>1.2989104889339853</v>
      </c>
      <c r="M6629" s="1">
        <v>0.15844391889653561</v>
      </c>
      <c r="N6629" s="1">
        <v>0.65511017300835273</v>
      </c>
      <c r="O6629" s="1">
        <v>0.12655238095238094</v>
      </c>
      <c r="P6629" s="1">
        <v>7.5477045828152997E-2</v>
      </c>
      <c r="Q6629" s="1">
        <v>2.3475055251414525</v>
      </c>
      <c r="R6629" s="2">
        <f t="shared" si="415"/>
        <v>70.251536467737722</v>
      </c>
      <c r="S6629" s="2">
        <f t="shared" si="414"/>
        <v>1.6792896154080545</v>
      </c>
      <c r="T6629" s="2">
        <f t="shared" si="416"/>
        <v>2.2390169617912545</v>
      </c>
      <c r="U6629" s="2">
        <f t="shared" si="417"/>
        <v>74.169843044937025</v>
      </c>
    </row>
    <row r="6630" spans="1:21" x14ac:dyDescent="0.25">
      <c r="A6630">
        <v>7193273</v>
      </c>
      <c r="B6630">
        <v>52</v>
      </c>
      <c r="C6630" s="1">
        <f>1.04130329095051*(10.3/7.3)</f>
        <v>1.4692361502452367</v>
      </c>
      <c r="D6630" s="1">
        <f>2.11038526575158*(10.3/7.3)</f>
        <v>2.9776668818138678</v>
      </c>
      <c r="E6630" s="1">
        <f>7.14549362567153*(10.3/7.3)</f>
        <v>10.08199785539955</v>
      </c>
      <c r="F6630" s="1">
        <f>23.7657112965054*(38.9/42.5)</f>
        <v>21.752615751389634</v>
      </c>
      <c r="G6630" s="1">
        <v>1.3686150640195973</v>
      </c>
      <c r="H6630" s="1">
        <v>5.544559035057012</v>
      </c>
      <c r="I6630" s="1">
        <v>17.670202153397621</v>
      </c>
      <c r="J6630" s="1">
        <v>1.6599739498527281E-2</v>
      </c>
      <c r="K6630" s="1">
        <v>1.5871738249639014</v>
      </c>
      <c r="L6630" s="1">
        <v>1.3129057171224494</v>
      </c>
      <c r="M6630" s="1">
        <v>0.15798311622050143</v>
      </c>
      <c r="N6630" s="1">
        <v>0.65794186843247304</v>
      </c>
      <c r="O6630" s="1">
        <v>0.12601948717948719</v>
      </c>
      <c r="P6630" s="1">
        <v>7.5285180509686883E-2</v>
      </c>
      <c r="Q6630" s="1">
        <v>2.1872843488897695</v>
      </c>
      <c r="R6630" s="2">
        <f t="shared" si="415"/>
        <v>63.052177240212295</v>
      </c>
      <c r="S6630" s="2">
        <f t="shared" si="414"/>
        <v>1.6790587449721155</v>
      </c>
      <c r="T6630" s="2">
        <f t="shared" si="416"/>
        <v>2.2548501889549111</v>
      </c>
      <c r="U6630" s="2">
        <f t="shared" si="417"/>
        <v>66.986086174139317</v>
      </c>
    </row>
    <row r="6631" spans="1:21" x14ac:dyDescent="0.25">
      <c r="A6631">
        <v>7193281</v>
      </c>
      <c r="B6631">
        <v>55</v>
      </c>
      <c r="C6631" s="1">
        <f>0.657195964497336*(10.3/7.3)</f>
        <v>0.92727649785240518</v>
      </c>
      <c r="D6631" s="1">
        <f>1.60653004757363*(10.3/7.3)</f>
        <v>2.2667478753436123</v>
      </c>
      <c r="E6631" s="1">
        <f>5.40259515309027*(10.3/7.3)</f>
        <v>7.6228397365520291</v>
      </c>
      <c r="F6631" s="1">
        <f>18.5171975522743*(38.9/42.5)</f>
        <v>16.948681994905169</v>
      </c>
      <c r="G6631" s="1">
        <v>1.0909359441797226</v>
      </c>
      <c r="H6631" s="1">
        <v>4.4060214989044804</v>
      </c>
      <c r="I6631" s="1">
        <v>13.537389187349039</v>
      </c>
      <c r="J6631" s="1">
        <v>1.5973579118628164E-2</v>
      </c>
      <c r="K6631" s="1">
        <v>1.5264780354884502</v>
      </c>
      <c r="L6631" s="1">
        <v>1.2656198419469755</v>
      </c>
      <c r="M6631" s="1">
        <v>0.15191877805221554</v>
      </c>
      <c r="N6631" s="1">
        <v>0.63204686168650881</v>
      </c>
      <c r="O6631" s="1">
        <v>0.12056145454545455</v>
      </c>
      <c r="P6631" s="1">
        <v>7.2635719931006065E-2</v>
      </c>
      <c r="Q6631" s="1">
        <v>1.7435049336205626</v>
      </c>
      <c r="R6631" s="2">
        <f t="shared" si="415"/>
        <v>48.543397668707023</v>
      </c>
      <c r="S6631" s="2">
        <f t="shared" si="414"/>
        <v>1.6150873345380845</v>
      </c>
      <c r="T6631" s="2">
        <f t="shared" si="416"/>
        <v>2.1701469362311543</v>
      </c>
      <c r="U6631" s="2">
        <f t="shared" si="417"/>
        <v>52.32863193947626</v>
      </c>
    </row>
    <row r="6632" spans="1:21" x14ac:dyDescent="0.25">
      <c r="A6632">
        <v>7193289</v>
      </c>
      <c r="B6632">
        <v>29</v>
      </c>
      <c r="C6632" s="1">
        <f>0.707709603816873*(10.3/7.3)</f>
        <v>0.99854916702928675</v>
      </c>
      <c r="D6632" s="1">
        <f>2.02073950563047*(10.3/7.3)</f>
        <v>2.8511803983553148</v>
      </c>
      <c r="E6632" s="1">
        <f>6.68707813182128*(10.3/7.3)</f>
        <v>9.4351924325697549</v>
      </c>
      <c r="F6632" s="1">
        <f>27.3519771926945*(38.9/42.5)</f>
        <v>25.035103830489746</v>
      </c>
      <c r="G6632" s="1">
        <v>1.7322213257506907</v>
      </c>
      <c r="H6632" s="1">
        <v>7.2392936590104924</v>
      </c>
      <c r="I6632" s="1">
        <v>20.430956327214226</v>
      </c>
      <c r="J6632" s="1">
        <v>1.7225651445855319E-2</v>
      </c>
      <c r="K6632" s="1">
        <v>1.5931170461443926</v>
      </c>
      <c r="L6632" s="1">
        <v>1.3487891505024907</v>
      </c>
      <c r="M6632" s="1">
        <v>0.15754506313412969</v>
      </c>
      <c r="N6632" s="1">
        <v>0.69009935811729217</v>
      </c>
      <c r="O6632" s="1">
        <v>0.12550436781609198</v>
      </c>
      <c r="P6632" s="1">
        <v>7.5231894379115552E-2</v>
      </c>
      <c r="Q6632" s="1">
        <v>2.7683902466335271</v>
      </c>
      <c r="R6632" s="2">
        <f t="shared" si="415"/>
        <v>70.490887387053036</v>
      </c>
      <c r="S6632" s="2">
        <f t="shared" si="414"/>
        <v>1.6855745919693634</v>
      </c>
      <c r="T6632" s="2">
        <f t="shared" si="416"/>
        <v>2.3219379395700046</v>
      </c>
      <c r="U6632" s="2">
        <f t="shared" si="417"/>
        <v>74.498399918592412</v>
      </c>
    </row>
    <row r="6633" spans="1:21" x14ac:dyDescent="0.25">
      <c r="A6633">
        <v>7193553</v>
      </c>
      <c r="B6633">
        <v>35</v>
      </c>
      <c r="C6633" s="1">
        <f>1.50249325230083*(10.3/7.3)</f>
        <v>2.1199562326984314</v>
      </c>
      <c r="D6633" s="1">
        <f>3.34860601299515*(10.3/7.3)</f>
        <v>4.7247454703904159</v>
      </c>
      <c r="E6633" s="1">
        <f>11.3906614598566*(10.3/7.3)</f>
        <v>16.071755210482557</v>
      </c>
      <c r="F6633" s="1">
        <f>33.6474920763039*(38.9/42.5)</f>
        <v>30.797351571017007</v>
      </c>
      <c r="G6633" s="1">
        <v>1.8362456210043412</v>
      </c>
      <c r="H6633" s="1">
        <v>7.1104172775967616</v>
      </c>
      <c r="I6633" s="1">
        <v>24.041769260840972</v>
      </c>
      <c r="J6633" s="1">
        <v>2.2787216520193276E-2</v>
      </c>
      <c r="K6633" s="1">
        <v>1.7035548733264001</v>
      </c>
      <c r="L6633" s="1">
        <v>1.5526217334075159</v>
      </c>
      <c r="M6633" s="1">
        <v>0.13249192827851142</v>
      </c>
      <c r="N6633" s="1">
        <v>1.0547760669152095</v>
      </c>
      <c r="O6633" s="1">
        <v>0.11210666666666665</v>
      </c>
      <c r="P6633" s="1">
        <v>7.2735673441896034E-2</v>
      </c>
      <c r="Q6633" s="1">
        <v>2.9346391203265756</v>
      </c>
      <c r="R6633" s="2">
        <f t="shared" si="415"/>
        <v>89.636879764357062</v>
      </c>
      <c r="S6633" s="2">
        <f t="shared" si="414"/>
        <v>1.7990777632884893</v>
      </c>
      <c r="T6633" s="2">
        <f t="shared" si="416"/>
        <v>2.8519963952679035</v>
      </c>
      <c r="U6633" s="2">
        <f t="shared" si="417"/>
        <v>94.287953922913459</v>
      </c>
    </row>
    <row r="6634" spans="1:21" x14ac:dyDescent="0.25">
      <c r="A6634">
        <v>7193561</v>
      </c>
      <c r="B6634">
        <v>55</v>
      </c>
      <c r="C6634" s="1">
        <f>1.32019250603498*(10.3/7.3)</f>
        <v>1.8627373715288122</v>
      </c>
      <c r="D6634" s="1">
        <f>2.96723007928351*(10.3/7.3)</f>
        <v>4.1866397009068672</v>
      </c>
      <c r="E6634" s="1">
        <f>10.1037475363215*(10.3/7.3)</f>
        <v>14.255972551248188</v>
      </c>
      <c r="F6634" s="1">
        <f>29.1997254211935*(38.9/42.5)</f>
        <v>26.726336914927703</v>
      </c>
      <c r="G6634" s="1">
        <v>1.5752262917041602</v>
      </c>
      <c r="H6634" s="1">
        <v>5.3467488026613159</v>
      </c>
      <c r="I6634" s="1">
        <v>20.723380824342257</v>
      </c>
      <c r="J6634" s="1">
        <v>2.1448700650305855E-2</v>
      </c>
      <c r="K6634" s="1">
        <v>1.6192777484633645</v>
      </c>
      <c r="L6634" s="1">
        <v>1.4578323613483426</v>
      </c>
      <c r="M6634" s="1">
        <v>0.12599878992278699</v>
      </c>
      <c r="N6634" s="1">
        <v>0.91683269019859215</v>
      </c>
      <c r="O6634" s="1">
        <v>0.10528678787878787</v>
      </c>
      <c r="P6634" s="1">
        <v>6.940505109629494E-2</v>
      </c>
      <c r="Q6634" s="1">
        <v>2.5174849410797111</v>
      </c>
      <c r="R6634" s="2">
        <f t="shared" si="415"/>
        <v>77.194527398399018</v>
      </c>
      <c r="S6634" s="2">
        <f t="shared" si="414"/>
        <v>1.7101315002099653</v>
      </c>
      <c r="T6634" s="2">
        <f t="shared" si="416"/>
        <v>2.6059506293485097</v>
      </c>
      <c r="U6634" s="2">
        <f t="shared" si="417"/>
        <v>81.510609527957499</v>
      </c>
    </row>
    <row r="6635" spans="1:21" x14ac:dyDescent="0.25">
      <c r="A6635">
        <v>7193569</v>
      </c>
      <c r="B6635">
        <v>55</v>
      </c>
      <c r="C6635" s="1">
        <f>3.16235004566745*(10.3/7.3)</f>
        <v>4.4619459548458575</v>
      </c>
      <c r="D6635" s="1">
        <f>7.33648048768193*(10.3/7.3)</f>
        <v>10.351472468921079</v>
      </c>
      <c r="E6635" s="1">
        <f>24.9689739921353*(10.3/7.3)</f>
        <v>35.230196180683997</v>
      </c>
      <c r="F6635" s="1">
        <f>71.7802564429058*(38.9/42.5)</f>
        <v>65.700046485389024</v>
      </c>
      <c r="G6635" s="1">
        <v>3.8683727880104088</v>
      </c>
      <c r="H6635" s="1">
        <v>10.256633202039337</v>
      </c>
      <c r="I6635" s="1">
        <v>50.638957730226544</v>
      </c>
      <c r="J6635" s="1">
        <v>3.8253021915438161E-2</v>
      </c>
      <c r="K6635" s="1">
        <v>2.6040150046047161</v>
      </c>
      <c r="L6635" s="1">
        <v>2.5874761170013003</v>
      </c>
      <c r="M6635" s="1">
        <v>0.20508734659536887</v>
      </c>
      <c r="N6635" s="1">
        <v>1.5262211541567785</v>
      </c>
      <c r="O6635" s="1">
        <v>0.17340024242424243</v>
      </c>
      <c r="P6635" s="1">
        <v>0.10547199234331039</v>
      </c>
      <c r="Q6635" s="1">
        <v>6.1823309397426707</v>
      </c>
      <c r="R6635" s="2">
        <f t="shared" si="415"/>
        <v>186.68995574985891</v>
      </c>
      <c r="S6635" s="2">
        <f t="shared" si="414"/>
        <v>2.7477400188634644</v>
      </c>
      <c r="T6635" s="2">
        <f t="shared" si="416"/>
        <v>4.4921848601776899</v>
      </c>
      <c r="U6635" s="2">
        <f t="shared" si="417"/>
        <v>193.92988062890007</v>
      </c>
    </row>
    <row r="6636" spans="1:21" x14ac:dyDescent="0.25">
      <c r="A6636">
        <v>7193577</v>
      </c>
      <c r="B6636">
        <v>55</v>
      </c>
      <c r="C6636" s="1">
        <f>1.97814160413056*(10.3/7.3)</f>
        <v>2.7910765099376422</v>
      </c>
      <c r="D6636" s="1">
        <f>4.4350266317144*(10.3/7.3)</f>
        <v>6.2576403159805958</v>
      </c>
      <c r="E6636" s="1">
        <f>15.1131103269506*(10.3/7.3)</f>
        <v>21.323977584601479</v>
      </c>
      <c r="F6636" s="1">
        <f>43.1428485688477*(38.9/42.5)</f>
        <v>39.488395513604161</v>
      </c>
      <c r="G6636" s="1">
        <v>2.3109184401771352</v>
      </c>
      <c r="H6636" s="1">
        <v>7.241395457023752</v>
      </c>
      <c r="I6636" s="1">
        <v>30.53309673144032</v>
      </c>
      <c r="J6636" s="1">
        <v>2.7476827355287944E-2</v>
      </c>
      <c r="K6636" s="1">
        <v>1.9677988295208355</v>
      </c>
      <c r="L6636" s="1">
        <v>1.8483387800178455</v>
      </c>
      <c r="M6636" s="1">
        <v>0.15145997790907464</v>
      </c>
      <c r="N6636" s="1">
        <v>1.1451094789036633</v>
      </c>
      <c r="O6636" s="1">
        <v>0.12854593939393932</v>
      </c>
      <c r="P6636" s="1">
        <v>8.1840706062277752E-2</v>
      </c>
      <c r="Q6636" s="1">
        <v>3.6932486486849228</v>
      </c>
      <c r="R6636" s="2">
        <f t="shared" si="415"/>
        <v>113.63974920145002</v>
      </c>
      <c r="S6636" s="2">
        <f t="shared" si="414"/>
        <v>2.0771163629384013</v>
      </c>
      <c r="T6636" s="2">
        <f t="shared" si="416"/>
        <v>3.2734541762245231</v>
      </c>
      <c r="U6636" s="2">
        <f t="shared" si="417"/>
        <v>118.99031974061293</v>
      </c>
    </row>
    <row r="6637" spans="1:21" x14ac:dyDescent="0.25">
      <c r="A6637">
        <v>7193585</v>
      </c>
      <c r="B6637">
        <v>11</v>
      </c>
      <c r="C6637" s="1">
        <f>2.73224558604794*(10.3/7.3)</f>
        <v>3.8550862378484583</v>
      </c>
      <c r="D6637" s="1">
        <f>6.21147698728647*(10.3/7.3)</f>
        <v>8.7641387628836558</v>
      </c>
      <c r="E6637" s="1">
        <f>21.1467365359943*(10.3/7.3)</f>
        <v>29.837176208320667</v>
      </c>
      <c r="F6637" s="1">
        <f>61.0050258487418*(38.9/42.5)</f>
        <v>55.837541306260157</v>
      </c>
      <c r="G6637" s="1">
        <v>3.2900530557903904</v>
      </c>
      <c r="H6637" s="1">
        <v>11.942466855587343</v>
      </c>
      <c r="I6637" s="1">
        <v>43.203659874920298</v>
      </c>
      <c r="J6637" s="1">
        <v>3.4244968795528914E-2</v>
      </c>
      <c r="K6637" s="1">
        <v>2.3302357929431179</v>
      </c>
      <c r="L6637" s="1">
        <v>2.2677622175333649</v>
      </c>
      <c r="M6637" s="1">
        <v>0.17910256603683142</v>
      </c>
      <c r="N6637" s="1">
        <v>1.3687781824628309</v>
      </c>
      <c r="O6637" s="1">
        <v>0.15290181818181817</v>
      </c>
      <c r="P6637" s="1">
        <v>9.4939243952720659E-2</v>
      </c>
      <c r="Q6637" s="1">
        <v>5.2580756599389851</v>
      </c>
      <c r="R6637" s="2">
        <f t="shared" si="415"/>
        <v>161.98819796154996</v>
      </c>
      <c r="S6637" s="2">
        <f t="shared" si="414"/>
        <v>2.4594200056913675</v>
      </c>
      <c r="T6637" s="2">
        <f t="shared" si="416"/>
        <v>3.9685447842148456</v>
      </c>
      <c r="U6637" s="2">
        <f t="shared" si="417"/>
        <v>168.41616275145617</v>
      </c>
    </row>
    <row r="6638" spans="1:21" x14ac:dyDescent="0.25">
      <c r="A6638">
        <v>7205221</v>
      </c>
      <c r="B6638">
        <v>53</v>
      </c>
      <c r="C6638" s="1">
        <f>0.464263959842424*(10.3/7.3)</f>
        <v>0.65505736799684433</v>
      </c>
      <c r="D6638" s="1">
        <f>0.915159305886871*(10.3/7.3)</f>
        <v>1.2912521713198317</v>
      </c>
      <c r="E6638" s="1">
        <f>3.11891880405126*(10.3/7.3)</f>
        <v>4.4006662577709603</v>
      </c>
      <c r="F6638" s="1">
        <f>9.44945434474127*(38.9/42.5)</f>
        <v>8.6490299767161289</v>
      </c>
      <c r="G6638" s="1">
        <v>0.51870220922443866</v>
      </c>
      <c r="H6638" s="1">
        <v>1.9530169675222662</v>
      </c>
      <c r="I6638" s="1">
        <v>6.9175605257432311</v>
      </c>
      <c r="J6638" s="1">
        <v>2.3385496812754175E-2</v>
      </c>
      <c r="K6638" s="1">
        <v>1.9176363272046055</v>
      </c>
      <c r="L6638" s="1">
        <v>1.3953011733082268</v>
      </c>
      <c r="M6638" s="1">
        <v>0.18485332164716795</v>
      </c>
      <c r="N6638" s="1">
        <v>0.75703569174412277</v>
      </c>
      <c r="O6638" s="1">
        <v>0.19436679245283028</v>
      </c>
      <c r="P6638" s="1">
        <v>9.3031853565092429E-2</v>
      </c>
      <c r="Q6638" s="1">
        <v>0.82897613346371546</v>
      </c>
      <c r="R6638" s="2">
        <f t="shared" si="415"/>
        <v>25.214261609757415</v>
      </c>
      <c r="S6638" s="2">
        <f t="shared" si="414"/>
        <v>2.034053677582452</v>
      </c>
      <c r="T6638" s="2">
        <f t="shared" si="416"/>
        <v>2.5315569791523478</v>
      </c>
      <c r="U6638" s="2">
        <f t="shared" si="417"/>
        <v>29.779872266492216</v>
      </c>
    </row>
    <row r="6639" spans="1:21" x14ac:dyDescent="0.25">
      <c r="A6639">
        <v>7205333</v>
      </c>
      <c r="B6639">
        <v>22</v>
      </c>
      <c r="C6639" s="1">
        <f>0.361449814637399*(10.3/7.3)</f>
        <v>0.50999083435139925</v>
      </c>
      <c r="D6639" s="1">
        <f>0.833114076451766*(10.3/7.3)</f>
        <v>1.1754897243086568</v>
      </c>
      <c r="E6639" s="1">
        <f>2.80535901775353*(10.3/7.3)</f>
        <v>3.9582462853234759</v>
      </c>
      <c r="F6639" s="1">
        <f>9.63188010874301*(38.9/42.5)</f>
        <v>8.8160032054141926</v>
      </c>
      <c r="G6639" s="1">
        <v>0.56634659220821104</v>
      </c>
      <c r="H6639" s="1">
        <v>2.8137841962626178</v>
      </c>
      <c r="I6639" s="1">
        <v>7.0920229509735861</v>
      </c>
      <c r="J6639" s="1">
        <v>2.1334442745497853E-2</v>
      </c>
      <c r="K6639" s="1">
        <v>1.6141022537846406</v>
      </c>
      <c r="L6639" s="1">
        <v>1.1323095985192129</v>
      </c>
      <c r="M6639" s="1">
        <v>0.15622268780760387</v>
      </c>
      <c r="N6639" s="1">
        <v>0.72247895332576229</v>
      </c>
      <c r="O6639" s="1">
        <v>0.14618424242424244</v>
      </c>
      <c r="P6639" s="1">
        <v>7.6225772044167237E-2</v>
      </c>
      <c r="Q6639" s="1">
        <v>0.9051201245336713</v>
      </c>
      <c r="R6639" s="2">
        <f t="shared" si="415"/>
        <v>25.83700391337581</v>
      </c>
      <c r="S6639" s="2">
        <f t="shared" si="414"/>
        <v>1.7116624685743056</v>
      </c>
      <c r="T6639" s="2">
        <f t="shared" si="416"/>
        <v>2.1571954820768213</v>
      </c>
      <c r="U6639" s="2">
        <f t="shared" si="417"/>
        <v>29.705861864026939</v>
      </c>
    </row>
    <row r="6640" spans="1:21" x14ac:dyDescent="0.25">
      <c r="A6640">
        <v>7205493</v>
      </c>
      <c r="B6640">
        <v>5</v>
      </c>
      <c r="C6640" s="1">
        <f>0.971991325224363*(10.3/7.3)</f>
        <v>1.3714398150425946</v>
      </c>
      <c r="D6640" s="1">
        <f>2.64987958059063*(10.3/7.3)</f>
        <v>3.7388711890525337</v>
      </c>
      <c r="E6640" s="1">
        <f>8.90555901381577*(10.3/7.3)</f>
        <v>12.56537778661677</v>
      </c>
      <c r="F6640" s="1">
        <f>29.6927532865736*(38.9/42.5)</f>
        <v>27.177602419946204</v>
      </c>
      <c r="G6640" s="1">
        <v>1.7366759157167384</v>
      </c>
      <c r="H6640" s="1">
        <v>12.452803630903329</v>
      </c>
      <c r="I6640" s="1">
        <v>21.315201204826643</v>
      </c>
      <c r="J6640" s="1">
        <v>1.9374468355459078E-2</v>
      </c>
      <c r="K6640" s="1">
        <v>1.7993735453560749</v>
      </c>
      <c r="L6640" s="1">
        <v>1.5052543429702412</v>
      </c>
      <c r="M6640" s="1">
        <v>0.17712463386700278</v>
      </c>
      <c r="N6640" s="1">
        <v>0.78256676581835749</v>
      </c>
      <c r="O6640" s="1">
        <v>0.14273066666666664</v>
      </c>
      <c r="P6640" s="1">
        <v>8.385603294478626E-2</v>
      </c>
      <c r="Q6640" s="1">
        <v>2.7755094543418219</v>
      </c>
      <c r="R6640" s="2">
        <f t="shared" si="415"/>
        <v>83.133481416446628</v>
      </c>
      <c r="S6640" s="2">
        <f t="shared" si="414"/>
        <v>1.9026040466563201</v>
      </c>
      <c r="T6640" s="2">
        <f t="shared" si="416"/>
        <v>2.6076764093222677</v>
      </c>
      <c r="U6640" s="2">
        <f t="shared" si="417"/>
        <v>87.643761872425216</v>
      </c>
    </row>
    <row r="6641" spans="1:21" x14ac:dyDescent="0.25">
      <c r="A6641">
        <v>7205501</v>
      </c>
      <c r="B6641">
        <v>1</v>
      </c>
      <c r="C6641" s="1">
        <f>2.09581148718677*(10.3/7.3)</f>
        <v>2.9571038791813362</v>
      </c>
      <c r="D6641" s="1">
        <f>2.89089947871054*(10.3/7.3)</f>
        <v>4.0789403603724033</v>
      </c>
      <c r="E6641" s="1">
        <f>9.99150516716932*(10.3/7.3)</f>
        <v>14.097603181074524</v>
      </c>
      <c r="F6641" s="1">
        <f>29.4375653140849*(38.9/42.5)</f>
        <v>26.944030369832973</v>
      </c>
      <c r="G6641" s="1">
        <v>1.5450471510145207</v>
      </c>
      <c r="H6641" s="1">
        <v>11.252938110575677</v>
      </c>
      <c r="I6641" s="1">
        <v>22.864327539566691</v>
      </c>
      <c r="J6641" s="1">
        <v>1.8593718864130894E-2</v>
      </c>
      <c r="K6641" s="1">
        <v>1.749016548636952</v>
      </c>
      <c r="L6641" s="1">
        <v>1.4600654151135151</v>
      </c>
      <c r="M6641" s="1">
        <v>0.17334366774360058</v>
      </c>
      <c r="N6641" s="1">
        <v>0.75139651207873659</v>
      </c>
      <c r="O6641" s="1">
        <v>0.13824</v>
      </c>
      <c r="P6641" s="1">
        <v>8.1717974871517149E-2</v>
      </c>
      <c r="Q6641" s="1">
        <v>2.4692534376944422</v>
      </c>
      <c r="R6641" s="2">
        <f t="shared" si="415"/>
        <v>86.209244029312572</v>
      </c>
      <c r="S6641" s="2">
        <f t="shared" si="414"/>
        <v>1.8493282423726001</v>
      </c>
      <c r="T6641" s="2">
        <f t="shared" si="416"/>
        <v>2.5230455949358523</v>
      </c>
      <c r="U6641" s="2">
        <f t="shared" si="417"/>
        <v>90.581617866621016</v>
      </c>
    </row>
    <row r="6642" spans="1:21" x14ac:dyDescent="0.25">
      <c r="A6642">
        <v>7205509</v>
      </c>
      <c r="B6642">
        <v>69</v>
      </c>
      <c r="C6642" s="1">
        <f>0.719759473580899*(10.3/7.3)</f>
        <v>1.0155510380662007</v>
      </c>
      <c r="D6642" s="1">
        <f>1.73903095715957*(10.3/7.3)</f>
        <v>2.4537012135265157</v>
      </c>
      <c r="E6642" s="1">
        <f>5.85594258941426*(10.3/7.3)</f>
        <v>8.2624943384886151</v>
      </c>
      <c r="F6642" s="1">
        <f>19.7523923549882*(38.9/42.5)</f>
        <v>18.07924853197747</v>
      </c>
      <c r="G6642" s="1">
        <v>1.1550378153201242</v>
      </c>
      <c r="H6642" s="1">
        <v>4.4819456939223432</v>
      </c>
      <c r="I6642" s="1">
        <v>14.408713813765701</v>
      </c>
      <c r="J6642" s="1">
        <v>1.5854823082406374E-2</v>
      </c>
      <c r="K6642" s="1">
        <v>1.5231045915906998</v>
      </c>
      <c r="L6642" s="1">
        <v>1.252956470672167</v>
      </c>
      <c r="M6642" s="1">
        <v>0.15156454610670564</v>
      </c>
      <c r="N6642" s="1">
        <v>0.6274251699427813</v>
      </c>
      <c r="O6642" s="1">
        <v>0.12060753623188404</v>
      </c>
      <c r="P6642" s="1">
        <v>7.2482082009048182E-2</v>
      </c>
      <c r="Q6642" s="1">
        <v>1.8459508464020273</v>
      </c>
      <c r="R6642" s="2">
        <f t="shared" si="415"/>
        <v>51.702643291468995</v>
      </c>
      <c r="S6642" s="2">
        <f t="shared" si="414"/>
        <v>1.6114414966821542</v>
      </c>
      <c r="T6642" s="2">
        <f t="shared" si="416"/>
        <v>2.1525537229535376</v>
      </c>
      <c r="U6642" s="2">
        <f t="shared" si="417"/>
        <v>55.466638511104684</v>
      </c>
    </row>
    <row r="6643" spans="1:21" x14ac:dyDescent="0.25">
      <c r="A6643">
        <v>7205517</v>
      </c>
      <c r="B6643">
        <v>70</v>
      </c>
      <c r="C6643" s="1">
        <f>0.647776104636348*(10.3/7.3)</f>
        <v>0.91398546270608005</v>
      </c>
      <c r="D6643" s="1">
        <f>1.64271908585794*(10.3/7.3)</f>
        <v>2.3178091211420213</v>
      </c>
      <c r="E6643" s="1">
        <f>5.50927656915575*(10.3/7.3)</f>
        <v>7.7733628304526379</v>
      </c>
      <c r="F6643" s="1">
        <f>19.4185335812486*(38.9/42.5)</f>
        <v>17.773669560248756</v>
      </c>
      <c r="G6643" s="1">
        <v>1.1593678215122654</v>
      </c>
      <c r="H6643" s="1">
        <v>4.3866783984655235</v>
      </c>
      <c r="I6643" s="1">
        <v>14.226073685526861</v>
      </c>
      <c r="J6643" s="1">
        <v>1.6011911229453123E-2</v>
      </c>
      <c r="K6643" s="1">
        <v>1.5190431674939442</v>
      </c>
      <c r="L6643" s="1">
        <v>1.2636465135380726</v>
      </c>
      <c r="M6643" s="1">
        <v>0.15018839937602491</v>
      </c>
      <c r="N6643" s="1">
        <v>0.63236920044107225</v>
      </c>
      <c r="O6643" s="1">
        <v>0.11984228571428568</v>
      </c>
      <c r="P6643" s="1">
        <v>7.2192845069225686E-2</v>
      </c>
      <c r="Q6643" s="1">
        <v>1.8528709476223433</v>
      </c>
      <c r="R6643" s="2">
        <f t="shared" si="415"/>
        <v>50.403817827676491</v>
      </c>
      <c r="S6643" s="2">
        <f t="shared" si="414"/>
        <v>1.6072479237926232</v>
      </c>
      <c r="T6643" s="2">
        <f t="shared" si="416"/>
        <v>2.1660463990694554</v>
      </c>
      <c r="U6643" s="2">
        <f t="shared" si="417"/>
        <v>54.177112150538569</v>
      </c>
    </row>
    <row r="6644" spans="1:21" x14ac:dyDescent="0.25">
      <c r="A6644">
        <v>7205525</v>
      </c>
      <c r="B6644">
        <v>27</v>
      </c>
      <c r="C6644" s="1">
        <f>0.747800242971684*(10.3/7.3)</f>
        <v>1.0551154113162116</v>
      </c>
      <c r="D6644" s="1">
        <f>2.05327600115755*(10.3/7.3)</f>
        <v>2.8970880564277723</v>
      </c>
      <c r="E6644" s="1">
        <f>6.82454327820295*(10.3/7.3)</f>
        <v>9.629150104861699</v>
      </c>
      <c r="F6644" s="1">
        <f>26.6369373236459*(38.9/42.5)</f>
        <v>24.380632044466456</v>
      </c>
      <c r="G6644" s="1">
        <v>1.6581439666469109</v>
      </c>
      <c r="H6644" s="1">
        <v>8.5782347779138028</v>
      </c>
      <c r="I6644" s="1">
        <v>19.780185665349766</v>
      </c>
      <c r="J6644" s="1">
        <v>1.7791910509711337E-2</v>
      </c>
      <c r="K6644" s="1">
        <v>1.6482477208370023</v>
      </c>
      <c r="L6644" s="1">
        <v>1.4174085245337575</v>
      </c>
      <c r="M6644" s="1">
        <v>0.16236086361355959</v>
      </c>
      <c r="N6644" s="1">
        <v>0.72678991311676311</v>
      </c>
      <c r="O6644" s="1">
        <v>0.12999901234567904</v>
      </c>
      <c r="P6644" s="1">
        <v>7.7519789513102885E-2</v>
      </c>
      <c r="Q6644" s="1">
        <v>2.6500017731799974</v>
      </c>
      <c r="R6644" s="2">
        <f t="shared" si="415"/>
        <v>70.628551800162612</v>
      </c>
      <c r="S6644" s="2">
        <f t="shared" si="414"/>
        <v>1.7435594208598164</v>
      </c>
      <c r="T6644" s="2">
        <f t="shared" si="416"/>
        <v>2.4365583136097593</v>
      </c>
      <c r="U6644" s="2">
        <f t="shared" si="417"/>
        <v>74.808669534632187</v>
      </c>
    </row>
    <row r="6645" spans="1:21" x14ac:dyDescent="0.25">
      <c r="A6645">
        <v>7205781</v>
      </c>
      <c r="B6645">
        <v>12</v>
      </c>
      <c r="C6645" s="1">
        <f>1.72374055770236*(10.3/7.3)</f>
        <v>2.4321270882649739</v>
      </c>
      <c r="D6645" s="1">
        <f>4.09593100344549*(10.3/7.3)</f>
        <v>5.7791903199299366</v>
      </c>
      <c r="E6645" s="1">
        <f>13.9106512553465*(10.3/7.3)</f>
        <v>19.627357250694399</v>
      </c>
      <c r="F6645" s="1">
        <f>41.0810765031474*(38.9/42.5)</f>
        <v>37.601267669939652</v>
      </c>
      <c r="G6645" s="1">
        <v>2.2500643261157651</v>
      </c>
      <c r="H6645" s="1">
        <v>8.9606418372546752</v>
      </c>
      <c r="I6645" s="1">
        <v>29.087967323074981</v>
      </c>
      <c r="J6645" s="1">
        <v>2.5485388966479727E-2</v>
      </c>
      <c r="K6645" s="1">
        <v>1.8720163353519936</v>
      </c>
      <c r="L6645" s="1">
        <v>1.7422855401707436</v>
      </c>
      <c r="M6645" s="1">
        <v>0.14554113381254496</v>
      </c>
      <c r="N6645" s="1">
        <v>1.0747940781226755</v>
      </c>
      <c r="O6645" s="1">
        <v>0.12470666666666667</v>
      </c>
      <c r="P6645" s="1">
        <v>7.8580985941460027E-2</v>
      </c>
      <c r="Q6645" s="1">
        <v>3.5959932152535097</v>
      </c>
      <c r="R6645" s="2">
        <f t="shared" si="415"/>
        <v>109.33460903052789</v>
      </c>
      <c r="S6645" s="2">
        <f t="shared" si="414"/>
        <v>1.9760827102599334</v>
      </c>
      <c r="T6645" s="2">
        <f t="shared" si="416"/>
        <v>3.0873274187726305</v>
      </c>
      <c r="U6645" s="2">
        <f t="shared" si="417"/>
        <v>114.39801915956045</v>
      </c>
    </row>
    <row r="6646" spans="1:21" x14ac:dyDescent="0.25">
      <c r="A6646">
        <v>7205789</v>
      </c>
      <c r="B6646">
        <v>60</v>
      </c>
      <c r="C6646" s="1">
        <f>1.57791265085288*(10.3/7.3)</f>
        <v>2.2263699046280312</v>
      </c>
      <c r="D6646" s="1">
        <f>3.70301544366265*(10.3/7.3)</f>
        <v>5.22480261229114</v>
      </c>
      <c r="E6646" s="1">
        <f>12.5883926213897*(10.3/7.3)</f>
        <v>17.761704657577287</v>
      </c>
      <c r="F6646" s="1">
        <f>36.7470353935138*(38.9/42.5)</f>
        <v>33.634345336651442</v>
      </c>
      <c r="G6646" s="1">
        <v>1.9986186317822561</v>
      </c>
      <c r="H6646" s="1">
        <v>6.9130549792636575</v>
      </c>
      <c r="I6646" s="1">
        <v>25.985679362841765</v>
      </c>
      <c r="J6646" s="1">
        <v>2.4006208136713413E-2</v>
      </c>
      <c r="K6646" s="1">
        <v>1.7723064570656253</v>
      </c>
      <c r="L6646" s="1">
        <v>1.6346139251094534</v>
      </c>
      <c r="M6646" s="1">
        <v>0.1380646527279579</v>
      </c>
      <c r="N6646" s="1">
        <v>1.1039483898343359</v>
      </c>
      <c r="O6646" s="1">
        <v>0.11662666666666664</v>
      </c>
      <c r="P6646" s="1">
        <v>7.5098175710734114E-2</v>
      </c>
      <c r="Q6646" s="1">
        <v>3.1941393658620565</v>
      </c>
      <c r="R6646" s="2">
        <f t="shared" si="415"/>
        <v>96.93871485089764</v>
      </c>
      <c r="S6646" s="2">
        <f t="shared" si="414"/>
        <v>1.8714108409130727</v>
      </c>
      <c r="T6646" s="2">
        <f t="shared" si="416"/>
        <v>2.9932536343384135</v>
      </c>
      <c r="U6646" s="2">
        <f t="shared" si="417"/>
        <v>101.80337932614913</v>
      </c>
    </row>
    <row r="6647" spans="1:21" x14ac:dyDescent="0.25">
      <c r="A6647">
        <v>7205797</v>
      </c>
      <c r="B6647">
        <v>63</v>
      </c>
      <c r="C6647" s="1">
        <f>2.04519049517485*(10.3/7.3)</f>
        <v>2.8856797397672529</v>
      </c>
      <c r="D6647" s="1">
        <f>4.82681859836188*(10.3/7.3)</f>
        <v>6.8104426798804569</v>
      </c>
      <c r="E6647" s="1">
        <f>16.4229284459286*(10.3/7.3)</f>
        <v>23.172077122337669</v>
      </c>
      <c r="F6647" s="1">
        <f>47.0956610541887*(38.9/42.5)</f>
        <v>43.1063815295986</v>
      </c>
      <c r="G6647" s="1">
        <v>2.5371677058557887</v>
      </c>
      <c r="H6647" s="1">
        <v>7.5413613523890692</v>
      </c>
      <c r="I6647" s="1">
        <v>33.121182546414857</v>
      </c>
      <c r="J6647" s="1">
        <v>2.8298397323973441E-2</v>
      </c>
      <c r="K6647" s="1">
        <v>2.0295142326793059</v>
      </c>
      <c r="L6647" s="1">
        <v>1.9209506490005628</v>
      </c>
      <c r="M6647" s="1">
        <v>0.1581562550767468</v>
      </c>
      <c r="N6647" s="1">
        <v>1.1682966100298116</v>
      </c>
      <c r="O6647" s="1">
        <v>0.13364232804232809</v>
      </c>
      <c r="P6647" s="1">
        <v>8.4366813853305786E-2</v>
      </c>
      <c r="Q6647" s="1">
        <v>4.0548342331028628</v>
      </c>
      <c r="R6647" s="2">
        <f t="shared" si="415"/>
        <v>123.22912690934656</v>
      </c>
      <c r="S6647" s="2">
        <f t="shared" si="414"/>
        <v>2.1421794438565853</v>
      </c>
      <c r="T6647" s="2">
        <f t="shared" si="416"/>
        <v>3.3810458421494487</v>
      </c>
      <c r="U6647" s="2">
        <f t="shared" si="417"/>
        <v>128.75235219535261</v>
      </c>
    </row>
    <row r="6648" spans="1:21" x14ac:dyDescent="0.25">
      <c r="A6648">
        <v>7205805</v>
      </c>
      <c r="B6648">
        <v>57</v>
      </c>
      <c r="C6648" s="1">
        <f>3.12591987583586*(10.3/7.3)</f>
        <v>4.4105444823437407</v>
      </c>
      <c r="D6648" s="1">
        <f>7.28039491172789*(10.3/7.3)</f>
        <v>10.272338026136616</v>
      </c>
      <c r="E6648" s="1">
        <f>24.7824499998462*(10.3/7.3)</f>
        <v>34.967018492933654</v>
      </c>
      <c r="F6648" s="1">
        <f>70.8969678401723*(38.9/42.5)</f>
        <v>64.891577623122373</v>
      </c>
      <c r="G6648" s="1">
        <v>3.8111727768574193</v>
      </c>
      <c r="H6648" s="1">
        <v>10.078731292805472</v>
      </c>
      <c r="I6648" s="1">
        <v>49.922915517930122</v>
      </c>
      <c r="J6648" s="1">
        <v>3.7636175136130427E-2</v>
      </c>
      <c r="K6648" s="1">
        <v>2.5595568153166783</v>
      </c>
      <c r="L6648" s="1">
        <v>2.5322504841204414</v>
      </c>
      <c r="M6648" s="1">
        <v>0.20089469574206206</v>
      </c>
      <c r="N6648" s="1">
        <v>1.5042403685303842</v>
      </c>
      <c r="O6648" s="1">
        <v>0.16979368421052635</v>
      </c>
      <c r="P6648" s="1">
        <v>0.10357341051030008</v>
      </c>
      <c r="Q6648" s="1">
        <v>6.0909153968040988</v>
      </c>
      <c r="R6648" s="2">
        <f t="shared" si="415"/>
        <v>184.44521360893347</v>
      </c>
      <c r="S6648" s="2">
        <f t="shared" si="414"/>
        <v>2.7007664009631087</v>
      </c>
      <c r="T6648" s="2">
        <f t="shared" si="416"/>
        <v>4.4071792326034149</v>
      </c>
      <c r="U6648" s="2">
        <f t="shared" si="417"/>
        <v>191.55315924250002</v>
      </c>
    </row>
    <row r="6649" spans="1:21" x14ac:dyDescent="0.25">
      <c r="A6649">
        <v>7205813</v>
      </c>
      <c r="B6649">
        <v>31</v>
      </c>
      <c r="C6649" s="1">
        <f>2.79828260121147*(10.3/7.3)</f>
        <v>3.948261752394266</v>
      </c>
      <c r="D6649" s="1">
        <f>6.38132707807776*(10.3/7.3)</f>
        <v>9.0037902608494367</v>
      </c>
      <c r="E6649" s="1">
        <f>21.7349018717709*(10.3/7.3)</f>
        <v>30.667053325923348</v>
      </c>
      <c r="F6649" s="1">
        <f>62.1051750216426*(38.9/42.5)</f>
        <v>56.844501372750528</v>
      </c>
      <c r="G6649" s="1">
        <v>3.3319924771733169</v>
      </c>
      <c r="H6649" s="1">
        <v>9.9031273253716225</v>
      </c>
      <c r="I6649" s="1">
        <v>43.853285832141268</v>
      </c>
      <c r="J6649" s="1">
        <v>3.5359301296603453E-2</v>
      </c>
      <c r="K6649" s="1">
        <v>2.3999861784431342</v>
      </c>
      <c r="L6649" s="1">
        <v>2.3441809906098587</v>
      </c>
      <c r="M6649" s="1">
        <v>0.18419777250075292</v>
      </c>
      <c r="N6649" s="1">
        <v>1.4111647034209818</v>
      </c>
      <c r="O6649" s="1">
        <v>0.15823139784946233</v>
      </c>
      <c r="P6649" s="1">
        <v>9.7489431848796299E-2</v>
      </c>
      <c r="Q6649" s="1">
        <v>5.3251021324687775</v>
      </c>
      <c r="R6649" s="2">
        <f t="shared" si="415"/>
        <v>162.87711447907256</v>
      </c>
      <c r="S6649" s="2">
        <f t="shared" si="414"/>
        <v>2.5328349115885338</v>
      </c>
      <c r="T6649" s="2">
        <f t="shared" si="416"/>
        <v>4.0977748643810559</v>
      </c>
      <c r="U6649" s="2">
        <f t="shared" si="417"/>
        <v>169.50772425504215</v>
      </c>
    </row>
    <row r="6650" spans="1:21" x14ac:dyDescent="0.25">
      <c r="A6650">
        <v>7217457</v>
      </c>
      <c r="B6650">
        <v>34</v>
      </c>
      <c r="C6650" s="1">
        <f>0.516288097409487*(10.3/7.3)</f>
        <v>0.72846128812571409</v>
      </c>
      <c r="D6650" s="1">
        <f>1.04240716156524*(10.3/7.3)</f>
        <v>1.4707936663180812</v>
      </c>
      <c r="E6650" s="1">
        <f>3.54639302205538*(10.3/7.3)</f>
        <v>5.0038148119411492</v>
      </c>
      <c r="F6650" s="1">
        <f>10.9375137896172*(38.9/42.5)</f>
        <v>10.01104203332023</v>
      </c>
      <c r="G6650" s="1">
        <v>0.60695170281061239</v>
      </c>
      <c r="H6650" s="1">
        <v>2.2862729710663201</v>
      </c>
      <c r="I6650" s="1">
        <v>8.0090373987147387</v>
      </c>
      <c r="J6650" s="1">
        <v>3.0922971381281396E-2</v>
      </c>
      <c r="K6650" s="1">
        <v>1.9994599264134378</v>
      </c>
      <c r="L6650" s="1">
        <v>1.5040160700824841</v>
      </c>
      <c r="M6650" s="1">
        <v>0.19627271799715712</v>
      </c>
      <c r="N6650" s="1">
        <v>0.83801826704024118</v>
      </c>
      <c r="O6650" s="1">
        <v>0.20729098039215682</v>
      </c>
      <c r="P6650" s="1">
        <v>9.5350662105516473E-2</v>
      </c>
      <c r="Q6650" s="1">
        <v>0.97001413691193883</v>
      </c>
      <c r="R6650" s="2">
        <f t="shared" si="415"/>
        <v>29.086388009208783</v>
      </c>
      <c r="S6650" s="2">
        <f t="shared" si="414"/>
        <v>2.1257335599002358</v>
      </c>
      <c r="T6650" s="2">
        <f t="shared" si="416"/>
        <v>2.7455980355120393</v>
      </c>
      <c r="U6650" s="2">
        <f t="shared" si="417"/>
        <v>33.957719604621062</v>
      </c>
    </row>
    <row r="6651" spans="1:21" x14ac:dyDescent="0.25">
      <c r="A6651">
        <v>7217561</v>
      </c>
      <c r="B6651">
        <v>1</v>
      </c>
      <c r="C6651" s="1">
        <f>0.325762868751437*(10.3/7.3)</f>
        <v>0.45963802029312334</v>
      </c>
      <c r="D6651" s="1">
        <f>0.733017040874945*(10.3/7.3)</f>
        <v>1.0342569206865659</v>
      </c>
      <c r="E6651" s="1">
        <f>2.4703598854445*(10.3/7.3)</f>
        <v>3.4855762767230676</v>
      </c>
      <c r="F6651" s="1">
        <f>8.45270445509106*(38.9/42.5)</f>
        <v>7.7367106659539386</v>
      </c>
      <c r="G6651" s="1">
        <v>0.49570262761715878</v>
      </c>
      <c r="H6651" s="1">
        <v>5.3980512070731672</v>
      </c>
      <c r="I6651" s="1">
        <v>6.2371743999490841</v>
      </c>
      <c r="J6651" s="1">
        <v>1.6743682025983687E-2</v>
      </c>
      <c r="K6651" s="1">
        <v>1.440191086200421</v>
      </c>
      <c r="L6651" s="1">
        <v>0.9821310072042202</v>
      </c>
      <c r="M6651" s="1">
        <v>0.14300128323251832</v>
      </c>
      <c r="N6651" s="1">
        <v>0.62256016936130953</v>
      </c>
      <c r="O6651" s="1">
        <v>0.13152</v>
      </c>
      <c r="P6651" s="1">
        <v>6.9744763709173124E-2</v>
      </c>
      <c r="Q6651" s="1">
        <v>0.79221881126030025</v>
      </c>
      <c r="R6651" s="2">
        <f t="shared" si="415"/>
        <v>25.639328929556406</v>
      </c>
      <c r="S6651" s="2">
        <f t="shared" si="414"/>
        <v>1.5266795319355777</v>
      </c>
      <c r="T6651" s="2">
        <f t="shared" si="416"/>
        <v>1.879212459798048</v>
      </c>
      <c r="U6651" s="2">
        <f t="shared" si="417"/>
        <v>29.045220921290031</v>
      </c>
    </row>
    <row r="6652" spans="1:21" x14ac:dyDescent="0.25">
      <c r="A6652">
        <v>7217569</v>
      </c>
      <c r="B6652">
        <v>2</v>
      </c>
      <c r="C6652" s="1">
        <f>0.270679111876117*(10.3/7.3)</f>
        <v>0.38191710305808357</v>
      </c>
      <c r="D6652" s="1">
        <f>0.553460580647866*(10.3/7.3)</f>
        <v>0.78091013433877032</v>
      </c>
      <c r="E6652" s="1">
        <f>1.88244140578007*(10.3/7.3)</f>
        <v>2.6560474629499562</v>
      </c>
      <c r="F6652" s="1">
        <f>5.79668732785608*(38.9/42.5)</f>
        <v>5.3056738130259165</v>
      </c>
      <c r="G6652" s="1">
        <v>0.3216702332459398</v>
      </c>
      <c r="H6652" s="1">
        <v>1.5970774402009569</v>
      </c>
      <c r="I6652" s="1">
        <v>4.2352815645669946</v>
      </c>
      <c r="J6652" s="1">
        <v>1.5916257293326103E-2</v>
      </c>
      <c r="K6652" s="1">
        <v>1.5115297594372903</v>
      </c>
      <c r="L6652" s="1">
        <v>1.0640429484590024</v>
      </c>
      <c r="M6652" s="1">
        <v>0.14685044707413125</v>
      </c>
      <c r="N6652" s="1">
        <v>0.67511414412110593</v>
      </c>
      <c r="O6652" s="1">
        <v>0.13656000000000001</v>
      </c>
      <c r="P6652" s="1">
        <v>7.2683191207380565E-2</v>
      </c>
      <c r="Q6652" s="1">
        <v>0.51408484765332907</v>
      </c>
      <c r="R6652" s="2">
        <f t="shared" si="415"/>
        <v>15.792662599039947</v>
      </c>
      <c r="S6652" s="2">
        <f t="shared" si="414"/>
        <v>1.600129207937997</v>
      </c>
      <c r="T6652" s="2">
        <f t="shared" si="416"/>
        <v>2.0225675396542395</v>
      </c>
      <c r="U6652" s="2">
        <f t="shared" si="417"/>
        <v>19.415359346632183</v>
      </c>
    </row>
    <row r="6653" spans="1:21" x14ac:dyDescent="0.25">
      <c r="A6653">
        <v>7217737</v>
      </c>
      <c r="B6653">
        <v>11</v>
      </c>
      <c r="C6653" s="1">
        <f>0.95865217053241*(10.3/7.3)</f>
        <v>1.3526188159566888</v>
      </c>
      <c r="D6653" s="1">
        <f>2.24694625517713*(10.3/7.3)</f>
        <v>3.1703488257978623</v>
      </c>
      <c r="E6653" s="1">
        <f>7.54998995631832*(10.3/7.3)</f>
        <v>10.652725554805304</v>
      </c>
      <c r="F6653" s="1">
        <f>26.5994090846267*(38.9/42.5)</f>
        <v>24.346282668046538</v>
      </c>
      <c r="G6653" s="1">
        <v>1.5824052986684705</v>
      </c>
      <c r="H6653" s="1">
        <v>7.2553203953641114</v>
      </c>
      <c r="I6653" s="1">
        <v>19.653089816763089</v>
      </c>
      <c r="J6653" s="1">
        <v>1.7201948031763271E-2</v>
      </c>
      <c r="K6653" s="1">
        <v>1.6345774556757304</v>
      </c>
      <c r="L6653" s="1">
        <v>1.3575256406599281</v>
      </c>
      <c r="M6653" s="1">
        <v>0.16059410008346572</v>
      </c>
      <c r="N6653" s="1">
        <v>0.68548103938403537</v>
      </c>
      <c r="O6653" s="1">
        <v>0.12939636363636364</v>
      </c>
      <c r="P6653" s="1">
        <v>7.7038977141322476E-2</v>
      </c>
      <c r="Q6653" s="1">
        <v>2.5289582398811197</v>
      </c>
      <c r="R6653" s="2">
        <f t="shared" si="415"/>
        <v>70.54174961528318</v>
      </c>
      <c r="S6653" s="2">
        <f t="shared" si="414"/>
        <v>1.7288183808488162</v>
      </c>
      <c r="T6653" s="2">
        <f t="shared" si="416"/>
        <v>2.3329971437637926</v>
      </c>
      <c r="U6653" s="2">
        <f t="shared" si="417"/>
        <v>74.603565139895792</v>
      </c>
    </row>
    <row r="6654" spans="1:21" x14ac:dyDescent="0.25">
      <c r="A6654">
        <v>7217745</v>
      </c>
      <c r="B6654">
        <v>62</v>
      </c>
      <c r="C6654" s="1">
        <f>0.65070602726831*(10.3/7.3)</f>
        <v>0.91811946313199888</v>
      </c>
      <c r="D6654" s="1">
        <f>1.71343659963157*(10.3/7.3)</f>
        <v>2.4175886268774165</v>
      </c>
      <c r="E6654" s="1">
        <f>5.75384382501859*(10.3/7.3)</f>
        <v>8.1184371777659603</v>
      </c>
      <c r="F6654" s="1">
        <f>19.6447425780425*(38.9/42.5)</f>
        <v>17.980717324373021</v>
      </c>
      <c r="G6654" s="1">
        <v>1.1591660872452354</v>
      </c>
      <c r="H6654" s="1">
        <v>4.2878191042233027</v>
      </c>
      <c r="I6654" s="1">
        <v>14.233239989326524</v>
      </c>
      <c r="J6654" s="1">
        <v>1.5833446381290067E-2</v>
      </c>
      <c r="K6654" s="1">
        <v>1.5168697153983304</v>
      </c>
      <c r="L6654" s="1">
        <v>1.2511641610275368</v>
      </c>
      <c r="M6654" s="1">
        <v>0.15060263279535924</v>
      </c>
      <c r="N6654" s="1">
        <v>0.62776491576183913</v>
      </c>
      <c r="O6654" s="1">
        <v>0.11973935483870964</v>
      </c>
      <c r="P6654" s="1">
        <v>7.2138937778069415E-2</v>
      </c>
      <c r="Q6654" s="1">
        <v>1.8525485412595104</v>
      </c>
      <c r="R6654" s="2">
        <f t="shared" si="415"/>
        <v>50.967636314202963</v>
      </c>
      <c r="S6654" s="2">
        <f t="shared" si="414"/>
        <v>1.60484209955769</v>
      </c>
      <c r="T6654" s="2">
        <f t="shared" si="416"/>
        <v>2.149271064423445</v>
      </c>
      <c r="U6654" s="2">
        <f t="shared" si="417"/>
        <v>54.721749478184101</v>
      </c>
    </row>
    <row r="6655" spans="1:21" x14ac:dyDescent="0.25">
      <c r="A6655">
        <v>7217753</v>
      </c>
      <c r="B6655">
        <v>61</v>
      </c>
      <c r="C6655" s="1">
        <f>0.630848516295382*(10.3/7.3)</f>
        <v>0.89010133121129276</v>
      </c>
      <c r="D6655" s="1">
        <f>1.61964581266781*(10.3/7.3)</f>
        <v>2.2852536808874566</v>
      </c>
      <c r="E6655" s="1">
        <f>5.42604498697245*(10.3/7.3)</f>
        <v>7.6559264884679772</v>
      </c>
      <c r="F6655" s="1">
        <f>19.3505373065267*(38.9/42.5)</f>
        <v>17.711432969973824</v>
      </c>
      <c r="G6655" s="1">
        <v>1.1614061741158677</v>
      </c>
      <c r="H6655" s="1">
        <v>4.4093235154882082</v>
      </c>
      <c r="I6655" s="1">
        <v>14.193835236214033</v>
      </c>
      <c r="J6655" s="1">
        <v>1.599506958606263E-2</v>
      </c>
      <c r="K6655" s="1">
        <v>1.5154656532669433</v>
      </c>
      <c r="L6655" s="1">
        <v>1.2659744800744475</v>
      </c>
      <c r="M6655" s="1">
        <v>0.14883128966078776</v>
      </c>
      <c r="N6655" s="1">
        <v>0.63651834507883265</v>
      </c>
      <c r="O6655" s="1">
        <v>0.11923934426229507</v>
      </c>
      <c r="P6655" s="1">
        <v>7.1941583968955738E-2</v>
      </c>
      <c r="Q6655" s="1">
        <v>1.8561285887696528</v>
      </c>
      <c r="R6655" s="2">
        <f t="shared" si="415"/>
        <v>50.163407985128316</v>
      </c>
      <c r="S6655" s="2">
        <f t="shared" si="414"/>
        <v>1.6034023068219616</v>
      </c>
      <c r="T6655" s="2">
        <f t="shared" si="416"/>
        <v>2.1705634590763627</v>
      </c>
      <c r="U6655" s="2">
        <f t="shared" si="417"/>
        <v>53.937373751026641</v>
      </c>
    </row>
    <row r="6656" spans="1:21" x14ac:dyDescent="0.25">
      <c r="A6656">
        <v>7217761</v>
      </c>
      <c r="B6656">
        <v>12</v>
      </c>
      <c r="C6656" s="1">
        <f>0.793032178248979*(10.3/7.3)</f>
        <v>1.1189358131458202</v>
      </c>
      <c r="D6656" s="1">
        <f>2.08052533971975*(10.3/7.3)</f>
        <v>2.935535753303208</v>
      </c>
      <c r="E6656" s="1">
        <f>6.94415045494078*(10.3/7.3)</f>
        <v>9.7979109158753506</v>
      </c>
      <c r="F6656" s="1">
        <f>25.9382311554087*(38.9/42.5)</f>
        <v>23.741110398715247</v>
      </c>
      <c r="G6656" s="1">
        <v>1.5864451157668196</v>
      </c>
      <c r="H6656" s="1">
        <v>10.342345879886556</v>
      </c>
      <c r="I6656" s="1">
        <v>19.17068138566076</v>
      </c>
      <c r="J6656" s="1">
        <v>1.8114944040191424E-2</v>
      </c>
      <c r="K6656" s="1">
        <v>1.6722733330449311</v>
      </c>
      <c r="L6656" s="1">
        <v>1.4522736597115957</v>
      </c>
      <c r="M6656" s="1">
        <v>0.16355427597866093</v>
      </c>
      <c r="N6656" s="1">
        <v>0.72938199414017524</v>
      </c>
      <c r="O6656" s="1">
        <v>0.13189333333333333</v>
      </c>
      <c r="P6656" s="1">
        <v>7.8189302470777183E-2</v>
      </c>
      <c r="Q6656" s="1">
        <v>2.5354145685771114</v>
      </c>
      <c r="R6656" s="2">
        <f t="shared" si="415"/>
        <v>71.228379830930876</v>
      </c>
      <c r="S6656" s="2">
        <f t="shared" si="414"/>
        <v>1.7685775795558996</v>
      </c>
      <c r="T6656" s="2">
        <f t="shared" si="416"/>
        <v>2.4771032631637651</v>
      </c>
      <c r="U6656" s="2">
        <f t="shared" si="417"/>
        <v>75.474060673650541</v>
      </c>
    </row>
    <row r="6657" spans="1:21" x14ac:dyDescent="0.25">
      <c r="A6657">
        <v>7218017</v>
      </c>
      <c r="B6657">
        <v>16</v>
      </c>
      <c r="C6657" s="1">
        <f>2.1079096008172*(10.3/7.3)</f>
        <v>2.9741738203311141</v>
      </c>
      <c r="D6657" s="1">
        <f>5.18628434858882*(10.3/7.3)</f>
        <v>7.3176340808855951</v>
      </c>
      <c r="E6657" s="1">
        <f>17.6039139586695*(10.3/7.3)</f>
        <v>24.838399147163823</v>
      </c>
      <c r="F6657" s="1">
        <f>51.7407787114179*(38.9/42.5)</f>
        <v>47.358030397038945</v>
      </c>
      <c r="G6657" s="1">
        <v>2.8321840874977116</v>
      </c>
      <c r="H6657" s="1">
        <v>12.342331689974506</v>
      </c>
      <c r="I6657" s="1">
        <v>36.417602596754151</v>
      </c>
      <c r="J6657" s="1">
        <v>2.7206361690344884E-2</v>
      </c>
      <c r="K6657" s="1">
        <v>1.9839125343474628</v>
      </c>
      <c r="L6657" s="1">
        <v>1.8917841361711352</v>
      </c>
      <c r="M6657" s="1">
        <v>0.15618802160993528</v>
      </c>
      <c r="N6657" s="1">
        <v>1.1238519536410132</v>
      </c>
      <c r="O6657" s="1">
        <v>0.13419333333333333</v>
      </c>
      <c r="P6657" s="1">
        <v>8.3098161401213205E-2</v>
      </c>
      <c r="Q6657" s="1">
        <v>4.5263216010237448</v>
      </c>
      <c r="R6657" s="2">
        <f t="shared" si="415"/>
        <v>138.60667742066957</v>
      </c>
      <c r="S6657" s="2">
        <f t="shared" si="414"/>
        <v>2.0942170574390211</v>
      </c>
      <c r="T6657" s="2">
        <f t="shared" si="416"/>
        <v>3.3060174447554171</v>
      </c>
      <c r="U6657" s="2">
        <f t="shared" si="417"/>
        <v>144.00691192286399</v>
      </c>
    </row>
    <row r="6658" spans="1:21" x14ac:dyDescent="0.25">
      <c r="A6658">
        <v>7218025</v>
      </c>
      <c r="B6658">
        <v>65</v>
      </c>
      <c r="C6658" s="1">
        <f>1.36778308495412*(10.3/7.3)</f>
        <v>1.9298857226064947</v>
      </c>
      <c r="D6658" s="1">
        <f>3.26756230133706*(10.3/7.3)</f>
        <v>4.6103961238043452</v>
      </c>
      <c r="E6658" s="1">
        <f>11.1171708233438*(10.3/7.3)</f>
        <v>15.685871161704259</v>
      </c>
      <c r="F6658" s="1">
        <f>31.7373763617258*(38.9/42.5)</f>
        <v>29.049033893438416</v>
      </c>
      <c r="G6658" s="1">
        <v>1.7066828529668094</v>
      </c>
      <c r="H6658" s="1">
        <v>5.8204175132854976</v>
      </c>
      <c r="I6658" s="1">
        <v>22.254482582815303</v>
      </c>
      <c r="J6658" s="1">
        <v>2.2432316823084043E-2</v>
      </c>
      <c r="K6658" s="1">
        <v>1.6785497799634554</v>
      </c>
      <c r="L6658" s="1">
        <v>1.5163008342644939</v>
      </c>
      <c r="M6658" s="1">
        <v>0.12987545458412833</v>
      </c>
      <c r="N6658" s="1">
        <v>0.96164107024295442</v>
      </c>
      <c r="O6658" s="1">
        <v>0.10930461538461538</v>
      </c>
      <c r="P6658" s="1">
        <v>7.133272581364665E-2</v>
      </c>
      <c r="Q6658" s="1">
        <v>2.7275753357917063</v>
      </c>
      <c r="R6658" s="2">
        <f t="shared" si="415"/>
        <v>83.784345186412835</v>
      </c>
      <c r="S6658" s="2">
        <f t="shared" si="414"/>
        <v>1.7723148226001861</v>
      </c>
      <c r="T6658" s="2">
        <f t="shared" si="416"/>
        <v>2.7171219744761923</v>
      </c>
      <c r="U6658" s="2">
        <f t="shared" si="417"/>
        <v>88.273781983489201</v>
      </c>
    </row>
    <row r="6659" spans="1:21" x14ac:dyDescent="0.25">
      <c r="A6659">
        <v>7218033</v>
      </c>
      <c r="B6659">
        <v>65</v>
      </c>
      <c r="C6659" s="1">
        <f>2.94654440373371*(10.3/7.3)</f>
        <v>4.15745306280236</v>
      </c>
      <c r="D6659" s="1">
        <f>7.15225122914581*(10.3/7.3)</f>
        <v>10.091532556192041</v>
      </c>
      <c r="E6659" s="1">
        <f>24.3284878105758*(10.3/7.3)</f>
        <v>34.326496499853569</v>
      </c>
      <c r="F6659" s="1">
        <f>69.2586133719278*(38.9/42.5)</f>
        <v>63.392001415717466</v>
      </c>
      <c r="G6659" s="1">
        <v>3.7219954771143708</v>
      </c>
      <c r="H6659" s="1">
        <v>9.9937976418538561</v>
      </c>
      <c r="I6659" s="1">
        <v>48.418138175041285</v>
      </c>
      <c r="J6659" s="1">
        <v>3.6818474841557203E-2</v>
      </c>
      <c r="K6659" s="1">
        <v>2.5125989983094841</v>
      </c>
      <c r="L6659" s="1">
        <v>2.4739128129557635</v>
      </c>
      <c r="M6659" s="1">
        <v>0.19531083345113212</v>
      </c>
      <c r="N6659" s="1">
        <v>1.4648200634254116</v>
      </c>
      <c r="O6659" s="1">
        <v>0.16671425641025639</v>
      </c>
      <c r="P6659" s="1">
        <v>0.10187762016114345</v>
      </c>
      <c r="Q6659" s="1">
        <v>5.9483945981279955</v>
      </c>
      <c r="R6659" s="2">
        <f t="shared" si="415"/>
        <v>180.04980942670298</v>
      </c>
      <c r="S6659" s="2">
        <f t="shared" si="414"/>
        <v>2.6512950933121844</v>
      </c>
      <c r="T6659" s="2">
        <f t="shared" si="416"/>
        <v>4.3007579662425632</v>
      </c>
      <c r="U6659" s="2">
        <f t="shared" si="417"/>
        <v>187.00186248625772</v>
      </c>
    </row>
    <row r="6660" spans="1:21" x14ac:dyDescent="0.25">
      <c r="A6660">
        <v>7218041</v>
      </c>
      <c r="B6660">
        <v>3</v>
      </c>
      <c r="C6660" s="1">
        <f>1.43995764538374*(10.3/7.3)</f>
        <v>2.0317210612948675</v>
      </c>
      <c r="D6660" s="1">
        <f>3.2071704651599*(10.3/7.3)</f>
        <v>4.5251857248146541</v>
      </c>
      <c r="E6660" s="1">
        <f>10.9311269687665*(10.3/7.3)</f>
        <v>15.423370928533513</v>
      </c>
      <c r="F6660" s="1">
        <f>31.1898670838909*(38.9/42.5)</f>
        <v>28.547901872078967</v>
      </c>
      <c r="G6660" s="1">
        <v>1.6695092826240241</v>
      </c>
      <c r="H6660" s="1">
        <v>5.6734962593320359</v>
      </c>
      <c r="I6660" s="1">
        <v>22.092871146454673</v>
      </c>
      <c r="J6660" s="1">
        <v>2.2503123925781424E-2</v>
      </c>
      <c r="K6660" s="1">
        <v>1.6694772865569438</v>
      </c>
      <c r="L6660" s="1">
        <v>1.5059860027658942</v>
      </c>
      <c r="M6660" s="1">
        <v>0.12861863234821178</v>
      </c>
      <c r="N6660" s="1">
        <v>0.95952130152037618</v>
      </c>
      <c r="O6660" s="1">
        <v>0.1072</v>
      </c>
      <c r="P6660" s="1">
        <v>7.072616499076434E-2</v>
      </c>
      <c r="Q6660" s="1">
        <v>2.6681655201753833</v>
      </c>
      <c r="R6660" s="2">
        <f t="shared" si="415"/>
        <v>82.632221795308112</v>
      </c>
      <c r="S6660" s="2">
        <f t="shared" si="414"/>
        <v>1.7627065754734894</v>
      </c>
      <c r="T6660" s="2">
        <f t="shared" si="416"/>
        <v>2.7013259366344822</v>
      </c>
      <c r="U6660" s="2">
        <f t="shared" si="417"/>
        <v>87.096254307416075</v>
      </c>
    </row>
    <row r="6661" spans="1:21" x14ac:dyDescent="0.25">
      <c r="A6661">
        <v>722669</v>
      </c>
      <c r="B6661">
        <v>19</v>
      </c>
      <c r="C6661" s="1">
        <f>1.38448328303477*(10.3/7.3)</f>
        <v>1.9534490157887874</v>
      </c>
      <c r="D6661" s="1">
        <f>2.01311704610692*(10.3/7.3)</f>
        <v>2.840425421219356</v>
      </c>
      <c r="E6661" s="1">
        <f>6.98660491373055*(10.3/7.3)</f>
        <v>9.8578124125239253</v>
      </c>
      <c r="F6661" s="1">
        <f>18.344763566176*(38.9/42.5)</f>
        <v>16.790854181746933</v>
      </c>
      <c r="G6661" s="1">
        <v>0.89762947676301952</v>
      </c>
      <c r="H6661" s="1">
        <v>6.3101314539303539</v>
      </c>
      <c r="I6661" s="1">
        <v>13.812342716505659</v>
      </c>
      <c r="J6661" s="1">
        <v>3.3987168789264985E-2</v>
      </c>
      <c r="K6661" s="1">
        <v>4.3964686553528356</v>
      </c>
      <c r="L6661" s="1">
        <v>1.4984049102381329</v>
      </c>
      <c r="M6661" s="1">
        <v>0.11922368995686305</v>
      </c>
      <c r="N6661" s="1">
        <v>1.2058057103560429</v>
      </c>
      <c r="O6661" s="1">
        <v>7.184280701754385E-2</v>
      </c>
      <c r="P6661" s="1">
        <v>6.2423760659532777E-2</v>
      </c>
      <c r="Q6661" s="1">
        <v>1.4345676569272017</v>
      </c>
      <c r="R6661" s="2">
        <f t="shared" si="415"/>
        <v>53.897212335405236</v>
      </c>
      <c r="S6661" s="2">
        <f t="shared" si="414"/>
        <v>4.4928795848016332</v>
      </c>
      <c r="T6661" s="2">
        <f t="shared" si="416"/>
        <v>2.8952771175685825</v>
      </c>
      <c r="U6661" s="2">
        <f t="shared" si="417"/>
        <v>61.285369037775453</v>
      </c>
    </row>
    <row r="6662" spans="1:21" x14ac:dyDescent="0.25">
      <c r="A6662">
        <v>722709</v>
      </c>
      <c r="B6662">
        <v>18</v>
      </c>
      <c r="C6662" s="1">
        <f>1.91554018998133*(10.3/7.3)</f>
        <v>2.7027484872339311</v>
      </c>
      <c r="D6662" s="1">
        <f>2.55849082641842*(10.3/7.3)</f>
        <v>3.6099254126177769</v>
      </c>
      <c r="E6662" s="1">
        <f>8.89821910366027*(10.3/7.3)</f>
        <v>12.555021475027505</v>
      </c>
      <c r="F6662" s="1">
        <f>23.9694896274986*(38.9/42.5)</f>
        <v>21.939132859051682</v>
      </c>
      <c r="G6662" s="1">
        <v>1.1827180959434651</v>
      </c>
      <c r="H6662" s="1">
        <v>3.8520318741201964</v>
      </c>
      <c r="I6662" s="1">
        <v>18.48861802171125</v>
      </c>
      <c r="J6662" s="1">
        <v>4.6411219762286252E-2</v>
      </c>
      <c r="K6662" s="1">
        <v>3.6253352553331362</v>
      </c>
      <c r="L6662" s="1">
        <v>1.4480067764497913</v>
      </c>
      <c r="M6662" s="1">
        <v>8.2788683129404031E-2</v>
      </c>
      <c r="N6662" s="1">
        <v>1.4495943366632158</v>
      </c>
      <c r="O6662" s="1">
        <v>7.1217777777777783E-2</v>
      </c>
      <c r="P6662" s="1">
        <v>6.1497232221284302E-2</v>
      </c>
      <c r="Q6662" s="1">
        <v>1.8901887378091926</v>
      </c>
      <c r="R6662" s="2">
        <f t="shared" si="415"/>
        <v>66.220384963515002</v>
      </c>
      <c r="S6662" s="2">
        <f t="shared" si="414"/>
        <v>3.7332437073167064</v>
      </c>
      <c r="T6662" s="2">
        <f t="shared" si="416"/>
        <v>3.0516075740201889</v>
      </c>
      <c r="U6662" s="2">
        <f t="shared" si="417"/>
        <v>73.005236244851901</v>
      </c>
    </row>
    <row r="6663" spans="1:21" x14ac:dyDescent="0.25">
      <c r="A6663">
        <v>722717</v>
      </c>
      <c r="B6663">
        <v>35</v>
      </c>
      <c r="C6663" s="1">
        <f>1.57308194022514*(10.3/7.3)</f>
        <v>2.2195539704546454</v>
      </c>
      <c r="D6663" s="1">
        <f>2.06515253825602*(10.3/7.3)</f>
        <v>2.9138453621968474</v>
      </c>
      <c r="E6663" s="1">
        <f>7.24981869382543*(10.3/7.3)</f>
        <v>10.229196239233147</v>
      </c>
      <c r="F6663" s="1">
        <f>16.3518279540127*(38.9/42.5)</f>
        <v>14.9667319390846</v>
      </c>
      <c r="G6663" s="1">
        <v>0.6946642351472071</v>
      </c>
      <c r="H6663" s="1">
        <v>3.9896440302809544</v>
      </c>
      <c r="I6663" s="1">
        <v>12.278850354188927</v>
      </c>
      <c r="J6663" s="1">
        <v>4.1822228575074873E-2</v>
      </c>
      <c r="K6663" s="1">
        <v>3.7031812795562953</v>
      </c>
      <c r="L6663" s="1">
        <v>1.4140438081434967</v>
      </c>
      <c r="M6663" s="1">
        <v>7.8663493116778962E-2</v>
      </c>
      <c r="N6663" s="1">
        <v>1.4305439559665778</v>
      </c>
      <c r="O6663" s="1">
        <v>6.9959619047619048E-2</v>
      </c>
      <c r="P6663" s="1">
        <v>6.0865693366001457E-2</v>
      </c>
      <c r="Q6663" s="1">
        <v>1.1101939831119765</v>
      </c>
      <c r="R6663" s="2">
        <f t="shared" si="415"/>
        <v>48.402680113698302</v>
      </c>
      <c r="S6663" s="2">
        <f t="shared" si="414"/>
        <v>3.8058692014973716</v>
      </c>
      <c r="T6663" s="2">
        <f t="shared" si="416"/>
        <v>2.9932108762744729</v>
      </c>
      <c r="U6663" s="2">
        <f t="shared" si="417"/>
        <v>55.20176019147015</v>
      </c>
    </row>
    <row r="6664" spans="1:21" x14ac:dyDescent="0.25">
      <c r="A6664">
        <v>7229685</v>
      </c>
      <c r="B6664">
        <v>54</v>
      </c>
      <c r="C6664" s="1">
        <f>0.351567752365158*(10.3/7.3)</f>
        <v>0.49604765059741468</v>
      </c>
      <c r="D6664" s="1">
        <f>0.659690535825848*(10.3/7.3)</f>
        <v>0.93079623548030677</v>
      </c>
      <c r="E6664" s="1">
        <f>2.25525450442344*(10.3/7.3)</f>
        <v>3.1820714240495129</v>
      </c>
      <c r="F6664" s="1">
        <f>6.64296143497099*(38.9/42.5)</f>
        <v>6.0802635251852104</v>
      </c>
      <c r="G6664" s="1">
        <v>0.35784849781084765</v>
      </c>
      <c r="H6664" s="1">
        <v>1.3819653048765692</v>
      </c>
      <c r="I6664" s="1">
        <v>4.8714780914166491</v>
      </c>
      <c r="J6664" s="1">
        <v>2.0545749748146061E-2</v>
      </c>
      <c r="K6664" s="1">
        <v>1.626166160439428</v>
      </c>
      <c r="L6664" s="1">
        <v>1.1197168545412832</v>
      </c>
      <c r="M6664" s="1">
        <v>0.14778462803874584</v>
      </c>
      <c r="N6664" s="1">
        <v>0.62327089869119712</v>
      </c>
      <c r="O6664" s="1">
        <v>0.1579772839506173</v>
      </c>
      <c r="P6664" s="1">
        <v>8.1843256875527473E-2</v>
      </c>
      <c r="Q6664" s="1">
        <v>0.57190399193514518</v>
      </c>
      <c r="R6664" s="2">
        <f t="shared" si="415"/>
        <v>17.872374721351655</v>
      </c>
      <c r="S6664" s="2">
        <f t="shared" si="414"/>
        <v>1.7285551670631014</v>
      </c>
      <c r="T6664" s="2">
        <f t="shared" si="416"/>
        <v>2.0487496652218438</v>
      </c>
      <c r="U6664" s="2">
        <f t="shared" si="417"/>
        <v>21.649679553636602</v>
      </c>
    </row>
    <row r="6665" spans="1:21" x14ac:dyDescent="0.25">
      <c r="A6665">
        <v>7229797</v>
      </c>
      <c r="B6665">
        <v>7</v>
      </c>
      <c r="C6665" s="1">
        <f>0.288755870020203*(10.3/7.3)</f>
        <v>0.40742266591891624</v>
      </c>
      <c r="D6665" s="1">
        <f>0.605042233228148*(10.3/7.3)</f>
        <v>0.8536897263356058</v>
      </c>
      <c r="E6665" s="1">
        <f>2.05275156622984*(10.3/7.3)</f>
        <v>2.8963481002969025</v>
      </c>
      <c r="F6665" s="1">
        <f>6.5136587199676*(38.9/42.5)</f>
        <v>5.9619135107468191</v>
      </c>
      <c r="G6665" s="1">
        <v>0.36750050091988246</v>
      </c>
      <c r="H6665" s="1">
        <v>1.728537670281648</v>
      </c>
      <c r="I6665" s="1">
        <v>4.7737820846131358</v>
      </c>
      <c r="J6665" s="1">
        <v>1.5886554867025577E-2</v>
      </c>
      <c r="K6665" s="1">
        <v>1.4811861258728611</v>
      </c>
      <c r="L6665" s="1">
        <v>1.0230326303622703</v>
      </c>
      <c r="M6665" s="1">
        <v>0.14487710334929188</v>
      </c>
      <c r="N6665" s="1">
        <v>0.63864189065042276</v>
      </c>
      <c r="O6665" s="1">
        <v>0.13403428571428572</v>
      </c>
      <c r="P6665" s="1">
        <v>7.1198670139876505E-2</v>
      </c>
      <c r="Q6665" s="1">
        <v>0.58732956768017797</v>
      </c>
      <c r="R6665" s="2">
        <f t="shared" si="415"/>
        <v>17.576523826793089</v>
      </c>
      <c r="S6665" s="2">
        <f t="shared" ref="S6665:S6728" si="418">J6665+K6665+P6665</f>
        <v>1.5682713508797632</v>
      </c>
      <c r="T6665" s="2">
        <f t="shared" si="416"/>
        <v>1.9405859100762708</v>
      </c>
      <c r="U6665" s="2">
        <f t="shared" si="417"/>
        <v>21.08538108774912</v>
      </c>
    </row>
    <row r="6666" spans="1:21" x14ac:dyDescent="0.25">
      <c r="A6666">
        <v>7229973</v>
      </c>
      <c r="B6666">
        <v>24</v>
      </c>
      <c r="C6666" s="1">
        <f>0.742565287233721*(10.3/7.3)</f>
        <v>1.0477291039051129</v>
      </c>
      <c r="D6666" s="1">
        <f>2.09402475533755*(10.3/7.3)</f>
        <v>2.9545828739694269</v>
      </c>
      <c r="E6666" s="1">
        <f>7.00626642510397*(10.3/7.3)</f>
        <v>9.8855539970645054</v>
      </c>
      <c r="F6666" s="1">
        <f>24.7199990129259*(38.9/42.5)</f>
        <v>22.62606968477213</v>
      </c>
      <c r="G6666" s="1">
        <v>1.4826819665334658</v>
      </c>
      <c r="H6666" s="1">
        <v>6.7124335677251104</v>
      </c>
      <c r="I6666" s="1">
        <v>17.921245824155616</v>
      </c>
      <c r="J6666" s="1">
        <v>1.661815391483264E-2</v>
      </c>
      <c r="K6666" s="1">
        <v>1.5836799055890756</v>
      </c>
      <c r="L6666" s="1">
        <v>1.3104147954159657</v>
      </c>
      <c r="M6666" s="1">
        <v>0.15639473091969266</v>
      </c>
      <c r="N6666" s="1">
        <v>0.66102719416000399</v>
      </c>
      <c r="O6666" s="1">
        <v>0.12504444444444443</v>
      </c>
      <c r="P6666" s="1">
        <v>7.4805925162708106E-2</v>
      </c>
      <c r="Q6666" s="1">
        <v>2.3695830515375045</v>
      </c>
      <c r="R6666" s="2">
        <f t="shared" ref="R6666:R6729" si="419">C6666+D6666+E6666+F6666+G6666+H6666+I6666+Q6666</f>
        <v>64.999880069662865</v>
      </c>
      <c r="S6666" s="2">
        <f t="shared" si="418"/>
        <v>1.6751039846666163</v>
      </c>
      <c r="T6666" s="2">
        <f t="shared" ref="T6666:T6729" si="420">L6666+M6666+N6666+O6666</f>
        <v>2.2528811649401068</v>
      </c>
      <c r="U6666" s="2">
        <f t="shared" ref="U6666:U6729" si="421">R6666+S6666+T6666</f>
        <v>68.927865219269592</v>
      </c>
    </row>
    <row r="6667" spans="1:21" x14ac:dyDescent="0.25">
      <c r="A6667">
        <v>7229981</v>
      </c>
      <c r="B6667">
        <v>72</v>
      </c>
      <c r="C6667" s="1">
        <f>0.630888690081903*(10.3/7.3)</f>
        <v>0.89015801477309542</v>
      </c>
      <c r="D6667" s="1">
        <f>1.70472241704231*(10.3/7.3)</f>
        <v>2.4052932733610737</v>
      </c>
      <c r="E6667" s="1">
        <f>5.72056052056133*(10.3/7.3)</f>
        <v>8.0714758029837927</v>
      </c>
      <c r="F6667" s="1">
        <f>19.5735905202023*(38.9/42.5)</f>
        <v>17.91559226437337</v>
      </c>
      <c r="G6667" s="1">
        <v>1.1572653515961191</v>
      </c>
      <c r="H6667" s="1">
        <v>4.2812017649957594</v>
      </c>
      <c r="I6667" s="1">
        <v>14.150483904847743</v>
      </c>
      <c r="J6667" s="1">
        <v>1.5829389483074163E-2</v>
      </c>
      <c r="K6667" s="1">
        <v>1.5096799623017094</v>
      </c>
      <c r="L6667" s="1">
        <v>1.249875691434422</v>
      </c>
      <c r="M6667" s="1">
        <v>0.14861873524539118</v>
      </c>
      <c r="N6667" s="1">
        <v>0.62831713623510621</v>
      </c>
      <c r="O6667" s="1">
        <v>0.11901185185185187</v>
      </c>
      <c r="P6667" s="1">
        <v>7.1808018463454804E-2</v>
      </c>
      <c r="Q6667" s="1">
        <v>1.8495108358842112</v>
      </c>
      <c r="R6667" s="2">
        <f t="shared" si="419"/>
        <v>50.720981212815168</v>
      </c>
      <c r="S6667" s="2">
        <f t="shared" si="418"/>
        <v>1.5973173702482384</v>
      </c>
      <c r="T6667" s="2">
        <f t="shared" si="420"/>
        <v>2.1458234147667712</v>
      </c>
      <c r="U6667" s="2">
        <f t="shared" si="421"/>
        <v>54.464121997830183</v>
      </c>
    </row>
    <row r="6668" spans="1:21" x14ac:dyDescent="0.25">
      <c r="A6668">
        <v>7229989</v>
      </c>
      <c r="B6668">
        <v>72</v>
      </c>
      <c r="C6668" s="1">
        <f>0.636243502150605*(10.3/7.3)</f>
        <v>0.89771343454126395</v>
      </c>
      <c r="D6668" s="1">
        <f>1.61260711030852*(10.3/7.3)</f>
        <v>2.2753223611202453</v>
      </c>
      <c r="E6668" s="1">
        <f>5.40376660680348*(10.3/7.3)</f>
        <v>7.6244926095994314</v>
      </c>
      <c r="F6668" s="1">
        <f>19.2851985316502*(38.9/42.5)</f>
        <v>17.651628773675089</v>
      </c>
      <c r="G6668" s="1">
        <v>1.157220645370685</v>
      </c>
      <c r="H6668" s="1">
        <v>4.8142700521078536</v>
      </c>
      <c r="I6668" s="1">
        <v>14.166983137373823</v>
      </c>
      <c r="J6668" s="1">
        <v>1.6027877125495152E-2</v>
      </c>
      <c r="K6668" s="1">
        <v>1.5144663338833408</v>
      </c>
      <c r="L6668" s="1">
        <v>1.2717206395297191</v>
      </c>
      <c r="M6668" s="1">
        <v>0.14836645621183661</v>
      </c>
      <c r="N6668" s="1">
        <v>0.64070809604024537</v>
      </c>
      <c r="O6668" s="1">
        <v>0.11904592592592593</v>
      </c>
      <c r="P6668" s="1">
        <v>7.1838569079081052E-2</v>
      </c>
      <c r="Q6668" s="1">
        <v>1.8494393875787223</v>
      </c>
      <c r="R6668" s="2">
        <f t="shared" si="419"/>
        <v>50.437070401367116</v>
      </c>
      <c r="S6668" s="2">
        <f t="shared" si="418"/>
        <v>1.602332780087917</v>
      </c>
      <c r="T6668" s="2">
        <f t="shared" si="420"/>
        <v>2.1798411177077268</v>
      </c>
      <c r="U6668" s="2">
        <f t="shared" si="421"/>
        <v>54.21924429916276</v>
      </c>
    </row>
    <row r="6669" spans="1:21" x14ac:dyDescent="0.25">
      <c r="A6669">
        <v>7230253</v>
      </c>
      <c r="B6669">
        <v>58</v>
      </c>
      <c r="C6669" s="1">
        <f>2.72800359102136*(10.3/7.3)</f>
        <v>3.8491009571945249</v>
      </c>
      <c r="D6669" s="1">
        <f>7.15953030190478*(10.3/7.3)</f>
        <v>10.10180302871496</v>
      </c>
      <c r="E6669" s="1">
        <f>24.3079725540094*(10.3/7.3)</f>
        <v>34.297550315931069</v>
      </c>
      <c r="F6669" s="1">
        <f>69.2942887395287*(38.9/42.5)</f>
        <v>63.424654869827457</v>
      </c>
      <c r="G6669" s="1">
        <v>3.743224506934677</v>
      </c>
      <c r="H6669" s="1">
        <v>13.895090913162258</v>
      </c>
      <c r="I6669" s="1">
        <v>47.948517825063796</v>
      </c>
      <c r="J6669" s="1">
        <v>3.5987635286565567E-2</v>
      </c>
      <c r="K6669" s="1">
        <v>2.4795015041792099</v>
      </c>
      <c r="L6669" s="1">
        <v>2.4366860545262266</v>
      </c>
      <c r="M6669" s="1">
        <v>0.1958727662523683</v>
      </c>
      <c r="N6669" s="1">
        <v>1.58317827815069</v>
      </c>
      <c r="O6669" s="1">
        <v>0.16619770114942531</v>
      </c>
      <c r="P6669" s="1">
        <v>0.10072787146626805</v>
      </c>
      <c r="Q6669" s="1">
        <v>5.9823222713567983</v>
      </c>
      <c r="R6669" s="2">
        <f t="shared" si="419"/>
        <v>183.24226468818554</v>
      </c>
      <c r="S6669" s="2">
        <f t="shared" si="418"/>
        <v>2.6162170109320435</v>
      </c>
      <c r="T6669" s="2">
        <f t="shared" si="420"/>
        <v>4.3819348000787102</v>
      </c>
      <c r="U6669" s="2">
        <f t="shared" si="421"/>
        <v>190.2404164991963</v>
      </c>
    </row>
    <row r="6670" spans="1:21" x14ac:dyDescent="0.25">
      <c r="A6670">
        <v>7230261</v>
      </c>
      <c r="B6670">
        <v>71</v>
      </c>
      <c r="C6670" s="1">
        <f>2.26044063723005*(10.3/7.3)</f>
        <v>3.1893888443108982</v>
      </c>
      <c r="D6670" s="1">
        <f>5.85742250574908*(10.3/7.3)</f>
        <v>8.2645824396185628</v>
      </c>
      <c r="E6670" s="1">
        <f>19.9215694229537*(10.3/7.3)</f>
        <v>28.1085157611539</v>
      </c>
      <c r="F6670" s="1">
        <f>55.3069460355421*(38.9/42.5)</f>
        <v>50.622122371355019</v>
      </c>
      <c r="G6670" s="1">
        <v>2.9407729904173965</v>
      </c>
      <c r="H6670" s="1">
        <v>8.499291876184941</v>
      </c>
      <c r="I6670" s="1">
        <v>38.041135523938436</v>
      </c>
      <c r="J6670" s="1">
        <v>3.0975506954560493E-2</v>
      </c>
      <c r="K6670" s="1">
        <v>2.1733457534297425</v>
      </c>
      <c r="L6670" s="1">
        <v>2.0779211248383236</v>
      </c>
      <c r="M6670" s="1">
        <v>0.16911658305538019</v>
      </c>
      <c r="N6670" s="1">
        <v>1.2578285212721381</v>
      </c>
      <c r="O6670" s="1">
        <v>0.14347417840375584</v>
      </c>
      <c r="P6670" s="1">
        <v>8.9405697756883604E-2</v>
      </c>
      <c r="Q6670" s="1">
        <v>4.6998655097994977</v>
      </c>
      <c r="R6670" s="2">
        <f t="shared" si="419"/>
        <v>144.36567531677866</v>
      </c>
      <c r="S6670" s="2">
        <f t="shared" si="418"/>
        <v>2.2937269581411863</v>
      </c>
      <c r="T6670" s="2">
        <f t="shared" si="420"/>
        <v>3.6483404075695973</v>
      </c>
      <c r="U6670" s="2">
        <f t="shared" si="421"/>
        <v>150.30774268248945</v>
      </c>
    </row>
    <row r="6671" spans="1:21" x14ac:dyDescent="0.25">
      <c r="A6671">
        <v>7230269</v>
      </c>
      <c r="B6671">
        <v>36</v>
      </c>
      <c r="C6671" s="1">
        <f>2.76756381027643*(10.3/7.3)</f>
        <v>3.9049188008009836</v>
      </c>
      <c r="D6671" s="1">
        <f>6.77608515010188*(10.3/7.3)</f>
        <v>9.5607776775410116</v>
      </c>
      <c r="E6671" s="1">
        <f>23.044383929907*(10.3/7.3)</f>
        <v>32.514678695622173</v>
      </c>
      <c r="F6671" s="1">
        <f>65.5958951243649*(38.9/42.5)</f>
        <v>60.039536949124582</v>
      </c>
      <c r="G6671" s="1">
        <v>3.526725103772149</v>
      </c>
      <c r="H6671" s="1">
        <v>11.20889676075651</v>
      </c>
      <c r="I6671" s="1">
        <v>45.800634874365109</v>
      </c>
      <c r="J6671" s="1">
        <v>3.4734630223047513E-2</v>
      </c>
      <c r="K6671" s="1">
        <v>2.3575885490831268</v>
      </c>
      <c r="L6671" s="1">
        <v>2.2977255585059675</v>
      </c>
      <c r="M6671" s="1">
        <v>0.18122193448831006</v>
      </c>
      <c r="N6671" s="1">
        <v>1.3854482013365736</v>
      </c>
      <c r="O6671" s="1">
        <v>0.15585629629629635</v>
      </c>
      <c r="P6671" s="1">
        <v>9.5755683585151935E-2</v>
      </c>
      <c r="Q6671" s="1">
        <v>5.6363186589965926</v>
      </c>
      <c r="R6671" s="2">
        <f t="shared" si="419"/>
        <v>172.19248752097911</v>
      </c>
      <c r="S6671" s="2">
        <f t="shared" si="418"/>
        <v>2.4880788628913262</v>
      </c>
      <c r="T6671" s="2">
        <f t="shared" si="420"/>
        <v>4.0202519906271474</v>
      </c>
      <c r="U6671" s="2">
        <f t="shared" si="421"/>
        <v>178.70081837449757</v>
      </c>
    </row>
    <row r="6672" spans="1:21" x14ac:dyDescent="0.25">
      <c r="A6672">
        <v>7230373</v>
      </c>
      <c r="B6672">
        <v>4</v>
      </c>
      <c r="C6672" s="1">
        <f>1.96098971059751*(10.3/7.3)</f>
        <v>2.7668758930348361</v>
      </c>
      <c r="D6672" s="1">
        <f>4.27693192207955*(10.3/7.3)</f>
        <v>6.0345751777286827</v>
      </c>
      <c r="E6672" s="1">
        <f>14.6328192263001*(10.3/7.3)</f>
        <v>20.646306579574048</v>
      </c>
      <c r="F6672" s="1">
        <f>39.3090491531325*(38.9/42.5)</f>
        <v>35.979341460161272</v>
      </c>
      <c r="G6672" s="1">
        <v>2.0262649615909183</v>
      </c>
      <c r="H6672" s="1">
        <v>11.965904114745733</v>
      </c>
      <c r="I6672" s="1">
        <v>27.489883262962085</v>
      </c>
      <c r="J6672" s="1">
        <v>2.5898394132182319E-2</v>
      </c>
      <c r="K6672" s="1">
        <v>1.7571156731274415</v>
      </c>
      <c r="L6672" s="1">
        <v>1.5520199339294489</v>
      </c>
      <c r="M6672" s="1">
        <v>0.12107710032246587</v>
      </c>
      <c r="N6672" s="1">
        <v>1.157265811694977</v>
      </c>
      <c r="O6672" s="1">
        <v>0.10618666666666667</v>
      </c>
      <c r="P6672" s="1">
        <v>7.177991356901009E-2</v>
      </c>
      <c r="Q6672" s="1">
        <v>3.2383229979763573</v>
      </c>
      <c r="R6672" s="2">
        <f t="shared" si="419"/>
        <v>110.14747444777393</v>
      </c>
      <c r="S6672" s="2">
        <f t="shared" si="418"/>
        <v>1.854793980828634</v>
      </c>
      <c r="T6672" s="2">
        <f t="shared" si="420"/>
        <v>2.9365495126135586</v>
      </c>
      <c r="U6672" s="2">
        <f t="shared" si="421"/>
        <v>114.93881794121612</v>
      </c>
    </row>
    <row r="6673" spans="1:21" x14ac:dyDescent="0.25">
      <c r="A6673">
        <v>7241921</v>
      </c>
      <c r="B6673">
        <v>44</v>
      </c>
      <c r="C6673" s="1">
        <f>0.412743462887908*(10.3/7.3)</f>
        <v>0.58236406407471997</v>
      </c>
      <c r="D6673" s="1">
        <f>0.809873629437365*(10.3/7.3)</f>
        <v>1.1426984086581997</v>
      </c>
      <c r="E6673" s="1">
        <f>2.75821574261446*(10.3/7.3)</f>
        <v>3.891729061497113</v>
      </c>
      <c r="F6673" s="1">
        <f>8.47263817410101*(38.9/42.5)</f>
        <v>7.7549558817065689</v>
      </c>
      <c r="G6673" s="1">
        <v>0.46833510208711465</v>
      </c>
      <c r="H6673" s="1">
        <v>1.6897729453153461</v>
      </c>
      <c r="I6673" s="1">
        <v>6.2254446768994134</v>
      </c>
      <c r="J6673" s="1">
        <v>2.9818150039361821E-2</v>
      </c>
      <c r="K6673" s="1">
        <v>1.7160258346889841</v>
      </c>
      <c r="L6673" s="1">
        <v>1.1992862510170859</v>
      </c>
      <c r="M6673" s="1">
        <v>0.15545916635732351</v>
      </c>
      <c r="N6673" s="1">
        <v>0.68661108279459349</v>
      </c>
      <c r="O6673" s="1">
        <v>0.16691636363636361</v>
      </c>
      <c r="P6673" s="1">
        <v>8.4608117494936227E-2</v>
      </c>
      <c r="Q6673" s="1">
        <v>0.74848075676022952</v>
      </c>
      <c r="R6673" s="2">
        <f t="shared" si="419"/>
        <v>22.503780896998705</v>
      </c>
      <c r="S6673" s="2">
        <f t="shared" si="418"/>
        <v>1.830452102223282</v>
      </c>
      <c r="T6673" s="2">
        <f t="shared" si="420"/>
        <v>2.2082728638053664</v>
      </c>
      <c r="U6673" s="2">
        <f t="shared" si="421"/>
        <v>26.542505863027355</v>
      </c>
    </row>
    <row r="6674" spans="1:21" x14ac:dyDescent="0.25">
      <c r="A6674">
        <v>7242169</v>
      </c>
      <c r="B6674">
        <v>7</v>
      </c>
      <c r="C6674" s="1">
        <f>0.565403669114811*(10.3/7.3)</f>
        <v>0.79776134135377474</v>
      </c>
      <c r="D6674" s="1">
        <f>1.60035306773478*(10.3/7.3)</f>
        <v>2.2580324106394865</v>
      </c>
      <c r="E6674" s="1">
        <f>5.33388649961515*(10.3/7.3)</f>
        <v>7.5258946501419288</v>
      </c>
      <c r="F6674" s="1">
        <f>19.8712740818067*(38.9/42.5)</f>
        <v>18.188060277230168</v>
      </c>
      <c r="G6674" s="1">
        <v>1.2174910238599541</v>
      </c>
      <c r="H6674" s="1">
        <v>7.5440272936614168</v>
      </c>
      <c r="I6674" s="1">
        <v>14.575340623053423</v>
      </c>
      <c r="J6674" s="1">
        <v>1.8898017190719985E-2</v>
      </c>
      <c r="K6674" s="1">
        <v>1.7758305894753261</v>
      </c>
      <c r="L6674" s="1">
        <v>1.4287055861480293</v>
      </c>
      <c r="M6674" s="1">
        <v>0.17702465984671242</v>
      </c>
      <c r="N6674" s="1">
        <v>0.76396765336253558</v>
      </c>
      <c r="O6674" s="1">
        <v>0.14218666666666666</v>
      </c>
      <c r="P6674" s="1">
        <v>8.2665708304551264E-2</v>
      </c>
      <c r="Q6674" s="1">
        <v>1.9457619102784676</v>
      </c>
      <c r="R6674" s="2">
        <f t="shared" si="419"/>
        <v>54.05236953021862</v>
      </c>
      <c r="S6674" s="2">
        <f t="shared" si="418"/>
        <v>1.8773943149705974</v>
      </c>
      <c r="T6674" s="2">
        <f t="shared" si="420"/>
        <v>2.5118845660239439</v>
      </c>
      <c r="U6674" s="2">
        <f t="shared" si="421"/>
        <v>58.441648411213158</v>
      </c>
    </row>
    <row r="6675" spans="1:21" x14ac:dyDescent="0.25">
      <c r="A6675">
        <v>7242209</v>
      </c>
      <c r="B6675">
        <v>29</v>
      </c>
      <c r="C6675" s="1">
        <f>0.693233756771074*(10.3/7.3)</f>
        <v>0.9781243417454879</v>
      </c>
      <c r="D6675" s="1">
        <f>2.35109389372309*(10.3/7.3)</f>
        <v>3.3172968637462787</v>
      </c>
      <c r="E6675" s="1">
        <f>7.85373819711157*(10.3/7.3)</f>
        <v>11.081301839760165</v>
      </c>
      <c r="F6675" s="1">
        <f>26.9535915358516*(38.9/42.5)</f>
        <v>24.670463782226502</v>
      </c>
      <c r="G6675" s="1">
        <v>1.6087951452960829</v>
      </c>
      <c r="H6675" s="1">
        <v>6.8101414644692371</v>
      </c>
      <c r="I6675" s="1">
        <v>19.089109504850533</v>
      </c>
      <c r="J6675" s="1">
        <v>1.6530936568639017E-2</v>
      </c>
      <c r="K6675" s="1">
        <v>1.5693126659241867</v>
      </c>
      <c r="L6675" s="1">
        <v>1.3002866597287179</v>
      </c>
      <c r="M6675" s="1">
        <v>0.15431783533790067</v>
      </c>
      <c r="N6675" s="1">
        <v>0.65770062542337615</v>
      </c>
      <c r="O6675" s="1">
        <v>0.12362114942528733</v>
      </c>
      <c r="P6675" s="1">
        <v>7.4010496454471539E-2</v>
      </c>
      <c r="Q6675" s="1">
        <v>2.571133793852189</v>
      </c>
      <c r="R6675" s="2">
        <f t="shared" si="419"/>
        <v>70.126366735946476</v>
      </c>
      <c r="S6675" s="2">
        <f t="shared" si="418"/>
        <v>1.6598540989472972</v>
      </c>
      <c r="T6675" s="2">
        <f t="shared" si="420"/>
        <v>2.2359262699152822</v>
      </c>
      <c r="U6675" s="2">
        <f t="shared" si="421"/>
        <v>74.022147104809051</v>
      </c>
    </row>
    <row r="6676" spans="1:21" x14ac:dyDescent="0.25">
      <c r="A6676">
        <v>7242217</v>
      </c>
      <c r="B6676">
        <v>54</v>
      </c>
      <c r="C6676" s="1">
        <f>0.670937300040629*(10.3/7.3)</f>
        <v>0.94666495759157299</v>
      </c>
      <c r="D6676" s="1">
        <f>1.82080923012911*(10.3/7.3)</f>
        <v>2.5690869959355922</v>
      </c>
      <c r="E6676" s="1">
        <f>6.09600614596978*(10.3/7.3)</f>
        <v>8.6012141511628357</v>
      </c>
      <c r="F6676" s="1">
        <f>21.561051656456*(38.9/42.5)</f>
        <v>19.73470375143858</v>
      </c>
      <c r="G6676" s="1">
        <v>1.2926059980613382</v>
      </c>
      <c r="H6676" s="1">
        <v>4.8152497855254426</v>
      </c>
      <c r="I6676" s="1">
        <v>15.6984691168342</v>
      </c>
      <c r="J6676" s="1">
        <v>1.677935636868326E-2</v>
      </c>
      <c r="K6676" s="1">
        <v>1.5803801967855111</v>
      </c>
      <c r="L6676" s="1">
        <v>1.3303689660087503</v>
      </c>
      <c r="M6676" s="1">
        <v>0.15416668580829263</v>
      </c>
      <c r="N6676" s="1">
        <v>0.67051674901389335</v>
      </c>
      <c r="O6676" s="1">
        <v>0.12437333333333335</v>
      </c>
      <c r="P6676" s="1">
        <v>7.4668520880354722E-2</v>
      </c>
      <c r="Q6676" s="1">
        <v>2.0658086727007712</v>
      </c>
      <c r="R6676" s="2">
        <f t="shared" si="419"/>
        <v>55.723803429250339</v>
      </c>
      <c r="S6676" s="2">
        <f t="shared" si="418"/>
        <v>1.6718280740345492</v>
      </c>
      <c r="T6676" s="2">
        <f t="shared" si="420"/>
        <v>2.2794257341642696</v>
      </c>
      <c r="U6676" s="2">
        <f t="shared" si="421"/>
        <v>59.67505723744916</v>
      </c>
    </row>
    <row r="6677" spans="1:21" x14ac:dyDescent="0.25">
      <c r="A6677">
        <v>7242225</v>
      </c>
      <c r="B6677">
        <v>3</v>
      </c>
      <c r="C6677" s="1">
        <f>0.705773081583991*(10.3/7.3)</f>
        <v>0.99581681374179543</v>
      </c>
      <c r="D6677" s="1">
        <f>1.78900782148649*(10.3/7.3)</f>
        <v>2.5242165152480629</v>
      </c>
      <c r="E6677" s="1">
        <f>5.98864651075979*(10.3/7.3)</f>
        <v>8.4497341179213414</v>
      </c>
      <c r="F6677" s="1">
        <f>21.6960811513732*(38.9/42.5)</f>
        <v>19.858295453845084</v>
      </c>
      <c r="G6677" s="1">
        <v>1.3097135803275866</v>
      </c>
      <c r="H6677" s="1">
        <v>7.1794864840807202</v>
      </c>
      <c r="I6677" s="1">
        <v>15.988488433108225</v>
      </c>
      <c r="J6677" s="1">
        <v>1.6441000157968774E-2</v>
      </c>
      <c r="K6677" s="1">
        <v>1.5430581545647428</v>
      </c>
      <c r="L6677" s="1">
        <v>1.3091669421850343</v>
      </c>
      <c r="M6677" s="1">
        <v>0.151765259336786</v>
      </c>
      <c r="N6677" s="1">
        <v>0.65707727099754587</v>
      </c>
      <c r="O6677" s="1">
        <v>0.1211911111111111</v>
      </c>
      <c r="P6677" s="1">
        <v>7.3021494496721087E-2</v>
      </c>
      <c r="Q6677" s="1">
        <v>2.0931495576011683</v>
      </c>
      <c r="R6677" s="2">
        <f t="shared" si="419"/>
        <v>58.398900955873977</v>
      </c>
      <c r="S6677" s="2">
        <f t="shared" si="418"/>
        <v>1.6325206492194326</v>
      </c>
      <c r="T6677" s="2">
        <f t="shared" si="420"/>
        <v>2.2392005836304771</v>
      </c>
      <c r="U6677" s="2">
        <f t="shared" si="421"/>
        <v>62.270622188723884</v>
      </c>
    </row>
    <row r="6678" spans="1:21" x14ac:dyDescent="0.25">
      <c r="A6678">
        <v>7242249</v>
      </c>
      <c r="B6678">
        <v>3</v>
      </c>
      <c r="C6678" s="1">
        <f>0.964529992044337*(10.3/7.3)</f>
        <v>1.3609121805557081</v>
      </c>
      <c r="D6678" s="1">
        <f>2.22130335906099*(10.3/7.3)</f>
        <v>3.1341677531956424</v>
      </c>
      <c r="E6678" s="1">
        <f>7.4125229529257*(10.3/7.3)</f>
        <v>10.458765262347221</v>
      </c>
      <c r="F6678" s="1">
        <f>28.9519130380949*(38.9/42.5)</f>
        <v>26.499515698397474</v>
      </c>
      <c r="G6678" s="1">
        <v>1.7911102158057222</v>
      </c>
      <c r="H6678" s="1">
        <v>6.9712231518849919</v>
      </c>
      <c r="I6678" s="1">
        <v>21.86311743811812</v>
      </c>
      <c r="J6678" s="1">
        <v>2.1060434648327176E-2</v>
      </c>
      <c r="K6678" s="1">
        <v>1.7023991640749314</v>
      </c>
      <c r="L6678" s="1">
        <v>1.4900175910618529</v>
      </c>
      <c r="M6678" s="1">
        <v>0.16024872964675341</v>
      </c>
      <c r="N6678" s="1">
        <v>0.78789538222354805</v>
      </c>
      <c r="O6678" s="1">
        <v>0.12990222222222222</v>
      </c>
      <c r="P6678" s="1">
        <v>7.7880940392500167E-2</v>
      </c>
      <c r="Q6678" s="1">
        <v>2.8625049111050385</v>
      </c>
      <c r="R6678" s="2">
        <f t="shared" si="419"/>
        <v>74.941316611409917</v>
      </c>
      <c r="S6678" s="2">
        <f t="shared" si="418"/>
        <v>1.8013405391157589</v>
      </c>
      <c r="T6678" s="2">
        <f t="shared" si="420"/>
        <v>2.5680639251543766</v>
      </c>
      <c r="U6678" s="2">
        <f t="shared" si="421"/>
        <v>79.31072107568005</v>
      </c>
    </row>
    <row r="6679" spans="1:21" x14ac:dyDescent="0.25">
      <c r="A6679">
        <v>7242473</v>
      </c>
      <c r="B6679">
        <v>9</v>
      </c>
      <c r="C6679" s="1">
        <f>1.55754223766921*(10.3/7.3)</f>
        <v>2.1976280887661455</v>
      </c>
      <c r="D6679" s="1">
        <f>4.43067039415266*(10.3/7.3)</f>
        <v>6.2514938438044396</v>
      </c>
      <c r="E6679" s="1">
        <f>14.9324393302086*(10.3/7.3)</f>
        <v>21.069058233034028</v>
      </c>
      <c r="F6679" s="1">
        <f>46.9254220175138*(38.9/42.5)</f>
        <v>42.950562740736146</v>
      </c>
      <c r="G6679" s="1">
        <v>2.6760550462054744</v>
      </c>
      <c r="H6679" s="1">
        <v>11.532861944172087</v>
      </c>
      <c r="I6679" s="1">
        <v>33.034210733911884</v>
      </c>
      <c r="J6679" s="1">
        <v>2.5461108411646758E-2</v>
      </c>
      <c r="K6679" s="1">
        <v>1.8604206372881711</v>
      </c>
      <c r="L6679" s="1">
        <v>1.7190445628288158</v>
      </c>
      <c r="M6679" s="1">
        <v>0.1460323696555525</v>
      </c>
      <c r="N6679" s="1">
        <v>1.0589166878405587</v>
      </c>
      <c r="O6679" s="1">
        <v>0.12433777777777776</v>
      </c>
      <c r="P6679" s="1">
        <v>7.7890438631703807E-2</v>
      </c>
      <c r="Q6679" s="1">
        <v>4.2768003021548715</v>
      </c>
      <c r="R6679" s="2">
        <f t="shared" si="419"/>
        <v>123.98867093278508</v>
      </c>
      <c r="S6679" s="2">
        <f t="shared" si="418"/>
        <v>1.9637721843315217</v>
      </c>
      <c r="T6679" s="2">
        <f t="shared" si="420"/>
        <v>3.0483313981027047</v>
      </c>
      <c r="U6679" s="2">
        <f t="shared" si="421"/>
        <v>129.00077451521932</v>
      </c>
    </row>
    <row r="6680" spans="1:21" x14ac:dyDescent="0.25">
      <c r="A6680">
        <v>7242481</v>
      </c>
      <c r="B6680">
        <v>9</v>
      </c>
      <c r="C6680" s="1">
        <f>2.40878033801208*(10.3/7.3)</f>
        <v>3.3986900659622474</v>
      </c>
      <c r="D6680" s="1">
        <f>6.62784619523405*(10.3/7.3)</f>
        <v>9.3516186042343445</v>
      </c>
      <c r="E6680" s="1">
        <f>22.4694626063097*(10.3/7.3)</f>
        <v>31.703488334930142</v>
      </c>
      <c r="F6680" s="1">
        <f>64.5907106929183*(38.9/42.5)</f>
        <v>59.119497551871056</v>
      </c>
      <c r="G6680" s="1">
        <v>3.5140285357487664</v>
      </c>
      <c r="H6680" s="1">
        <v>16.174372336978692</v>
      </c>
      <c r="I6680" s="1">
        <v>44.530386442088925</v>
      </c>
      <c r="J6680" s="1">
        <v>3.2263435501551946E-2</v>
      </c>
      <c r="K6680" s="1">
        <v>2.2441517094626908</v>
      </c>
      <c r="L6680" s="1">
        <v>2.1784195344040302</v>
      </c>
      <c r="M6680" s="1">
        <v>0.17448312485849199</v>
      </c>
      <c r="N6680" s="1">
        <v>1.3188104612758791</v>
      </c>
      <c r="O6680" s="1">
        <v>0.14990222222222221</v>
      </c>
      <c r="P6680" s="1">
        <v>9.1584616622809797E-2</v>
      </c>
      <c r="Q6680" s="1">
        <v>5.6160273402377605</v>
      </c>
      <c r="R6680" s="2">
        <f t="shared" si="419"/>
        <v>173.40810921205193</v>
      </c>
      <c r="S6680" s="2">
        <f t="shared" si="418"/>
        <v>2.3679997615870527</v>
      </c>
      <c r="T6680" s="2">
        <f t="shared" si="420"/>
        <v>3.8216153427606234</v>
      </c>
      <c r="U6680" s="2">
        <f t="shared" si="421"/>
        <v>179.59772431639959</v>
      </c>
    </row>
    <row r="6681" spans="1:21" x14ac:dyDescent="0.25">
      <c r="A6681">
        <v>7242489</v>
      </c>
      <c r="B6681">
        <v>55</v>
      </c>
      <c r="C6681" s="1">
        <f>2.46205166600915*(10.3/7.3)</f>
        <v>3.4738537205334556</v>
      </c>
      <c r="D6681" s="1">
        <f>7.28954841993321*(10.3/7.3)</f>
        <v>10.285253250042752</v>
      </c>
      <c r="E6681" s="1">
        <f>24.7942969115914*(10.3/7.3)</f>
        <v>34.983733998546732</v>
      </c>
      <c r="F6681" s="1">
        <f>65.2019931330658*(38.9/42.5)</f>
        <v>59.679000773559011</v>
      </c>
      <c r="G6681" s="1">
        <v>3.3803563798061251</v>
      </c>
      <c r="H6681" s="1">
        <v>9.7197901844438945</v>
      </c>
      <c r="I6681" s="1">
        <v>43.295638166436305</v>
      </c>
      <c r="J6681" s="1">
        <v>3.3333374330159954E-2</v>
      </c>
      <c r="K6681" s="1">
        <v>2.3143722072083031</v>
      </c>
      <c r="L6681" s="1">
        <v>2.2360544506921647</v>
      </c>
      <c r="M6681" s="1">
        <v>0.18124821569588079</v>
      </c>
      <c r="N6681" s="1">
        <v>1.3687668573821505</v>
      </c>
      <c r="O6681" s="1">
        <v>0.15392290909090911</v>
      </c>
      <c r="P6681" s="1">
        <v>9.4359572661329549E-2</v>
      </c>
      <c r="Q6681" s="1">
        <v>5.4023960407860496</v>
      </c>
      <c r="R6681" s="2">
        <f t="shared" si="419"/>
        <v>170.22002251415432</v>
      </c>
      <c r="S6681" s="2">
        <f t="shared" si="418"/>
        <v>2.4420651541997929</v>
      </c>
      <c r="T6681" s="2">
        <f t="shared" si="420"/>
        <v>3.9399924328611053</v>
      </c>
      <c r="U6681" s="2">
        <f t="shared" si="421"/>
        <v>176.60208010121522</v>
      </c>
    </row>
    <row r="6682" spans="1:21" x14ac:dyDescent="0.25">
      <c r="A6682">
        <v>7242497</v>
      </c>
      <c r="B6682">
        <v>55</v>
      </c>
      <c r="C6682" s="1">
        <f>3.04724371351295*(10.3/7.3)</f>
        <v>4.2995356505730689</v>
      </c>
      <c r="D6682" s="1">
        <f>8.12322420912125*(10.3/7.3)</f>
        <v>11.461535527938201</v>
      </c>
      <c r="E6682" s="1">
        <f>27.6184656991608*(10.3/7.3)</f>
        <v>38.968520096076162</v>
      </c>
      <c r="F6682" s="1">
        <f>76.2694100692055*(38.9/42.5)</f>
        <v>69.808942392755142</v>
      </c>
      <c r="G6682" s="1">
        <v>4.0493110749505563</v>
      </c>
      <c r="H6682" s="1">
        <v>10.771000880559111</v>
      </c>
      <c r="I6682" s="1">
        <v>52.174053931775184</v>
      </c>
      <c r="J6682" s="1">
        <v>3.8868517907712487E-2</v>
      </c>
      <c r="K6682" s="1">
        <v>2.5899440447650948</v>
      </c>
      <c r="L6682" s="1">
        <v>2.5505040583546399</v>
      </c>
      <c r="M6682" s="1">
        <v>0.20123292752188246</v>
      </c>
      <c r="N6682" s="1">
        <v>1.5176260138989268</v>
      </c>
      <c r="O6682" s="1">
        <v>0.17150254545454546</v>
      </c>
      <c r="P6682" s="1">
        <v>0.10428017503510871</v>
      </c>
      <c r="Q6682" s="1">
        <v>6.4715017179575183</v>
      </c>
      <c r="R6682" s="2">
        <f t="shared" si="419"/>
        <v>198.00440127258494</v>
      </c>
      <c r="S6682" s="2">
        <f t="shared" si="418"/>
        <v>2.7330927377079162</v>
      </c>
      <c r="T6682" s="2">
        <f t="shared" si="420"/>
        <v>4.440865545229995</v>
      </c>
      <c r="U6682" s="2">
        <f t="shared" si="421"/>
        <v>205.17835955552286</v>
      </c>
    </row>
    <row r="6683" spans="1:21" x14ac:dyDescent="0.25">
      <c r="A6683">
        <v>7242585</v>
      </c>
      <c r="B6683">
        <v>5</v>
      </c>
      <c r="C6683" s="1">
        <f>1.94238948322167*(10.3/7.3)</f>
        <v>2.7406317366004447</v>
      </c>
      <c r="D6683" s="1">
        <f>4.22549959883188*(10.3/7.3)</f>
        <v>5.9620062832833316</v>
      </c>
      <c r="E6683" s="1">
        <f>14.4592153715826*(10.3/7.3)</f>
        <v>20.401358674972727</v>
      </c>
      <c r="F6683" s="1">
        <f>38.7719108727398*(38.9/42.5)</f>
        <v>35.487701951754815</v>
      </c>
      <c r="G6683" s="1">
        <v>1.9959004932758415</v>
      </c>
      <c r="H6683" s="1">
        <v>8.3815913950771428</v>
      </c>
      <c r="I6683" s="1">
        <v>27.112114835657998</v>
      </c>
      <c r="J6683" s="1">
        <v>2.6224696501112414E-2</v>
      </c>
      <c r="K6683" s="1">
        <v>1.7955951055373611</v>
      </c>
      <c r="L6683" s="1">
        <v>1.5955373903621874</v>
      </c>
      <c r="M6683" s="1">
        <v>0.12578471870532554</v>
      </c>
      <c r="N6683" s="1">
        <v>1.1965373638947825</v>
      </c>
      <c r="O6683" s="1">
        <v>0.11010133333333334</v>
      </c>
      <c r="P6683" s="1">
        <v>7.3354403833638088E-2</v>
      </c>
      <c r="Q6683" s="1">
        <v>3.1897953088883342</v>
      </c>
      <c r="R6683" s="2">
        <f t="shared" si="419"/>
        <v>105.27110067951062</v>
      </c>
      <c r="S6683" s="2">
        <f t="shared" si="418"/>
        <v>1.8951742058721115</v>
      </c>
      <c r="T6683" s="2">
        <f t="shared" si="420"/>
        <v>3.0279608062956287</v>
      </c>
      <c r="U6683" s="2">
        <f t="shared" si="421"/>
        <v>110.19423569167836</v>
      </c>
    </row>
    <row r="6684" spans="1:21" x14ac:dyDescent="0.25">
      <c r="A6684">
        <v>7242601</v>
      </c>
      <c r="B6684">
        <v>8</v>
      </c>
      <c r="C6684" s="1">
        <f>2.25702009597409*(10.3/7.3)</f>
        <v>3.1845626011689165</v>
      </c>
      <c r="D6684" s="1">
        <f>5.00538198627513*(10.3/7.3)</f>
        <v>7.0623882820046298</v>
      </c>
      <c r="E6684" s="1">
        <f>17.0602778540571*(10.3/7.3)</f>
        <v>24.071350944765459</v>
      </c>
      <c r="F6684" s="1">
        <f>48.7637800193849*(38.9/42.5)</f>
        <v>44.633201005978151</v>
      </c>
      <c r="G6684" s="1">
        <v>2.6120953396839242</v>
      </c>
      <c r="H6684" s="1">
        <v>11.372185663687748</v>
      </c>
      <c r="I6684" s="1">
        <v>34.579180976072763</v>
      </c>
      <c r="J6684" s="1">
        <v>2.8912129600746666E-2</v>
      </c>
      <c r="K6684" s="1">
        <v>1.8862314298298433</v>
      </c>
      <c r="L6684" s="1">
        <v>1.692277857754118</v>
      </c>
      <c r="M6684" s="1">
        <v>0.13051865458543896</v>
      </c>
      <c r="N6684" s="1">
        <v>1.2246353730166843</v>
      </c>
      <c r="O6684" s="1">
        <v>0.11368666666666667</v>
      </c>
      <c r="P6684" s="1">
        <v>7.6248282269814671E-2</v>
      </c>
      <c r="Q6684" s="1">
        <v>4.1745815931021664</v>
      </c>
      <c r="R6684" s="2">
        <f t="shared" si="419"/>
        <v>131.68954640646376</v>
      </c>
      <c r="S6684" s="2">
        <f t="shared" si="418"/>
        <v>1.9913918417004046</v>
      </c>
      <c r="T6684" s="2">
        <f t="shared" si="420"/>
        <v>3.1611185520229079</v>
      </c>
      <c r="U6684" s="2">
        <f t="shared" si="421"/>
        <v>136.84205680018707</v>
      </c>
    </row>
    <row r="6685" spans="1:21" x14ac:dyDescent="0.25">
      <c r="A6685">
        <v>7254149</v>
      </c>
      <c r="B6685">
        <v>27</v>
      </c>
      <c r="C6685" s="1">
        <f>0.375952061868091*(10.3/7.3)</f>
        <v>0.53045290921114241</v>
      </c>
      <c r="D6685" s="1">
        <f>0.72962024114297*(10.3/7.3)</f>
        <v>1.0294641758592589</v>
      </c>
      <c r="E6685" s="1">
        <f>2.48627079812611*(10.3/7.3)</f>
        <v>3.5080259206436928</v>
      </c>
      <c r="F6685" s="1">
        <f>7.60765978724842*(38.9/42.5)</f>
        <v>6.9632462523285534</v>
      </c>
      <c r="G6685" s="1">
        <v>0.41936426400864807</v>
      </c>
      <c r="H6685" s="1">
        <v>1.4747382838600547</v>
      </c>
      <c r="I6685" s="1">
        <v>5.5946640909491201</v>
      </c>
      <c r="J6685" s="1">
        <v>2.1954336239847844E-2</v>
      </c>
      <c r="K6685" s="1">
        <v>1.6211720639535214</v>
      </c>
      <c r="L6685" s="1">
        <v>1.1338308333986731</v>
      </c>
      <c r="M6685" s="1">
        <v>0.14665806259134687</v>
      </c>
      <c r="N6685" s="1">
        <v>0.62265283182333497</v>
      </c>
      <c r="O6685" s="1">
        <v>0.15827160493827161</v>
      </c>
      <c r="P6685" s="1">
        <v>8.1837718321894945E-2</v>
      </c>
      <c r="Q6685" s="1">
        <v>0.67021686028779426</v>
      </c>
      <c r="R6685" s="2">
        <f t="shared" si="419"/>
        <v>20.190172757148265</v>
      </c>
      <c r="S6685" s="2">
        <f t="shared" si="418"/>
        <v>1.7249641185152642</v>
      </c>
      <c r="T6685" s="2">
        <f t="shared" si="420"/>
        <v>2.0614133327516266</v>
      </c>
      <c r="U6685" s="2">
        <f t="shared" si="421"/>
        <v>23.976550208415155</v>
      </c>
    </row>
    <row r="6686" spans="1:21" x14ac:dyDescent="0.25">
      <c r="A6686">
        <v>7254157</v>
      </c>
      <c r="B6686">
        <v>10</v>
      </c>
      <c r="C6686" s="1">
        <f>0.419373392094939*(10.3/7.3)</f>
        <v>0.59171862172299572</v>
      </c>
      <c r="D6686" s="1">
        <f>0.853006477429931*(10.3/7.3)</f>
        <v>1.2035570845929171</v>
      </c>
      <c r="E6686" s="1">
        <f>2.89717398723741*(10.3/7.3)</f>
        <v>4.087793434047299</v>
      </c>
      <c r="F6686" s="1">
        <f>9.15429774701111*(38.9/42.5)</f>
        <v>8.3788748790289933</v>
      </c>
      <c r="G6686" s="1">
        <v>0.51450070128783543</v>
      </c>
      <c r="H6686" s="1">
        <v>1.766576919920255</v>
      </c>
      <c r="I6686" s="1">
        <v>6.7311927836476801</v>
      </c>
      <c r="J6686" s="1">
        <v>4.2041662826519596E-2</v>
      </c>
      <c r="K6686" s="1">
        <v>1.7511747240377058</v>
      </c>
      <c r="L6686" s="1">
        <v>1.284655091257265</v>
      </c>
      <c r="M6686" s="1">
        <v>0.16517533336532669</v>
      </c>
      <c r="N6686" s="1">
        <v>0.83123941528969314</v>
      </c>
      <c r="O6686" s="1">
        <v>0.17768533333333333</v>
      </c>
      <c r="P6686" s="1">
        <v>8.5133528596089719E-2</v>
      </c>
      <c r="Q6686" s="1">
        <v>0.82226139475224935</v>
      </c>
      <c r="R6686" s="2">
        <f t="shared" si="419"/>
        <v>24.096475819000222</v>
      </c>
      <c r="S6686" s="2">
        <f t="shared" si="418"/>
        <v>1.8783499154603152</v>
      </c>
      <c r="T6686" s="2">
        <f t="shared" si="420"/>
        <v>2.4587551732456183</v>
      </c>
      <c r="U6686" s="2">
        <f t="shared" si="421"/>
        <v>28.433580907706155</v>
      </c>
    </row>
    <row r="6687" spans="1:21" x14ac:dyDescent="0.25">
      <c r="A6687">
        <v>7254445</v>
      </c>
      <c r="B6687">
        <v>46</v>
      </c>
      <c r="C6687" s="1">
        <f>0.675139246533395*(10.3/7.3)</f>
        <v>0.95259373141013304</v>
      </c>
      <c r="D6687" s="1">
        <f>2.09277628089983*(10.3/7.3)</f>
        <v>2.9528213278449598</v>
      </c>
      <c r="E6687" s="1">
        <f>6.98880561183356*(10.3/7.3)</f>
        <v>9.8609175071076294</v>
      </c>
      <c r="F6687" s="1">
        <f>24.6750808129334*(38.9/42.5)</f>
        <v>22.584956320543739</v>
      </c>
      <c r="G6687" s="1">
        <v>1.4853818337999203</v>
      </c>
      <c r="H6687" s="1">
        <v>6.0784121699299734</v>
      </c>
      <c r="I6687" s="1">
        <v>17.735930770778012</v>
      </c>
      <c r="J6687" s="1">
        <v>1.6741837154784896E-2</v>
      </c>
      <c r="K6687" s="1">
        <v>1.5799095374111576</v>
      </c>
      <c r="L6687" s="1">
        <v>1.3199505057280767</v>
      </c>
      <c r="M6687" s="1">
        <v>0.15450496029476921</v>
      </c>
      <c r="N6687" s="1">
        <v>0.66619519612194655</v>
      </c>
      <c r="O6687" s="1">
        <v>0.12440579710144926</v>
      </c>
      <c r="P6687" s="1">
        <v>7.4511153498923011E-2</v>
      </c>
      <c r="Q6687" s="1">
        <v>2.3738979078994178</v>
      </c>
      <c r="R6687" s="2">
        <f t="shared" si="419"/>
        <v>64.024911569313787</v>
      </c>
      <c r="S6687" s="2">
        <f t="shared" si="418"/>
        <v>1.6711625280648654</v>
      </c>
      <c r="T6687" s="2">
        <f t="shared" si="420"/>
        <v>2.2650564592462414</v>
      </c>
      <c r="U6687" s="2">
        <f t="shared" si="421"/>
        <v>67.961130556624894</v>
      </c>
    </row>
    <row r="6688" spans="1:21" x14ac:dyDescent="0.25">
      <c r="A6688">
        <v>7254453</v>
      </c>
      <c r="B6688">
        <v>14</v>
      </c>
      <c r="C6688" s="1">
        <f>0.623042183436367*(10.3/7.3)</f>
        <v>0.87908691635542247</v>
      </c>
      <c r="D6688" s="1">
        <f>1.61469077094838*(10.3/7.3)</f>
        <v>2.2782623206531976</v>
      </c>
      <c r="E6688" s="1">
        <f>5.41184670597906*(10.3/7.3)</f>
        <v>7.6358932974773106</v>
      </c>
      <c r="F6688" s="1">
        <f>19.1157811519814*(38.9/42.5)</f>
        <v>17.496562042637095</v>
      </c>
      <c r="G6688" s="1">
        <v>1.1433042360533048</v>
      </c>
      <c r="H6688" s="1">
        <v>4.3948841657018054</v>
      </c>
      <c r="I6688" s="1">
        <v>13.979027713352574</v>
      </c>
      <c r="J6688" s="1">
        <v>1.5882917835233674E-2</v>
      </c>
      <c r="K6688" s="1">
        <v>1.5030981184584766</v>
      </c>
      <c r="L6688" s="1">
        <v>1.2545780328011686</v>
      </c>
      <c r="M6688" s="1">
        <v>0.14618308491311499</v>
      </c>
      <c r="N6688" s="1">
        <v>0.63305083057689315</v>
      </c>
      <c r="O6688" s="1">
        <v>0.11815238095238097</v>
      </c>
      <c r="P6688" s="1">
        <v>7.1379757366937205E-2</v>
      </c>
      <c r="Q6688" s="1">
        <v>1.8271985507701232</v>
      </c>
      <c r="R6688" s="2">
        <f t="shared" si="419"/>
        <v>49.634219243000828</v>
      </c>
      <c r="S6688" s="2">
        <f t="shared" si="418"/>
        <v>1.5903607936606476</v>
      </c>
      <c r="T6688" s="2">
        <f t="shared" si="420"/>
        <v>2.1519643292435577</v>
      </c>
      <c r="U6688" s="2">
        <f t="shared" si="421"/>
        <v>53.376544365905033</v>
      </c>
    </row>
    <row r="6689" spans="1:21" x14ac:dyDescent="0.25">
      <c r="A6689">
        <v>7254709</v>
      </c>
      <c r="B6689">
        <v>19</v>
      </c>
      <c r="C6689" s="1">
        <f>1.68724794435465*(10.3/7.3)</f>
        <v>2.3806375105277899</v>
      </c>
      <c r="D6689" s="1">
        <f>4.69072400986718*(10.3/7.3)</f>
        <v>6.6184188084427396</v>
      </c>
      <c r="E6689" s="1">
        <f>15.8378254582916*(10.3/7.3)</f>
        <v>22.346520852110135</v>
      </c>
      <c r="F6689" s="1">
        <f>48.662069301884*(38.9/42.5)</f>
        <v>44.540105784547976</v>
      </c>
      <c r="G6689" s="1">
        <v>2.7421198669211662</v>
      </c>
      <c r="H6689" s="1">
        <v>10.198715487584904</v>
      </c>
      <c r="I6689" s="1">
        <v>34.138910531603088</v>
      </c>
      <c r="J6689" s="1">
        <v>2.6390940757789957E-2</v>
      </c>
      <c r="K6689" s="1">
        <v>1.9161209350109838</v>
      </c>
      <c r="L6689" s="1">
        <v>1.7855652664984141</v>
      </c>
      <c r="M6689" s="1">
        <v>0.14984564117843679</v>
      </c>
      <c r="N6689" s="1">
        <v>1.0872691654953006</v>
      </c>
      <c r="O6689" s="1">
        <v>0.12739649122807017</v>
      </c>
      <c r="P6689" s="1">
        <v>7.9738481098904468E-2</v>
      </c>
      <c r="Q6689" s="1">
        <v>4.3823833489607722</v>
      </c>
      <c r="R6689" s="2">
        <f t="shared" si="419"/>
        <v>127.34781219069858</v>
      </c>
      <c r="S6689" s="2">
        <f t="shared" si="418"/>
        <v>2.0222503568676782</v>
      </c>
      <c r="T6689" s="2">
        <f t="shared" si="420"/>
        <v>3.1500765644002215</v>
      </c>
      <c r="U6689" s="2">
        <f t="shared" si="421"/>
        <v>132.52013911196647</v>
      </c>
    </row>
    <row r="6690" spans="1:21" x14ac:dyDescent="0.25">
      <c r="A6690">
        <v>7254717</v>
      </c>
      <c r="B6690">
        <v>41</v>
      </c>
      <c r="C6690" s="1">
        <f>2.7105991770112*(10.3/7.3)</f>
        <v>3.8245440442760796</v>
      </c>
      <c r="D6690" s="1">
        <f>8.28306972610458*(10.3/7.3)</f>
        <v>11.687070983407839</v>
      </c>
      <c r="E6690" s="1">
        <f>28.1344200414667*(10.3/7.3)</f>
        <v>39.696510469466737</v>
      </c>
      <c r="F6690" s="1">
        <f>75.1125752381548*(38.9/42.5)</f>
        <v>68.750098276805218</v>
      </c>
      <c r="G6690" s="1">
        <v>3.937122437816424</v>
      </c>
      <c r="H6690" s="1">
        <v>12.776816151032232</v>
      </c>
      <c r="I6690" s="1">
        <v>49.929293954048717</v>
      </c>
      <c r="J6690" s="1">
        <v>3.6033286306298394E-2</v>
      </c>
      <c r="K6690" s="1">
        <v>2.4748654615778674</v>
      </c>
      <c r="L6690" s="1">
        <v>2.421938665873018</v>
      </c>
      <c r="M6690" s="1">
        <v>0.19311615910498003</v>
      </c>
      <c r="N6690" s="1">
        <v>1.5946059268895141</v>
      </c>
      <c r="O6690" s="1">
        <v>0.16533463414634145</v>
      </c>
      <c r="P6690" s="1">
        <v>0.10033209684671421</v>
      </c>
      <c r="Q6690" s="1">
        <v>6.2922048092956597</v>
      </c>
      <c r="R6690" s="2">
        <f t="shared" si="419"/>
        <v>196.89366112614891</v>
      </c>
      <c r="S6690" s="2">
        <f t="shared" si="418"/>
        <v>2.6112308447308799</v>
      </c>
      <c r="T6690" s="2">
        <f t="shared" si="420"/>
        <v>4.3749953860138531</v>
      </c>
      <c r="U6690" s="2">
        <f t="shared" si="421"/>
        <v>203.87988735689365</v>
      </c>
    </row>
    <row r="6691" spans="1:21" x14ac:dyDescent="0.25">
      <c r="A6691">
        <v>7254725</v>
      </c>
      <c r="B6691">
        <v>55</v>
      </c>
      <c r="C6691" s="1">
        <f>2.85023410254956*(10.3/7.3)</f>
        <v>4.021563185789101</v>
      </c>
      <c r="D6691" s="1">
        <f>9.99767734155919*(10.3/7.3)</f>
        <v>14.106311865487632</v>
      </c>
      <c r="E6691" s="1">
        <f>34.0670630337716*(10.3/7.3)</f>
        <v>48.067225924362674</v>
      </c>
      <c r="F6691" s="1">
        <f>81.1470744746305*(38.9/42.5)</f>
        <v>74.273439930897112</v>
      </c>
      <c r="G6691" s="1">
        <v>3.973170683152456</v>
      </c>
      <c r="H6691" s="1">
        <v>11.257579756689125</v>
      </c>
      <c r="I6691" s="1">
        <v>50.750284011223826</v>
      </c>
      <c r="J6691" s="1">
        <v>3.7151486220064263E-2</v>
      </c>
      <c r="K6691" s="1">
        <v>2.5065117102632546</v>
      </c>
      <c r="L6691" s="1">
        <v>2.4546432395357454</v>
      </c>
      <c r="M6691" s="1">
        <v>0.19554260203754023</v>
      </c>
      <c r="N6691" s="1">
        <v>1.4690093649950486</v>
      </c>
      <c r="O6691" s="1">
        <v>0.16683151515151515</v>
      </c>
      <c r="P6691" s="1">
        <v>0.10110245922966343</v>
      </c>
      <c r="Q6691" s="1">
        <v>6.3498161602893166</v>
      </c>
      <c r="R6691" s="2">
        <f t="shared" si="419"/>
        <v>212.79939151789125</v>
      </c>
      <c r="S6691" s="2">
        <f t="shared" si="418"/>
        <v>2.6447656557129822</v>
      </c>
      <c r="T6691" s="2">
        <f t="shared" si="420"/>
        <v>4.2860267217198498</v>
      </c>
      <c r="U6691" s="2">
        <f t="shared" si="421"/>
        <v>219.73018389532407</v>
      </c>
    </row>
    <row r="6692" spans="1:21" x14ac:dyDescent="0.25">
      <c r="A6692">
        <v>7254733</v>
      </c>
      <c r="B6692">
        <v>4</v>
      </c>
      <c r="C6692" s="1">
        <f>2.95801367587692*(10.3/7.3)</f>
        <v>4.1736357344564787</v>
      </c>
      <c r="D6692" s="1">
        <f>7.65995386599383*(10.3/7.3)</f>
        <v>10.807880112292667</v>
      </c>
      <c r="E6692" s="1">
        <f>26.0335686757794*(10.3/7.3)</f>
        <v>36.732295528839437</v>
      </c>
      <c r="F6692" s="1">
        <f>73.2459633820169*(38.9/42.5)</f>
        <v>67.041599424951926</v>
      </c>
      <c r="G6692" s="1">
        <v>3.924580705988447</v>
      </c>
      <c r="H6692" s="1">
        <v>10.996807802834962</v>
      </c>
      <c r="I6692" s="1">
        <v>50.58162759191849</v>
      </c>
      <c r="J6692" s="1">
        <v>3.6603997211644264E-2</v>
      </c>
      <c r="K6692" s="1">
        <v>2.4345243828350522</v>
      </c>
      <c r="L6692" s="1">
        <v>2.3864097928291397</v>
      </c>
      <c r="M6692" s="1">
        <v>0.18662316729782996</v>
      </c>
      <c r="N6692" s="1">
        <v>1.4135630254547131</v>
      </c>
      <c r="O6692" s="1">
        <v>0.16108</v>
      </c>
      <c r="P6692" s="1">
        <v>9.8316165208897521E-2</v>
      </c>
      <c r="Q6692" s="1">
        <v>6.2721609456436429</v>
      </c>
      <c r="R6692" s="2">
        <f t="shared" si="419"/>
        <v>190.53058784692604</v>
      </c>
      <c r="S6692" s="2">
        <f t="shared" si="418"/>
        <v>2.5694445452555943</v>
      </c>
      <c r="T6692" s="2">
        <f t="shared" si="420"/>
        <v>4.1476759855816825</v>
      </c>
      <c r="U6692" s="2">
        <f t="shared" si="421"/>
        <v>197.24770837776333</v>
      </c>
    </row>
    <row r="6693" spans="1:21" x14ac:dyDescent="0.25">
      <c r="A6693">
        <v>7254789</v>
      </c>
      <c r="B6693">
        <v>12</v>
      </c>
      <c r="C6693" s="1">
        <f>2.14486776138641*(10.3/7.3)</f>
        <v>3.0263202660657593</v>
      </c>
      <c r="D6693" s="1">
        <f>5.00045462026784*(10.3/7.3)</f>
        <v>7.0554359710628374</v>
      </c>
      <c r="E6693" s="1">
        <f>17.0850517902073*(10.3/7.3)</f>
        <v>24.106305950566504</v>
      </c>
      <c r="F6693" s="1">
        <f>45.5946155570384*(38.9/42.5)</f>
        <v>41.73248341573629</v>
      </c>
      <c r="G6693" s="1">
        <v>2.3513686329502241</v>
      </c>
      <c r="H6693" s="1">
        <v>10.985610849491104</v>
      </c>
      <c r="I6693" s="1">
        <v>31.486155547739113</v>
      </c>
      <c r="J6693" s="1">
        <v>2.907938254884369E-2</v>
      </c>
      <c r="K6693" s="1">
        <v>1.9242666439444609</v>
      </c>
      <c r="L6693" s="1">
        <v>1.7675627748126079</v>
      </c>
      <c r="M6693" s="1">
        <v>0.14141519145010142</v>
      </c>
      <c r="N6693" s="1">
        <v>1.2069834542131053</v>
      </c>
      <c r="O6693" s="1">
        <v>0.1208177777777778</v>
      </c>
      <c r="P6693" s="1">
        <v>7.8639470006355794E-2</v>
      </c>
      <c r="Q6693" s="1">
        <v>3.7578950754912284</v>
      </c>
      <c r="R6693" s="2">
        <f t="shared" si="419"/>
        <v>124.50157570910308</v>
      </c>
      <c r="S6693" s="2">
        <f t="shared" si="418"/>
        <v>2.0319854964996606</v>
      </c>
      <c r="T6693" s="2">
        <f t="shared" si="420"/>
        <v>3.2367791982535925</v>
      </c>
      <c r="U6693" s="2">
        <f t="shared" si="421"/>
        <v>129.77034040385632</v>
      </c>
    </row>
    <row r="6694" spans="1:21" x14ac:dyDescent="0.25">
      <c r="A6694">
        <v>7254797</v>
      </c>
      <c r="B6694">
        <v>7</v>
      </c>
      <c r="C6694" s="1">
        <f>2.30428879861242*(10.3/7.3)</f>
        <v>3.2512567980421827</v>
      </c>
      <c r="D6694" s="1">
        <f>5.64661540863154*(10.3/7.3)</f>
        <v>7.9671422888910746</v>
      </c>
      <c r="E6694" s="1">
        <f>19.1879903460832*(10.3/7.3)</f>
        <v>27.073465830774992</v>
      </c>
      <c r="F6694" s="1">
        <f>55.3813641078617*(38.9/42.5)</f>
        <v>50.690236795195737</v>
      </c>
      <c r="G6694" s="1">
        <v>3.0008862224764172</v>
      </c>
      <c r="H6694" s="1">
        <v>11.913238444910522</v>
      </c>
      <c r="I6694" s="1">
        <v>38.81127312985096</v>
      </c>
      <c r="J6694" s="1">
        <v>2.9844270540412745E-2</v>
      </c>
      <c r="K6694" s="1">
        <v>1.9777675374316714</v>
      </c>
      <c r="L6694" s="1">
        <v>1.8237894421786645</v>
      </c>
      <c r="M6694" s="1">
        <v>0.14474671903116693</v>
      </c>
      <c r="N6694" s="1">
        <v>1.2787786426448837</v>
      </c>
      <c r="O6694" s="1">
        <v>0.1237409523809524</v>
      </c>
      <c r="P6694" s="1">
        <v>8.0346754366331291E-2</v>
      </c>
      <c r="Q6694" s="1">
        <v>4.7959368852362889</v>
      </c>
      <c r="R6694" s="2">
        <f t="shared" si="419"/>
        <v>147.50343639537817</v>
      </c>
      <c r="S6694" s="2">
        <f t="shared" si="418"/>
        <v>2.0879585623384154</v>
      </c>
      <c r="T6694" s="2">
        <f t="shared" si="420"/>
        <v>3.3710557562356676</v>
      </c>
      <c r="U6694" s="2">
        <f t="shared" si="421"/>
        <v>152.96245071395228</v>
      </c>
    </row>
    <row r="6695" spans="1:21" x14ac:dyDescent="0.25">
      <c r="A6695">
        <v>7254821</v>
      </c>
      <c r="B6695">
        <v>2</v>
      </c>
      <c r="C6695" s="1">
        <f>1.92474515618207*(10.3/7.3)</f>
        <v>2.7157363162568999</v>
      </c>
      <c r="D6695" s="1">
        <f>4.21672725350259*(10.3/7.3)</f>
        <v>5.94962886453105</v>
      </c>
      <c r="E6695" s="1">
        <f>14.4214808824552*(10.3/7.3)</f>
        <v>20.348116861546419</v>
      </c>
      <c r="F6695" s="1">
        <f>38.9284731639749*(38.9/42.5)</f>
        <v>35.631002495967586</v>
      </c>
      <c r="G6695" s="1">
        <v>2.0133895686657972</v>
      </c>
      <c r="H6695" s="1">
        <v>7.6603956301993525</v>
      </c>
      <c r="I6695" s="1">
        <v>27.239837731260824</v>
      </c>
      <c r="J6695" s="1">
        <v>2.6549725908915335E-2</v>
      </c>
      <c r="K6695" s="1">
        <v>1.7986746270042815</v>
      </c>
      <c r="L6695" s="1">
        <v>1.6008420035332462</v>
      </c>
      <c r="M6695" s="1">
        <v>0.12734221932510453</v>
      </c>
      <c r="N6695" s="1">
        <v>1.1914946003111555</v>
      </c>
      <c r="O6695" s="1">
        <v>0.10989333333333333</v>
      </c>
      <c r="P6695" s="1">
        <v>7.3433252697170215E-2</v>
      </c>
      <c r="Q6695" s="1">
        <v>3.2177458859955701</v>
      </c>
      <c r="R6695" s="2">
        <f t="shared" si="419"/>
        <v>104.77585335442349</v>
      </c>
      <c r="S6695" s="2">
        <f t="shared" si="418"/>
        <v>1.898657605610367</v>
      </c>
      <c r="T6695" s="2">
        <f t="shared" si="420"/>
        <v>3.0295721565028395</v>
      </c>
      <c r="U6695" s="2">
        <f t="shared" si="421"/>
        <v>109.70408311653669</v>
      </c>
    </row>
    <row r="6696" spans="1:21" x14ac:dyDescent="0.25">
      <c r="A6696">
        <v>7254837</v>
      </c>
      <c r="B6696">
        <v>24</v>
      </c>
      <c r="C6696" s="1">
        <f>2.09566212775924*(10.3/7.3)</f>
        <v>2.9568931391671418</v>
      </c>
      <c r="D6696" s="1">
        <f>4.53435557339734*(10.3/7.3)</f>
        <v>6.3977893706839124</v>
      </c>
      <c r="E6696" s="1">
        <f>15.5119713275329*(10.3/7.3)</f>
        <v>21.886754064875166</v>
      </c>
      <c r="F6696" s="1">
        <f>41.9191092543548*(38.9/42.5)</f>
        <v>38.368314117515375</v>
      </c>
      <c r="G6696" s="1">
        <v>2.167670752640078</v>
      </c>
      <c r="H6696" s="1">
        <v>9.9802644011296007</v>
      </c>
      <c r="I6696" s="1">
        <v>29.401402057571897</v>
      </c>
      <c r="J6696" s="1">
        <v>2.7330121799930416E-2</v>
      </c>
      <c r="K6696" s="1">
        <v>1.8225772886414988</v>
      </c>
      <c r="L6696" s="1">
        <v>1.620680794464187</v>
      </c>
      <c r="M6696" s="1">
        <v>0.1262951468710525</v>
      </c>
      <c r="N6696" s="1">
        <v>1.1595391882939656</v>
      </c>
      <c r="O6696" s="1">
        <v>0.10954888888888892</v>
      </c>
      <c r="P6696" s="1">
        <v>7.3991533223254427E-2</v>
      </c>
      <c r="Q6696" s="1">
        <v>3.4643139882375693</v>
      </c>
      <c r="R6696" s="2">
        <f t="shared" si="419"/>
        <v>114.62340189182073</v>
      </c>
      <c r="S6696" s="2">
        <f t="shared" si="418"/>
        <v>1.9238989436646836</v>
      </c>
      <c r="T6696" s="2">
        <f t="shared" si="420"/>
        <v>3.0160640185180938</v>
      </c>
      <c r="U6696" s="2">
        <f t="shared" si="421"/>
        <v>119.56336485400351</v>
      </c>
    </row>
    <row r="6697" spans="1:21" x14ac:dyDescent="0.25">
      <c r="A6697">
        <v>7266385</v>
      </c>
      <c r="B6697">
        <v>11</v>
      </c>
      <c r="C6697" s="1">
        <f>0.506467861479798*(10.3/7.3)</f>
        <v>0.71460533880026367</v>
      </c>
      <c r="D6697" s="1">
        <f>1.14033072449438*(10.3/7.3)</f>
        <v>1.6089597893550787</v>
      </c>
      <c r="E6697" s="1">
        <f>3.83311012641957*(10.3/7.3)</f>
        <v>5.4083608633043259</v>
      </c>
      <c r="F6697" s="1">
        <f>13.6286827709988*(38.9/42.5)</f>
        <v>12.474253171572993</v>
      </c>
      <c r="G6697" s="1">
        <v>0.81235926089074084</v>
      </c>
      <c r="H6697" s="1">
        <v>2.1488989276559303</v>
      </c>
      <c r="I6697" s="1">
        <v>10.13469780917363</v>
      </c>
      <c r="J6697" s="1">
        <v>3.1564807004151346E-2</v>
      </c>
      <c r="K6697" s="1">
        <v>1.8285325325804473</v>
      </c>
      <c r="L6697" s="1">
        <v>1.3778970598695606</v>
      </c>
      <c r="M6697" s="1">
        <v>0.17464705553710028</v>
      </c>
      <c r="N6697" s="1">
        <v>0.73258088617815953</v>
      </c>
      <c r="O6697" s="1">
        <v>0.18890666666666667</v>
      </c>
      <c r="P6697" s="1">
        <v>8.924612981447369E-2</v>
      </c>
      <c r="Q6697" s="1">
        <v>1.2982910562180803</v>
      </c>
      <c r="R6697" s="2">
        <f t="shared" si="419"/>
        <v>34.600426216971051</v>
      </c>
      <c r="S6697" s="2">
        <f t="shared" si="418"/>
        <v>1.9493434693990725</v>
      </c>
      <c r="T6697" s="2">
        <f t="shared" si="420"/>
        <v>2.4740316682514867</v>
      </c>
      <c r="U6697" s="2">
        <f t="shared" si="421"/>
        <v>39.023801354621611</v>
      </c>
    </row>
    <row r="6698" spans="1:21" x14ac:dyDescent="0.25">
      <c r="A6698">
        <v>7266665</v>
      </c>
      <c r="B6698">
        <v>7</v>
      </c>
      <c r="C6698" s="1">
        <f>0.6821600673259*(10.3/7.3)</f>
        <v>0.9624998210214758</v>
      </c>
      <c r="D6698" s="1">
        <f>2.7663570266977*(10.3/7.3)</f>
        <v>3.9032160787652517</v>
      </c>
      <c r="E6698" s="1">
        <f>9.19914003231696*(10.3/7.3)</f>
        <v>12.97960853874859</v>
      </c>
      <c r="F6698" s="1">
        <f>32.3952969551195*(38.9/42.5)</f>
        <v>29.651224742450552</v>
      </c>
      <c r="G6698" s="1">
        <v>1.9638039780553613</v>
      </c>
      <c r="H6698" s="1">
        <v>13.449300487211277</v>
      </c>
      <c r="I6698" s="1">
        <v>22.781611281173234</v>
      </c>
      <c r="J6698" s="1">
        <v>1.7429868690722428E-2</v>
      </c>
      <c r="K6698" s="1">
        <v>1.6420828439219142</v>
      </c>
      <c r="L6698" s="1">
        <v>1.34352051499724</v>
      </c>
      <c r="M6698" s="1">
        <v>0.1586740197755081</v>
      </c>
      <c r="N6698" s="1">
        <v>0.69566381797840171</v>
      </c>
      <c r="O6698" s="1">
        <v>0.12914285714285714</v>
      </c>
      <c r="P6698" s="1">
        <v>7.6678029973302683E-2</v>
      </c>
      <c r="Q6698" s="1">
        <v>3.1384995083076581</v>
      </c>
      <c r="R6698" s="2">
        <f t="shared" si="419"/>
        <v>88.829764435733395</v>
      </c>
      <c r="S6698" s="2">
        <f t="shared" si="418"/>
        <v>1.7361907425859393</v>
      </c>
      <c r="T6698" s="2">
        <f t="shared" si="420"/>
        <v>2.3270012098940067</v>
      </c>
      <c r="U6698" s="2">
        <f t="shared" si="421"/>
        <v>92.892956388213335</v>
      </c>
    </row>
    <row r="6699" spans="1:21" x14ac:dyDescent="0.25">
      <c r="A6699">
        <v>7266673</v>
      </c>
      <c r="B6699">
        <v>2</v>
      </c>
      <c r="C6699" s="1">
        <f>0.72170475385451*(10.3/7.3)</f>
        <v>1.0182957485892399</v>
      </c>
      <c r="D6699" s="1">
        <f>4.02638291008676*(10.3/7.3)</f>
        <v>5.6810608183415905</v>
      </c>
      <c r="E6699" s="1">
        <f>13.3726092911365*(10.3/7.3)</f>
        <v>18.868202150507614</v>
      </c>
      <c r="F6699" s="1">
        <f>45.2253246755653*(38.9/42.5)</f>
        <v>41.394473644223332</v>
      </c>
      <c r="G6699" s="1">
        <v>2.7177808566109594</v>
      </c>
      <c r="H6699" s="1">
        <v>14.237486024380599</v>
      </c>
      <c r="I6699" s="1">
        <v>30.823680067484734</v>
      </c>
      <c r="J6699" s="1">
        <v>1.9395684374245166E-2</v>
      </c>
      <c r="K6699" s="1">
        <v>1.7896943162973462</v>
      </c>
      <c r="L6699" s="1">
        <v>1.5172657374801499</v>
      </c>
      <c r="M6699" s="1">
        <v>0.17510198176152797</v>
      </c>
      <c r="N6699" s="1">
        <v>0.7854114087218026</v>
      </c>
      <c r="O6699" s="1">
        <v>0.14000000000000001</v>
      </c>
      <c r="P6699" s="1">
        <v>8.2392363333116753E-2</v>
      </c>
      <c r="Q6699" s="1">
        <v>4.3434853872777932</v>
      </c>
      <c r="R6699" s="2">
        <f t="shared" si="419"/>
        <v>119.08446469741587</v>
      </c>
      <c r="S6699" s="2">
        <f t="shared" si="418"/>
        <v>1.891482364004708</v>
      </c>
      <c r="T6699" s="2">
        <f t="shared" si="420"/>
        <v>2.6177791279634808</v>
      </c>
      <c r="U6699" s="2">
        <f t="shared" si="421"/>
        <v>123.59372618938406</v>
      </c>
    </row>
    <row r="6700" spans="1:21" x14ac:dyDescent="0.25">
      <c r="A6700">
        <v>7266681</v>
      </c>
      <c r="B6700">
        <v>22</v>
      </c>
      <c r="C6700" s="1">
        <f>0.63552889020943*(10.3/7.3)</f>
        <v>0.89670514645988053</v>
      </c>
      <c r="D6700" s="1">
        <f>1.84037507230262*(10.3/7.3)</f>
        <v>2.5966935951667054</v>
      </c>
      <c r="E6700" s="1">
        <f>6.1409391484151*(10.3/7.3)</f>
        <v>8.6646127710514449</v>
      </c>
      <c r="F6700" s="1">
        <f>22.3610728517553*(38.9/42.5)</f>
        <v>20.466958445488988</v>
      </c>
      <c r="G6700" s="1">
        <v>1.3592805917274531</v>
      </c>
      <c r="H6700" s="1">
        <v>5.5229481320996392</v>
      </c>
      <c r="I6700" s="1">
        <v>16.286348069174718</v>
      </c>
      <c r="J6700" s="1">
        <v>1.6044710643430989E-2</v>
      </c>
      <c r="K6700" s="1">
        <v>1.5153063148029802</v>
      </c>
      <c r="L6700" s="1">
        <v>1.2579663992728924</v>
      </c>
      <c r="M6700" s="1">
        <v>0.14865133444051945</v>
      </c>
      <c r="N6700" s="1">
        <v>0.63505045786858039</v>
      </c>
      <c r="O6700" s="1">
        <v>0.11904727272727271</v>
      </c>
      <c r="P6700" s="1">
        <v>7.1849638929446041E-2</v>
      </c>
      <c r="Q6700" s="1">
        <v>2.1723662424867989</v>
      </c>
      <c r="R6700" s="2">
        <f t="shared" si="419"/>
        <v>57.965912993655635</v>
      </c>
      <c r="S6700" s="2">
        <f t="shared" si="418"/>
        <v>1.6032006643758572</v>
      </c>
      <c r="T6700" s="2">
        <f t="shared" si="420"/>
        <v>2.160715464309265</v>
      </c>
      <c r="U6700" s="2">
        <f t="shared" si="421"/>
        <v>61.729829122340753</v>
      </c>
    </row>
    <row r="6701" spans="1:21" x14ac:dyDescent="0.25">
      <c r="A6701">
        <v>7266937</v>
      </c>
      <c r="B6701">
        <v>42</v>
      </c>
      <c r="C6701" s="1">
        <f>1.53779518277359*(10.3/7.3)</f>
        <v>2.1697658058312275</v>
      </c>
      <c r="D6701" s="1">
        <f>4.36732401726593*(10.3/7.3)</f>
        <v>6.1621147092930197</v>
      </c>
      <c r="E6701" s="1">
        <f>14.7034855170804*(10.3/7.3)</f>
        <v>20.746013811770936</v>
      </c>
      <c r="F6701" s="1">
        <f>47.029325158231*(38.9/42.5)</f>
        <v>43.045664674239639</v>
      </c>
      <c r="G6701" s="1">
        <v>2.704164617664353</v>
      </c>
      <c r="H6701" s="1">
        <v>11.22822483498102</v>
      </c>
      <c r="I6701" s="1">
        <v>33.266785588782355</v>
      </c>
      <c r="J6701" s="1">
        <v>2.5580052821730054E-2</v>
      </c>
      <c r="K6701" s="1">
        <v>1.866400296087898</v>
      </c>
      <c r="L6701" s="1">
        <v>1.7220495519417538</v>
      </c>
      <c r="M6701" s="1">
        <v>0.14600457958279062</v>
      </c>
      <c r="N6701" s="1">
        <v>1.0626388439610137</v>
      </c>
      <c r="O6701" s="1">
        <v>0.12397841269841271</v>
      </c>
      <c r="P6701" s="1">
        <v>7.7831374525340349E-2</v>
      </c>
      <c r="Q6701" s="1">
        <v>4.3217242748060478</v>
      </c>
      <c r="R6701" s="2">
        <f t="shared" si="419"/>
        <v>123.64445831736859</v>
      </c>
      <c r="S6701" s="2">
        <f t="shared" si="418"/>
        <v>1.9698117234349684</v>
      </c>
      <c r="T6701" s="2">
        <f t="shared" si="420"/>
        <v>3.0546713881839711</v>
      </c>
      <c r="U6701" s="2">
        <f t="shared" si="421"/>
        <v>128.66894142898752</v>
      </c>
    </row>
    <row r="6702" spans="1:21" x14ac:dyDescent="0.25">
      <c r="A6702">
        <v>7266953</v>
      </c>
      <c r="B6702">
        <v>26</v>
      </c>
      <c r="C6702" s="1">
        <f>2.64802775834799*(10.3/7.3)</f>
        <v>3.7362583439704533</v>
      </c>
      <c r="D6702" s="1">
        <f>15.5780155415548*(10.3/7.3)</f>
        <v>21.979939736714265</v>
      </c>
      <c r="E6702" s="1">
        <f>53.3110816672045*(10.3/7.3)</f>
        <v>75.219745366055619</v>
      </c>
      <c r="F6702" s="1">
        <f>97.2945187508343*(38.9/42.5)</f>
        <v>89.053100691940074</v>
      </c>
      <c r="G6702" s="1">
        <v>3.8508567013066233</v>
      </c>
      <c r="H6702" s="1">
        <v>11.660550277497217</v>
      </c>
      <c r="I6702" s="1">
        <v>48.825223676905622</v>
      </c>
      <c r="J6702" s="1">
        <v>3.5428140170461253E-2</v>
      </c>
      <c r="K6702" s="1">
        <v>2.4190738208265525</v>
      </c>
      <c r="L6702" s="1">
        <v>2.3571738773582527</v>
      </c>
      <c r="M6702" s="1">
        <v>0.18853853555834765</v>
      </c>
      <c r="N6702" s="1">
        <v>1.5816784492685534</v>
      </c>
      <c r="O6702" s="1">
        <v>0.16098051282051282</v>
      </c>
      <c r="P6702" s="1">
        <v>9.786890713762296E-2</v>
      </c>
      <c r="Q6702" s="1">
        <v>6.1543371938690399</v>
      </c>
      <c r="R6702" s="2">
        <f t="shared" si="419"/>
        <v>260.48001198825887</v>
      </c>
      <c r="S6702" s="2">
        <f t="shared" si="418"/>
        <v>2.5523708681346369</v>
      </c>
      <c r="T6702" s="2">
        <f t="shared" si="420"/>
        <v>4.2883713750056662</v>
      </c>
      <c r="U6702" s="2">
        <f t="shared" si="421"/>
        <v>267.32075423139918</v>
      </c>
    </row>
    <row r="6703" spans="1:21" x14ac:dyDescent="0.25">
      <c r="A6703">
        <v>7266961</v>
      </c>
      <c r="B6703">
        <v>5</v>
      </c>
      <c r="C6703" s="1">
        <f>3.30653892138486*(10.3/7.3)</f>
        <v>4.6653905329128875</v>
      </c>
      <c r="D6703" s="1">
        <f>9.821701571279*(10.3/7.3)</f>
        <v>13.858017285503244</v>
      </c>
      <c r="E6703" s="1">
        <f>33.3732932979552*(10.3/7.3)</f>
        <v>47.088345338210715</v>
      </c>
      <c r="F6703" s="1">
        <f>89.3783179924376*(38.9/42.5)</f>
        <v>81.807448703666438</v>
      </c>
      <c r="G6703" s="1">
        <v>4.686857614626132</v>
      </c>
      <c r="H6703" s="1">
        <v>11.699024731794916</v>
      </c>
      <c r="I6703" s="1">
        <v>59.689962719804917</v>
      </c>
      <c r="J6703" s="1">
        <v>3.634219153982389E-2</v>
      </c>
      <c r="K6703" s="1">
        <v>2.4405450383407001</v>
      </c>
      <c r="L6703" s="1">
        <v>2.4084260316851038</v>
      </c>
      <c r="M6703" s="1">
        <v>0.19178348155139063</v>
      </c>
      <c r="N6703" s="1">
        <v>1.3883404365652428</v>
      </c>
      <c r="O6703" s="1">
        <v>0.16341333333333333</v>
      </c>
      <c r="P6703" s="1">
        <v>9.858721622807215E-2</v>
      </c>
      <c r="Q6703" s="1">
        <v>7.4904117128728203</v>
      </c>
      <c r="R6703" s="2">
        <f t="shared" si="419"/>
        <v>230.98545863939208</v>
      </c>
      <c r="S6703" s="2">
        <f t="shared" si="418"/>
        <v>2.5754744461085961</v>
      </c>
      <c r="T6703" s="2">
        <f t="shared" si="420"/>
        <v>4.1519632831350712</v>
      </c>
      <c r="U6703" s="2">
        <f t="shared" si="421"/>
        <v>237.71289636863574</v>
      </c>
    </row>
    <row r="6704" spans="1:21" x14ac:dyDescent="0.25">
      <c r="A6704">
        <v>7267025</v>
      </c>
      <c r="B6704">
        <v>47</v>
      </c>
      <c r="C6704" s="1">
        <f>1.59536206913597*(10.3/7.3)</f>
        <v>2.2509903167261016</v>
      </c>
      <c r="D6704" s="1">
        <f>3.66121442311825*(10.3/7.3)</f>
        <v>5.1658230901531486</v>
      </c>
      <c r="E6704" s="1">
        <f>12.5003331524341*(10.3/7.3)</f>
        <v>17.637456365763221</v>
      </c>
      <c r="F6704" s="1">
        <f>34.067479952479*(38.9/42.5)</f>
        <v>31.181764003563142</v>
      </c>
      <c r="G6704" s="1">
        <v>1.778128288896587</v>
      </c>
      <c r="H6704" s="1">
        <v>7.1923748920786492</v>
      </c>
      <c r="I6704" s="1">
        <v>23.725825520040225</v>
      </c>
      <c r="J6704" s="1">
        <v>2.3874431080454655E-2</v>
      </c>
      <c r="K6704" s="1">
        <v>1.6530194914922163</v>
      </c>
      <c r="L6704" s="1">
        <v>1.4552900501543287</v>
      </c>
      <c r="M6704" s="1">
        <v>0.12203397904692792</v>
      </c>
      <c r="N6704" s="1">
        <v>1.0368850335740996</v>
      </c>
      <c r="O6704" s="1">
        <v>0.10223092198581557</v>
      </c>
      <c r="P6704" s="1">
        <v>6.8938189209852438E-2</v>
      </c>
      <c r="Q6704" s="1">
        <v>2.8417575393324479</v>
      </c>
      <c r="R6704" s="2">
        <f t="shared" si="419"/>
        <v>91.774120016553539</v>
      </c>
      <c r="S6704" s="2">
        <f t="shared" si="418"/>
        <v>1.7458321117825233</v>
      </c>
      <c r="T6704" s="2">
        <f t="shared" si="420"/>
        <v>2.716439984761172</v>
      </c>
      <c r="U6704" s="2">
        <f t="shared" si="421"/>
        <v>96.236392113097224</v>
      </c>
    </row>
    <row r="6705" spans="1:21" x14ac:dyDescent="0.25">
      <c r="A6705">
        <v>7267049</v>
      </c>
      <c r="B6705">
        <v>4</v>
      </c>
      <c r="C6705" s="1">
        <f>1.93788878580525*(10.3/7.3)</f>
        <v>2.7342814375060414</v>
      </c>
      <c r="D6705" s="1">
        <f>4.27003677406624*(10.3/7.3)</f>
        <v>6.024846407244147</v>
      </c>
      <c r="E6705" s="1">
        <f>14.6053257953658*(10.3/7.3)</f>
        <v>20.607514478392829</v>
      </c>
      <c r="F6705" s="1">
        <f>39.2341994676745*(38.9/42.5)</f>
        <v>35.910831983353866</v>
      </c>
      <c r="G6705" s="1">
        <v>2.0238508254174583</v>
      </c>
      <c r="H6705" s="1">
        <v>7.9929451445118875</v>
      </c>
      <c r="I6705" s="1">
        <v>27.391331244709164</v>
      </c>
      <c r="J6705" s="1">
        <v>2.6783102115562347E-2</v>
      </c>
      <c r="K6705" s="1">
        <v>1.8061870946928584</v>
      </c>
      <c r="L6705" s="1">
        <v>1.6096104047922482</v>
      </c>
      <c r="M6705" s="1">
        <v>0.12840053889725028</v>
      </c>
      <c r="N6705" s="1">
        <v>1.2057102932730903</v>
      </c>
      <c r="O6705" s="1">
        <v>0.11050666666666667</v>
      </c>
      <c r="P6705" s="1">
        <v>7.369405185645922E-2</v>
      </c>
      <c r="Q6705" s="1">
        <v>3.2344647894799592</v>
      </c>
      <c r="R6705" s="2">
        <f t="shared" si="419"/>
        <v>105.92006631061535</v>
      </c>
      <c r="S6705" s="2">
        <f t="shared" si="418"/>
        <v>1.9066642486648802</v>
      </c>
      <c r="T6705" s="2">
        <f t="shared" si="420"/>
        <v>3.0542279036292554</v>
      </c>
      <c r="U6705" s="2">
        <f t="shared" si="421"/>
        <v>110.88095846290949</v>
      </c>
    </row>
    <row r="6706" spans="1:21" x14ac:dyDescent="0.25">
      <c r="A6706">
        <v>7267073</v>
      </c>
      <c r="B6706">
        <v>9</v>
      </c>
      <c r="C6706" s="1">
        <f>1.93702582022393*(10.3/7.3)</f>
        <v>2.7330638285351383</v>
      </c>
      <c r="D6706" s="1">
        <f>4.18712241781704*(10.3/7.3)</f>
        <v>5.907857658015824</v>
      </c>
      <c r="E6706" s="1">
        <f>14.3436102223309*(10.3/7.3)</f>
        <v>20.238244560275085</v>
      </c>
      <c r="F6706" s="1">
        <f>37.7814624763371*(38.9/42.5)</f>
        <v>34.581150360694465</v>
      </c>
      <c r="G6706" s="1">
        <v>1.9217716106754688</v>
      </c>
      <c r="H6706" s="1">
        <v>11.580262379994412</v>
      </c>
      <c r="I6706" s="1">
        <v>26.316764873109051</v>
      </c>
      <c r="J6706" s="1">
        <v>2.6123991131941093E-2</v>
      </c>
      <c r="K6706" s="1">
        <v>1.7583163914193067</v>
      </c>
      <c r="L6706" s="1">
        <v>1.5514270514963462</v>
      </c>
      <c r="M6706" s="1">
        <v>0.12143783615773016</v>
      </c>
      <c r="N6706" s="1">
        <v>1.1050504379929666</v>
      </c>
      <c r="O6706" s="1">
        <v>0.10595555555555555</v>
      </c>
      <c r="P6706" s="1">
        <v>7.1721300499041005E-2</v>
      </c>
      <c r="Q6706" s="1">
        <v>3.0713244919470997</v>
      </c>
      <c r="R6706" s="2">
        <f t="shared" si="419"/>
        <v>106.35043976324653</v>
      </c>
      <c r="S6706" s="2">
        <f t="shared" si="418"/>
        <v>1.8561616830502887</v>
      </c>
      <c r="T6706" s="2">
        <f t="shared" si="420"/>
        <v>2.8838708812025984</v>
      </c>
      <c r="U6706" s="2">
        <f t="shared" si="421"/>
        <v>111.09047232749941</v>
      </c>
    </row>
    <row r="6707" spans="1:21" x14ac:dyDescent="0.25">
      <c r="A6707">
        <v>7278893</v>
      </c>
      <c r="B6707">
        <v>6</v>
      </c>
      <c r="C6707" s="1">
        <f>0.676033960012356*(10.3/7.3)</f>
        <v>0.9538561353598991</v>
      </c>
      <c r="D6707" s="1">
        <f>2.58721230083703*(10.3/7.3)</f>
        <v>3.6504502326878603</v>
      </c>
      <c r="E6707" s="1">
        <f>8.57350455109723*(10.3/7.3)</f>
        <v>12.096862585794719</v>
      </c>
      <c r="F6707" s="1">
        <f>32.1303437524176*(38.9/42.5)</f>
        <v>29.408714634565758</v>
      </c>
      <c r="G6707" s="1">
        <v>1.9906788061450982</v>
      </c>
      <c r="H6707" s="1">
        <v>11.518305904825072</v>
      </c>
      <c r="I6707" s="1">
        <v>23.044384201843382</v>
      </c>
      <c r="J6707" s="1">
        <v>1.7114255154114091E-2</v>
      </c>
      <c r="K6707" s="1">
        <v>1.620862100236856</v>
      </c>
      <c r="L6707" s="1">
        <v>1.3203650242359446</v>
      </c>
      <c r="M6707" s="1">
        <v>0.15695727251466982</v>
      </c>
      <c r="N6707" s="1">
        <v>0.68009175016073942</v>
      </c>
      <c r="O6707" s="1">
        <v>0.12745777777777778</v>
      </c>
      <c r="P6707" s="1">
        <v>7.5690263845455893E-2</v>
      </c>
      <c r="Q6707" s="1">
        <v>3.1814501468072378</v>
      </c>
      <c r="R6707" s="2">
        <f t="shared" si="419"/>
        <v>85.844702648029028</v>
      </c>
      <c r="S6707" s="2">
        <f t="shared" si="418"/>
        <v>1.713666619236426</v>
      </c>
      <c r="T6707" s="2">
        <f t="shared" si="420"/>
        <v>2.2848718246891315</v>
      </c>
      <c r="U6707" s="2">
        <f t="shared" si="421"/>
        <v>89.843241091954582</v>
      </c>
    </row>
    <row r="6708" spans="1:21" x14ac:dyDescent="0.25">
      <c r="A6708">
        <v>7278901</v>
      </c>
      <c r="B6708">
        <v>49</v>
      </c>
      <c r="C6708" s="1">
        <f>0.655596442336076*(10.3/7.3)</f>
        <v>0.92501963781665453</v>
      </c>
      <c r="D6708" s="1">
        <f>3.00780720976668*(10.3/7.3)</f>
        <v>4.2438923644653208</v>
      </c>
      <c r="E6708" s="1">
        <f>10.1159724957503*(10.3/7.3)</f>
        <v>14.273221466606589</v>
      </c>
      <c r="F6708" s="1">
        <f>28.8342103264661*(38.9/42.5)</f>
        <v>26.391783098812482</v>
      </c>
      <c r="G6708" s="1">
        <v>1.5939867822860263</v>
      </c>
      <c r="H6708" s="1">
        <v>9.6178858603451527</v>
      </c>
      <c r="I6708" s="1">
        <v>18.814354326230536</v>
      </c>
      <c r="J6708" s="1">
        <v>1.6295461155629354E-2</v>
      </c>
      <c r="K6708" s="1">
        <v>1.5485727441477108</v>
      </c>
      <c r="L6708" s="1">
        <v>1.2646426410705467</v>
      </c>
      <c r="M6708" s="1">
        <v>0.1514903821029687</v>
      </c>
      <c r="N6708" s="1">
        <v>0.64506564468524796</v>
      </c>
      <c r="O6708" s="1">
        <v>0.12184925170068026</v>
      </c>
      <c r="P6708" s="1">
        <v>7.3064937102514341E-2</v>
      </c>
      <c r="Q6708" s="1">
        <v>2.5474674602744742</v>
      </c>
      <c r="R6708" s="2">
        <f t="shared" si="419"/>
        <v>78.407610996837235</v>
      </c>
      <c r="S6708" s="2">
        <f t="shared" si="418"/>
        <v>1.6379331424058545</v>
      </c>
      <c r="T6708" s="2">
        <f t="shared" si="420"/>
        <v>2.1830479195594439</v>
      </c>
      <c r="U6708" s="2">
        <f t="shared" si="421"/>
        <v>82.228592058802533</v>
      </c>
    </row>
    <row r="6709" spans="1:21" x14ac:dyDescent="0.25">
      <c r="A6709">
        <v>7278941</v>
      </c>
      <c r="B6709">
        <v>1</v>
      </c>
      <c r="C6709" s="1">
        <f>0.826853790839935*(10.3/7.3)</f>
        <v>1.1666567185823744</v>
      </c>
      <c r="D6709" s="1">
        <f>2.04225401013895*(10.3/7.3)</f>
        <v>2.881536480059065</v>
      </c>
      <c r="E6709" s="1">
        <f>6.79793689704727*(10.3/7.3)</f>
        <v>9.5916095944639554</v>
      </c>
      <c r="F6709" s="1">
        <f>26.8438084794192*(38.9/42.5)</f>
        <v>24.56997999645662</v>
      </c>
      <c r="G6709" s="1">
        <v>1.6716551814448775</v>
      </c>
      <c r="H6709" s="1">
        <v>5.9892503436287861</v>
      </c>
      <c r="I6709" s="1">
        <v>20.172563018688113</v>
      </c>
      <c r="J6709" s="1">
        <v>2.0596511037537967E-2</v>
      </c>
      <c r="K6709" s="1">
        <v>1.7701320027350351</v>
      </c>
      <c r="L6709" s="1">
        <v>1.569708064061796</v>
      </c>
      <c r="M6709" s="1">
        <v>0.16824462540931392</v>
      </c>
      <c r="N6709" s="1">
        <v>0.83299106932929878</v>
      </c>
      <c r="O6709" s="1">
        <v>0.13685333333333333</v>
      </c>
      <c r="P6709" s="1">
        <v>8.140431925297445E-2</v>
      </c>
      <c r="Q6709" s="1">
        <v>2.6715950388388481</v>
      </c>
      <c r="R6709" s="2">
        <f t="shared" si="419"/>
        <v>68.714846372162626</v>
      </c>
      <c r="S6709" s="2">
        <f t="shared" si="418"/>
        <v>1.8721328330255476</v>
      </c>
      <c r="T6709" s="2">
        <f t="shared" si="420"/>
        <v>2.7077970921337422</v>
      </c>
      <c r="U6709" s="2">
        <f t="shared" si="421"/>
        <v>73.294776297321917</v>
      </c>
    </row>
    <row r="6710" spans="1:21" x14ac:dyDescent="0.25">
      <c r="A6710">
        <v>7279165</v>
      </c>
      <c r="B6710">
        <v>8</v>
      </c>
      <c r="C6710" s="1">
        <f>1.58823836594321*(10.3/7.3)</f>
        <v>2.2409390642760312</v>
      </c>
      <c r="D6710" s="1">
        <f>4.73421190031371*(10.3/7.3)</f>
        <v>6.6797784346892017</v>
      </c>
      <c r="E6710" s="1">
        <f>15.8394690048104*(10.3/7.3)</f>
        <v>22.348839828705135</v>
      </c>
      <c r="F6710" s="1">
        <f>54.9971110375094*(38.9/42.5)</f>
        <v>50.338532220214468</v>
      </c>
      <c r="G6710" s="1">
        <v>3.283895789287373</v>
      </c>
      <c r="H6710" s="1">
        <v>13.862947935028604</v>
      </c>
      <c r="I6710" s="1">
        <v>39.513810258543579</v>
      </c>
      <c r="J6710" s="1">
        <v>2.6258005650606576E-2</v>
      </c>
      <c r="K6710" s="1">
        <v>1.9046388921778827</v>
      </c>
      <c r="L6710" s="1">
        <v>1.7671650996742918</v>
      </c>
      <c r="M6710" s="1">
        <v>0.1484079009244435</v>
      </c>
      <c r="N6710" s="1">
        <v>1.0793668005051003</v>
      </c>
      <c r="O6710" s="1">
        <v>0.12719999999999998</v>
      </c>
      <c r="P6710" s="1">
        <v>7.8853701944396143E-2</v>
      </c>
      <c r="Q6710" s="1">
        <v>5.2482352796830218</v>
      </c>
      <c r="R6710" s="2">
        <f t="shared" si="419"/>
        <v>143.51697881042742</v>
      </c>
      <c r="S6710" s="2">
        <f t="shared" si="418"/>
        <v>2.0097505997728855</v>
      </c>
      <c r="T6710" s="2">
        <f t="shared" si="420"/>
        <v>3.1221398011038355</v>
      </c>
      <c r="U6710" s="2">
        <f t="shared" si="421"/>
        <v>148.64886921130412</v>
      </c>
    </row>
    <row r="6711" spans="1:21" x14ac:dyDescent="0.25">
      <c r="A6711">
        <v>7279253</v>
      </c>
      <c r="B6711">
        <v>41</v>
      </c>
      <c r="C6711" s="1">
        <f>1.722553777644*(10.3/7.3)</f>
        <v>2.430452590374407</v>
      </c>
      <c r="D6711" s="1">
        <f>3.92379176785864*(10.3/7.3)</f>
        <v>5.5363089327320596</v>
      </c>
      <c r="E6711" s="1">
        <f>13.4167993207656*(10.3/7.3)</f>
        <v>18.930552466285771</v>
      </c>
      <c r="F6711" s="1">
        <f>35.671839684048*(38.9/42.5)</f>
        <v>32.650225028458031</v>
      </c>
      <c r="G6711" s="1">
        <v>1.8323620675285524</v>
      </c>
      <c r="H6711" s="1">
        <v>8.3391358251543171</v>
      </c>
      <c r="I6711" s="1">
        <v>24.698332868469919</v>
      </c>
      <c r="J6711" s="1">
        <v>2.5619636343887982E-2</v>
      </c>
      <c r="K6711" s="1">
        <v>1.7388150383505239</v>
      </c>
      <c r="L6711" s="1">
        <v>1.5510769049771829</v>
      </c>
      <c r="M6711" s="1">
        <v>0.12798192756396121</v>
      </c>
      <c r="N6711" s="1">
        <v>1.0828621330073718</v>
      </c>
      <c r="O6711" s="1">
        <v>0.10813788617886178</v>
      </c>
      <c r="P6711" s="1">
        <v>7.1944297579244115E-2</v>
      </c>
      <c r="Q6711" s="1">
        <v>2.9284325280136714</v>
      </c>
      <c r="R6711" s="2">
        <f t="shared" si="419"/>
        <v>97.345802307016726</v>
      </c>
      <c r="S6711" s="2">
        <f t="shared" si="418"/>
        <v>1.8363789722736561</v>
      </c>
      <c r="T6711" s="2">
        <f t="shared" si="420"/>
        <v>2.8700588517273777</v>
      </c>
      <c r="U6711" s="2">
        <f t="shared" si="421"/>
        <v>102.05224013101775</v>
      </c>
    </row>
    <row r="6712" spans="1:21" x14ac:dyDescent="0.25">
      <c r="A6712">
        <v>7279261</v>
      </c>
      <c r="B6712">
        <v>30</v>
      </c>
      <c r="C6712" s="1">
        <f>1.67149794904862*(10.3/7.3)</f>
        <v>2.3584149144110618</v>
      </c>
      <c r="D6712" s="1">
        <f>3.80203146650175*(10.3/7.3)</f>
        <v>5.3645101513654856</v>
      </c>
      <c r="E6712" s="1">
        <f>12.9913891488019*(10.3/7.3)</f>
        <v>18.330316196254763</v>
      </c>
      <c r="F6712" s="1">
        <f>35.0286463438068*(38.9/42.5)</f>
        <v>32.061513947625535</v>
      </c>
      <c r="G6712" s="1">
        <v>1.8151442825992814</v>
      </c>
      <c r="H6712" s="1">
        <v>6.2149809230409305</v>
      </c>
      <c r="I6712" s="1">
        <v>24.355757371624144</v>
      </c>
      <c r="J6712" s="1">
        <v>2.4755699360363415E-2</v>
      </c>
      <c r="K6712" s="1">
        <v>1.6998275810619177</v>
      </c>
      <c r="L6712" s="1">
        <v>1.5034246853889031</v>
      </c>
      <c r="M6712" s="1">
        <v>0.12497293592914532</v>
      </c>
      <c r="N6712" s="1">
        <v>1.0848486168308686</v>
      </c>
      <c r="O6712" s="1">
        <v>0.10535288888888887</v>
      </c>
      <c r="P6712" s="1">
        <v>7.050999523285971E-2</v>
      </c>
      <c r="Q6712" s="1">
        <v>2.900915520135841</v>
      </c>
      <c r="R6712" s="2">
        <f t="shared" si="419"/>
        <v>93.401553307057043</v>
      </c>
      <c r="S6712" s="2">
        <f t="shared" si="418"/>
        <v>1.7950932756551408</v>
      </c>
      <c r="T6712" s="2">
        <f t="shared" si="420"/>
        <v>2.8185991270378064</v>
      </c>
      <c r="U6712" s="2">
        <f t="shared" si="421"/>
        <v>98.015245709749976</v>
      </c>
    </row>
    <row r="6713" spans="1:21" x14ac:dyDescent="0.25">
      <c r="A6713">
        <v>7279277</v>
      </c>
      <c r="B6713">
        <v>2</v>
      </c>
      <c r="C6713" s="1">
        <f>1.53063541339011*(10.3/7.3)</f>
        <v>2.1596636654682393</v>
      </c>
      <c r="D6713" s="1">
        <f>3.86099806211793*(10.3/7.3)</f>
        <v>5.4477095944951568</v>
      </c>
      <c r="E6713" s="1">
        <f>13.2317186757018*(10.3/7.3)</f>
        <v>18.669411282154595</v>
      </c>
      <c r="F6713" s="1">
        <f>32.0107028345944*(38.9/42.5)</f>
        <v>29.299208006252272</v>
      </c>
      <c r="G6713" s="1">
        <v>1.5525577968875077</v>
      </c>
      <c r="H6713" s="1">
        <v>7.1195827836910883</v>
      </c>
      <c r="I6713" s="1">
        <v>21.152225666329162</v>
      </c>
      <c r="J6713" s="1">
        <v>2.3880750745624985E-2</v>
      </c>
      <c r="K6713" s="1">
        <v>1.6312284453465868</v>
      </c>
      <c r="L6713" s="1">
        <v>1.4086621020055525</v>
      </c>
      <c r="M6713" s="1">
        <v>0.11607407864176639</v>
      </c>
      <c r="N6713" s="1">
        <v>1.1739341122108535</v>
      </c>
      <c r="O6713" s="1">
        <v>9.8239999999999994E-2</v>
      </c>
      <c r="P6713" s="1">
        <v>6.7355672545754405E-2</v>
      </c>
      <c r="Q6713" s="1">
        <v>2.4812567530165675</v>
      </c>
      <c r="R6713" s="2">
        <f t="shared" si="419"/>
        <v>87.88161554829459</v>
      </c>
      <c r="S6713" s="2">
        <f t="shared" si="418"/>
        <v>1.7224648686379662</v>
      </c>
      <c r="T6713" s="2">
        <f t="shared" si="420"/>
        <v>2.7969102928581724</v>
      </c>
      <c r="U6713" s="2">
        <f t="shared" si="421"/>
        <v>92.400990709790733</v>
      </c>
    </row>
    <row r="6714" spans="1:21" x14ac:dyDescent="0.25">
      <c r="A6714">
        <v>7279301</v>
      </c>
      <c r="B6714">
        <v>12</v>
      </c>
      <c r="C6714" s="1">
        <f>1.73489272829172*(10.3/7.3)</f>
        <v>2.4478623426581851</v>
      </c>
      <c r="D6714" s="1">
        <f>3.67740014782052*(10.3/7.3)</f>
        <v>5.188660482541283</v>
      </c>
      <c r="E6714" s="1">
        <f>12.5855680269809*(10.3/7.3)</f>
        <v>17.7577192709456</v>
      </c>
      <c r="F6714" s="1">
        <f>34.0983984277252*(38.9/42.5)</f>
        <v>31.210063502082587</v>
      </c>
      <c r="G6714" s="1">
        <v>1.7634817684872333</v>
      </c>
      <c r="H6714" s="1">
        <v>9.0633738841845588</v>
      </c>
      <c r="I6714" s="1">
        <v>24.01419013135617</v>
      </c>
      <c r="J6714" s="1">
        <v>2.4872246023561678E-2</v>
      </c>
      <c r="K6714" s="1">
        <v>1.6837342188963902</v>
      </c>
      <c r="L6714" s="1">
        <v>1.4655921477404501</v>
      </c>
      <c r="M6714" s="1">
        <v>0.11671968419722722</v>
      </c>
      <c r="N6714" s="1">
        <v>1.0805280585904005</v>
      </c>
      <c r="O6714" s="1">
        <v>0.10129333333333333</v>
      </c>
      <c r="P6714" s="1">
        <v>6.9138776818161177E-2</v>
      </c>
      <c r="Q6714" s="1">
        <v>2.8183498583129327</v>
      </c>
      <c r="R6714" s="2">
        <f t="shared" si="419"/>
        <v>94.263701240568551</v>
      </c>
      <c r="S6714" s="2">
        <f t="shared" si="418"/>
        <v>1.7777452417381132</v>
      </c>
      <c r="T6714" s="2">
        <f t="shared" si="420"/>
        <v>2.7641332238614114</v>
      </c>
      <c r="U6714" s="2">
        <f t="shared" si="421"/>
        <v>98.805579706168075</v>
      </c>
    </row>
    <row r="6715" spans="1:21" x14ac:dyDescent="0.25">
      <c r="A6715">
        <v>7279309</v>
      </c>
      <c r="B6715">
        <v>47</v>
      </c>
      <c r="C6715" s="1">
        <f>1.88871669625755*(10.3/7.3)</f>
        <v>2.6649016399250325</v>
      </c>
      <c r="D6715" s="1">
        <f>4.06671578391093*(10.3/7.3)</f>
        <v>5.7379688457921301</v>
      </c>
      <c r="E6715" s="1">
        <f>13.9315706125979*(10.3/7.3)</f>
        <v>19.656873604076544</v>
      </c>
      <c r="F6715" s="1">
        <f>36.7484964066413*(38.9/42.5)</f>
        <v>33.635682593372842</v>
      </c>
      <c r="G6715" s="1">
        <v>1.8704247669041483</v>
      </c>
      <c r="H6715" s="1">
        <v>8.4112228218198855</v>
      </c>
      <c r="I6715" s="1">
        <v>25.624538179888635</v>
      </c>
      <c r="J6715" s="1">
        <v>2.5743426914112855E-2</v>
      </c>
      <c r="K6715" s="1">
        <v>1.7265123231227286</v>
      </c>
      <c r="L6715" s="1">
        <v>1.512896768866107</v>
      </c>
      <c r="M6715" s="1">
        <v>0.11907367717819513</v>
      </c>
      <c r="N6715" s="1">
        <v>1.0822286837815949</v>
      </c>
      <c r="O6715" s="1">
        <v>0.10336907801418437</v>
      </c>
      <c r="P6715" s="1">
        <v>7.0500100785442055E-2</v>
      </c>
      <c r="Q6715" s="1">
        <v>2.9892633261025221</v>
      </c>
      <c r="R6715" s="2">
        <f t="shared" si="419"/>
        <v>100.59087577788173</v>
      </c>
      <c r="S6715" s="2">
        <f t="shared" si="418"/>
        <v>1.8227558508222834</v>
      </c>
      <c r="T6715" s="2">
        <f t="shared" si="420"/>
        <v>2.8175682078400812</v>
      </c>
      <c r="U6715" s="2">
        <f t="shared" si="421"/>
        <v>105.23119983654411</v>
      </c>
    </row>
    <row r="6716" spans="1:21" x14ac:dyDescent="0.25">
      <c r="A6716">
        <v>7291129</v>
      </c>
      <c r="B6716">
        <v>57</v>
      </c>
      <c r="C6716" s="1">
        <f>0.640544063757107*(10.3/7.3)</f>
        <v>0.90378135023263073</v>
      </c>
      <c r="D6716" s="1">
        <f>2.3088479323776*(10.3/7.3)</f>
        <v>3.2576895484231883</v>
      </c>
      <c r="E6716" s="1">
        <f>7.68829901375523*(10.3/7.3)</f>
        <v>10.847873950914908</v>
      </c>
      <c r="F6716" s="1">
        <f>27.2431535361527*(38.9/42.5)</f>
        <v>24.935498177796212</v>
      </c>
      <c r="G6716" s="1">
        <v>1.6501208985408737</v>
      </c>
      <c r="H6716" s="1">
        <v>9.1332369799168838</v>
      </c>
      <c r="I6716" s="1">
        <v>19.356063671804222</v>
      </c>
      <c r="J6716" s="1">
        <v>1.6369237904951959E-2</v>
      </c>
      <c r="K6716" s="1">
        <v>1.5611390803295273</v>
      </c>
      <c r="L6716" s="1">
        <v>1.2652567453062538</v>
      </c>
      <c r="M6716" s="1">
        <v>0.15146749923070729</v>
      </c>
      <c r="N6716" s="1">
        <v>0.64784298149081077</v>
      </c>
      <c r="O6716" s="1">
        <v>0.12273871345029241</v>
      </c>
      <c r="P6716" s="1">
        <v>7.3292818716820404E-2</v>
      </c>
      <c r="Q6716" s="1">
        <v>2.6371795182160116</v>
      </c>
      <c r="R6716" s="2">
        <f t="shared" si="419"/>
        <v>72.721444095844944</v>
      </c>
      <c r="S6716" s="2">
        <f t="shared" si="418"/>
        <v>1.6508011369512998</v>
      </c>
      <c r="T6716" s="2">
        <f t="shared" si="420"/>
        <v>2.1873059394780645</v>
      </c>
      <c r="U6716" s="2">
        <f t="shared" si="421"/>
        <v>76.559551172274311</v>
      </c>
    </row>
    <row r="6717" spans="1:21" x14ac:dyDescent="0.25">
      <c r="A6717">
        <v>7291137</v>
      </c>
      <c r="B6717">
        <v>46</v>
      </c>
      <c r="C6717" s="1">
        <f>0.635717016181399*(10.3/7.3)</f>
        <v>0.89697058447512479</v>
      </c>
      <c r="D6717" s="1">
        <f>2.26838338248876*(10.3/7.3)</f>
        <v>3.2005957314567373</v>
      </c>
      <c r="E6717" s="1">
        <f>7.57805133556758*(10.3/7.3)</f>
        <v>10.692319007718648</v>
      </c>
      <c r="F6717" s="1">
        <f>25.6426942347726*(38.9/42.5)</f>
        <v>23.470607193709494</v>
      </c>
      <c r="G6717" s="1">
        <v>1.5240779875368329</v>
      </c>
      <c r="H6717" s="1">
        <v>7.5868608561737192</v>
      </c>
      <c r="I6717" s="1">
        <v>18.017316869974728</v>
      </c>
      <c r="J6717" s="1">
        <v>1.5934152543954375E-2</v>
      </c>
      <c r="K6717" s="1">
        <v>1.5101418392617127</v>
      </c>
      <c r="L6717" s="1">
        <v>1.2330855034795172</v>
      </c>
      <c r="M6717" s="1">
        <v>0.14740436896660628</v>
      </c>
      <c r="N6717" s="1">
        <v>0.62680898044441125</v>
      </c>
      <c r="O6717" s="1">
        <v>0.11869565217391305</v>
      </c>
      <c r="P6717" s="1">
        <v>7.1388160049660754E-2</v>
      </c>
      <c r="Q6717" s="1">
        <v>2.4357410759721092</v>
      </c>
      <c r="R6717" s="2">
        <f t="shared" si="419"/>
        <v>67.824489307017402</v>
      </c>
      <c r="S6717" s="2">
        <f t="shared" si="418"/>
        <v>1.5974641518553279</v>
      </c>
      <c r="T6717" s="2">
        <f t="shared" si="420"/>
        <v>2.1259945050644475</v>
      </c>
      <c r="U6717" s="2">
        <f t="shared" si="421"/>
        <v>71.54794796393719</v>
      </c>
    </row>
    <row r="6718" spans="1:21" x14ac:dyDescent="0.25">
      <c r="A6718">
        <v>7291169</v>
      </c>
      <c r="B6718">
        <v>16</v>
      </c>
      <c r="C6718" s="1">
        <f>0.877212811157529*(10.3/7.3)</f>
        <v>1.237711226701719</v>
      </c>
      <c r="D6718" s="1">
        <f>2.19145143818013*(10.3/7.3)</f>
        <v>3.0920479196240169</v>
      </c>
      <c r="E6718" s="1">
        <f>7.29373060467263*(10.3/7.3)</f>
        <v>10.291154140839465</v>
      </c>
      <c r="F6718" s="1">
        <f>28.7440869892965*(38.9/42.5)</f>
        <v>26.309293738438416</v>
      </c>
      <c r="G6718" s="1">
        <v>1.789478438577365</v>
      </c>
      <c r="H6718" s="1">
        <v>6.4882845579727846</v>
      </c>
      <c r="I6718" s="1">
        <v>21.569287886033006</v>
      </c>
      <c r="J6718" s="1">
        <v>2.0945514546569174E-2</v>
      </c>
      <c r="K6718" s="1">
        <v>1.7322577329574993</v>
      </c>
      <c r="L6718" s="1">
        <v>1.5353548731583802</v>
      </c>
      <c r="M6718" s="1">
        <v>0.16492266242323028</v>
      </c>
      <c r="N6718" s="1">
        <v>0.79832264432972788</v>
      </c>
      <c r="O6718" s="1">
        <v>0.13461333333333331</v>
      </c>
      <c r="P6718" s="1">
        <v>7.9955142206022123E-2</v>
      </c>
      <c r="Q6718" s="1">
        <v>2.859897047954695</v>
      </c>
      <c r="R6718" s="2">
        <f t="shared" si="419"/>
        <v>73.637154956141458</v>
      </c>
      <c r="S6718" s="2">
        <f t="shared" si="418"/>
        <v>1.8331583897100905</v>
      </c>
      <c r="T6718" s="2">
        <f t="shared" si="420"/>
        <v>2.6332135132446717</v>
      </c>
      <c r="U6718" s="2">
        <f t="shared" si="421"/>
        <v>78.10352685909622</v>
      </c>
    </row>
    <row r="6719" spans="1:21" x14ac:dyDescent="0.25">
      <c r="A6719">
        <v>7291401</v>
      </c>
      <c r="B6719">
        <v>11</v>
      </c>
      <c r="C6719" s="1">
        <f>1.6644252521164*(10.3/7.3)</f>
        <v>2.3484356296984843</v>
      </c>
      <c r="D6719" s="1">
        <f>4.89559058449983*(10.3/7.3)</f>
        <v>6.9074771260750998</v>
      </c>
      <c r="E6719" s="1">
        <f>16.4098146088951*(10.3/7.3)</f>
        <v>23.153574037208202</v>
      </c>
      <c r="F6719" s="1">
        <f>55.6194935166789*(38.9/42.5)</f>
        <v>50.908195242324965</v>
      </c>
      <c r="G6719" s="1">
        <v>3.2861514215706564</v>
      </c>
      <c r="H6719" s="1">
        <v>12.881484079197117</v>
      </c>
      <c r="I6719" s="1">
        <v>39.778919946904608</v>
      </c>
      <c r="J6719" s="1">
        <v>2.6351066823918301E-2</v>
      </c>
      <c r="K6719" s="1">
        <v>1.9060388570217748</v>
      </c>
      <c r="L6719" s="1">
        <v>1.7695241675159976</v>
      </c>
      <c r="M6719" s="1">
        <v>0.14883423844973684</v>
      </c>
      <c r="N6719" s="1">
        <v>1.0775682773335984</v>
      </c>
      <c r="O6719" s="1">
        <v>0.12704000000000001</v>
      </c>
      <c r="P6719" s="1">
        <v>7.8713959583662993E-2</v>
      </c>
      <c r="Q6719" s="1">
        <v>5.2518401714599596</v>
      </c>
      <c r="R6719" s="2">
        <f t="shared" si="419"/>
        <v>144.51607765443907</v>
      </c>
      <c r="S6719" s="2">
        <f t="shared" si="418"/>
        <v>2.0111038834293558</v>
      </c>
      <c r="T6719" s="2">
        <f t="shared" si="420"/>
        <v>3.1229666832993326</v>
      </c>
      <c r="U6719" s="2">
        <f t="shared" si="421"/>
        <v>149.65014822116774</v>
      </c>
    </row>
    <row r="6720" spans="1:21" x14ac:dyDescent="0.25">
      <c r="A6720">
        <v>7291489</v>
      </c>
      <c r="B6720">
        <v>71</v>
      </c>
      <c r="C6720" s="1">
        <f>1.65900878953045*(10.3/7.3)</f>
        <v>2.3407932235840567</v>
      </c>
      <c r="D6720" s="1">
        <f>3.75857585264274*(10.3/7.3)</f>
        <v>5.3031960660575619</v>
      </c>
      <c r="E6720" s="1">
        <f>12.8558420012162*(10.3/7.3)</f>
        <v>18.139064741442006</v>
      </c>
      <c r="F6720" s="1">
        <f>34.0676760246064*(38.9/42.5)</f>
        <v>31.18194346722802</v>
      </c>
      <c r="G6720" s="1">
        <v>1.7455980189831608</v>
      </c>
      <c r="H6720" s="1">
        <v>6.8439721426855886</v>
      </c>
      <c r="I6720" s="1">
        <v>23.58594521000629</v>
      </c>
      <c r="J6720" s="1">
        <v>2.5147855056336866E-2</v>
      </c>
      <c r="K6720" s="1">
        <v>1.7074961714457568</v>
      </c>
      <c r="L6720" s="1">
        <v>1.5127017375050797</v>
      </c>
      <c r="M6720" s="1">
        <v>0.12541298002968665</v>
      </c>
      <c r="N6720" s="1">
        <v>1.0712777734694297</v>
      </c>
      <c r="O6720" s="1">
        <v>0.10598460093896714</v>
      </c>
      <c r="P6720" s="1">
        <v>7.072168173225904E-2</v>
      </c>
      <c r="Q6720" s="1">
        <v>2.7897685234890708</v>
      </c>
      <c r="R6720" s="2">
        <f t="shared" si="419"/>
        <v>91.930281393475752</v>
      </c>
      <c r="S6720" s="2">
        <f t="shared" si="418"/>
        <v>1.8033657082343528</v>
      </c>
      <c r="T6720" s="2">
        <f t="shared" si="420"/>
        <v>2.8153770919431631</v>
      </c>
      <c r="U6720" s="2">
        <f t="shared" si="421"/>
        <v>96.549024193653267</v>
      </c>
    </row>
    <row r="6721" spans="1:21" x14ac:dyDescent="0.25">
      <c r="A6721">
        <v>7291513</v>
      </c>
      <c r="B6721">
        <v>8</v>
      </c>
      <c r="C6721" s="1">
        <f>1.59570633732001*(10.3/7.3)</f>
        <v>2.2514760649857704</v>
      </c>
      <c r="D6721" s="1">
        <f>3.7672292662*(10.3/7.3)</f>
        <v>5.3154056769671225</v>
      </c>
      <c r="E6721" s="1">
        <f>12.8856503241132*(10.3/7.3)</f>
        <v>18.181123060050194</v>
      </c>
      <c r="F6721" s="1">
        <f>33.4604609957664*(38.9/42.5)</f>
        <v>30.626163123183858</v>
      </c>
      <c r="G6721" s="1">
        <v>1.6968694925899062</v>
      </c>
      <c r="H6721" s="1">
        <v>7.8006374708311546</v>
      </c>
      <c r="I6721" s="1">
        <v>22.873699096376946</v>
      </c>
      <c r="J6721" s="1">
        <v>2.4813194771273722E-2</v>
      </c>
      <c r="K6721" s="1">
        <v>1.6746444473010207</v>
      </c>
      <c r="L6721" s="1">
        <v>1.4544596430944432</v>
      </c>
      <c r="M6721" s="1">
        <v>0.11952743444539585</v>
      </c>
      <c r="N6721" s="1">
        <v>1.173085842966042</v>
      </c>
      <c r="O6721" s="1">
        <v>0.10124</v>
      </c>
      <c r="P6721" s="1">
        <v>6.88646643834427E-2</v>
      </c>
      <c r="Q6721" s="1">
        <v>2.7118918831345558</v>
      </c>
      <c r="R6721" s="2">
        <f t="shared" si="419"/>
        <v>91.457265868119507</v>
      </c>
      <c r="S6721" s="2">
        <f t="shared" si="418"/>
        <v>1.7683223064557372</v>
      </c>
      <c r="T6721" s="2">
        <f t="shared" si="420"/>
        <v>2.8483129205058813</v>
      </c>
      <c r="U6721" s="2">
        <f t="shared" si="421"/>
        <v>96.073901095081126</v>
      </c>
    </row>
    <row r="6722" spans="1:21" x14ac:dyDescent="0.25">
      <c r="A6722">
        <v>7291537</v>
      </c>
      <c r="B6722">
        <v>19</v>
      </c>
      <c r="C6722" s="1">
        <f>2.04332081960075*(10.3/7.3)</f>
        <v>2.8830417043681762</v>
      </c>
      <c r="D6722" s="1">
        <f>4.37134775281413*(10.3/7.3)</f>
        <v>6.1677920347925452</v>
      </c>
      <c r="E6722" s="1">
        <f>14.9795907366216*(10.3/7.3)</f>
        <v>21.135586929753753</v>
      </c>
      <c r="F6722" s="1">
        <f>39.4188090590991*(38.9/42.5)</f>
        <v>36.079804056446001</v>
      </c>
      <c r="G6722" s="1">
        <v>2.0022365418995194</v>
      </c>
      <c r="H6722" s="1">
        <v>8.0975187956101671</v>
      </c>
      <c r="I6722" s="1">
        <v>27.4984805853903</v>
      </c>
      <c r="J6722" s="1">
        <v>2.7251194487937593E-2</v>
      </c>
      <c r="K6722" s="1">
        <v>1.8038303886545883</v>
      </c>
      <c r="L6722" s="1">
        <v>1.6017435639554194</v>
      </c>
      <c r="M6722" s="1">
        <v>0.12495586714870972</v>
      </c>
      <c r="N6722" s="1">
        <v>1.1413853387376123</v>
      </c>
      <c r="O6722" s="1">
        <v>0.10853614035087721</v>
      </c>
      <c r="P6722" s="1">
        <v>7.3178315617591139E-2</v>
      </c>
      <c r="Q6722" s="1">
        <v>3.1999214139946686</v>
      </c>
      <c r="R6722" s="2">
        <f t="shared" si="419"/>
        <v>107.06438206225513</v>
      </c>
      <c r="S6722" s="2">
        <f t="shared" si="418"/>
        <v>1.9042598987601171</v>
      </c>
      <c r="T6722" s="2">
        <f t="shared" si="420"/>
        <v>2.9766209101926182</v>
      </c>
      <c r="U6722" s="2">
        <f t="shared" si="421"/>
        <v>111.94526287120787</v>
      </c>
    </row>
    <row r="6723" spans="1:21" x14ac:dyDescent="0.25">
      <c r="A6723">
        <v>7291601</v>
      </c>
      <c r="B6723">
        <v>3</v>
      </c>
      <c r="C6723" s="1">
        <f>2.31832384323169*(10.3/7.3)</f>
        <v>3.2710596692173119</v>
      </c>
      <c r="D6723" s="1">
        <f>4.26149884060209*(10.3/7.3)</f>
        <v>6.0127997340002146</v>
      </c>
      <c r="E6723" s="1">
        <f>14.744518817432*(10.3/7.3)</f>
        <v>20.80391011226709</v>
      </c>
      <c r="F6723" s="1">
        <f>34.8605924829468*(38.9/42.5)</f>
        <v>31.907695237332451</v>
      </c>
      <c r="G6723" s="1">
        <v>1.6151465124957349</v>
      </c>
      <c r="H6723" s="1">
        <v>8.1838531990246395</v>
      </c>
      <c r="I6723" s="1">
        <v>24.30548126162142</v>
      </c>
      <c r="J6723" s="1">
        <v>2.7164990453712002E-2</v>
      </c>
      <c r="K6723" s="1">
        <v>1.7794639634029163</v>
      </c>
      <c r="L6723" s="1">
        <v>1.526176351923197</v>
      </c>
      <c r="M6723" s="1">
        <v>0.11123957028808155</v>
      </c>
      <c r="N6723" s="1">
        <v>1.0446946596165507</v>
      </c>
      <c r="O6723" s="1">
        <v>0.10291555555555555</v>
      </c>
      <c r="P6723" s="1">
        <v>7.0042440027664951E-2</v>
      </c>
      <c r="Q6723" s="1">
        <v>2.5812843807009496</v>
      </c>
      <c r="R6723" s="2">
        <f t="shared" si="419"/>
        <v>98.681230106659811</v>
      </c>
      <c r="S6723" s="2">
        <f t="shared" si="418"/>
        <v>1.8766713938842932</v>
      </c>
      <c r="T6723" s="2">
        <f t="shared" si="420"/>
        <v>2.7850261373833849</v>
      </c>
      <c r="U6723" s="2">
        <f t="shared" si="421"/>
        <v>103.34292763792749</v>
      </c>
    </row>
    <row r="6724" spans="1:21" x14ac:dyDescent="0.25">
      <c r="A6724">
        <v>7303357</v>
      </c>
      <c r="B6724">
        <v>30</v>
      </c>
      <c r="C6724" s="1">
        <f>0.640546160029774*(10.3/7.3)</f>
        <v>0.90378430798721576</v>
      </c>
      <c r="D6724" s="1">
        <f>2.65832981828724*(10.3/7.3)</f>
        <v>3.750794127172413</v>
      </c>
      <c r="E6724" s="1">
        <f>8.71041648588903*(10.3/7.3)</f>
        <v>12.290039699268078</v>
      </c>
      <c r="F6724" s="1">
        <f>37.2564074419811*(38.9/42.5)</f>
        <v>34.100570576307391</v>
      </c>
      <c r="G6724" s="1">
        <v>2.4151018279295737</v>
      </c>
      <c r="H6724" s="1">
        <v>13.131674912141341</v>
      </c>
      <c r="I6724" s="1">
        <v>27.38837007317942</v>
      </c>
      <c r="J6724" s="1">
        <v>1.7758939244960796E-2</v>
      </c>
      <c r="K6724" s="1">
        <v>1.6870836754047873</v>
      </c>
      <c r="L6724" s="1">
        <v>1.3642053511598877</v>
      </c>
      <c r="M6724" s="1">
        <v>0.16125498704833144</v>
      </c>
      <c r="N6724" s="1">
        <v>0.70841233456705932</v>
      </c>
      <c r="O6724" s="1">
        <v>0.13122311111111112</v>
      </c>
      <c r="P6724" s="1">
        <v>7.7547645580722288E-2</v>
      </c>
      <c r="Q6724" s="1">
        <v>3.8597517797961252</v>
      </c>
      <c r="R6724" s="2">
        <f t="shared" si="419"/>
        <v>97.840087303781559</v>
      </c>
      <c r="S6724" s="2">
        <f t="shared" si="418"/>
        <v>1.7823902602304704</v>
      </c>
      <c r="T6724" s="2">
        <f t="shared" si="420"/>
        <v>2.3650957838863897</v>
      </c>
      <c r="U6724" s="2">
        <f t="shared" si="421"/>
        <v>101.98757334789842</v>
      </c>
    </row>
    <row r="6725" spans="1:21" x14ac:dyDescent="0.25">
      <c r="A6725">
        <v>7303365</v>
      </c>
      <c r="B6725">
        <v>62</v>
      </c>
      <c r="C6725" s="1">
        <f>0.616420811579697*(10.3/7.3)</f>
        <v>0.86974443277683344</v>
      </c>
      <c r="D6725" s="1">
        <f>2.09879916227982*(10.3/7.3)</f>
        <v>2.9613193659564514</v>
      </c>
      <c r="E6725" s="1">
        <f>7.00904519495513*(10.3/7.3)</f>
        <v>9.8894747271284746</v>
      </c>
      <c r="F6725" s="1">
        <f>24.1295272245831*(38.9/42.5)</f>
        <v>22.085614330265493</v>
      </c>
      <c r="G6725" s="1">
        <v>1.4422516752413772</v>
      </c>
      <c r="H6725" s="1">
        <v>6.817969367891501</v>
      </c>
      <c r="I6725" s="1">
        <v>17.096993626728899</v>
      </c>
      <c r="J6725" s="1">
        <v>1.6118014788104807E-2</v>
      </c>
      <c r="K6725" s="1">
        <v>1.5355618719560369</v>
      </c>
      <c r="L6725" s="1">
        <v>1.248671912383972</v>
      </c>
      <c r="M6725" s="1">
        <v>0.14913966610357079</v>
      </c>
      <c r="N6725" s="1">
        <v>0.63841734189599919</v>
      </c>
      <c r="O6725" s="1">
        <v>0.12082322580645158</v>
      </c>
      <c r="P6725" s="1">
        <v>7.2348219006671141E-2</v>
      </c>
      <c r="Q6725" s="1">
        <v>2.3049684307510616</v>
      </c>
      <c r="R6725" s="2">
        <f t="shared" si="419"/>
        <v>63.468335956740091</v>
      </c>
      <c r="S6725" s="2">
        <f t="shared" si="418"/>
        <v>1.6240281057508128</v>
      </c>
      <c r="T6725" s="2">
        <f t="shared" si="420"/>
        <v>2.1570521461899936</v>
      </c>
      <c r="U6725" s="2">
        <f t="shared" si="421"/>
        <v>67.249416208680898</v>
      </c>
    </row>
    <row r="6726" spans="1:21" x14ac:dyDescent="0.25">
      <c r="A6726">
        <v>7303373</v>
      </c>
      <c r="B6726">
        <v>16</v>
      </c>
      <c r="C6726" s="1">
        <f>0.671171480871458*(10.3/7.3)</f>
        <v>0.94699537712000192</v>
      </c>
      <c r="D6726" s="1">
        <f>2.32232772597741*(10.3/7.3)</f>
        <v>3.2767089832284046</v>
      </c>
      <c r="E6726" s="1">
        <f>7.69986097323473*(10.3/7.3)</f>
        <v>10.86418740059147</v>
      </c>
      <c r="F6726" s="1">
        <f>29.2881109998959*(38.9/42.5)</f>
        <v>26.807235715198868</v>
      </c>
      <c r="G6726" s="1">
        <v>1.8193869033930103</v>
      </c>
      <c r="H6726" s="1">
        <v>10.546480335536737</v>
      </c>
      <c r="I6726" s="1">
        <v>21.230410709002172</v>
      </c>
      <c r="J6726" s="1">
        <v>1.7258170481546414E-2</v>
      </c>
      <c r="K6726" s="1">
        <v>1.5812105893079946</v>
      </c>
      <c r="L6726" s="1">
        <v>1.3095241598673213</v>
      </c>
      <c r="M6726" s="1">
        <v>0.15384129505431882</v>
      </c>
      <c r="N6726" s="1">
        <v>0.66940386993364376</v>
      </c>
      <c r="O6726" s="1">
        <v>0.12401000000000001</v>
      </c>
      <c r="P6726" s="1">
        <v>7.4105508242800266E-2</v>
      </c>
      <c r="Q6726" s="1">
        <v>2.9076959643267317</v>
      </c>
      <c r="R6726" s="2">
        <f t="shared" si="419"/>
        <v>78.399101388397398</v>
      </c>
      <c r="S6726" s="2">
        <f t="shared" si="418"/>
        <v>1.6725742680323412</v>
      </c>
      <c r="T6726" s="2">
        <f t="shared" si="420"/>
        <v>2.2567793248552839</v>
      </c>
      <c r="U6726" s="2">
        <f t="shared" si="421"/>
        <v>82.32845498128502</v>
      </c>
    </row>
    <row r="6727" spans="1:21" x14ac:dyDescent="0.25">
      <c r="A6727">
        <v>7303405</v>
      </c>
      <c r="B6727">
        <v>2</v>
      </c>
      <c r="C6727" s="1">
        <f>0.84497606804765*(10.3/7.3)</f>
        <v>1.1922265069713425</v>
      </c>
      <c r="D6727" s="1">
        <f>2.10969849171674*(10.3/7.3)</f>
        <v>2.9766978718743058</v>
      </c>
      <c r="E6727" s="1">
        <f>7.02445373350422*(10.3/7.3)</f>
        <v>9.9112155417936307</v>
      </c>
      <c r="F6727" s="1">
        <f>27.5400658908629*(38.9/42.5)</f>
        <v>25.207260309519224</v>
      </c>
      <c r="G6727" s="1">
        <v>1.7113543096306669</v>
      </c>
      <c r="H6727" s="1">
        <v>6.2848499119065941</v>
      </c>
      <c r="I6727" s="1">
        <v>20.646830817632647</v>
      </c>
      <c r="J6727" s="1">
        <v>2.1619123143027594E-2</v>
      </c>
      <c r="K6727" s="1">
        <v>1.7269601131784005</v>
      </c>
      <c r="L6727" s="1">
        <v>1.5213185974266086</v>
      </c>
      <c r="M6727" s="1">
        <v>0.16406413050422708</v>
      </c>
      <c r="N6727" s="1">
        <v>0.79495163301359983</v>
      </c>
      <c r="O6727" s="1">
        <v>0.13357333333333332</v>
      </c>
      <c r="P6727" s="1">
        <v>7.9486863898509716E-2</v>
      </c>
      <c r="Q6727" s="1">
        <v>2.735041134112941</v>
      </c>
      <c r="R6727" s="2">
        <f t="shared" si="419"/>
        <v>70.66547640344136</v>
      </c>
      <c r="S6727" s="2">
        <f t="shared" si="418"/>
        <v>1.8280661002199379</v>
      </c>
      <c r="T6727" s="2">
        <f t="shared" si="420"/>
        <v>2.6139076942777688</v>
      </c>
      <c r="U6727" s="2">
        <f t="shared" si="421"/>
        <v>75.107450197939073</v>
      </c>
    </row>
    <row r="6728" spans="1:21" x14ac:dyDescent="0.25">
      <c r="A6728">
        <v>7303629</v>
      </c>
      <c r="B6728">
        <v>1</v>
      </c>
      <c r="C6728" s="1">
        <f>1.84926885880049*(10.3/7.3)</f>
        <v>2.609242362417131</v>
      </c>
      <c r="D6728" s="1">
        <f>5.54023611016064*(10.3/7.3)</f>
        <v>7.8170454705006343</v>
      </c>
      <c r="E6728" s="1">
        <f>18.5310604816614*(10.3/7.3)</f>
        <v>26.146564789193452</v>
      </c>
      <c r="F6728" s="1">
        <f>64.5164521305502*(38.9/42.5)</f>
        <v>59.051529126550648</v>
      </c>
      <c r="G6728" s="1">
        <v>3.857253130484168</v>
      </c>
      <c r="H6728" s="1">
        <v>16.92643436990771</v>
      </c>
      <c r="I6728" s="1">
        <v>46.361231337116017</v>
      </c>
      <c r="J6728" s="1">
        <v>2.9133836997061326E-2</v>
      </c>
      <c r="K6728" s="1">
        <v>2.0533288575876991</v>
      </c>
      <c r="L6728" s="1">
        <v>1.9514949344997021</v>
      </c>
      <c r="M6728" s="1">
        <v>0.15939885416020005</v>
      </c>
      <c r="N6728" s="1">
        <v>1.1741389970991694</v>
      </c>
      <c r="O6728" s="1">
        <v>0.13690666666666665</v>
      </c>
      <c r="P6728" s="1">
        <v>8.3930315606357817E-2</v>
      </c>
      <c r="Q6728" s="1">
        <v>6.1645597975774438</v>
      </c>
      <c r="R6728" s="2">
        <f t="shared" si="419"/>
        <v>168.9338603837472</v>
      </c>
      <c r="S6728" s="2">
        <f t="shared" si="418"/>
        <v>2.1663930101911184</v>
      </c>
      <c r="T6728" s="2">
        <f t="shared" si="420"/>
        <v>3.4219394524257378</v>
      </c>
      <c r="U6728" s="2">
        <f t="shared" si="421"/>
        <v>174.52219284636405</v>
      </c>
    </row>
    <row r="6729" spans="1:21" x14ac:dyDescent="0.25">
      <c r="A6729">
        <v>7303717</v>
      </c>
      <c r="B6729">
        <v>23</v>
      </c>
      <c r="C6729" s="1">
        <f>1.49497963816729*(10.3/7.3)</f>
        <v>2.109354831934664</v>
      </c>
      <c r="D6729" s="1">
        <f>3.42180407761214*(10.3/7.3)</f>
        <v>4.8280249314253512</v>
      </c>
      <c r="E6729" s="1">
        <f>11.7010974441847*(10.3/7.3)</f>
        <v>16.509767626726426</v>
      </c>
      <c r="F6729" s="1">
        <f>30.9985292308769*(38.9/42.5)</f>
        <v>28.372771460732054</v>
      </c>
      <c r="G6729" s="1">
        <v>1.5891780267651163</v>
      </c>
      <c r="H6729" s="1">
        <v>9.8907557126867847</v>
      </c>
      <c r="I6729" s="1">
        <v>21.423749932682252</v>
      </c>
      <c r="J6729" s="1">
        <v>2.4823110953967217E-2</v>
      </c>
      <c r="K6729" s="1">
        <v>1.658246579642231</v>
      </c>
      <c r="L6729" s="1">
        <v>1.4569200146526786</v>
      </c>
      <c r="M6729" s="1">
        <v>0.12208444463594627</v>
      </c>
      <c r="N6729" s="1">
        <v>1.0378644659778262</v>
      </c>
      <c r="O6729" s="1">
        <v>0.1022423188405797</v>
      </c>
      <c r="P6729" s="1">
        <v>6.8797443374613299E-2</v>
      </c>
      <c r="Q6729" s="1">
        <v>2.5397822345561254</v>
      </c>
      <c r="R6729" s="2">
        <f t="shared" si="419"/>
        <v>87.263384757508774</v>
      </c>
      <c r="S6729" s="2">
        <f t="shared" ref="S6729:S6792" si="422">J6729+K6729+P6729</f>
        <v>1.7518671339708114</v>
      </c>
      <c r="T6729" s="2">
        <f t="shared" si="420"/>
        <v>2.7191112441070309</v>
      </c>
      <c r="U6729" s="2">
        <f t="shared" si="421"/>
        <v>91.734363135586605</v>
      </c>
    </row>
    <row r="6730" spans="1:21" x14ac:dyDescent="0.25">
      <c r="A6730">
        <v>7303725</v>
      </c>
      <c r="B6730">
        <v>58</v>
      </c>
      <c r="C6730" s="1">
        <f>1.84978389130924*(10.3/7.3)</f>
        <v>2.6099690521212509</v>
      </c>
      <c r="D6730" s="1">
        <f>4.18586842788779*(10.3/7.3)</f>
        <v>5.9060883297594806</v>
      </c>
      <c r="E6730" s="1">
        <f>14.3224124323183*(10.3/7.3)</f>
        <v>20.208335349709341</v>
      </c>
      <c r="F6730" s="1">
        <f>37.7173326548499*(38.9/42.5)</f>
        <v>34.522452712321474</v>
      </c>
      <c r="G6730" s="1">
        <v>1.9246492527723988</v>
      </c>
      <c r="H6730" s="1">
        <v>6.6771100756890407</v>
      </c>
      <c r="I6730" s="1">
        <v>26.070522686877393</v>
      </c>
      <c r="J6730" s="1">
        <v>2.6652294385943274E-2</v>
      </c>
      <c r="K6730" s="1">
        <v>1.7798761644209533</v>
      </c>
      <c r="L6730" s="1">
        <v>1.5883438242135184</v>
      </c>
      <c r="M6730" s="1">
        <v>0.12986569009348506</v>
      </c>
      <c r="N6730" s="1">
        <v>1.1396360838570059</v>
      </c>
      <c r="O6730" s="1">
        <v>0.11050114942528735</v>
      </c>
      <c r="P6730" s="1">
        <v>7.3216876132779579E-2</v>
      </c>
      <c r="Q6730" s="1">
        <v>3.0759234633348869</v>
      </c>
      <c r="R6730" s="2">
        <f t="shared" ref="R6730:R6793" si="423">C6730+D6730+E6730+F6730+G6730+H6730+I6730+Q6730</f>
        <v>100.99505092258528</v>
      </c>
      <c r="S6730" s="2">
        <f t="shared" si="422"/>
        <v>1.8797453349396762</v>
      </c>
      <c r="T6730" s="2">
        <f t="shared" ref="T6730:T6793" si="424">L6730+M6730+N6730+O6730</f>
        <v>2.9683467475892966</v>
      </c>
      <c r="U6730" s="2">
        <f t="shared" ref="U6730:U6793" si="425">R6730+S6730+T6730</f>
        <v>105.84314300511424</v>
      </c>
    </row>
    <row r="6731" spans="1:21" x14ac:dyDescent="0.25">
      <c r="A6731">
        <v>7303757</v>
      </c>
      <c r="B6731">
        <v>4</v>
      </c>
      <c r="C6731" s="1">
        <f>1.49817463113893*(10.3/7.3)</f>
        <v>2.1138628357165707</v>
      </c>
      <c r="D6731" s="1">
        <f>3.25208661849531*(10.3/7.3)</f>
        <v>4.588560571301608</v>
      </c>
      <c r="E6731" s="1">
        <f>11.0898681997923*(10.3/7.3)</f>
        <v>15.647348281898692</v>
      </c>
      <c r="F6731" s="1">
        <f>31.7356371909486*(38.9/42.5)</f>
        <v>29.047442040656502</v>
      </c>
      <c r="G6731" s="1">
        <v>1.6987471540581529</v>
      </c>
      <c r="H6731" s="1">
        <v>8.4539796984451758</v>
      </c>
      <c r="I6731" s="1">
        <v>22.5843502535662</v>
      </c>
      <c r="J6731" s="1">
        <v>2.459785218059489E-2</v>
      </c>
      <c r="K6731" s="1">
        <v>1.6263686435677445</v>
      </c>
      <c r="L6731" s="1">
        <v>1.3993333238164856</v>
      </c>
      <c r="M6731" s="1">
        <v>0.11517191644223182</v>
      </c>
      <c r="N6731" s="1">
        <v>1.1059347189623667</v>
      </c>
      <c r="O6731" s="1">
        <v>9.6453333333333335E-2</v>
      </c>
      <c r="P6731" s="1">
        <v>6.6771100496912081E-2</v>
      </c>
      <c r="Q6731" s="1">
        <v>2.7148927119650867</v>
      </c>
      <c r="R6731" s="2">
        <f t="shared" si="423"/>
        <v>86.849183547607993</v>
      </c>
      <c r="S6731" s="2">
        <f t="shared" si="422"/>
        <v>1.7177375962452515</v>
      </c>
      <c r="T6731" s="2">
        <f t="shared" si="424"/>
        <v>2.7168932925544174</v>
      </c>
      <c r="U6731" s="2">
        <f t="shared" si="425"/>
        <v>91.283814436407667</v>
      </c>
    </row>
    <row r="6732" spans="1:21" x14ac:dyDescent="0.25">
      <c r="A6732">
        <v>7303773</v>
      </c>
      <c r="B6732">
        <v>3</v>
      </c>
      <c r="C6732" s="1">
        <f>2.75378955195921*(10.3/7.3)</f>
        <v>3.8854838883807981</v>
      </c>
      <c r="D6732" s="1">
        <f>5.96197083186898*(10.3/7.3)</f>
        <v>8.4120958312671874</v>
      </c>
      <c r="E6732" s="1">
        <f>20.4320023964974*(10.3/7.3)</f>
        <v>28.828715710126424</v>
      </c>
      <c r="F6732" s="1">
        <f>53.3465718184861*(38.9/42.5)</f>
        <v>48.82780338209669</v>
      </c>
      <c r="G6732" s="1">
        <v>2.6981101174198021</v>
      </c>
      <c r="H6732" s="1">
        <v>9.9742460387072764</v>
      </c>
      <c r="I6732" s="1">
        <v>37.056528826287426</v>
      </c>
      <c r="J6732" s="1">
        <v>3.3040413256207039E-2</v>
      </c>
      <c r="K6732" s="1">
        <v>2.0997771803237133</v>
      </c>
      <c r="L6732" s="1">
        <v>1.923149354530711</v>
      </c>
      <c r="M6732" s="1">
        <v>0.14723057672988726</v>
      </c>
      <c r="N6732" s="1">
        <v>1.337015803676131</v>
      </c>
      <c r="O6732" s="1">
        <v>0.12684444444444445</v>
      </c>
      <c r="P6732" s="1">
        <v>8.3555240094777106E-2</v>
      </c>
      <c r="Q6732" s="1">
        <v>4.3120481328627021</v>
      </c>
      <c r="R6732" s="2">
        <f t="shared" si="423"/>
        <v>143.99503192714832</v>
      </c>
      <c r="S6732" s="2">
        <f t="shared" si="422"/>
        <v>2.2163728336746975</v>
      </c>
      <c r="T6732" s="2">
        <f t="shared" si="424"/>
        <v>3.534240179381174</v>
      </c>
      <c r="U6732" s="2">
        <f t="shared" si="425"/>
        <v>149.74564494020422</v>
      </c>
    </row>
    <row r="6733" spans="1:21" x14ac:dyDescent="0.25">
      <c r="A6733">
        <v>7303829</v>
      </c>
      <c r="B6733">
        <v>42</v>
      </c>
      <c r="C6733" s="1">
        <f>2.28571133076841*(10.3/7.3)</f>
        <v>3.2250447543718597</v>
      </c>
      <c r="D6733" s="1">
        <f>4.16081241455259*(10.3/7.3)</f>
        <v>5.870735324642693</v>
      </c>
      <c r="E6733" s="1">
        <f>14.4146332695975*(10.3/7.3)</f>
        <v>20.338455161212899</v>
      </c>
      <c r="F6733" s="1">
        <f>33.3640467066418*(38.9/42.5)</f>
        <v>30.537915691490991</v>
      </c>
      <c r="G6733" s="1">
        <v>1.5170993735143572</v>
      </c>
      <c r="H6733" s="1">
        <v>6.1695212924648732</v>
      </c>
      <c r="I6733" s="1">
        <v>23.172641827515548</v>
      </c>
      <c r="J6733" s="1">
        <v>2.7337951521149092E-2</v>
      </c>
      <c r="K6733" s="1">
        <v>1.7486329329756518</v>
      </c>
      <c r="L6733" s="1">
        <v>1.497005417870314</v>
      </c>
      <c r="M6733" s="1">
        <v>0.10971624374800872</v>
      </c>
      <c r="N6733" s="1">
        <v>1.0118120583826249</v>
      </c>
      <c r="O6733" s="1">
        <v>0.10060825396825394</v>
      </c>
      <c r="P6733" s="1">
        <v>6.9013642722241905E-2</v>
      </c>
      <c r="Q6733" s="1">
        <v>2.4245880398631305</v>
      </c>
      <c r="R6733" s="2">
        <f t="shared" si="423"/>
        <v>93.256001465076352</v>
      </c>
      <c r="S6733" s="2">
        <f t="shared" si="422"/>
        <v>1.8449845272190428</v>
      </c>
      <c r="T6733" s="2">
        <f t="shared" si="424"/>
        <v>2.7191419739692018</v>
      </c>
      <c r="U6733" s="2">
        <f t="shared" si="425"/>
        <v>97.820127966264593</v>
      </c>
    </row>
    <row r="6734" spans="1:21" x14ac:dyDescent="0.25">
      <c r="A6734">
        <v>7303837</v>
      </c>
      <c r="B6734">
        <v>11</v>
      </c>
      <c r="C6734" s="1">
        <f>2.30248872655069*(10.3/7.3)</f>
        <v>3.24871697033864</v>
      </c>
      <c r="D6734" s="1">
        <f>4.38685681280592*(10.3/7.3)</f>
        <v>6.1896746810823329</v>
      </c>
      <c r="E6734" s="1">
        <f>15.1230724995787*(10.3/7.3)</f>
        <v>21.338033800775452</v>
      </c>
      <c r="F6734" s="1">
        <f>37.714990087288*(38.9/42.5)</f>
        <v>34.520308574011835</v>
      </c>
      <c r="G6734" s="1">
        <v>1.8276230093787298</v>
      </c>
      <c r="H6734" s="1">
        <v>7.3597574329168083</v>
      </c>
      <c r="I6734" s="1">
        <v>26.486305216603284</v>
      </c>
      <c r="J6734" s="1">
        <v>2.7313888331010758E-2</v>
      </c>
      <c r="K6734" s="1">
        <v>1.8039731829699788</v>
      </c>
      <c r="L6734" s="1">
        <v>1.5403808670472805</v>
      </c>
      <c r="M6734" s="1">
        <v>0.11298067888548141</v>
      </c>
      <c r="N6734" s="1">
        <v>1.0451487517929825</v>
      </c>
      <c r="O6734" s="1">
        <v>0.10290909090909092</v>
      </c>
      <c r="P6734" s="1">
        <v>7.0259070177894983E-2</v>
      </c>
      <c r="Q6734" s="1">
        <v>2.9208586907879268</v>
      </c>
      <c r="R6734" s="2">
        <f t="shared" si="423"/>
        <v>103.89127837589501</v>
      </c>
      <c r="S6734" s="2">
        <f t="shared" si="422"/>
        <v>1.9015461414788843</v>
      </c>
      <c r="T6734" s="2">
        <f t="shared" si="424"/>
        <v>2.8014193886348351</v>
      </c>
      <c r="U6734" s="2">
        <f t="shared" si="425"/>
        <v>108.59424390600874</v>
      </c>
    </row>
    <row r="6735" spans="1:21" x14ac:dyDescent="0.25">
      <c r="A6735">
        <v>7315593</v>
      </c>
      <c r="B6735">
        <v>11</v>
      </c>
      <c r="C6735" s="1">
        <f>0.616700550253362*(10.3/7.3)</f>
        <v>0.87013913254926445</v>
      </c>
      <c r="D6735" s="1">
        <f>2.1386895419644*(10.3/7.3)</f>
        <v>3.0176030523607236</v>
      </c>
      <c r="E6735" s="1">
        <f>7.10041731411614*(10.3/7.3)</f>
        <v>10.018397032246062</v>
      </c>
      <c r="F6735" s="1">
        <f>26.5013181639803*(38.9/42.5)</f>
        <v>24.256500625384295</v>
      </c>
      <c r="G6735" s="1">
        <v>1.635174901490368</v>
      </c>
      <c r="H6735" s="1">
        <v>9.2481745096006627</v>
      </c>
      <c r="I6735" s="1">
        <v>19.123573954938575</v>
      </c>
      <c r="J6735" s="1">
        <v>1.7072337444270055E-2</v>
      </c>
      <c r="K6735" s="1">
        <v>1.621023943591837</v>
      </c>
      <c r="L6735" s="1">
        <v>1.3191209170207132</v>
      </c>
      <c r="M6735" s="1">
        <v>0.15631625835107429</v>
      </c>
      <c r="N6735" s="1">
        <v>0.68285129197967587</v>
      </c>
      <c r="O6735" s="1">
        <v>0.12693818181818181</v>
      </c>
      <c r="P6735" s="1">
        <v>7.5440397909890197E-2</v>
      </c>
      <c r="Q6735" s="1">
        <v>2.6132932215599514</v>
      </c>
      <c r="R6735" s="2">
        <f t="shared" si="423"/>
        <v>70.782856430129911</v>
      </c>
      <c r="S6735" s="2">
        <f t="shared" si="422"/>
        <v>1.7135366789459971</v>
      </c>
      <c r="T6735" s="2">
        <f t="shared" si="424"/>
        <v>2.2852266491696449</v>
      </c>
      <c r="U6735" s="2">
        <f t="shared" si="425"/>
        <v>74.781619758245554</v>
      </c>
    </row>
    <row r="6736" spans="1:21" x14ac:dyDescent="0.25">
      <c r="A6736">
        <v>7315601</v>
      </c>
      <c r="B6736">
        <v>14</v>
      </c>
      <c r="C6736" s="1">
        <f>0.632601186798679*(10.3/7.3)</f>
        <v>0.89257427726388916</v>
      </c>
      <c r="D6736" s="1">
        <f>2.16043015222129*(10.3/7.3)</f>
        <v>3.0482781599834587</v>
      </c>
      <c r="E6736" s="1">
        <f>7.18208700480377*(10.3/7.3)</f>
        <v>10.133629609517644</v>
      </c>
      <c r="F6736" s="1">
        <f>26.4075803936344*(38.9/42.5)</f>
        <v>24.170702995585359</v>
      </c>
      <c r="G6736" s="1">
        <v>1.6196937742827817</v>
      </c>
      <c r="H6736" s="1">
        <v>8.6676415617174065</v>
      </c>
      <c r="I6736" s="1">
        <v>19.01140900480274</v>
      </c>
      <c r="J6736" s="1">
        <v>1.6761867184943196E-2</v>
      </c>
      <c r="K6736" s="1">
        <v>1.5740099375983587</v>
      </c>
      <c r="L6736" s="1">
        <v>1.2914732957733961</v>
      </c>
      <c r="M6736" s="1">
        <v>0.15304286998939401</v>
      </c>
      <c r="N6736" s="1">
        <v>0.66626561806144124</v>
      </c>
      <c r="O6736" s="1">
        <v>0.12331047619047618</v>
      </c>
      <c r="P6736" s="1">
        <v>7.3924403892997967E-2</v>
      </c>
      <c r="Q6736" s="1">
        <v>2.5885516940592423</v>
      </c>
      <c r="R6736" s="2">
        <f t="shared" si="423"/>
        <v>70.132481077212532</v>
      </c>
      <c r="S6736" s="2">
        <f t="shared" si="422"/>
        <v>1.6646962086763</v>
      </c>
      <c r="T6736" s="2">
        <f t="shared" si="424"/>
        <v>2.2340922600147075</v>
      </c>
      <c r="U6736" s="2">
        <f t="shared" si="425"/>
        <v>74.031269545903541</v>
      </c>
    </row>
    <row r="6737" spans="1:21" x14ac:dyDescent="0.25">
      <c r="A6737">
        <v>7315953</v>
      </c>
      <c r="B6737">
        <v>41</v>
      </c>
      <c r="C6737" s="1">
        <f>1.54115614574924*(10.3/7.3)</f>
        <v>2.1745079864681065</v>
      </c>
      <c r="D6737" s="1">
        <f>3.48970848805351*(10.3/7.3)</f>
        <v>4.9238352639659153</v>
      </c>
      <c r="E6737" s="1">
        <f>11.9418679269651*(10.3/7.3)</f>
        <v>16.849484883252089</v>
      </c>
      <c r="F6737" s="1">
        <f>31.3645756202329*(38.9/42.5)</f>
        <v>28.707811567695522</v>
      </c>
      <c r="G6737" s="1">
        <v>1.5977786891123229</v>
      </c>
      <c r="H6737" s="1">
        <v>7.476096509123705</v>
      </c>
      <c r="I6737" s="1">
        <v>21.660383758941787</v>
      </c>
      <c r="J6737" s="1">
        <v>2.4823983893022265E-2</v>
      </c>
      <c r="K6737" s="1">
        <v>1.6601524414738063</v>
      </c>
      <c r="L6737" s="1">
        <v>1.4546879377817115</v>
      </c>
      <c r="M6737" s="1">
        <v>0.12177195863750512</v>
      </c>
      <c r="N6737" s="1">
        <v>1.0461688677889256</v>
      </c>
      <c r="O6737" s="1">
        <v>0.10228162601626016</v>
      </c>
      <c r="P6737" s="1">
        <v>6.8786059524764923E-2</v>
      </c>
      <c r="Q6737" s="1">
        <v>2.553527585339332</v>
      </c>
      <c r="R6737" s="2">
        <f t="shared" si="423"/>
        <v>85.943426243898784</v>
      </c>
      <c r="S6737" s="2">
        <f t="shared" si="422"/>
        <v>1.7537624848915934</v>
      </c>
      <c r="T6737" s="2">
        <f t="shared" si="424"/>
        <v>2.7249103902244021</v>
      </c>
      <c r="U6737" s="2">
        <f t="shared" si="425"/>
        <v>90.422099119014788</v>
      </c>
    </row>
    <row r="6738" spans="1:21" x14ac:dyDescent="0.25">
      <c r="A6738">
        <v>7315961</v>
      </c>
      <c r="B6738">
        <v>30</v>
      </c>
      <c r="C6738" s="1">
        <f>2.04468409559197*(10.3/7.3)</f>
        <v>2.8849652307667455</v>
      </c>
      <c r="D6738" s="1">
        <f>4.64272247185847*(10.3/7.3)</f>
        <v>6.5506906109783953</v>
      </c>
      <c r="E6738" s="1">
        <f>15.8885086298145*(10.3/7.3)</f>
        <v>22.418032724258833</v>
      </c>
      <c r="F6738" s="1">
        <f>41.6220329153226*(38.9/42.5)</f>
        <v>38.096401891907078</v>
      </c>
      <c r="G6738" s="1">
        <v>2.1171437766540646</v>
      </c>
      <c r="H6738" s="1">
        <v>7.4738543874907046</v>
      </c>
      <c r="I6738" s="1">
        <v>28.709326580592212</v>
      </c>
      <c r="J6738" s="1">
        <v>2.9153355734344532E-2</v>
      </c>
      <c r="K6738" s="1">
        <v>1.8825417157834672</v>
      </c>
      <c r="L6738" s="1">
        <v>1.7038363263089293</v>
      </c>
      <c r="M6738" s="1">
        <v>0.13651589465195058</v>
      </c>
      <c r="N6738" s="1">
        <v>1.2484480439583601</v>
      </c>
      <c r="O6738" s="1">
        <v>0.11736533333333335</v>
      </c>
      <c r="P6738" s="1">
        <v>7.6756342901899088E-2</v>
      </c>
      <c r="Q6738" s="1">
        <v>3.3835631133740791</v>
      </c>
      <c r="R6738" s="2">
        <f t="shared" si="423"/>
        <v>111.63397831602209</v>
      </c>
      <c r="S6738" s="2">
        <f t="shared" si="422"/>
        <v>1.988451414419711</v>
      </c>
      <c r="T6738" s="2">
        <f t="shared" si="424"/>
        <v>3.2061655982525736</v>
      </c>
      <c r="U6738" s="2">
        <f t="shared" si="425"/>
        <v>116.82859532869438</v>
      </c>
    </row>
    <row r="6739" spans="1:21" x14ac:dyDescent="0.25">
      <c r="A6739">
        <v>7316057</v>
      </c>
      <c r="B6739">
        <v>3</v>
      </c>
      <c r="C6739" s="1">
        <f>3.63441273671214*(10.3/7.3)</f>
        <v>5.1280070120732972</v>
      </c>
      <c r="D6739" s="1">
        <f>6.68429274373667*(10.3/7.3)</f>
        <v>9.4312623644503635</v>
      </c>
      <c r="E6739" s="1">
        <f>23.1561839219*(10.3/7.3)</f>
        <v>32.672423889804129</v>
      </c>
      <c r="F6739" s="1">
        <f>53.2570197311567*(38.9/42.5)</f>
        <v>48.745836883341106</v>
      </c>
      <c r="G6739" s="1">
        <v>2.4112749750323843</v>
      </c>
      <c r="H6739" s="1">
        <v>7.6732721265447879</v>
      </c>
      <c r="I6739" s="1">
        <v>36.83533110746513</v>
      </c>
      <c r="J6739" s="1">
        <v>3.8406651607835872E-2</v>
      </c>
      <c r="K6739" s="1">
        <v>2.2842552506697253</v>
      </c>
      <c r="L6739" s="1">
        <v>2.0288794829511199</v>
      </c>
      <c r="M6739" s="1">
        <v>0.14279899590238013</v>
      </c>
      <c r="N6739" s="1">
        <v>1.3368553471259481</v>
      </c>
      <c r="O6739" s="1">
        <v>0.13136</v>
      </c>
      <c r="P6739" s="1">
        <v>8.6598987719925427E-2</v>
      </c>
      <c r="Q6739" s="1">
        <v>3.8536358048462795</v>
      </c>
      <c r="R6739" s="2">
        <f t="shared" si="423"/>
        <v>146.75104416355748</v>
      </c>
      <c r="S6739" s="2">
        <f t="shared" si="422"/>
        <v>2.4092608899974866</v>
      </c>
      <c r="T6739" s="2">
        <f t="shared" si="424"/>
        <v>3.6398938259794482</v>
      </c>
      <c r="U6739" s="2">
        <f t="shared" si="425"/>
        <v>152.80019887953441</v>
      </c>
    </row>
    <row r="6740" spans="1:21" x14ac:dyDescent="0.25">
      <c r="A6740">
        <v>7316065</v>
      </c>
      <c r="B6740">
        <v>55</v>
      </c>
      <c r="C6740" s="1">
        <f>1.78123337653616*(10.3/7.3)</f>
        <v>2.5132470929208846</v>
      </c>
      <c r="D6740" s="1">
        <f>3.26090880288566*(10.3/7.3)</f>
        <v>4.6010083109208564</v>
      </c>
      <c r="E6740" s="1">
        <f>11.285610062931*(10.3/7.3)</f>
        <v>15.923532006601237</v>
      </c>
      <c r="F6740" s="1">
        <f>26.5995182776371*(38.9/42.5)</f>
        <v>24.346382611766657</v>
      </c>
      <c r="G6740" s="1">
        <v>1.2287221566496165</v>
      </c>
      <c r="H6740" s="1">
        <v>5.0029005445199815</v>
      </c>
      <c r="I6740" s="1">
        <v>18.546061217397185</v>
      </c>
      <c r="J6740" s="1">
        <v>2.3979501669429335E-2</v>
      </c>
      <c r="K6740" s="1">
        <v>1.5974606322201508</v>
      </c>
      <c r="L6740" s="1">
        <v>1.3291849147451138</v>
      </c>
      <c r="M6740" s="1">
        <v>9.9836017551454798E-2</v>
      </c>
      <c r="N6740" s="1">
        <v>0.92056753210639164</v>
      </c>
      <c r="O6740" s="1">
        <v>8.9948121212121229E-2</v>
      </c>
      <c r="P6740" s="1">
        <v>6.3619505015565556E-2</v>
      </c>
      <c r="Q6740" s="1">
        <v>1.9637112092573792</v>
      </c>
      <c r="R6740" s="2">
        <f t="shared" si="423"/>
        <v>74.125565150033793</v>
      </c>
      <c r="S6740" s="2">
        <f t="shared" si="422"/>
        <v>1.6850596389051455</v>
      </c>
      <c r="T6740" s="2">
        <f t="shared" si="424"/>
        <v>2.4395365856150817</v>
      </c>
      <c r="U6740" s="2">
        <f t="shared" si="425"/>
        <v>78.250161374554025</v>
      </c>
    </row>
    <row r="6741" spans="1:21" x14ac:dyDescent="0.25">
      <c r="A6741">
        <v>7327821</v>
      </c>
      <c r="B6741">
        <v>17</v>
      </c>
      <c r="C6741" s="1">
        <f>0.631362800508743*(10.3/7.3)</f>
        <v>0.89082696510137771</v>
      </c>
      <c r="D6741" s="1">
        <f>2.7995177406357*(10.3/7.3)</f>
        <v>3.950004483362703</v>
      </c>
      <c r="E6741" s="1">
        <f>9.11530703627796*(10.3/7.3)</f>
        <v>12.861323626529177</v>
      </c>
      <c r="F6741" s="1">
        <f>41.5988238196125*(38.9/42.5)</f>
        <v>38.075158743127659</v>
      </c>
      <c r="G6741" s="1">
        <v>2.750537370964576</v>
      </c>
      <c r="H6741" s="1">
        <v>13.235589225615474</v>
      </c>
      <c r="I6741" s="1">
        <v>30.881342497617364</v>
      </c>
      <c r="J6741" s="1">
        <v>1.7742582110477093E-2</v>
      </c>
      <c r="K6741" s="1">
        <v>1.6847116879211383</v>
      </c>
      <c r="L6741" s="1">
        <v>1.3564326812501366</v>
      </c>
      <c r="M6741" s="1">
        <v>0.16020197564021313</v>
      </c>
      <c r="N6741" s="1">
        <v>0.70339887261958389</v>
      </c>
      <c r="O6741" s="1">
        <v>0.13066666666666668</v>
      </c>
      <c r="P6741" s="1">
        <v>7.7176714156082196E-2</v>
      </c>
      <c r="Q6741" s="1">
        <v>4.3958359809936178</v>
      </c>
      <c r="R6741" s="2">
        <f t="shared" si="423"/>
        <v>107.04061889331196</v>
      </c>
      <c r="S6741" s="2">
        <f t="shared" si="422"/>
        <v>1.7796309841876976</v>
      </c>
      <c r="T6741" s="2">
        <f t="shared" si="424"/>
        <v>2.3507001961766001</v>
      </c>
      <c r="U6741" s="2">
        <f t="shared" si="425"/>
        <v>111.17095007367627</v>
      </c>
    </row>
    <row r="6742" spans="1:21" x14ac:dyDescent="0.25">
      <c r="A6742">
        <v>7327829</v>
      </c>
      <c r="B6742">
        <v>24</v>
      </c>
      <c r="C6742" s="1">
        <f>0.627176831716097*(10.3/7.3)</f>
        <v>0.88492073516106895</v>
      </c>
      <c r="D6742" s="1">
        <f>2.07895575380082*(10.3/7.3)</f>
        <v>2.9333211320751342</v>
      </c>
      <c r="E6742" s="1">
        <f>6.90978722957451*(10.3/7.3)</f>
        <v>9.749425817070879</v>
      </c>
      <c r="F6742" s="1">
        <f>25.6673738391463*(38.9/42.5)</f>
        <v>23.493196290418599</v>
      </c>
      <c r="G6742" s="1">
        <v>1.5788897636683974</v>
      </c>
      <c r="H6742" s="1">
        <v>10.532974010565711</v>
      </c>
      <c r="I6742" s="1">
        <v>18.565777873408006</v>
      </c>
      <c r="J6742" s="1">
        <v>1.6892194157486329E-2</v>
      </c>
      <c r="K6742" s="1">
        <v>1.5960407782042572</v>
      </c>
      <c r="L6742" s="1">
        <v>1.3044487726883551</v>
      </c>
      <c r="M6742" s="1">
        <v>0.15383644292620111</v>
      </c>
      <c r="N6742" s="1">
        <v>0.67423768661135419</v>
      </c>
      <c r="O6742" s="1">
        <v>0.12496</v>
      </c>
      <c r="P6742" s="1">
        <v>7.4389138411892028E-2</v>
      </c>
      <c r="Q6742" s="1">
        <v>2.5233398049494968</v>
      </c>
      <c r="R6742" s="2">
        <f t="shared" si="423"/>
        <v>70.261845427317297</v>
      </c>
      <c r="S6742" s="2">
        <f t="shared" si="422"/>
        <v>1.6873221107736354</v>
      </c>
      <c r="T6742" s="2">
        <f t="shared" si="424"/>
        <v>2.2574829022259109</v>
      </c>
      <c r="U6742" s="2">
        <f t="shared" si="425"/>
        <v>74.206650440316849</v>
      </c>
    </row>
    <row r="6743" spans="1:21" x14ac:dyDescent="0.25">
      <c r="A6743">
        <v>7327837</v>
      </c>
      <c r="B6743">
        <v>26</v>
      </c>
      <c r="C6743" s="1">
        <f>0.632640578296051*(10.3/7.3)</f>
        <v>0.89262985704785258</v>
      </c>
      <c r="D6743" s="1">
        <f>2.14722882961827*(10.3/7.3)</f>
        <v>3.0296516363107098</v>
      </c>
      <c r="E6743" s="1">
        <f>7.08596784704586*(10.3/7.3)</f>
        <v>9.9980094280236074</v>
      </c>
      <c r="F6743" s="1">
        <f>28.8173605792287*(38.9/42.5)</f>
        <v>26.376360624282228</v>
      </c>
      <c r="G6743" s="1">
        <v>1.8304516941880362</v>
      </c>
      <c r="H6743" s="1">
        <v>12.54889932971672</v>
      </c>
      <c r="I6743" s="1">
        <v>21.224491989934453</v>
      </c>
      <c r="J6743" s="1">
        <v>1.7205538434942456E-2</v>
      </c>
      <c r="K6743" s="1">
        <v>1.5927748219518223</v>
      </c>
      <c r="L6743" s="1">
        <v>1.3138949393683104</v>
      </c>
      <c r="M6743" s="1">
        <v>0.15287557872021043</v>
      </c>
      <c r="N6743" s="1">
        <v>0.68537845953345922</v>
      </c>
      <c r="O6743" s="1">
        <v>0.1242994871794872</v>
      </c>
      <c r="P6743" s="1">
        <v>7.4693847913690367E-2</v>
      </c>
      <c r="Q6743" s="1">
        <v>2.9253794199352208</v>
      </c>
      <c r="R6743" s="2">
        <f t="shared" si="423"/>
        <v>78.825873979438825</v>
      </c>
      <c r="S6743" s="2">
        <f t="shared" si="422"/>
        <v>1.6846742083004551</v>
      </c>
      <c r="T6743" s="2">
        <f t="shared" si="424"/>
        <v>2.2764484648014673</v>
      </c>
      <c r="U6743" s="2">
        <f t="shared" si="425"/>
        <v>82.786996652540736</v>
      </c>
    </row>
    <row r="6744" spans="1:21" x14ac:dyDescent="0.25">
      <c r="A6744">
        <v>7328189</v>
      </c>
      <c r="B6744">
        <v>55</v>
      </c>
      <c r="C6744" s="1">
        <f>1.54895683650121*(10.3/7.3)</f>
        <v>2.1855144405428009</v>
      </c>
      <c r="D6744" s="1">
        <f>3.48010132464705*(10.3/7.3)</f>
        <v>4.9102799512143385</v>
      </c>
      <c r="E6744" s="1">
        <f>11.913737901678*(10.3/7.3)</f>
        <v>16.809794573600531</v>
      </c>
      <c r="F6744" s="1">
        <f>31.1693796085691*(38.9/42.5)</f>
        <v>28.529149806431466</v>
      </c>
      <c r="G6744" s="1">
        <v>1.582912511117035</v>
      </c>
      <c r="H6744" s="1">
        <v>6.7730167196017446</v>
      </c>
      <c r="I6744" s="1">
        <v>21.52900818415047</v>
      </c>
      <c r="J6744" s="1">
        <v>2.5395188741155844E-2</v>
      </c>
      <c r="K6744" s="1">
        <v>1.6664780886302295</v>
      </c>
      <c r="L6744" s="1">
        <v>1.458796456358177</v>
      </c>
      <c r="M6744" s="1">
        <v>0.12168193920510104</v>
      </c>
      <c r="N6744" s="1">
        <v>1.0768228686481418</v>
      </c>
      <c r="O6744" s="1">
        <v>0.10247951515151517</v>
      </c>
      <c r="P6744" s="1">
        <v>6.887258831002184E-2</v>
      </c>
      <c r="Q6744" s="1">
        <v>2.5297688533833931</v>
      </c>
      <c r="R6744" s="2">
        <f t="shared" si="423"/>
        <v>84.849445040041772</v>
      </c>
      <c r="S6744" s="2">
        <f t="shared" si="422"/>
        <v>1.7607458656814072</v>
      </c>
      <c r="T6744" s="2">
        <f t="shared" si="424"/>
        <v>2.7597807793629348</v>
      </c>
      <c r="U6744" s="2">
        <f t="shared" si="425"/>
        <v>89.369971685086114</v>
      </c>
    </row>
    <row r="6745" spans="1:21" x14ac:dyDescent="0.25">
      <c r="A6745">
        <v>7328197</v>
      </c>
      <c r="B6745">
        <v>2</v>
      </c>
      <c r="C6745" s="1">
        <f>2.34992165990155*(10.3/7.3)</f>
        <v>3.3156428899980774</v>
      </c>
      <c r="D6745" s="1">
        <f>5.34271997774165*(10.3/7.3)</f>
        <v>7.5383583247587671</v>
      </c>
      <c r="E6745" s="1">
        <f>18.2857446218073*(10.3/7.3)</f>
        <v>25.800434192413043</v>
      </c>
      <c r="F6745" s="1">
        <f>47.7855856407171*(38.9/42.5)</f>
        <v>43.737865445268099</v>
      </c>
      <c r="G6745" s="1">
        <v>2.4270115663853096</v>
      </c>
      <c r="H6745" s="1">
        <v>9.2391660516831049</v>
      </c>
      <c r="I6745" s="1">
        <v>32.930193373707461</v>
      </c>
      <c r="J6745" s="1">
        <v>3.2592048059194294E-2</v>
      </c>
      <c r="K6745" s="1">
        <v>2.0137948637078438</v>
      </c>
      <c r="L6745" s="1">
        <v>1.8476706431041974</v>
      </c>
      <c r="M6745" s="1">
        <v>0.14526446997077325</v>
      </c>
      <c r="N6745" s="1">
        <v>1.4269453978658351</v>
      </c>
      <c r="O6745" s="1">
        <v>0.12487999999999999</v>
      </c>
      <c r="P6745" s="1">
        <v>8.0925174193484467E-2</v>
      </c>
      <c r="Q6745" s="1">
        <v>3.8787856083783527</v>
      </c>
      <c r="R6745" s="2">
        <f t="shared" si="423"/>
        <v>128.86745745259222</v>
      </c>
      <c r="S6745" s="2">
        <f t="shared" si="422"/>
        <v>2.1273120859605226</v>
      </c>
      <c r="T6745" s="2">
        <f t="shared" si="424"/>
        <v>3.5447605109408058</v>
      </c>
      <c r="U6745" s="2">
        <f t="shared" si="425"/>
        <v>134.53953004949355</v>
      </c>
    </row>
    <row r="6746" spans="1:21" x14ac:dyDescent="0.25">
      <c r="A6746">
        <v>7328221</v>
      </c>
      <c r="B6746">
        <v>10</v>
      </c>
      <c r="C6746" s="1">
        <f>1.82334006218022*(10.3/7.3)</f>
        <v>2.5726578959529154</v>
      </c>
      <c r="D6746" s="1">
        <f>4.04501148187*(10.3/7.3)</f>
        <v>5.7073449675699939</v>
      </c>
      <c r="E6746" s="1">
        <f>13.7870007566974*(10.3/7.3)</f>
        <v>19.452891478627798</v>
      </c>
      <c r="F6746" s="1">
        <f>39.3994456032534*(38.9/42.5)</f>
        <v>36.062080799213149</v>
      </c>
      <c r="G6746" s="1">
        <v>2.110276900427333</v>
      </c>
      <c r="H6746" s="1">
        <v>11.392676088307004</v>
      </c>
      <c r="I6746" s="1">
        <v>27.935816204158971</v>
      </c>
      <c r="J6746" s="1">
        <v>2.7753098494462475E-2</v>
      </c>
      <c r="K6746" s="1">
        <v>1.7795545113087594</v>
      </c>
      <c r="L6746" s="1">
        <v>1.5738452897716984</v>
      </c>
      <c r="M6746" s="1">
        <v>0.12418190802207411</v>
      </c>
      <c r="N6746" s="1">
        <v>1.3964586142776862</v>
      </c>
      <c r="O6746" s="1">
        <v>0.10780266666666667</v>
      </c>
      <c r="P6746" s="1">
        <v>7.213091413455501E-2</v>
      </c>
      <c r="Q6746" s="1">
        <v>3.3725886536509924</v>
      </c>
      <c r="R6746" s="2">
        <f t="shared" si="423"/>
        <v>108.60633298790815</v>
      </c>
      <c r="S6746" s="2">
        <f t="shared" si="422"/>
        <v>1.8794385239377769</v>
      </c>
      <c r="T6746" s="2">
        <f t="shared" si="424"/>
        <v>3.2022884787381254</v>
      </c>
      <c r="U6746" s="2">
        <f t="shared" si="425"/>
        <v>113.68805999058405</v>
      </c>
    </row>
    <row r="6747" spans="1:21" x14ac:dyDescent="0.25">
      <c r="A6747">
        <v>7328293</v>
      </c>
      <c r="B6747">
        <v>24</v>
      </c>
      <c r="C6747" s="1">
        <f>2.33465380730897*(10.3/7.3)</f>
        <v>3.2941005774359433</v>
      </c>
      <c r="D6747" s="1">
        <f>4.28705953199499*(10.3/7.3)</f>
        <v>6.0488648191162175</v>
      </c>
      <c r="E6747" s="1">
        <f>14.8460000713844*(10.3/7.3)</f>
        <v>20.947095991131427</v>
      </c>
      <c r="F6747" s="1">
        <f>34.4618701181058*(38.9/42.5)</f>
        <v>31.54274700221923</v>
      </c>
      <c r="G6747" s="1">
        <v>1.5723626547549685</v>
      </c>
      <c r="H6747" s="1">
        <v>5.6809142409223403</v>
      </c>
      <c r="I6747" s="1">
        <v>23.907998119579492</v>
      </c>
      <c r="J6747" s="1">
        <v>2.905463052692658E-2</v>
      </c>
      <c r="K6747" s="1">
        <v>1.8158442566177386</v>
      </c>
      <c r="L6747" s="1">
        <v>1.5530801377956525</v>
      </c>
      <c r="M6747" s="1">
        <v>0.11334525329708711</v>
      </c>
      <c r="N6747" s="1">
        <v>1.0515708832962183</v>
      </c>
      <c r="O6747" s="1">
        <v>0.10342666666666667</v>
      </c>
      <c r="P6747" s="1">
        <v>7.0809993738943575E-2</v>
      </c>
      <c r="Q6747" s="1">
        <v>2.5129083523481257</v>
      </c>
      <c r="R6747" s="2">
        <f t="shared" si="423"/>
        <v>95.506991757507734</v>
      </c>
      <c r="S6747" s="2">
        <f t="shared" si="422"/>
        <v>1.9157088808836087</v>
      </c>
      <c r="T6747" s="2">
        <f t="shared" si="424"/>
        <v>2.8214229410556246</v>
      </c>
      <c r="U6747" s="2">
        <f t="shared" si="425"/>
        <v>100.24412357944698</v>
      </c>
    </row>
    <row r="6748" spans="1:21" x14ac:dyDescent="0.25">
      <c r="A6748">
        <v>7328301</v>
      </c>
      <c r="B6748">
        <v>13</v>
      </c>
      <c r="C6748" s="1">
        <f>2.18135231214694*(10.3/7.3)</f>
        <v>3.0777984678237695</v>
      </c>
      <c r="D6748" s="1">
        <f>4.07010917797885*(10.3/7.3)</f>
        <v>5.7427567853674137</v>
      </c>
      <c r="E6748" s="1">
        <f>14.0838842654833*(10.3/7.3)</f>
        <v>19.87178190883261</v>
      </c>
      <c r="F6748" s="1">
        <f>32.888656968934*(38.9/42.5)</f>
        <v>30.102794260977245</v>
      </c>
      <c r="G6748" s="1">
        <v>1.5107127698808647</v>
      </c>
      <c r="H6748" s="1">
        <v>6.5913019118869105</v>
      </c>
      <c r="I6748" s="1">
        <v>22.774883406232263</v>
      </c>
      <c r="J6748" s="1">
        <v>2.6887550208047725E-2</v>
      </c>
      <c r="K6748" s="1">
        <v>1.7808050703317746</v>
      </c>
      <c r="L6748" s="1">
        <v>1.5095151771168487</v>
      </c>
      <c r="M6748" s="1">
        <v>0.10966358467228918</v>
      </c>
      <c r="N6748" s="1">
        <v>1.0172201532365992</v>
      </c>
      <c r="O6748" s="1">
        <v>0.10093538461538462</v>
      </c>
      <c r="P6748" s="1">
        <v>6.919258896654866E-2</v>
      </c>
      <c r="Q6748" s="1">
        <v>2.4143811390790098</v>
      </c>
      <c r="R6748" s="2">
        <f t="shared" si="423"/>
        <v>92.086410650080097</v>
      </c>
      <c r="S6748" s="2">
        <f t="shared" si="422"/>
        <v>1.8768852095063708</v>
      </c>
      <c r="T6748" s="2">
        <f t="shared" si="424"/>
        <v>2.7373342996411214</v>
      </c>
      <c r="U6748" s="2">
        <f t="shared" si="425"/>
        <v>96.700630159227586</v>
      </c>
    </row>
    <row r="6749" spans="1:21" x14ac:dyDescent="0.25">
      <c r="A6749">
        <v>7340057</v>
      </c>
      <c r="B6749">
        <v>23</v>
      </c>
      <c r="C6749" s="1">
        <f>0.586095052169255*(10.3/7.3)</f>
        <v>0.82695603251278504</v>
      </c>
      <c r="D6749" s="1">
        <f>2.11073553834167*(10.3/7.3)</f>
        <v>2.9781611020437202</v>
      </c>
      <c r="E6749" s="1">
        <f>6.97270551231191*(10.3/7.3)</f>
        <v>9.838200928330501</v>
      </c>
      <c r="F6749" s="1">
        <f>27.6199756193351*(38.9/42.5)</f>
        <v>25.280401213932631</v>
      </c>
      <c r="G6749" s="1">
        <v>1.7418167428919131</v>
      </c>
      <c r="H6749" s="1">
        <v>11.818140842411211</v>
      </c>
      <c r="I6749" s="1">
        <v>20.146328761734768</v>
      </c>
      <c r="J6749" s="1">
        <v>1.6362531636313547E-2</v>
      </c>
      <c r="K6749" s="1">
        <v>1.5585758712563476</v>
      </c>
      <c r="L6749" s="1">
        <v>1.2527668026462992</v>
      </c>
      <c r="M6749" s="1">
        <v>0.14963708422086536</v>
      </c>
      <c r="N6749" s="1">
        <v>0.64901765404931921</v>
      </c>
      <c r="O6749" s="1">
        <v>0.1217414492753623</v>
      </c>
      <c r="P6749" s="1">
        <v>7.2639341202578311E-2</v>
      </c>
      <c r="Q6749" s="1">
        <v>2.7837253881834267</v>
      </c>
      <c r="R6749" s="2">
        <f t="shared" si="423"/>
        <v>75.413731012040955</v>
      </c>
      <c r="S6749" s="2">
        <f t="shared" si="422"/>
        <v>1.6475777440952395</v>
      </c>
      <c r="T6749" s="2">
        <f t="shared" si="424"/>
        <v>2.1731629901918463</v>
      </c>
      <c r="U6749" s="2">
        <f t="shared" si="425"/>
        <v>79.23447174632804</v>
      </c>
    </row>
    <row r="6750" spans="1:21" x14ac:dyDescent="0.25">
      <c r="A6750">
        <v>7340065</v>
      </c>
      <c r="B6750">
        <v>45</v>
      </c>
      <c r="C6750" s="1">
        <f>0.602695161993733*(10.3/7.3)</f>
        <v>0.85037810527882873</v>
      </c>
      <c r="D6750" s="1">
        <f>1.94156411434208*(10.3/7.3)</f>
        <v>2.7394671750306037</v>
      </c>
      <c r="E6750" s="1">
        <f>6.44095275261661*(10.3/7.3)</f>
        <v>9.087919637253572</v>
      </c>
      <c r="F6750" s="1">
        <f>24.7326336153871*(38.9/42.5)</f>
        <v>22.637634062083755</v>
      </c>
      <c r="G6750" s="1">
        <v>1.5384425513103381</v>
      </c>
      <c r="H6750" s="1">
        <v>8.6765191461543179</v>
      </c>
      <c r="I6750" s="1">
        <v>18.063503168322033</v>
      </c>
      <c r="J6750" s="1">
        <v>1.6131717750775973E-2</v>
      </c>
      <c r="K6750" s="1">
        <v>1.5256186574277828</v>
      </c>
      <c r="L6750" s="1">
        <v>1.2397520361471348</v>
      </c>
      <c r="M6750" s="1">
        <v>0.14779238712683174</v>
      </c>
      <c r="N6750" s="1">
        <v>0.63987949677924616</v>
      </c>
      <c r="O6750" s="1">
        <v>0.11933985185185182</v>
      </c>
      <c r="P6750" s="1">
        <v>7.1805481764814855E-2</v>
      </c>
      <c r="Q6750" s="1">
        <v>2.4586981413635578</v>
      </c>
      <c r="R6750" s="2">
        <f t="shared" si="423"/>
        <v>66.052561986797002</v>
      </c>
      <c r="S6750" s="2">
        <f t="shared" si="422"/>
        <v>1.6135558569433737</v>
      </c>
      <c r="T6750" s="2">
        <f t="shared" si="424"/>
        <v>2.1467637719050647</v>
      </c>
      <c r="U6750" s="2">
        <f t="shared" si="425"/>
        <v>69.812881615645452</v>
      </c>
    </row>
    <row r="6751" spans="1:21" x14ac:dyDescent="0.25">
      <c r="A6751">
        <v>7340385</v>
      </c>
      <c r="B6751">
        <v>3</v>
      </c>
      <c r="C6751" s="1">
        <f>1.31290255902635*(10.3/7.3)</f>
        <v>1.8524515558864967</v>
      </c>
      <c r="D6751" s="1">
        <f>3.14685554037704*(10.3/7.3)</f>
        <v>4.440083844641582</v>
      </c>
      <c r="E6751" s="1">
        <f>10.719560994894*(10.3/7.3)</f>
        <v>15.124860033891522</v>
      </c>
      <c r="F6751" s="1">
        <f>29.8876907392125*(38.9/42.5)</f>
        <v>27.356027523655641</v>
      </c>
      <c r="G6751" s="1">
        <v>1.5858192286107371</v>
      </c>
      <c r="H6751" s="1">
        <v>12.50475749441882</v>
      </c>
      <c r="I6751" s="1">
        <v>20.811505842941422</v>
      </c>
      <c r="J6751" s="1">
        <v>2.2610618420964287E-2</v>
      </c>
      <c r="K6751" s="1">
        <v>1.6197538457940055</v>
      </c>
      <c r="L6751" s="1">
        <v>1.4227417125110986</v>
      </c>
      <c r="M6751" s="1">
        <v>0.12071691053909062</v>
      </c>
      <c r="N6751" s="1">
        <v>0.94614451537526134</v>
      </c>
      <c r="O6751" s="1">
        <v>0.10192000000000001</v>
      </c>
      <c r="P6751" s="1">
        <v>6.7570546861669134E-2</v>
      </c>
      <c r="Q6751" s="1">
        <v>2.5344142923002675</v>
      </c>
      <c r="R6751" s="2">
        <f t="shared" si="423"/>
        <v>86.209919816346499</v>
      </c>
      <c r="S6751" s="2">
        <f t="shared" si="422"/>
        <v>1.7099350110766389</v>
      </c>
      <c r="T6751" s="2">
        <f t="shared" si="424"/>
        <v>2.5915231384254502</v>
      </c>
      <c r="U6751" s="2">
        <f t="shared" si="425"/>
        <v>90.511377965848581</v>
      </c>
    </row>
    <row r="6752" spans="1:21" x14ac:dyDescent="0.25">
      <c r="A6752">
        <v>7340417</v>
      </c>
      <c r="B6752">
        <v>1</v>
      </c>
      <c r="C6752" s="1">
        <f>1.41752054026943*(10.3/7.3)</f>
        <v>2.000063228051383</v>
      </c>
      <c r="D6752" s="1">
        <f>3.19931666858032*(10.3/7.3)</f>
        <v>4.5141043405996246</v>
      </c>
      <c r="E6752" s="1">
        <f>10.9526590382155*(10.3/7.3)</f>
        <v>15.453751793646544</v>
      </c>
      <c r="F6752" s="1">
        <f>28.581952906668*(38.9/42.5)</f>
        <v>26.160893366338435</v>
      </c>
      <c r="G6752" s="1">
        <v>1.44955465348654</v>
      </c>
      <c r="H6752" s="1">
        <v>7.5680207651125375</v>
      </c>
      <c r="I6752" s="1">
        <v>19.712247503471215</v>
      </c>
      <c r="J6752" s="1">
        <v>2.4585122569323232E-2</v>
      </c>
      <c r="K6752" s="1">
        <v>1.6143026070088595</v>
      </c>
      <c r="L6752" s="1">
        <v>1.401098647731061</v>
      </c>
      <c r="M6752" s="1">
        <v>0.11821529256972677</v>
      </c>
      <c r="N6752" s="1">
        <v>1.027704151306486</v>
      </c>
      <c r="O6752" s="1">
        <v>9.888000000000001E-2</v>
      </c>
      <c r="P6752" s="1">
        <v>6.6993489839709389E-2</v>
      </c>
      <c r="Q6752" s="1">
        <v>2.3166398571702715</v>
      </c>
      <c r="R6752" s="2">
        <f t="shared" si="423"/>
        <v>79.175275507876549</v>
      </c>
      <c r="S6752" s="2">
        <f t="shared" si="422"/>
        <v>1.7058812194178921</v>
      </c>
      <c r="T6752" s="2">
        <f t="shared" si="424"/>
        <v>2.6458980916072736</v>
      </c>
      <c r="U6752" s="2">
        <f t="shared" si="425"/>
        <v>83.527054818901718</v>
      </c>
    </row>
    <row r="6753" spans="1:21" x14ac:dyDescent="0.25">
      <c r="A6753">
        <v>7340425</v>
      </c>
      <c r="B6753">
        <v>49</v>
      </c>
      <c r="C6753" s="1">
        <f>1.79139462075656*(10.3/7.3)</f>
        <v>2.5275841909304955</v>
      </c>
      <c r="D6753" s="1">
        <f>4.02612917754084*(10.3/7.3)</f>
        <v>5.6807028121466674</v>
      </c>
      <c r="E6753" s="1">
        <f>13.7827430402808*(10.3/7.3)</f>
        <v>19.446884015738696</v>
      </c>
      <c r="F6753" s="1">
        <f>36.0664938335364*(38.9/42.5)</f>
        <v>33.011449649989764</v>
      </c>
      <c r="G6753" s="1">
        <v>1.8318968913531013</v>
      </c>
      <c r="H6753" s="1">
        <v>7.3677095548834668</v>
      </c>
      <c r="I6753" s="1">
        <v>24.911595488578691</v>
      </c>
      <c r="J6753" s="1">
        <v>2.8601098435542809E-2</v>
      </c>
      <c r="K6753" s="1">
        <v>1.7766404979609773</v>
      </c>
      <c r="L6753" s="1">
        <v>1.5799652057064608</v>
      </c>
      <c r="M6753" s="1">
        <v>0.12919359638629371</v>
      </c>
      <c r="N6753" s="1">
        <v>1.2282425711703717</v>
      </c>
      <c r="O6753" s="1">
        <v>0.10962503401360543</v>
      </c>
      <c r="P6753" s="1">
        <v>7.2593305242695277E-2</v>
      </c>
      <c r="Q6753" s="1">
        <v>2.9276890957697996</v>
      </c>
      <c r="R6753" s="2">
        <f t="shared" si="423"/>
        <v>97.705511699390669</v>
      </c>
      <c r="S6753" s="2">
        <f t="shared" si="422"/>
        <v>1.8778349016392153</v>
      </c>
      <c r="T6753" s="2">
        <f t="shared" si="424"/>
        <v>3.0470264072767321</v>
      </c>
      <c r="U6753" s="2">
        <f t="shared" si="425"/>
        <v>102.63037300830662</v>
      </c>
    </row>
    <row r="6754" spans="1:21" x14ac:dyDescent="0.25">
      <c r="A6754">
        <v>7340449</v>
      </c>
      <c r="B6754">
        <v>8</v>
      </c>
      <c r="C6754" s="1">
        <f>1.65898494811948*(10.3/7.3)</f>
        <v>2.3407595843329649</v>
      </c>
      <c r="D6754" s="1">
        <f>3.81125515862604*(10.3/7.3)</f>
        <v>5.3775244018970225</v>
      </c>
      <c r="E6754" s="1">
        <f>12.9447278407389*(10.3/7.3)</f>
        <v>18.264479008165896</v>
      </c>
      <c r="F6754" s="1">
        <f>38.7363736659392*(38.9/42.5)</f>
        <v>35.455174955412623</v>
      </c>
      <c r="G6754" s="1">
        <v>2.1324869532231667</v>
      </c>
      <c r="H6754" s="1">
        <v>10.496723874114974</v>
      </c>
      <c r="I6754" s="1">
        <v>27.648203469441157</v>
      </c>
      <c r="J6754" s="1">
        <v>2.7013295919391445E-2</v>
      </c>
      <c r="K6754" s="1">
        <v>1.6916479886618012</v>
      </c>
      <c r="L6754" s="1">
        <v>1.475973720702525</v>
      </c>
      <c r="M6754" s="1">
        <v>0.11837927954285424</v>
      </c>
      <c r="N6754" s="1">
        <v>1.1949546230365982</v>
      </c>
      <c r="O6754" s="1">
        <v>0.10191333333333333</v>
      </c>
      <c r="P6754" s="1">
        <v>6.8737586203073742E-2</v>
      </c>
      <c r="Q6754" s="1">
        <v>3.4080841718178503</v>
      </c>
      <c r="R6754" s="2">
        <f t="shared" si="423"/>
        <v>105.12343641840565</v>
      </c>
      <c r="S6754" s="2">
        <f t="shared" si="422"/>
        <v>1.7873988707842663</v>
      </c>
      <c r="T6754" s="2">
        <f t="shared" si="424"/>
        <v>2.8912209566153106</v>
      </c>
      <c r="U6754" s="2">
        <f t="shared" si="425"/>
        <v>109.80205624580523</v>
      </c>
    </row>
    <row r="6755" spans="1:21" x14ac:dyDescent="0.25">
      <c r="A6755">
        <v>7340489</v>
      </c>
      <c r="B6755">
        <v>3</v>
      </c>
      <c r="C6755" s="1">
        <f>1.66154065387954*(10.3/7.3)</f>
        <v>2.3443655801314089</v>
      </c>
      <c r="D6755" s="1">
        <f>3.60092156551043*(10.3/7.3)</f>
        <v>5.0807523458571833</v>
      </c>
      <c r="E6755" s="1">
        <f>12.3595923120974*(10.3/7.3)</f>
        <v>17.438876823918289</v>
      </c>
      <c r="F6755" s="1">
        <f>31.2805617931568*(38.9/42.5)</f>
        <v>28.630914205971735</v>
      </c>
      <c r="G6755" s="1">
        <v>1.5489812988527525</v>
      </c>
      <c r="H6755" s="1">
        <v>6.7752764683675046</v>
      </c>
      <c r="I6755" s="1">
        <v>21.529492771409902</v>
      </c>
      <c r="J6755" s="1">
        <v>2.4698274669515723E-2</v>
      </c>
      <c r="K6755" s="1">
        <v>1.6486719494964079</v>
      </c>
      <c r="L6755" s="1">
        <v>1.4159877915843715</v>
      </c>
      <c r="M6755" s="1">
        <v>0.11176067682906775</v>
      </c>
      <c r="N6755" s="1">
        <v>1.007734932498827</v>
      </c>
      <c r="O6755" s="1">
        <v>9.7013333333333326E-2</v>
      </c>
      <c r="P6755" s="1">
        <v>6.669003910010024E-2</v>
      </c>
      <c r="Q6755" s="1">
        <v>2.4755408885774606</v>
      </c>
      <c r="R6755" s="2">
        <f t="shared" si="423"/>
        <v>85.824200383086236</v>
      </c>
      <c r="S6755" s="2">
        <f t="shared" si="422"/>
        <v>1.7400602632660238</v>
      </c>
      <c r="T6755" s="2">
        <f t="shared" si="424"/>
        <v>2.6324967342455996</v>
      </c>
      <c r="U6755" s="2">
        <f t="shared" si="425"/>
        <v>90.196757380597873</v>
      </c>
    </row>
    <row r="6756" spans="1:21" x14ac:dyDescent="0.25">
      <c r="A6756">
        <v>7340529</v>
      </c>
      <c r="B6756">
        <v>18</v>
      </c>
      <c r="C6756" s="1">
        <f>2.09424044728232*(10.3/7.3)</f>
        <v>2.9548872064394351</v>
      </c>
      <c r="D6756" s="1">
        <f>3.88061830412906*(10.3/7.3)</f>
        <v>5.4753929496615505</v>
      </c>
      <c r="E6756" s="1">
        <f>13.4341554321375*(10.3/7.3)</f>
        <v>18.955041226166564</v>
      </c>
      <c r="F6756" s="1">
        <f>31.2134301126213*(38.9/42.5)</f>
        <v>28.569468973669814</v>
      </c>
      <c r="G6756" s="1">
        <v>1.4266650660641027</v>
      </c>
      <c r="H6756" s="1">
        <v>5.6792813518930281</v>
      </c>
      <c r="I6756" s="1">
        <v>21.616337242626916</v>
      </c>
      <c r="J6756" s="1">
        <v>2.6884939005735593E-2</v>
      </c>
      <c r="K6756" s="1">
        <v>1.7345308439378888</v>
      </c>
      <c r="L6756" s="1">
        <v>1.4581055734077344</v>
      </c>
      <c r="M6756" s="1">
        <v>0.10807856269407236</v>
      </c>
      <c r="N6756" s="1">
        <v>0.99414895764648969</v>
      </c>
      <c r="O6756" s="1">
        <v>9.8207407407407396E-2</v>
      </c>
      <c r="P6756" s="1">
        <v>6.7525267043661408E-2</v>
      </c>
      <c r="Q6756" s="1">
        <v>2.2800583247599837</v>
      </c>
      <c r="R6756" s="2">
        <f t="shared" si="423"/>
        <v>86.95713234128138</v>
      </c>
      <c r="S6756" s="2">
        <f t="shared" si="422"/>
        <v>1.8289410499872858</v>
      </c>
      <c r="T6756" s="2">
        <f t="shared" si="424"/>
        <v>2.6585405011557035</v>
      </c>
      <c r="U6756" s="2">
        <f t="shared" si="425"/>
        <v>91.444613892424371</v>
      </c>
    </row>
    <row r="6757" spans="1:21" x14ac:dyDescent="0.25">
      <c r="A6757">
        <v>734921</v>
      </c>
      <c r="B6757">
        <v>13</v>
      </c>
      <c r="C6757" s="1">
        <f>1.68125099200909*(10.3/7.3)</f>
        <v>2.3721760572183119</v>
      </c>
      <c r="D6757" s="1">
        <f>2.20416666261175*(10.3/7.3)</f>
        <v>3.1099885787535686</v>
      </c>
      <c r="E6757" s="1">
        <f>7.71262528667322*(10.3/7.3)</f>
        <v>10.882197322292347</v>
      </c>
      <c r="F6757" s="1">
        <f>18.697414491773*(38.9/42.5)</f>
        <v>17.11363349952866</v>
      </c>
      <c r="G6757" s="1">
        <v>0.84822428314136933</v>
      </c>
      <c r="H6757" s="1">
        <v>4.3996274904425272</v>
      </c>
      <c r="I6757" s="1">
        <v>14.234003401609687</v>
      </c>
      <c r="J6757" s="1">
        <v>3.7813473482596012E-2</v>
      </c>
      <c r="K6757" s="1">
        <v>4.248430562796</v>
      </c>
      <c r="L6757" s="1">
        <v>1.5300558232447439</v>
      </c>
      <c r="M6757" s="1">
        <v>9.970265529294961E-2</v>
      </c>
      <c r="N6757" s="1">
        <v>1.2078998918806521</v>
      </c>
      <c r="O6757" s="1">
        <v>7.3148717948717953E-2</v>
      </c>
      <c r="P6757" s="1">
        <v>6.3720212107705246E-2</v>
      </c>
      <c r="Q6757" s="1">
        <v>1.3556095849291303</v>
      </c>
      <c r="R6757" s="2">
        <f t="shared" si="423"/>
        <v>54.3154602179156</v>
      </c>
      <c r="S6757" s="2">
        <f t="shared" si="422"/>
        <v>4.3499642483863017</v>
      </c>
      <c r="T6757" s="2">
        <f t="shared" si="424"/>
        <v>2.9108070883670636</v>
      </c>
      <c r="U6757" s="2">
        <f t="shared" si="425"/>
        <v>61.576231554668965</v>
      </c>
    </row>
    <row r="6758" spans="1:21" x14ac:dyDescent="0.25">
      <c r="A6758">
        <v>734945</v>
      </c>
      <c r="B6758">
        <v>29</v>
      </c>
      <c r="C6758" s="1">
        <f>1.70915254802132*(10.3/7.3)</f>
        <v>2.4115440061122775</v>
      </c>
      <c r="D6758" s="1">
        <f>2.15405121718332*(10.3/7.3)</f>
        <v>3.0392777447929009</v>
      </c>
      <c r="E6758" s="1">
        <f>7.57396269539313*(10.3/7.3)</f>
        <v>10.686550104458796</v>
      </c>
      <c r="F6758" s="1">
        <f>17.1589702252008*(38.9/42.5)</f>
        <v>15.705504512007307</v>
      </c>
      <c r="G6758" s="1">
        <v>0.72713781544620892</v>
      </c>
      <c r="H6758" s="1">
        <v>5.6024921310584084</v>
      </c>
      <c r="I6758" s="1">
        <v>13.051011605805389</v>
      </c>
      <c r="J6758" s="1">
        <v>3.8888230848051659E-2</v>
      </c>
      <c r="K6758" s="1">
        <v>3.5769822913092311</v>
      </c>
      <c r="L6758" s="1">
        <v>1.4126399104218419</v>
      </c>
      <c r="M6758" s="1">
        <v>8.0718395537275472E-2</v>
      </c>
      <c r="N6758" s="1">
        <v>1.4912503013067375</v>
      </c>
      <c r="O6758" s="1">
        <v>6.9577931034482773E-2</v>
      </c>
      <c r="P6758" s="1">
        <v>6.0754618117580275E-2</v>
      </c>
      <c r="Q6758" s="1">
        <v>1.1620923991149468</v>
      </c>
      <c r="R6758" s="2">
        <f t="shared" si="423"/>
        <v>52.385610318796232</v>
      </c>
      <c r="S6758" s="2">
        <f t="shared" si="422"/>
        <v>3.6766251402748633</v>
      </c>
      <c r="T6758" s="2">
        <f t="shared" si="424"/>
        <v>3.0541865383003377</v>
      </c>
      <c r="U6758" s="2">
        <f t="shared" si="425"/>
        <v>59.116421997371432</v>
      </c>
    </row>
    <row r="6759" spans="1:21" x14ac:dyDescent="0.25">
      <c r="A6759">
        <v>7352285</v>
      </c>
      <c r="B6759">
        <v>21</v>
      </c>
      <c r="C6759" s="1">
        <f>0.584009586373596*(10.3/7.3)</f>
        <v>0.8240135259791832</v>
      </c>
      <c r="D6759" s="1">
        <f>2.35171524410898*(10.3/7.3)</f>
        <v>3.3181735636058272</v>
      </c>
      <c r="E6759" s="1">
        <f>7.7780609431315*(10.3/7.3)</f>
        <v>10.97452434441842</v>
      </c>
      <c r="F6759" s="1">
        <f>29.6285799394422*(38.9/42.5)</f>
        <v>27.118864932807131</v>
      </c>
      <c r="G6759" s="1">
        <v>1.8486407413362234</v>
      </c>
      <c r="H6759" s="1">
        <v>10.994768357761616</v>
      </c>
      <c r="I6759" s="1">
        <v>21.261372196990528</v>
      </c>
      <c r="J6759" s="1">
        <v>1.643170552116725E-2</v>
      </c>
      <c r="K6759" s="1">
        <v>1.5702106879987126</v>
      </c>
      <c r="L6759" s="1">
        <v>1.2522696349624423</v>
      </c>
      <c r="M6759" s="1">
        <v>0.15058020220560758</v>
      </c>
      <c r="N6759" s="1">
        <v>0.64745850645696923</v>
      </c>
      <c r="O6759" s="1">
        <v>0.12209777777777778</v>
      </c>
      <c r="P6759" s="1">
        <v>7.2957347342911483E-2</v>
      </c>
      <c r="Q6759" s="1">
        <v>2.9544486733683959</v>
      </c>
      <c r="R6759" s="2">
        <f t="shared" si="423"/>
        <v>79.294806336267314</v>
      </c>
      <c r="S6759" s="2">
        <f t="shared" si="422"/>
        <v>1.6595997408627914</v>
      </c>
      <c r="T6759" s="2">
        <f t="shared" si="424"/>
        <v>2.1724061214027968</v>
      </c>
      <c r="U6759" s="2">
        <f t="shared" si="425"/>
        <v>83.126812198532903</v>
      </c>
    </row>
    <row r="6760" spans="1:21" x14ac:dyDescent="0.25">
      <c r="A6760">
        <v>7352293</v>
      </c>
      <c r="B6760">
        <v>47</v>
      </c>
      <c r="C6760" s="1">
        <f>0.594022569758813*(10.3/7.3)</f>
        <v>0.83814143404325714</v>
      </c>
      <c r="D6760" s="1">
        <f>1.97021602102837*(10.3/7.3)</f>
        <v>2.7798938378893401</v>
      </c>
      <c r="E6760" s="1">
        <f>6.52829673109072*(10.3/7.3)</f>
        <v>9.2111584014019723</v>
      </c>
      <c r="F6760" s="1">
        <f>25.2943652773114*(38.9/42.5)</f>
        <v>23.151783747939167</v>
      </c>
      <c r="G6760" s="1">
        <v>1.5796783053893582</v>
      </c>
      <c r="H6760" s="1">
        <v>9.9525430078641861</v>
      </c>
      <c r="I6760" s="1">
        <v>18.468996358565207</v>
      </c>
      <c r="J6760" s="1">
        <v>1.6342112444875025E-2</v>
      </c>
      <c r="K6760" s="1">
        <v>1.5472995721229916</v>
      </c>
      <c r="L6760" s="1">
        <v>1.2521885854714139</v>
      </c>
      <c r="M6760" s="1">
        <v>0.14935843797596532</v>
      </c>
      <c r="N6760" s="1">
        <v>0.64962701799244194</v>
      </c>
      <c r="O6760" s="1">
        <v>0.12117787234042553</v>
      </c>
      <c r="P6760" s="1">
        <v>7.2539323799189842E-2</v>
      </c>
      <c r="Q6760" s="1">
        <v>2.5246000314441837</v>
      </c>
      <c r="R6760" s="2">
        <f t="shared" si="423"/>
        <v>68.506795124536666</v>
      </c>
      <c r="S6760" s="2">
        <f t="shared" si="422"/>
        <v>1.6361810083670565</v>
      </c>
      <c r="T6760" s="2">
        <f t="shared" si="424"/>
        <v>2.1723519137802465</v>
      </c>
      <c r="U6760" s="2">
        <f t="shared" si="425"/>
        <v>72.315328046683973</v>
      </c>
    </row>
    <row r="6761" spans="1:21" x14ac:dyDescent="0.25">
      <c r="A6761">
        <v>7352613</v>
      </c>
      <c r="B6761">
        <v>19</v>
      </c>
      <c r="C6761" s="1">
        <f>1.812772751665*(10.3/7.3)</f>
        <v>2.5577478550889721</v>
      </c>
      <c r="D6761" s="1">
        <f>4.3179471144111*(10.3/7.3)</f>
        <v>6.0924459285526487</v>
      </c>
      <c r="E6761" s="1">
        <f>14.6965023861534*(10.3/7.3)</f>
        <v>20.736160901010901</v>
      </c>
      <c r="F6761" s="1">
        <f>41.7203202561615*(38.9/42.5)</f>
        <v>38.186363716816096</v>
      </c>
      <c r="G6761" s="1">
        <v>2.2359701003077466</v>
      </c>
      <c r="H6761" s="1">
        <v>12.215227853480053</v>
      </c>
      <c r="I6761" s="1">
        <v>29.222108479011879</v>
      </c>
      <c r="J6761" s="1">
        <v>2.5944287730714343E-2</v>
      </c>
      <c r="K6761" s="1">
        <v>1.8205242352827071</v>
      </c>
      <c r="L6761" s="1">
        <v>1.6479857264010846</v>
      </c>
      <c r="M6761" s="1">
        <v>0.13627824082414622</v>
      </c>
      <c r="N6761" s="1">
        <v>1.0510439421118534</v>
      </c>
      <c r="O6761" s="1">
        <v>0.11621333333333334</v>
      </c>
      <c r="P6761" s="1">
        <v>7.492435287140399E-2</v>
      </c>
      <c r="Q6761" s="1">
        <v>3.5734681968388684</v>
      </c>
      <c r="R6761" s="2">
        <f t="shared" si="423"/>
        <v>114.81949303110719</v>
      </c>
      <c r="S6761" s="2">
        <f t="shared" si="422"/>
        <v>1.9213928758848255</v>
      </c>
      <c r="T6761" s="2">
        <f t="shared" si="424"/>
        <v>2.9515212426704176</v>
      </c>
      <c r="U6761" s="2">
        <f t="shared" si="425"/>
        <v>119.69240714966243</v>
      </c>
    </row>
    <row r="6762" spans="1:21" x14ac:dyDescent="0.25">
      <c r="A6762">
        <v>7352653</v>
      </c>
      <c r="B6762">
        <v>8</v>
      </c>
      <c r="C6762" s="1">
        <f>1.45406381353993*(10.3/7.3)</f>
        <v>2.0516242848577084</v>
      </c>
      <c r="D6762" s="1">
        <f>3.24846114895049*(10.3/7.3)</f>
        <v>4.5834451827657636</v>
      </c>
      <c r="E6762" s="1">
        <f>11.1233522464757*(10.3/7.3)</f>
        <v>15.694592895712306</v>
      </c>
      <c r="F6762" s="1">
        <f>29.0508546009714*(38.9/42.5)</f>
        <v>26.590076328889133</v>
      </c>
      <c r="G6762" s="1">
        <v>1.473025421839625</v>
      </c>
      <c r="H6762" s="1">
        <v>7.1426764999627927</v>
      </c>
      <c r="I6762" s="1">
        <v>20.074491075292372</v>
      </c>
      <c r="J6762" s="1">
        <v>2.5760490010072721E-2</v>
      </c>
      <c r="K6762" s="1">
        <v>1.632015357107971</v>
      </c>
      <c r="L6762" s="1">
        <v>1.4182075501159528</v>
      </c>
      <c r="M6762" s="1">
        <v>0.11916927582812793</v>
      </c>
      <c r="N6762" s="1">
        <v>1.0840940738404152</v>
      </c>
      <c r="O6762" s="1">
        <v>9.9633333333333324E-2</v>
      </c>
      <c r="P6762" s="1">
        <v>6.7396824682778397E-2</v>
      </c>
      <c r="Q6762" s="1">
        <v>2.3541502175519149</v>
      </c>
      <c r="R6762" s="2">
        <f t="shared" si="423"/>
        <v>79.964081906871613</v>
      </c>
      <c r="S6762" s="2">
        <f t="shared" si="422"/>
        <v>1.725172671800822</v>
      </c>
      <c r="T6762" s="2">
        <f t="shared" si="424"/>
        <v>2.7211042331178295</v>
      </c>
      <c r="U6762" s="2">
        <f t="shared" si="425"/>
        <v>84.41035881179026</v>
      </c>
    </row>
    <row r="6763" spans="1:21" x14ac:dyDescent="0.25">
      <c r="A6763">
        <v>7352685</v>
      </c>
      <c r="B6763">
        <v>2</v>
      </c>
      <c r="C6763" s="1">
        <f>1.53103370519687*(10.3/7.3)</f>
        <v>2.1602256388394254</v>
      </c>
      <c r="D6763" s="1">
        <f>3.37858523307896*(10.3/7.3)</f>
        <v>4.7670449179059284</v>
      </c>
      <c r="E6763" s="1">
        <f>11.5066964326861*(10.3/7.3)</f>
        <v>16.235475788584552</v>
      </c>
      <c r="F6763" s="1">
        <f>33.4191861445919*(38.9/42.5)</f>
        <v>30.588384494697021</v>
      </c>
      <c r="G6763" s="1">
        <v>1.8057738577482212</v>
      </c>
      <c r="H6763" s="1">
        <v>7.4773254430273006</v>
      </c>
      <c r="I6763" s="1">
        <v>23.812256436201679</v>
      </c>
      <c r="J6763" s="1">
        <v>2.6218756015852305E-2</v>
      </c>
      <c r="K6763" s="1">
        <v>1.663423735204256</v>
      </c>
      <c r="L6763" s="1">
        <v>1.435591722331548</v>
      </c>
      <c r="M6763" s="1">
        <v>0.11833328875101787</v>
      </c>
      <c r="N6763" s="1">
        <v>1.1671527491424618</v>
      </c>
      <c r="O6763" s="1">
        <v>9.9226666666666657E-2</v>
      </c>
      <c r="P6763" s="1">
        <v>6.7803330740112244E-2</v>
      </c>
      <c r="Q6763" s="1">
        <v>2.8859399553053793</v>
      </c>
      <c r="R6763" s="2">
        <f t="shared" si="423"/>
        <v>89.732426532309503</v>
      </c>
      <c r="S6763" s="2">
        <f t="shared" si="422"/>
        <v>1.7574458219602205</v>
      </c>
      <c r="T6763" s="2">
        <f t="shared" si="424"/>
        <v>2.8203044268916941</v>
      </c>
      <c r="U6763" s="2">
        <f t="shared" si="425"/>
        <v>94.310176781161417</v>
      </c>
    </row>
    <row r="6764" spans="1:21" x14ac:dyDescent="0.25">
      <c r="A6764">
        <v>7352717</v>
      </c>
      <c r="B6764">
        <v>8</v>
      </c>
      <c r="C6764" s="1">
        <f>1.62328804493835*(10.3/7.3)</f>
        <v>2.2903927209404094</v>
      </c>
      <c r="D6764" s="1">
        <f>4.33968312261401*(10.3/7.3)</f>
        <v>6.1231145428663467</v>
      </c>
      <c r="E6764" s="1">
        <f>14.8920297392337*(10.3/7.3)</f>
        <v>21.01204196083664</v>
      </c>
      <c r="F6764" s="1">
        <f>34.0400304093987*(38.9/42.5)</f>
        <v>31.156639598249598</v>
      </c>
      <c r="G6764" s="1">
        <v>1.5872945340500741</v>
      </c>
      <c r="H6764" s="1">
        <v>10.353962718980807</v>
      </c>
      <c r="I6764" s="1">
        <v>21.81056459203436</v>
      </c>
      <c r="J6764" s="1">
        <v>2.6039480657109832E-2</v>
      </c>
      <c r="K6764" s="1">
        <v>1.672220835123114</v>
      </c>
      <c r="L6764" s="1">
        <v>1.4410685624442179</v>
      </c>
      <c r="M6764" s="1">
        <v>0.11199977185195356</v>
      </c>
      <c r="N6764" s="1">
        <v>1.0627086765641178</v>
      </c>
      <c r="O6764" s="1">
        <v>9.9026666666666652E-2</v>
      </c>
      <c r="P6764" s="1">
        <v>6.7476032113023596E-2</v>
      </c>
      <c r="Q6764" s="1">
        <v>2.5367720863813989</v>
      </c>
      <c r="R6764" s="2">
        <f t="shared" si="423"/>
        <v>96.870782754339643</v>
      </c>
      <c r="S6764" s="2">
        <f t="shared" si="422"/>
        <v>1.7657363478932475</v>
      </c>
      <c r="T6764" s="2">
        <f t="shared" si="424"/>
        <v>2.7148036775269557</v>
      </c>
      <c r="U6764" s="2">
        <f t="shared" si="425"/>
        <v>101.35132277975985</v>
      </c>
    </row>
    <row r="6765" spans="1:21" x14ac:dyDescent="0.25">
      <c r="A6765">
        <v>7364521</v>
      </c>
      <c r="B6765">
        <v>57</v>
      </c>
      <c r="C6765" s="1">
        <f>0.567265358888277*(10.3/7.3)</f>
        <v>0.80038810911633629</v>
      </c>
      <c r="D6765" s="1">
        <f>2.08519374615947*(10.3/7.3)</f>
        <v>2.9421226829373279</v>
      </c>
      <c r="E6765" s="1">
        <f>6.91370847733299*(10.3/7.3)</f>
        <v>9.7549585365109266</v>
      </c>
      <c r="F6765" s="1">
        <f>25.9374589453834*(38.9/42.5)</f>
        <v>23.740403599421505</v>
      </c>
      <c r="G6765" s="1">
        <v>1.6059229123008383</v>
      </c>
      <c r="H6765" s="1">
        <v>7.7668550839660719</v>
      </c>
      <c r="I6765" s="1">
        <v>18.659774885285035</v>
      </c>
      <c r="J6765" s="1">
        <v>1.568541212049919E-2</v>
      </c>
      <c r="K6765" s="1">
        <v>1.5027683597478632</v>
      </c>
      <c r="L6765" s="1">
        <v>1.1983916025709425</v>
      </c>
      <c r="M6765" s="1">
        <v>0.14490223115034528</v>
      </c>
      <c r="N6765" s="1">
        <v>0.61749228934293121</v>
      </c>
      <c r="O6765" s="1">
        <v>0.11739602339181288</v>
      </c>
      <c r="P6765" s="1">
        <v>7.0562087157176559E-2</v>
      </c>
      <c r="Q6765" s="1">
        <v>2.5665434671474614</v>
      </c>
      <c r="R6765" s="2">
        <f t="shared" si="423"/>
        <v>67.836969276685494</v>
      </c>
      <c r="S6765" s="2">
        <f t="shared" si="422"/>
        <v>1.589015859025539</v>
      </c>
      <c r="T6765" s="2">
        <f t="shared" si="424"/>
        <v>2.0781821464560317</v>
      </c>
      <c r="U6765" s="2">
        <f t="shared" si="425"/>
        <v>71.50416728216706</v>
      </c>
    </row>
    <row r="6766" spans="1:21" x14ac:dyDescent="0.25">
      <c r="A6766">
        <v>7364529</v>
      </c>
      <c r="B6766">
        <v>21</v>
      </c>
      <c r="C6766" s="1">
        <f>0.612041743059104*(10.3/7.3)</f>
        <v>0.86356574705599642</v>
      </c>
      <c r="D6766" s="1">
        <f>2.26146171201073*(10.3/7.3)</f>
        <v>3.1908295388644499</v>
      </c>
      <c r="E6766" s="1">
        <f>7.41010806181268*(10.3/7.3)</f>
        <v>10.455357950228855</v>
      </c>
      <c r="F6766" s="1">
        <f>32.3654608891414*(38.9/42.5)</f>
        <v>29.623915966767086</v>
      </c>
      <c r="G6766" s="1">
        <v>2.1060464141805078</v>
      </c>
      <c r="H6766" s="1">
        <v>9.0004310107444532</v>
      </c>
      <c r="I6766" s="1">
        <v>24.052961732054115</v>
      </c>
      <c r="J6766" s="1">
        <v>1.6516569596311613E-2</v>
      </c>
      <c r="K6766" s="1">
        <v>1.5454562683848052</v>
      </c>
      <c r="L6766" s="1">
        <v>1.2581710537609445</v>
      </c>
      <c r="M6766" s="1">
        <v>0.14874544990164956</v>
      </c>
      <c r="N6766" s="1">
        <v>0.65379063017090366</v>
      </c>
      <c r="O6766" s="1">
        <v>0.12123936507936509</v>
      </c>
      <c r="P6766" s="1">
        <v>7.2535977714372438E-2</v>
      </c>
      <c r="Q6766" s="1">
        <v>3.3658276025715903</v>
      </c>
      <c r="R6766" s="2">
        <f t="shared" si="423"/>
        <v>82.658935962467041</v>
      </c>
      <c r="S6766" s="2">
        <f t="shared" si="422"/>
        <v>1.6345088156954892</v>
      </c>
      <c r="T6766" s="2">
        <f t="shared" si="424"/>
        <v>2.181946498912863</v>
      </c>
      <c r="U6766" s="2">
        <f t="shared" si="425"/>
        <v>86.475391277075389</v>
      </c>
    </row>
    <row r="6767" spans="1:21" x14ac:dyDescent="0.25">
      <c r="A6767">
        <v>7364841</v>
      </c>
      <c r="B6767">
        <v>19</v>
      </c>
      <c r="C6767" s="1">
        <f>1.74177199642783*(10.3/7.3)</f>
        <v>2.4575687072885839</v>
      </c>
      <c r="D6767" s="1">
        <f>4.30088119326747*(10.3/7.3)</f>
        <v>6.0683666151582081</v>
      </c>
      <c r="E6767" s="1">
        <f>14.6243208118038*(10.3/7.3)</f>
        <v>20.63431566596978</v>
      </c>
      <c r="F6767" s="1">
        <f>41.5963093353244*(38.9/42.5)</f>
        <v>38.072857250449836</v>
      </c>
      <c r="G6767" s="1">
        <v>2.2365348105237608</v>
      </c>
      <c r="H6767" s="1">
        <v>12.077151739350285</v>
      </c>
      <c r="I6767" s="1">
        <v>29.003046507951712</v>
      </c>
      <c r="J6767" s="1">
        <v>2.5702201790039354E-2</v>
      </c>
      <c r="K6767" s="1">
        <v>1.821408030643989</v>
      </c>
      <c r="L6767" s="1">
        <v>1.644135560562199</v>
      </c>
      <c r="M6767" s="1">
        <v>0.13625563425016554</v>
      </c>
      <c r="N6767" s="1">
        <v>1.0419242444206447</v>
      </c>
      <c r="O6767" s="1">
        <v>0.11614035087719297</v>
      </c>
      <c r="P6767" s="1">
        <v>7.4472916186346313E-2</v>
      </c>
      <c r="Q6767" s="1">
        <v>3.5743707017503059</v>
      </c>
      <c r="R6767" s="2">
        <f t="shared" si="423"/>
        <v>114.12421199844248</v>
      </c>
      <c r="S6767" s="2">
        <f t="shared" si="422"/>
        <v>1.9215831486203747</v>
      </c>
      <c r="T6767" s="2">
        <f t="shared" si="424"/>
        <v>2.938455790110202</v>
      </c>
      <c r="U6767" s="2">
        <f t="shared" si="425"/>
        <v>118.98425093717304</v>
      </c>
    </row>
    <row r="6768" spans="1:21" x14ac:dyDescent="0.25">
      <c r="A6768">
        <v>7364849</v>
      </c>
      <c r="B6768">
        <v>34</v>
      </c>
      <c r="C6768" s="1">
        <f>1.64785034922747*(10.3/7.3)</f>
        <v>2.3250491228826</v>
      </c>
      <c r="D6768" s="1">
        <f>4.05062773802978*(10.3/7.3)</f>
        <v>5.7152692742063982</v>
      </c>
      <c r="E6768" s="1">
        <f>13.7939762194917*(10.3/7.3)</f>
        <v>19.462733569967792</v>
      </c>
      <c r="F6768" s="1">
        <f>38.2524449010187*(38.9/42.5)</f>
        <v>35.012237803520648</v>
      </c>
      <c r="G6768" s="1">
        <v>2.0263280762621201</v>
      </c>
      <c r="H6768" s="1">
        <v>11.21717372430677</v>
      </c>
      <c r="I6768" s="1">
        <v>26.498251280212131</v>
      </c>
      <c r="J6768" s="1">
        <v>2.5299228801640986E-2</v>
      </c>
      <c r="K6768" s="1">
        <v>1.7867294812552768</v>
      </c>
      <c r="L6768" s="1">
        <v>1.6081038657830473</v>
      </c>
      <c r="M6768" s="1">
        <v>0.13323979203998185</v>
      </c>
      <c r="N6768" s="1">
        <v>1.0354167467077178</v>
      </c>
      <c r="O6768" s="1">
        <v>0.11383686274509802</v>
      </c>
      <c r="P6768" s="1">
        <v>7.3609904078393892E-2</v>
      </c>
      <c r="Q6768" s="1">
        <v>3.2384238661723419</v>
      </c>
      <c r="R6768" s="2">
        <f t="shared" si="423"/>
        <v>105.4954667175308</v>
      </c>
      <c r="S6768" s="2">
        <f t="shared" si="422"/>
        <v>1.8856386141353116</v>
      </c>
      <c r="T6768" s="2">
        <f t="shared" si="424"/>
        <v>2.8905972672758451</v>
      </c>
      <c r="U6768" s="2">
        <f t="shared" si="425"/>
        <v>110.27170259894197</v>
      </c>
    </row>
    <row r="6769" spans="1:21" x14ac:dyDescent="0.25">
      <c r="A6769">
        <v>7364913</v>
      </c>
      <c r="B6769">
        <v>2</v>
      </c>
      <c r="C6769" s="1">
        <f>1.46969676695538*(10.3/7.3)</f>
        <v>2.0736817396767635</v>
      </c>
      <c r="D6769" s="1">
        <f>3.15433440710934*(10.3/7.3)</f>
        <v>4.450636218250172</v>
      </c>
      <c r="E6769" s="1">
        <f>10.7772765271245*(10.3/7.3)</f>
        <v>15.206294277997547</v>
      </c>
      <c r="F6769" s="1">
        <f>29.9424657315083*(38.9/42.5)</f>
        <v>27.406162751898229</v>
      </c>
      <c r="G6769" s="1">
        <v>1.5740167850960431</v>
      </c>
      <c r="H6769" s="1">
        <v>7.7947590703256289</v>
      </c>
      <c r="I6769" s="1">
        <v>21.184439024759591</v>
      </c>
      <c r="J6769" s="1">
        <v>2.7058910359781543E-2</v>
      </c>
      <c r="K6769" s="1">
        <v>1.6313799468208956</v>
      </c>
      <c r="L6769" s="1">
        <v>1.3998480671888882</v>
      </c>
      <c r="M6769" s="1">
        <v>0.11541146793674534</v>
      </c>
      <c r="N6769" s="1">
        <v>1.1335442792227877</v>
      </c>
      <c r="O6769" s="1">
        <v>9.6959999999999991E-2</v>
      </c>
      <c r="P6769" s="1">
        <v>6.6294265976048553E-2</v>
      </c>
      <c r="Q6769" s="1">
        <v>2.5155519396512132</v>
      </c>
      <c r="R6769" s="2">
        <f t="shared" si="423"/>
        <v>82.205541807655194</v>
      </c>
      <c r="S6769" s="2">
        <f t="shared" si="422"/>
        <v>1.7247331231567258</v>
      </c>
      <c r="T6769" s="2">
        <f t="shared" si="424"/>
        <v>2.7457638143484213</v>
      </c>
      <c r="U6769" s="2">
        <f t="shared" si="425"/>
        <v>86.676038745160341</v>
      </c>
    </row>
    <row r="6770" spans="1:21" x14ac:dyDescent="0.25">
      <c r="A6770">
        <v>7376477</v>
      </c>
      <c r="B6770">
        <v>2</v>
      </c>
      <c r="C6770" s="1">
        <f>0.241902528837493*(10.3/7.3)</f>
        <v>0.34131452698988679</v>
      </c>
      <c r="D6770" s="1">
        <f>0.428447191456877*(10.3/7.3)</f>
        <v>0.60452137972682707</v>
      </c>
      <c r="E6770" s="1">
        <f>1.47128837990135*(10.3/7.3)</f>
        <v>2.0759274401347771</v>
      </c>
      <c r="F6770" s="1">
        <f>4.13223856509709*(38.9/42.5)</f>
        <v>3.7822136513476896</v>
      </c>
      <c r="G6770" s="1">
        <v>0.21550188908421286</v>
      </c>
      <c r="H6770" s="1">
        <v>0.85639897650485641</v>
      </c>
      <c r="I6770" s="1">
        <v>3.0293249980381312</v>
      </c>
      <c r="J6770" s="1">
        <v>1.2581099140152466E-2</v>
      </c>
      <c r="K6770" s="1">
        <v>1.2241004918553777</v>
      </c>
      <c r="L6770" s="1">
        <v>0.8308781329436421</v>
      </c>
      <c r="M6770" s="1">
        <v>0.11494614357542901</v>
      </c>
      <c r="N6770" s="1">
        <v>0.43662408246625561</v>
      </c>
      <c r="O6770" s="1">
        <v>0.11741333333333334</v>
      </c>
      <c r="P6770" s="1">
        <v>6.4624321295597364E-2</v>
      </c>
      <c r="Q6770" s="1">
        <v>0.34440941177842271</v>
      </c>
      <c r="R6770" s="2">
        <f t="shared" si="423"/>
        <v>11.249612273604805</v>
      </c>
      <c r="S6770" s="2">
        <f t="shared" si="422"/>
        <v>1.3013059122911277</v>
      </c>
      <c r="T6770" s="2">
        <f t="shared" si="424"/>
        <v>1.4998616923186601</v>
      </c>
      <c r="U6770" s="2">
        <f t="shared" si="425"/>
        <v>14.050779878214593</v>
      </c>
    </row>
    <row r="6771" spans="1:21" x14ac:dyDescent="0.25">
      <c r="A6771">
        <v>7376749</v>
      </c>
      <c r="B6771">
        <v>12</v>
      </c>
      <c r="C6771" s="1">
        <f>0.561856975406969*(10.3/7.3)</f>
        <v>0.79275710228654594</v>
      </c>
      <c r="D6771" s="1">
        <f>2.62425483040893*(10.3/7.3)</f>
        <v>3.7027157196180753</v>
      </c>
      <c r="E6771" s="1">
        <f>8.73902962515402*(10.3/7.3)</f>
        <v>12.330411662888556</v>
      </c>
      <c r="F6771" s="1">
        <f>29.2706541012444*(38.9/42.5)</f>
        <v>26.791257518550761</v>
      </c>
      <c r="G6771" s="1">
        <v>1.7452416285099785</v>
      </c>
      <c r="H6771" s="1">
        <v>10.836691370017816</v>
      </c>
      <c r="I6771" s="1">
        <v>20.105482997300104</v>
      </c>
      <c r="J6771" s="1">
        <v>1.6765605245395981E-2</v>
      </c>
      <c r="K6771" s="1">
        <v>1.5998885769829074</v>
      </c>
      <c r="L6771" s="1">
        <v>1.2719383138805702</v>
      </c>
      <c r="M6771" s="1">
        <v>0.15239833793953136</v>
      </c>
      <c r="N6771" s="1">
        <v>0.66778902806606844</v>
      </c>
      <c r="O6771" s="1">
        <v>0.12361333333333334</v>
      </c>
      <c r="P6771" s="1">
        <v>7.3939353077911218E-2</v>
      </c>
      <c r="Q6771" s="1">
        <v>2.7891989496734841</v>
      </c>
      <c r="R6771" s="2">
        <f t="shared" si="423"/>
        <v>79.093756948845339</v>
      </c>
      <c r="S6771" s="2">
        <f t="shared" si="422"/>
        <v>1.6905935353062147</v>
      </c>
      <c r="T6771" s="2">
        <f t="shared" si="424"/>
        <v>2.215739013219503</v>
      </c>
      <c r="U6771" s="2">
        <f t="shared" si="425"/>
        <v>83.000089497371064</v>
      </c>
    </row>
    <row r="6772" spans="1:21" x14ac:dyDescent="0.25">
      <c r="A6772">
        <v>7376757</v>
      </c>
      <c r="B6772">
        <v>46</v>
      </c>
      <c r="C6772" s="1">
        <f>0.561686691228716*(10.3/7.3)</f>
        <v>0.79251683830900976</v>
      </c>
      <c r="D6772" s="1">
        <f>1.91027147430245*(10.3/7.3)</f>
        <v>2.6953145459335914</v>
      </c>
      <c r="E6772" s="1">
        <f>6.31862399117044*(10.3/7.3)</f>
        <v>8.9153187820624034</v>
      </c>
      <c r="F6772" s="1">
        <f>24.9167166526357*(38.9/42.5)</f>
        <v>22.806124183235958</v>
      </c>
      <c r="G6772" s="1">
        <v>1.5666227641589716</v>
      </c>
      <c r="H6772" s="1">
        <v>8.1028456757021292</v>
      </c>
      <c r="I6772" s="1">
        <v>18.229445314953178</v>
      </c>
      <c r="J6772" s="1">
        <v>1.5940240618910383E-2</v>
      </c>
      <c r="K6772" s="1">
        <v>1.5115570789964403</v>
      </c>
      <c r="L6772" s="1">
        <v>1.2145669036987581</v>
      </c>
      <c r="M6772" s="1">
        <v>0.14549198559374624</v>
      </c>
      <c r="N6772" s="1">
        <v>0.631641987269425</v>
      </c>
      <c r="O6772" s="1">
        <v>0.11848579710144923</v>
      </c>
      <c r="P6772" s="1">
        <v>7.1095084926069516E-2</v>
      </c>
      <c r="Q6772" s="1">
        <v>2.5037350112129708</v>
      </c>
      <c r="R6772" s="2">
        <f t="shared" si="423"/>
        <v>65.611923115568203</v>
      </c>
      <c r="S6772" s="2">
        <f t="shared" si="422"/>
        <v>1.5985924045414202</v>
      </c>
      <c r="T6772" s="2">
        <f t="shared" si="424"/>
        <v>2.1101866736633785</v>
      </c>
      <c r="U6772" s="2">
        <f t="shared" si="425"/>
        <v>69.320702193773002</v>
      </c>
    </row>
    <row r="6773" spans="1:21" x14ac:dyDescent="0.25">
      <c r="A6773">
        <v>7376765</v>
      </c>
      <c r="B6773">
        <v>33</v>
      </c>
      <c r="C6773" s="1">
        <f>0.576400661078163*(10.3/7.3)</f>
        <v>0.81327764508288747</v>
      </c>
      <c r="D6773" s="1">
        <f>1.97785235264519*(10.3/7.3)</f>
        <v>2.7906683879788234</v>
      </c>
      <c r="E6773" s="1">
        <f>6.49930349935282*(10.3/7.3)</f>
        <v>9.1702501429224696</v>
      </c>
      <c r="F6773" s="1">
        <f>27.8237570278691*(38.9/42.5)</f>
        <v>25.466921138449617</v>
      </c>
      <c r="G6773" s="1">
        <v>1.7966375309503451</v>
      </c>
      <c r="H6773" s="1">
        <v>9.739415389941124</v>
      </c>
      <c r="I6773" s="1">
        <v>20.691226871596921</v>
      </c>
      <c r="J6773" s="1">
        <v>1.6444600452065812E-2</v>
      </c>
      <c r="K6773" s="1">
        <v>1.5078277582863957</v>
      </c>
      <c r="L6773" s="1">
        <v>1.2236984738290306</v>
      </c>
      <c r="M6773" s="1">
        <v>0.14465127781503018</v>
      </c>
      <c r="N6773" s="1">
        <v>0.6483395661484419</v>
      </c>
      <c r="O6773" s="1">
        <v>0.11918383838383838</v>
      </c>
      <c r="P6773" s="1">
        <v>7.1200402518723907E-2</v>
      </c>
      <c r="Q6773" s="1">
        <v>2.8713385197836594</v>
      </c>
      <c r="R6773" s="2">
        <f t="shared" si="423"/>
        <v>73.339735626705846</v>
      </c>
      <c r="S6773" s="2">
        <f t="shared" si="422"/>
        <v>1.5954727612571853</v>
      </c>
      <c r="T6773" s="2">
        <f t="shared" si="424"/>
        <v>2.1358731561763413</v>
      </c>
      <c r="U6773" s="2">
        <f t="shared" si="425"/>
        <v>77.071081544139375</v>
      </c>
    </row>
    <row r="6774" spans="1:21" x14ac:dyDescent="0.25">
      <c r="A6774">
        <v>7377069</v>
      </c>
      <c r="B6774">
        <v>31</v>
      </c>
      <c r="C6774" s="1">
        <f>1.49663928046447*(10.3/7.3)</f>
        <v>2.1116965190115149</v>
      </c>
      <c r="D6774" s="1">
        <f>3.68675771663007*(10.3/7.3)</f>
        <v>5.2018636275739363</v>
      </c>
      <c r="E6774" s="1">
        <f>12.5352362914878*(10.3/7.3)</f>
        <v>17.686703260592424</v>
      </c>
      <c r="F6774" s="1">
        <f>35.7351829561069*(38.9/42.5)</f>
        <v>32.708202752766077</v>
      </c>
      <c r="G6774" s="1">
        <v>1.9235906252673391</v>
      </c>
      <c r="H6774" s="1">
        <v>10.939567893765039</v>
      </c>
      <c r="I6774" s="1">
        <v>24.940341390463118</v>
      </c>
      <c r="J6774" s="1">
        <v>2.2920965431250301E-2</v>
      </c>
      <c r="K6774" s="1">
        <v>1.6652978670199237</v>
      </c>
      <c r="L6774" s="1">
        <v>1.4733576763684788</v>
      </c>
      <c r="M6774" s="1">
        <v>0.12492744248449748</v>
      </c>
      <c r="N6774" s="1">
        <v>0.93855911965800221</v>
      </c>
      <c r="O6774" s="1">
        <v>0.10627612903225805</v>
      </c>
      <c r="P6774" s="1">
        <v>6.904850935348171E-2</v>
      </c>
      <c r="Q6774" s="1">
        <v>3.0742315928930108</v>
      </c>
      <c r="R6774" s="2">
        <f t="shared" si="423"/>
        <v>98.586197662332467</v>
      </c>
      <c r="S6774" s="2">
        <f t="shared" si="422"/>
        <v>1.7572673418046556</v>
      </c>
      <c r="T6774" s="2">
        <f t="shared" si="424"/>
        <v>2.6431203675432364</v>
      </c>
      <c r="U6774" s="2">
        <f t="shared" si="425"/>
        <v>102.98658537168035</v>
      </c>
    </row>
    <row r="6775" spans="1:21" x14ac:dyDescent="0.25">
      <c r="A6775">
        <v>7377077</v>
      </c>
      <c r="B6775">
        <v>63</v>
      </c>
      <c r="C6775" s="1">
        <f>1.48309960235756*(10.3/7.3)</f>
        <v>2.0925925896277886</v>
      </c>
      <c r="D6775" s="1">
        <f>3.58348981114936*(10.3/7.3)</f>
        <v>5.0561568568271777</v>
      </c>
      <c r="E6775" s="1">
        <f>12.2019105807565*(10.3/7.3)</f>
        <v>17.216394381067392</v>
      </c>
      <c r="F6775" s="1">
        <f>34.1573961574012*(38.9/42.5)</f>
        <v>31.264063777009532</v>
      </c>
      <c r="G6775" s="1">
        <v>1.8175081774908248</v>
      </c>
      <c r="H6775" s="1">
        <v>7.0749282673792804</v>
      </c>
      <c r="I6775" s="1">
        <v>23.783570349194601</v>
      </c>
      <c r="J6775" s="1">
        <v>2.3239016691676138E-2</v>
      </c>
      <c r="K6775" s="1">
        <v>1.6755169394122291</v>
      </c>
      <c r="L6775" s="1">
        <v>1.4838545799680749</v>
      </c>
      <c r="M6775" s="1">
        <v>0.12572246322412745</v>
      </c>
      <c r="N6775" s="1">
        <v>0.95626060582897965</v>
      </c>
      <c r="O6775" s="1">
        <v>0.10629164021164018</v>
      </c>
      <c r="P6775" s="1">
        <v>6.9461474069464624E-2</v>
      </c>
      <c r="Q6775" s="1">
        <v>2.9046934343460693</v>
      </c>
      <c r="R6775" s="2">
        <f t="shared" si="423"/>
        <v>91.209907832942676</v>
      </c>
      <c r="S6775" s="2">
        <f t="shared" si="422"/>
        <v>1.7682174301733697</v>
      </c>
      <c r="T6775" s="2">
        <f t="shared" si="424"/>
        <v>2.6721292892328221</v>
      </c>
      <c r="U6775" s="2">
        <f t="shared" si="425"/>
        <v>95.650254552348869</v>
      </c>
    </row>
    <row r="6776" spans="1:21" x14ac:dyDescent="0.25">
      <c r="A6776">
        <v>7377085</v>
      </c>
      <c r="B6776">
        <v>4</v>
      </c>
      <c r="C6776" s="1">
        <f>2.0729097082979*(10.3/7.3)</f>
        <v>2.9247904103381348</v>
      </c>
      <c r="D6776" s="1">
        <f>5.2741245755182*(10.3/7.3)</f>
        <v>7.4415730312106145</v>
      </c>
      <c r="E6776" s="1">
        <f>17.9675842449397*(10.3/7.3)</f>
        <v>25.351522975736831</v>
      </c>
      <c r="F6776" s="1">
        <f>48.7300995150968*(38.9/42.5)</f>
        <v>44.602373438523927</v>
      </c>
      <c r="G6776" s="1">
        <v>2.5525466474052396</v>
      </c>
      <c r="H6776" s="1">
        <v>12.315249059074052</v>
      </c>
      <c r="I6776" s="1">
        <v>33.370499728655162</v>
      </c>
      <c r="J6776" s="1">
        <v>2.8584342110501548E-2</v>
      </c>
      <c r="K6776" s="1">
        <v>1.9607163497815272</v>
      </c>
      <c r="L6776" s="1">
        <v>1.8077157527267207</v>
      </c>
      <c r="M6776" s="1">
        <v>0.14583261002599968</v>
      </c>
      <c r="N6776" s="1">
        <v>1.1392855086925711</v>
      </c>
      <c r="O6776" s="1">
        <v>0.12564</v>
      </c>
      <c r="P6776" s="1">
        <v>7.9593144343067204E-2</v>
      </c>
      <c r="Q6776" s="1">
        <v>4.0794124501910263</v>
      </c>
      <c r="R6776" s="2">
        <f t="shared" si="423"/>
        <v>132.63796774113499</v>
      </c>
      <c r="S6776" s="2">
        <f t="shared" si="422"/>
        <v>2.0688938362350959</v>
      </c>
      <c r="T6776" s="2">
        <f t="shared" si="424"/>
        <v>3.2184738714452918</v>
      </c>
      <c r="U6776" s="2">
        <f t="shared" si="425"/>
        <v>137.92533544881539</v>
      </c>
    </row>
    <row r="6777" spans="1:21" x14ac:dyDescent="0.25">
      <c r="A6777">
        <v>7377149</v>
      </c>
      <c r="B6777">
        <v>20</v>
      </c>
      <c r="C6777" s="1">
        <f>1.45424304485297*(10.3/7.3)</f>
        <v>2.0518771728747418</v>
      </c>
      <c r="D6777" s="1">
        <f>3.12812633576129*(10.3/7.3)</f>
        <v>4.4136577066220983</v>
      </c>
      <c r="E6777" s="1">
        <f>10.677863769058*(10.3/7.3)</f>
        <v>15.066026961821537</v>
      </c>
      <c r="F6777" s="1">
        <f>30.1394169687892*(38.9/42.5)</f>
        <v>27.586431060844706</v>
      </c>
      <c r="G6777" s="1">
        <v>1.5995529810641995</v>
      </c>
      <c r="H6777" s="1">
        <v>8.9627132736232902</v>
      </c>
      <c r="I6777" s="1">
        <v>21.40359840602617</v>
      </c>
      <c r="J6777" s="1">
        <v>2.7385212728711632E-2</v>
      </c>
      <c r="K6777" s="1">
        <v>1.6317571672978466</v>
      </c>
      <c r="L6777" s="1">
        <v>1.3939671563974272</v>
      </c>
      <c r="M6777" s="1">
        <v>0.11604024815614547</v>
      </c>
      <c r="N6777" s="1">
        <v>1.1911745381266596</v>
      </c>
      <c r="O6777" s="1">
        <v>9.6466666666666673E-2</v>
      </c>
      <c r="P6777" s="1">
        <v>6.6220757922551526E-2</v>
      </c>
      <c r="Q6777" s="1">
        <v>2.5563632117464405</v>
      </c>
      <c r="R6777" s="2">
        <f t="shared" si="423"/>
        <v>83.640220774623188</v>
      </c>
      <c r="S6777" s="2">
        <f t="shared" si="422"/>
        <v>1.7253631379491097</v>
      </c>
      <c r="T6777" s="2">
        <f t="shared" si="424"/>
        <v>2.7976486093468993</v>
      </c>
      <c r="U6777" s="2">
        <f t="shared" si="425"/>
        <v>88.163232521919198</v>
      </c>
    </row>
    <row r="6778" spans="1:21" x14ac:dyDescent="0.25">
      <c r="A6778">
        <v>7377181</v>
      </c>
      <c r="B6778">
        <v>2</v>
      </c>
      <c r="C6778" s="1">
        <f>1.53581320687803*(10.3/7.3)</f>
        <v>2.166969319293659</v>
      </c>
      <c r="D6778" s="1">
        <f>3.85326916507508*(10.3/7.3)</f>
        <v>5.4368044383936089</v>
      </c>
      <c r="E6778" s="1">
        <f>13.1957139996434*(10.3/7.3)</f>
        <v>18.618610163880366</v>
      </c>
      <c r="F6778" s="1">
        <f>32.4909017966898*(38.9/42.5)</f>
        <v>29.738731291558427</v>
      </c>
      <c r="G6778" s="1">
        <v>1.5954757733045781</v>
      </c>
      <c r="H6778" s="1">
        <v>7.3849505779404847</v>
      </c>
      <c r="I6778" s="1">
        <v>21.619272119563753</v>
      </c>
      <c r="J6778" s="1">
        <v>2.550589778463962E-2</v>
      </c>
      <c r="K6778" s="1">
        <v>1.6357265938287084</v>
      </c>
      <c r="L6778" s="1">
        <v>1.4000143901902882</v>
      </c>
      <c r="M6778" s="1">
        <v>0.11051005475900852</v>
      </c>
      <c r="N6778" s="1">
        <v>1.156314340854544</v>
      </c>
      <c r="O6778" s="1">
        <v>9.6319999999999989E-2</v>
      </c>
      <c r="P6778" s="1">
        <v>6.6060898686602268E-2</v>
      </c>
      <c r="Q6778" s="1">
        <v>2.549847126285858</v>
      </c>
      <c r="R6778" s="2">
        <f t="shared" si="423"/>
        <v>89.110660810220722</v>
      </c>
      <c r="S6778" s="2">
        <f t="shared" si="422"/>
        <v>1.7272933902999503</v>
      </c>
      <c r="T6778" s="2">
        <f t="shared" si="424"/>
        <v>2.7631587858038409</v>
      </c>
      <c r="U6778" s="2">
        <f t="shared" si="425"/>
        <v>93.601112986324509</v>
      </c>
    </row>
    <row r="6779" spans="1:21" x14ac:dyDescent="0.25">
      <c r="A6779">
        <v>7377189</v>
      </c>
      <c r="B6779">
        <v>18</v>
      </c>
      <c r="C6779" s="1">
        <f>1.89148779031737*(10.3/7.3)</f>
        <v>2.6688115397628596</v>
      </c>
      <c r="D6779" s="1">
        <f>4.05569065989591*(10.3/7.3)</f>
        <v>5.7224128488942281</v>
      </c>
      <c r="E6779" s="1">
        <f>13.9261876747567*(10.3/7.3)</f>
        <v>19.649278499999184</v>
      </c>
      <c r="F6779" s="1">
        <f>35.1584405568924*(38.9/42.5)</f>
        <v>32.180313827367364</v>
      </c>
      <c r="G6779" s="1">
        <v>1.7365090124751166</v>
      </c>
      <c r="H6779" s="1">
        <v>6.1773591598055742</v>
      </c>
      <c r="I6779" s="1">
        <v>24.227203966533889</v>
      </c>
      <c r="J6779" s="1">
        <v>2.6980175356730935E-2</v>
      </c>
      <c r="K6779" s="1">
        <v>1.7718859254837573</v>
      </c>
      <c r="L6779" s="1">
        <v>1.5412679911066085</v>
      </c>
      <c r="M6779" s="1">
        <v>0.11956698239629653</v>
      </c>
      <c r="N6779" s="1">
        <v>1.0987272717880077</v>
      </c>
      <c r="O6779" s="1">
        <v>0.10479703703703702</v>
      </c>
      <c r="P6779" s="1">
        <v>7.0464304588247845E-2</v>
      </c>
      <c r="Q6779" s="1">
        <v>2.7752427140013305</v>
      </c>
      <c r="R6779" s="2">
        <f t="shared" si="423"/>
        <v>95.13713156883955</v>
      </c>
      <c r="S6779" s="2">
        <f t="shared" si="422"/>
        <v>1.8693304054287361</v>
      </c>
      <c r="T6779" s="2">
        <f t="shared" si="424"/>
        <v>2.8643592823279498</v>
      </c>
      <c r="U6779" s="2">
        <f t="shared" si="425"/>
        <v>99.870821256596244</v>
      </c>
    </row>
    <row r="6780" spans="1:21" x14ac:dyDescent="0.25">
      <c r="A6780">
        <v>7388713</v>
      </c>
      <c r="B6780">
        <v>15</v>
      </c>
      <c r="C6780" s="1">
        <f>0.241101962305899*(10.3/7.3)</f>
        <v>0.34018496051380276</v>
      </c>
      <c r="D6780" s="1">
        <f>0.430427648064066*(10.3/7.3)</f>
        <v>0.60731572261094235</v>
      </c>
      <c r="E6780" s="1">
        <f>1.47715582967244*(10.3/7.3)</f>
        <v>2.0842061706337174</v>
      </c>
      <c r="F6780" s="1">
        <f>4.17727678784003*(38.9/42.5)</f>
        <v>3.82343687169358</v>
      </c>
      <c r="G6780" s="1">
        <v>0.2189045693144796</v>
      </c>
      <c r="H6780" s="1">
        <v>0.88299174069651543</v>
      </c>
      <c r="I6780" s="1">
        <v>3.0625162574775269</v>
      </c>
      <c r="J6780" s="1">
        <v>1.326368918456366E-2</v>
      </c>
      <c r="K6780" s="1">
        <v>1.2831952715401316</v>
      </c>
      <c r="L6780" s="1">
        <v>0.87801168687562425</v>
      </c>
      <c r="M6780" s="1">
        <v>0.11844239334657178</v>
      </c>
      <c r="N6780" s="1">
        <v>0.46582150625427765</v>
      </c>
      <c r="O6780" s="1">
        <v>0.12304355555555554</v>
      </c>
      <c r="P6780" s="1">
        <v>6.6721039981941316E-2</v>
      </c>
      <c r="Q6780" s="1">
        <v>0.34984748520578957</v>
      </c>
      <c r="R6780" s="2">
        <f t="shared" si="423"/>
        <v>11.369403778146353</v>
      </c>
      <c r="S6780" s="2">
        <f t="shared" si="422"/>
        <v>1.3631800007066366</v>
      </c>
      <c r="T6780" s="2">
        <f t="shared" si="424"/>
        <v>1.5853191420320292</v>
      </c>
      <c r="U6780" s="2">
        <f t="shared" si="425"/>
        <v>14.317902920885018</v>
      </c>
    </row>
    <row r="6781" spans="1:21" x14ac:dyDescent="0.25">
      <c r="A6781">
        <v>7388721</v>
      </c>
      <c r="B6781">
        <v>3</v>
      </c>
      <c r="C6781" s="1">
        <f>0.216657466485499*(10.3/7.3)</f>
        <v>0.30569478147954021</v>
      </c>
      <c r="D6781" s="1">
        <f>0.384457190920757*(10.3/7.3)</f>
        <v>0.5424532967786021</v>
      </c>
      <c r="E6781" s="1">
        <f>1.31984916653903*(10.3/7.3)</f>
        <v>1.8622529336098688</v>
      </c>
      <c r="F6781" s="1">
        <f>3.72215838532963*(38.9/42.5)</f>
        <v>3.4068696750428851</v>
      </c>
      <c r="G6781" s="1">
        <v>0.19463302305141253</v>
      </c>
      <c r="H6781" s="1">
        <v>0.84369043445957936</v>
      </c>
      <c r="I6781" s="1">
        <v>2.730203845266908</v>
      </c>
      <c r="J6781" s="1">
        <v>1.4197759771652664E-2</v>
      </c>
      <c r="K6781" s="1">
        <v>1.3517052985216331</v>
      </c>
      <c r="L6781" s="1">
        <v>0.93307907675624102</v>
      </c>
      <c r="M6781" s="1">
        <v>0.12191861648103512</v>
      </c>
      <c r="N6781" s="1">
        <v>0.51072702920314272</v>
      </c>
      <c r="O6781" s="1">
        <v>0.12828444444444445</v>
      </c>
      <c r="P6781" s="1">
        <v>6.9484250479039153E-2</v>
      </c>
      <c r="Q6781" s="1">
        <v>0.31105734277623043</v>
      </c>
      <c r="R6781" s="2">
        <f t="shared" si="423"/>
        <v>10.196855332465026</v>
      </c>
      <c r="S6781" s="2">
        <f t="shared" si="422"/>
        <v>1.435387308772325</v>
      </c>
      <c r="T6781" s="2">
        <f t="shared" si="424"/>
        <v>1.6940091668848634</v>
      </c>
      <c r="U6781" s="2">
        <f t="shared" si="425"/>
        <v>13.326251808122214</v>
      </c>
    </row>
    <row r="6782" spans="1:21" x14ac:dyDescent="0.25">
      <c r="A6782">
        <v>7388985</v>
      </c>
      <c r="B6782">
        <v>38</v>
      </c>
      <c r="C6782" s="1">
        <f>0.557105424028043*(10.3/7.3)</f>
        <v>0.78605285856011498</v>
      </c>
      <c r="D6782" s="1">
        <f>1.98849782892996*(10.3/7.3)</f>
        <v>2.8056887175313174</v>
      </c>
      <c r="E6782" s="1">
        <f>6.59577437813562*(10.3/7.3)</f>
        <v>9.306366588328336</v>
      </c>
      <c r="F6782" s="1">
        <f>24.7675938972409*(38.9/42.5)</f>
        <v>22.669633002415832</v>
      </c>
      <c r="G6782" s="1">
        <v>1.5327929393270152</v>
      </c>
      <c r="H6782" s="1">
        <v>7.4785630010284629</v>
      </c>
      <c r="I6782" s="1">
        <v>17.85971476144358</v>
      </c>
      <c r="J6782" s="1">
        <v>1.6158343234001091E-2</v>
      </c>
      <c r="K6782" s="1">
        <v>1.5421632055127634</v>
      </c>
      <c r="L6782" s="1">
        <v>1.2291655576427238</v>
      </c>
      <c r="M6782" s="1">
        <v>0.14765028795196389</v>
      </c>
      <c r="N6782" s="1">
        <v>0.64206285452201128</v>
      </c>
      <c r="O6782" s="1">
        <v>0.1199943859649123</v>
      </c>
      <c r="P6782" s="1">
        <v>7.2091404653686228E-2</v>
      </c>
      <c r="Q6782" s="1">
        <v>2.4496690811162365</v>
      </c>
      <c r="R6782" s="2">
        <f t="shared" si="423"/>
        <v>64.8884809497509</v>
      </c>
      <c r="S6782" s="2">
        <f t="shared" si="422"/>
        <v>1.6304129534004508</v>
      </c>
      <c r="T6782" s="2">
        <f t="shared" si="424"/>
        <v>2.138873086081611</v>
      </c>
      <c r="U6782" s="2">
        <f t="shared" si="425"/>
        <v>68.657766989232968</v>
      </c>
    </row>
    <row r="6783" spans="1:21" x14ac:dyDescent="0.25">
      <c r="A6783">
        <v>7388993</v>
      </c>
      <c r="B6783">
        <v>52</v>
      </c>
      <c r="C6783" s="1">
        <f>0.560143810007367*(10.3/7.3)</f>
        <v>0.79033989631176482</v>
      </c>
      <c r="D6783" s="1">
        <f>1.82377048524624*(10.3/7.3)</f>
        <v>2.5732652052104528</v>
      </c>
      <c r="E6783" s="1">
        <f>6.03190161970221*(10.3/7.3)</f>
        <v>8.5107652990318794</v>
      </c>
      <c r="F6783" s="1">
        <f>24.0580506170648*(38.9/42.5)</f>
        <v>22.02019221185456</v>
      </c>
      <c r="G6783" s="1">
        <v>1.5166552589232287</v>
      </c>
      <c r="H6783" s="1">
        <v>7.8422384590240961</v>
      </c>
      <c r="I6783" s="1">
        <v>17.69989733593215</v>
      </c>
      <c r="J6783" s="1">
        <v>1.5827639614858044E-2</v>
      </c>
      <c r="K6783" s="1">
        <v>1.4922607153063656</v>
      </c>
      <c r="L6783" s="1">
        <v>1.2023267785878908</v>
      </c>
      <c r="M6783" s="1">
        <v>0.14314991294361909</v>
      </c>
      <c r="N6783" s="1">
        <v>0.62786241000151344</v>
      </c>
      <c r="O6783" s="1">
        <v>0.11795794871794874</v>
      </c>
      <c r="P6783" s="1">
        <v>7.0505863686167097E-2</v>
      </c>
      <c r="Q6783" s="1">
        <v>2.4238782676855273</v>
      </c>
      <c r="R6783" s="2">
        <f t="shared" si="423"/>
        <v>63.377231933973661</v>
      </c>
      <c r="S6783" s="2">
        <f t="shared" si="422"/>
        <v>1.5785942186073907</v>
      </c>
      <c r="T6783" s="2">
        <f t="shared" si="424"/>
        <v>2.0912970502509722</v>
      </c>
      <c r="U6783" s="2">
        <f t="shared" si="425"/>
        <v>67.047123202832026</v>
      </c>
    </row>
    <row r="6784" spans="1:21" x14ac:dyDescent="0.25">
      <c r="A6784">
        <v>7389001</v>
      </c>
      <c r="B6784">
        <v>4</v>
      </c>
      <c r="C6784" s="1">
        <f>0.605801838086484*(10.3/7.3)</f>
        <v>0.8547614975740806</v>
      </c>
      <c r="D6784" s="1">
        <f>2.08492592431437*(10.3/7.3)</f>
        <v>2.9417447973202746</v>
      </c>
      <c r="E6784" s="1">
        <f>6.84975763052777*(10.3/7.3)</f>
        <v>9.6647265197857593</v>
      </c>
      <c r="F6784" s="1">
        <f>29.3794576150487*(38.9/42.5)</f>
        <v>26.890844734715145</v>
      </c>
      <c r="G6784" s="1">
        <v>1.8983157443975285</v>
      </c>
      <c r="H6784" s="1">
        <v>10.047026235442344</v>
      </c>
      <c r="I6784" s="1">
        <v>21.852016316250733</v>
      </c>
      <c r="J6784" s="1">
        <v>1.7836306993467419E-2</v>
      </c>
      <c r="K6784" s="1">
        <v>1.5291657852116463</v>
      </c>
      <c r="L6784" s="1">
        <v>1.2540943155861202</v>
      </c>
      <c r="M6784" s="1">
        <v>0.14728128323889669</v>
      </c>
      <c r="N6784" s="1">
        <v>0.70105968205521652</v>
      </c>
      <c r="O6784" s="1">
        <v>0.12106666666666667</v>
      </c>
      <c r="P6784" s="1">
        <v>7.2132994196953487E-2</v>
      </c>
      <c r="Q6784" s="1">
        <v>3.0338379476672861</v>
      </c>
      <c r="R6784" s="2">
        <f t="shared" si="423"/>
        <v>77.183273793153148</v>
      </c>
      <c r="S6784" s="2">
        <f t="shared" si="422"/>
        <v>1.6191350864020673</v>
      </c>
      <c r="T6784" s="2">
        <f t="shared" si="424"/>
        <v>2.2235019475469002</v>
      </c>
      <c r="U6784" s="2">
        <f t="shared" si="425"/>
        <v>81.025910827102109</v>
      </c>
    </row>
    <row r="6785" spans="1:21" x14ac:dyDescent="0.25">
      <c r="A6785">
        <v>7389305</v>
      </c>
      <c r="B6785">
        <v>58</v>
      </c>
      <c r="C6785" s="1">
        <f>1.41123714366274*(10.3/7.3)</f>
        <v>1.9911976136611202</v>
      </c>
      <c r="D6785" s="1">
        <f>3.42120795371625*(10.3/7.3)</f>
        <v>4.8271838251064896</v>
      </c>
      <c r="E6785" s="1">
        <f>11.643162663303*(10.3/7.3)</f>
        <v>16.42802403178365</v>
      </c>
      <c r="F6785" s="1">
        <f>32.8624498413266*(38.9/42.5)</f>
        <v>30.07880703123778</v>
      </c>
      <c r="G6785" s="1">
        <v>1.7572876438735916</v>
      </c>
      <c r="H6785" s="1">
        <v>7.1502778799268345</v>
      </c>
      <c r="I6785" s="1">
        <v>22.923532700568884</v>
      </c>
      <c r="J6785" s="1">
        <v>2.2568283928306059E-2</v>
      </c>
      <c r="K6785" s="1">
        <v>1.643644819416169</v>
      </c>
      <c r="L6785" s="1">
        <v>1.4444469444150763</v>
      </c>
      <c r="M6785" s="1">
        <v>0.1228873733265462</v>
      </c>
      <c r="N6785" s="1">
        <v>0.93281592130681168</v>
      </c>
      <c r="O6785" s="1">
        <v>0.10382804597701151</v>
      </c>
      <c r="P6785" s="1">
        <v>6.8053578306884133E-2</v>
      </c>
      <c r="Q6785" s="1">
        <v>2.8084505724007203</v>
      </c>
      <c r="R6785" s="2">
        <f t="shared" si="423"/>
        <v>87.964761298559068</v>
      </c>
      <c r="S6785" s="2">
        <f t="shared" si="422"/>
        <v>1.7342666816513592</v>
      </c>
      <c r="T6785" s="2">
        <f t="shared" si="424"/>
        <v>2.6039782850254456</v>
      </c>
      <c r="U6785" s="2">
        <f t="shared" si="425"/>
        <v>92.303006265235879</v>
      </c>
    </row>
    <row r="6786" spans="1:21" x14ac:dyDescent="0.25">
      <c r="A6786">
        <v>7389313</v>
      </c>
      <c r="B6786">
        <v>42</v>
      </c>
      <c r="C6786" s="1">
        <f>1.44684240375779*(10.3/7.3)</f>
        <v>2.0414351724253703</v>
      </c>
      <c r="D6786" s="1">
        <f>3.51294192075457*(10.3/7.3)</f>
        <v>4.9566166827085016</v>
      </c>
      <c r="E6786" s="1">
        <f>11.969449276502*(10.3/7.3)</f>
        <v>16.888401033968549</v>
      </c>
      <c r="F6786" s="1">
        <f>33.0379123734632*(38.9/42.5)</f>
        <v>30.239406854769832</v>
      </c>
      <c r="G6786" s="1">
        <v>1.7439515345760135</v>
      </c>
      <c r="H6786" s="1">
        <v>6.8144658050710021</v>
      </c>
      <c r="I6786" s="1">
        <v>22.896331624956037</v>
      </c>
      <c r="J6786" s="1">
        <v>2.2962198160848095E-2</v>
      </c>
      <c r="K6786" s="1">
        <v>1.656869879804125</v>
      </c>
      <c r="L6786" s="1">
        <v>1.4627451212831073</v>
      </c>
      <c r="M6786" s="1">
        <v>0.12419518702921384</v>
      </c>
      <c r="N6786" s="1">
        <v>0.94960724894544835</v>
      </c>
      <c r="O6786" s="1">
        <v>0.10498285714285714</v>
      </c>
      <c r="P6786" s="1">
        <v>6.8729102641033893E-2</v>
      </c>
      <c r="Q6786" s="1">
        <v>2.7871371557150924</v>
      </c>
      <c r="R6786" s="2">
        <f t="shared" si="423"/>
        <v>88.367745864190397</v>
      </c>
      <c r="S6786" s="2">
        <f t="shared" si="422"/>
        <v>1.7485611806060071</v>
      </c>
      <c r="T6786" s="2">
        <f t="shared" si="424"/>
        <v>2.6415304144006266</v>
      </c>
      <c r="U6786" s="2">
        <f t="shared" si="425"/>
        <v>92.75783745919702</v>
      </c>
    </row>
    <row r="6787" spans="1:21" x14ac:dyDescent="0.25">
      <c r="A6787">
        <v>7389321</v>
      </c>
      <c r="B6787">
        <v>7</v>
      </c>
      <c r="C6787" s="1">
        <f>2.52534075136587*(10.3/7.3)</f>
        <v>3.563152019050476</v>
      </c>
      <c r="D6787" s="1">
        <f>6.51275844826913*(10.3/7.3)</f>
        <v>9.1892345229002821</v>
      </c>
      <c r="E6787" s="1">
        <f>22.2030933096052*(10.3/7.3)</f>
        <v>31.327652203963549</v>
      </c>
      <c r="F6787" s="1">
        <f>59.0623230381628*(38.9/42.5)</f>
        <v>54.059396851400763</v>
      </c>
      <c r="G6787" s="1">
        <v>3.0595918830754809</v>
      </c>
      <c r="H6787" s="1">
        <v>12.581696559538747</v>
      </c>
      <c r="I6787" s="1">
        <v>40.12816517958133</v>
      </c>
      <c r="J6787" s="1">
        <v>3.4283874014393791E-2</v>
      </c>
      <c r="K6787" s="1">
        <v>2.2538767329541192</v>
      </c>
      <c r="L6787" s="1">
        <v>2.1275990517477763</v>
      </c>
      <c r="M6787" s="1">
        <v>0.16852028471616703</v>
      </c>
      <c r="N6787" s="1">
        <v>1.3374143879504976</v>
      </c>
      <c r="O6787" s="1">
        <v>0.14355809523809523</v>
      </c>
      <c r="P6787" s="1">
        <v>8.9560024663785209E-2</v>
      </c>
      <c r="Q6787" s="1">
        <v>4.8897587172439243</v>
      </c>
      <c r="R6787" s="2">
        <f t="shared" si="423"/>
        <v>158.79864793675455</v>
      </c>
      <c r="S6787" s="2">
        <f t="shared" si="422"/>
        <v>2.3777206316322981</v>
      </c>
      <c r="T6787" s="2">
        <f t="shared" si="424"/>
        <v>3.7770918196525365</v>
      </c>
      <c r="U6787" s="2">
        <f t="shared" si="425"/>
        <v>164.95346038803936</v>
      </c>
    </row>
    <row r="6788" spans="1:21" x14ac:dyDescent="0.25">
      <c r="A6788">
        <v>7389377</v>
      </c>
      <c r="B6788">
        <v>1</v>
      </c>
      <c r="C6788" s="1">
        <f>1.67282558840449*(10.3/7.3)</f>
        <v>2.3602881589816822</v>
      </c>
      <c r="D6788" s="1">
        <f>3.60031378421315*(10.3/7.3)</f>
        <v>5.0798947914240369</v>
      </c>
      <c r="E6788" s="1">
        <f>12.3103186633298*(10.3/7.3)</f>
        <v>17.369353730451596</v>
      </c>
      <c r="F6788" s="1">
        <f>33.6789515423386*(38.9/42.5)</f>
        <v>30.826146235222829</v>
      </c>
      <c r="G6788" s="1">
        <v>1.7542722860477371</v>
      </c>
      <c r="H6788" s="1">
        <v>12.882094822106783</v>
      </c>
      <c r="I6788" s="1">
        <v>23.720808510616351</v>
      </c>
      <c r="J6788" s="1">
        <v>3.0890523352549732E-2</v>
      </c>
      <c r="K6788" s="1">
        <v>1.6826067329042274</v>
      </c>
      <c r="L6788" s="1">
        <v>1.4533071852280171</v>
      </c>
      <c r="M6788" s="1">
        <v>0.11832533059568467</v>
      </c>
      <c r="N6788" s="1">
        <v>2.6551322465148353</v>
      </c>
      <c r="O6788" s="1">
        <v>0.1008</v>
      </c>
      <c r="P6788" s="1">
        <v>6.7523180819826584E-2</v>
      </c>
      <c r="Q6788" s="1">
        <v>2.8036315073822311</v>
      </c>
      <c r="R6788" s="2">
        <f t="shared" si="423"/>
        <v>96.796490042233245</v>
      </c>
      <c r="S6788" s="2">
        <f t="shared" si="422"/>
        <v>1.7810204370766038</v>
      </c>
      <c r="T6788" s="2">
        <f t="shared" si="424"/>
        <v>4.327564762338536</v>
      </c>
      <c r="U6788" s="2">
        <f t="shared" si="425"/>
        <v>102.90507524164839</v>
      </c>
    </row>
    <row r="6789" spans="1:21" x14ac:dyDescent="0.25">
      <c r="A6789">
        <v>7389385</v>
      </c>
      <c r="B6789">
        <v>11</v>
      </c>
      <c r="C6789" s="1">
        <f>1.5350166232645*(10.3/7.3)</f>
        <v>2.1658453725512867</v>
      </c>
      <c r="D6789" s="1">
        <f>3.51598445155843*(10.3/7.3)</f>
        <v>4.9609095686372386</v>
      </c>
      <c r="E6789" s="1">
        <f>11.914650869815*(10.3/7.3)</f>
        <v>16.811082734122593</v>
      </c>
      <c r="F6789" s="1">
        <f>37.0999257306481*(38.9/42.5)</f>
        <v>33.957343786404955</v>
      </c>
      <c r="G6789" s="1">
        <v>2.0841554593262166</v>
      </c>
      <c r="H6789" s="1">
        <v>9.7498998098903726</v>
      </c>
      <c r="I6789" s="1">
        <v>26.747884561120898</v>
      </c>
      <c r="J6789" s="1">
        <v>2.8343829606626493E-2</v>
      </c>
      <c r="K6789" s="1">
        <v>1.6739107367242065</v>
      </c>
      <c r="L6789" s="1">
        <v>1.439100483087252</v>
      </c>
      <c r="M6789" s="1">
        <v>0.11853554476794814</v>
      </c>
      <c r="N6789" s="1">
        <v>1.6190804298219135</v>
      </c>
      <c r="O6789" s="1">
        <v>9.8681212121212128E-2</v>
      </c>
      <c r="P6789" s="1">
        <v>6.7490046120555813E-2</v>
      </c>
      <c r="Q6789" s="1">
        <v>3.3308420582839107</v>
      </c>
      <c r="R6789" s="2">
        <f t="shared" si="423"/>
        <v>99.807963350337474</v>
      </c>
      <c r="S6789" s="2">
        <f t="shared" si="422"/>
        <v>1.7697446124513889</v>
      </c>
      <c r="T6789" s="2">
        <f t="shared" si="424"/>
        <v>3.275397669798326</v>
      </c>
      <c r="U6789" s="2">
        <f t="shared" si="425"/>
        <v>104.85310563258719</v>
      </c>
    </row>
    <row r="6790" spans="1:21" x14ac:dyDescent="0.25">
      <c r="A6790">
        <v>7389409</v>
      </c>
      <c r="B6790">
        <v>1</v>
      </c>
      <c r="C6790" s="1">
        <f>1.50076352788289*(10.3/7.3)</f>
        <v>2.1175156626292808</v>
      </c>
      <c r="D6790" s="1">
        <f>3.61175323624872*(10.3/7.3)</f>
        <v>5.0960353881317513</v>
      </c>
      <c r="E6790" s="1">
        <f>12.3485156010655*(10.3/7.3)</f>
        <v>17.423248039859601</v>
      </c>
      <c r="F6790" s="1">
        <f>32.0454393529191*(38.9/42.5)</f>
        <v>29.33100213714242</v>
      </c>
      <c r="G6790" s="1">
        <v>1.6265913062069537</v>
      </c>
      <c r="H6790" s="1">
        <v>6.7114538343075232</v>
      </c>
      <c r="I6790" s="1">
        <v>21.834917701556289</v>
      </c>
      <c r="J6790" s="1">
        <v>2.5026415760073945E-2</v>
      </c>
      <c r="K6790" s="1">
        <v>1.5994410708064666</v>
      </c>
      <c r="L6790" s="1">
        <v>1.3647202282222983</v>
      </c>
      <c r="M6790" s="1">
        <v>0.10945725692233244</v>
      </c>
      <c r="N6790" s="1">
        <v>1.2635789379627942</v>
      </c>
      <c r="O6790" s="1">
        <v>9.4026666666666675E-2</v>
      </c>
      <c r="P6790" s="1">
        <v>6.4699124983629175E-2</v>
      </c>
      <c r="Q6790" s="1">
        <v>2.5995751469060933</v>
      </c>
      <c r="R6790" s="2">
        <f t="shared" si="423"/>
        <v>86.740339216739912</v>
      </c>
      <c r="S6790" s="2">
        <f t="shared" si="422"/>
        <v>1.6891666115501698</v>
      </c>
      <c r="T6790" s="2">
        <f t="shared" si="424"/>
        <v>2.8317830897740914</v>
      </c>
      <c r="U6790" s="2">
        <f t="shared" si="425"/>
        <v>91.261288918064167</v>
      </c>
    </row>
    <row r="6791" spans="1:21" x14ac:dyDescent="0.25">
      <c r="A6791">
        <v>7389417</v>
      </c>
      <c r="B6791">
        <v>6</v>
      </c>
      <c r="C6791" s="1">
        <f>2.32058083013668*(10.3/7.3)</f>
        <v>3.2742441849873676</v>
      </c>
      <c r="D6791" s="1">
        <f>5.05413635923726*(10.3/7.3)</f>
        <v>7.1311786986498307</v>
      </c>
      <c r="E6791" s="1">
        <f>17.3368775098399*(10.3/7.3)</f>
        <v>24.461621691965945</v>
      </c>
      <c r="F6791" s="1">
        <f>44.3045621774151*(38.9/42.5)</f>
        <v>40.551705145916387</v>
      </c>
      <c r="G6791" s="1">
        <v>2.2095604858721551</v>
      </c>
      <c r="H6791" s="1">
        <v>7.5170746273979914</v>
      </c>
      <c r="I6791" s="1">
        <v>30.553980056805653</v>
      </c>
      <c r="J6791" s="1">
        <v>3.1009333057751845E-2</v>
      </c>
      <c r="K6791" s="1">
        <v>1.9816666772895781</v>
      </c>
      <c r="L6791" s="1">
        <v>1.7609258887851882</v>
      </c>
      <c r="M6791" s="1">
        <v>0.13348653230545368</v>
      </c>
      <c r="N6791" s="1">
        <v>1.2513588134731695</v>
      </c>
      <c r="O6791" s="1">
        <v>0.11768888888888888</v>
      </c>
      <c r="P6791" s="1">
        <v>7.7324967035506911E-2</v>
      </c>
      <c r="Q6791" s="1">
        <v>3.5312610504806163</v>
      </c>
      <c r="R6791" s="2">
        <f t="shared" si="423"/>
        <v>119.23062594207596</v>
      </c>
      <c r="S6791" s="2">
        <f t="shared" si="422"/>
        <v>2.0900009773828367</v>
      </c>
      <c r="T6791" s="2">
        <f t="shared" si="424"/>
        <v>3.2634601234527003</v>
      </c>
      <c r="U6791" s="2">
        <f t="shared" si="425"/>
        <v>124.58408704291151</v>
      </c>
    </row>
    <row r="6792" spans="1:21" x14ac:dyDescent="0.25">
      <c r="A6792">
        <v>7400933</v>
      </c>
      <c r="B6792">
        <v>13</v>
      </c>
      <c r="C6792" s="1">
        <f>0.247366786047968*(10.3/7.3)</f>
        <v>0.34902436935535169</v>
      </c>
      <c r="D6792" s="1">
        <f>0.437117139427108*(10.3/7.3)</f>
        <v>0.61675432001359043</v>
      </c>
      <c r="E6792" s="1">
        <f>1.50104942689446*(10.3/7.3)</f>
        <v>2.1179190543853328</v>
      </c>
      <c r="F6792" s="1">
        <f>4.22214603103067*(38.9/42.5)</f>
        <v>3.86450542604925</v>
      </c>
      <c r="G6792" s="1">
        <v>0.22035079507364141</v>
      </c>
      <c r="H6792" s="1">
        <v>0.85822063468349141</v>
      </c>
      <c r="I6792" s="1">
        <v>3.0975539751138337</v>
      </c>
      <c r="J6792" s="1">
        <v>1.2163633170499982E-2</v>
      </c>
      <c r="K6792" s="1">
        <v>1.221340778878276</v>
      </c>
      <c r="L6792" s="1">
        <v>0.83395323308458147</v>
      </c>
      <c r="M6792" s="1">
        <v>0.11275665123914655</v>
      </c>
      <c r="N6792" s="1">
        <v>0.42819309102203806</v>
      </c>
      <c r="O6792" s="1">
        <v>0.11804307692307693</v>
      </c>
      <c r="P6792" s="1">
        <v>6.5097159251138625E-2</v>
      </c>
      <c r="Q6792" s="1">
        <v>0.35215880491221274</v>
      </c>
      <c r="R6792" s="2">
        <f t="shared" si="423"/>
        <v>11.476487379586706</v>
      </c>
      <c r="S6792" s="2">
        <f t="shared" si="422"/>
        <v>1.2986015712999146</v>
      </c>
      <c r="T6792" s="2">
        <f t="shared" si="424"/>
        <v>1.4929460522688429</v>
      </c>
      <c r="U6792" s="2">
        <f t="shared" si="425"/>
        <v>14.268035003155463</v>
      </c>
    </row>
    <row r="6793" spans="1:21" x14ac:dyDescent="0.25">
      <c r="A6793">
        <v>7400941</v>
      </c>
      <c r="B6793">
        <v>48</v>
      </c>
      <c r="C6793" s="1">
        <f>0.294241391344537*(10.3/7.3)</f>
        <v>0.41516251107516888</v>
      </c>
      <c r="D6793" s="1">
        <f>0.549240821333325*(10.3/7.3)</f>
        <v>0.77495622736071912</v>
      </c>
      <c r="E6793" s="1">
        <f>1.87913204592489*(10.3/7.3)</f>
        <v>2.6513780921953862</v>
      </c>
      <c r="F6793" s="1">
        <f>5.47509398102743*(38.9/42.5)</f>
        <v>5.0113213143992255</v>
      </c>
      <c r="G6793" s="1">
        <v>0.29300907211991528</v>
      </c>
      <c r="H6793" s="1">
        <v>1.1244470414609384</v>
      </c>
      <c r="I6793" s="1">
        <v>4.0090049293925665</v>
      </c>
      <c r="J6793" s="1">
        <v>1.3984892383165541E-2</v>
      </c>
      <c r="K6793" s="1">
        <v>1.3690107189037872</v>
      </c>
      <c r="L6793" s="1">
        <v>0.94751578300896311</v>
      </c>
      <c r="M6793" s="1">
        <v>0.12413312032634316</v>
      </c>
      <c r="N6793" s="1">
        <v>0.49443869483002456</v>
      </c>
      <c r="O6793" s="1">
        <v>0.13036111111111109</v>
      </c>
      <c r="P6793" s="1">
        <v>7.1731983731674567E-2</v>
      </c>
      <c r="Q6793" s="1">
        <v>0.46827933900443125</v>
      </c>
      <c r="R6793" s="2">
        <f t="shared" si="423"/>
        <v>14.74755852700835</v>
      </c>
      <c r="S6793" s="2">
        <f t="shared" ref="S6793:S6856" si="426">J6793+K6793+P6793</f>
        <v>1.4547275950186274</v>
      </c>
      <c r="T6793" s="2">
        <f t="shared" si="424"/>
        <v>1.696448709276442</v>
      </c>
      <c r="U6793" s="2">
        <f t="shared" si="425"/>
        <v>17.898734831303418</v>
      </c>
    </row>
    <row r="6794" spans="1:21" x14ac:dyDescent="0.25">
      <c r="A6794">
        <v>7400949</v>
      </c>
      <c r="B6794">
        <v>40</v>
      </c>
      <c r="C6794" s="1">
        <f>0.336584457141187*(10.3/7.3)</f>
        <v>0.47490683678825002</v>
      </c>
      <c r="D6794" s="1">
        <f>0.655084545172631*(10.3/7.3)</f>
        <v>0.92429737195590378</v>
      </c>
      <c r="E6794" s="1">
        <f>2.23449287348733*(10.3/7.3)</f>
        <v>3.1527776160163685</v>
      </c>
      <c r="F6794" s="1">
        <f>6.71360634505289*(38.9/42.5)</f>
        <v>6.1449243958248836</v>
      </c>
      <c r="G6794" s="1">
        <v>0.36656511895172111</v>
      </c>
      <c r="H6794" s="1">
        <v>1.4086663062838853</v>
      </c>
      <c r="I6794" s="1">
        <v>4.9155226537496839</v>
      </c>
      <c r="J6794" s="1">
        <v>1.5456294006043637E-2</v>
      </c>
      <c r="K6794" s="1">
        <v>1.4772210383229629</v>
      </c>
      <c r="L6794" s="1">
        <v>1.0313849865886755</v>
      </c>
      <c r="M6794" s="1">
        <v>0.13321067227818165</v>
      </c>
      <c r="N6794" s="1">
        <v>0.54932785970348796</v>
      </c>
      <c r="O6794" s="1">
        <v>0.13973600000000003</v>
      </c>
      <c r="P6794" s="1">
        <v>7.5303427499721562E-2</v>
      </c>
      <c r="Q6794" s="1">
        <v>0.58583466499133585</v>
      </c>
      <c r="R6794" s="2">
        <f t="shared" ref="R6794:R6857" si="427">C6794+D6794+E6794+F6794+G6794+H6794+I6794+Q6794</f>
        <v>17.973494964562033</v>
      </c>
      <c r="S6794" s="2">
        <f t="shared" si="426"/>
        <v>1.5679807598287281</v>
      </c>
      <c r="T6794" s="2">
        <f t="shared" ref="T6794:T6857" si="428">L6794+M6794+N6794+O6794</f>
        <v>1.8536595185703453</v>
      </c>
      <c r="U6794" s="2">
        <f t="shared" ref="U6794:U6857" si="429">R6794+S6794+T6794</f>
        <v>21.395135242961107</v>
      </c>
    </row>
    <row r="6795" spans="1:21" x14ac:dyDescent="0.25">
      <c r="A6795">
        <v>7401221</v>
      </c>
      <c r="B6795">
        <v>26</v>
      </c>
      <c r="C6795" s="1">
        <f>0.554253686941968*(10.3/7.3)</f>
        <v>0.78202917472633904</v>
      </c>
      <c r="D6795" s="1">
        <f>1.85109820756299*(10.3/7.3)</f>
        <v>2.6118234983423001</v>
      </c>
      <c r="E6795" s="1">
        <f>6.13366680430433*(10.3/7.3)</f>
        <v>8.6543517923746034</v>
      </c>
      <c r="F6795" s="1">
        <f>23.7230918297678*(38.9/42.5)</f>
        <v>21.713606404187491</v>
      </c>
      <c r="G6795" s="1">
        <v>1.4809177900990145</v>
      </c>
      <c r="H6795" s="1">
        <v>6.2720595459714961</v>
      </c>
      <c r="I6795" s="1">
        <v>17.305988939967595</v>
      </c>
      <c r="J6795" s="1">
        <v>1.6029191793325917E-2</v>
      </c>
      <c r="K6795" s="1">
        <v>1.5234476007490936</v>
      </c>
      <c r="L6795" s="1">
        <v>1.2211685842507989</v>
      </c>
      <c r="M6795" s="1">
        <v>0.14611577503711973</v>
      </c>
      <c r="N6795" s="1">
        <v>0.63823970298101362</v>
      </c>
      <c r="O6795" s="1">
        <v>0.11990769230769228</v>
      </c>
      <c r="P6795" s="1">
        <v>7.1600793616420466E-2</v>
      </c>
      <c r="Q6795" s="1">
        <v>2.366763591482445</v>
      </c>
      <c r="R6795" s="2">
        <f t="shared" si="427"/>
        <v>61.187540737151288</v>
      </c>
      <c r="S6795" s="2">
        <f t="shared" si="426"/>
        <v>1.61107758615884</v>
      </c>
      <c r="T6795" s="2">
        <f t="shared" si="428"/>
        <v>2.125431754576625</v>
      </c>
      <c r="U6795" s="2">
        <f t="shared" si="429"/>
        <v>64.924050077886761</v>
      </c>
    </row>
    <row r="6796" spans="1:21" x14ac:dyDescent="0.25">
      <c r="A6796">
        <v>7401229</v>
      </c>
      <c r="B6796">
        <v>37</v>
      </c>
      <c r="C6796" s="1">
        <f>0.584100316939615*(10.3/7.3)</f>
        <v>0.8241415430791833</v>
      </c>
      <c r="D6796" s="1">
        <f>1.93562573078869*(10.3/7.3)</f>
        <v>2.7310883598799363</v>
      </c>
      <c r="E6796" s="1">
        <f>6.3840711304246*(10.3/7.3)</f>
        <v>9.00766200594156</v>
      </c>
      <c r="F6796" s="1">
        <f>26.290689061366*(38.9/42.5)</f>
        <v>24.063713046756199</v>
      </c>
      <c r="G6796" s="1">
        <v>1.67571499002487</v>
      </c>
      <c r="H6796" s="1">
        <v>7.6679762702335053</v>
      </c>
      <c r="I6796" s="1">
        <v>19.445939320650929</v>
      </c>
      <c r="J6796" s="1">
        <v>1.6560421496144905E-2</v>
      </c>
      <c r="K6796" s="1">
        <v>1.5248241219612633</v>
      </c>
      <c r="L6796" s="1">
        <v>1.239647198106709</v>
      </c>
      <c r="M6796" s="1">
        <v>0.14604895679698324</v>
      </c>
      <c r="N6796" s="1">
        <v>0.65849055536075063</v>
      </c>
      <c r="O6796" s="1">
        <v>0.12046126126126126</v>
      </c>
      <c r="P6796" s="1">
        <v>7.1883650859903739E-2</v>
      </c>
      <c r="Q6796" s="1">
        <v>2.6780833173913483</v>
      </c>
      <c r="R6796" s="2">
        <f t="shared" si="427"/>
        <v>68.094318853957532</v>
      </c>
      <c r="S6796" s="2">
        <f t="shared" si="426"/>
        <v>1.6132681943173119</v>
      </c>
      <c r="T6796" s="2">
        <f t="shared" si="428"/>
        <v>2.1646479715257039</v>
      </c>
      <c r="U6796" s="2">
        <f t="shared" si="429"/>
        <v>71.872235019800556</v>
      </c>
    </row>
    <row r="6797" spans="1:21" x14ac:dyDescent="0.25">
      <c r="A6797">
        <v>7401533</v>
      </c>
      <c r="B6797">
        <v>47</v>
      </c>
      <c r="C6797" s="1">
        <f>1.44536706956779*(10.3/7.3)</f>
        <v>2.0393535365134587</v>
      </c>
      <c r="D6797" s="1">
        <f>3.54470732870735*(10.3/7.3)</f>
        <v>5.0014363679021514</v>
      </c>
      <c r="E6797" s="1">
        <f>12.0594362536482*(10.3/7.3)</f>
        <v>17.015368960626894</v>
      </c>
      <c r="F6797" s="1">
        <f>34.0745519749342*(38.9/42.5)</f>
        <v>31.188236984116219</v>
      </c>
      <c r="G6797" s="1">
        <v>1.8244934006535389</v>
      </c>
      <c r="H6797" s="1">
        <v>7.1855852501573736</v>
      </c>
      <c r="I6797" s="1">
        <v>23.73734609178641</v>
      </c>
      <c r="J6797" s="1">
        <v>2.2246665894440885E-2</v>
      </c>
      <c r="K6797" s="1">
        <v>1.62733077429341</v>
      </c>
      <c r="L6797" s="1">
        <v>1.4280096009542393</v>
      </c>
      <c r="M6797" s="1">
        <v>0.12182803990903528</v>
      </c>
      <c r="N6797" s="1">
        <v>0.91510367470276444</v>
      </c>
      <c r="O6797" s="1">
        <v>0.10331460992907802</v>
      </c>
      <c r="P6797" s="1">
        <v>6.7503467132204231E-2</v>
      </c>
      <c r="Q6797" s="1">
        <v>2.9158570330079421</v>
      </c>
      <c r="R6797" s="2">
        <f t="shared" si="427"/>
        <v>90.907677624763977</v>
      </c>
      <c r="S6797" s="2">
        <f t="shared" si="426"/>
        <v>1.7170809073200552</v>
      </c>
      <c r="T6797" s="2">
        <f t="shared" si="428"/>
        <v>2.5682559254951172</v>
      </c>
      <c r="U6797" s="2">
        <f t="shared" si="429"/>
        <v>95.193014457579153</v>
      </c>
    </row>
    <row r="6798" spans="1:21" x14ac:dyDescent="0.25">
      <c r="A6798">
        <v>7401541</v>
      </c>
      <c r="B6798">
        <v>60</v>
      </c>
      <c r="C6798" s="1">
        <f>1.4014627422601*(10.3/7.3)</f>
        <v>1.9774063349697288</v>
      </c>
      <c r="D6798" s="1">
        <f>3.38797471269146*(10.3/7.3)</f>
        <v>4.7802930877701417</v>
      </c>
      <c r="E6798" s="1">
        <f>11.5377062337888*(10.3/7.3)</f>
        <v>16.279229343565031</v>
      </c>
      <c r="F6798" s="1">
        <f>32.2122974080896*(38.9/42.5)</f>
        <v>29.483726333522029</v>
      </c>
      <c r="G6798" s="1">
        <v>1.711407957101188</v>
      </c>
      <c r="H6798" s="1">
        <v>6.3135700972335878</v>
      </c>
      <c r="I6798" s="1">
        <v>22.410822283259495</v>
      </c>
      <c r="J6798" s="1">
        <v>2.2527593067448046E-2</v>
      </c>
      <c r="K6798" s="1">
        <v>1.6378959371225155</v>
      </c>
      <c r="L6798" s="1">
        <v>1.4378704850005526</v>
      </c>
      <c r="M6798" s="1">
        <v>0.12243676152715002</v>
      </c>
      <c r="N6798" s="1">
        <v>0.93370519564074117</v>
      </c>
      <c r="O6798" s="1">
        <v>0.10323733333333333</v>
      </c>
      <c r="P6798" s="1">
        <v>6.7821557809156913E-2</v>
      </c>
      <c r="Q6798" s="1">
        <v>2.7351268720795274</v>
      </c>
      <c r="R6798" s="2">
        <f t="shared" si="427"/>
        <v>85.691582309500731</v>
      </c>
      <c r="S6798" s="2">
        <f t="shared" si="426"/>
        <v>1.7282450879991205</v>
      </c>
      <c r="T6798" s="2">
        <f t="shared" si="428"/>
        <v>2.5972497755017772</v>
      </c>
      <c r="U6798" s="2">
        <f t="shared" si="429"/>
        <v>90.017077173001638</v>
      </c>
    </row>
    <row r="6799" spans="1:21" x14ac:dyDescent="0.25">
      <c r="A6799">
        <v>7401549</v>
      </c>
      <c r="B6799">
        <v>47</v>
      </c>
      <c r="C6799" s="1">
        <f>1.4520871845202*(10.3/7.3)</f>
        <v>2.0488353425421946</v>
      </c>
      <c r="D6799" s="1">
        <f>3.54742828391274*(10.3/7.3)</f>
        <v>5.0052755238768869</v>
      </c>
      <c r="E6799" s="1">
        <f>12.0958590769327*(10.3/7.3)</f>
        <v>17.066760067453046</v>
      </c>
      <c r="F6799" s="1">
        <f>32.8403787713691*(38.9/42.5)</f>
        <v>30.058605510735489</v>
      </c>
      <c r="G6799" s="1">
        <v>1.717038658634843</v>
      </c>
      <c r="H6799" s="1">
        <v>6.7055218313657772</v>
      </c>
      <c r="I6799" s="1">
        <v>22.630366401700247</v>
      </c>
      <c r="J6799" s="1">
        <v>2.3052874608312381E-2</v>
      </c>
      <c r="K6799" s="1">
        <v>1.649250599323667</v>
      </c>
      <c r="L6799" s="1">
        <v>1.4586091969872841</v>
      </c>
      <c r="M6799" s="1">
        <v>0.12344768514122557</v>
      </c>
      <c r="N6799" s="1">
        <v>0.94882944016296078</v>
      </c>
      <c r="O6799" s="1">
        <v>0.10427687943262411</v>
      </c>
      <c r="P6799" s="1">
        <v>6.8221528583774699E-2</v>
      </c>
      <c r="Q6799" s="1">
        <v>2.7441257101470118</v>
      </c>
      <c r="R6799" s="2">
        <f t="shared" si="427"/>
        <v>87.976529046455497</v>
      </c>
      <c r="S6799" s="2">
        <f t="shared" si="426"/>
        <v>1.7405250025157539</v>
      </c>
      <c r="T6799" s="2">
        <f t="shared" si="428"/>
        <v>2.6351632017240947</v>
      </c>
      <c r="U6799" s="2">
        <f t="shared" si="429"/>
        <v>92.352217250695347</v>
      </c>
    </row>
    <row r="6800" spans="1:21" x14ac:dyDescent="0.25">
      <c r="A6800">
        <v>7401557</v>
      </c>
      <c r="B6800">
        <v>19</v>
      </c>
      <c r="C6800" s="1">
        <f>2.06623307985295*(10.3/7.3)</f>
        <v>2.9153699619843039</v>
      </c>
      <c r="D6800" s="1">
        <f>5.39341011434012*(10.3/7.3)</f>
        <v>7.6098800243429103</v>
      </c>
      <c r="E6800" s="1">
        <f>18.4009076534094*(10.3/7.3)</f>
        <v>25.96292449727634</v>
      </c>
      <c r="F6800" s="1">
        <f>47.9870066222827*(38.9/42.5)</f>
        <v>43.922224884865834</v>
      </c>
      <c r="G6800" s="1">
        <v>2.4566023817044473</v>
      </c>
      <c r="H6800" s="1">
        <v>12.10720671937853</v>
      </c>
      <c r="I6800" s="1">
        <v>32.341927640325459</v>
      </c>
      <c r="J6800" s="1">
        <v>2.9737265236640494E-2</v>
      </c>
      <c r="K6800" s="1">
        <v>1.9924277481758976</v>
      </c>
      <c r="L6800" s="1">
        <v>1.8330092550176404</v>
      </c>
      <c r="M6800" s="1">
        <v>0.14756933192532626</v>
      </c>
      <c r="N6800" s="1">
        <v>1.1818891123137849</v>
      </c>
      <c r="O6800" s="1">
        <v>0.12550456140350877</v>
      </c>
      <c r="P6800" s="1">
        <v>8.0109808977636671E-2</v>
      </c>
      <c r="Q6800" s="1">
        <v>3.9260768657377052</v>
      </c>
      <c r="R6800" s="2">
        <f t="shared" si="427"/>
        <v>131.24221297561553</v>
      </c>
      <c r="S6800" s="2">
        <f t="shared" si="426"/>
        <v>2.1022748223901746</v>
      </c>
      <c r="T6800" s="2">
        <f t="shared" si="428"/>
        <v>3.2879722606602604</v>
      </c>
      <c r="U6800" s="2">
        <f t="shared" si="429"/>
        <v>136.63246005866597</v>
      </c>
    </row>
    <row r="6801" spans="1:21" x14ac:dyDescent="0.25">
      <c r="A6801">
        <v>7401613</v>
      </c>
      <c r="B6801">
        <v>22</v>
      </c>
      <c r="C6801" s="1">
        <f>1.87184476257474*(10.3/7.3)</f>
        <v>2.6410960348657251</v>
      </c>
      <c r="D6801" s="1">
        <f>4.03536998455549*(10.3/7.3)</f>
        <v>5.693741211085146</v>
      </c>
      <c r="E6801" s="1">
        <f>13.7904229478067*(10.3/7.3)</f>
        <v>19.45772004964504</v>
      </c>
      <c r="F6801" s="1">
        <f>38.0786050883144*(38.9/42.5)</f>
        <v>34.853123245539514</v>
      </c>
      <c r="G6801" s="1">
        <v>1.9949055765498094</v>
      </c>
      <c r="H6801" s="1">
        <v>12.943169113073276</v>
      </c>
      <c r="I6801" s="1">
        <v>26.878121891317939</v>
      </c>
      <c r="J6801" s="1">
        <v>3.3403271468415222E-2</v>
      </c>
      <c r="K6801" s="1">
        <v>1.8430676151729992</v>
      </c>
      <c r="L6801" s="1">
        <v>1.6176532932525993</v>
      </c>
      <c r="M6801" s="1">
        <v>0.12929428047801936</v>
      </c>
      <c r="N6801" s="1">
        <v>1.5303583395574369</v>
      </c>
      <c r="O6801" s="1">
        <v>0.10998060606060607</v>
      </c>
      <c r="P6801" s="1">
        <v>7.3027854516851634E-2</v>
      </c>
      <c r="Q6801" s="1">
        <v>3.1882052593261831</v>
      </c>
      <c r="R6801" s="2">
        <f t="shared" si="427"/>
        <v>107.65008238140264</v>
      </c>
      <c r="S6801" s="2">
        <f t="shared" si="426"/>
        <v>1.949498741158266</v>
      </c>
      <c r="T6801" s="2">
        <f t="shared" si="428"/>
        <v>3.3872865193486614</v>
      </c>
      <c r="U6801" s="2">
        <f t="shared" si="429"/>
        <v>112.98686764190957</v>
      </c>
    </row>
    <row r="6802" spans="1:21" x14ac:dyDescent="0.25">
      <c r="A6802">
        <v>7401621</v>
      </c>
      <c r="B6802">
        <v>1</v>
      </c>
      <c r="C6802" s="1">
        <f>2.1471911302592*(10.3/7.3)</f>
        <v>3.0295984440643449</v>
      </c>
      <c r="D6802" s="1">
        <f>4.69268899070012*(10.3/7.3)</f>
        <v>6.6211913156453681</v>
      </c>
      <c r="E6802" s="1">
        <f>16.0052794750053*(10.3/7.3)</f>
        <v>22.582791588021145</v>
      </c>
      <c r="F6802" s="1">
        <f>45.5085669903026*(38.9/42.5)</f>
        <v>41.653723668771057</v>
      </c>
      <c r="G6802" s="1">
        <v>2.4280845157957365</v>
      </c>
      <c r="H6802" s="1">
        <v>8.9821959724416001</v>
      </c>
      <c r="I6802" s="1">
        <v>32.299034747487994</v>
      </c>
      <c r="J6802" s="1">
        <v>3.4140817430579E-2</v>
      </c>
      <c r="K6802" s="1">
        <v>1.9565394289902098</v>
      </c>
      <c r="L6802" s="1">
        <v>1.7496188125344998</v>
      </c>
      <c r="M6802" s="1">
        <v>0.13679824151447337</v>
      </c>
      <c r="N6802" s="1">
        <v>1.3752342280394707</v>
      </c>
      <c r="O6802" s="1">
        <v>0.11610666666666666</v>
      </c>
      <c r="P6802" s="1">
        <v>7.6808657924934659E-2</v>
      </c>
      <c r="Q6802" s="1">
        <v>3.8805003677100851</v>
      </c>
      <c r="R6802" s="2">
        <f t="shared" si="427"/>
        <v>121.47712061993734</v>
      </c>
      <c r="S6802" s="2">
        <f t="shared" si="426"/>
        <v>2.0674889043457236</v>
      </c>
      <c r="T6802" s="2">
        <f t="shared" si="428"/>
        <v>3.3777579487551104</v>
      </c>
      <c r="U6802" s="2">
        <f t="shared" si="429"/>
        <v>126.92236747303816</v>
      </c>
    </row>
    <row r="6803" spans="1:21" x14ac:dyDescent="0.25">
      <c r="A6803">
        <v>7401653</v>
      </c>
      <c r="B6803">
        <v>10</v>
      </c>
      <c r="C6803" s="1">
        <f>2.30973401659917*(10.3/7.3)</f>
        <v>3.2589397768453985</v>
      </c>
      <c r="D6803" s="1">
        <f>4.93560874011489*(10.3/7.3)</f>
        <v>6.9639410990662078</v>
      </c>
      <c r="E6803" s="1">
        <f>16.9409924917177*(10.3/7.3)</f>
        <v>23.903044200642789</v>
      </c>
      <c r="F6803" s="1">
        <f>43.1857533317083*(38.9/42.5)</f>
        <v>39.52766599066949</v>
      </c>
      <c r="G6803" s="1">
        <v>2.1468644753228849</v>
      </c>
      <c r="H6803" s="1">
        <v>7.220019455185481</v>
      </c>
      <c r="I6803" s="1">
        <v>29.861299916297735</v>
      </c>
      <c r="J6803" s="1">
        <v>3.0517121421914511E-2</v>
      </c>
      <c r="K6803" s="1">
        <v>1.9658129709948757</v>
      </c>
      <c r="L6803" s="1">
        <v>1.7412504854652078</v>
      </c>
      <c r="M6803" s="1">
        <v>0.1325530176674358</v>
      </c>
      <c r="N6803" s="1">
        <v>1.2339686267285475</v>
      </c>
      <c r="O6803" s="1">
        <v>0.11709333333333334</v>
      </c>
      <c r="P6803" s="1">
        <v>7.6990902814366421E-2</v>
      </c>
      <c r="Q6803" s="1">
        <v>3.4310619468630619</v>
      </c>
      <c r="R6803" s="2">
        <f t="shared" si="427"/>
        <v>116.31283686089306</v>
      </c>
      <c r="S6803" s="2">
        <f t="shared" si="426"/>
        <v>2.0733209952311564</v>
      </c>
      <c r="T6803" s="2">
        <f t="shared" si="428"/>
        <v>3.2248654631945244</v>
      </c>
      <c r="U6803" s="2">
        <f t="shared" si="429"/>
        <v>121.61102331931873</v>
      </c>
    </row>
    <row r="6804" spans="1:21" x14ac:dyDescent="0.25">
      <c r="A6804">
        <v>7413169</v>
      </c>
      <c r="B6804">
        <v>60</v>
      </c>
      <c r="C6804" s="1">
        <f>0.313328862363975*(10.3/7.3)</f>
        <v>0.44209414826697824</v>
      </c>
      <c r="D6804" s="1">
        <f>0.589365783709872*(10.3/7.3)</f>
        <v>0.83157090030296954</v>
      </c>
      <c r="E6804" s="1">
        <f>2.01534482835196*(10.3/7.3)</f>
        <v>2.8435687304144071</v>
      </c>
      <c r="F6804" s="1">
        <f>5.9026011086465*(38.9/42.5)</f>
        <v>5.4026160735611537</v>
      </c>
      <c r="G6804" s="1">
        <v>0.31700290331058351</v>
      </c>
      <c r="H6804" s="1">
        <v>1.1998599218509791</v>
      </c>
      <c r="I6804" s="1">
        <v>4.3214256736118797</v>
      </c>
      <c r="J6804" s="1">
        <v>1.4298323700698744E-2</v>
      </c>
      <c r="K6804" s="1">
        <v>1.4206926590646938</v>
      </c>
      <c r="L6804" s="1">
        <v>0.98866575196059014</v>
      </c>
      <c r="M6804" s="1">
        <v>0.1264406234197413</v>
      </c>
      <c r="N6804" s="1">
        <v>0.5111017354641082</v>
      </c>
      <c r="O6804" s="1">
        <v>0.13511288888888892</v>
      </c>
      <c r="P6804" s="1">
        <v>7.4662312045884832E-2</v>
      </c>
      <c r="Q6804" s="1">
        <v>0.50662564456029358</v>
      </c>
      <c r="R6804" s="2">
        <f t="shared" si="427"/>
        <v>15.864763995879246</v>
      </c>
      <c r="S6804" s="2">
        <f t="shared" si="426"/>
        <v>1.5096532948112775</v>
      </c>
      <c r="T6804" s="2">
        <f t="shared" si="428"/>
        <v>1.7613209997333283</v>
      </c>
      <c r="U6804" s="2">
        <f t="shared" si="429"/>
        <v>19.135738290423852</v>
      </c>
    </row>
    <row r="6805" spans="1:21" x14ac:dyDescent="0.25">
      <c r="A6805">
        <v>7413177</v>
      </c>
      <c r="B6805">
        <v>48</v>
      </c>
      <c r="C6805" s="1">
        <f>0.299480588152665*(10.3/7.3)</f>
        <v>0.42255480246197968</v>
      </c>
      <c r="D6805" s="1">
        <f>0.570930572838546*(10.3/7.3)</f>
        <v>0.8055595753749345</v>
      </c>
      <c r="E6805" s="1">
        <f>1.95028394493506*(10.3/7.3)</f>
        <v>2.7517704976481054</v>
      </c>
      <c r="F6805" s="1">
        <f>5.77522156114901*(38.9/42.5)</f>
        <v>5.2860263230281568</v>
      </c>
      <c r="G6805" s="1">
        <v>0.3123818443185517</v>
      </c>
      <c r="H6805" s="1">
        <v>1.2327565707752297</v>
      </c>
      <c r="I6805" s="1">
        <v>4.229021316837339</v>
      </c>
      <c r="J6805" s="1">
        <v>1.5456753686450664E-2</v>
      </c>
      <c r="K6805" s="1">
        <v>1.4932042368793468</v>
      </c>
      <c r="L6805" s="1">
        <v>1.0484016785717263</v>
      </c>
      <c r="M6805" s="1">
        <v>0.13336375123225466</v>
      </c>
      <c r="N6805" s="1">
        <v>0.55587827171819859</v>
      </c>
      <c r="O6805" s="1">
        <v>0.14160111111111109</v>
      </c>
      <c r="P6805" s="1">
        <v>7.6579601474794465E-2</v>
      </c>
      <c r="Q6805" s="1">
        <v>0.49924039046343949</v>
      </c>
      <c r="R6805" s="2">
        <f t="shared" si="427"/>
        <v>15.539311320907737</v>
      </c>
      <c r="S6805" s="2">
        <f t="shared" si="426"/>
        <v>1.5852405920405919</v>
      </c>
      <c r="T6805" s="2">
        <f t="shared" si="428"/>
        <v>1.8792448126332908</v>
      </c>
      <c r="U6805" s="2">
        <f t="shared" si="429"/>
        <v>19.003796725581623</v>
      </c>
    </row>
    <row r="6806" spans="1:21" x14ac:dyDescent="0.25">
      <c r="A6806">
        <v>7413185</v>
      </c>
      <c r="B6806">
        <v>14</v>
      </c>
      <c r="C6806" s="1">
        <f>0.268064610658866*(10.3/7.3)</f>
        <v>0.37822814928579757</v>
      </c>
      <c r="D6806" s="1">
        <f>0.503933591645178*(10.3/7.3)</f>
        <v>0.71102958821168927</v>
      </c>
      <c r="E6806" s="1">
        <f>1.72282521860338*(10.3/7.3)</f>
        <v>2.4308355824129899</v>
      </c>
      <c r="F6806" s="1">
        <f>5.06710399702239*(38.9/42.5)</f>
        <v>4.6378904819804889</v>
      </c>
      <c r="G6806" s="1">
        <v>0.2727667319035606</v>
      </c>
      <c r="H6806" s="1">
        <v>1.1103698718149704</v>
      </c>
      <c r="I6806" s="1">
        <v>3.7135098130620827</v>
      </c>
      <c r="J6806" s="1">
        <v>1.4876066200842286E-2</v>
      </c>
      <c r="K6806" s="1">
        <v>1.4177033342771135</v>
      </c>
      <c r="L6806" s="1">
        <v>0.98372385822667041</v>
      </c>
      <c r="M6806" s="1">
        <v>0.1282685524537879</v>
      </c>
      <c r="N6806" s="1">
        <v>0.53785047558420906</v>
      </c>
      <c r="O6806" s="1">
        <v>0.13354666666666667</v>
      </c>
      <c r="P6806" s="1">
        <v>7.2532840332994647E-2</v>
      </c>
      <c r="Q6806" s="1">
        <v>0.43592856696916116</v>
      </c>
      <c r="R6806" s="2">
        <f t="shared" si="427"/>
        <v>13.690558785640741</v>
      </c>
      <c r="S6806" s="2">
        <f t="shared" si="426"/>
        <v>1.5051122408109503</v>
      </c>
      <c r="T6806" s="2">
        <f t="shared" si="428"/>
        <v>1.7833895529313342</v>
      </c>
      <c r="U6806" s="2">
        <f t="shared" si="429"/>
        <v>16.979060579383024</v>
      </c>
    </row>
    <row r="6807" spans="1:21" x14ac:dyDescent="0.25">
      <c r="A6807">
        <v>7413449</v>
      </c>
      <c r="B6807">
        <v>2</v>
      </c>
      <c r="C6807" s="1">
        <f>0.565375219700042*(10.3/7.3)</f>
        <v>0.79772120039868988</v>
      </c>
      <c r="D6807" s="1">
        <f>2.03199046048864*(10.3/7.3)</f>
        <v>2.8670550332921843</v>
      </c>
      <c r="E6807" s="1">
        <f>6.72227108171226*(10.3/7.3)</f>
        <v>9.4848482385803141</v>
      </c>
      <c r="F6807" s="1">
        <f>26.1311074781251*(38.9/42.5)</f>
        <v>23.917648962331</v>
      </c>
      <c r="G6807" s="1">
        <v>1.6373208003112212</v>
      </c>
      <c r="H6807" s="1">
        <v>7.8417862743698263</v>
      </c>
      <c r="I6807" s="1">
        <v>18.983463123589232</v>
      </c>
      <c r="J6807" s="1">
        <v>1.7358946570780354E-2</v>
      </c>
      <c r="K6807" s="1">
        <v>1.6374120809499177</v>
      </c>
      <c r="L6807" s="1">
        <v>1.3154253960137936</v>
      </c>
      <c r="M6807" s="1">
        <v>0.15591918624637585</v>
      </c>
      <c r="N6807" s="1">
        <v>0.69882763453759877</v>
      </c>
      <c r="O6807" s="1">
        <v>0.12768000000000002</v>
      </c>
      <c r="P6807" s="1">
        <v>7.5759095753862721E-2</v>
      </c>
      <c r="Q6807" s="1">
        <v>2.6167227402234161</v>
      </c>
      <c r="R6807" s="2">
        <f t="shared" si="427"/>
        <v>68.146566373095879</v>
      </c>
      <c r="S6807" s="2">
        <f t="shared" si="426"/>
        <v>1.7305301232745609</v>
      </c>
      <c r="T6807" s="2">
        <f t="shared" si="428"/>
        <v>2.297852216797768</v>
      </c>
      <c r="U6807" s="2">
        <f t="shared" si="429"/>
        <v>72.174948713168206</v>
      </c>
    </row>
    <row r="6808" spans="1:21" x14ac:dyDescent="0.25">
      <c r="A6808">
        <v>7413457</v>
      </c>
      <c r="B6808">
        <v>21</v>
      </c>
      <c r="C6808" s="1">
        <f>0.584919967646197*(10.3/7.3)</f>
        <v>0.82529803654189415</v>
      </c>
      <c r="D6808" s="1">
        <f>2.06865059034835*(10.3/7.3)</f>
        <v>2.9187809699435645</v>
      </c>
      <c r="E6808" s="1">
        <f>6.80045503408985*(10.3/7.3)</f>
        <v>9.5951625823459601</v>
      </c>
      <c r="F6808" s="1">
        <f>28.7855374125357*(38.9/42.5)</f>
        <v>26.347233067003298</v>
      </c>
      <c r="G6808" s="1">
        <v>1.8536478385848811</v>
      </c>
      <c r="H6808" s="1">
        <v>10.433641038758068</v>
      </c>
      <c r="I6808" s="1">
        <v>21.316831588581504</v>
      </c>
      <c r="J6808" s="1">
        <v>1.6977664404596013E-2</v>
      </c>
      <c r="K6808" s="1">
        <v>1.5796540676817219</v>
      </c>
      <c r="L6808" s="1">
        <v>1.2868521961499209</v>
      </c>
      <c r="M6808" s="1">
        <v>0.1503174058430391</v>
      </c>
      <c r="N6808" s="1">
        <v>0.6836235376872738</v>
      </c>
      <c r="O6808" s="1">
        <v>0.12429968253968256</v>
      </c>
      <c r="P6808" s="1">
        <v>7.3956573604813489E-2</v>
      </c>
      <c r="Q6808" s="1">
        <v>2.9624508835831471</v>
      </c>
      <c r="R6808" s="2">
        <f t="shared" si="427"/>
        <v>76.253046005342313</v>
      </c>
      <c r="S6808" s="2">
        <f t="shared" si="426"/>
        <v>1.6705883056911315</v>
      </c>
      <c r="T6808" s="2">
        <f t="shared" si="428"/>
        <v>2.2450928222199162</v>
      </c>
      <c r="U6808" s="2">
        <f t="shared" si="429"/>
        <v>80.168727133253356</v>
      </c>
    </row>
    <row r="6809" spans="1:21" x14ac:dyDescent="0.25">
      <c r="A6809">
        <v>7413465</v>
      </c>
      <c r="B6809">
        <v>2</v>
      </c>
      <c r="C6809" s="1">
        <f>0.613966820125125*(10.3/7.3)</f>
        <v>0.86628195168339595</v>
      </c>
      <c r="D6809" s="1">
        <f>2.48236077494923*(10.3/7.3)</f>
        <v>3.5025090386269997</v>
      </c>
      <c r="E6809" s="1">
        <f>8.06669435918327*(10.3/7.3)</f>
        <v>11.381774232820231</v>
      </c>
      <c r="F6809" s="1">
        <f>38.2035183872614*(38.9/42.5)</f>
        <v>34.967455653281633</v>
      </c>
      <c r="G6809" s="1">
        <v>2.547181900353106</v>
      </c>
      <c r="H6809" s="1">
        <v>12.722538236956829</v>
      </c>
      <c r="I6809" s="1">
        <v>28.690984635902357</v>
      </c>
      <c r="J6809" s="1">
        <v>1.8432477121356598E-2</v>
      </c>
      <c r="K6809" s="1">
        <v>1.6628756641576743</v>
      </c>
      <c r="L6809" s="1">
        <v>1.3830273378257734</v>
      </c>
      <c r="M6809" s="1">
        <v>0.1571221508011946</v>
      </c>
      <c r="N6809" s="1">
        <v>0.78055503094427747</v>
      </c>
      <c r="O6809" s="1">
        <v>0.13066666666666665</v>
      </c>
      <c r="P6809" s="1">
        <v>7.7033646623686725E-2</v>
      </c>
      <c r="Q6809" s="1">
        <v>4.0708386535323653</v>
      </c>
      <c r="R6809" s="2">
        <f t="shared" si="427"/>
        <v>98.749564303156916</v>
      </c>
      <c r="S6809" s="2">
        <f t="shared" si="426"/>
        <v>1.7583417879027177</v>
      </c>
      <c r="T6809" s="2">
        <f t="shared" si="428"/>
        <v>2.4513711862379122</v>
      </c>
      <c r="U6809" s="2">
        <f t="shared" si="429"/>
        <v>102.95927727729755</v>
      </c>
    </row>
    <row r="6810" spans="1:21" x14ac:dyDescent="0.25">
      <c r="A6810">
        <v>7413561</v>
      </c>
      <c r="B6810">
        <v>2</v>
      </c>
      <c r="C6810" s="1">
        <f>0.773283542830315*(10.3/7.3)</f>
        <v>1.0910713001578418</v>
      </c>
      <c r="D6810" s="1">
        <f>2.18360065518006*(10.3/7.3)</f>
        <v>3.0809707874458341</v>
      </c>
      <c r="E6810" s="1">
        <f>7.21719278477524*(10.3/7.3)</f>
        <v>10.183162422354105</v>
      </c>
      <c r="F6810" s="1">
        <f>30.0702798654287*(38.9/42.5)</f>
        <v>27.523150276827643</v>
      </c>
      <c r="G6810" s="1">
        <v>1.9152146976117497</v>
      </c>
      <c r="H6810" s="1">
        <v>9.1703047886183882</v>
      </c>
      <c r="I6810" s="1">
        <v>22.560181341129084</v>
      </c>
      <c r="J6810" s="1">
        <v>2.0681375112682334E-2</v>
      </c>
      <c r="K6810" s="1">
        <v>1.7330935617463208</v>
      </c>
      <c r="L6810" s="1">
        <v>1.5857992881086429</v>
      </c>
      <c r="M6810" s="1">
        <v>0.14801427464535294</v>
      </c>
      <c r="N6810" s="1">
        <v>0.94710171215464933</v>
      </c>
      <c r="O6810" s="1">
        <v>0.12381333333333333</v>
      </c>
      <c r="P6810" s="1">
        <v>7.5960398543520241E-2</v>
      </c>
      <c r="Q6810" s="1">
        <v>3.060845407142069</v>
      </c>
      <c r="R6810" s="2">
        <f t="shared" si="427"/>
        <v>78.584901021286711</v>
      </c>
      <c r="S6810" s="2">
        <f t="shared" si="426"/>
        <v>1.8297353354025234</v>
      </c>
      <c r="T6810" s="2">
        <f t="shared" si="428"/>
        <v>2.8047286082419784</v>
      </c>
      <c r="U6810" s="2">
        <f t="shared" si="429"/>
        <v>83.219364964931202</v>
      </c>
    </row>
    <row r="6811" spans="1:21" x14ac:dyDescent="0.25">
      <c r="A6811">
        <v>7413753</v>
      </c>
      <c r="B6811">
        <v>13</v>
      </c>
      <c r="C6811" s="1">
        <f>2.0210245410092*(10.3/7.3)</f>
        <v>2.851582571560928</v>
      </c>
      <c r="D6811" s="1">
        <f>4.99125028861726*(10.3/7.3)</f>
        <v>7.0424490373640731</v>
      </c>
      <c r="E6811" s="1">
        <f>17.0219584538496*(10.3/7.3)</f>
        <v>24.017283845842655</v>
      </c>
      <c r="F6811" s="1">
        <f>45.8380590972351*(38.9/42.5)</f>
        <v>41.955305856057564</v>
      </c>
      <c r="G6811" s="1">
        <v>2.3862394887890934</v>
      </c>
      <c r="H6811" s="1">
        <v>9.9622739116703833</v>
      </c>
      <c r="I6811" s="1">
        <v>31.459857750176482</v>
      </c>
      <c r="J6811" s="1">
        <v>2.5119766242732749E-2</v>
      </c>
      <c r="K6811" s="1">
        <v>1.7920196279710796</v>
      </c>
      <c r="L6811" s="1">
        <v>1.5882667861948672</v>
      </c>
      <c r="M6811" s="1">
        <v>0.1310251601873898</v>
      </c>
      <c r="N6811" s="1">
        <v>1.0188183313821721</v>
      </c>
      <c r="O6811" s="1">
        <v>0.11441230769230767</v>
      </c>
      <c r="P6811" s="1">
        <v>7.2528383786404332E-2</v>
      </c>
      <c r="Q6811" s="1">
        <v>3.8136247537725274</v>
      </c>
      <c r="R6811" s="2">
        <f t="shared" si="427"/>
        <v>123.4886172152337</v>
      </c>
      <c r="S6811" s="2">
        <f t="shared" si="426"/>
        <v>1.8896677780002167</v>
      </c>
      <c r="T6811" s="2">
        <f t="shared" si="428"/>
        <v>2.8525225854567369</v>
      </c>
      <c r="U6811" s="2">
        <f t="shared" si="429"/>
        <v>128.23080757869064</v>
      </c>
    </row>
    <row r="6812" spans="1:21" x14ac:dyDescent="0.25">
      <c r="A6812">
        <v>7413761</v>
      </c>
      <c r="B6812">
        <v>6</v>
      </c>
      <c r="C6812" s="1">
        <f>1.60073477138039*(10.3/7.3)</f>
        <v>2.2585709787969952</v>
      </c>
      <c r="D6812" s="1">
        <f>3.98076137672851*(10.3/7.3)</f>
        <v>5.6166907096306442</v>
      </c>
      <c r="E6812" s="1">
        <f>13.5418104173608*(10.3/7.3)</f>
        <v>19.10693798613914</v>
      </c>
      <c r="F6812" s="1">
        <f>38.0949557854194*(38.9/42.5)</f>
        <v>34.868088942419128</v>
      </c>
      <c r="G6812" s="1">
        <v>2.0362791560882352</v>
      </c>
      <c r="H6812" s="1">
        <v>7.2337917077984244</v>
      </c>
      <c r="I6812" s="1">
        <v>26.453434964901614</v>
      </c>
      <c r="J6812" s="1">
        <v>2.3746382626646401E-2</v>
      </c>
      <c r="K6812" s="1">
        <v>1.7200598898433952</v>
      </c>
      <c r="L6812" s="1">
        <v>1.5195536121232067</v>
      </c>
      <c r="M6812" s="1">
        <v>0.12882555989507505</v>
      </c>
      <c r="N6812" s="1">
        <v>0.98537262925182745</v>
      </c>
      <c r="O6812" s="1">
        <v>0.10961777777777777</v>
      </c>
      <c r="P6812" s="1">
        <v>7.0628735353232844E-2</v>
      </c>
      <c r="Q6812" s="1">
        <v>3.2543274184058575</v>
      </c>
      <c r="R6812" s="2">
        <f t="shared" si="427"/>
        <v>100.82812186418005</v>
      </c>
      <c r="S6812" s="2">
        <f t="shared" si="426"/>
        <v>1.8144350078232745</v>
      </c>
      <c r="T6812" s="2">
        <f t="shared" si="428"/>
        <v>2.7433695790478869</v>
      </c>
      <c r="U6812" s="2">
        <f t="shared" si="429"/>
        <v>105.38592645105122</v>
      </c>
    </row>
    <row r="6813" spans="1:21" x14ac:dyDescent="0.25">
      <c r="A6813">
        <v>7413769</v>
      </c>
      <c r="B6813">
        <v>64</v>
      </c>
      <c r="C6813" s="1">
        <f>1.42218802237993*(10.3/7.3)</f>
        <v>2.0066488534949691</v>
      </c>
      <c r="D6813" s="1">
        <f>3.46040690600149*(10.3/7.3)</f>
        <v>4.8824919358651213</v>
      </c>
      <c r="E6813" s="1">
        <f>11.7787074857154*(10.3/7.3)</f>
        <v>16.619272205872452</v>
      </c>
      <c r="F6813" s="1">
        <f>33.0826467621324*(38.9/42.5)</f>
        <v>30.280351977575332</v>
      </c>
      <c r="G6813" s="1">
        <v>1.7644653054467911</v>
      </c>
      <c r="H6813" s="1">
        <v>6.4173763518748945</v>
      </c>
      <c r="I6813" s="1">
        <v>23.033599944776824</v>
      </c>
      <c r="J6813" s="1">
        <v>2.257702639121964E-2</v>
      </c>
      <c r="K6813" s="1">
        <v>1.6477874423922447</v>
      </c>
      <c r="L6813" s="1">
        <v>1.4436202918396757</v>
      </c>
      <c r="M6813" s="1">
        <v>0.12297754140863126</v>
      </c>
      <c r="N6813" s="1">
        <v>0.93397081818313232</v>
      </c>
      <c r="O6813" s="1">
        <v>0.1038308333333333</v>
      </c>
      <c r="P6813" s="1">
        <v>6.7950053192087759E-2</v>
      </c>
      <c r="Q6813" s="1">
        <v>2.8199217210336878</v>
      </c>
      <c r="R6813" s="2">
        <f t="shared" si="427"/>
        <v>87.824128295940085</v>
      </c>
      <c r="S6813" s="2">
        <f t="shared" si="426"/>
        <v>1.7383145219755523</v>
      </c>
      <c r="T6813" s="2">
        <f t="shared" si="428"/>
        <v>2.6043994847647727</v>
      </c>
      <c r="U6813" s="2">
        <f t="shared" si="429"/>
        <v>92.166842302680408</v>
      </c>
    </row>
    <row r="6814" spans="1:21" x14ac:dyDescent="0.25">
      <c r="A6814">
        <v>7413777</v>
      </c>
      <c r="B6814">
        <v>66</v>
      </c>
      <c r="C6814" s="1">
        <f>1.40062934682807*(10.3/7.3)</f>
        <v>1.9762304482642623</v>
      </c>
      <c r="D6814" s="1">
        <f>3.38398425130496*(10.3/7.3)</f>
        <v>4.7746627107453543</v>
      </c>
      <c r="E6814" s="1">
        <f>11.5303326836228*(10.3/7.3)</f>
        <v>16.268825567303413</v>
      </c>
      <c r="F6814" s="1">
        <f>31.8812820169953*(38.9/42.5)</f>
        <v>29.180749893202769</v>
      </c>
      <c r="G6814" s="1">
        <v>1.6841241541387761</v>
      </c>
      <c r="H6814" s="1">
        <v>6.1486033478088489</v>
      </c>
      <c r="I6814" s="1">
        <v>22.121701438997842</v>
      </c>
      <c r="J6814" s="1">
        <v>2.2623990941896127E-2</v>
      </c>
      <c r="K6814" s="1">
        <v>1.6375448924538272</v>
      </c>
      <c r="L6814" s="1">
        <v>1.4366336172698866</v>
      </c>
      <c r="M6814" s="1">
        <v>0.12212375791361377</v>
      </c>
      <c r="N6814" s="1">
        <v>0.9392597583471487</v>
      </c>
      <c r="O6814" s="1">
        <v>0.10282101010101009</v>
      </c>
      <c r="P6814" s="1">
        <v>6.7624241066215743E-2</v>
      </c>
      <c r="Q6814" s="1">
        <v>2.6915226207697356</v>
      </c>
      <c r="R6814" s="2">
        <f t="shared" si="427"/>
        <v>84.846420181231011</v>
      </c>
      <c r="S6814" s="2">
        <f t="shared" si="426"/>
        <v>1.7277931244619391</v>
      </c>
      <c r="T6814" s="2">
        <f t="shared" si="428"/>
        <v>2.6008381436316594</v>
      </c>
      <c r="U6814" s="2">
        <f t="shared" si="429"/>
        <v>89.175051449324613</v>
      </c>
    </row>
    <row r="6815" spans="1:21" x14ac:dyDescent="0.25">
      <c r="A6815">
        <v>7413785</v>
      </c>
      <c r="B6815">
        <v>65</v>
      </c>
      <c r="C6815" s="1">
        <f>1.6082716778776*(10.3/7.3)</f>
        <v>2.2692052441286723</v>
      </c>
      <c r="D6815" s="1">
        <f>4.00952405651479*(10.3/7.3)</f>
        <v>5.6572736687811451</v>
      </c>
      <c r="E6815" s="1">
        <f>13.6744543734881*(10.3/7.3)</f>
        <v>19.294093157113402</v>
      </c>
      <c r="F6815" s="1">
        <f>36.6428938826587*(38.9/42.5)</f>
        <v>33.539025224362888</v>
      </c>
      <c r="G6815" s="1">
        <v>1.902884032848845</v>
      </c>
      <c r="H6815" s="1">
        <v>7.6106553182295293</v>
      </c>
      <c r="I6815" s="1">
        <v>25.076669569766242</v>
      </c>
      <c r="J6815" s="1">
        <v>2.5192096546778873E-2</v>
      </c>
      <c r="K6815" s="1">
        <v>1.7592972729711904</v>
      </c>
      <c r="L6815" s="1">
        <v>1.5707337325033843</v>
      </c>
      <c r="M6815" s="1">
        <v>0.1307276745840539</v>
      </c>
      <c r="N6815" s="1">
        <v>1.0330622398550275</v>
      </c>
      <c r="O6815" s="1">
        <v>0.11045251282051287</v>
      </c>
      <c r="P6815" s="1">
        <v>7.1773265904997871E-2</v>
      </c>
      <c r="Q6815" s="1">
        <v>3.0411388652835463</v>
      </c>
      <c r="R6815" s="2">
        <f t="shared" si="427"/>
        <v>98.390945080514271</v>
      </c>
      <c r="S6815" s="2">
        <f t="shared" si="426"/>
        <v>1.8562626354229672</v>
      </c>
      <c r="T6815" s="2">
        <f t="shared" si="428"/>
        <v>2.8449761597629788</v>
      </c>
      <c r="U6815" s="2">
        <f t="shared" si="429"/>
        <v>103.09218387570021</v>
      </c>
    </row>
    <row r="6816" spans="1:21" x14ac:dyDescent="0.25">
      <c r="A6816">
        <v>7413793</v>
      </c>
      <c r="B6816">
        <v>24</v>
      </c>
      <c r="C6816" s="1">
        <f>1.75673239569589*(10.3/7.3)</f>
        <v>2.4786772158448898</v>
      </c>
      <c r="D6816" s="1">
        <f>4.55771484338562*(10.3/7.3)</f>
        <v>6.4307483406673764</v>
      </c>
      <c r="E6816" s="1">
        <f>15.5565763888963*(10.3/7.3)</f>
        <v>21.949689973374269</v>
      </c>
      <c r="F6816" s="1">
        <f>40.3270938734925*(38.9/42.5)</f>
        <v>36.911151804208451</v>
      </c>
      <c r="G6816" s="1">
        <v>2.0556816579267854</v>
      </c>
      <c r="H6816" s="1">
        <v>9.5304268005401678</v>
      </c>
      <c r="I6816" s="1">
        <v>27.151495811258808</v>
      </c>
      <c r="J6816" s="1">
        <v>2.7060678361347054E-2</v>
      </c>
      <c r="K6816" s="1">
        <v>1.8265646835279608</v>
      </c>
      <c r="L6816" s="1">
        <v>1.6449228026386822</v>
      </c>
      <c r="M6816" s="1">
        <v>0.13403045365344854</v>
      </c>
      <c r="N6816" s="1">
        <v>1.091365927538934</v>
      </c>
      <c r="O6816" s="1">
        <v>0.11378666666666666</v>
      </c>
      <c r="P6816" s="1">
        <v>7.3896344808190642E-2</v>
      </c>
      <c r="Q6816" s="1">
        <v>3.2853359829880162</v>
      </c>
      <c r="R6816" s="2">
        <f t="shared" si="427"/>
        <v>109.79320758680878</v>
      </c>
      <c r="S6816" s="2">
        <f t="shared" si="426"/>
        <v>1.9275217066974983</v>
      </c>
      <c r="T6816" s="2">
        <f t="shared" si="428"/>
        <v>2.9841058504977309</v>
      </c>
      <c r="U6816" s="2">
        <f t="shared" si="429"/>
        <v>114.70483514400401</v>
      </c>
    </row>
    <row r="6817" spans="1:21" x14ac:dyDescent="0.25">
      <c r="A6817">
        <v>7413849</v>
      </c>
      <c r="B6817">
        <v>27</v>
      </c>
      <c r="C6817" s="1">
        <f>1.64979842135423*(10.3/7.3)</f>
        <v>2.3277977725956998</v>
      </c>
      <c r="D6817" s="1">
        <f>3.51693479837239*(10.3/7.3)</f>
        <v>4.9622504689363858</v>
      </c>
      <c r="E6817" s="1">
        <f>12.0134117939032*(10.3/7.3)</f>
        <v>16.950430339342862</v>
      </c>
      <c r="F6817" s="1">
        <f>33.629791459654*(38.9/42.5)</f>
        <v>30.781150300718576</v>
      </c>
      <c r="G6817" s="1">
        <v>1.7750159746493208</v>
      </c>
      <c r="H6817" s="1">
        <v>8.0473747788223005</v>
      </c>
      <c r="I6817" s="1">
        <v>23.865647380433803</v>
      </c>
      <c r="J6817" s="1">
        <v>2.9148609632364233E-2</v>
      </c>
      <c r="K6817" s="1">
        <v>1.7238385545327364</v>
      </c>
      <c r="L6817" s="1">
        <v>1.490980664400593</v>
      </c>
      <c r="M6817" s="1">
        <v>0.12073616972845309</v>
      </c>
      <c r="N6817" s="1">
        <v>1.220628609745833</v>
      </c>
      <c r="O6817" s="1">
        <v>0.10214518518518519</v>
      </c>
      <c r="P6817" s="1">
        <v>6.9090282035411843E-2</v>
      </c>
      <c r="Q6817" s="1">
        <v>2.8367835211290546</v>
      </c>
      <c r="R6817" s="2">
        <f t="shared" si="427"/>
        <v>91.546450536628001</v>
      </c>
      <c r="S6817" s="2">
        <f t="shared" si="426"/>
        <v>1.8220774462005125</v>
      </c>
      <c r="T6817" s="2">
        <f t="shared" si="428"/>
        <v>2.9344906290600643</v>
      </c>
      <c r="U6817" s="2">
        <f t="shared" si="429"/>
        <v>96.303018611888575</v>
      </c>
    </row>
    <row r="6818" spans="1:21" x14ac:dyDescent="0.25">
      <c r="A6818">
        <v>7413865</v>
      </c>
      <c r="B6818">
        <v>1</v>
      </c>
      <c r="C6818" s="1">
        <f>1.7588566186653*(10.3/7.3)</f>
        <v>2.4816744071578829</v>
      </c>
      <c r="D6818" s="1">
        <f>3.68904361287294*(10.3/7.3)</f>
        <v>5.2050889332316883</v>
      </c>
      <c r="E6818" s="1">
        <f>12.6359979856994*(10.3/7.3)</f>
        <v>17.828873870233465</v>
      </c>
      <c r="F6818" s="1">
        <f>33.8793401991977*(38.9/42.5)</f>
        <v>31.009560794089175</v>
      </c>
      <c r="G6818" s="1">
        <v>1.7392509943017624</v>
      </c>
      <c r="H6818" s="1">
        <v>8.6026192540848694</v>
      </c>
      <c r="I6818" s="1">
        <v>23.835705207649539</v>
      </c>
      <c r="J6818" s="1">
        <v>2.8514329248507442E-2</v>
      </c>
      <c r="K6818" s="1">
        <v>1.7643061158566271</v>
      </c>
      <c r="L6818" s="1">
        <v>1.5313506113718167</v>
      </c>
      <c r="M6818" s="1">
        <v>0.12298082697897302</v>
      </c>
      <c r="N6818" s="1">
        <v>1.1131671539321442</v>
      </c>
      <c r="O6818" s="1">
        <v>0.10554666666666666</v>
      </c>
      <c r="P6818" s="1">
        <v>7.0151418507431049E-2</v>
      </c>
      <c r="Q6818" s="1">
        <v>2.7796248767379796</v>
      </c>
      <c r="R6818" s="2">
        <f t="shared" si="427"/>
        <v>93.482398337486359</v>
      </c>
      <c r="S6818" s="2">
        <f t="shared" si="426"/>
        <v>1.8629718636125656</v>
      </c>
      <c r="T6818" s="2">
        <f t="shared" si="428"/>
        <v>2.8730452589496003</v>
      </c>
      <c r="U6818" s="2">
        <f t="shared" si="429"/>
        <v>98.218415460048533</v>
      </c>
    </row>
    <row r="6819" spans="1:21" x14ac:dyDescent="0.25">
      <c r="A6819">
        <v>7425397</v>
      </c>
      <c r="B6819">
        <v>58</v>
      </c>
      <c r="C6819" s="1">
        <f>0.335841024882563*(10.3/7.3)</f>
        <v>0.47385788442334292</v>
      </c>
      <c r="D6819" s="1">
        <f>0.640715868844348*(10.3/7.3)</f>
        <v>0.90402376015024444</v>
      </c>
      <c r="E6819" s="1">
        <f>2.18878359463963*(10.3/7.3)</f>
        <v>3.0882837020257754</v>
      </c>
      <c r="F6819" s="1">
        <f>6.47309343479449*(38.9/42.5)</f>
        <v>5.9247843438471941</v>
      </c>
      <c r="G6819" s="1">
        <v>0.34989620239126978</v>
      </c>
      <c r="H6819" s="1">
        <v>1.3083639982296196</v>
      </c>
      <c r="I6819" s="1">
        <v>4.7381431973787365</v>
      </c>
      <c r="J6819" s="1">
        <v>1.4961243813210094E-2</v>
      </c>
      <c r="K6819" s="1">
        <v>1.500833072562096</v>
      </c>
      <c r="L6819" s="1">
        <v>1.0589178507307089</v>
      </c>
      <c r="M6819" s="1">
        <v>0.13172004110349353</v>
      </c>
      <c r="N6819" s="1">
        <v>0.5414825499473459</v>
      </c>
      <c r="O6819" s="1">
        <v>0.14206896551724141</v>
      </c>
      <c r="P6819" s="1">
        <v>7.8314312851864992E-2</v>
      </c>
      <c r="Q6819" s="1">
        <v>0.55919484400431296</v>
      </c>
      <c r="R6819" s="2">
        <f t="shared" si="427"/>
        <v>17.346547932450495</v>
      </c>
      <c r="S6819" s="2">
        <f t="shared" si="426"/>
        <v>1.5941086292271711</v>
      </c>
      <c r="T6819" s="2">
        <f t="shared" si="428"/>
        <v>1.8741894072987897</v>
      </c>
      <c r="U6819" s="2">
        <f t="shared" si="429"/>
        <v>20.814845968976456</v>
      </c>
    </row>
    <row r="6820" spans="1:21" x14ac:dyDescent="0.25">
      <c r="A6820">
        <v>7425405</v>
      </c>
      <c r="B6820">
        <v>62</v>
      </c>
      <c r="C6820" s="1">
        <f>0.268191715302269*(10.3/7.3)</f>
        <v>0.37840748871415997</v>
      </c>
      <c r="D6820" s="1">
        <f>0.497450919276703*(10.3/7.3)</f>
        <v>0.70188280391096458</v>
      </c>
      <c r="E6820" s="1">
        <f>1.70223644819948*(10.3/7.3)</f>
        <v>2.4017856734869345</v>
      </c>
      <c r="F6820" s="1">
        <f>4.96161111471076*(38.9/42.5)</f>
        <v>4.5413334673470249</v>
      </c>
      <c r="G6820" s="1">
        <v>0.26546308615530845</v>
      </c>
      <c r="H6820" s="1">
        <v>1.0562916830959441</v>
      </c>
      <c r="I6820" s="1">
        <v>3.6372243094811281</v>
      </c>
      <c r="J6820" s="1">
        <v>1.472542269049385E-2</v>
      </c>
      <c r="K6820" s="1">
        <v>1.44906003714804</v>
      </c>
      <c r="L6820" s="1">
        <v>1.0157761285680427</v>
      </c>
      <c r="M6820" s="1">
        <v>0.12882995835238814</v>
      </c>
      <c r="N6820" s="1">
        <v>0.53398394151318229</v>
      </c>
      <c r="O6820" s="1">
        <v>0.13722150537634412</v>
      </c>
      <c r="P6820" s="1">
        <v>7.5855448941261547E-2</v>
      </c>
      <c r="Q6820" s="1">
        <v>0.42425607376419189</v>
      </c>
      <c r="R6820" s="2">
        <f t="shared" si="427"/>
        <v>13.406644585955657</v>
      </c>
      <c r="S6820" s="2">
        <f t="shared" si="426"/>
        <v>1.5396409087797953</v>
      </c>
      <c r="T6820" s="2">
        <f t="shared" si="428"/>
        <v>1.8158115338099572</v>
      </c>
      <c r="U6820" s="2">
        <f t="shared" si="429"/>
        <v>16.762097028545409</v>
      </c>
    </row>
    <row r="6821" spans="1:21" x14ac:dyDescent="0.25">
      <c r="A6821">
        <v>7425413</v>
      </c>
      <c r="B6821">
        <v>19</v>
      </c>
      <c r="C6821" s="1">
        <f>0.251391307065454*(10.3/7.3)</f>
        <v>0.35470280311974978</v>
      </c>
      <c r="D6821" s="1">
        <f>0.466578428973378*(10.3/7.3)</f>
        <v>0.65832298882545159</v>
      </c>
      <c r="E6821" s="1">
        <f>1.59601519305687*(10.3/7.3)</f>
        <v>2.2519118477377758</v>
      </c>
      <c r="F6821" s="1">
        <f>4.68013863234024*(38.9/42.5)</f>
        <v>4.2837033599537726</v>
      </c>
      <c r="G6821" s="1">
        <v>0.25127628126870472</v>
      </c>
      <c r="H6821" s="1">
        <v>1.2486783437735265</v>
      </c>
      <c r="I6821" s="1">
        <v>3.4350247224213573</v>
      </c>
      <c r="J6821" s="1">
        <v>1.4439399059300575E-2</v>
      </c>
      <c r="K6821" s="1">
        <v>1.3956551271160875</v>
      </c>
      <c r="L6821" s="1">
        <v>0.96947714771729454</v>
      </c>
      <c r="M6821" s="1">
        <v>0.1258689514814792</v>
      </c>
      <c r="N6821" s="1">
        <v>0.52971271872426196</v>
      </c>
      <c r="O6821" s="1">
        <v>0.13244912280701754</v>
      </c>
      <c r="P6821" s="1">
        <v>7.1721945423068159E-2</v>
      </c>
      <c r="Q6821" s="1">
        <v>0.40158309791802177</v>
      </c>
      <c r="R6821" s="2">
        <f t="shared" si="427"/>
        <v>12.885203445018361</v>
      </c>
      <c r="S6821" s="2">
        <f t="shared" si="426"/>
        <v>1.4818164715984563</v>
      </c>
      <c r="T6821" s="2">
        <f t="shared" si="428"/>
        <v>1.7575079407300531</v>
      </c>
      <c r="U6821" s="2">
        <f t="shared" si="429"/>
        <v>16.12452785734687</v>
      </c>
    </row>
    <row r="6822" spans="1:21" x14ac:dyDescent="0.25">
      <c r="A6822">
        <v>7425421</v>
      </c>
      <c r="B6822">
        <v>4</v>
      </c>
      <c r="C6822" s="1">
        <f>0.316512541539367*(10.3/7.3)</f>
        <v>0.44658618874732581</v>
      </c>
      <c r="D6822" s="1">
        <f>0.632982294063641*(10.3/7.3)</f>
        <v>0.89311200395280832</v>
      </c>
      <c r="E6822" s="1">
        <f>2.15279010508194*(10.3/7.3)</f>
        <v>3.0374983674443752</v>
      </c>
      <c r="F6822" s="1">
        <f>6.70534141970216*(38.9/42.5)</f>
        <v>6.1373595582685692</v>
      </c>
      <c r="G6822" s="1">
        <v>0.37376192712215855</v>
      </c>
      <c r="H6822" s="1">
        <v>1.5242692510825306</v>
      </c>
      <c r="I6822" s="1">
        <v>4.9274840561080699</v>
      </c>
      <c r="J6822" s="1">
        <v>1.5712583512979623E-2</v>
      </c>
      <c r="K6822" s="1">
        <v>1.4591818501784031</v>
      </c>
      <c r="L6822" s="1">
        <v>1.0254155366949154</v>
      </c>
      <c r="M6822" s="1">
        <v>0.1321440845499442</v>
      </c>
      <c r="N6822" s="1">
        <v>0.86703074705762084</v>
      </c>
      <c r="O6822" s="1">
        <v>0.13842666666666667</v>
      </c>
      <c r="P6822" s="1">
        <v>7.3882503719093662E-2</v>
      </c>
      <c r="Q6822" s="1">
        <v>0.59733641320892983</v>
      </c>
      <c r="R6822" s="2">
        <f t="shared" si="427"/>
        <v>17.937407765934768</v>
      </c>
      <c r="S6822" s="2">
        <f t="shared" si="426"/>
        <v>1.5487769374104765</v>
      </c>
      <c r="T6822" s="2">
        <f t="shared" si="428"/>
        <v>2.1630170349691471</v>
      </c>
      <c r="U6822" s="2">
        <f t="shared" si="429"/>
        <v>21.649201738314392</v>
      </c>
    </row>
    <row r="6823" spans="1:21" x14ac:dyDescent="0.25">
      <c r="A6823">
        <v>7425685</v>
      </c>
      <c r="B6823">
        <v>1</v>
      </c>
      <c r="C6823" s="1">
        <f>0.549244401526142*(10.3/7.3)</f>
        <v>0.77496127886565225</v>
      </c>
      <c r="D6823" s="1">
        <f>2.21492594829386*(10.3/7.3)</f>
        <v>3.1251694886886003</v>
      </c>
      <c r="E6823" s="1">
        <f>7.21521508202508*(10.3/7.3)</f>
        <v>10.180371965049089</v>
      </c>
      <c r="F6823" s="1">
        <f>33.2499447405636*(38.9/42.5)</f>
        <v>30.433478833127655</v>
      </c>
      <c r="G6823" s="1">
        <v>2.2006192407852652</v>
      </c>
      <c r="H6823" s="1">
        <v>12.065836923339651</v>
      </c>
      <c r="I6823" s="1">
        <v>24.846980449748081</v>
      </c>
      <c r="J6823" s="1">
        <v>1.8076048005750255E-2</v>
      </c>
      <c r="K6823" s="1">
        <v>1.6700990197695524</v>
      </c>
      <c r="L6823" s="1">
        <v>1.363452910112263</v>
      </c>
      <c r="M6823" s="1">
        <v>0.15784915400184552</v>
      </c>
      <c r="N6823" s="1">
        <v>0.74304056502032423</v>
      </c>
      <c r="O6823" s="1">
        <v>0.13072</v>
      </c>
      <c r="P6823" s="1">
        <v>7.7554384266626378E-2</v>
      </c>
      <c r="Q6823" s="1">
        <v>3.5169713893828476</v>
      </c>
      <c r="R6823" s="2">
        <f t="shared" si="427"/>
        <v>87.144389568986838</v>
      </c>
      <c r="S6823" s="2">
        <f t="shared" si="426"/>
        <v>1.7657294520419291</v>
      </c>
      <c r="T6823" s="2">
        <f t="shared" si="428"/>
        <v>2.3950626291344328</v>
      </c>
      <c r="U6823" s="2">
        <f t="shared" si="429"/>
        <v>91.305181650163192</v>
      </c>
    </row>
    <row r="6824" spans="1:21" x14ac:dyDescent="0.25">
      <c r="A6824">
        <v>7425693</v>
      </c>
      <c r="B6824">
        <v>41</v>
      </c>
      <c r="C6824" s="1">
        <f>0.581224319278915*(10.3/7.3)</f>
        <v>0.82008362857162043</v>
      </c>
      <c r="D6824" s="1">
        <f>2.04022713588696*(10.3/7.3)</f>
        <v>2.8786766437857056</v>
      </c>
      <c r="E6824" s="1">
        <f>6.70277250625549*(10.3/7.3)</f>
        <v>9.4573365499221342</v>
      </c>
      <c r="F6824" s="1">
        <f>28.6394061938577*(38.9/42.5)</f>
        <v>26.213480022142718</v>
      </c>
      <c r="G6824" s="1">
        <v>1.8492152241215969</v>
      </c>
      <c r="H6824" s="1">
        <v>11.978418758330664</v>
      </c>
      <c r="I6824" s="1">
        <v>21.258578145728588</v>
      </c>
      <c r="J6824" s="1">
        <v>1.6835997580896829E-2</v>
      </c>
      <c r="K6824" s="1">
        <v>1.5560324149167033</v>
      </c>
      <c r="L6824" s="1">
        <v>1.2678352621129019</v>
      </c>
      <c r="M6824" s="1">
        <v>0.14762476961570203</v>
      </c>
      <c r="N6824" s="1">
        <v>0.68051692382390749</v>
      </c>
      <c r="O6824" s="1">
        <v>0.12268227642276421</v>
      </c>
      <c r="P6824" s="1">
        <v>7.2955962126700982E-2</v>
      </c>
      <c r="Q6824" s="1">
        <v>2.9553667965413677</v>
      </c>
      <c r="R6824" s="2">
        <f t="shared" si="427"/>
        <v>77.411155769144401</v>
      </c>
      <c r="S6824" s="2">
        <f t="shared" si="426"/>
        <v>1.6458243746243013</v>
      </c>
      <c r="T6824" s="2">
        <f t="shared" si="428"/>
        <v>2.2186592319752756</v>
      </c>
      <c r="U6824" s="2">
        <f t="shared" si="429"/>
        <v>81.275639375743978</v>
      </c>
    </row>
    <row r="6825" spans="1:21" x14ac:dyDescent="0.25">
      <c r="A6825">
        <v>7425789</v>
      </c>
      <c r="B6825">
        <v>4</v>
      </c>
      <c r="C6825" s="1">
        <f>0.767408738680561*(10.3/7.3)</f>
        <v>1.0827821929328467</v>
      </c>
      <c r="D6825" s="1">
        <f>2.14646176746671*(10.3/7.3)</f>
        <v>3.028569343137963</v>
      </c>
      <c r="E6825" s="1">
        <f>7.10084940640299*(10.3/7.3)</f>
        <v>10.019006696705592</v>
      </c>
      <c r="F6825" s="1">
        <f>29.3214971758874*(38.9/42.5)</f>
        <v>26.837793885694541</v>
      </c>
      <c r="G6825" s="1">
        <v>1.8615672270904122</v>
      </c>
      <c r="H6825" s="1">
        <v>10.718843436073726</v>
      </c>
      <c r="I6825" s="1">
        <v>21.978266470838388</v>
      </c>
      <c r="J6825" s="1">
        <v>2.0662280695774849E-2</v>
      </c>
      <c r="K6825" s="1">
        <v>1.7319551030896947</v>
      </c>
      <c r="L6825" s="1">
        <v>1.588645743112636</v>
      </c>
      <c r="M6825" s="1">
        <v>0.14864529392236436</v>
      </c>
      <c r="N6825" s="1">
        <v>0.94329241576704947</v>
      </c>
      <c r="O6825" s="1">
        <v>0.12518666666666667</v>
      </c>
      <c r="P6825" s="1">
        <v>7.578292462753479E-2</v>
      </c>
      <c r="Q6825" s="1">
        <v>2.9751074405554561</v>
      </c>
      <c r="R6825" s="2">
        <f t="shared" si="427"/>
        <v>78.501936693028924</v>
      </c>
      <c r="S6825" s="2">
        <f t="shared" si="426"/>
        <v>1.8284003084130043</v>
      </c>
      <c r="T6825" s="2">
        <f t="shared" si="428"/>
        <v>2.8057701194687161</v>
      </c>
      <c r="U6825" s="2">
        <f t="shared" si="429"/>
        <v>83.136107120910651</v>
      </c>
    </row>
    <row r="6826" spans="1:21" x14ac:dyDescent="0.25">
      <c r="A6826">
        <v>7425989</v>
      </c>
      <c r="B6826">
        <v>48</v>
      </c>
      <c r="C6826" s="1">
        <f>1.70756825079859*(10.3/7.3)</f>
        <v>2.409308627839104</v>
      </c>
      <c r="D6826" s="1">
        <f>4.11806332513511*(10.3/7.3)</f>
        <v>5.8104181162865229</v>
      </c>
      <c r="E6826" s="1">
        <f>14.0373714022252*(10.3/7.3)</f>
        <v>19.806154170263003</v>
      </c>
      <c r="F6826" s="1">
        <f>38.5476407040454*(38.9/42.5)</f>
        <v>35.282428785585047</v>
      </c>
      <c r="G6826" s="1">
        <v>2.0277179139175381</v>
      </c>
      <c r="H6826" s="1">
        <v>7.7418534657759102</v>
      </c>
      <c r="I6826" s="1">
        <v>26.702082224213004</v>
      </c>
      <c r="J6826" s="1">
        <v>2.2766025758572412E-2</v>
      </c>
      <c r="K6826" s="1">
        <v>1.6569009921399187</v>
      </c>
      <c r="L6826" s="1">
        <v>1.4472431981648584</v>
      </c>
      <c r="M6826" s="1">
        <v>0.12278891085970371</v>
      </c>
      <c r="N6826" s="1">
        <v>0.93268569130837298</v>
      </c>
      <c r="O6826" s="1">
        <v>0.10512555555555558</v>
      </c>
      <c r="P6826" s="1">
        <v>6.7976563373631477E-2</v>
      </c>
      <c r="Q6826" s="1">
        <v>3.2406450679047438</v>
      </c>
      <c r="R6826" s="2">
        <f t="shared" si="427"/>
        <v>103.02060837178487</v>
      </c>
      <c r="S6826" s="2">
        <f t="shared" si="426"/>
        <v>1.7476435812721227</v>
      </c>
      <c r="T6826" s="2">
        <f t="shared" si="428"/>
        <v>2.6078433558884906</v>
      </c>
      <c r="U6826" s="2">
        <f t="shared" si="429"/>
        <v>107.37609530894549</v>
      </c>
    </row>
    <row r="6827" spans="1:21" x14ac:dyDescent="0.25">
      <c r="A6827">
        <v>7425997</v>
      </c>
      <c r="B6827">
        <v>69</v>
      </c>
      <c r="C6827" s="1">
        <f>1.437983503385*(10.3/7.3)</f>
        <v>2.0289356280637705</v>
      </c>
      <c r="D6827" s="1">
        <f>3.51351706704222*(10.3/7.3)</f>
        <v>4.9574281904842348</v>
      </c>
      <c r="E6827" s="1">
        <f>11.958136494421*(10.3/7.3)</f>
        <v>16.872439163361204</v>
      </c>
      <c r="F6827" s="1">
        <f>33.5951336826496*(38.9/42.5)</f>
        <v>30.74942824129576</v>
      </c>
      <c r="G6827" s="1">
        <v>1.792509715036714</v>
      </c>
      <c r="H6827" s="1">
        <v>6.4078703514714848</v>
      </c>
      <c r="I6827" s="1">
        <v>23.378119907866477</v>
      </c>
      <c r="J6827" s="1">
        <v>2.2436954545451471E-2</v>
      </c>
      <c r="K6827" s="1">
        <v>1.6417513491495574</v>
      </c>
      <c r="L6827" s="1">
        <v>1.4330514596279957</v>
      </c>
      <c r="M6827" s="1">
        <v>0.12225484511928304</v>
      </c>
      <c r="N6827" s="1">
        <v>0.92853005245428732</v>
      </c>
      <c r="O6827" s="1">
        <v>0.10341797101449278</v>
      </c>
      <c r="P6827" s="1">
        <v>6.765636378229313E-2</v>
      </c>
      <c r="Q6827" s="1">
        <v>2.8647415537116458</v>
      </c>
      <c r="R6827" s="2">
        <f t="shared" si="427"/>
        <v>89.0514727512913</v>
      </c>
      <c r="S6827" s="2">
        <f t="shared" si="426"/>
        <v>1.731844667477302</v>
      </c>
      <c r="T6827" s="2">
        <f t="shared" si="428"/>
        <v>2.5872543282160589</v>
      </c>
      <c r="U6827" s="2">
        <f t="shared" si="429"/>
        <v>93.370571746984666</v>
      </c>
    </row>
    <row r="6828" spans="1:21" x14ac:dyDescent="0.25">
      <c r="A6828">
        <v>7426005</v>
      </c>
      <c r="B6828">
        <v>69</v>
      </c>
      <c r="C6828" s="1">
        <f>1.41484217217757*(10.3/7.3)</f>
        <v>1.9962841607436963</v>
      </c>
      <c r="D6828" s="1">
        <f>3.4336114853197*(10.3/7.3)</f>
        <v>4.8446846984647793</v>
      </c>
      <c r="E6828" s="1">
        <f>11.6922398125392*(10.3/7.3)</f>
        <v>16.49726987248679</v>
      </c>
      <c r="F6828" s="1">
        <f>32.633617993153*(38.9/42.5)</f>
        <v>29.869358586674167</v>
      </c>
      <c r="G6828" s="1">
        <v>1.7338862472496293</v>
      </c>
      <c r="H6828" s="1">
        <v>6.2161590372623268</v>
      </c>
      <c r="I6828" s="1">
        <v>22.689241865411873</v>
      </c>
      <c r="J6828" s="1">
        <v>2.256105288142345E-2</v>
      </c>
      <c r="K6828" s="1">
        <v>1.6419381502756933</v>
      </c>
      <c r="L6828" s="1">
        <v>1.4378412703699337</v>
      </c>
      <c r="M6828" s="1">
        <v>0.12255586091637431</v>
      </c>
      <c r="N6828" s="1">
        <v>0.93459203417382031</v>
      </c>
      <c r="O6828" s="1">
        <v>0.10325487922705316</v>
      </c>
      <c r="P6828" s="1">
        <v>6.7675927765821708E-2</v>
      </c>
      <c r="Q6828" s="1">
        <v>2.7710510800793178</v>
      </c>
      <c r="R6828" s="2">
        <f t="shared" si="427"/>
        <v>86.617935548372586</v>
      </c>
      <c r="S6828" s="2">
        <f t="shared" si="426"/>
        <v>1.7321751309229385</v>
      </c>
      <c r="T6828" s="2">
        <f t="shared" si="428"/>
        <v>2.5982440446871817</v>
      </c>
      <c r="U6828" s="2">
        <f t="shared" si="429"/>
        <v>90.948354723982703</v>
      </c>
    </row>
    <row r="6829" spans="1:21" x14ac:dyDescent="0.25">
      <c r="A6829">
        <v>7426013</v>
      </c>
      <c r="B6829">
        <v>67</v>
      </c>
      <c r="C6829" s="1">
        <f>1.44516912524338*(10.3/7.3)</f>
        <v>2.0390742452064066</v>
      </c>
      <c r="D6829" s="1">
        <f>3.50956728979971*(10.3/7.3)</f>
        <v>4.9518552171146588</v>
      </c>
      <c r="E6829" s="1">
        <f>11.9621259221077*(10.3/7.3)</f>
        <v>16.878068081877966</v>
      </c>
      <c r="F6829" s="1">
        <f>32.800959739275*(38.9/42.5)</f>
        <v>30.022525502536418</v>
      </c>
      <c r="G6829" s="1">
        <v>1.7246620851540198</v>
      </c>
      <c r="H6829" s="1">
        <v>6.2409311158056182</v>
      </c>
      <c r="I6829" s="1">
        <v>22.688490021259042</v>
      </c>
      <c r="J6829" s="1">
        <v>2.2967005315637723E-2</v>
      </c>
      <c r="K6829" s="1">
        <v>1.6460881897541928</v>
      </c>
      <c r="L6829" s="1">
        <v>1.4514697647858525</v>
      </c>
      <c r="M6829" s="1">
        <v>0.12287102234350857</v>
      </c>
      <c r="N6829" s="1">
        <v>0.94413593650304972</v>
      </c>
      <c r="O6829" s="1">
        <v>0.10370706467661693</v>
      </c>
      <c r="P6829" s="1">
        <v>6.7794695145102918E-2</v>
      </c>
      <c r="Q6829" s="1">
        <v>2.7563092685109929</v>
      </c>
      <c r="R6829" s="2">
        <f t="shared" si="427"/>
        <v>87.301915537465121</v>
      </c>
      <c r="S6829" s="2">
        <f t="shared" si="426"/>
        <v>1.7368498902149334</v>
      </c>
      <c r="T6829" s="2">
        <f t="shared" si="428"/>
        <v>2.6221837883090275</v>
      </c>
      <c r="U6829" s="2">
        <f t="shared" si="429"/>
        <v>91.660949215989078</v>
      </c>
    </row>
    <row r="6830" spans="1:21" x14ac:dyDescent="0.25">
      <c r="A6830">
        <v>7426021</v>
      </c>
      <c r="B6830">
        <v>54</v>
      </c>
      <c r="C6830" s="1">
        <f>1.51285242179556*(10.3/7.3)</f>
        <v>2.1345725951362069</v>
      </c>
      <c r="D6830" s="1">
        <f>3.79919634087959*(10.3/7.3)</f>
        <v>5.3605099056246281</v>
      </c>
      <c r="E6830" s="1">
        <f>12.9614616556577*(10.3/7.3)</f>
        <v>18.288089733325307</v>
      </c>
      <c r="F6830" s="1">
        <f>34.3996640290389*(38.9/42.5)</f>
        <v>31.48581013481439</v>
      </c>
      <c r="G6830" s="1">
        <v>1.7764863127302761</v>
      </c>
      <c r="H6830" s="1">
        <v>6.772663845920607</v>
      </c>
      <c r="I6830" s="1">
        <v>23.447123278173581</v>
      </c>
      <c r="J6830" s="1">
        <v>2.4421366335433542E-2</v>
      </c>
      <c r="K6830" s="1">
        <v>1.7094605053213994</v>
      </c>
      <c r="L6830" s="1">
        <v>1.5090700323988386</v>
      </c>
      <c r="M6830" s="1">
        <v>0.12618577782894433</v>
      </c>
      <c r="N6830" s="1">
        <v>1.0101662134537048</v>
      </c>
      <c r="O6830" s="1">
        <v>0.1064395061728395</v>
      </c>
      <c r="P6830" s="1">
        <v>6.9705419943017197E-2</v>
      </c>
      <c r="Q6830" s="1">
        <v>2.8391333765095768</v>
      </c>
      <c r="R6830" s="2">
        <f t="shared" si="427"/>
        <v>92.104389182234584</v>
      </c>
      <c r="S6830" s="2">
        <f t="shared" si="426"/>
        <v>1.8035872915998501</v>
      </c>
      <c r="T6830" s="2">
        <f t="shared" si="428"/>
        <v>2.7518615298543274</v>
      </c>
      <c r="U6830" s="2">
        <f t="shared" si="429"/>
        <v>96.659838003688762</v>
      </c>
    </row>
    <row r="6831" spans="1:21" x14ac:dyDescent="0.25">
      <c r="A6831">
        <v>7426029</v>
      </c>
      <c r="B6831">
        <v>42</v>
      </c>
      <c r="C6831" s="1">
        <f>1.98775112675667*(10.3/7.3)</f>
        <v>2.8046351514511989</v>
      </c>
      <c r="D6831" s="1">
        <f>5.23583229352561*(10.3/7.3)</f>
        <v>7.3875441949744944</v>
      </c>
      <c r="E6831" s="1">
        <f>17.8728199688998*(10.3/7.3)</f>
        <v>25.217814476666785</v>
      </c>
      <c r="F6831" s="1">
        <f>45.9409236223793*(38.9/42.5)</f>
        <v>42.049457150836581</v>
      </c>
      <c r="G6831" s="1">
        <v>2.3311358726393192</v>
      </c>
      <c r="H6831" s="1">
        <v>10.127724277756281</v>
      </c>
      <c r="I6831" s="1">
        <v>30.775831000790472</v>
      </c>
      <c r="J6831" s="1">
        <v>3.0421548308716212E-2</v>
      </c>
      <c r="K6831" s="1">
        <v>1.9744144029256692</v>
      </c>
      <c r="L6831" s="1">
        <v>1.8024537807028687</v>
      </c>
      <c r="M6831" s="1">
        <v>0.14485244880916517</v>
      </c>
      <c r="N6831" s="1">
        <v>1.2051758231004259</v>
      </c>
      <c r="O6831" s="1">
        <v>0.12350603174603177</v>
      </c>
      <c r="P6831" s="1">
        <v>7.9076410052128052E-2</v>
      </c>
      <c r="Q6831" s="1">
        <v>3.7255596138071363</v>
      </c>
      <c r="R6831" s="2">
        <f t="shared" si="427"/>
        <v>124.41970173892227</v>
      </c>
      <c r="S6831" s="2">
        <f t="shared" si="426"/>
        <v>2.0839123612865134</v>
      </c>
      <c r="T6831" s="2">
        <f t="shared" si="428"/>
        <v>3.2759880843584916</v>
      </c>
      <c r="U6831" s="2">
        <f t="shared" si="429"/>
        <v>129.77960218456727</v>
      </c>
    </row>
    <row r="6832" spans="1:21" x14ac:dyDescent="0.25">
      <c r="A6832">
        <v>7426077</v>
      </c>
      <c r="B6832">
        <v>4</v>
      </c>
      <c r="C6832" s="1">
        <f>1.49548616144328*(10.3/7.3)</f>
        <v>2.1100695154610647</v>
      </c>
      <c r="D6832" s="1">
        <f>3.05872808453274*(10.3/7.3)</f>
        <v>4.3157396261215366</v>
      </c>
      <c r="E6832" s="1">
        <f>10.4813162996995*(10.3/7.3)</f>
        <v>14.788706559849983</v>
      </c>
      <c r="F6832" s="1">
        <f>28.2549286868634*(38.9/42.5)</f>
        <v>25.86157002162318</v>
      </c>
      <c r="G6832" s="1">
        <v>1.45277350171782</v>
      </c>
      <c r="H6832" s="1">
        <v>5.9858912576256289</v>
      </c>
      <c r="I6832" s="1">
        <v>19.993107520856274</v>
      </c>
      <c r="J6832" s="1">
        <v>2.8609801333044856E-2</v>
      </c>
      <c r="K6832" s="1">
        <v>1.6539782489409998</v>
      </c>
      <c r="L6832" s="1">
        <v>1.399540153837467</v>
      </c>
      <c r="M6832" s="1">
        <v>0.11634995727887856</v>
      </c>
      <c r="N6832" s="1">
        <v>1.1767533034000262</v>
      </c>
      <c r="O6832" s="1">
        <v>9.7053333333333325E-2</v>
      </c>
      <c r="P6832" s="1">
        <v>6.6122269480694468E-2</v>
      </c>
      <c r="Q6832" s="1">
        <v>2.3217841351654682</v>
      </c>
      <c r="R6832" s="2">
        <f t="shared" si="427"/>
        <v>76.829642138420965</v>
      </c>
      <c r="S6832" s="2">
        <f t="shared" si="426"/>
        <v>1.7487103197547391</v>
      </c>
      <c r="T6832" s="2">
        <f t="shared" si="428"/>
        <v>2.789696747849705</v>
      </c>
      <c r="U6832" s="2">
        <f t="shared" si="429"/>
        <v>81.368049206025404</v>
      </c>
    </row>
    <row r="6833" spans="1:21" x14ac:dyDescent="0.25">
      <c r="A6833">
        <v>7426085</v>
      </c>
      <c r="B6833">
        <v>1</v>
      </c>
      <c r="C6833" s="1">
        <f>1.84010814724494*(10.3/7.3)</f>
        <v>2.5963169748798505</v>
      </c>
      <c r="D6833" s="1">
        <f>3.93450418779223*(10.3/7.3)</f>
        <v>5.5514237170219074</v>
      </c>
      <c r="E6833" s="1">
        <f>13.4394525274611*(10.3/7.3)</f>
        <v>18.962515209979426</v>
      </c>
      <c r="F6833" s="1">
        <f>37.582336507257*(38.9/42.5)</f>
        <v>34.398891532524665</v>
      </c>
      <c r="G6833" s="1">
        <v>1.9828105104686351</v>
      </c>
      <c r="H6833" s="1">
        <v>8.0047019455229371</v>
      </c>
      <c r="I6833" s="1">
        <v>26.650554817747295</v>
      </c>
      <c r="J6833" s="1">
        <v>2.951572533521098E-2</v>
      </c>
      <c r="K6833" s="1">
        <v>1.763317707236626</v>
      </c>
      <c r="L6833" s="1">
        <v>1.5437131895304412</v>
      </c>
      <c r="M6833" s="1">
        <v>0.12421790141188141</v>
      </c>
      <c r="N6833" s="1">
        <v>1.1852163791122907</v>
      </c>
      <c r="O6833" s="1">
        <v>0.10607999999999999</v>
      </c>
      <c r="P6833" s="1">
        <v>7.0618141533630496E-2</v>
      </c>
      <c r="Q6833" s="1">
        <v>3.168875245041201</v>
      </c>
      <c r="R6833" s="2">
        <f t="shared" si="427"/>
        <v>101.31608995318592</v>
      </c>
      <c r="S6833" s="2">
        <f t="shared" si="426"/>
        <v>1.8634515741054674</v>
      </c>
      <c r="T6833" s="2">
        <f t="shared" si="428"/>
        <v>2.9592274700546133</v>
      </c>
      <c r="U6833" s="2">
        <f t="shared" si="429"/>
        <v>106.13876899734601</v>
      </c>
    </row>
    <row r="6834" spans="1:21" x14ac:dyDescent="0.25">
      <c r="A6834">
        <v>7426093</v>
      </c>
      <c r="B6834">
        <v>16</v>
      </c>
      <c r="C6834" s="1">
        <f>1.51550032473312*(10.3/7.3)</f>
        <v>2.1383086773631668</v>
      </c>
      <c r="D6834" s="1">
        <f>3.13635671922676*(10.3/7.3)</f>
        <v>4.4252704394569378</v>
      </c>
      <c r="E6834" s="1">
        <f>10.7453150412437*(10.3/7.3)</f>
        <v>15.161197934905541</v>
      </c>
      <c r="F6834" s="1">
        <f>28.8889427215312*(38.9/42.5)</f>
        <v>26.44187933806036</v>
      </c>
      <c r="G6834" s="1">
        <v>1.4841572719728029</v>
      </c>
      <c r="H6834" s="1">
        <v>6.6348246848605053</v>
      </c>
      <c r="I6834" s="1">
        <v>20.386059182993709</v>
      </c>
      <c r="J6834" s="1">
        <v>2.5878769314805181E-2</v>
      </c>
      <c r="K6834" s="1">
        <v>1.6344875362306339</v>
      </c>
      <c r="L6834" s="1">
        <v>1.3928632959013882</v>
      </c>
      <c r="M6834" s="1">
        <v>0.11374169206989455</v>
      </c>
      <c r="N6834" s="1">
        <v>1.0353827321663893</v>
      </c>
      <c r="O6834" s="1">
        <v>9.6596666666666664E-2</v>
      </c>
      <c r="P6834" s="1">
        <v>6.5684856720036711E-2</v>
      </c>
      <c r="Q6834" s="1">
        <v>2.3719408456186373</v>
      </c>
      <c r="R6834" s="2">
        <f t="shared" si="427"/>
        <v>79.043638375231666</v>
      </c>
      <c r="S6834" s="2">
        <f t="shared" si="426"/>
        <v>1.7260511622654759</v>
      </c>
      <c r="T6834" s="2">
        <f t="shared" si="428"/>
        <v>2.6385843868043386</v>
      </c>
      <c r="U6834" s="2">
        <f t="shared" si="429"/>
        <v>83.408273924301483</v>
      </c>
    </row>
    <row r="6835" spans="1:21" x14ac:dyDescent="0.25">
      <c r="A6835">
        <v>7437625</v>
      </c>
      <c r="B6835">
        <v>7</v>
      </c>
      <c r="C6835" s="1">
        <f>0.245046189169443*(10.3/7.3)</f>
        <v>0.34575010252674876</v>
      </c>
      <c r="D6835" s="1">
        <f>0.438497959751998*(10.3/7.3)</f>
        <v>0.61870260074596928</v>
      </c>
      <c r="E6835" s="1">
        <f>1.50425293060668*(10.3/7.3)</f>
        <v>2.1224390664724324</v>
      </c>
      <c r="F6835" s="1">
        <f>4.2788272524838*(38.9/42.5)</f>
        <v>3.916385414626347</v>
      </c>
      <c r="G6835" s="1">
        <v>0.22505880276137111</v>
      </c>
      <c r="H6835" s="1">
        <v>0.89279707269620656</v>
      </c>
      <c r="I6835" s="1">
        <v>3.1396344100247595</v>
      </c>
      <c r="J6835" s="1">
        <v>1.3574614991306883E-2</v>
      </c>
      <c r="K6835" s="1">
        <v>1.3775454908697438</v>
      </c>
      <c r="L6835" s="1">
        <v>0.96448396231201561</v>
      </c>
      <c r="M6835" s="1">
        <v>0.12202593369239163</v>
      </c>
      <c r="N6835" s="1">
        <v>0.49567013412498601</v>
      </c>
      <c r="O6835" s="1">
        <v>0.13119238095238098</v>
      </c>
      <c r="P6835" s="1">
        <v>7.2481595887029099E-2</v>
      </c>
      <c r="Q6835" s="1">
        <v>0.35968301811178066</v>
      </c>
      <c r="R6835" s="2">
        <f t="shared" si="427"/>
        <v>11.620450487965616</v>
      </c>
      <c r="S6835" s="2">
        <f t="shared" si="426"/>
        <v>1.4636017017480798</v>
      </c>
      <c r="T6835" s="2">
        <f t="shared" si="428"/>
        <v>1.7133724110817743</v>
      </c>
      <c r="U6835" s="2">
        <f t="shared" si="429"/>
        <v>14.79742460079547</v>
      </c>
    </row>
    <row r="6836" spans="1:21" x14ac:dyDescent="0.25">
      <c r="A6836">
        <v>7437633</v>
      </c>
      <c r="B6836">
        <v>64</v>
      </c>
      <c r="C6836" s="1">
        <f>0.358303309363972*(10.3/7.3)</f>
        <v>0.50555124471902901</v>
      </c>
      <c r="D6836" s="1">
        <f>0.697240706307944*(10.3/7.3)</f>
        <v>0.98377798287285234</v>
      </c>
      <c r="E6836" s="1">
        <f>2.3783889162086*(10.3/7.3)</f>
        <v>3.3558090187600782</v>
      </c>
      <c r="F6836" s="1">
        <f>7.14131901084306*(38.9/42.5)</f>
        <v>6.5364072828657633</v>
      </c>
      <c r="G6836" s="1">
        <v>0.38977737355623177</v>
      </c>
      <c r="H6836" s="1">
        <v>1.4496293103780078</v>
      </c>
      <c r="I6836" s="1">
        <v>5.2280753215310893</v>
      </c>
      <c r="J6836" s="1">
        <v>1.5189741250019869E-2</v>
      </c>
      <c r="K6836" s="1">
        <v>1.5133379907848579</v>
      </c>
      <c r="L6836" s="1">
        <v>1.0644387593717466</v>
      </c>
      <c r="M6836" s="1">
        <v>0.13173476639547177</v>
      </c>
      <c r="N6836" s="1">
        <v>0.54780613222261187</v>
      </c>
      <c r="O6836" s="1">
        <v>0.14285499999999998</v>
      </c>
      <c r="P6836" s="1">
        <v>7.8743986559250925E-2</v>
      </c>
      <c r="Q6836" s="1">
        <v>0.62293187554648921</v>
      </c>
      <c r="R6836" s="2">
        <f t="shared" si="427"/>
        <v>19.071959410229539</v>
      </c>
      <c r="S6836" s="2">
        <f t="shared" si="426"/>
        <v>1.6072717185941288</v>
      </c>
      <c r="T6836" s="2">
        <f t="shared" si="428"/>
        <v>1.8868346579898301</v>
      </c>
      <c r="U6836" s="2">
        <f t="shared" si="429"/>
        <v>22.566065786813496</v>
      </c>
    </row>
    <row r="6837" spans="1:21" x14ac:dyDescent="0.25">
      <c r="A6837">
        <v>7437641</v>
      </c>
      <c r="B6837">
        <v>51</v>
      </c>
      <c r="C6837" s="1">
        <f>0.314358446684457*(10.3/7.3)</f>
        <v>0.44354684943149408</v>
      </c>
      <c r="D6837" s="1">
        <f>0.613496892990958*(10.3/7.3)</f>
        <v>0.86561890380915985</v>
      </c>
      <c r="E6837" s="1">
        <f>2.09036937414874*(10.3/7.3)</f>
        <v>2.949425281333149</v>
      </c>
      <c r="F6837" s="1">
        <f>6.38869877280142*(38.9/42.5)</f>
        <v>5.8475384061641238</v>
      </c>
      <c r="G6837" s="1">
        <v>0.35208098565323148</v>
      </c>
      <c r="H6837" s="1">
        <v>1.484254962375317</v>
      </c>
      <c r="I6837" s="1">
        <v>4.6930081464182276</v>
      </c>
      <c r="J6837" s="1">
        <v>1.4964698050751469E-2</v>
      </c>
      <c r="K6837" s="1">
        <v>1.4602684364724317</v>
      </c>
      <c r="L6837" s="1">
        <v>1.019347521257908</v>
      </c>
      <c r="M6837" s="1">
        <v>0.12942433270266987</v>
      </c>
      <c r="N6837" s="1">
        <v>0.54010771778594635</v>
      </c>
      <c r="O6837" s="1">
        <v>0.1375027450980392</v>
      </c>
      <c r="P6837" s="1">
        <v>7.5344115994324307E-2</v>
      </c>
      <c r="Q6837" s="1">
        <v>0.56268650675174015</v>
      </c>
      <c r="R6837" s="2">
        <f t="shared" si="427"/>
        <v>17.19816004193644</v>
      </c>
      <c r="S6837" s="2">
        <f t="shared" si="426"/>
        <v>1.5505772505175073</v>
      </c>
      <c r="T6837" s="2">
        <f t="shared" si="428"/>
        <v>1.8263823168445634</v>
      </c>
      <c r="U6837" s="2">
        <f t="shared" si="429"/>
        <v>20.575119609298508</v>
      </c>
    </row>
    <row r="6838" spans="1:21" x14ac:dyDescent="0.25">
      <c r="A6838">
        <v>7437649</v>
      </c>
      <c r="B6838">
        <v>27</v>
      </c>
      <c r="C6838" s="1">
        <f>0.335068145481292*(10.3/7.3)</f>
        <v>0.47276738335031587</v>
      </c>
      <c r="D6838" s="1">
        <f>0.668179602977857*(10.3/7.3)</f>
        <v>0.94277396036601679</v>
      </c>
      <c r="E6838" s="1">
        <f>2.27340250877713*(10.3/7.3)</f>
        <v>3.2076775123841688</v>
      </c>
      <c r="F6838" s="1">
        <f>7.04392700936528*(38.9/42.5)</f>
        <v>6.4472649568072793</v>
      </c>
      <c r="G6838" s="1">
        <v>0.39151129209131064</v>
      </c>
      <c r="H6838" s="1">
        <v>2.1651424270422392</v>
      </c>
      <c r="I6838" s="1">
        <v>5.1726524928808377</v>
      </c>
      <c r="J6838" s="1">
        <v>1.5890326603698657E-2</v>
      </c>
      <c r="K6838" s="1">
        <v>1.5001796939194205</v>
      </c>
      <c r="L6838" s="1">
        <v>1.0528809888320954</v>
      </c>
      <c r="M6838" s="1">
        <v>0.13482959920998264</v>
      </c>
      <c r="N6838" s="1">
        <v>0.64844217817276562</v>
      </c>
      <c r="O6838" s="1">
        <v>0.14102123456790125</v>
      </c>
      <c r="P6838" s="1">
        <v>7.6022154641322282E-2</v>
      </c>
      <c r="Q6838" s="1">
        <v>0.62570297822812282</v>
      </c>
      <c r="R6838" s="2">
        <f t="shared" si="427"/>
        <v>19.42549300315029</v>
      </c>
      <c r="S6838" s="2">
        <f t="shared" si="426"/>
        <v>1.5920921751644415</v>
      </c>
      <c r="T6838" s="2">
        <f t="shared" si="428"/>
        <v>1.9771740007827447</v>
      </c>
      <c r="U6838" s="2">
        <f t="shared" si="429"/>
        <v>22.994759179097478</v>
      </c>
    </row>
    <row r="6839" spans="1:21" x14ac:dyDescent="0.25">
      <c r="A6839">
        <v>7437921</v>
      </c>
      <c r="B6839">
        <v>18</v>
      </c>
      <c r="C6839" s="1">
        <f>0.570508758542765*(10.3/7.3)</f>
        <v>0.80496441273842212</v>
      </c>
      <c r="D6839" s="1">
        <f>2.1004839722016*(10.3/7.3)</f>
        <v>2.963696563517332</v>
      </c>
      <c r="E6839" s="1">
        <f>6.88273125642416*(10.3/7.3)</f>
        <v>9.711250950845054</v>
      </c>
      <c r="F6839" s="1">
        <f>30.0773420169256*(38.9/42.5)</f>
        <v>27.529614222550752</v>
      </c>
      <c r="G6839" s="1">
        <v>1.95729815782071</v>
      </c>
      <c r="H6839" s="1">
        <v>12.454557820260534</v>
      </c>
      <c r="I6839" s="1">
        <v>22.359492841534767</v>
      </c>
      <c r="J6839" s="1">
        <v>1.6594226960312774E-2</v>
      </c>
      <c r="K6839" s="1">
        <v>1.5470422487933269</v>
      </c>
      <c r="L6839" s="1">
        <v>1.2541562516050593</v>
      </c>
      <c r="M6839" s="1">
        <v>0.14753586190726875</v>
      </c>
      <c r="N6839" s="1">
        <v>0.66874425226035894</v>
      </c>
      <c r="O6839" s="1">
        <v>0.12226370370370371</v>
      </c>
      <c r="P6839" s="1">
        <v>7.2761877563029265E-2</v>
      </c>
      <c r="Q6839" s="1">
        <v>3.1281020787089004</v>
      </c>
      <c r="R6839" s="2">
        <f t="shared" si="427"/>
        <v>80.908977047976478</v>
      </c>
      <c r="S6839" s="2">
        <f t="shared" si="426"/>
        <v>1.6363983533166688</v>
      </c>
      <c r="T6839" s="2">
        <f t="shared" si="428"/>
        <v>2.1927000694763907</v>
      </c>
      <c r="U6839" s="2">
        <f t="shared" si="429"/>
        <v>84.73807547076953</v>
      </c>
    </row>
    <row r="6840" spans="1:21" x14ac:dyDescent="0.25">
      <c r="A6840">
        <v>7437929</v>
      </c>
      <c r="B6840">
        <v>14</v>
      </c>
      <c r="C6840" s="1">
        <f>0.580368061283192*(10.3/7.3)</f>
        <v>0.81887548372833874</v>
      </c>
      <c r="D6840" s="1">
        <f>2.08198865518882*(10.3/7.3)</f>
        <v>2.9376004312938186</v>
      </c>
      <c r="E6840" s="1">
        <f>6.8268964777921*(10.3/7.3)</f>
        <v>9.6324703727751508</v>
      </c>
      <c r="F6840" s="1">
        <f>29.731083680869*(38.9/42.5)</f>
        <v>27.212686004371843</v>
      </c>
      <c r="G6840" s="1">
        <v>1.9316921349861607</v>
      </c>
      <c r="H6840" s="1">
        <v>12.070875552344388</v>
      </c>
      <c r="I6840" s="1">
        <v>22.121872348394621</v>
      </c>
      <c r="J6840" s="1">
        <v>1.6847337432052877E-2</v>
      </c>
      <c r="K6840" s="1">
        <v>1.5483233177732978</v>
      </c>
      <c r="L6840" s="1">
        <v>1.258478905706194</v>
      </c>
      <c r="M6840" s="1">
        <v>0.14629134101189631</v>
      </c>
      <c r="N6840" s="1">
        <v>0.68702542020974522</v>
      </c>
      <c r="O6840" s="1">
        <v>0.12195047619047619</v>
      </c>
      <c r="P6840" s="1">
        <v>7.2801028677330307E-2</v>
      </c>
      <c r="Q6840" s="1">
        <v>3.0871792111651004</v>
      </c>
      <c r="R6840" s="2">
        <f t="shared" si="427"/>
        <v>79.813251539059422</v>
      </c>
      <c r="S6840" s="2">
        <f t="shared" si="426"/>
        <v>1.637971683882681</v>
      </c>
      <c r="T6840" s="2">
        <f t="shared" si="428"/>
        <v>2.2137461431183119</v>
      </c>
      <c r="U6840" s="2">
        <f t="shared" si="429"/>
        <v>83.664969366060419</v>
      </c>
    </row>
    <row r="6841" spans="1:21" x14ac:dyDescent="0.25">
      <c r="A6841">
        <v>7438025</v>
      </c>
      <c r="B6841">
        <v>53</v>
      </c>
      <c r="C6841" s="1">
        <f>0.757220359114167*(10.3/7.3)</f>
        <v>1.0684068080651945</v>
      </c>
      <c r="D6841" s="1">
        <f>2.15136227501524*(10.3/7.3)</f>
        <v>3.0354837578982115</v>
      </c>
      <c r="E6841" s="1">
        <f>7.11136740392849*(10.3/7.3)</f>
        <v>10.033847158967598</v>
      </c>
      <c r="F6841" s="1">
        <f>29.5442669171788*(38.9/42.5)</f>
        <v>27.041693719488332</v>
      </c>
      <c r="G6841" s="1">
        <v>1.8803134752801327</v>
      </c>
      <c r="H6841" s="1">
        <v>9.8785649034349632</v>
      </c>
      <c r="I6841" s="1">
        <v>22.142816531932542</v>
      </c>
      <c r="J6841" s="1">
        <v>2.0722686303979027E-2</v>
      </c>
      <c r="K6841" s="1">
        <v>1.7343997746621858</v>
      </c>
      <c r="L6841" s="1">
        <v>1.597749317693558</v>
      </c>
      <c r="M6841" s="1">
        <v>0.14761762558396971</v>
      </c>
      <c r="N6841" s="1">
        <v>0.94561277096477403</v>
      </c>
      <c r="O6841" s="1">
        <v>0.12559194968553464</v>
      </c>
      <c r="P6841" s="1">
        <v>7.5957366887968211E-2</v>
      </c>
      <c r="Q6841" s="1">
        <v>3.0050671979362877</v>
      </c>
      <c r="R6841" s="2">
        <f t="shared" si="427"/>
        <v>78.086193553003255</v>
      </c>
      <c r="S6841" s="2">
        <f t="shared" si="426"/>
        <v>1.8310798278541331</v>
      </c>
      <c r="T6841" s="2">
        <f t="shared" si="428"/>
        <v>2.8165716639278364</v>
      </c>
      <c r="U6841" s="2">
        <f t="shared" si="429"/>
        <v>82.733845044785227</v>
      </c>
    </row>
    <row r="6842" spans="1:21" x14ac:dyDescent="0.25">
      <c r="A6842">
        <v>7438217</v>
      </c>
      <c r="B6842">
        <v>25</v>
      </c>
      <c r="C6842" s="1">
        <f>1.80212704055203*(10.3/7.3)</f>
        <v>2.5427271942035428</v>
      </c>
      <c r="D6842" s="1">
        <f>4.04221409895232*(10.3/7.3)</f>
        <v>5.7033979752340915</v>
      </c>
      <c r="E6842" s="1">
        <f>13.8163573853604*(10.3/7.3)</f>
        <v>19.494312475234551</v>
      </c>
      <c r="F6842" s="1">
        <f>37.286273012162*(38.9/42.5)</f>
        <v>34.127906357014169</v>
      </c>
      <c r="G6842" s="1">
        <v>1.931351856744568</v>
      </c>
      <c r="H6842" s="1">
        <v>9.2987562373791075</v>
      </c>
      <c r="I6842" s="1">
        <v>25.989882157216375</v>
      </c>
      <c r="J6842" s="1">
        <v>2.1892215736842163E-2</v>
      </c>
      <c r="K6842" s="1">
        <v>1.5968182566769067</v>
      </c>
      <c r="L6842" s="1">
        <v>1.3779084952362226</v>
      </c>
      <c r="M6842" s="1">
        <v>0.1188926895763302</v>
      </c>
      <c r="N6842" s="1">
        <v>0.89942853676424928</v>
      </c>
      <c r="O6842" s="1">
        <v>0.10024959999999999</v>
      </c>
      <c r="P6842" s="1">
        <v>6.569582156881984E-2</v>
      </c>
      <c r="Q6842" s="1">
        <v>3.0866353874913219</v>
      </c>
      <c r="R6842" s="2">
        <f t="shared" si="427"/>
        <v>102.17496964051773</v>
      </c>
      <c r="S6842" s="2">
        <f t="shared" si="426"/>
        <v>1.6844062939825688</v>
      </c>
      <c r="T6842" s="2">
        <f t="shared" si="428"/>
        <v>2.4964793215768024</v>
      </c>
      <c r="U6842" s="2">
        <f t="shared" si="429"/>
        <v>106.35585525607709</v>
      </c>
    </row>
    <row r="6843" spans="1:21" x14ac:dyDescent="0.25">
      <c r="A6843">
        <v>7438225</v>
      </c>
      <c r="B6843">
        <v>57</v>
      </c>
      <c r="C6843" s="1">
        <f>1.647803080334*(10.3/7.3)</f>
        <v>2.3249824284164635</v>
      </c>
      <c r="D6843" s="1">
        <f>4.01173964420008*(10.3/7.3)</f>
        <v>5.6603997719535437</v>
      </c>
      <c r="E6843" s="1">
        <f>13.6585785726339*(10.3/7.3)</f>
        <v>19.271693054538176</v>
      </c>
      <c r="F6843" s="1">
        <f>38.1878147280489*(38.9/42.5)</f>
        <v>34.953082186378843</v>
      </c>
      <c r="G6843" s="1">
        <v>2.031432060067448</v>
      </c>
      <c r="H6843" s="1">
        <v>7.3934072242817654</v>
      </c>
      <c r="I6843" s="1">
        <v>26.551693321678879</v>
      </c>
      <c r="J6843" s="1">
        <v>2.293473963427883E-2</v>
      </c>
      <c r="K6843" s="1">
        <v>1.6710244298253691</v>
      </c>
      <c r="L6843" s="1">
        <v>1.4696947537959331</v>
      </c>
      <c r="M6843" s="1">
        <v>0.12472831408229594</v>
      </c>
      <c r="N6843" s="1">
        <v>0.94321032510167802</v>
      </c>
      <c r="O6843" s="1">
        <v>0.1063447953216374</v>
      </c>
      <c r="P6843" s="1">
        <v>6.8687489710077723E-2</v>
      </c>
      <c r="Q6843" s="1">
        <v>3.2465809179160154</v>
      </c>
      <c r="R6843" s="2">
        <f t="shared" si="427"/>
        <v>101.43327096523113</v>
      </c>
      <c r="S6843" s="2">
        <f t="shared" si="426"/>
        <v>1.7626466591697256</v>
      </c>
      <c r="T6843" s="2">
        <f t="shared" si="428"/>
        <v>2.6439781883015443</v>
      </c>
      <c r="U6843" s="2">
        <f t="shared" si="429"/>
        <v>105.83989581270241</v>
      </c>
    </row>
    <row r="6844" spans="1:21" x14ac:dyDescent="0.25">
      <c r="A6844">
        <v>7438233</v>
      </c>
      <c r="B6844">
        <v>66</v>
      </c>
      <c r="C6844" s="1">
        <f>1.44957096126516*(10.3/7.3)</f>
        <v>2.0452850549357682</v>
      </c>
      <c r="D6844" s="1">
        <f>3.53504057545029*(10.3/7.3)</f>
        <v>4.9877969763202703</v>
      </c>
      <c r="E6844" s="1">
        <f>12.0328682797137*(10.3/7.3)</f>
        <v>16.977882641239898</v>
      </c>
      <c r="F6844" s="1">
        <f>33.7572894491053*(38.9/42.5)</f>
        <v>30.897848460475217</v>
      </c>
      <c r="G6844" s="1">
        <v>1.7994824725689007</v>
      </c>
      <c r="H6844" s="1">
        <v>6.339155135624301</v>
      </c>
      <c r="I6844" s="1">
        <v>23.488052889666765</v>
      </c>
      <c r="J6844" s="1">
        <v>2.2706026214535682E-2</v>
      </c>
      <c r="K6844" s="1">
        <v>1.6575985759031235</v>
      </c>
      <c r="L6844" s="1">
        <v>1.4486000037675983</v>
      </c>
      <c r="M6844" s="1">
        <v>0.12359599809977655</v>
      </c>
      <c r="N6844" s="1">
        <v>0.94007661307549917</v>
      </c>
      <c r="O6844" s="1">
        <v>0.10439111111111109</v>
      </c>
      <c r="P6844" s="1">
        <v>6.8149940940937348E-2</v>
      </c>
      <c r="Q6844" s="1">
        <v>2.8758852301329494</v>
      </c>
      <c r="R6844" s="2">
        <f t="shared" si="427"/>
        <v>89.411388860964081</v>
      </c>
      <c r="S6844" s="2">
        <f t="shared" si="426"/>
        <v>1.7484545430585967</v>
      </c>
      <c r="T6844" s="2">
        <f t="shared" si="428"/>
        <v>2.6166637260539849</v>
      </c>
      <c r="U6844" s="2">
        <f t="shared" si="429"/>
        <v>93.776507130076666</v>
      </c>
    </row>
    <row r="6845" spans="1:21" x14ac:dyDescent="0.25">
      <c r="A6845">
        <v>7438241</v>
      </c>
      <c r="B6845">
        <v>67</v>
      </c>
      <c r="C6845" s="1">
        <f>1.51515553481085*(10.3/7.3)</f>
        <v>2.1378221929522896</v>
      </c>
      <c r="D6845" s="1">
        <f>3.70822527634798*(10.3/7.3)</f>
        <v>5.2321534721074201</v>
      </c>
      <c r="E6845" s="1">
        <f>12.627457802546*(10.3/7.3)</f>
        <v>17.816824022770351</v>
      </c>
      <c r="F6845" s="1">
        <f>35.1097641276848*(38.9/42.5)</f>
        <v>32.13576057804562</v>
      </c>
      <c r="G6845" s="1">
        <v>1.8622398222432173</v>
      </c>
      <c r="H6845" s="1">
        <v>6.5309656311528235</v>
      </c>
      <c r="I6845" s="1">
        <v>24.354833369960939</v>
      </c>
      <c r="J6845" s="1">
        <v>2.3485689476408136E-2</v>
      </c>
      <c r="K6845" s="1">
        <v>1.689343569777646</v>
      </c>
      <c r="L6845" s="1">
        <v>1.4920696892598904</v>
      </c>
      <c r="M6845" s="1">
        <v>0.12580470693088555</v>
      </c>
      <c r="N6845" s="1">
        <v>0.96722030782812574</v>
      </c>
      <c r="O6845" s="1">
        <v>0.10657353233830846</v>
      </c>
      <c r="P6845" s="1">
        <v>6.9274025863467814E-2</v>
      </c>
      <c r="Q6845" s="1">
        <v>2.9761823643156462</v>
      </c>
      <c r="R6845" s="2">
        <f t="shared" si="427"/>
        <v>93.046781453548306</v>
      </c>
      <c r="S6845" s="2">
        <f t="shared" si="426"/>
        <v>1.782103285117522</v>
      </c>
      <c r="T6845" s="2">
        <f t="shared" si="428"/>
        <v>2.6916682363572102</v>
      </c>
      <c r="U6845" s="2">
        <f t="shared" si="429"/>
        <v>97.520552975023051</v>
      </c>
    </row>
    <row r="6846" spans="1:21" x14ac:dyDescent="0.25">
      <c r="A6846">
        <v>7438249</v>
      </c>
      <c r="B6846">
        <v>26</v>
      </c>
      <c r="C6846" s="1">
        <f>1.35868058527802*(10.3/7.3)</f>
        <v>1.9170424696388493</v>
      </c>
      <c r="D6846" s="1">
        <f>3.30242327138284*(10.3/7.3)</f>
        <v>4.6595835198963309</v>
      </c>
      <c r="E6846" s="1">
        <f>11.2587384634288*(10.3/7.3)</f>
        <v>15.885617284015915</v>
      </c>
      <c r="F6846" s="1">
        <f>30.7245682843996*(38.9/42.5)</f>
        <v>28.122016617956373</v>
      </c>
      <c r="G6846" s="1">
        <v>1.6109097379007165</v>
      </c>
      <c r="H6846" s="1">
        <v>5.9019141075467036</v>
      </c>
      <c r="I6846" s="1">
        <v>21.220020330691604</v>
      </c>
      <c r="J6846" s="1">
        <v>2.2606484017303405E-2</v>
      </c>
      <c r="K6846" s="1">
        <v>1.6213261737174345</v>
      </c>
      <c r="L6846" s="1">
        <v>1.4149805379223728</v>
      </c>
      <c r="M6846" s="1">
        <v>0.12052069407283662</v>
      </c>
      <c r="N6846" s="1">
        <v>0.93972414147975658</v>
      </c>
      <c r="O6846" s="1">
        <v>0.10127589743589746</v>
      </c>
      <c r="P6846" s="1">
        <v>6.6706250564849662E-2</v>
      </c>
      <c r="Q6846" s="1">
        <v>2.5745132797500068</v>
      </c>
      <c r="R6846" s="2">
        <f t="shared" si="427"/>
        <v>81.891617347396505</v>
      </c>
      <c r="S6846" s="2">
        <f t="shared" si="426"/>
        <v>1.7106389082995876</v>
      </c>
      <c r="T6846" s="2">
        <f t="shared" si="428"/>
        <v>2.5765012709108635</v>
      </c>
      <c r="U6846" s="2">
        <f t="shared" si="429"/>
        <v>86.178757526606958</v>
      </c>
    </row>
    <row r="6847" spans="1:21" x14ac:dyDescent="0.25">
      <c r="A6847">
        <v>7438257</v>
      </c>
      <c r="B6847">
        <v>70</v>
      </c>
      <c r="C6847" s="1">
        <f>1.42510515424678*(10.3/7.3)</f>
        <v>2.0107648066769697</v>
      </c>
      <c r="D6847" s="1">
        <f>3.58678289838013*(10.3/7.3)</f>
        <v>5.060803267577449</v>
      </c>
      <c r="E6847" s="1">
        <f>12.2398450620736*(10.3/7.3)</f>
        <v>17.26991837525447</v>
      </c>
      <c r="F6847" s="1">
        <f>32.2962147367104*(38.9/42.5)</f>
        <v>29.560535370777298</v>
      </c>
      <c r="G6847" s="1">
        <v>1.6619679810535954</v>
      </c>
      <c r="H6847" s="1">
        <v>6.2747726538971236</v>
      </c>
      <c r="I6847" s="1">
        <v>21.966622020112329</v>
      </c>
      <c r="J6847" s="1">
        <v>2.3430486209787577E-2</v>
      </c>
      <c r="K6847" s="1">
        <v>1.6307297071190723</v>
      </c>
      <c r="L6847" s="1">
        <v>1.4305601676171096</v>
      </c>
      <c r="M6847" s="1">
        <v>0.12005731455821429</v>
      </c>
      <c r="N6847" s="1">
        <v>0.95933983588892824</v>
      </c>
      <c r="O6847" s="1">
        <v>0.10136914285714282</v>
      </c>
      <c r="P6847" s="1">
        <v>6.7054603462600559E-2</v>
      </c>
      <c r="Q6847" s="1">
        <v>2.656113211729493</v>
      </c>
      <c r="R6847" s="2">
        <f t="shared" si="427"/>
        <v>86.461497687078719</v>
      </c>
      <c r="S6847" s="2">
        <f t="shared" si="426"/>
        <v>1.7212147967914604</v>
      </c>
      <c r="T6847" s="2">
        <f t="shared" si="428"/>
        <v>2.6113264609213953</v>
      </c>
      <c r="U6847" s="2">
        <f t="shared" si="429"/>
        <v>90.794038944791566</v>
      </c>
    </row>
    <row r="6848" spans="1:21" x14ac:dyDescent="0.25">
      <c r="A6848">
        <v>7438265</v>
      </c>
      <c r="B6848">
        <v>5</v>
      </c>
      <c r="C6848" s="1">
        <f>2.36473811511313*(10.3/7.3)</f>
        <v>3.3365482994062012</v>
      </c>
      <c r="D6848" s="1">
        <f>6.30649809890522*(10.3/7.3)</f>
        <v>8.8982096464005132</v>
      </c>
      <c r="E6848" s="1">
        <f>21.5194337983676*(10.3/7.3)</f>
        <v>30.363036729203639</v>
      </c>
      <c r="F6848" s="1">
        <f>55.4344410518757*(38.9/42.5)</f>
        <v>50.738817809834437</v>
      </c>
      <c r="G6848" s="1">
        <v>2.8190672809552444</v>
      </c>
      <c r="H6848" s="1">
        <v>11.430969668742993</v>
      </c>
      <c r="I6848" s="1">
        <v>37.093729643754799</v>
      </c>
      <c r="J6848" s="1">
        <v>3.4403896063526541E-2</v>
      </c>
      <c r="K6848" s="1">
        <v>2.1530136794940868</v>
      </c>
      <c r="L6848" s="1">
        <v>2.0044233347895535</v>
      </c>
      <c r="M6848" s="1">
        <v>0.1576200325881448</v>
      </c>
      <c r="N6848" s="1">
        <v>1.3262726819125263</v>
      </c>
      <c r="O6848" s="1">
        <v>0.13481599999999999</v>
      </c>
      <c r="P6848" s="1">
        <v>8.5102337479901743E-2</v>
      </c>
      <c r="Q6848" s="1">
        <v>4.5053586681933169</v>
      </c>
      <c r="R6848" s="2">
        <f t="shared" si="427"/>
        <v>149.18573774649113</v>
      </c>
      <c r="S6848" s="2">
        <f t="shared" si="426"/>
        <v>2.2725199130375153</v>
      </c>
      <c r="T6848" s="2">
        <f t="shared" si="428"/>
        <v>3.6231320492902244</v>
      </c>
      <c r="U6848" s="2">
        <f t="shared" si="429"/>
        <v>155.08138970881888</v>
      </c>
    </row>
    <row r="6849" spans="1:21" x14ac:dyDescent="0.25">
      <c r="A6849">
        <v>7438313</v>
      </c>
      <c r="B6849">
        <v>11</v>
      </c>
      <c r="C6849" s="1">
        <f>1.80295838417778*(10.3/7.3)</f>
        <v>2.5439001858946733</v>
      </c>
      <c r="D6849" s="1">
        <f>3.50710727402983*(10.3/7.3)</f>
        <v>4.9483842359598933</v>
      </c>
      <c r="E6849" s="1">
        <f>12.0304494808758*(10.3/7.3)</f>
        <v>16.974469815482362</v>
      </c>
      <c r="F6849" s="1">
        <f>32.6704423905067*(38.9/42.5)</f>
        <v>29.903063740957929</v>
      </c>
      <c r="G6849" s="1">
        <v>1.6811166444277317</v>
      </c>
      <c r="H6849" s="1">
        <v>7.9866850296878225</v>
      </c>
      <c r="I6849" s="1">
        <v>23.365046839159799</v>
      </c>
      <c r="J6849" s="1">
        <v>2.993695974456393E-2</v>
      </c>
      <c r="K6849" s="1">
        <v>1.7135174232865309</v>
      </c>
      <c r="L6849" s="1">
        <v>1.4719415224175263</v>
      </c>
      <c r="M6849" s="1">
        <v>0.11971234513408881</v>
      </c>
      <c r="N6849" s="1">
        <v>1.1981052372869645</v>
      </c>
      <c r="O6849" s="1">
        <v>0.10078545454545455</v>
      </c>
      <c r="P6849" s="1">
        <v>6.7815306419349936E-2</v>
      </c>
      <c r="Q6849" s="1">
        <v>2.6867160984004865</v>
      </c>
      <c r="R6849" s="2">
        <f t="shared" si="427"/>
        <v>90.089382589970697</v>
      </c>
      <c r="S6849" s="2">
        <f t="shared" si="426"/>
        <v>1.8112696894504448</v>
      </c>
      <c r="T6849" s="2">
        <f t="shared" si="428"/>
        <v>2.8905445593840344</v>
      </c>
      <c r="U6849" s="2">
        <f t="shared" si="429"/>
        <v>94.791196838805178</v>
      </c>
    </row>
    <row r="6850" spans="1:21" x14ac:dyDescent="0.25">
      <c r="A6850">
        <v>7438321</v>
      </c>
      <c r="B6850">
        <v>5</v>
      </c>
      <c r="C6850" s="1">
        <f>1.73949963685662*(10.3/7.3)</f>
        <v>2.4543625013182377</v>
      </c>
      <c r="D6850" s="1">
        <f>3.62920402429406*(10.3/7.3)</f>
        <v>5.1206577329080636</v>
      </c>
      <c r="E6850" s="1">
        <f>12.4226651362317*(10.3/7.3)</f>
        <v>17.527869986737947</v>
      </c>
      <c r="F6850" s="1">
        <f>33.8276010758647*(38.9/42.5)</f>
        <v>30.962204278850244</v>
      </c>
      <c r="G6850" s="1">
        <v>1.7529847467552251</v>
      </c>
      <c r="H6850" s="1">
        <v>7.2059112939722212</v>
      </c>
      <c r="I6850" s="1">
        <v>23.918570049828567</v>
      </c>
      <c r="J6850" s="1">
        <v>2.7996658390126807E-2</v>
      </c>
      <c r="K6850" s="1">
        <v>1.748079819375614</v>
      </c>
      <c r="L6850" s="1">
        <v>1.5102444203974628</v>
      </c>
      <c r="M6850" s="1">
        <v>0.12084795319780181</v>
      </c>
      <c r="N6850" s="1">
        <v>1.1130602188325009</v>
      </c>
      <c r="O6850" s="1">
        <v>0.10451200000000001</v>
      </c>
      <c r="P6850" s="1">
        <v>6.9447166334084376E-2</v>
      </c>
      <c r="Q6850" s="1">
        <v>2.8015737961841523</v>
      </c>
      <c r="R6850" s="2">
        <f t="shared" si="427"/>
        <v>91.744134386554663</v>
      </c>
      <c r="S6850" s="2">
        <f t="shared" si="426"/>
        <v>1.8455236440998251</v>
      </c>
      <c r="T6850" s="2">
        <f t="shared" si="428"/>
        <v>2.8486645924277654</v>
      </c>
      <c r="U6850" s="2">
        <f t="shared" si="429"/>
        <v>96.438322623082257</v>
      </c>
    </row>
    <row r="6851" spans="1:21" x14ac:dyDescent="0.25">
      <c r="A6851">
        <v>7438329</v>
      </c>
      <c r="B6851">
        <v>26</v>
      </c>
      <c r="C6851" s="1">
        <f>1.58262781308832*(10.3/7.3)</f>
        <v>2.2330228047684573</v>
      </c>
      <c r="D6851" s="1">
        <f>3.28485090762464*(10.3/7.3)</f>
        <v>4.6347896367854462</v>
      </c>
      <c r="E6851" s="1">
        <f>11.256338124822*(10.3/7.3)</f>
        <v>15.882230504885793</v>
      </c>
      <c r="F6851" s="1">
        <f>30.09992023658*(38.9/42.5)</f>
        <v>27.550279934187298</v>
      </c>
      <c r="G6851" s="1">
        <v>1.5413743626480598</v>
      </c>
      <c r="H6851" s="1">
        <v>7.0284998747593344</v>
      </c>
      <c r="I6851" s="1">
        <v>21.199556224279696</v>
      </c>
      <c r="J6851" s="1">
        <v>2.6602276355447044E-2</v>
      </c>
      <c r="K6851" s="1">
        <v>1.6913583203054923</v>
      </c>
      <c r="L6851" s="1">
        <v>1.4525277522407645</v>
      </c>
      <c r="M6851" s="1">
        <v>0.11613515508237517</v>
      </c>
      <c r="N6851" s="1">
        <v>1.0659342560175096</v>
      </c>
      <c r="O6851" s="1">
        <v>0.10003692307692305</v>
      </c>
      <c r="P6851" s="1">
        <v>6.7544509535187799E-2</v>
      </c>
      <c r="Q6851" s="1">
        <v>2.4633836845973587</v>
      </c>
      <c r="R6851" s="2">
        <f t="shared" si="427"/>
        <v>82.533137026911433</v>
      </c>
      <c r="S6851" s="2">
        <f t="shared" si="426"/>
        <v>1.7855051061961271</v>
      </c>
      <c r="T6851" s="2">
        <f t="shared" si="428"/>
        <v>2.7346340864175724</v>
      </c>
      <c r="U6851" s="2">
        <f t="shared" si="429"/>
        <v>87.053276219525131</v>
      </c>
    </row>
    <row r="6852" spans="1:21" x14ac:dyDescent="0.25">
      <c r="A6852">
        <v>7438345</v>
      </c>
      <c r="B6852">
        <v>4</v>
      </c>
      <c r="C6852" s="1">
        <f>1.50843064516308*(10.3/7.3)</f>
        <v>2.1283336500246133</v>
      </c>
      <c r="D6852" s="1">
        <f>3.16660327066361*(10.3/7.3)</f>
        <v>4.4679470805253612</v>
      </c>
      <c r="E6852" s="1">
        <f>10.8441055400232*(10.3/7.3)</f>
        <v>15.300587268799847</v>
      </c>
      <c r="F6852" s="1">
        <f>29.1837205820388*(38.9/42.5)</f>
        <v>26.711687779795515</v>
      </c>
      <c r="G6852" s="1">
        <v>1.5018609372448442</v>
      </c>
      <c r="H6852" s="1">
        <v>7.8661396478927141</v>
      </c>
      <c r="I6852" s="1">
        <v>20.549544846028414</v>
      </c>
      <c r="J6852" s="1">
        <v>2.3959250015133528E-2</v>
      </c>
      <c r="K6852" s="1">
        <v>1.580826413173692</v>
      </c>
      <c r="L6852" s="1">
        <v>1.3438877459583243</v>
      </c>
      <c r="M6852" s="1">
        <v>0.10880552930081243</v>
      </c>
      <c r="N6852" s="1">
        <v>0.98489981112102232</v>
      </c>
      <c r="O6852" s="1">
        <v>9.293333333333334E-2</v>
      </c>
      <c r="P6852" s="1">
        <v>6.3501831305040973E-2</v>
      </c>
      <c r="Q6852" s="1">
        <v>2.4002343745922188</v>
      </c>
      <c r="R6852" s="2">
        <f t="shared" si="427"/>
        <v>80.926335584903526</v>
      </c>
      <c r="S6852" s="2">
        <f t="shared" si="426"/>
        <v>1.6682874944938666</v>
      </c>
      <c r="T6852" s="2">
        <f t="shared" si="428"/>
        <v>2.530526419713492</v>
      </c>
      <c r="U6852" s="2">
        <f t="shared" si="429"/>
        <v>85.12514949911089</v>
      </c>
    </row>
    <row r="6853" spans="1:21" x14ac:dyDescent="0.25">
      <c r="A6853">
        <v>7438497</v>
      </c>
      <c r="B6853">
        <v>2</v>
      </c>
      <c r="C6853" s="1">
        <f>2.87925147108954*(10.3/7.3)</f>
        <v>4.0625055003044235</v>
      </c>
      <c r="D6853" s="1">
        <f>3.89213534833739*(10.3/7.3)</f>
        <v>5.4916430257363116</v>
      </c>
      <c r="E6853" s="1">
        <f>13.6192718099901*(10.3/7.3)</f>
        <v>19.216232827794254</v>
      </c>
      <c r="F6853" s="1">
        <f>32.1028475478026*(38.9/42.5)</f>
        <v>29.383547520223985</v>
      </c>
      <c r="G6853" s="1">
        <v>1.4275591905727913</v>
      </c>
      <c r="H6853" s="1">
        <v>8.6966736621732608</v>
      </c>
      <c r="I6853" s="1">
        <v>24.113315307427449</v>
      </c>
      <c r="J6853" s="1">
        <v>2.3163649310655079E-2</v>
      </c>
      <c r="K6853" s="1">
        <v>1.6611628143697041</v>
      </c>
      <c r="L6853" s="1">
        <v>1.3595041915235799</v>
      </c>
      <c r="M6853" s="1">
        <v>9.3151799806135069E-2</v>
      </c>
      <c r="N6853" s="1">
        <v>0.87726149620547345</v>
      </c>
      <c r="O6853" s="1">
        <v>9.0106666666666668E-2</v>
      </c>
      <c r="P6853" s="1">
        <v>6.3000879093177073E-2</v>
      </c>
      <c r="Q6853" s="1">
        <v>2.2814872908697605</v>
      </c>
      <c r="R6853" s="2">
        <f t="shared" si="427"/>
        <v>94.672964325102242</v>
      </c>
      <c r="S6853" s="2">
        <f t="shared" si="426"/>
        <v>1.7473273427735363</v>
      </c>
      <c r="T6853" s="2">
        <f t="shared" si="428"/>
        <v>2.420024154201855</v>
      </c>
      <c r="U6853" s="2">
        <f t="shared" si="429"/>
        <v>98.840315822077628</v>
      </c>
    </row>
    <row r="6854" spans="1:21" x14ac:dyDescent="0.25">
      <c r="A6854">
        <v>7449861</v>
      </c>
      <c r="B6854">
        <v>68</v>
      </c>
      <c r="C6854" s="1">
        <f>0.354272361990232*(10.3/7.3)</f>
        <v>0.49986374363005392</v>
      </c>
      <c r="D6854" s="1">
        <f>0.684718836461449*(10.3/7.3)</f>
        <v>0.96611013911683941</v>
      </c>
      <c r="E6854" s="1">
        <f>2.33674858792354*(10.3/7.3)</f>
        <v>3.2970562267962276</v>
      </c>
      <c r="F6854" s="1">
        <f>6.98521870543705*(38.9/42.5)</f>
        <v>6.3935295915647332</v>
      </c>
      <c r="G6854" s="1">
        <v>0.3801617547819981</v>
      </c>
      <c r="H6854" s="1">
        <v>1.4031692608363668</v>
      </c>
      <c r="I6854" s="1">
        <v>5.1143378179212542</v>
      </c>
      <c r="J6854" s="1">
        <v>1.4811651515233755E-2</v>
      </c>
      <c r="K6854" s="1">
        <v>1.4928810651699453</v>
      </c>
      <c r="L6854" s="1">
        <v>1.0540394490629057</v>
      </c>
      <c r="M6854" s="1">
        <v>0.12957188292817928</v>
      </c>
      <c r="N6854" s="1">
        <v>0.53618031132799626</v>
      </c>
      <c r="O6854" s="1">
        <v>0.14054823529411761</v>
      </c>
      <c r="P6854" s="1">
        <v>7.7616708752525937E-2</v>
      </c>
      <c r="Q6854" s="1">
        <v>0.60756444828173262</v>
      </c>
      <c r="R6854" s="2">
        <f t="shared" si="427"/>
        <v>18.661792982929203</v>
      </c>
      <c r="S6854" s="2">
        <f t="shared" si="426"/>
        <v>1.5853094254377049</v>
      </c>
      <c r="T6854" s="2">
        <f t="shared" si="428"/>
        <v>1.860339878613199</v>
      </c>
      <c r="U6854" s="2">
        <f t="shared" si="429"/>
        <v>22.107442286980106</v>
      </c>
    </row>
    <row r="6855" spans="1:21" x14ac:dyDescent="0.25">
      <c r="A6855">
        <v>7449869</v>
      </c>
      <c r="B6855">
        <v>65</v>
      </c>
      <c r="C6855" s="1">
        <f>0.34149171857882*(10.3/7.3)</f>
        <v>0.48183078100847154</v>
      </c>
      <c r="D6855" s="1">
        <f>0.678415332023657*(10.3/7.3)</f>
        <v>0.95721615340324262</v>
      </c>
      <c r="E6855" s="1">
        <f>2.30809834336612*(10.3/7.3)</f>
        <v>3.2566319091330183</v>
      </c>
      <c r="F6855" s="1">
        <f>7.1711233341093*(38.9/42.5)</f>
        <v>6.5636870046318032</v>
      </c>
      <c r="G6855" s="1">
        <v>0.39904804334311578</v>
      </c>
      <c r="H6855" s="1">
        <v>1.6181079024930289</v>
      </c>
      <c r="I6855" s="1">
        <v>5.2721437826167401</v>
      </c>
      <c r="J6855" s="1">
        <v>1.5272008402864757E-2</v>
      </c>
      <c r="K6855" s="1">
        <v>1.5021663877499358</v>
      </c>
      <c r="L6855" s="1">
        <v>1.059433592803404</v>
      </c>
      <c r="M6855" s="1">
        <v>0.1311001485760015</v>
      </c>
      <c r="N6855" s="1">
        <v>0.55009597123194665</v>
      </c>
      <c r="O6855" s="1">
        <v>0.14108471794871794</v>
      </c>
      <c r="P6855" s="1">
        <v>7.8327481604354723E-2</v>
      </c>
      <c r="Q6855" s="1">
        <v>0.63774801447529972</v>
      </c>
      <c r="R6855" s="2">
        <f t="shared" si="427"/>
        <v>19.186413591104721</v>
      </c>
      <c r="S6855" s="2">
        <f t="shared" si="426"/>
        <v>1.5957658777571553</v>
      </c>
      <c r="T6855" s="2">
        <f t="shared" si="428"/>
        <v>1.8817144305600702</v>
      </c>
      <c r="U6855" s="2">
        <f t="shared" si="429"/>
        <v>22.663893899421947</v>
      </c>
    </row>
    <row r="6856" spans="1:21" x14ac:dyDescent="0.25">
      <c r="A6856">
        <v>7449877</v>
      </c>
      <c r="B6856">
        <v>16</v>
      </c>
      <c r="C6856" s="1">
        <f>0.320341121531876*(10.3/7.3)</f>
        <v>0.45198815777785228</v>
      </c>
      <c r="D6856" s="1">
        <f>0.632367957121314*(10.3/7.3)</f>
        <v>0.8922451997739087</v>
      </c>
      <c r="E6856" s="1">
        <f>2.15169779162219*(10.3/7.3)</f>
        <v>3.0359571580422613</v>
      </c>
      <c r="F6856" s="1">
        <f>6.69212279477093*(38.9/42.5)</f>
        <v>6.1252606286256253</v>
      </c>
      <c r="G6856" s="1">
        <v>0.3724408581605706</v>
      </c>
      <c r="H6856" s="1">
        <v>2.2249535970535441</v>
      </c>
      <c r="I6856" s="1">
        <v>4.9257450646630971</v>
      </c>
      <c r="J6856" s="1">
        <v>1.4987526070964933E-2</v>
      </c>
      <c r="K6856" s="1">
        <v>1.4467303355353918</v>
      </c>
      <c r="L6856" s="1">
        <v>1.0042201347470241</v>
      </c>
      <c r="M6856" s="1">
        <v>0.12833378680856411</v>
      </c>
      <c r="N6856" s="1">
        <v>0.55016140124369739</v>
      </c>
      <c r="O6856" s="1">
        <v>0.13635666666666665</v>
      </c>
      <c r="P6856" s="1">
        <v>7.3899761998546712E-2</v>
      </c>
      <c r="Q6856" s="1">
        <v>0.59522511578173454</v>
      </c>
      <c r="R6856" s="2">
        <f t="shared" si="427"/>
        <v>18.623815779878594</v>
      </c>
      <c r="S6856" s="2">
        <f t="shared" si="426"/>
        <v>1.5356176236049033</v>
      </c>
      <c r="T6856" s="2">
        <f t="shared" si="428"/>
        <v>1.8190719894659522</v>
      </c>
      <c r="U6856" s="2">
        <f t="shared" si="429"/>
        <v>21.978505392949451</v>
      </c>
    </row>
    <row r="6857" spans="1:21" x14ac:dyDescent="0.25">
      <c r="A6857">
        <v>7450157</v>
      </c>
      <c r="B6857">
        <v>1</v>
      </c>
      <c r="C6857" s="1">
        <f>0.639656641661337*(10.3/7.3)</f>
        <v>0.90252923412490027</v>
      </c>
      <c r="D6857" s="1">
        <f>2.4292223455801*(10.3/7.3)</f>
        <v>3.4275328985582285</v>
      </c>
      <c r="E6857" s="1">
        <f>7.94581326767402*(10.3/7.3)</f>
        <v>11.211215980416767</v>
      </c>
      <c r="F6857" s="1">
        <f>35.265741338228*(38.9/42.5)</f>
        <v>32.278525601342807</v>
      </c>
      <c r="G6857" s="1">
        <v>2.3068412324175136</v>
      </c>
      <c r="H6857" s="1">
        <v>16.059790181093227</v>
      </c>
      <c r="I6857" s="1">
        <v>26.248815061437909</v>
      </c>
      <c r="J6857" s="1">
        <v>1.7634754814999543E-2</v>
      </c>
      <c r="K6857" s="1">
        <v>1.6127411871454533</v>
      </c>
      <c r="L6857" s="1">
        <v>1.3296260117662446</v>
      </c>
      <c r="M6857" s="1">
        <v>0.15222823298145005</v>
      </c>
      <c r="N6857" s="1">
        <v>0.71037209505925025</v>
      </c>
      <c r="O6857" s="1">
        <v>0.12741333333333332</v>
      </c>
      <c r="P6857" s="1">
        <v>7.5521687909993404E-2</v>
      </c>
      <c r="Q6857" s="1">
        <v>3.6867325632243406</v>
      </c>
      <c r="R6857" s="2">
        <f t="shared" si="427"/>
        <v>96.121982752615693</v>
      </c>
      <c r="S6857" s="2">
        <f t="shared" ref="S6857:S6920" si="430">J6857+K6857+P6857</f>
        <v>1.7058976298704462</v>
      </c>
      <c r="T6857" s="2">
        <f t="shared" si="428"/>
        <v>2.3196396731402782</v>
      </c>
      <c r="U6857" s="2">
        <f t="shared" si="429"/>
        <v>100.14752005562642</v>
      </c>
    </row>
    <row r="6858" spans="1:21" x14ac:dyDescent="0.25">
      <c r="A6858">
        <v>7450253</v>
      </c>
      <c r="B6858">
        <v>5</v>
      </c>
      <c r="C6858" s="1">
        <f>0.743292169781063*(10.3/7.3)</f>
        <v>1.0487547053075275</v>
      </c>
      <c r="D6858" s="1">
        <f>2.0929452906781*(10.3/7.3)</f>
        <v>2.9530597936965037</v>
      </c>
      <c r="E6858" s="1">
        <f>6.92405350112162*(10.3/7.3)</f>
        <v>9.7695549399387218</v>
      </c>
      <c r="F6858" s="1">
        <f>28.5283981295292*(38.9/42.5)</f>
        <v>26.111874993851391</v>
      </c>
      <c r="G6858" s="1">
        <v>1.8102802452720135</v>
      </c>
      <c r="H6858" s="1">
        <v>10.846488704193689</v>
      </c>
      <c r="I6858" s="1">
        <v>21.363331139684288</v>
      </c>
      <c r="J6858" s="1">
        <v>2.0698347927711209E-2</v>
      </c>
      <c r="K6858" s="1">
        <v>1.7313319865820163</v>
      </c>
      <c r="L6858" s="1">
        <v>1.6010605814320482</v>
      </c>
      <c r="M6858" s="1">
        <v>0.14651342335849776</v>
      </c>
      <c r="N6858" s="1">
        <v>0.93939303287629028</v>
      </c>
      <c r="O6858" s="1">
        <v>0.126912</v>
      </c>
      <c r="P6858" s="1">
        <v>7.6141489896542749E-2</v>
      </c>
      <c r="Q6858" s="1">
        <v>2.8931419444986544</v>
      </c>
      <c r="R6858" s="2">
        <f t="shared" ref="R6858:R6921" si="431">C6858+D6858+E6858+F6858+G6858+H6858+I6858+Q6858</f>
        <v>76.796486466442786</v>
      </c>
      <c r="S6858" s="2">
        <f t="shared" si="430"/>
        <v>1.8281718244062701</v>
      </c>
      <c r="T6858" s="2">
        <f t="shared" ref="T6858:T6921" si="432">L6858+M6858+N6858+O6858</f>
        <v>2.8138790376668359</v>
      </c>
      <c r="U6858" s="2">
        <f t="shared" ref="U6858:U6921" si="433">R6858+S6858+T6858</f>
        <v>81.438537328515892</v>
      </c>
    </row>
    <row r="6859" spans="1:21" x14ac:dyDescent="0.25">
      <c r="A6859">
        <v>7450261</v>
      </c>
      <c r="B6859">
        <v>20</v>
      </c>
      <c r="C6859" s="1">
        <f>0.74526371422454*(10.3/7.3)</f>
        <v>1.0515364734948989</v>
      </c>
      <c r="D6859" s="1">
        <f>2.19421910985033*(10.3/7.3)</f>
        <v>3.0959529906107464</v>
      </c>
      <c r="E6859" s="1">
        <f>7.23464689727555*(10.3/7.3)</f>
        <v>10.207789457799747</v>
      </c>
      <c r="F6859" s="1">
        <f>30.7518327414358*(38.9/42.5)</f>
        <v>28.146971615102451</v>
      </c>
      <c r="G6859" s="1">
        <v>1.9734758505979226</v>
      </c>
      <c r="H6859" s="1">
        <v>10.57524250943877</v>
      </c>
      <c r="I6859" s="1">
        <v>23.083132543239717</v>
      </c>
      <c r="J6859" s="1">
        <v>2.0532438660803971E-2</v>
      </c>
      <c r="K6859" s="1">
        <v>1.7179628247391192</v>
      </c>
      <c r="L6859" s="1">
        <v>1.5801650438023536</v>
      </c>
      <c r="M6859" s="1">
        <v>0.14753149694749243</v>
      </c>
      <c r="N6859" s="1">
        <v>0.93959109228622972</v>
      </c>
      <c r="O6859" s="1">
        <v>0.12404</v>
      </c>
      <c r="P6859" s="1">
        <v>7.5337798494694241E-2</v>
      </c>
      <c r="Q6859" s="1">
        <v>3.1539568388551298</v>
      </c>
      <c r="R6859" s="2">
        <f t="shared" si="431"/>
        <v>81.288058279139364</v>
      </c>
      <c r="S6859" s="2">
        <f t="shared" si="430"/>
        <v>1.8138330618946172</v>
      </c>
      <c r="T6859" s="2">
        <f t="shared" si="432"/>
        <v>2.7913276330360755</v>
      </c>
      <c r="U6859" s="2">
        <f t="shared" si="433"/>
        <v>85.893218974070052</v>
      </c>
    </row>
    <row r="6860" spans="1:21" x14ac:dyDescent="0.25">
      <c r="A6860">
        <v>7450453</v>
      </c>
      <c r="B6860">
        <v>58</v>
      </c>
      <c r="C6860" s="1">
        <f>1.71498271602032*(10.3/7.3)</f>
        <v>2.4197701335629156</v>
      </c>
      <c r="D6860" s="1">
        <f>3.97036650526798*(10.3/7.3)</f>
        <v>5.6020239731863253</v>
      </c>
      <c r="E6860" s="1">
        <f>13.5409959140761*(10.3/7.3)</f>
        <v>19.105788755477171</v>
      </c>
      <c r="F6860" s="1">
        <f>37.5126772026471*(38.9/42.5)</f>
        <v>34.335132780775822</v>
      </c>
      <c r="G6860" s="1">
        <v>1.9785372119546945</v>
      </c>
      <c r="H6860" s="1">
        <v>8.2434287128507435</v>
      </c>
      <c r="I6860" s="1">
        <v>26.209180253264115</v>
      </c>
      <c r="J6860" s="1">
        <v>2.2346759428705072E-2</v>
      </c>
      <c r="K6860" s="1">
        <v>1.6327977786822805</v>
      </c>
      <c r="L6860" s="1">
        <v>1.4196053322314912</v>
      </c>
      <c r="M6860" s="1">
        <v>0.1216678701628668</v>
      </c>
      <c r="N6860" s="1">
        <v>0.92463752181106296</v>
      </c>
      <c r="O6860" s="1">
        <v>0.10296183908045976</v>
      </c>
      <c r="P6860" s="1">
        <v>6.7019035035252972E-2</v>
      </c>
      <c r="Q6860" s="1">
        <v>3.1620457725303353</v>
      </c>
      <c r="R6860" s="2">
        <f t="shared" si="431"/>
        <v>101.05590759360213</v>
      </c>
      <c r="S6860" s="2">
        <f t="shared" si="430"/>
        <v>1.7221635731462386</v>
      </c>
      <c r="T6860" s="2">
        <f t="shared" si="432"/>
        <v>2.5688725632858809</v>
      </c>
      <c r="U6860" s="2">
        <f t="shared" si="433"/>
        <v>105.34694373003424</v>
      </c>
    </row>
    <row r="6861" spans="1:21" x14ac:dyDescent="0.25">
      <c r="A6861">
        <v>7450461</v>
      </c>
      <c r="B6861">
        <v>66</v>
      </c>
      <c r="C6861" s="1">
        <f>1.48815095400206*(10.3/7.3)</f>
        <v>2.0997198392083871</v>
      </c>
      <c r="D6861" s="1">
        <f>3.61891822030671*(10.3/7.3)</f>
        <v>5.1061448861861756</v>
      </c>
      <c r="E6861" s="1">
        <f>12.3176460193488*(10.3/7.3)</f>
        <v>17.379692328670199</v>
      </c>
      <c r="F6861" s="1">
        <f>34.6358664174448*(38.9/42.5)</f>
        <v>31.70200479149651</v>
      </c>
      <c r="G6861" s="1">
        <v>1.8484642388358059</v>
      </c>
      <c r="H6861" s="1">
        <v>6.4688871086856157</v>
      </c>
      <c r="I6861" s="1">
        <v>24.124616017716711</v>
      </c>
      <c r="J6861" s="1">
        <v>2.2585673526149125E-2</v>
      </c>
      <c r="K6861" s="1">
        <v>1.6515382047137055</v>
      </c>
      <c r="L6861" s="1">
        <v>1.4399585802632788</v>
      </c>
      <c r="M6861" s="1">
        <v>0.12216919538177345</v>
      </c>
      <c r="N6861" s="1">
        <v>0.93520945538167866</v>
      </c>
      <c r="O6861" s="1">
        <v>0.10397494949494954</v>
      </c>
      <c r="P6861" s="1">
        <v>6.774590309023508E-2</v>
      </c>
      <c r="Q6861" s="1">
        <v>2.9541665917467257</v>
      </c>
      <c r="R6861" s="2">
        <f t="shared" si="431"/>
        <v>91.683695802546126</v>
      </c>
      <c r="S6861" s="2">
        <f t="shared" si="430"/>
        <v>1.7418697813300896</v>
      </c>
      <c r="T6861" s="2">
        <f t="shared" si="432"/>
        <v>2.6013121805216803</v>
      </c>
      <c r="U6861" s="2">
        <f t="shared" si="433"/>
        <v>96.026877764397895</v>
      </c>
    </row>
    <row r="6862" spans="1:21" x14ac:dyDescent="0.25">
      <c r="A6862">
        <v>7450469</v>
      </c>
      <c r="B6862">
        <v>47</v>
      </c>
      <c r="C6862" s="1">
        <f>1.71452758800195*(10.3/7.3)</f>
        <v>2.419127966632892</v>
      </c>
      <c r="D6862" s="1">
        <f>4.24907619135657*(10.3/7.3)</f>
        <v>5.9952718864346073</v>
      </c>
      <c r="E6862" s="1">
        <f>14.4590167550911*(10.3/7.3)</f>
        <v>20.401078435265465</v>
      </c>
      <c r="F6862" s="1">
        <f>40.5063626187484*(38.9/42.5)</f>
        <v>37.075235432219166</v>
      </c>
      <c r="G6862" s="1">
        <v>2.1595503899478672</v>
      </c>
      <c r="H6862" s="1">
        <v>7.2563404659685524</v>
      </c>
      <c r="I6862" s="1">
        <v>28.108376385379845</v>
      </c>
      <c r="J6862" s="1">
        <v>2.5035443853174404E-2</v>
      </c>
      <c r="K6862" s="1">
        <v>1.787987190271499</v>
      </c>
      <c r="L6862" s="1">
        <v>1.5977824339132576</v>
      </c>
      <c r="M6862" s="1">
        <v>0.13306726729854271</v>
      </c>
      <c r="N6862" s="1">
        <v>1.017022459976334</v>
      </c>
      <c r="O6862" s="1">
        <v>0.11352056737588648</v>
      </c>
      <c r="P6862" s="1">
        <v>7.276728043396799E-2</v>
      </c>
      <c r="Q6862" s="1">
        <v>3.4513362396427119</v>
      </c>
      <c r="R6862" s="2">
        <f t="shared" si="431"/>
        <v>106.8663172014911</v>
      </c>
      <c r="S6862" s="2">
        <f t="shared" si="430"/>
        <v>1.8857899145586414</v>
      </c>
      <c r="T6862" s="2">
        <f t="shared" si="432"/>
        <v>2.8613927285640206</v>
      </c>
      <c r="U6862" s="2">
        <f t="shared" si="433"/>
        <v>111.61349984461377</v>
      </c>
    </row>
    <row r="6863" spans="1:21" x14ac:dyDescent="0.25">
      <c r="A6863">
        <v>7450477</v>
      </c>
      <c r="B6863">
        <v>26</v>
      </c>
      <c r="C6863" s="1">
        <f>2.51142898754394*(10.3/7.3)</f>
        <v>3.543523092014047</v>
      </c>
      <c r="D6863" s="1">
        <f>6.38659515721428*(10.3/7.3)</f>
        <v>9.0112233040146741</v>
      </c>
      <c r="E6863" s="1">
        <f>21.7337432089331*(10.3/7.3)</f>
        <v>30.665418500275425</v>
      </c>
      <c r="F6863" s="1">
        <f>60.1724410315523*(38.9/42.5)</f>
        <v>55.075481320644315</v>
      </c>
      <c r="G6863" s="1">
        <v>3.1908690120391237</v>
      </c>
      <c r="H6863" s="1">
        <v>9.6013013619465237</v>
      </c>
      <c r="I6863" s="1">
        <v>41.46249060667612</v>
      </c>
      <c r="J6863" s="1">
        <v>3.3518372079423972E-2</v>
      </c>
      <c r="K6863" s="1">
        <v>2.2426308169823104</v>
      </c>
      <c r="L6863" s="1">
        <v>2.0995081160573461</v>
      </c>
      <c r="M6863" s="1">
        <v>0.16612202000300635</v>
      </c>
      <c r="N6863" s="1">
        <v>1.3117131905836719</v>
      </c>
      <c r="O6863" s="1">
        <v>0.14334564102564104</v>
      </c>
      <c r="P6863" s="1">
        <v>8.8866759609418061E-2</v>
      </c>
      <c r="Q6863" s="1">
        <v>5.0995623480077379</v>
      </c>
      <c r="R6863" s="2">
        <f t="shared" si="431"/>
        <v>157.64986954561797</v>
      </c>
      <c r="S6863" s="2">
        <f t="shared" si="430"/>
        <v>2.3650159486711524</v>
      </c>
      <c r="T6863" s="2">
        <f t="shared" si="432"/>
        <v>3.7206889676696657</v>
      </c>
      <c r="U6863" s="2">
        <f t="shared" si="433"/>
        <v>163.73557446195881</v>
      </c>
    </row>
    <row r="6864" spans="1:21" x14ac:dyDescent="0.25">
      <c r="A6864">
        <v>7450485</v>
      </c>
      <c r="B6864">
        <v>16</v>
      </c>
      <c r="C6864" s="1">
        <f>2.60985685029024*(10.3/7.3)</f>
        <v>3.6824007613684158</v>
      </c>
      <c r="D6864" s="1">
        <f>6.82726781609959*(10.3/7.3)</f>
        <v>9.6329943158665419</v>
      </c>
      <c r="E6864" s="1">
        <f>23.2371820020692*(10.3/7.3)</f>
        <v>32.786708852234668</v>
      </c>
      <c r="F6864" s="1">
        <f>63.3858866926688*(38.9/42.5)</f>
        <v>58.016729231642692</v>
      </c>
      <c r="G6864" s="1">
        <v>3.3372750224561045</v>
      </c>
      <c r="H6864" s="1">
        <v>9.8696245059006209</v>
      </c>
      <c r="I6864" s="1">
        <v>43.311657798660569</v>
      </c>
      <c r="J6864" s="1">
        <v>3.5689056401494057E-2</v>
      </c>
      <c r="K6864" s="1">
        <v>2.3162648050554582</v>
      </c>
      <c r="L6864" s="1">
        <v>2.175325008409521</v>
      </c>
      <c r="M6864" s="1">
        <v>0.17048843648799569</v>
      </c>
      <c r="N6864" s="1">
        <v>1.4021729958062732</v>
      </c>
      <c r="O6864" s="1">
        <v>0.14648666666666663</v>
      </c>
      <c r="P6864" s="1">
        <v>9.0742073016549615E-2</v>
      </c>
      <c r="Q6864" s="1">
        <v>5.3335445564367019</v>
      </c>
      <c r="R6864" s="2">
        <f t="shared" si="431"/>
        <v>165.97093504456632</v>
      </c>
      <c r="S6864" s="2">
        <f t="shared" si="430"/>
        <v>2.4426959344735022</v>
      </c>
      <c r="T6864" s="2">
        <f t="shared" si="432"/>
        <v>3.8944731073704566</v>
      </c>
      <c r="U6864" s="2">
        <f t="shared" si="433"/>
        <v>172.30810408641028</v>
      </c>
    </row>
    <row r="6865" spans="1:21" x14ac:dyDescent="0.25">
      <c r="A6865">
        <v>7450493</v>
      </c>
      <c r="B6865">
        <v>37</v>
      </c>
      <c r="C6865" s="1">
        <f>1.87899003929975*(10.3/7.3)</f>
        <v>2.6511777266832075</v>
      </c>
      <c r="D6865" s="1">
        <f>4.95090450992555*(10.3/7.3)</f>
        <v>6.9855228016757795</v>
      </c>
      <c r="E6865" s="1">
        <f>16.8868080938287*(10.3/7.3)</f>
        <v>23.826592241977433</v>
      </c>
      <c r="F6865" s="1">
        <f>44.0841825891323*(38.9/42.5)</f>
        <v>40.349993005111699</v>
      </c>
      <c r="G6865" s="1">
        <v>2.2596314583587365</v>
      </c>
      <c r="H6865" s="1">
        <v>7.9602167525081526</v>
      </c>
      <c r="I6865" s="1">
        <v>29.680386029407384</v>
      </c>
      <c r="J6865" s="1">
        <v>2.9214801911996352E-2</v>
      </c>
      <c r="K6865" s="1">
        <v>1.9218445487915046</v>
      </c>
      <c r="L6865" s="1">
        <v>1.7406079284994749</v>
      </c>
      <c r="M6865" s="1">
        <v>0.14069418283060414</v>
      </c>
      <c r="N6865" s="1">
        <v>1.1696580781172776</v>
      </c>
      <c r="O6865" s="1">
        <v>0.12003891891891892</v>
      </c>
      <c r="P6865" s="1">
        <v>7.7132976210886051E-2</v>
      </c>
      <c r="Q6865" s="1">
        <v>3.6112831526281215</v>
      </c>
      <c r="R6865" s="2">
        <f t="shared" si="431"/>
        <v>117.32480316835053</v>
      </c>
      <c r="S6865" s="2">
        <f t="shared" si="430"/>
        <v>2.0281923269143869</v>
      </c>
      <c r="T6865" s="2">
        <f t="shared" si="432"/>
        <v>3.1709991083662752</v>
      </c>
      <c r="U6865" s="2">
        <f t="shared" si="433"/>
        <v>122.52399460363119</v>
      </c>
    </row>
    <row r="6866" spans="1:21" x14ac:dyDescent="0.25">
      <c r="A6866">
        <v>7450549</v>
      </c>
      <c r="B6866">
        <v>9</v>
      </c>
      <c r="C6866" s="1">
        <f>1.54510668236917*(10.3/7.3)</f>
        <v>2.1800820312880016</v>
      </c>
      <c r="D6866" s="1">
        <f>3.0010477636327*(10.3/7.3)</f>
        <v>4.2343550637557286</v>
      </c>
      <c r="E6866" s="1">
        <f>10.2719803993441*(10.3/7.3)</f>
        <v>14.493342207293729</v>
      </c>
      <c r="F6866" s="1">
        <f>29.0715582007122*(38.9/42.5)</f>
        <v>26.60902621194597</v>
      </c>
      <c r="G6866" s="1">
        <v>1.5341984403090947</v>
      </c>
      <c r="H6866" s="1">
        <v>7.1149173864644819</v>
      </c>
      <c r="I6866" s="1">
        <v>21.00530984259515</v>
      </c>
      <c r="J6866" s="1">
        <v>2.6772729839711368E-2</v>
      </c>
      <c r="K6866" s="1">
        <v>1.5979938079933278</v>
      </c>
      <c r="L6866" s="1">
        <v>1.3477527112077792</v>
      </c>
      <c r="M6866" s="1">
        <v>0.11103788968226447</v>
      </c>
      <c r="N6866" s="1">
        <v>1.0730516942056629</v>
      </c>
      <c r="O6866" s="1">
        <v>9.36948148148148E-2</v>
      </c>
      <c r="P6866" s="1">
        <v>6.3833249991544966E-2</v>
      </c>
      <c r="Q6866" s="1">
        <v>2.4519153155624829</v>
      </c>
      <c r="R6866" s="2">
        <f t="shared" si="431"/>
        <v>79.623146499214656</v>
      </c>
      <c r="S6866" s="2">
        <f t="shared" si="430"/>
        <v>1.6885997878245842</v>
      </c>
      <c r="T6866" s="2">
        <f t="shared" si="432"/>
        <v>2.6255371099105211</v>
      </c>
      <c r="U6866" s="2">
        <f t="shared" si="433"/>
        <v>83.937283396949766</v>
      </c>
    </row>
    <row r="6867" spans="1:21" x14ac:dyDescent="0.25">
      <c r="A6867">
        <v>7450557</v>
      </c>
      <c r="B6867">
        <v>48</v>
      </c>
      <c r="C6867" s="1">
        <f>1.60146497302613*(10.3/7.3)</f>
        <v>2.2596012633108367</v>
      </c>
      <c r="D6867" s="1">
        <f>3.30409380609497*(10.3/7.3)</f>
        <v>4.6619405757230359</v>
      </c>
      <c r="E6867" s="1">
        <f>11.3213792281564*(10.3/7.3)</f>
        <v>15.974000828768551</v>
      </c>
      <c r="F6867" s="1">
        <f>30.4161061544801*(38.9/42.5)</f>
        <v>27.839683044924168</v>
      </c>
      <c r="G6867" s="1">
        <v>1.5615437481998315</v>
      </c>
      <c r="H6867" s="1">
        <v>6.0816252087156011</v>
      </c>
      <c r="I6867" s="1">
        <v>21.471027088604274</v>
      </c>
      <c r="J6867" s="1">
        <v>2.6456021825943435E-2</v>
      </c>
      <c r="K6867" s="1">
        <v>1.6804052528721041</v>
      </c>
      <c r="L6867" s="1">
        <v>1.4418751351372894</v>
      </c>
      <c r="M6867" s="1">
        <v>0.11751079533844101</v>
      </c>
      <c r="N6867" s="1">
        <v>1.0640963688281122</v>
      </c>
      <c r="O6867" s="1">
        <v>9.9994444444444427E-2</v>
      </c>
      <c r="P6867" s="1">
        <v>6.7144469338763571E-2</v>
      </c>
      <c r="Q6867" s="1">
        <v>2.4956178624198251</v>
      </c>
      <c r="R6867" s="2">
        <f t="shared" si="431"/>
        <v>82.345039620666114</v>
      </c>
      <c r="S6867" s="2">
        <f t="shared" si="430"/>
        <v>1.7740057440368111</v>
      </c>
      <c r="T6867" s="2">
        <f t="shared" si="432"/>
        <v>2.7234767437482872</v>
      </c>
      <c r="U6867" s="2">
        <f t="shared" si="433"/>
        <v>86.84252210845122</v>
      </c>
    </row>
    <row r="6868" spans="1:21" x14ac:dyDescent="0.25">
      <c r="A6868">
        <v>7450565</v>
      </c>
      <c r="B6868">
        <v>23</v>
      </c>
      <c r="C6868" s="1">
        <f>1.41223884457105*(10.3/7.3)</f>
        <v>1.9926109724769583</v>
      </c>
      <c r="D6868" s="1">
        <f>2.94009933845249*(10.3/7.3)</f>
        <v>4.1483593405562491</v>
      </c>
      <c r="E6868" s="1">
        <f>10.0728749007826*(10.3/7.3)</f>
        <v>14.212412531241263</v>
      </c>
      <c r="F6868" s="1">
        <f>26.9989410182991*(38.9/42.5)</f>
        <v>24.711971896749038</v>
      </c>
      <c r="G6868" s="1">
        <v>1.3849910889634696</v>
      </c>
      <c r="H6868" s="1">
        <v>8.3712804615196266</v>
      </c>
      <c r="I6868" s="1">
        <v>19.01759312360144</v>
      </c>
      <c r="J6868" s="1">
        <v>2.4997266795133057E-2</v>
      </c>
      <c r="K6868" s="1">
        <v>1.6234211891534067</v>
      </c>
      <c r="L6868" s="1">
        <v>1.376988860888591</v>
      </c>
      <c r="M6868" s="1">
        <v>0.11070382535470562</v>
      </c>
      <c r="N6868" s="1">
        <v>1.0152352425103253</v>
      </c>
      <c r="O6868" s="1">
        <v>9.4956521739130426E-2</v>
      </c>
      <c r="P6868" s="1">
        <v>6.5012929531455099E-2</v>
      </c>
      <c r="Q6868" s="1">
        <v>2.2134560782521224</v>
      </c>
      <c r="R6868" s="2">
        <f t="shared" si="431"/>
        <v>76.052675493360169</v>
      </c>
      <c r="S6868" s="2">
        <f t="shared" si="430"/>
        <v>1.713431385479995</v>
      </c>
      <c r="T6868" s="2">
        <f t="shared" si="432"/>
        <v>2.5978844504927525</v>
      </c>
      <c r="U6868" s="2">
        <f t="shared" si="433"/>
        <v>80.363991329332919</v>
      </c>
    </row>
    <row r="6869" spans="1:21" x14ac:dyDescent="0.25">
      <c r="A6869">
        <v>7450573</v>
      </c>
      <c r="B6869">
        <v>12</v>
      </c>
      <c r="C6869" s="1">
        <f>1.45525868896022*(10.3/7.3)</f>
        <v>2.0533102049712673</v>
      </c>
      <c r="D6869" s="1">
        <f>3.0677039623694*(10.3/7.3)</f>
        <v>4.3284042208773661</v>
      </c>
      <c r="E6869" s="1">
        <f>10.4974186779942*(10.3/7.3)</f>
        <v>14.811426353882291</v>
      </c>
      <c r="F6869" s="1">
        <f>28.5992326865282*(38.9/42.5)</f>
        <v>26.176709447198714</v>
      </c>
      <c r="G6869" s="1">
        <v>1.4836207972675892</v>
      </c>
      <c r="H6869" s="1">
        <v>7.8118344241750108</v>
      </c>
      <c r="I6869" s="1">
        <v>20.189528909791083</v>
      </c>
      <c r="J6869" s="1">
        <v>2.4302949519468219E-2</v>
      </c>
      <c r="K6869" s="1">
        <v>1.6006623295536933</v>
      </c>
      <c r="L6869" s="1">
        <v>1.3582927653107557</v>
      </c>
      <c r="M6869" s="1">
        <v>0.10965826033674353</v>
      </c>
      <c r="N6869" s="1">
        <v>0.99893089255076273</v>
      </c>
      <c r="O6869" s="1">
        <v>9.4133333333333333E-2</v>
      </c>
      <c r="P6869" s="1">
        <v>6.4038696026231134E-2</v>
      </c>
      <c r="Q6869" s="1">
        <v>2.3710834659527706</v>
      </c>
      <c r="R6869" s="2">
        <f t="shared" si="431"/>
        <v>79.225917824116095</v>
      </c>
      <c r="S6869" s="2">
        <f t="shared" si="430"/>
        <v>1.6890039750993926</v>
      </c>
      <c r="T6869" s="2">
        <f t="shared" si="432"/>
        <v>2.5610152515315954</v>
      </c>
      <c r="U6869" s="2">
        <f t="shared" si="433"/>
        <v>83.475937050747092</v>
      </c>
    </row>
    <row r="6870" spans="1:21" x14ac:dyDescent="0.25">
      <c r="A6870">
        <v>7450725</v>
      </c>
      <c r="B6870">
        <v>16</v>
      </c>
      <c r="C6870" s="1">
        <f>4.08025062790745*(10.3/7.3)</f>
        <v>5.7570659544447533</v>
      </c>
      <c r="D6870" s="1">
        <f>5.47540433410778*(10.3/7.3)</f>
        <v>7.725570498809609</v>
      </c>
      <c r="E6870" s="1">
        <f>19.1394154148293*(10.3/7.3)</f>
        <v>27.004928599005734</v>
      </c>
      <c r="F6870" s="1">
        <f>46.430538385863*(38.9/42.5)</f>
        <v>42.497598663766411</v>
      </c>
      <c r="G6870" s="1">
        <v>2.1145821099366704</v>
      </c>
      <c r="H6870" s="1">
        <v>10.901703680370582</v>
      </c>
      <c r="I6870" s="1">
        <v>35.13285372741894</v>
      </c>
      <c r="J6870" s="1">
        <v>2.8907886396989452E-2</v>
      </c>
      <c r="K6870" s="1">
        <v>2.002095816012377</v>
      </c>
      <c r="L6870" s="1">
        <v>1.679364941258606</v>
      </c>
      <c r="M6870" s="1">
        <v>0.11120978474916678</v>
      </c>
      <c r="N6870" s="1">
        <v>1.0515538160728035</v>
      </c>
      <c r="O6870" s="1">
        <v>0.10855000000000001</v>
      </c>
      <c r="P6870" s="1">
        <v>7.4028429396264681E-2</v>
      </c>
      <c r="Q6870" s="1">
        <v>3.3794691254695679</v>
      </c>
      <c r="R6870" s="2">
        <f t="shared" si="431"/>
        <v>134.51377235922229</v>
      </c>
      <c r="S6870" s="2">
        <f t="shared" si="430"/>
        <v>2.1050321318056309</v>
      </c>
      <c r="T6870" s="2">
        <f t="shared" si="432"/>
        <v>2.9506785420805768</v>
      </c>
      <c r="U6870" s="2">
        <f t="shared" si="433"/>
        <v>139.5694830331085</v>
      </c>
    </row>
    <row r="6871" spans="1:21" x14ac:dyDescent="0.25">
      <c r="A6871">
        <v>7462089</v>
      </c>
      <c r="B6871">
        <v>10</v>
      </c>
      <c r="C6871" s="1">
        <f>0.285642935056203*(10.3/7.3)</f>
        <v>0.40303044261354604</v>
      </c>
      <c r="D6871" s="1">
        <f>0.529496383483693*(10.3/7.3)</f>
        <v>0.74709763697014242</v>
      </c>
      <c r="E6871" s="1">
        <f>1.81213245589257*(10.3/7.3)</f>
        <v>2.5568444240675947</v>
      </c>
      <c r="F6871" s="1">
        <f>5.2714037244002*(38.9/42.5)</f>
        <v>4.8248848206863002</v>
      </c>
      <c r="G6871" s="1">
        <v>0.28170286770754338</v>
      </c>
      <c r="H6871" s="1">
        <v>1.0747731575700876</v>
      </c>
      <c r="I6871" s="1">
        <v>3.8630424818858109</v>
      </c>
      <c r="J6871" s="1">
        <v>1.3635959594196955E-2</v>
      </c>
      <c r="K6871" s="1">
        <v>1.3886047728699338</v>
      </c>
      <c r="L6871" s="1">
        <v>0.97519935085141418</v>
      </c>
      <c r="M6871" s="1">
        <v>0.12213726643151523</v>
      </c>
      <c r="N6871" s="1">
        <v>0.4964979531327085</v>
      </c>
      <c r="O6871" s="1">
        <v>0.13155733333333333</v>
      </c>
      <c r="P6871" s="1">
        <v>7.3133168604884724E-2</v>
      </c>
      <c r="Q6871" s="1">
        <v>0.45021006254630258</v>
      </c>
      <c r="R6871" s="2">
        <f t="shared" si="431"/>
        <v>14.201585894047328</v>
      </c>
      <c r="S6871" s="2">
        <f t="shared" si="430"/>
        <v>1.4753739010690157</v>
      </c>
      <c r="T6871" s="2">
        <f t="shared" si="432"/>
        <v>1.7253919037489713</v>
      </c>
      <c r="U6871" s="2">
        <f t="shared" si="433"/>
        <v>17.402351698865317</v>
      </c>
    </row>
    <row r="6872" spans="1:21" x14ac:dyDescent="0.25">
      <c r="A6872">
        <v>7462097</v>
      </c>
      <c r="B6872">
        <v>55</v>
      </c>
      <c r="C6872" s="1">
        <f>0.3272785501179*(10.3/7.3)</f>
        <v>0.4617765844129279</v>
      </c>
      <c r="D6872" s="1">
        <f>0.631324775764755*(10.3/7.3)</f>
        <v>0.8907733137502708</v>
      </c>
      <c r="E6872" s="1">
        <f>2.15382649754738*(10.3/7.3)</f>
        <v>3.0389606746216464</v>
      </c>
      <c r="F6872" s="1">
        <f>6.48097693367136*(38.9/42.5)</f>
        <v>5.9320000639956643</v>
      </c>
      <c r="G6872" s="1">
        <v>0.35393674824313703</v>
      </c>
      <c r="H6872" s="1">
        <v>1.3408921655983719</v>
      </c>
      <c r="I6872" s="1">
        <v>4.7534356480449702</v>
      </c>
      <c r="J6872" s="1">
        <v>1.4523020626933262E-2</v>
      </c>
      <c r="K6872" s="1">
        <v>1.4484044839966086</v>
      </c>
      <c r="L6872" s="1">
        <v>1.0146865172158674</v>
      </c>
      <c r="M6872" s="1">
        <v>0.12499290491093711</v>
      </c>
      <c r="N6872" s="1">
        <v>0.52351855230399946</v>
      </c>
      <c r="O6872" s="1">
        <v>0.13669430303030308</v>
      </c>
      <c r="P6872" s="1">
        <v>7.5593094266048461E-2</v>
      </c>
      <c r="Q6872" s="1">
        <v>0.5656523373748773</v>
      </c>
      <c r="R6872" s="2">
        <f t="shared" si="431"/>
        <v>17.337427536041869</v>
      </c>
      <c r="S6872" s="2">
        <f t="shared" si="430"/>
        <v>1.5385205988895905</v>
      </c>
      <c r="T6872" s="2">
        <f t="shared" si="432"/>
        <v>1.799892277461107</v>
      </c>
      <c r="U6872" s="2">
        <f t="shared" si="433"/>
        <v>20.675840412392567</v>
      </c>
    </row>
    <row r="6873" spans="1:21" x14ac:dyDescent="0.25">
      <c r="A6873">
        <v>7462105</v>
      </c>
      <c r="B6873">
        <v>6</v>
      </c>
      <c r="C6873" s="1">
        <f>0.367782654364931*(10.3/7.3)</f>
        <v>0.51892621095325842</v>
      </c>
      <c r="D6873" s="1">
        <f>0.782103291895289*(10.3/7.3)</f>
        <v>1.1035156036330791</v>
      </c>
      <c r="E6873" s="1">
        <f>2.64202888177033*(10.3/7.3)</f>
        <v>3.7277941756485529</v>
      </c>
      <c r="F6873" s="1">
        <f>8.91949552368086*(38.9/42.5)</f>
        <v>8.163961785204366</v>
      </c>
      <c r="G6873" s="1">
        <v>0.51850280258872716</v>
      </c>
      <c r="H6873" s="1">
        <v>3.0959016148095739</v>
      </c>
      <c r="I6873" s="1">
        <v>6.6097310402459444</v>
      </c>
      <c r="J6873" s="1">
        <v>1.5872410854501515E-2</v>
      </c>
      <c r="K6873" s="1">
        <v>1.5272144516058159</v>
      </c>
      <c r="L6873" s="1">
        <v>1.0822406112114928</v>
      </c>
      <c r="M6873" s="1">
        <v>0.13491631326570017</v>
      </c>
      <c r="N6873" s="1">
        <v>0.56457106809292534</v>
      </c>
      <c r="O6873" s="1">
        <v>0.14386666666666667</v>
      </c>
      <c r="P6873" s="1">
        <v>7.8580455961662576E-2</v>
      </c>
      <c r="Q6873" s="1">
        <v>0.82865744705961042</v>
      </c>
      <c r="R6873" s="2">
        <f t="shared" si="431"/>
        <v>24.566990680143114</v>
      </c>
      <c r="S6873" s="2">
        <f t="shared" si="430"/>
        <v>1.6216673184219799</v>
      </c>
      <c r="T6873" s="2">
        <f t="shared" si="432"/>
        <v>1.9255946592367847</v>
      </c>
      <c r="U6873" s="2">
        <f t="shared" si="433"/>
        <v>28.114252657801881</v>
      </c>
    </row>
    <row r="6874" spans="1:21" x14ac:dyDescent="0.25">
      <c r="A6874">
        <v>7462489</v>
      </c>
      <c r="B6874">
        <v>24</v>
      </c>
      <c r="C6874" s="1">
        <f>0.738831301545318*(10.3/7.3)</f>
        <v>1.0424606035502428</v>
      </c>
      <c r="D6874" s="1">
        <f>2.13839483073926*(10.3/7.3)</f>
        <v>3.0171872269334754</v>
      </c>
      <c r="E6874" s="1">
        <f>7.06198862496065*(10.3/7.3)</f>
        <v>9.964175731108865</v>
      </c>
      <c r="F6874" s="1">
        <f>29.5428446616876*(38.9/42.5)</f>
        <v>27.040391937403506</v>
      </c>
      <c r="G6874" s="1">
        <v>1.8854403514724074</v>
      </c>
      <c r="H6874" s="1">
        <v>8.7925475751800324</v>
      </c>
      <c r="I6874" s="1">
        <v>22.138376389436118</v>
      </c>
      <c r="J6874" s="1">
        <v>2.053887418650242E-2</v>
      </c>
      <c r="K6874" s="1">
        <v>1.7179353010854326</v>
      </c>
      <c r="L6874" s="1">
        <v>1.5874819137004967</v>
      </c>
      <c r="M6874" s="1">
        <v>0.14602896995880149</v>
      </c>
      <c r="N6874" s="1">
        <v>0.93351184515093655</v>
      </c>
      <c r="O6874" s="1">
        <v>0.12525555555555554</v>
      </c>
      <c r="P6874" s="1">
        <v>7.5410831154868865E-2</v>
      </c>
      <c r="Q6874" s="1">
        <v>3.0132608356864998</v>
      </c>
      <c r="R6874" s="2">
        <f t="shared" si="431"/>
        <v>76.893840650771139</v>
      </c>
      <c r="S6874" s="2">
        <f t="shared" si="430"/>
        <v>1.8138850064268039</v>
      </c>
      <c r="T6874" s="2">
        <f t="shared" si="432"/>
        <v>2.7922782843657901</v>
      </c>
      <c r="U6874" s="2">
        <f t="shared" si="433"/>
        <v>81.500003941563733</v>
      </c>
    </row>
    <row r="6875" spans="1:21" x14ac:dyDescent="0.25">
      <c r="A6875">
        <v>7462689</v>
      </c>
      <c r="B6875">
        <v>57</v>
      </c>
      <c r="C6875" s="1">
        <f>1.55340792213117*(10.3/7.3)</f>
        <v>2.1917947394453541</v>
      </c>
      <c r="D6875" s="1">
        <f>3.71923895139032*(10.3/7.3)</f>
        <v>5.2476933149753897</v>
      </c>
      <c r="E6875" s="1">
        <f>12.6593839705002*(10.3/7.3)</f>
        <v>17.861870533719394</v>
      </c>
      <c r="F6875" s="1">
        <f>35.8240870529604*(38.9/42.5)</f>
        <v>32.789576149650792</v>
      </c>
      <c r="G6875" s="1">
        <v>1.9170970649984627</v>
      </c>
      <c r="H6875" s="1">
        <v>6.7091555123053634</v>
      </c>
      <c r="I6875" s="1">
        <v>25.052050865553049</v>
      </c>
      <c r="J6875" s="1">
        <v>2.2533645215964921E-2</v>
      </c>
      <c r="K6875" s="1">
        <v>1.6438198732967966</v>
      </c>
      <c r="L6875" s="1">
        <v>1.4306580469067589</v>
      </c>
      <c r="M6875" s="1">
        <v>0.12207314886491365</v>
      </c>
      <c r="N6875" s="1">
        <v>0.93567723537279468</v>
      </c>
      <c r="O6875" s="1">
        <v>0.10327766081871341</v>
      </c>
      <c r="P6875" s="1">
        <v>6.7191142535703852E-2</v>
      </c>
      <c r="Q6875" s="1">
        <v>3.0638537568468629</v>
      </c>
      <c r="R6875" s="2">
        <f t="shared" si="431"/>
        <v>94.833091937494686</v>
      </c>
      <c r="S6875" s="2">
        <f t="shared" si="430"/>
        <v>1.7335446610484655</v>
      </c>
      <c r="T6875" s="2">
        <f t="shared" si="432"/>
        <v>2.5916860919631808</v>
      </c>
      <c r="U6875" s="2">
        <f t="shared" si="433"/>
        <v>99.158322690506338</v>
      </c>
    </row>
    <row r="6876" spans="1:21" x14ac:dyDescent="0.25">
      <c r="A6876">
        <v>7462697</v>
      </c>
      <c r="B6876">
        <v>57</v>
      </c>
      <c r="C6876" s="1">
        <f>1.59856163538209*(10.3/7.3)</f>
        <v>2.2555047732103484</v>
      </c>
      <c r="D6876" s="1">
        <f>3.94054642546106*(10.3/7.3)</f>
        <v>5.5599490660614972</v>
      </c>
      <c r="E6876" s="1">
        <f>13.4065306574322*(10.3/7.3)</f>
        <v>18.916063804322125</v>
      </c>
      <c r="F6876" s="1">
        <f>37.7770997223405*(38.9/42.5)</f>
        <v>34.57715715762459</v>
      </c>
      <c r="G6876" s="1">
        <v>2.0201755030949</v>
      </c>
      <c r="H6876" s="1">
        <v>6.8579571291118748</v>
      </c>
      <c r="I6876" s="1">
        <v>26.277460245494513</v>
      </c>
      <c r="J6876" s="1">
        <v>2.3819261512230908E-2</v>
      </c>
      <c r="K6876" s="1">
        <v>1.7207520050517668</v>
      </c>
      <c r="L6876" s="1">
        <v>1.5178748270487581</v>
      </c>
      <c r="M6876" s="1">
        <v>0.12693274879907535</v>
      </c>
      <c r="N6876" s="1">
        <v>0.97698486475789159</v>
      </c>
      <c r="O6876" s="1">
        <v>0.10886456140350878</v>
      </c>
      <c r="P6876" s="1">
        <v>7.0185934407630948E-2</v>
      </c>
      <c r="Q6876" s="1">
        <v>3.22859098668135</v>
      </c>
      <c r="R6876" s="2">
        <f t="shared" si="431"/>
        <v>99.692858665601193</v>
      </c>
      <c r="S6876" s="2">
        <f t="shared" si="430"/>
        <v>1.8147572009716288</v>
      </c>
      <c r="T6876" s="2">
        <f t="shared" si="432"/>
        <v>2.730657002009234</v>
      </c>
      <c r="U6876" s="2">
        <f t="shared" si="433"/>
        <v>104.23827286858206</v>
      </c>
    </row>
    <row r="6877" spans="1:21" x14ac:dyDescent="0.25">
      <c r="A6877">
        <v>7462705</v>
      </c>
      <c r="B6877">
        <v>24</v>
      </c>
      <c r="C6877" s="1">
        <f>2.36067553868415*(10.3/7.3)</f>
        <v>3.3308161710201021</v>
      </c>
      <c r="D6877" s="1">
        <f>6.01031281202522*(10.3/7.3)</f>
        <v>8.4803043786109313</v>
      </c>
      <c r="E6877" s="1">
        <f>20.4411614298184*(10.3/7.3)</f>
        <v>28.841638729743831</v>
      </c>
      <c r="F6877" s="1">
        <f>57.1849070891764*(38.9/42.5)</f>
        <v>52.34100907691672</v>
      </c>
      <c r="G6877" s="1">
        <v>3.051065767224769</v>
      </c>
      <c r="H6877" s="1">
        <v>9.182761399213426</v>
      </c>
      <c r="I6877" s="1">
        <v>39.516840015067515</v>
      </c>
      <c r="J6877" s="1">
        <v>3.1541501528969652E-2</v>
      </c>
      <c r="K6877" s="1">
        <v>2.1380160641945598</v>
      </c>
      <c r="L6877" s="1">
        <v>1.9825737821086322</v>
      </c>
      <c r="M6877" s="1">
        <v>0.1581290349789245</v>
      </c>
      <c r="N6877" s="1">
        <v>1.2550009503208024</v>
      </c>
      <c r="O6877" s="1">
        <v>0.13659777777777776</v>
      </c>
      <c r="P6877" s="1">
        <v>8.4825937900760387E-2</v>
      </c>
      <c r="Q6877" s="1">
        <v>4.8761325046971242</v>
      </c>
      <c r="R6877" s="2">
        <f t="shared" si="431"/>
        <v>149.62056804249443</v>
      </c>
      <c r="S6877" s="2">
        <f t="shared" si="430"/>
        <v>2.2543835036242901</v>
      </c>
      <c r="T6877" s="2">
        <f t="shared" si="432"/>
        <v>3.532301545186137</v>
      </c>
      <c r="U6877" s="2">
        <f t="shared" si="433"/>
        <v>155.40725309130485</v>
      </c>
    </row>
    <row r="6878" spans="1:21" x14ac:dyDescent="0.25">
      <c r="A6878">
        <v>7462713</v>
      </c>
      <c r="B6878">
        <v>5</v>
      </c>
      <c r="C6878" s="1">
        <f>2.37565131061844*(10.3/7.3)</f>
        <v>3.3519463697767002</v>
      </c>
      <c r="D6878" s="1">
        <f>6.23694711204231*(10.3/7.3)</f>
        <v>8.8000760621966858</v>
      </c>
      <c r="E6878" s="1">
        <f>21.2036881054956*(10.3/7.3)</f>
        <v>29.917532532411599</v>
      </c>
      <c r="F6878" s="1">
        <f>58.9965107727836*(38.9/42.5)</f>
        <v>53.999159272030134</v>
      </c>
      <c r="G6878" s="1">
        <v>3.143312592786208</v>
      </c>
      <c r="H6878" s="1">
        <v>9.3167609383560297</v>
      </c>
      <c r="I6878" s="1">
        <v>40.532887802859669</v>
      </c>
      <c r="J6878" s="1">
        <v>3.3022308920176248E-2</v>
      </c>
      <c r="K6878" s="1">
        <v>2.1834435407226147</v>
      </c>
      <c r="L6878" s="1">
        <v>2.0343013040114437</v>
      </c>
      <c r="M6878" s="1">
        <v>0.15997494135177542</v>
      </c>
      <c r="N6878" s="1">
        <v>1.3221277213912597</v>
      </c>
      <c r="O6878" s="1">
        <v>0.13818666666666665</v>
      </c>
      <c r="P6878" s="1">
        <v>8.6063172657178749E-2</v>
      </c>
      <c r="Q6878" s="1">
        <v>5.0235589382428039</v>
      </c>
      <c r="R6878" s="2">
        <f t="shared" si="431"/>
        <v>154.08523450865982</v>
      </c>
      <c r="S6878" s="2">
        <f t="shared" si="430"/>
        <v>2.3025290222999697</v>
      </c>
      <c r="T6878" s="2">
        <f t="shared" si="432"/>
        <v>3.6545906334211451</v>
      </c>
      <c r="U6878" s="2">
        <f t="shared" si="433"/>
        <v>160.04235416438095</v>
      </c>
    </row>
    <row r="6879" spans="1:21" x14ac:dyDescent="0.25">
      <c r="A6879">
        <v>7462721</v>
      </c>
      <c r="B6879">
        <v>28</v>
      </c>
      <c r="C6879" s="1">
        <f>2.25303717790646*(10.3/7.3)</f>
        <v>3.1789428674570552</v>
      </c>
      <c r="D6879" s="1">
        <f>6.07059843881063*(10.3/7.3)</f>
        <v>8.5653649205136357</v>
      </c>
      <c r="E6879" s="1">
        <f>20.6660755940264*(10.3/7.3)</f>
        <v>29.158983372393454</v>
      </c>
      <c r="F6879" s="1">
        <f>55.4733068955637*(38.9/42.5)</f>
        <v>50.774391487939461</v>
      </c>
      <c r="G6879" s="1">
        <v>2.8973466043702354</v>
      </c>
      <c r="H6879" s="1">
        <v>9.1800221445560926</v>
      </c>
      <c r="I6879" s="1">
        <v>37.561697946928767</v>
      </c>
      <c r="J6879" s="1">
        <v>3.3010609801245615E-2</v>
      </c>
      <c r="K6879" s="1">
        <v>2.1452650523808958</v>
      </c>
      <c r="L6879" s="1">
        <v>1.9869069865419262</v>
      </c>
      <c r="M6879" s="1">
        <v>0.15718380184349054</v>
      </c>
      <c r="N6879" s="1">
        <v>1.3377321852075927</v>
      </c>
      <c r="O6879" s="1">
        <v>0.13470285714285715</v>
      </c>
      <c r="P6879" s="1">
        <v>8.4511416277211995E-2</v>
      </c>
      <c r="Q6879" s="1">
        <v>4.6304626097241277</v>
      </c>
      <c r="R6879" s="2">
        <f t="shared" si="431"/>
        <v>145.94721195388283</v>
      </c>
      <c r="S6879" s="2">
        <f t="shared" si="430"/>
        <v>2.2627870784593531</v>
      </c>
      <c r="T6879" s="2">
        <f t="shared" si="432"/>
        <v>3.6165258307358665</v>
      </c>
      <c r="U6879" s="2">
        <f t="shared" si="433"/>
        <v>151.82652486307805</v>
      </c>
    </row>
    <row r="6880" spans="1:21" x14ac:dyDescent="0.25">
      <c r="A6880">
        <v>7462777</v>
      </c>
      <c r="B6880">
        <v>4</v>
      </c>
      <c r="C6880" s="1">
        <f>1.66834480557841*(10.3/7.3)</f>
        <v>2.3539659585558383</v>
      </c>
      <c r="D6880" s="1">
        <f>3.2020395638931*(10.3/7.3)</f>
        <v>4.5179462339861534</v>
      </c>
      <c r="E6880" s="1">
        <f>10.9140040165326*(10.3/7.3)</f>
        <v>15.399211146614544</v>
      </c>
      <c r="F6880" s="1">
        <f>33.4437693316864*(38.9/42.5)</f>
        <v>30.610885341237704</v>
      </c>
      <c r="G6880" s="1">
        <v>1.8435953244657641</v>
      </c>
      <c r="H6880" s="1">
        <v>7.8191124438485176</v>
      </c>
      <c r="I6880" s="1">
        <v>24.644501442111579</v>
      </c>
      <c r="J6880" s="1">
        <v>2.774843097032953E-2</v>
      </c>
      <c r="K6880" s="1">
        <v>1.5993348807635173</v>
      </c>
      <c r="L6880" s="1">
        <v>1.3453241029769976</v>
      </c>
      <c r="M6880" s="1">
        <v>0.11071373088927999</v>
      </c>
      <c r="N6880" s="1">
        <v>1.1266479933832492</v>
      </c>
      <c r="O6880" s="1">
        <v>9.3599999999999989E-2</v>
      </c>
      <c r="P6880" s="1">
        <v>6.3818811211032472E-2</v>
      </c>
      <c r="Q6880" s="1">
        <v>2.9463852217489412</v>
      </c>
      <c r="R6880" s="2">
        <f t="shared" si="431"/>
        <v>90.135603112569044</v>
      </c>
      <c r="S6880" s="2">
        <f t="shared" si="430"/>
        <v>1.6909021229448793</v>
      </c>
      <c r="T6880" s="2">
        <f t="shared" si="432"/>
        <v>2.6762858272495267</v>
      </c>
      <c r="U6880" s="2">
        <f t="shared" si="433"/>
        <v>94.50279106276345</v>
      </c>
    </row>
    <row r="6881" spans="1:21" x14ac:dyDescent="0.25">
      <c r="A6881">
        <v>7462785</v>
      </c>
      <c r="B6881">
        <v>43</v>
      </c>
      <c r="C6881" s="1">
        <f>1.48262735677494*(10.3/7.3)</f>
        <v>2.0919262705180612</v>
      </c>
      <c r="D6881" s="1">
        <f>3.01243054366122*(10.3/7.3)</f>
        <v>4.2504156985904906</v>
      </c>
      <c r="E6881" s="1">
        <f>10.3263312222857*(10.3/7.3)</f>
        <v>14.570028984868866</v>
      </c>
      <c r="F6881" s="1">
        <f>27.748126480174*(38.9/42.5)</f>
        <v>25.397696943029885</v>
      </c>
      <c r="G6881" s="1">
        <v>1.423080250592057</v>
      </c>
      <c r="H6881" s="1">
        <v>6.1381437836756954</v>
      </c>
      <c r="I6881" s="1">
        <v>19.640580636786293</v>
      </c>
      <c r="J6881" s="1">
        <v>2.5850386722231469E-2</v>
      </c>
      <c r="K6881" s="1">
        <v>1.6278454172303525</v>
      </c>
      <c r="L6881" s="1">
        <v>1.3825856819554412</v>
      </c>
      <c r="M6881" s="1">
        <v>0.114190621478075</v>
      </c>
      <c r="N6881" s="1">
        <v>1.0469388936437292</v>
      </c>
      <c r="O6881" s="1">
        <v>9.6239379844961226E-2</v>
      </c>
      <c r="P6881" s="1">
        <v>6.5036718588343936E-2</v>
      </c>
      <c r="Q6881" s="1">
        <v>2.274329167612879</v>
      </c>
      <c r="R6881" s="2">
        <f t="shared" si="431"/>
        <v>75.786201735674226</v>
      </c>
      <c r="S6881" s="2">
        <f t="shared" si="430"/>
        <v>1.718732522540928</v>
      </c>
      <c r="T6881" s="2">
        <f t="shared" si="432"/>
        <v>2.6399545769222064</v>
      </c>
      <c r="U6881" s="2">
        <f t="shared" si="433"/>
        <v>80.144888835137365</v>
      </c>
    </row>
    <row r="6882" spans="1:21" x14ac:dyDescent="0.25">
      <c r="A6882">
        <v>7462793</v>
      </c>
      <c r="B6882">
        <v>50</v>
      </c>
      <c r="C6882" s="1">
        <f>1.49051946261294*(10.3/7.3)</f>
        <v>2.1030617075223734</v>
      </c>
      <c r="D6882" s="1">
        <f>3.07703456924181*(10.3/7.3)</f>
        <v>4.3415693237247455</v>
      </c>
      <c r="E6882" s="1">
        <f>10.547785920101*(10.3/7.3)</f>
        <v>14.882492462608303</v>
      </c>
      <c r="F6882" s="1">
        <f>28.1027476919059*(38.9/42.5)</f>
        <v>25.722279652120886</v>
      </c>
      <c r="G6882" s="1">
        <v>1.4351342134104041</v>
      </c>
      <c r="H6882" s="1">
        <v>6.4272751584404455</v>
      </c>
      <c r="I6882" s="1">
        <v>19.792156222115615</v>
      </c>
      <c r="J6882" s="1">
        <v>2.5508443706893952E-2</v>
      </c>
      <c r="K6882" s="1">
        <v>1.6439392775770247</v>
      </c>
      <c r="L6882" s="1">
        <v>1.4008070131907677</v>
      </c>
      <c r="M6882" s="1">
        <v>0.11284368875336387</v>
      </c>
      <c r="N6882" s="1">
        <v>1.0325859880351012</v>
      </c>
      <c r="O6882" s="1">
        <v>9.6792533333333305E-2</v>
      </c>
      <c r="P6882" s="1">
        <v>6.5743523100870976E-2</v>
      </c>
      <c r="Q6882" s="1">
        <v>2.2935934917517908</v>
      </c>
      <c r="R6882" s="2">
        <f t="shared" si="431"/>
        <v>76.997562231694573</v>
      </c>
      <c r="S6882" s="2">
        <f t="shared" si="430"/>
        <v>1.7351912443847897</v>
      </c>
      <c r="T6882" s="2">
        <f t="shared" si="432"/>
        <v>2.6430292233125661</v>
      </c>
      <c r="U6882" s="2">
        <f t="shared" si="433"/>
        <v>81.375782699391934</v>
      </c>
    </row>
    <row r="6883" spans="1:21" x14ac:dyDescent="0.25">
      <c r="A6883">
        <v>7462809</v>
      </c>
      <c r="B6883">
        <v>45</v>
      </c>
      <c r="C6883" s="1">
        <f>1.47706073991597*(10.3/7.3)</f>
        <v>2.0840720028951378</v>
      </c>
      <c r="D6883" s="1">
        <f>3.07941079889542*(10.3/7.3)</f>
        <v>4.3449220861127174</v>
      </c>
      <c r="E6883" s="1">
        <f>10.5474002172624*(10.3/7.3)</f>
        <v>14.881948251753737</v>
      </c>
      <c r="F6883" s="1">
        <f>28.3909548769577*(38.9/42.5)</f>
        <v>25.986073993262448</v>
      </c>
      <c r="G6883" s="1">
        <v>1.4604987374728924</v>
      </c>
      <c r="H6883" s="1">
        <v>6.6890599276198097</v>
      </c>
      <c r="I6883" s="1">
        <v>20.015834921488572</v>
      </c>
      <c r="J6883" s="1">
        <v>2.4717510526548438E-2</v>
      </c>
      <c r="K6883" s="1">
        <v>1.62491605086646</v>
      </c>
      <c r="L6883" s="1">
        <v>1.3823427902483907</v>
      </c>
      <c r="M6883" s="1">
        <v>0.11096915385671635</v>
      </c>
      <c r="N6883" s="1">
        <v>1.0094862503662754</v>
      </c>
      <c r="O6883" s="1">
        <v>9.5382518518518505E-2</v>
      </c>
      <c r="P6883" s="1">
        <v>6.4834600335273801E-2</v>
      </c>
      <c r="Q6883" s="1">
        <v>2.3341304023539404</v>
      </c>
      <c r="R6883" s="2">
        <f t="shared" si="431"/>
        <v>77.796540322959245</v>
      </c>
      <c r="S6883" s="2">
        <f t="shared" si="430"/>
        <v>1.7144681617282822</v>
      </c>
      <c r="T6883" s="2">
        <f t="shared" si="432"/>
        <v>2.5981807129899011</v>
      </c>
      <c r="U6883" s="2">
        <f t="shared" si="433"/>
        <v>82.109189197677424</v>
      </c>
    </row>
    <row r="6884" spans="1:21" x14ac:dyDescent="0.25">
      <c r="A6884">
        <v>7462961</v>
      </c>
      <c r="B6884">
        <v>12</v>
      </c>
      <c r="C6884" s="1">
        <f>3.46294811390068*(10.3/7.3)</f>
        <v>4.8860774757776753</v>
      </c>
      <c r="D6884" s="1">
        <f>4.71342830402262*(10.3/7.3)</f>
        <v>6.6504536344428749</v>
      </c>
      <c r="E6884" s="1">
        <f>16.4926876344034*(10.3/7.3)</f>
        <v>23.270504470459588</v>
      </c>
      <c r="F6884" s="1">
        <f>38.6578614035185*(38.9/42.5)</f>
        <v>35.383313143455744</v>
      </c>
      <c r="G6884" s="1">
        <v>1.7121590216884872</v>
      </c>
      <c r="H6884" s="1">
        <v>9.5361652391288931</v>
      </c>
      <c r="I6884" s="1">
        <v>28.951266272874914</v>
      </c>
      <c r="J6884" s="1">
        <v>2.7034158337864433E-2</v>
      </c>
      <c r="K6884" s="1">
        <v>1.8834109576217701</v>
      </c>
      <c r="L6884" s="1">
        <v>1.5693238210848588</v>
      </c>
      <c r="M6884" s="1">
        <v>0.10447824111922314</v>
      </c>
      <c r="N6884" s="1">
        <v>0.99708622931185886</v>
      </c>
      <c r="O6884" s="1">
        <v>0.10187555555555555</v>
      </c>
      <c r="P6884" s="1">
        <v>7.0192383394553845E-2</v>
      </c>
      <c r="Q6884" s="1">
        <v>2.7363272036117401</v>
      </c>
      <c r="R6884" s="2">
        <f t="shared" si="431"/>
        <v>113.12626646143991</v>
      </c>
      <c r="S6884" s="2">
        <f t="shared" si="430"/>
        <v>1.9806374993541884</v>
      </c>
      <c r="T6884" s="2">
        <f t="shared" si="432"/>
        <v>2.7727638470714964</v>
      </c>
      <c r="U6884" s="2">
        <f t="shared" si="433"/>
        <v>117.8796678078656</v>
      </c>
    </row>
    <row r="6885" spans="1:21" x14ac:dyDescent="0.25">
      <c r="A6885">
        <v>747149</v>
      </c>
      <c r="B6885">
        <v>6</v>
      </c>
      <c r="C6885" s="1">
        <f>1.63259811592143*(10.3/7.3)</f>
        <v>2.3035288484918848</v>
      </c>
      <c r="D6885" s="1">
        <f>2.16640400352998*(10.3/7.3)</f>
        <v>3.0567070186792855</v>
      </c>
      <c r="E6885" s="1">
        <f>7.57493509768871*(10.3/7.3)</f>
        <v>10.687922124136122</v>
      </c>
      <c r="F6885" s="1">
        <f>18.446573796138*(38.9/42.5)</f>
        <v>16.884040486347462</v>
      </c>
      <c r="G6885" s="1">
        <v>0.8414963401075265</v>
      </c>
      <c r="H6885" s="1">
        <v>4.3080277990487481</v>
      </c>
      <c r="I6885" s="1">
        <v>14.009185863906376</v>
      </c>
      <c r="J6885" s="1">
        <v>3.8086996924792088E-2</v>
      </c>
      <c r="K6885" s="1">
        <v>4.1900447521841411</v>
      </c>
      <c r="L6885" s="1">
        <v>1.5126841703979119</v>
      </c>
      <c r="M6885" s="1">
        <v>0.10017481393598598</v>
      </c>
      <c r="N6885" s="1">
        <v>1.2004992395612317</v>
      </c>
      <c r="O6885" s="1">
        <v>7.2666666666666671E-2</v>
      </c>
      <c r="P6885" s="1">
        <v>6.3162424252144106E-2</v>
      </c>
      <c r="Q6885" s="1">
        <v>1.3448571645554095</v>
      </c>
      <c r="R6885" s="2">
        <f t="shared" si="431"/>
        <v>53.435765645272802</v>
      </c>
      <c r="S6885" s="2">
        <f t="shared" si="430"/>
        <v>4.2912941733610772</v>
      </c>
      <c r="T6885" s="2">
        <f t="shared" si="432"/>
        <v>2.8860248905617962</v>
      </c>
      <c r="U6885" s="2">
        <f t="shared" si="433"/>
        <v>60.613084709195675</v>
      </c>
    </row>
    <row r="6886" spans="1:21" x14ac:dyDescent="0.25">
      <c r="A6886">
        <v>747173</v>
      </c>
      <c r="B6886">
        <v>5</v>
      </c>
      <c r="C6886" s="1">
        <f>1.85229587653189*(10.3/7.3)</f>
        <v>2.6135133600381453</v>
      </c>
      <c r="D6886" s="1">
        <f>2.151795408022*(10.3/7.3)</f>
        <v>3.036094890770761</v>
      </c>
      <c r="E6886" s="1">
        <f>7.60861739525437*(10.3/7.3)</f>
        <v>10.73544646179726</v>
      </c>
      <c r="F6886" s="1">
        <f>16.5352324547749*(38.9/42.5)</f>
        <v>15.134600999782181</v>
      </c>
      <c r="G6886" s="1">
        <v>0.6609368368228784</v>
      </c>
      <c r="H6886" s="1">
        <v>4.7799793824922947</v>
      </c>
      <c r="I6886" s="1">
        <v>12.809502448018687</v>
      </c>
      <c r="J6886" s="1">
        <v>3.7744146061208836E-2</v>
      </c>
      <c r="K6886" s="1">
        <v>3.5790089692050202</v>
      </c>
      <c r="L6886" s="1">
        <v>1.3825003886609577</v>
      </c>
      <c r="M6886" s="1">
        <v>8.1049660115322233E-2</v>
      </c>
      <c r="N6886" s="1">
        <v>1.6089811814692481</v>
      </c>
      <c r="O6886" s="1">
        <v>6.8031999999999995E-2</v>
      </c>
      <c r="P6886" s="1">
        <v>5.9621137562045401E-2</v>
      </c>
      <c r="Q6886" s="1">
        <v>1.0562917483470671</v>
      </c>
      <c r="R6886" s="2">
        <f t="shared" si="431"/>
        <v>50.826366128069267</v>
      </c>
      <c r="S6886" s="2">
        <f t="shared" si="430"/>
        <v>3.6763742528282743</v>
      </c>
      <c r="T6886" s="2">
        <f t="shared" si="432"/>
        <v>3.1405632302455282</v>
      </c>
      <c r="U6886" s="2">
        <f t="shared" si="433"/>
        <v>57.643303611143068</v>
      </c>
    </row>
    <row r="6887" spans="1:21" x14ac:dyDescent="0.25">
      <c r="A6887">
        <v>747181</v>
      </c>
      <c r="B6887">
        <v>1</v>
      </c>
      <c r="C6887" s="1">
        <f>1.29245691294585*(10.3/7.3)</f>
        <v>1.8236035894989426</v>
      </c>
      <c r="D6887" s="1">
        <f>1.64615108278321*(10.3/7.3)</f>
        <v>2.3226515277626061</v>
      </c>
      <c r="E6887" s="1">
        <f>5.79332281321668*(10.3/7.3)</f>
        <v>8.1741404076892827</v>
      </c>
      <c r="F6887" s="1">
        <f>12.722602649524*(38.9/42.5)</f>
        <v>11.644923366270161</v>
      </c>
      <c r="G6887" s="1">
        <v>0.52338472240616896</v>
      </c>
      <c r="H6887" s="1">
        <v>3.4699358412610968</v>
      </c>
      <c r="I6887" s="1">
        <v>9.5911541449287157</v>
      </c>
      <c r="J6887" s="1">
        <v>3.3215799011505398E-2</v>
      </c>
      <c r="K6887" s="1">
        <v>3.0525690868403328</v>
      </c>
      <c r="L6887" s="1">
        <v>1.1894599340293741</v>
      </c>
      <c r="M6887" s="1">
        <v>7.0698851344781641E-2</v>
      </c>
      <c r="N6887" s="1">
        <v>1.1600792813048459</v>
      </c>
      <c r="O6887" s="1">
        <v>6.0106666666666662E-2</v>
      </c>
      <c r="P6887" s="1">
        <v>5.395107692796848E-2</v>
      </c>
      <c r="Q6887" s="1">
        <v>0.83645960201899228</v>
      </c>
      <c r="R6887" s="2">
        <f t="shared" si="431"/>
        <v>38.38625320183597</v>
      </c>
      <c r="S6887" s="2">
        <f t="shared" si="430"/>
        <v>3.1397359627798069</v>
      </c>
      <c r="T6887" s="2">
        <f t="shared" si="432"/>
        <v>2.4803447333456683</v>
      </c>
      <c r="U6887" s="2">
        <f t="shared" si="433"/>
        <v>44.006333897961447</v>
      </c>
    </row>
    <row r="6888" spans="1:21" x14ac:dyDescent="0.25">
      <c r="A6888">
        <v>7474325</v>
      </c>
      <c r="B6888">
        <v>64</v>
      </c>
      <c r="C6888" s="1">
        <f>0.332695635512905*(10.3/7.3)</f>
        <v>0.46941986928533175</v>
      </c>
      <c r="D6888" s="1">
        <f>0.637822668255256*(10.3/7.3)</f>
        <v>0.89994157301769073</v>
      </c>
      <c r="E6888" s="1">
        <f>2.17748453928977*(10.3/7.3)</f>
        <v>3.0723411992718641</v>
      </c>
      <c r="F6888" s="1">
        <f>6.49608147223222*(38.9/42.5)</f>
        <v>5.9458251592901927</v>
      </c>
      <c r="G6888" s="1">
        <v>0.3529550909771485</v>
      </c>
      <c r="H6888" s="1">
        <v>1.3150926673796928</v>
      </c>
      <c r="I6888" s="1">
        <v>4.7602942300761715</v>
      </c>
      <c r="J6888" s="1">
        <v>1.4257429824488549E-2</v>
      </c>
      <c r="K6888" s="1">
        <v>1.4415713290133676</v>
      </c>
      <c r="L6888" s="1">
        <v>1.0128595419258755</v>
      </c>
      <c r="M6888" s="1">
        <v>0.12395898994454324</v>
      </c>
      <c r="N6888" s="1">
        <v>0.51808921064637303</v>
      </c>
      <c r="O6888" s="1">
        <v>0.13547250000000002</v>
      </c>
      <c r="P6888" s="1">
        <v>7.5076530061399985E-2</v>
      </c>
      <c r="Q6888" s="1">
        <v>0.56408347873060327</v>
      </c>
      <c r="R6888" s="2">
        <f t="shared" si="431"/>
        <v>17.379953268028693</v>
      </c>
      <c r="S6888" s="2">
        <f t="shared" si="430"/>
        <v>1.5309052888992563</v>
      </c>
      <c r="T6888" s="2">
        <f t="shared" si="432"/>
        <v>1.7903802425167918</v>
      </c>
      <c r="U6888" s="2">
        <f t="shared" si="433"/>
        <v>20.701238799444742</v>
      </c>
    </row>
    <row r="6889" spans="1:21" x14ac:dyDescent="0.25">
      <c r="A6889">
        <v>7474333</v>
      </c>
      <c r="B6889">
        <v>17</v>
      </c>
      <c r="C6889" s="1">
        <f>0.353966614456217*(10.3/7.3)</f>
        <v>0.49943234642452589</v>
      </c>
      <c r="D6889" s="1">
        <f>0.706715264861096*(10.3/7.3)</f>
        <v>0.99714619562592965</v>
      </c>
      <c r="E6889" s="1">
        <f>2.4029646694404*(10.3/7.3)</f>
        <v>3.3904843966076852</v>
      </c>
      <c r="F6889" s="1">
        <f>7.5210592951586*(38.9/42.5)</f>
        <v>6.8839813313334028</v>
      </c>
      <c r="G6889" s="1">
        <v>0.42022379232719692</v>
      </c>
      <c r="H6889" s="1">
        <v>1.8424981913904304</v>
      </c>
      <c r="I6889" s="1">
        <v>5.5340203411224858</v>
      </c>
      <c r="J6889" s="1">
        <v>1.5556583374846595E-2</v>
      </c>
      <c r="K6889" s="1">
        <v>1.5082814467106258</v>
      </c>
      <c r="L6889" s="1">
        <v>1.0718690333164569</v>
      </c>
      <c r="M6889" s="1">
        <v>0.13137451854186916</v>
      </c>
      <c r="N6889" s="1">
        <v>0.54866735421899315</v>
      </c>
      <c r="O6889" s="1">
        <v>0.14333803921568625</v>
      </c>
      <c r="P6889" s="1">
        <v>7.7949384096439242E-2</v>
      </c>
      <c r="Q6889" s="1">
        <v>0.67159053568273552</v>
      </c>
      <c r="R6889" s="2">
        <f t="shared" si="431"/>
        <v>20.239377130514391</v>
      </c>
      <c r="S6889" s="2">
        <f t="shared" si="430"/>
        <v>1.6017874141819115</v>
      </c>
      <c r="T6889" s="2">
        <f t="shared" si="432"/>
        <v>1.8952489452930052</v>
      </c>
      <c r="U6889" s="2">
        <f t="shared" si="433"/>
        <v>23.736413489989307</v>
      </c>
    </row>
    <row r="6890" spans="1:21" x14ac:dyDescent="0.25">
      <c r="A6890">
        <v>7474917</v>
      </c>
      <c r="B6890">
        <v>6</v>
      </c>
      <c r="C6890" s="1">
        <f>1.63664741595686*(10.3/7.3)</f>
        <v>2.309242244432276</v>
      </c>
      <c r="D6890" s="1">
        <f>3.92814762444641*(10.3/7.3)</f>
        <v>5.5424548673695968</v>
      </c>
      <c r="E6890" s="1">
        <f>13.3498294711406*(10.3/7.3)</f>
        <v>18.836060760650469</v>
      </c>
      <c r="F6890" s="1">
        <f>38.7958347324454*(38.9/42.5)</f>
        <v>35.509599319814697</v>
      </c>
      <c r="G6890" s="1">
        <v>2.1076302918816139</v>
      </c>
      <c r="H6890" s="1">
        <v>7.6631948685353173</v>
      </c>
      <c r="I6890" s="1">
        <v>27.316424021023735</v>
      </c>
      <c r="J6890" s="1">
        <v>2.2913300288979199E-2</v>
      </c>
      <c r="K6890" s="1">
        <v>1.6564877881037194</v>
      </c>
      <c r="L6890" s="1">
        <v>1.4451689867338142</v>
      </c>
      <c r="M6890" s="1">
        <v>0.12271070596521677</v>
      </c>
      <c r="N6890" s="1">
        <v>0.95118720266612744</v>
      </c>
      <c r="O6890" s="1">
        <v>0.10425777777777778</v>
      </c>
      <c r="P6890" s="1">
        <v>6.7594712207528676E-2</v>
      </c>
      <c r="Q6890" s="1">
        <v>3.3683589139660524</v>
      </c>
      <c r="R6890" s="2">
        <f t="shared" si="431"/>
        <v>102.65296528767375</v>
      </c>
      <c r="S6890" s="2">
        <f t="shared" si="430"/>
        <v>1.7469958006002273</v>
      </c>
      <c r="T6890" s="2">
        <f t="shared" si="432"/>
        <v>2.6233246731429363</v>
      </c>
      <c r="U6890" s="2">
        <f t="shared" si="433"/>
        <v>107.02328576141691</v>
      </c>
    </row>
    <row r="6891" spans="1:21" x14ac:dyDescent="0.25">
      <c r="A6891">
        <v>7474925</v>
      </c>
      <c r="B6891">
        <v>61</v>
      </c>
      <c r="C6891" s="1">
        <f>1.49193581439529*(10.3/7.3)</f>
        <v>2.1050601216810243</v>
      </c>
      <c r="D6891" s="1">
        <f>3.6393816074912*(10.3/7.3)</f>
        <v>5.1350178845423819</v>
      </c>
      <c r="E6891" s="1">
        <f>12.3802676634178*(10.3/7.3)</f>
        <v>17.468048894959299</v>
      </c>
      <c r="F6891" s="1">
        <f>35.1258462120416*(38.9/42.5)</f>
        <v>32.150480415256908</v>
      </c>
      <c r="G6891" s="1">
        <v>1.8846268447472887</v>
      </c>
      <c r="H6891" s="1">
        <v>6.6431157075875618</v>
      </c>
      <c r="I6891" s="1">
        <v>24.516317071164945</v>
      </c>
      <c r="J6891" s="1">
        <v>2.2458929683370175E-2</v>
      </c>
      <c r="K6891" s="1">
        <v>1.6371433416158299</v>
      </c>
      <c r="L6891" s="1">
        <v>1.4249947630959772</v>
      </c>
      <c r="M6891" s="1">
        <v>0.12139269019483273</v>
      </c>
      <c r="N6891" s="1">
        <v>0.92841957198190894</v>
      </c>
      <c r="O6891" s="1">
        <v>0.10298754098360657</v>
      </c>
      <c r="P6891" s="1">
        <v>6.695117099904678E-2</v>
      </c>
      <c r="Q6891" s="1">
        <v>3.0119607107833408</v>
      </c>
      <c r="R6891" s="2">
        <f t="shared" si="431"/>
        <v>92.91462765072275</v>
      </c>
      <c r="S6891" s="2">
        <f t="shared" si="430"/>
        <v>1.7265534422982467</v>
      </c>
      <c r="T6891" s="2">
        <f t="shared" si="432"/>
        <v>2.5777945662563253</v>
      </c>
      <c r="U6891" s="2">
        <f t="shared" si="433"/>
        <v>97.218975659277319</v>
      </c>
    </row>
    <row r="6892" spans="1:21" x14ac:dyDescent="0.25">
      <c r="A6892">
        <v>7474933</v>
      </c>
      <c r="B6892">
        <v>4</v>
      </c>
      <c r="C6892" s="1">
        <f>2.47787290282416*(10.3/7.3)</f>
        <v>3.496176835491617</v>
      </c>
      <c r="D6892" s="1">
        <f>6.30839499315062*(10.3/7.3)</f>
        <v>8.9008860862262136</v>
      </c>
      <c r="E6892" s="1">
        <f>21.4422586660337*(10.3/7.3)</f>
        <v>30.254145789061262</v>
      </c>
      <c r="F6892" s="1">
        <f>60.637051667056*(38.9/42.5)</f>
        <v>55.500736702317099</v>
      </c>
      <c r="G6892" s="1">
        <v>3.2553285112347612</v>
      </c>
      <c r="H6892" s="1">
        <v>9.6237813990445709</v>
      </c>
      <c r="I6892" s="1">
        <v>42.032980825379255</v>
      </c>
      <c r="J6892" s="1">
        <v>3.258356165167986E-2</v>
      </c>
      <c r="K6892" s="1">
        <v>2.2054745351361285</v>
      </c>
      <c r="L6892" s="1">
        <v>2.0545118224643595</v>
      </c>
      <c r="M6892" s="1">
        <v>0.16225616371867854</v>
      </c>
      <c r="N6892" s="1">
        <v>1.2758151882869524</v>
      </c>
      <c r="O6892" s="1">
        <v>0.14130666666666666</v>
      </c>
      <c r="P6892" s="1">
        <v>8.7079868571558555E-2</v>
      </c>
      <c r="Q6892" s="1">
        <v>5.2025798124756513</v>
      </c>
      <c r="R6892" s="2">
        <f t="shared" si="431"/>
        <v>158.26661596123043</v>
      </c>
      <c r="S6892" s="2">
        <f t="shared" si="430"/>
        <v>2.3251379653593669</v>
      </c>
      <c r="T6892" s="2">
        <f t="shared" si="432"/>
        <v>3.6338898411366567</v>
      </c>
      <c r="U6892" s="2">
        <f t="shared" si="433"/>
        <v>164.22564376772647</v>
      </c>
    </row>
    <row r="6893" spans="1:21" x14ac:dyDescent="0.25">
      <c r="A6893">
        <v>7474941</v>
      </c>
      <c r="B6893">
        <v>7</v>
      </c>
      <c r="C6893" s="1">
        <f>1.76858631851622*(10.3/7.3)</f>
        <v>2.4954026137968581</v>
      </c>
      <c r="D6893" s="1">
        <f>4.48657089021397*(10.3/7.3)</f>
        <v>6.3303671464662923</v>
      </c>
      <c r="E6893" s="1">
        <f>15.257574798261*(10.3/7.3)</f>
        <v>21.52781101672446</v>
      </c>
      <c r="F6893" s="1">
        <f>42.8155384690437*(38.9/42.5)</f>
        <v>39.188810504607062</v>
      </c>
      <c r="G6893" s="1">
        <v>2.2879879784914436</v>
      </c>
      <c r="H6893" s="1">
        <v>7.8036366547625438</v>
      </c>
      <c r="I6893" s="1">
        <v>29.628275594896859</v>
      </c>
      <c r="J6893" s="1">
        <v>2.6412124872788403E-2</v>
      </c>
      <c r="K6893" s="1">
        <v>1.8449587990498464</v>
      </c>
      <c r="L6893" s="1">
        <v>1.6589248348430155</v>
      </c>
      <c r="M6893" s="1">
        <v>0.13652784753307409</v>
      </c>
      <c r="N6893" s="1">
        <v>1.197283084980495</v>
      </c>
      <c r="O6893" s="1">
        <v>0.11724190476190476</v>
      </c>
      <c r="P6893" s="1">
        <v>7.4542927243975293E-2</v>
      </c>
      <c r="Q6893" s="1">
        <v>3.6566017921096168</v>
      </c>
      <c r="R6893" s="2">
        <f t="shared" si="431"/>
        <v>112.91889330185514</v>
      </c>
      <c r="S6893" s="2">
        <f t="shared" si="430"/>
        <v>1.9459138511666101</v>
      </c>
      <c r="T6893" s="2">
        <f t="shared" si="432"/>
        <v>3.1099776721184891</v>
      </c>
      <c r="U6893" s="2">
        <f t="shared" si="433"/>
        <v>117.97478482514023</v>
      </c>
    </row>
    <row r="6894" spans="1:21" x14ac:dyDescent="0.25">
      <c r="A6894">
        <v>7475013</v>
      </c>
      <c r="B6894">
        <v>16</v>
      </c>
      <c r="C6894" s="1">
        <f>1.43835618041071*(10.3/7.3)</f>
        <v>2.0294614600315564</v>
      </c>
      <c r="D6894" s="1">
        <f>2.82636875061748*(10.3/7.3)</f>
        <v>3.9878901549808328</v>
      </c>
      <c r="E6894" s="1">
        <f>9.6916447410172*(10.3/7.3)</f>
        <v>13.67451244280509</v>
      </c>
      <c r="F6894" s="1">
        <f>26.3592503514034*(38.9/42.5)</f>
        <v>24.126466792225692</v>
      </c>
      <c r="G6894" s="1">
        <v>1.3587563096291762</v>
      </c>
      <c r="H6894" s="1">
        <v>5.7688103246716134</v>
      </c>
      <c r="I6894" s="1">
        <v>18.824890112276265</v>
      </c>
      <c r="J6894" s="1">
        <v>2.5687294745260707E-2</v>
      </c>
      <c r="K6894" s="1">
        <v>1.5739060017374267</v>
      </c>
      <c r="L6894" s="1">
        <v>1.3245757256756858</v>
      </c>
      <c r="M6894" s="1">
        <v>0.11118025264689105</v>
      </c>
      <c r="N6894" s="1">
        <v>1.0412042044179335</v>
      </c>
      <c r="O6894" s="1">
        <v>9.2499999999999999E-2</v>
      </c>
      <c r="P6894" s="1">
        <v>6.3118318717257052E-2</v>
      </c>
      <c r="Q6894" s="1">
        <v>2.1715283487224304</v>
      </c>
      <c r="R6894" s="2">
        <f t="shared" si="431"/>
        <v>71.942315945342656</v>
      </c>
      <c r="S6894" s="2">
        <f t="shared" si="430"/>
        <v>1.6627116151999444</v>
      </c>
      <c r="T6894" s="2">
        <f t="shared" si="432"/>
        <v>2.5694601827405101</v>
      </c>
      <c r="U6894" s="2">
        <f t="shared" si="433"/>
        <v>76.174487743283109</v>
      </c>
    </row>
    <row r="6895" spans="1:21" x14ac:dyDescent="0.25">
      <c r="A6895">
        <v>7475021</v>
      </c>
      <c r="B6895">
        <v>55</v>
      </c>
      <c r="C6895" s="1">
        <f>1.40684631984818*(10.3/7.3)</f>
        <v>1.9850023417035942</v>
      </c>
      <c r="D6895" s="1">
        <f>2.87119335062862*(10.3/7.3)</f>
        <v>4.0511358234897008</v>
      </c>
      <c r="E6895" s="1">
        <f>9.84520054693401*(10.3/7.3)</f>
        <v>13.89117337444114</v>
      </c>
      <c r="F6895" s="1">
        <f>26.2378280763522*(38.9/42.5)</f>
        <v>24.015329698120048</v>
      </c>
      <c r="G6895" s="1">
        <v>1.3389433233570915</v>
      </c>
      <c r="H6895" s="1">
        <v>5.1993765385591759</v>
      </c>
      <c r="I6895" s="1">
        <v>18.517003430733272</v>
      </c>
      <c r="J6895" s="1">
        <v>2.4528340788135719E-2</v>
      </c>
      <c r="K6895" s="1">
        <v>1.5810659132147489</v>
      </c>
      <c r="L6895" s="1">
        <v>1.3334331311049992</v>
      </c>
      <c r="M6895" s="1">
        <v>0.11030403857489987</v>
      </c>
      <c r="N6895" s="1">
        <v>0.99987593744213887</v>
      </c>
      <c r="O6895" s="1">
        <v>9.2953212121212145E-2</v>
      </c>
      <c r="P6895" s="1">
        <v>6.3418256576077997E-2</v>
      </c>
      <c r="Q6895" s="1">
        <v>2.1398637587898741</v>
      </c>
      <c r="R6895" s="2">
        <f t="shared" si="431"/>
        <v>71.137828289193905</v>
      </c>
      <c r="S6895" s="2">
        <f t="shared" si="430"/>
        <v>1.6690125105789626</v>
      </c>
      <c r="T6895" s="2">
        <f t="shared" si="432"/>
        <v>2.5365663192432502</v>
      </c>
      <c r="U6895" s="2">
        <f t="shared" si="433"/>
        <v>75.343407119016121</v>
      </c>
    </row>
    <row r="6896" spans="1:21" x14ac:dyDescent="0.25">
      <c r="A6896">
        <v>7475029</v>
      </c>
      <c r="B6896">
        <v>7</v>
      </c>
      <c r="C6896" s="1">
        <f>1.35942683531157*(10.3/7.3)</f>
        <v>1.9180953977683792</v>
      </c>
      <c r="D6896" s="1">
        <f>2.79886983561409*(10.3/7.3)</f>
        <v>3.9490903160034403</v>
      </c>
      <c r="E6896" s="1">
        <f>9.59591560970279*(10.3/7.3)</f>
        <v>13.539442572594348</v>
      </c>
      <c r="F6896" s="1">
        <f>25.5188988178745*(38.9/42.5)</f>
        <v>23.357297976830978</v>
      </c>
      <c r="G6896" s="1">
        <v>1.3013343563604445</v>
      </c>
      <c r="H6896" s="1">
        <v>6.7911121595252437</v>
      </c>
      <c r="I6896" s="1">
        <v>17.971843586138217</v>
      </c>
      <c r="J6896" s="1">
        <v>2.4463888176259854E-2</v>
      </c>
      <c r="K6896" s="1">
        <v>1.5999017985970077</v>
      </c>
      <c r="L6896" s="1">
        <v>1.3494145780883204</v>
      </c>
      <c r="M6896" s="1">
        <v>0.10956942948296476</v>
      </c>
      <c r="N6896" s="1">
        <v>1.0025874151421432</v>
      </c>
      <c r="O6896" s="1">
        <v>9.3318095238095242E-2</v>
      </c>
      <c r="P6896" s="1">
        <v>6.3736951509372003E-2</v>
      </c>
      <c r="Q6896" s="1">
        <v>2.0797581037724018</v>
      </c>
      <c r="R6896" s="2">
        <f t="shared" si="431"/>
        <v>70.907974468993459</v>
      </c>
      <c r="S6896" s="2">
        <f t="shared" si="430"/>
        <v>1.6881026382826394</v>
      </c>
      <c r="T6896" s="2">
        <f t="shared" si="432"/>
        <v>2.5548895179515236</v>
      </c>
      <c r="U6896" s="2">
        <f t="shared" si="433"/>
        <v>75.150966625227625</v>
      </c>
    </row>
    <row r="6897" spans="1:21" x14ac:dyDescent="0.25">
      <c r="A6897">
        <v>7475037</v>
      </c>
      <c r="B6897">
        <v>30</v>
      </c>
      <c r="C6897" s="1">
        <f>1.41209049530389*(10.3/7.3)</f>
        <v>1.9924016577575447</v>
      </c>
      <c r="D6897" s="1">
        <f>2.95003269344747*(10.3/7.3)</f>
        <v>4.1623748962340965</v>
      </c>
      <c r="E6897" s="1">
        <f>10.1006607313034*(10.3/7.3)</f>
        <v>14.251617196222634</v>
      </c>
      <c r="F6897" s="1">
        <f>27.3434164453034*(38.9/42.5)</f>
        <v>25.027268228760033</v>
      </c>
      <c r="G6897" s="1">
        <v>1.4118941291805607</v>
      </c>
      <c r="H6897" s="1">
        <v>7.1062584092118986</v>
      </c>
      <c r="I6897" s="1">
        <v>19.299604947874226</v>
      </c>
      <c r="J6897" s="1">
        <v>2.4406059370768625E-2</v>
      </c>
      <c r="K6897" s="1">
        <v>1.6071515670649503</v>
      </c>
      <c r="L6897" s="1">
        <v>1.3614944027333455</v>
      </c>
      <c r="M6897" s="1">
        <v>0.11003170497877549</v>
      </c>
      <c r="N6897" s="1">
        <v>1.0037050169801118</v>
      </c>
      <c r="O6897" s="1">
        <v>9.4316444444444439E-2</v>
      </c>
      <c r="P6897" s="1">
        <v>6.3978178783616516E-2</v>
      </c>
      <c r="Q6897" s="1">
        <v>2.2564518046264701</v>
      </c>
      <c r="R6897" s="2">
        <f t="shared" si="431"/>
        <v>75.507871269867451</v>
      </c>
      <c r="S6897" s="2">
        <f t="shared" si="430"/>
        <v>1.6955358052193354</v>
      </c>
      <c r="T6897" s="2">
        <f t="shared" si="432"/>
        <v>2.5695475691366774</v>
      </c>
      <c r="U6897" s="2">
        <f t="shared" si="433"/>
        <v>79.772954644223461</v>
      </c>
    </row>
    <row r="6898" spans="1:21" x14ac:dyDescent="0.25">
      <c r="A6898">
        <v>7475189</v>
      </c>
      <c r="B6898">
        <v>1</v>
      </c>
      <c r="C6898" s="1">
        <f>3.26559452364963*(10.3/7.3)</f>
        <v>4.6076196703549552</v>
      </c>
      <c r="D6898" s="1">
        <f>4.40393175412095*(10.3/7.3)</f>
        <v>6.2137667215679144</v>
      </c>
      <c r="E6898" s="1">
        <f>15.4109173871431*(10.3/7.3)</f>
        <v>21.744171107886896</v>
      </c>
      <c r="F6898" s="1">
        <f>36.3642900878211*(38.9/42.5)</f>
        <v>33.284020809793937</v>
      </c>
      <c r="G6898" s="1">
        <v>1.61800771092354</v>
      </c>
      <c r="H6898" s="1">
        <v>7.705743291241971</v>
      </c>
      <c r="I6898" s="1">
        <v>27.337291681086889</v>
      </c>
      <c r="J6898" s="1">
        <v>2.5892029326546492E-2</v>
      </c>
      <c r="K6898" s="1">
        <v>1.7934994339495471</v>
      </c>
      <c r="L6898" s="1">
        <v>1.4852201900594435</v>
      </c>
      <c r="M6898" s="1">
        <v>9.8681370997958137E-2</v>
      </c>
      <c r="N6898" s="1">
        <v>0.94111531567962314</v>
      </c>
      <c r="O6898" s="1">
        <v>9.7066666666666662E-2</v>
      </c>
      <c r="P6898" s="1">
        <v>6.6735287148201858E-2</v>
      </c>
      <c r="Q6898" s="1">
        <v>2.5858570722522356</v>
      </c>
      <c r="R6898" s="2">
        <f t="shared" si="431"/>
        <v>105.09647806510834</v>
      </c>
      <c r="S6898" s="2">
        <f t="shared" si="430"/>
        <v>1.8861267504242956</v>
      </c>
      <c r="T6898" s="2">
        <f t="shared" si="432"/>
        <v>2.6220835434036913</v>
      </c>
      <c r="U6898" s="2">
        <f t="shared" si="433"/>
        <v>109.60468835893633</v>
      </c>
    </row>
    <row r="6899" spans="1:21" x14ac:dyDescent="0.25">
      <c r="A6899">
        <v>7486553</v>
      </c>
      <c r="B6899">
        <v>20</v>
      </c>
      <c r="C6899" s="1">
        <f>0.276534001435533*(10.3/7.3)</f>
        <v>0.39017811161451948</v>
      </c>
      <c r="D6899" s="1">
        <f>0.511162029198845*(10.3/7.3)</f>
        <v>0.72122861654083614</v>
      </c>
      <c r="E6899" s="1">
        <f>1.74956885872028*(10.3/7.3)</f>
        <v>2.468569759564232</v>
      </c>
      <c r="F6899" s="1">
        <f>5.08785574115287*(38.9/42.5)</f>
        <v>4.656884431314035</v>
      </c>
      <c r="G6899" s="1">
        <v>0.2717888151552002</v>
      </c>
      <c r="H6899" s="1">
        <v>1.0402417534576345</v>
      </c>
      <c r="I6899" s="1">
        <v>3.7300799978891304</v>
      </c>
      <c r="J6899" s="1">
        <v>1.3085191746510008E-2</v>
      </c>
      <c r="K6899" s="1">
        <v>1.3397149629557943</v>
      </c>
      <c r="L6899" s="1">
        <v>0.93811477651256803</v>
      </c>
      <c r="M6899" s="1">
        <v>0.11786835666554289</v>
      </c>
      <c r="N6899" s="1">
        <v>0.47602270066310409</v>
      </c>
      <c r="O6899" s="1">
        <v>0.12654400000000002</v>
      </c>
      <c r="P6899" s="1">
        <v>7.0786644205764054E-2</v>
      </c>
      <c r="Q6899" s="1">
        <v>0.43436568632109668</v>
      </c>
      <c r="R6899" s="2">
        <f t="shared" si="431"/>
        <v>13.713337171856686</v>
      </c>
      <c r="S6899" s="2">
        <f t="shared" si="430"/>
        <v>1.4235867989080684</v>
      </c>
      <c r="T6899" s="2">
        <f t="shared" si="432"/>
        <v>1.658549833841215</v>
      </c>
      <c r="U6899" s="2">
        <f t="shared" si="433"/>
        <v>16.795473804605969</v>
      </c>
    </row>
    <row r="6900" spans="1:21" x14ac:dyDescent="0.25">
      <c r="A6900">
        <v>7486561</v>
      </c>
      <c r="B6900">
        <v>58</v>
      </c>
      <c r="C6900" s="1">
        <f>0.338438162146663*(10.3/7.3)</f>
        <v>0.47752233837131841</v>
      </c>
      <c r="D6900" s="1">
        <f>0.659086695017592*(10.3/7.3)</f>
        <v>0.92994424091523198</v>
      </c>
      <c r="E6900" s="1">
        <f>2.24642893292925*(10.3/7.3)</f>
        <v>3.1696189053659247</v>
      </c>
      <c r="F6900" s="1">
        <f>6.83572626061019*(38.9/42.5)</f>
        <v>6.256700036182032</v>
      </c>
      <c r="G6900" s="1">
        <v>0.37579498126363942</v>
      </c>
      <c r="H6900" s="1">
        <v>1.6381683284637125</v>
      </c>
      <c r="I6900" s="1">
        <v>5.0183103390180568</v>
      </c>
      <c r="J6900" s="1">
        <v>1.4702847336132589E-2</v>
      </c>
      <c r="K6900" s="1">
        <v>1.4578118745225583</v>
      </c>
      <c r="L6900" s="1">
        <v>1.0223254887328517</v>
      </c>
      <c r="M6900" s="1">
        <v>0.12516173871883524</v>
      </c>
      <c r="N6900" s="1">
        <v>0.52750197699621648</v>
      </c>
      <c r="O6900" s="1">
        <v>0.13633287356321835</v>
      </c>
      <c r="P6900" s="1">
        <v>7.5654016042449659E-2</v>
      </c>
      <c r="Q6900" s="1">
        <v>0.60058558649440152</v>
      </c>
      <c r="R6900" s="2">
        <f t="shared" si="431"/>
        <v>18.466644756074317</v>
      </c>
      <c r="S6900" s="2">
        <f t="shared" si="430"/>
        <v>1.5481687379011406</v>
      </c>
      <c r="T6900" s="2">
        <f t="shared" si="432"/>
        <v>1.8113220780111219</v>
      </c>
      <c r="U6900" s="2">
        <f t="shared" si="433"/>
        <v>21.82613557198658</v>
      </c>
    </row>
    <row r="6901" spans="1:21" x14ac:dyDescent="0.25">
      <c r="A6901">
        <v>7487041</v>
      </c>
      <c r="B6901">
        <v>2</v>
      </c>
      <c r="C6901" s="1">
        <f>0.928816493371257*(10.3/7.3)</f>
        <v>1.3105219016060197</v>
      </c>
      <c r="D6901" s="1">
        <f>2.54882626327328*(10.3/7.3)</f>
        <v>3.5962891111938053</v>
      </c>
      <c r="E6901" s="1">
        <f>8.47606839545325*(10.3/7.3)</f>
        <v>11.959384174406647</v>
      </c>
      <c r="F6901" s="1">
        <f>32.8554714983205*(38.9/42.5)</f>
        <v>30.072419794933325</v>
      </c>
      <c r="G6901" s="1">
        <v>2.0402133039264658</v>
      </c>
      <c r="H6901" s="1">
        <v>11.138729186468343</v>
      </c>
      <c r="I6901" s="1">
        <v>24.365528798511807</v>
      </c>
      <c r="J6901" s="1">
        <v>2.304059640169575E-2</v>
      </c>
      <c r="K6901" s="1">
        <v>1.7038823562171546</v>
      </c>
      <c r="L6901" s="1">
        <v>1.4689921495537863</v>
      </c>
      <c r="M6901" s="1">
        <v>0.13143215042249959</v>
      </c>
      <c r="N6901" s="1">
        <v>1.0465483323493587</v>
      </c>
      <c r="O6901" s="1">
        <v>0.11125333333333333</v>
      </c>
      <c r="P6901" s="1">
        <v>7.2551779323000359E-2</v>
      </c>
      <c r="Q6901" s="1">
        <v>3.2606148692888759</v>
      </c>
      <c r="R6901" s="2">
        <f t="shared" si="431"/>
        <v>87.743701140335276</v>
      </c>
      <c r="S6901" s="2">
        <f t="shared" si="430"/>
        <v>1.7994747319418507</v>
      </c>
      <c r="T6901" s="2">
        <f t="shared" si="432"/>
        <v>2.758225965658978</v>
      </c>
      <c r="U6901" s="2">
        <f t="shared" si="433"/>
        <v>92.301401837936112</v>
      </c>
    </row>
    <row r="6902" spans="1:21" x14ac:dyDescent="0.25">
      <c r="A6902">
        <v>7487153</v>
      </c>
      <c r="B6902">
        <v>13</v>
      </c>
      <c r="C6902" s="1">
        <f>1.64387283783595*(10.3/7.3)</f>
        <v>2.3194370177685375</v>
      </c>
      <c r="D6902" s="1">
        <f>4.02730223554411*(10.3/7.3)</f>
        <v>5.6823579487814122</v>
      </c>
      <c r="E6902" s="1">
        <f>13.6857918640674*(10.3/7.3)</f>
        <v>19.310089890396426</v>
      </c>
      <c r="F6902" s="1">
        <f>39.4813001414163*(38.9/42.5)</f>
        <v>36.137001776496369</v>
      </c>
      <c r="G6902" s="1">
        <v>2.1387183132606449</v>
      </c>
      <c r="H6902" s="1">
        <v>8.2816973451678759</v>
      </c>
      <c r="I6902" s="1">
        <v>27.665744593344126</v>
      </c>
      <c r="J6902" s="1">
        <v>2.32475341849324E-2</v>
      </c>
      <c r="K6902" s="1">
        <v>1.6778183534960986</v>
      </c>
      <c r="L6902" s="1">
        <v>1.4698768429756783</v>
      </c>
      <c r="M6902" s="1">
        <v>0.1247403093859544</v>
      </c>
      <c r="N6902" s="1">
        <v>0.95804718241650955</v>
      </c>
      <c r="O6902" s="1">
        <v>0.10585435897435896</v>
      </c>
      <c r="P6902" s="1">
        <v>6.8275526854683147E-2</v>
      </c>
      <c r="Q6902" s="1">
        <v>3.4180429663982945</v>
      </c>
      <c r="R6902" s="2">
        <f t="shared" si="431"/>
        <v>104.95308985161368</v>
      </c>
      <c r="S6902" s="2">
        <f t="shared" si="430"/>
        <v>1.769341414535714</v>
      </c>
      <c r="T6902" s="2">
        <f t="shared" si="432"/>
        <v>2.6585186937525012</v>
      </c>
      <c r="U6902" s="2">
        <f t="shared" si="433"/>
        <v>109.3809499599019</v>
      </c>
    </row>
    <row r="6903" spans="1:21" x14ac:dyDescent="0.25">
      <c r="A6903">
        <v>7487161</v>
      </c>
      <c r="B6903">
        <v>60</v>
      </c>
      <c r="C6903" s="1">
        <f>1.589011715868*(10.3/7.3)</f>
        <v>2.2420302292384164</v>
      </c>
      <c r="D6903" s="1">
        <f>3.95391616401399*(10.3/7.3)</f>
        <v>5.5788132177183654</v>
      </c>
      <c r="E6903" s="1">
        <f>13.4430030183154*(10.3/7.3)</f>
        <v>18.96752480666413</v>
      </c>
      <c r="F6903" s="1">
        <f>38.1915268638633*(38.9/42.5)</f>
        <v>34.956479882453728</v>
      </c>
      <c r="G6903" s="1">
        <v>2.0530171668908923</v>
      </c>
      <c r="H6903" s="1">
        <v>7.0011190173130853</v>
      </c>
      <c r="I6903" s="1">
        <v>26.592035360751876</v>
      </c>
      <c r="J6903" s="1">
        <v>2.3832236782667448E-2</v>
      </c>
      <c r="K6903" s="1">
        <v>1.7142805375562726</v>
      </c>
      <c r="L6903" s="1">
        <v>1.5070397158243334</v>
      </c>
      <c r="M6903" s="1">
        <v>0.12658108633057011</v>
      </c>
      <c r="N6903" s="1">
        <v>0.98092837045153158</v>
      </c>
      <c r="O6903" s="1">
        <v>0.10815466666666668</v>
      </c>
      <c r="P6903" s="1">
        <v>6.9627176066212423E-2</v>
      </c>
      <c r="Q6903" s="1">
        <v>3.2810776639808821</v>
      </c>
      <c r="R6903" s="2">
        <f t="shared" si="431"/>
        <v>100.67209734501137</v>
      </c>
      <c r="S6903" s="2">
        <f t="shared" si="430"/>
        <v>1.8077399504051526</v>
      </c>
      <c r="T6903" s="2">
        <f t="shared" si="432"/>
        <v>2.7227038392731018</v>
      </c>
      <c r="U6903" s="2">
        <f t="shared" si="433"/>
        <v>105.20254113468962</v>
      </c>
    </row>
    <row r="6904" spans="1:21" x14ac:dyDescent="0.25">
      <c r="A6904">
        <v>7487169</v>
      </c>
      <c r="B6904">
        <v>1</v>
      </c>
      <c r="C6904" s="1">
        <f>2.52357688765021*(10.3/7.3)</f>
        <v>3.5606632798352229</v>
      </c>
      <c r="D6904" s="1">
        <f>6.49264839055065*(10.3/7.3)</f>
        <v>9.1608600579002353</v>
      </c>
      <c r="E6904" s="1">
        <f>22.0725042489255*(10.3/7.3)</f>
        <v>31.143396406018105</v>
      </c>
      <c r="F6904" s="1">
        <f>61.9474258900778*(38.9/42.5)</f>
        <v>56.700114520565286</v>
      </c>
      <c r="G6904" s="1">
        <v>3.3132677793978056</v>
      </c>
      <c r="H6904" s="1">
        <v>9.9395354833413219</v>
      </c>
      <c r="I6904" s="1">
        <v>42.78617265441062</v>
      </c>
      <c r="J6904" s="1">
        <v>3.3453418421909631E-2</v>
      </c>
      <c r="K6904" s="1">
        <v>2.1884606701692855</v>
      </c>
      <c r="L6904" s="1">
        <v>2.028220366651901</v>
      </c>
      <c r="M6904" s="1">
        <v>0.16038136556897334</v>
      </c>
      <c r="N6904" s="1">
        <v>1.3425653286445676</v>
      </c>
      <c r="O6904" s="1">
        <v>0.13850666666666667</v>
      </c>
      <c r="P6904" s="1">
        <v>8.6125327301500007E-2</v>
      </c>
      <c r="Q6904" s="1">
        <v>5.2951768163891924</v>
      </c>
      <c r="R6904" s="2">
        <f t="shared" si="431"/>
        <v>161.89918699785778</v>
      </c>
      <c r="S6904" s="2">
        <f t="shared" si="430"/>
        <v>2.3080394158926953</v>
      </c>
      <c r="T6904" s="2">
        <f t="shared" si="432"/>
        <v>3.6696737275321087</v>
      </c>
      <c r="U6904" s="2">
        <f t="shared" si="433"/>
        <v>167.87690014128259</v>
      </c>
    </row>
    <row r="6905" spans="1:21" x14ac:dyDescent="0.25">
      <c r="A6905">
        <v>7487185</v>
      </c>
      <c r="B6905">
        <v>1</v>
      </c>
      <c r="C6905" s="1">
        <f>1.66884267033686*(10.3/7.3)</f>
        <v>2.3546684252698209</v>
      </c>
      <c r="D6905" s="1">
        <f>4.8010753313087*(10.3/7.3)</f>
        <v>6.774119988010912</v>
      </c>
      <c r="E6905" s="1">
        <f>16.291264871492*(10.3/7.3)</f>
        <v>22.986305229639353</v>
      </c>
      <c r="F6905" s="1">
        <f>45.3033416998879*(38.9/42.5)</f>
        <v>41.465882167662116</v>
      </c>
      <c r="G6905" s="1">
        <v>2.4248656675644562</v>
      </c>
      <c r="H6905" s="1">
        <v>8.3607650618575704</v>
      </c>
      <c r="I6905" s="1">
        <v>30.749417708191629</v>
      </c>
      <c r="J6905" s="1">
        <v>2.6630346780302488E-2</v>
      </c>
      <c r="K6905" s="1">
        <v>1.8186583685645514</v>
      </c>
      <c r="L6905" s="1">
        <v>1.634919228523144</v>
      </c>
      <c r="M6905" s="1">
        <v>0.13130538557836288</v>
      </c>
      <c r="N6905" s="1">
        <v>1.5636359707275891</v>
      </c>
      <c r="O6905" s="1">
        <v>0.1144</v>
      </c>
      <c r="P6905" s="1">
        <v>7.3110063218620069E-2</v>
      </c>
      <c r="Q6905" s="1">
        <v>3.8753560897148884</v>
      </c>
      <c r="R6905" s="2">
        <f t="shared" si="431"/>
        <v>118.99138033791074</v>
      </c>
      <c r="S6905" s="2">
        <f t="shared" si="430"/>
        <v>1.918398778563474</v>
      </c>
      <c r="T6905" s="2">
        <f t="shared" si="432"/>
        <v>3.4442605848290957</v>
      </c>
      <c r="U6905" s="2">
        <f t="shared" si="433"/>
        <v>124.35403970130331</v>
      </c>
    </row>
    <row r="6906" spans="1:21" x14ac:dyDescent="0.25">
      <c r="A6906">
        <v>7487249</v>
      </c>
      <c r="B6906">
        <v>53</v>
      </c>
      <c r="C6906" s="1">
        <f>1.49121955440008*(10.3/7.3)</f>
        <v>2.1040495082631221</v>
      </c>
      <c r="D6906" s="1">
        <f>3.02300513190888*(10.3/7.3)</f>
        <v>4.265336008035816</v>
      </c>
      <c r="E6906" s="1">
        <f>10.3630431248402*(10.3/7.3)</f>
        <v>14.621827970665006</v>
      </c>
      <c r="F6906" s="1">
        <f>27.8571700696352*(38.9/42.5)</f>
        <v>25.497503899030846</v>
      </c>
      <c r="G6906" s="1">
        <v>1.4287637281184595</v>
      </c>
      <c r="H6906" s="1">
        <v>6.221534309696148</v>
      </c>
      <c r="I6906" s="1">
        <v>19.727484619165118</v>
      </c>
      <c r="J6906" s="1">
        <v>2.6276959961729615E-2</v>
      </c>
      <c r="K6906" s="1">
        <v>1.6394937297519976</v>
      </c>
      <c r="L6906" s="1">
        <v>1.3906318908038937</v>
      </c>
      <c r="M6906" s="1">
        <v>0.11497325928605792</v>
      </c>
      <c r="N6906" s="1">
        <v>1.0975699934232395</v>
      </c>
      <c r="O6906" s="1">
        <v>9.6854339622641533E-2</v>
      </c>
      <c r="P6906" s="1">
        <v>6.5276999631097204E-2</v>
      </c>
      <c r="Q6906" s="1">
        <v>2.2834123508742521</v>
      </c>
      <c r="R6906" s="2">
        <f t="shared" si="431"/>
        <v>76.149912393848766</v>
      </c>
      <c r="S6906" s="2">
        <f t="shared" si="430"/>
        <v>1.7310476893448243</v>
      </c>
      <c r="T6906" s="2">
        <f t="shared" si="432"/>
        <v>2.7000294831358325</v>
      </c>
      <c r="U6906" s="2">
        <f t="shared" si="433"/>
        <v>80.580989566329421</v>
      </c>
    </row>
    <row r="6907" spans="1:21" x14ac:dyDescent="0.25">
      <c r="A6907">
        <v>7487257</v>
      </c>
      <c r="B6907">
        <v>42</v>
      </c>
      <c r="C6907" s="1">
        <f>1.43144178722962*(10.3/7.3)</f>
        <v>2.0197055354061733</v>
      </c>
      <c r="D6907" s="1">
        <f>2.94925115240967*(10.3/7.3)</f>
        <v>4.1612721739478848</v>
      </c>
      <c r="E6907" s="1">
        <f>10.1106263879082*(10.3/7.3)</f>
        <v>14.265678328144489</v>
      </c>
      <c r="F6907" s="1">
        <f>26.9219072365199*(38.9/42.5)</f>
        <v>24.641463329426458</v>
      </c>
      <c r="G6907" s="1">
        <v>1.3740905449531919</v>
      </c>
      <c r="H6907" s="1">
        <v>5.4969842876899548</v>
      </c>
      <c r="I6907" s="1">
        <v>18.963988841628684</v>
      </c>
      <c r="J6907" s="1">
        <v>2.5122190930594021E-2</v>
      </c>
      <c r="K6907" s="1">
        <v>1.6258819904328712</v>
      </c>
      <c r="L6907" s="1">
        <v>1.3788964855250598</v>
      </c>
      <c r="M6907" s="1">
        <v>0.11168799945647472</v>
      </c>
      <c r="N6907" s="1">
        <v>1.0247373169225544</v>
      </c>
      <c r="O6907" s="1">
        <v>9.5667301587301593E-2</v>
      </c>
      <c r="P6907" s="1">
        <v>6.4790005757007316E-2</v>
      </c>
      <c r="Q6907" s="1">
        <v>2.1960351175051032</v>
      </c>
      <c r="R6907" s="2">
        <f t="shared" si="431"/>
        <v>73.119218158701941</v>
      </c>
      <c r="S6907" s="2">
        <f t="shared" si="430"/>
        <v>1.7157941871204725</v>
      </c>
      <c r="T6907" s="2">
        <f t="shared" si="432"/>
        <v>2.6109891034913906</v>
      </c>
      <c r="U6907" s="2">
        <f t="shared" si="433"/>
        <v>77.446001449313798</v>
      </c>
    </row>
    <row r="6908" spans="1:21" x14ac:dyDescent="0.25">
      <c r="A6908">
        <v>7487265</v>
      </c>
      <c r="B6908">
        <v>1</v>
      </c>
      <c r="C6908" s="1">
        <f>1.35698018564145*(10.3/7.3)</f>
        <v>1.9146432756310932</v>
      </c>
      <c r="D6908" s="1">
        <f>2.79262606093079*(10.3/7.3)</f>
        <v>3.9402806065187832</v>
      </c>
      <c r="E6908" s="1">
        <f>9.57414152430415*(10.3/7.3)</f>
        <v>13.508720232922292</v>
      </c>
      <c r="F6908" s="1">
        <f>25.4856727287854*(38.9/42.5)</f>
        <v>23.32688633293537</v>
      </c>
      <c r="G6908" s="1">
        <v>1.3004146854372216</v>
      </c>
      <c r="H6908" s="1">
        <v>7.5915343671346358</v>
      </c>
      <c r="I6908" s="1">
        <v>17.954433952029206</v>
      </c>
      <c r="J6908" s="1">
        <v>2.4041992488399284E-2</v>
      </c>
      <c r="K6908" s="1">
        <v>1.5773291945169439</v>
      </c>
      <c r="L6908" s="1">
        <v>1.3267333179151852</v>
      </c>
      <c r="M6908" s="1">
        <v>0.10832988259986315</v>
      </c>
      <c r="N6908" s="1">
        <v>1.0061720153544567</v>
      </c>
      <c r="O6908" s="1">
        <v>9.1520000000000004E-2</v>
      </c>
      <c r="P6908" s="1">
        <v>6.2729962662877434E-2</v>
      </c>
      <c r="Q6908" s="1">
        <v>2.0782883100594889</v>
      </c>
      <c r="R6908" s="2">
        <f t="shared" si="431"/>
        <v>71.615201762668079</v>
      </c>
      <c r="S6908" s="2">
        <f t="shared" si="430"/>
        <v>1.6641011496682205</v>
      </c>
      <c r="T6908" s="2">
        <f t="shared" si="432"/>
        <v>2.5327552158695052</v>
      </c>
      <c r="U6908" s="2">
        <f t="shared" si="433"/>
        <v>75.812058128205805</v>
      </c>
    </row>
    <row r="6909" spans="1:21" x14ac:dyDescent="0.25">
      <c r="A6909">
        <v>7487273</v>
      </c>
      <c r="B6909">
        <v>15</v>
      </c>
      <c r="C6909" s="1">
        <f>1.40055330930132*(10.3/7.3)</f>
        <v>1.9761231624388547</v>
      </c>
      <c r="D6909" s="1">
        <f>2.8956689979982*(10.3/7.3)</f>
        <v>4.085669956079653</v>
      </c>
      <c r="E6909" s="1">
        <f>9.92412481448046*(10.3/7.3)</f>
        <v>14.002532272486123</v>
      </c>
      <c r="F6909" s="1">
        <f>26.5199238532385*(38.9/42.5)</f>
        <v>24.273530303317102</v>
      </c>
      <c r="G6909" s="1">
        <v>1.3570664143077542</v>
      </c>
      <c r="H6909" s="1">
        <v>5.7393343449939112</v>
      </c>
      <c r="I6909" s="1">
        <v>18.687354218521797</v>
      </c>
      <c r="J6909" s="1">
        <v>2.4012572942349233E-2</v>
      </c>
      <c r="K6909" s="1">
        <v>1.5846420649926334</v>
      </c>
      <c r="L6909" s="1">
        <v>1.3391237583345761</v>
      </c>
      <c r="M6909" s="1">
        <v>0.10853672705542251</v>
      </c>
      <c r="N6909" s="1">
        <v>0.97275146381688349</v>
      </c>
      <c r="O6909" s="1">
        <v>9.2753777777777796E-2</v>
      </c>
      <c r="P6909" s="1">
        <v>6.3142937554458281E-2</v>
      </c>
      <c r="Q6909" s="1">
        <v>2.168827602774952</v>
      </c>
      <c r="R6909" s="2">
        <f t="shared" si="431"/>
        <v>72.290438274920149</v>
      </c>
      <c r="S6909" s="2">
        <f t="shared" si="430"/>
        <v>1.671797575489441</v>
      </c>
      <c r="T6909" s="2">
        <f t="shared" si="432"/>
        <v>2.5131657269846599</v>
      </c>
      <c r="U6909" s="2">
        <f t="shared" si="433"/>
        <v>76.475401577394251</v>
      </c>
    </row>
    <row r="6910" spans="1:21" x14ac:dyDescent="0.25">
      <c r="A6910">
        <v>7498789</v>
      </c>
      <c r="B6910">
        <v>71</v>
      </c>
      <c r="C6910" s="1">
        <f>0.321365951594524*(10.3/7.3)</f>
        <v>0.4534341508799446</v>
      </c>
      <c r="D6910" s="1">
        <f>0.612954918019925*(10.3/7.3)</f>
        <v>0.86485419939797636</v>
      </c>
      <c r="E6910" s="1">
        <f>2.09296320024085*(10.3/7.3)</f>
        <v>2.9530850633535337</v>
      </c>
      <c r="F6910" s="1">
        <f>6.24112661724565*(38.9/42.5)</f>
        <v>5.7124664802554257</v>
      </c>
      <c r="G6910" s="1">
        <v>0.33889787166687646</v>
      </c>
      <c r="H6910" s="1">
        <v>1.2670614337119295</v>
      </c>
      <c r="I6910" s="1">
        <v>4.5767912491120404</v>
      </c>
      <c r="J6910" s="1">
        <v>1.3894998219060156E-2</v>
      </c>
      <c r="K6910" s="1">
        <v>1.4208868458019959</v>
      </c>
      <c r="L6910" s="1">
        <v>0.99112190736228678</v>
      </c>
      <c r="M6910" s="1">
        <v>0.12193338626552215</v>
      </c>
      <c r="N6910" s="1">
        <v>0.50655354183556967</v>
      </c>
      <c r="O6910" s="1">
        <v>0.13238384976525822</v>
      </c>
      <c r="P6910" s="1">
        <v>7.380930217400325E-2</v>
      </c>
      <c r="Q6910" s="1">
        <v>0.54161760312057938</v>
      </c>
      <c r="R6910" s="2">
        <f t="shared" si="431"/>
        <v>16.708208051498307</v>
      </c>
      <c r="S6910" s="2">
        <f t="shared" si="430"/>
        <v>1.5085911461950592</v>
      </c>
      <c r="T6910" s="2">
        <f t="shared" si="432"/>
        <v>1.7519926852286367</v>
      </c>
      <c r="U6910" s="2">
        <f t="shared" si="433"/>
        <v>19.968791882922002</v>
      </c>
    </row>
    <row r="6911" spans="1:21" x14ac:dyDescent="0.25">
      <c r="A6911">
        <v>7498797</v>
      </c>
      <c r="B6911">
        <v>31</v>
      </c>
      <c r="C6911" s="1">
        <f>0.349961023230707*(10.3/7.3)</f>
        <v>0.49378062181866933</v>
      </c>
      <c r="D6911" s="1">
        <f>0.699266456731625*(10.3/7.3)</f>
        <v>0.98663623347064855</v>
      </c>
      <c r="E6911" s="1">
        <f>2.3773709843782*(10.3/7.3)</f>
        <v>3.3543727587802032</v>
      </c>
      <c r="F6911" s="1">
        <f>7.4519319651472*(38.9/42.5)</f>
        <v>6.8207094928053147</v>
      </c>
      <c r="G6911" s="1">
        <v>0.41669201748418494</v>
      </c>
      <c r="H6911" s="1">
        <v>2.5676961765744486</v>
      </c>
      <c r="I6911" s="1">
        <v>5.4842435488654617</v>
      </c>
      <c r="J6911" s="1">
        <v>1.5658790639541335E-2</v>
      </c>
      <c r="K6911" s="1">
        <v>1.5062551860948288</v>
      </c>
      <c r="L6911" s="1">
        <v>1.0542915595851949</v>
      </c>
      <c r="M6911" s="1">
        <v>0.12850707178035051</v>
      </c>
      <c r="N6911" s="1">
        <v>0.54776566801869619</v>
      </c>
      <c r="O6911" s="1">
        <v>0.14035268817204302</v>
      </c>
      <c r="P6911" s="1">
        <v>7.6827477448380976E-2</v>
      </c>
      <c r="Q6911" s="1">
        <v>0.66594614666422292</v>
      </c>
      <c r="R6911" s="2">
        <f t="shared" si="431"/>
        <v>20.790076996463153</v>
      </c>
      <c r="S6911" s="2">
        <f t="shared" si="430"/>
        <v>1.5987414541827512</v>
      </c>
      <c r="T6911" s="2">
        <f t="shared" si="432"/>
        <v>1.8709169875562845</v>
      </c>
      <c r="U6911" s="2">
        <f t="shared" si="433"/>
        <v>24.259735438202188</v>
      </c>
    </row>
    <row r="6912" spans="1:21" x14ac:dyDescent="0.25">
      <c r="A6912">
        <v>7499269</v>
      </c>
      <c r="B6912">
        <v>18</v>
      </c>
      <c r="C6912" s="1">
        <f>0.949483412677735*(10.3/7.3)</f>
        <v>1.3396820754220102</v>
      </c>
      <c r="D6912" s="1">
        <f>2.7557497904264*(10.3/7.3)</f>
        <v>3.8882497043002688</v>
      </c>
      <c r="E6912" s="1">
        <f>9.13383127541975*(10.3/7.3)</f>
        <v>12.887460566688141</v>
      </c>
      <c r="F6912" s="1">
        <f>36.4434361168443*(38.9/42.5)</f>
        <v>33.356462704593959</v>
      </c>
      <c r="G6912" s="1">
        <v>2.290031691654161</v>
      </c>
      <c r="H6912" s="1">
        <v>11.465866839998014</v>
      </c>
      <c r="I6912" s="1">
        <v>27.054112436314583</v>
      </c>
      <c r="J6912" s="1">
        <v>2.2881240527257991E-2</v>
      </c>
      <c r="K6912" s="1">
        <v>1.726115752366417</v>
      </c>
      <c r="L6912" s="1">
        <v>1.5139023401779976</v>
      </c>
      <c r="M6912" s="1">
        <v>0.13392975938609131</v>
      </c>
      <c r="N6912" s="1">
        <v>1.0859258052715279</v>
      </c>
      <c r="O6912" s="1">
        <v>0.11428444444444444</v>
      </c>
      <c r="P6912" s="1">
        <v>7.3756756665700085E-2</v>
      </c>
      <c r="Q6912" s="1">
        <v>3.6598680003605355</v>
      </c>
      <c r="R6912" s="2">
        <f t="shared" si="431"/>
        <v>95.941734019331676</v>
      </c>
      <c r="S6912" s="2">
        <f t="shared" si="430"/>
        <v>1.8227537495593751</v>
      </c>
      <c r="T6912" s="2">
        <f t="shared" si="432"/>
        <v>2.8480423492800613</v>
      </c>
      <c r="U6912" s="2">
        <f t="shared" si="433"/>
        <v>100.61253011817112</v>
      </c>
    </row>
    <row r="6913" spans="1:21" x14ac:dyDescent="0.25">
      <c r="A6913">
        <v>7499389</v>
      </c>
      <c r="B6913">
        <v>37</v>
      </c>
      <c r="C6913" s="1">
        <f>2.11259356628795*(10.3/7.3)</f>
        <v>2.98078270311861</v>
      </c>
      <c r="D6913" s="1">
        <f>5.39817692070765*(10.3/7.3)</f>
        <v>7.6166057922313488</v>
      </c>
      <c r="E6913" s="1">
        <f>18.325143767551*(10.3/7.3)</f>
        <v>25.856024767914388</v>
      </c>
      <c r="F6913" s="1">
        <f>52.9383286577791*(38.9/42.5)</f>
        <v>48.454140818531926</v>
      </c>
      <c r="G6913" s="1">
        <v>2.8766353666195461</v>
      </c>
      <c r="H6913" s="1">
        <v>10.298685327354528</v>
      </c>
      <c r="I6913" s="1">
        <v>36.899183856711559</v>
      </c>
      <c r="J6913" s="1">
        <v>2.7663624235776469E-2</v>
      </c>
      <c r="K6913" s="1">
        <v>1.9219823856457907</v>
      </c>
      <c r="L6913" s="1">
        <v>1.7455130134504437</v>
      </c>
      <c r="M6913" s="1">
        <v>0.14135296415731297</v>
      </c>
      <c r="N6913" s="1">
        <v>1.1059829912665928</v>
      </c>
      <c r="O6913" s="1">
        <v>0.12242594594594595</v>
      </c>
      <c r="P6913" s="1">
        <v>7.6716049351141291E-2</v>
      </c>
      <c r="Q6913" s="1">
        <v>4.5973624580677726</v>
      </c>
      <c r="R6913" s="2">
        <f t="shared" si="431"/>
        <v>139.57942109054969</v>
      </c>
      <c r="S6913" s="2">
        <f t="shared" si="430"/>
        <v>2.0263620592327083</v>
      </c>
      <c r="T6913" s="2">
        <f t="shared" si="432"/>
        <v>3.1152749148202954</v>
      </c>
      <c r="U6913" s="2">
        <f t="shared" si="433"/>
        <v>144.72105806460269</v>
      </c>
    </row>
    <row r="6914" spans="1:21" x14ac:dyDescent="0.25">
      <c r="A6914">
        <v>7499397</v>
      </c>
      <c r="B6914">
        <v>9</v>
      </c>
      <c r="C6914" s="1">
        <f>2.51122984164055*(10.3/7.3)</f>
        <v>3.5432421053284537</v>
      </c>
      <c r="D6914" s="1">
        <f>6.44816414537226*(10.3/7.3)</f>
        <v>9.098094616073185</v>
      </c>
      <c r="E6914" s="1">
        <f>21.9061285318572*(10.3/7.3)</f>
        <v>30.908647106592976</v>
      </c>
      <c r="F6914" s="1">
        <f>62.3069190376855*(38.9/42.5)</f>
        <v>57.029156483905105</v>
      </c>
      <c r="G6914" s="1">
        <v>3.3574971384276191</v>
      </c>
      <c r="H6914" s="1">
        <v>9.7846442954179746</v>
      </c>
      <c r="I6914" s="1">
        <v>43.21145486833781</v>
      </c>
      <c r="J6914" s="1">
        <v>3.3499622196154891E-2</v>
      </c>
      <c r="K6914" s="1">
        <v>2.2269662557145629</v>
      </c>
      <c r="L6914" s="1">
        <v>2.0709613404097502</v>
      </c>
      <c r="M6914" s="1">
        <v>0.16371628919322895</v>
      </c>
      <c r="N6914" s="1">
        <v>1.311659282989925</v>
      </c>
      <c r="O6914" s="1">
        <v>0.14183111111111113</v>
      </c>
      <c r="P6914" s="1">
        <v>8.7621207875434565E-2</v>
      </c>
      <c r="Q6914" s="1">
        <v>5.3658630066194881</v>
      </c>
      <c r="R6914" s="2">
        <f t="shared" si="431"/>
        <v>162.29859962070262</v>
      </c>
      <c r="S6914" s="2">
        <f t="shared" si="430"/>
        <v>2.3480870857861524</v>
      </c>
      <c r="T6914" s="2">
        <f t="shared" si="432"/>
        <v>3.6881680237040153</v>
      </c>
      <c r="U6914" s="2">
        <f t="shared" si="433"/>
        <v>168.33485473019277</v>
      </c>
    </row>
    <row r="6915" spans="1:21" x14ac:dyDescent="0.25">
      <c r="A6915">
        <v>7499477</v>
      </c>
      <c r="B6915">
        <v>6</v>
      </c>
      <c r="C6915" s="1">
        <f>1.39136604495866*(10.3/7.3)</f>
        <v>1.9631603100101609</v>
      </c>
      <c r="D6915" s="1">
        <f>2.80814656138699*(10.3/7.3)</f>
        <v>3.962179394833695</v>
      </c>
      <c r="E6915" s="1">
        <f>9.62646836565693*(10.3/7.3)</f>
        <v>13.582551255652934</v>
      </c>
      <c r="F6915" s="1">
        <f>25.940258197204*(38.9/42.5)</f>
        <v>23.742965738146722</v>
      </c>
      <c r="G6915" s="1">
        <v>1.3320666930448106</v>
      </c>
      <c r="H6915" s="1">
        <v>5.6802144313383494</v>
      </c>
      <c r="I6915" s="1">
        <v>18.395743993999591</v>
      </c>
      <c r="J6915" s="1">
        <v>2.6023568643020262E-2</v>
      </c>
      <c r="K6915" s="1">
        <v>1.5901172429595991</v>
      </c>
      <c r="L6915" s="1">
        <v>1.3373042815455634</v>
      </c>
      <c r="M6915" s="1">
        <v>0.11290702012896713</v>
      </c>
      <c r="N6915" s="1">
        <v>1.1371399004648841</v>
      </c>
      <c r="O6915" s="1">
        <v>9.3128888888888886E-2</v>
      </c>
      <c r="P6915" s="1">
        <v>6.3452686629818275E-2</v>
      </c>
      <c r="Q6915" s="1">
        <v>2.1288737103455904</v>
      </c>
      <c r="R6915" s="2">
        <f t="shared" si="431"/>
        <v>70.787755527371843</v>
      </c>
      <c r="S6915" s="2">
        <f t="shared" si="430"/>
        <v>1.6795934982324376</v>
      </c>
      <c r="T6915" s="2">
        <f t="shared" si="432"/>
        <v>2.6804800910283033</v>
      </c>
      <c r="U6915" s="2">
        <f t="shared" si="433"/>
        <v>75.147829116632579</v>
      </c>
    </row>
    <row r="6916" spans="1:21" x14ac:dyDescent="0.25">
      <c r="A6916">
        <v>7499485</v>
      </c>
      <c r="B6916">
        <v>52</v>
      </c>
      <c r="C6916" s="1">
        <f>1.49508786963652*(10.3/7.3)</f>
        <v>2.109507542089879</v>
      </c>
      <c r="D6916" s="1">
        <f>3.08129900521178*(10.3/7.3)</f>
        <v>4.3475862676275741</v>
      </c>
      <c r="E6916" s="1">
        <f>10.5602708896301*(10.3/7.3)</f>
        <v>14.90010824153287</v>
      </c>
      <c r="F6916" s="1">
        <f>28.2702772336791*(38.9/42.5)</f>
        <v>25.875618456238019</v>
      </c>
      <c r="G6916" s="1">
        <v>1.4479452293708996</v>
      </c>
      <c r="H6916" s="1">
        <v>5.6782118992980068</v>
      </c>
      <c r="I6916" s="1">
        <v>19.94114853037858</v>
      </c>
      <c r="J6916" s="1">
        <v>2.6108595918309139E-2</v>
      </c>
      <c r="K6916" s="1">
        <v>1.6602005473532333</v>
      </c>
      <c r="L6916" s="1">
        <v>1.4105560837255757</v>
      </c>
      <c r="M6916" s="1">
        <v>0.11428591626729576</v>
      </c>
      <c r="N6916" s="1">
        <v>1.1021551981588376</v>
      </c>
      <c r="O6916" s="1">
        <v>9.7965128205128205E-2</v>
      </c>
      <c r="P6916" s="1">
        <v>6.5829167325153662E-2</v>
      </c>
      <c r="Q6916" s="1">
        <v>2.314067718172673</v>
      </c>
      <c r="R6916" s="2">
        <f t="shared" si="431"/>
        <v>76.614193884708499</v>
      </c>
      <c r="S6916" s="2">
        <f t="shared" si="430"/>
        <v>1.7521383105966961</v>
      </c>
      <c r="T6916" s="2">
        <f t="shared" si="432"/>
        <v>2.7249623263568372</v>
      </c>
      <c r="U6916" s="2">
        <f t="shared" si="433"/>
        <v>81.091294521662022</v>
      </c>
    </row>
    <row r="6917" spans="1:21" x14ac:dyDescent="0.25">
      <c r="A6917">
        <v>7499493</v>
      </c>
      <c r="B6917">
        <v>32</v>
      </c>
      <c r="C6917" s="1">
        <f>1.28868558740057*(10.3/7.3)</f>
        <v>1.8182824041405239</v>
      </c>
      <c r="D6917" s="1">
        <f>2.64553087276526*(10.3/7.3)</f>
        <v>3.7327353410249504</v>
      </c>
      <c r="E6917" s="1">
        <f>9.07224729362586*(10.3/7.3)</f>
        <v>12.800568099225533</v>
      </c>
      <c r="F6917" s="1">
        <f>24.0588675227706*(38.9/42.5)</f>
        <v>22.020939920841808</v>
      </c>
      <c r="G6917" s="1">
        <v>1.2243693959732258</v>
      </c>
      <c r="H6917" s="1">
        <v>6.5035054164245913</v>
      </c>
      <c r="I6917" s="1">
        <v>16.939542416038641</v>
      </c>
      <c r="J6917" s="1">
        <v>2.3843357512514499E-2</v>
      </c>
      <c r="K6917" s="1">
        <v>1.5637728125449029</v>
      </c>
      <c r="L6917" s="1">
        <v>1.3099705608026457</v>
      </c>
      <c r="M6917" s="1">
        <v>0.10726498637754178</v>
      </c>
      <c r="N6917" s="1">
        <v>0.9784280338713236</v>
      </c>
      <c r="O6917" s="1">
        <v>9.0939999999999993E-2</v>
      </c>
      <c r="P6917" s="1">
        <v>6.2342249046542453E-2</v>
      </c>
      <c r="Q6917" s="1">
        <v>1.9567547424229657</v>
      </c>
      <c r="R6917" s="2">
        <f t="shared" si="431"/>
        <v>66.996697736092244</v>
      </c>
      <c r="S6917" s="2">
        <f t="shared" si="430"/>
        <v>1.6499584191039598</v>
      </c>
      <c r="T6917" s="2">
        <f t="shared" si="432"/>
        <v>2.486603581051511</v>
      </c>
      <c r="U6917" s="2">
        <f t="shared" si="433"/>
        <v>71.133259736247709</v>
      </c>
    </row>
    <row r="6918" spans="1:21" x14ac:dyDescent="0.25">
      <c r="A6918">
        <v>7511017</v>
      </c>
      <c r="B6918">
        <v>11</v>
      </c>
      <c r="C6918" s="1">
        <f>0.261478571139893*(10.3/7.3)</f>
        <v>0.36893551818368442</v>
      </c>
      <c r="D6918" s="1">
        <f>0.476869281263861*(10.3/7.3)</f>
        <v>0.67284295849558495</v>
      </c>
      <c r="E6918" s="1">
        <f>1.6336333033684*(10.3/7.3)</f>
        <v>2.3049894554376036</v>
      </c>
      <c r="F6918" s="1">
        <f>4.71194813548416*(38.9/42.5)</f>
        <v>4.312818411066675</v>
      </c>
      <c r="G6918" s="1">
        <v>0.2502605729392649</v>
      </c>
      <c r="H6918" s="1">
        <v>0.966592265981145</v>
      </c>
      <c r="I6918" s="1">
        <v>3.4563249090577752</v>
      </c>
      <c r="J6918" s="1">
        <v>1.2627002889889645E-2</v>
      </c>
      <c r="K6918" s="1">
        <v>1.3077147151011437</v>
      </c>
      <c r="L6918" s="1">
        <v>0.90668791965094053</v>
      </c>
      <c r="M6918" s="1">
        <v>0.11399860909411666</v>
      </c>
      <c r="N6918" s="1">
        <v>0.45817230805678405</v>
      </c>
      <c r="O6918" s="1">
        <v>0.12244848484848485</v>
      </c>
      <c r="P6918" s="1">
        <v>6.87136853219905E-2</v>
      </c>
      <c r="Q6918" s="1">
        <v>0.39995981976594891</v>
      </c>
      <c r="R6918" s="2">
        <f t="shared" si="431"/>
        <v>12.732723910927682</v>
      </c>
      <c r="S6918" s="2">
        <f t="shared" si="430"/>
        <v>1.3890554033130238</v>
      </c>
      <c r="T6918" s="2">
        <f t="shared" si="432"/>
        <v>1.6013073216503262</v>
      </c>
      <c r="U6918" s="2">
        <f t="shared" si="433"/>
        <v>15.723086635891031</v>
      </c>
    </row>
    <row r="6919" spans="1:21" x14ac:dyDescent="0.25">
      <c r="A6919">
        <v>7511025</v>
      </c>
      <c r="B6919">
        <v>65</v>
      </c>
      <c r="C6919" s="1">
        <f>0.336897269398652*(10.3/7.3)</f>
        <v>0.47534820202823574</v>
      </c>
      <c r="D6919" s="1">
        <f>0.658262633654148*(10.3/7.3)</f>
        <v>0.92878152419694837</v>
      </c>
      <c r="E6919" s="1">
        <f>2.24228639556252*(10.3/7.3)</f>
        <v>3.1637739553827342</v>
      </c>
      <c r="F6919" s="1">
        <f>6.88058414899936*(38.9/42.5)</f>
        <v>6.2977581975547094</v>
      </c>
      <c r="G6919" s="1">
        <v>0.38001887287634717</v>
      </c>
      <c r="H6919" s="1">
        <v>1.475620642063733</v>
      </c>
      <c r="I6919" s="1">
        <v>5.0577783280986903</v>
      </c>
      <c r="J6919" s="1">
        <v>1.432884212772181E-2</v>
      </c>
      <c r="K6919" s="1">
        <v>1.4469862686390407</v>
      </c>
      <c r="L6919" s="1">
        <v>1.006615635844992</v>
      </c>
      <c r="M6919" s="1">
        <v>0.1227599224501242</v>
      </c>
      <c r="N6919" s="1">
        <v>0.51818171394494228</v>
      </c>
      <c r="O6919" s="1">
        <v>0.13339897435897438</v>
      </c>
      <c r="P6919" s="1">
        <v>7.4664166956661976E-2</v>
      </c>
      <c r="Q6919" s="1">
        <v>0.60733609820420842</v>
      </c>
      <c r="R6919" s="2">
        <f t="shared" si="431"/>
        <v>18.386415820405603</v>
      </c>
      <c r="S6919" s="2">
        <f t="shared" si="430"/>
        <v>1.5359792777234245</v>
      </c>
      <c r="T6919" s="2">
        <f t="shared" si="432"/>
        <v>1.7809562465990327</v>
      </c>
      <c r="U6919" s="2">
        <f t="shared" si="433"/>
        <v>21.703351344728059</v>
      </c>
    </row>
    <row r="6920" spans="1:21" x14ac:dyDescent="0.25">
      <c r="A6920">
        <v>7511497</v>
      </c>
      <c r="B6920">
        <v>8</v>
      </c>
      <c r="C6920" s="1">
        <f>0.873254786327822*(10.3/7.3)</f>
        <v>1.2321266163255566</v>
      </c>
      <c r="D6920" s="1">
        <f>2.58951567022103*(10.3/7.3)</f>
        <v>3.6537001922296768</v>
      </c>
      <c r="E6920" s="1">
        <f>8.56832027004494*(10.3/7.3)</f>
        <v>12.089547778282586</v>
      </c>
      <c r="F6920" s="1">
        <f>34.7588426332714*(38.9/42.5)</f>
        <v>31.814564198453141</v>
      </c>
      <c r="G6920" s="1">
        <v>2.1978027485828955</v>
      </c>
      <c r="H6920" s="1">
        <v>11.202551820528322</v>
      </c>
      <c r="I6920" s="1">
        <v>25.844150715917991</v>
      </c>
      <c r="J6920" s="1">
        <v>2.1406962955166673E-2</v>
      </c>
      <c r="K6920" s="1">
        <v>1.6461030521541797</v>
      </c>
      <c r="L6920" s="1">
        <v>1.4310033812713727</v>
      </c>
      <c r="M6920" s="1">
        <v>0.12835351170872322</v>
      </c>
      <c r="N6920" s="1">
        <v>1.071281286472054</v>
      </c>
      <c r="O6920" s="1">
        <v>0.10919333333333334</v>
      </c>
      <c r="P6920" s="1">
        <v>7.0950142106824002E-2</v>
      </c>
      <c r="Q6920" s="1">
        <v>3.5124701461370504</v>
      </c>
      <c r="R6920" s="2">
        <f t="shared" si="431"/>
        <v>91.546914216457211</v>
      </c>
      <c r="S6920" s="2">
        <f t="shared" si="430"/>
        <v>1.7384601572161704</v>
      </c>
      <c r="T6920" s="2">
        <f t="shared" si="432"/>
        <v>2.7398315127854831</v>
      </c>
      <c r="U6920" s="2">
        <f t="shared" si="433"/>
        <v>96.025205886458863</v>
      </c>
    </row>
    <row r="6921" spans="1:21" x14ac:dyDescent="0.25">
      <c r="A6921">
        <v>7511505</v>
      </c>
      <c r="B6921">
        <v>32</v>
      </c>
      <c r="C6921" s="1">
        <f>1.12329491464224*(10.3/7.3)</f>
        <v>1.5849229617554896</v>
      </c>
      <c r="D6921" s="1">
        <f>3.15269877171227*(10.3/7.3)</f>
        <v>4.4483284039227948</v>
      </c>
      <c r="E6921" s="1">
        <f>10.4883754832356*(10.3/7.3)</f>
        <v>14.798666777715962</v>
      </c>
      <c r="F6921" s="1">
        <f>40.181490492981*(38.9/42.5)</f>
        <v>36.777881886516745</v>
      </c>
      <c r="G6921" s="1">
        <v>2.486560258663995</v>
      </c>
      <c r="H6921" s="1">
        <v>11.893893708553058</v>
      </c>
      <c r="I6921" s="1">
        <v>29.668446645046586</v>
      </c>
      <c r="J6921" s="1">
        <v>2.4715601084857694E-2</v>
      </c>
      <c r="K6921" s="1">
        <v>1.8387313684316895</v>
      </c>
      <c r="L6921" s="1">
        <v>1.6408620973959038</v>
      </c>
      <c r="M6921" s="1">
        <v>0.14243974400801637</v>
      </c>
      <c r="N6921" s="1">
        <v>1.1544180166605138</v>
      </c>
      <c r="O6921" s="1">
        <v>0.12345833333333335</v>
      </c>
      <c r="P6921" s="1">
        <v>7.7813183365916874E-2</v>
      </c>
      <c r="Q6921" s="1">
        <v>3.9739547512894933</v>
      </c>
      <c r="R6921" s="2">
        <f t="shared" si="431"/>
        <v>105.63265539346412</v>
      </c>
      <c r="S6921" s="2">
        <f t="shared" ref="S6921:S6984" si="434">J6921+K6921+P6921</f>
        <v>1.941260152882464</v>
      </c>
      <c r="T6921" s="2">
        <f t="shared" si="432"/>
        <v>3.0611781913977674</v>
      </c>
      <c r="U6921" s="2">
        <f t="shared" si="433"/>
        <v>110.63509373774436</v>
      </c>
    </row>
    <row r="6922" spans="1:21" x14ac:dyDescent="0.25">
      <c r="A6922">
        <v>7511617</v>
      </c>
      <c r="B6922">
        <v>2</v>
      </c>
      <c r="C6922" s="1">
        <f>2.1696946173413*(10.3/7.3)</f>
        <v>3.0613499395363606</v>
      </c>
      <c r="D6922" s="1">
        <f>5.59945206460016*(10.3/7.3)</f>
        <v>7.900596748682422</v>
      </c>
      <c r="E6922" s="1">
        <f>18.9808347955102*(10.3/7.3)</f>
        <v>26.781177862158184</v>
      </c>
      <c r="F6922" s="1">
        <f>56.0307858740083*(38.9/42.5)</f>
        <v>51.284648717621707</v>
      </c>
      <c r="G6922" s="1">
        <v>3.0820471814508408</v>
      </c>
      <c r="H6922" s="1">
        <v>16.55693490956045</v>
      </c>
      <c r="I6922" s="1">
        <v>39.236953129045631</v>
      </c>
      <c r="J6922" s="1">
        <v>2.8179116151687195E-2</v>
      </c>
      <c r="K6922" s="1">
        <v>1.9494143009568032</v>
      </c>
      <c r="L6922" s="1">
        <v>1.7717125705412431</v>
      </c>
      <c r="M6922" s="1">
        <v>0.14379383959514613</v>
      </c>
      <c r="N6922" s="1">
        <v>1.1356948281523067</v>
      </c>
      <c r="O6922" s="1">
        <v>0.12461333333333333</v>
      </c>
      <c r="P6922" s="1">
        <v>7.7766665002932889E-2</v>
      </c>
      <c r="Q6922" s="1">
        <v>4.9256461804008929</v>
      </c>
      <c r="R6922" s="2">
        <f t="shared" ref="R6922:R6985" si="435">C6922+D6922+E6922+F6922+G6922+H6922+I6922+Q6922</f>
        <v>152.82935466845649</v>
      </c>
      <c r="S6922" s="2">
        <f t="shared" si="434"/>
        <v>2.0553600821114233</v>
      </c>
      <c r="T6922" s="2">
        <f t="shared" ref="T6922:T6985" si="436">L6922+M6922+N6922+O6922</f>
        <v>3.1758145716220296</v>
      </c>
      <c r="U6922" s="2">
        <f t="shared" ref="U6922:U6985" si="437">R6922+S6922+T6922</f>
        <v>158.06052932218995</v>
      </c>
    </row>
    <row r="6923" spans="1:21" x14ac:dyDescent="0.25">
      <c r="A6923">
        <v>7511713</v>
      </c>
      <c r="B6923">
        <v>19</v>
      </c>
      <c r="C6923" s="1">
        <f>1.45923636634618*(10.3/7.3)</f>
        <v>2.058922544296665</v>
      </c>
      <c r="D6923" s="1">
        <f>3.0165234935111*(10.3/7.3)</f>
        <v>4.2561906826252445</v>
      </c>
      <c r="E6923" s="1">
        <f>10.3329717524057*(10.3/7.3)</f>
        <v>14.579398499969628</v>
      </c>
      <c r="F6923" s="1">
        <f>27.8883638713539*(38.9/42.5)</f>
        <v>25.526055402251004</v>
      </c>
      <c r="G6923" s="1">
        <v>1.436171021367006</v>
      </c>
      <c r="H6923" s="1">
        <v>6.512914172120932</v>
      </c>
      <c r="I6923" s="1">
        <v>19.70391096420056</v>
      </c>
      <c r="J6923" s="1">
        <v>2.6612034006192387E-2</v>
      </c>
      <c r="K6923" s="1">
        <v>1.642345083497559</v>
      </c>
      <c r="L6923" s="1">
        <v>1.3920450717797384</v>
      </c>
      <c r="M6923" s="1">
        <v>0.11519164847895534</v>
      </c>
      <c r="N6923" s="1">
        <v>1.1464548558934318</v>
      </c>
      <c r="O6923" s="1">
        <v>9.6929122807017556E-2</v>
      </c>
      <c r="P6923" s="1">
        <v>6.5142474783494261E-2</v>
      </c>
      <c r="Q6923" s="1">
        <v>2.2952504907691909</v>
      </c>
      <c r="R6923" s="2">
        <f t="shared" si="435"/>
        <v>76.368813777600238</v>
      </c>
      <c r="S6923" s="2">
        <f t="shared" si="434"/>
        <v>1.7340995922872458</v>
      </c>
      <c r="T6923" s="2">
        <f t="shared" si="436"/>
        <v>2.7506206989591431</v>
      </c>
      <c r="U6923" s="2">
        <f t="shared" si="437"/>
        <v>80.853534068846628</v>
      </c>
    </row>
    <row r="6924" spans="1:21" x14ac:dyDescent="0.25">
      <c r="A6924">
        <v>7511721</v>
      </c>
      <c r="B6924">
        <v>21</v>
      </c>
      <c r="C6924" s="1">
        <f>1.31563370284416*(10.3/7.3)</f>
        <v>1.8563050875746301</v>
      </c>
      <c r="D6924" s="1">
        <f>2.71234350126992*(10.3/7.3)</f>
        <v>3.8270052141205761</v>
      </c>
      <c r="E6924" s="1">
        <f>9.29772608884581*(10.3/7.3)</f>
        <v>13.118709413029023</v>
      </c>
      <c r="F6924" s="1">
        <f>24.7865789852516*(38.9/42.5)</f>
        <v>22.687009941795026</v>
      </c>
      <c r="G6924" s="1">
        <v>1.2661313971326336</v>
      </c>
      <c r="H6924" s="1">
        <v>5.4033297707924142</v>
      </c>
      <c r="I6924" s="1">
        <v>17.463438223861523</v>
      </c>
      <c r="J6924" s="1">
        <v>2.4612198250440726E-2</v>
      </c>
      <c r="K6924" s="1">
        <v>1.5856657084062353</v>
      </c>
      <c r="L6924" s="1">
        <v>1.331684613309903</v>
      </c>
      <c r="M6924" s="1">
        <v>0.10938060606901721</v>
      </c>
      <c r="N6924" s="1">
        <v>1.091148965673187</v>
      </c>
      <c r="O6924" s="1">
        <v>9.2459682539682536E-2</v>
      </c>
      <c r="P6924" s="1">
        <v>6.2975627656631047E-2</v>
      </c>
      <c r="Q6924" s="1">
        <v>2.0234976666503299</v>
      </c>
      <c r="R6924" s="2">
        <f t="shared" si="435"/>
        <v>67.645426714956145</v>
      </c>
      <c r="S6924" s="2">
        <f t="shared" si="434"/>
        <v>1.6732535343133073</v>
      </c>
      <c r="T6924" s="2">
        <f t="shared" si="436"/>
        <v>2.6246738675917896</v>
      </c>
      <c r="U6924" s="2">
        <f t="shared" si="437"/>
        <v>71.943354116861244</v>
      </c>
    </row>
    <row r="6925" spans="1:21" x14ac:dyDescent="0.25">
      <c r="A6925">
        <v>7511729</v>
      </c>
      <c r="B6925">
        <v>2</v>
      </c>
      <c r="C6925" s="1">
        <f>1.58440480730311*(10.3/7.3)</f>
        <v>2.2355300705783652</v>
      </c>
      <c r="D6925" s="1">
        <f>3.31493245733514*(10.3/7.3)</f>
        <v>4.6772334671988922</v>
      </c>
      <c r="E6925" s="1">
        <f>11.3566062435094*(10.3/7.3)</f>
        <v>16.02370469974613</v>
      </c>
      <c r="F6925" s="1">
        <f>30.3839813847252*(38.9/42.5)</f>
        <v>27.810279432136713</v>
      </c>
      <c r="G6925" s="1">
        <v>1.5573860692344283</v>
      </c>
      <c r="H6925" s="1">
        <v>9.64729500106667</v>
      </c>
      <c r="I6925" s="1">
        <v>21.373310188700525</v>
      </c>
      <c r="J6925" s="1">
        <v>2.702072152596658E-2</v>
      </c>
      <c r="K6925" s="1">
        <v>1.7440807916931127</v>
      </c>
      <c r="L6925" s="1">
        <v>1.4954869826059318</v>
      </c>
      <c r="M6925" s="1">
        <v>0.11849274814592652</v>
      </c>
      <c r="N6925" s="1">
        <v>1.0814928893783922</v>
      </c>
      <c r="O6925" s="1">
        <v>0.10224</v>
      </c>
      <c r="P6925" s="1">
        <v>6.8073952576737012E-2</v>
      </c>
      <c r="Q6925" s="1">
        <v>2.4889731700093627</v>
      </c>
      <c r="R6925" s="2">
        <f t="shared" si="435"/>
        <v>85.813712098671076</v>
      </c>
      <c r="S6925" s="2">
        <f t="shared" si="434"/>
        <v>1.8391754657958164</v>
      </c>
      <c r="T6925" s="2">
        <f t="shared" si="436"/>
        <v>2.7977126201302509</v>
      </c>
      <c r="U6925" s="2">
        <f t="shared" si="437"/>
        <v>90.45060018459715</v>
      </c>
    </row>
    <row r="6926" spans="1:21" x14ac:dyDescent="0.25">
      <c r="A6926">
        <v>7523253</v>
      </c>
      <c r="B6926">
        <v>66</v>
      </c>
      <c r="C6926" s="1">
        <f>0.325660278437574*(10.3/7.3)</f>
        <v>0.45949326957630277</v>
      </c>
      <c r="D6926" s="1">
        <f>0.625784413415751*(10.3/7.3)</f>
        <v>0.88295609016195042</v>
      </c>
      <c r="E6926" s="1">
        <f>2.13527397518069*(10.3/7.3)</f>
        <v>3.0127838279946766</v>
      </c>
      <c r="F6926" s="1">
        <f>6.41980384452843*(38.9/42.5)</f>
        <v>5.8760086953448489</v>
      </c>
      <c r="G6926" s="1">
        <v>0.35034561908005718</v>
      </c>
      <c r="H6926" s="1">
        <v>1.2958030523875119</v>
      </c>
      <c r="I6926" s="1">
        <v>4.7106007160035261</v>
      </c>
      <c r="J6926" s="1">
        <v>1.3903692893084227E-2</v>
      </c>
      <c r="K6926" s="1">
        <v>1.4269924537276504</v>
      </c>
      <c r="L6926" s="1">
        <v>0.99972327911307546</v>
      </c>
      <c r="M6926" s="1">
        <v>0.12083519952113642</v>
      </c>
      <c r="N6926" s="1">
        <v>0.50567241940114815</v>
      </c>
      <c r="O6926" s="1">
        <v>0.13222626262626266</v>
      </c>
      <c r="P6926" s="1">
        <v>7.3948359802534308E-2</v>
      </c>
      <c r="Q6926" s="1">
        <v>0.55991308985397303</v>
      </c>
      <c r="R6926" s="2">
        <f t="shared" si="435"/>
        <v>17.147904360402848</v>
      </c>
      <c r="S6926" s="2">
        <f t="shared" si="434"/>
        <v>1.514844506423269</v>
      </c>
      <c r="T6926" s="2">
        <f t="shared" si="436"/>
        <v>1.7584571606616226</v>
      </c>
      <c r="U6926" s="2">
        <f t="shared" si="437"/>
        <v>20.421206027487742</v>
      </c>
    </row>
    <row r="6927" spans="1:21" x14ac:dyDescent="0.25">
      <c r="A6927">
        <v>7523261</v>
      </c>
      <c r="B6927">
        <v>19</v>
      </c>
      <c r="C6927" s="1">
        <f>0.336657197802738*(10.3/7.3)</f>
        <v>0.47500947087235607</v>
      </c>
      <c r="D6927" s="1">
        <f>0.676531689945827*(10.3/7.3)</f>
        <v>0.95455841184137302</v>
      </c>
      <c r="E6927" s="1">
        <f>2.29743847574673*(10.3/7.3)</f>
        <v>3.2415912739988091</v>
      </c>
      <c r="F6927" s="1">
        <f>7.31817605005356*(38.9/42.5)</f>
        <v>6.698283490519608</v>
      </c>
      <c r="G6927" s="1">
        <v>0.41265069614796807</v>
      </c>
      <c r="H6927" s="1">
        <v>1.7935220934855785</v>
      </c>
      <c r="I6927" s="1">
        <v>5.3996517192575162</v>
      </c>
      <c r="J6927" s="1">
        <v>1.4756076055497187E-2</v>
      </c>
      <c r="K6927" s="1">
        <v>1.4694836604666432</v>
      </c>
      <c r="L6927" s="1">
        <v>1.0268991544886239</v>
      </c>
      <c r="M6927" s="1">
        <v>0.12426756107442261</v>
      </c>
      <c r="N6927" s="1">
        <v>0.54135342898236716</v>
      </c>
      <c r="O6927" s="1">
        <v>0.1362021052631579</v>
      </c>
      <c r="P6927" s="1">
        <v>7.54110553683211E-2</v>
      </c>
      <c r="Q6927" s="1">
        <v>0.65948741393510957</v>
      </c>
      <c r="R6927" s="2">
        <f t="shared" si="435"/>
        <v>19.63475457005832</v>
      </c>
      <c r="S6927" s="2">
        <f t="shared" si="434"/>
        <v>1.5596507918904616</v>
      </c>
      <c r="T6927" s="2">
        <f t="shared" si="436"/>
        <v>1.8287222498085716</v>
      </c>
      <c r="U6927" s="2">
        <f t="shared" si="437"/>
        <v>23.023127611757353</v>
      </c>
    </row>
    <row r="6928" spans="1:21" x14ac:dyDescent="0.25">
      <c r="A6928">
        <v>7523733</v>
      </c>
      <c r="B6928">
        <v>44</v>
      </c>
      <c r="C6928" s="1">
        <f>0.941235956073048*(10.3/7.3)</f>
        <v>1.3280452530893687</v>
      </c>
      <c r="D6928" s="1">
        <f>2.66201264364585*(10.3/7.3)</f>
        <v>3.7559904424044253</v>
      </c>
      <c r="E6928" s="1">
        <f>8.85388258860242*(10.3/7.3)</f>
        <v>12.492464474329442</v>
      </c>
      <c r="F6928" s="1">
        <f>33.9558031681628*(38.9/42.5)</f>
        <v>31.079546899800743</v>
      </c>
      <c r="G6928" s="1">
        <v>2.102639451442204</v>
      </c>
      <c r="H6928" s="1">
        <v>9.2809255981314411</v>
      </c>
      <c r="I6928" s="1">
        <v>25.06035888164655</v>
      </c>
      <c r="J6928" s="1">
        <v>2.2081632352564395E-2</v>
      </c>
      <c r="K6928" s="1">
        <v>1.6897177270753474</v>
      </c>
      <c r="L6928" s="1">
        <v>1.4800299683556863</v>
      </c>
      <c r="M6928" s="1">
        <v>0.13141989107898883</v>
      </c>
      <c r="N6928" s="1">
        <v>1.0763113473752233</v>
      </c>
      <c r="O6928" s="1">
        <v>0.11222545454545454</v>
      </c>
      <c r="P6928" s="1">
        <v>7.2536327070813436E-2</v>
      </c>
      <c r="Q6928" s="1">
        <v>3.3603826849532976</v>
      </c>
      <c r="R6928" s="2">
        <f t="shared" si="435"/>
        <v>88.460353685797458</v>
      </c>
      <c r="S6928" s="2">
        <f t="shared" si="434"/>
        <v>1.7843356864987252</v>
      </c>
      <c r="T6928" s="2">
        <f t="shared" si="436"/>
        <v>2.7999866613553528</v>
      </c>
      <c r="U6928" s="2">
        <f t="shared" si="437"/>
        <v>93.044676033651527</v>
      </c>
    </row>
    <row r="6929" spans="1:21" x14ac:dyDescent="0.25">
      <c r="A6929">
        <v>7523741</v>
      </c>
      <c r="B6929">
        <v>11</v>
      </c>
      <c r="C6929" s="1">
        <f>1.29691053951238*(10.3/7.3)</f>
        <v>1.8298874735585691</v>
      </c>
      <c r="D6929" s="1">
        <f>3.8214319358354*(10.3/7.3)</f>
        <v>5.3918834163157063</v>
      </c>
      <c r="E6929" s="1">
        <f>12.6600563275178*(10.3/7.3)</f>
        <v>17.862819201840196</v>
      </c>
      <c r="F6929" s="1">
        <f>50.6256995817687*(38.9/42.5)</f>
        <v>46.337405028960085</v>
      </c>
      <c r="G6929" s="1">
        <v>3.1850990952795555</v>
      </c>
      <c r="H6929" s="1">
        <v>12.911410481770696</v>
      </c>
      <c r="I6929" s="1">
        <v>37.553267977618205</v>
      </c>
      <c r="J6929" s="1">
        <v>2.6594086675468077E-2</v>
      </c>
      <c r="K6929" s="1">
        <v>1.9456674359476289</v>
      </c>
      <c r="L6929" s="1">
        <v>1.7711816805356926</v>
      </c>
      <c r="M6929" s="1">
        <v>0.15100506918145834</v>
      </c>
      <c r="N6929" s="1">
        <v>1.3425191762561755</v>
      </c>
      <c r="O6929" s="1">
        <v>0.13147151515151514</v>
      </c>
      <c r="P6929" s="1">
        <v>8.1541691801888555E-2</v>
      </c>
      <c r="Q6929" s="1">
        <v>5.0903410198531764</v>
      </c>
      <c r="R6929" s="2">
        <f t="shared" si="435"/>
        <v>130.16211369519618</v>
      </c>
      <c r="S6929" s="2">
        <f t="shared" si="434"/>
        <v>2.0538032144249856</v>
      </c>
      <c r="T6929" s="2">
        <f t="shared" si="436"/>
        <v>3.3961774411248418</v>
      </c>
      <c r="U6929" s="2">
        <f t="shared" si="437"/>
        <v>135.61209435074602</v>
      </c>
    </row>
    <row r="6930" spans="1:21" x14ac:dyDescent="0.25">
      <c r="A6930">
        <v>7523853</v>
      </c>
      <c r="B6930">
        <v>2</v>
      </c>
      <c r="C6930" s="1">
        <f>2.87447196940839*(10.3/7.3)</f>
        <v>4.0557618198501899</v>
      </c>
      <c r="D6930" s="1">
        <f>7.47966302861038*(10.3/7.3)</f>
        <v>10.553497149957108</v>
      </c>
      <c r="E6930" s="1">
        <f>25.3656203776601*(10.3/7.3)</f>
        <v>35.789847930123194</v>
      </c>
      <c r="F6930" s="1">
        <f>74.057641238662*(38.9/42.5)</f>
        <v>67.784523392563543</v>
      </c>
      <c r="G6930" s="1">
        <v>4.0514569737714101</v>
      </c>
      <c r="H6930" s="1">
        <v>12.977828773196755</v>
      </c>
      <c r="I6930" s="1">
        <v>51.64909646099261</v>
      </c>
      <c r="J6930" s="1">
        <v>3.6012070287512299E-2</v>
      </c>
      <c r="K6930" s="1">
        <v>2.385416010937047</v>
      </c>
      <c r="L6930" s="1">
        <v>2.245283673463935</v>
      </c>
      <c r="M6930" s="1">
        <v>0.17632753033685072</v>
      </c>
      <c r="N6930" s="1">
        <v>1.4053295948999867</v>
      </c>
      <c r="O6930" s="1">
        <v>0.15290666666666669</v>
      </c>
      <c r="P6930" s="1">
        <v>9.3236009924447472E-2</v>
      </c>
      <c r="Q6930" s="1">
        <v>6.4749312366209821</v>
      </c>
      <c r="R6930" s="2">
        <f t="shared" si="435"/>
        <v>193.33694373707579</v>
      </c>
      <c r="S6930" s="2">
        <f t="shared" si="434"/>
        <v>2.5146640911490068</v>
      </c>
      <c r="T6930" s="2">
        <f t="shared" si="436"/>
        <v>3.9798474653674387</v>
      </c>
      <c r="U6930" s="2">
        <f t="shared" si="437"/>
        <v>199.83145529359223</v>
      </c>
    </row>
    <row r="6931" spans="1:21" x14ac:dyDescent="0.25">
      <c r="A6931">
        <v>7523941</v>
      </c>
      <c r="B6931">
        <v>7</v>
      </c>
      <c r="C6931" s="1">
        <f>1.33291198074706*(10.3/7.3)</f>
        <v>1.8806840276294179</v>
      </c>
      <c r="D6931" s="1">
        <f>2.75308302673818*(10.3/7.3)</f>
        <v>3.8844870103292108</v>
      </c>
      <c r="E6931" s="1">
        <f>9.42983291465231*(10.3/7.3)</f>
        <v>13.305106715194359</v>
      </c>
      <c r="F6931" s="1">
        <f>25.4996364750234*(38.9/42.5)</f>
        <v>23.33966726772729</v>
      </c>
      <c r="G6931" s="1">
        <v>1.314669584747177</v>
      </c>
      <c r="H6931" s="1">
        <v>5.9206290152785801</v>
      </c>
      <c r="I6931" s="1">
        <v>18.02784163146708</v>
      </c>
      <c r="J6931" s="1">
        <v>2.5778068997066913E-2</v>
      </c>
      <c r="K6931" s="1">
        <v>1.5733173827932723</v>
      </c>
      <c r="L6931" s="1">
        <v>1.3210455615141234</v>
      </c>
      <c r="M6931" s="1">
        <v>0.11130627607079793</v>
      </c>
      <c r="N6931" s="1">
        <v>1.058708718457821</v>
      </c>
      <c r="O6931" s="1">
        <v>9.2297142857142869E-2</v>
      </c>
      <c r="P6931" s="1">
        <v>6.2775850785191406E-2</v>
      </c>
      <c r="Q6931" s="1">
        <v>2.1010701126096456</v>
      </c>
      <c r="R6931" s="2">
        <f t="shared" si="435"/>
        <v>69.774155364982761</v>
      </c>
      <c r="S6931" s="2">
        <f t="shared" si="434"/>
        <v>1.6618713025755305</v>
      </c>
      <c r="T6931" s="2">
        <f t="shared" si="436"/>
        <v>2.5833576988998854</v>
      </c>
      <c r="U6931" s="2">
        <f t="shared" si="437"/>
        <v>74.019384366458183</v>
      </c>
    </row>
    <row r="6932" spans="1:21" x14ac:dyDescent="0.25">
      <c r="A6932">
        <v>7523949</v>
      </c>
      <c r="B6932">
        <v>5</v>
      </c>
      <c r="C6932" s="1">
        <f>1.32631171652071*(10.3/7.3)</f>
        <v>1.8713713260497622</v>
      </c>
      <c r="D6932" s="1">
        <f>2.76225160395642*(10.3/7.3)</f>
        <v>3.8974234959933018</v>
      </c>
      <c r="E6932" s="1">
        <f>9.46165295974474*(10.3/7.3)</f>
        <v>13.350003491146696</v>
      </c>
      <c r="F6932" s="1">
        <f>25.4533067632892*(38.9/42.5)</f>
        <v>23.297261955104734</v>
      </c>
      <c r="G6932" s="1">
        <v>1.3087836908385504</v>
      </c>
      <c r="H6932" s="1">
        <v>5.3073558849879312</v>
      </c>
      <c r="I6932" s="1">
        <v>17.945124434446047</v>
      </c>
      <c r="J6932" s="1">
        <v>2.5547481181460364E-2</v>
      </c>
      <c r="K6932" s="1">
        <v>1.6157486028236565</v>
      </c>
      <c r="L6932" s="1">
        <v>1.3582217990756962</v>
      </c>
      <c r="M6932" s="1">
        <v>0.11154383138010668</v>
      </c>
      <c r="N6932" s="1">
        <v>1.0432166799748623</v>
      </c>
      <c r="O6932" s="1">
        <v>9.4687999999999994E-2</v>
      </c>
      <c r="P6932" s="1">
        <v>6.3890319782165639E-2</v>
      </c>
      <c r="Q6932" s="1">
        <v>2.0916634328470005</v>
      </c>
      <c r="R6932" s="2">
        <f t="shared" si="435"/>
        <v>69.068987711414024</v>
      </c>
      <c r="S6932" s="2">
        <f t="shared" si="434"/>
        <v>1.7051864037872826</v>
      </c>
      <c r="T6932" s="2">
        <f t="shared" si="436"/>
        <v>2.6076703104306653</v>
      </c>
      <c r="U6932" s="2">
        <f t="shared" si="437"/>
        <v>73.381844425631968</v>
      </c>
    </row>
    <row r="6933" spans="1:21" x14ac:dyDescent="0.25">
      <c r="A6933">
        <v>7523957</v>
      </c>
      <c r="B6933">
        <v>7</v>
      </c>
      <c r="C6933" s="1">
        <f>1.61706473545768*(10.3/7.3)</f>
        <v>2.2816118870156261</v>
      </c>
      <c r="D6933" s="1">
        <f>3.40021674056571*(10.3/7.3)</f>
        <v>4.7975660860036795</v>
      </c>
      <c r="E6933" s="1">
        <f>11.6451778986712*(10.3/7.3)</f>
        <v>16.430867446070394</v>
      </c>
      <c r="F6933" s="1">
        <f>31.2587986624087*(38.9/42.5)</f>
        <v>28.610994540416417</v>
      </c>
      <c r="G6933" s="1">
        <v>1.6062052674088458</v>
      </c>
      <c r="H6933" s="1">
        <v>8.9941927081671604</v>
      </c>
      <c r="I6933" s="1">
        <v>21.989406498004154</v>
      </c>
      <c r="J6933" s="1">
        <v>2.7285012502844746E-2</v>
      </c>
      <c r="K6933" s="1">
        <v>1.7465269095512643</v>
      </c>
      <c r="L6933" s="1">
        <v>1.4973659618246515</v>
      </c>
      <c r="M6933" s="1">
        <v>0.11934429630263745</v>
      </c>
      <c r="N6933" s="1">
        <v>1.0866099735325063</v>
      </c>
      <c r="O6933" s="1">
        <v>0.10318476190476189</v>
      </c>
      <c r="P6933" s="1">
        <v>6.8045691801162045E-2</v>
      </c>
      <c r="Q6933" s="1">
        <v>2.5669947196031804</v>
      </c>
      <c r="R6933" s="2">
        <f t="shared" si="435"/>
        <v>87.277839152689467</v>
      </c>
      <c r="S6933" s="2">
        <f t="shared" si="434"/>
        <v>1.8418576138552711</v>
      </c>
      <c r="T6933" s="2">
        <f t="shared" si="436"/>
        <v>2.8065049935645572</v>
      </c>
      <c r="U6933" s="2">
        <f t="shared" si="437"/>
        <v>91.926201760109294</v>
      </c>
    </row>
    <row r="6934" spans="1:21" x14ac:dyDescent="0.25">
      <c r="A6934">
        <v>7535489</v>
      </c>
      <c r="B6934">
        <v>55</v>
      </c>
      <c r="C6934" s="1">
        <f>0.342782239737879*(10.3/7.3)</f>
        <v>0.48365165332878879</v>
      </c>
      <c r="D6934" s="1">
        <f>0.681963927502968*(10.3/7.3)</f>
        <v>0.96222307579185895</v>
      </c>
      <c r="E6934" s="1">
        <f>2.319167949061*(10.3/7.3)</f>
        <v>3.2722506678531937</v>
      </c>
      <c r="F6934" s="1">
        <f>7.25228153310677*(38.9/42.5)</f>
        <v>6.6379706267730239</v>
      </c>
      <c r="G6934" s="1">
        <v>0.40493305831216564</v>
      </c>
      <c r="H6934" s="1">
        <v>1.5857084609375456</v>
      </c>
      <c r="I6934" s="1">
        <v>5.338025920219045</v>
      </c>
      <c r="J6934" s="1">
        <v>1.4599706891200081E-2</v>
      </c>
      <c r="K6934" s="1">
        <v>1.4659236561212816</v>
      </c>
      <c r="L6934" s="1">
        <v>1.034108138686326</v>
      </c>
      <c r="M6934" s="1">
        <v>0.1249259144727162</v>
      </c>
      <c r="N6934" s="1">
        <v>0.52550341430007608</v>
      </c>
      <c r="O6934" s="1">
        <v>0.13603103030303029</v>
      </c>
      <c r="P6934" s="1">
        <v>7.525763514473266E-2</v>
      </c>
      <c r="Q6934" s="1">
        <v>0.64715328953999141</v>
      </c>
      <c r="R6934" s="2">
        <f t="shared" si="435"/>
        <v>19.33191675275561</v>
      </c>
      <c r="S6934" s="2">
        <f t="shared" si="434"/>
        <v>1.5557809981572144</v>
      </c>
      <c r="T6934" s="2">
        <f t="shared" si="436"/>
        <v>1.8205684977621486</v>
      </c>
      <c r="U6934" s="2">
        <f t="shared" si="437"/>
        <v>22.708266248674974</v>
      </c>
    </row>
    <row r="6935" spans="1:21" x14ac:dyDescent="0.25">
      <c r="A6935">
        <v>7535961</v>
      </c>
      <c r="B6935">
        <v>45</v>
      </c>
      <c r="C6935" s="1">
        <f>0.858911855819835*(10.3/7.3)</f>
        <v>1.2118893308142882</v>
      </c>
      <c r="D6935" s="1">
        <f>2.54287551961198*(10.3/7.3)</f>
        <v>3.5878928564388257</v>
      </c>
      <c r="E6935" s="1">
        <f>8.4274401339667*(10.3/7.3)</f>
        <v>11.890771695870828</v>
      </c>
      <c r="F6935" s="1">
        <f>33.4950211103503*(38.9/42.5)</f>
        <v>30.657795792767669</v>
      </c>
      <c r="G6935" s="1">
        <v>2.1032669642792117</v>
      </c>
      <c r="H6935" s="1">
        <v>9.2246473355139056</v>
      </c>
      <c r="I6935" s="1">
        <v>24.806074246992381</v>
      </c>
      <c r="J6935" s="1">
        <v>2.1469668077356681E-2</v>
      </c>
      <c r="K6935" s="1">
        <v>1.6561850665840987</v>
      </c>
      <c r="L6935" s="1">
        <v>1.4458755095330695</v>
      </c>
      <c r="M6935" s="1">
        <v>0.12923749224405834</v>
      </c>
      <c r="N6935" s="1">
        <v>1.3233166884598435</v>
      </c>
      <c r="O6935" s="1">
        <v>0.11080296296296296</v>
      </c>
      <c r="P6935" s="1">
        <v>7.1310705462245438E-2</v>
      </c>
      <c r="Q6935" s="1">
        <v>3.3613855593503414</v>
      </c>
      <c r="R6935" s="2">
        <f t="shared" si="435"/>
        <v>86.843723782027453</v>
      </c>
      <c r="S6935" s="2">
        <f t="shared" si="434"/>
        <v>1.7489654401237009</v>
      </c>
      <c r="T6935" s="2">
        <f t="shared" si="436"/>
        <v>3.009232653199934</v>
      </c>
      <c r="U6935" s="2">
        <f t="shared" si="437"/>
        <v>91.601921875351081</v>
      </c>
    </row>
    <row r="6936" spans="1:21" x14ac:dyDescent="0.25">
      <c r="A6936">
        <v>7535969</v>
      </c>
      <c r="B6936">
        <v>51</v>
      </c>
      <c r="C6936" s="1">
        <f>0.906207576105006*(10.3/7.3)</f>
        <v>1.2786216484769259</v>
      </c>
      <c r="D6936" s="1">
        <f>2.47363387620801*(10.3/7.3)</f>
        <v>3.4901957431428117</v>
      </c>
      <c r="E6936" s="1">
        <f>8.25585142463532*(10.3/7.3)</f>
        <v>11.648667078595038</v>
      </c>
      <c r="F6936" s="1">
        <f>30.488323414186*(38.9/42.5)</f>
        <v>27.905783077925555</v>
      </c>
      <c r="G6936" s="1">
        <v>1.8594213282695586</v>
      </c>
      <c r="H6936" s="1">
        <v>8.5484786914457516</v>
      </c>
      <c r="I6936" s="1">
        <v>22.395568568478904</v>
      </c>
      <c r="J6936" s="1">
        <v>2.20300483068884E-2</v>
      </c>
      <c r="K6936" s="1">
        <v>1.680228521594862</v>
      </c>
      <c r="L6936" s="1">
        <v>1.4650484864990736</v>
      </c>
      <c r="M6936" s="1">
        <v>0.1299254387548584</v>
      </c>
      <c r="N6936" s="1">
        <v>1.0693662656382934</v>
      </c>
      <c r="O6936" s="1">
        <v>0.110558954248366</v>
      </c>
      <c r="P6936" s="1">
        <v>7.2076256202699918E-2</v>
      </c>
      <c r="Q6936" s="1">
        <v>2.9716779218919909</v>
      </c>
      <c r="R6936" s="2">
        <f t="shared" si="435"/>
        <v>80.098414058226538</v>
      </c>
      <c r="S6936" s="2">
        <f t="shared" si="434"/>
        <v>1.7743348261044505</v>
      </c>
      <c r="T6936" s="2">
        <f t="shared" si="436"/>
        <v>2.7748991451405915</v>
      </c>
      <c r="U6936" s="2">
        <f t="shared" si="437"/>
        <v>84.647648029471583</v>
      </c>
    </row>
    <row r="6937" spans="1:21" x14ac:dyDescent="0.25">
      <c r="A6937">
        <v>7536177</v>
      </c>
      <c r="B6937">
        <v>7</v>
      </c>
      <c r="C6937" s="1">
        <f>1.45012356959445*(10.3/7.3)</f>
        <v>2.0460647625784749</v>
      </c>
      <c r="D6937" s="1">
        <f>3.04176664960825*(10.3/7.3)</f>
        <v>4.2918077384883473</v>
      </c>
      <c r="E6937" s="1">
        <f>10.4129144081767*(10.3/7.3)</f>
        <v>14.6921943019479</v>
      </c>
      <c r="F6937" s="1">
        <f>28.2235163128523*(38.9/42.5)</f>
        <v>25.832818460469557</v>
      </c>
      <c r="G6937" s="1">
        <v>1.458904641205973</v>
      </c>
      <c r="H6937" s="1">
        <v>6.549737836726969</v>
      </c>
      <c r="I6937" s="1">
        <v>19.913736798592506</v>
      </c>
      <c r="J6937" s="1">
        <v>2.6852205719608477E-2</v>
      </c>
      <c r="K6937" s="1">
        <v>1.6707159654767756</v>
      </c>
      <c r="L6937" s="1">
        <v>1.4171152700468643</v>
      </c>
      <c r="M6937" s="1">
        <v>0.11481899254212802</v>
      </c>
      <c r="N6937" s="1">
        <v>1.0835046286495211</v>
      </c>
      <c r="O6937" s="1">
        <v>9.8491428571428563E-2</v>
      </c>
      <c r="P6937" s="1">
        <v>6.5796217409824609E-2</v>
      </c>
      <c r="Q6937" s="1">
        <v>2.3315827599182239</v>
      </c>
      <c r="R6937" s="2">
        <f t="shared" si="435"/>
        <v>77.116847299927954</v>
      </c>
      <c r="S6937" s="2">
        <f t="shared" si="434"/>
        <v>1.7633643886062087</v>
      </c>
      <c r="T6937" s="2">
        <f t="shared" si="436"/>
        <v>2.713930319809942</v>
      </c>
      <c r="U6937" s="2">
        <f t="shared" si="437"/>
        <v>81.594142008344107</v>
      </c>
    </row>
    <row r="6938" spans="1:21" x14ac:dyDescent="0.25">
      <c r="A6938">
        <v>7536185</v>
      </c>
      <c r="B6938">
        <v>1</v>
      </c>
      <c r="C6938" s="1">
        <f>1.28170303416325*(10.3/7.3)</f>
        <v>1.8084303084769173</v>
      </c>
      <c r="D6938" s="1">
        <f>2.64663613526079*(10.3/7.3)</f>
        <v>3.7342948209844034</v>
      </c>
      <c r="E6938" s="1">
        <f>9.07067744742023*(10.3/7.3)</f>
        <v>12.798353110743609</v>
      </c>
      <c r="F6938" s="1">
        <f>24.2530497737048*(38.9/42.5)</f>
        <v>22.198673792873297</v>
      </c>
      <c r="G6938" s="1">
        <v>1.2414024678637503</v>
      </c>
      <c r="H6938" s="1">
        <v>4.9815245426817105</v>
      </c>
      <c r="I6938" s="1">
        <v>17.096262939687577</v>
      </c>
      <c r="J6938" s="1">
        <v>2.464452742192429E-2</v>
      </c>
      <c r="K6938" s="1">
        <v>1.5641369138650409</v>
      </c>
      <c r="L6938" s="1">
        <v>1.3073387927392655</v>
      </c>
      <c r="M6938" s="1">
        <v>0.10838905209693127</v>
      </c>
      <c r="N6938" s="1">
        <v>1.055743848033593</v>
      </c>
      <c r="O6938" s="1">
        <v>9.1359999999999997E-2</v>
      </c>
      <c r="P6938" s="1">
        <v>6.2278835772406616E-2</v>
      </c>
      <c r="Q6938" s="1">
        <v>1.983976546814215</v>
      </c>
      <c r="R6938" s="2">
        <f t="shared" si="435"/>
        <v>65.842918530125488</v>
      </c>
      <c r="S6938" s="2">
        <f t="shared" si="434"/>
        <v>1.6510602770593719</v>
      </c>
      <c r="T6938" s="2">
        <f t="shared" si="436"/>
        <v>2.5628316928697896</v>
      </c>
      <c r="U6938" s="2">
        <f t="shared" si="437"/>
        <v>70.056810500054652</v>
      </c>
    </row>
    <row r="6939" spans="1:21" x14ac:dyDescent="0.25">
      <c r="A6939">
        <v>7547717</v>
      </c>
      <c r="B6939">
        <v>54</v>
      </c>
      <c r="C6939" s="1">
        <f>0.325382278802752*(10.3/7.3)</f>
        <v>0.45910102351621207</v>
      </c>
      <c r="D6939" s="1">
        <f>0.629336718001195*(10.3/7.3)</f>
        <v>0.88796824594689217</v>
      </c>
      <c r="E6939" s="1">
        <f>2.14662566137707*(10.3/7.3)</f>
        <v>3.0288005907101154</v>
      </c>
      <c r="F6939" s="1">
        <f>6.47213672898258*(38.9/42.5)</f>
        <v>5.923908676645234</v>
      </c>
      <c r="G6939" s="1">
        <v>0.35389646748244236</v>
      </c>
      <c r="H6939" s="1">
        <v>1.3059939764385033</v>
      </c>
      <c r="I6939" s="1">
        <v>4.7470036824033155</v>
      </c>
      <c r="J6939" s="1">
        <v>1.4067006233652458E-2</v>
      </c>
      <c r="K6939" s="1">
        <v>1.4412433686784794</v>
      </c>
      <c r="L6939" s="1">
        <v>1.0178003951889618</v>
      </c>
      <c r="M6939" s="1">
        <v>0.12185821848058075</v>
      </c>
      <c r="N6939" s="1">
        <v>0.51112468098731634</v>
      </c>
      <c r="O6939" s="1">
        <v>0.13320691358024689</v>
      </c>
      <c r="P6939" s="1">
        <v>7.4681486745977535E-2</v>
      </c>
      <c r="Q6939" s="1">
        <v>0.56558796172993153</v>
      </c>
      <c r="R6939" s="2">
        <f t="shared" si="435"/>
        <v>17.272260624872651</v>
      </c>
      <c r="S6939" s="2">
        <f t="shared" si="434"/>
        <v>1.5299918616581094</v>
      </c>
      <c r="T6939" s="2">
        <f t="shared" si="436"/>
        <v>1.783990208237106</v>
      </c>
      <c r="U6939" s="2">
        <f t="shared" si="437"/>
        <v>20.586242694767868</v>
      </c>
    </row>
    <row r="6940" spans="1:21" x14ac:dyDescent="0.25">
      <c r="A6940">
        <v>7547725</v>
      </c>
      <c r="B6940">
        <v>18</v>
      </c>
      <c r="C6940" s="1">
        <f>0.509401944456286*(10.3/7.3)</f>
        <v>0.71874520930133456</v>
      </c>
      <c r="D6940" s="1">
        <f>1.13325530113967*(10.3/7.3)</f>
        <v>1.5989766577724178</v>
      </c>
      <c r="E6940" s="1">
        <f>3.81948563430874*(10.3/7.3)</f>
        <v>5.3891372648465765</v>
      </c>
      <c r="F6940" s="1">
        <f>13.112848382278*(38.9/42.5)</f>
        <v>12.00211298989683</v>
      </c>
      <c r="G6940" s="1">
        <v>0.76968622039968748</v>
      </c>
      <c r="H6940" s="1">
        <v>3.5497887801916996</v>
      </c>
      <c r="I6940" s="1">
        <v>9.6959285811689391</v>
      </c>
      <c r="J6940" s="1">
        <v>2.1040633030793492E-2</v>
      </c>
      <c r="K6940" s="1">
        <v>1.9085907728373526</v>
      </c>
      <c r="L6940" s="1">
        <v>1.4971514489308506</v>
      </c>
      <c r="M6940" s="1">
        <v>0.1760581686807538</v>
      </c>
      <c r="N6940" s="1">
        <v>0.71382962453662069</v>
      </c>
      <c r="O6940" s="1">
        <v>0.19498370370370371</v>
      </c>
      <c r="P6940" s="1">
        <v>9.342374118784777E-2</v>
      </c>
      <c r="Q6940" s="1">
        <v>1.2300921330588626</v>
      </c>
      <c r="R6940" s="2">
        <f t="shared" si="435"/>
        <v>34.954467836636347</v>
      </c>
      <c r="S6940" s="2">
        <f t="shared" si="434"/>
        <v>2.0230551470559939</v>
      </c>
      <c r="T6940" s="2">
        <f t="shared" si="436"/>
        <v>2.582022945851929</v>
      </c>
      <c r="U6940" s="2">
        <f t="shared" si="437"/>
        <v>39.559545929544271</v>
      </c>
    </row>
    <row r="6941" spans="1:21" x14ac:dyDescent="0.25">
      <c r="A6941">
        <v>7548189</v>
      </c>
      <c r="B6941">
        <v>27</v>
      </c>
      <c r="C6941" s="1">
        <f>0.825821182452031*(10.3/7.3)</f>
        <v>1.1651997505830027</v>
      </c>
      <c r="D6941" s="1">
        <f>2.41378234778763*(10.3/7.3)</f>
        <v>3.4057476961934987</v>
      </c>
      <c r="E6941" s="1">
        <f>8.01742059930619*(10.3/7.3)</f>
        <v>11.312250982582702</v>
      </c>
      <c r="F6941" s="1">
        <f>31.0369529961591*(38.9/42.5)</f>
        <v>28.407940507072666</v>
      </c>
      <c r="G6941" s="1">
        <v>1.9303949448259361</v>
      </c>
      <c r="H6941" s="1">
        <v>9.4080534312862731</v>
      </c>
      <c r="I6941" s="1">
        <v>22.886058343135442</v>
      </c>
      <c r="J6941" s="1">
        <v>2.1408063045029655E-2</v>
      </c>
      <c r="K6941" s="1">
        <v>1.6492708254047708</v>
      </c>
      <c r="L6941" s="1">
        <v>1.4483922415070092</v>
      </c>
      <c r="M6941" s="1">
        <v>0.12882310316037623</v>
      </c>
      <c r="N6941" s="1">
        <v>1.2734867941944168</v>
      </c>
      <c r="O6941" s="1">
        <v>0.11080098765432102</v>
      </c>
      <c r="P6941" s="1">
        <v>7.1278576481313874E-2</v>
      </c>
      <c r="Q6941" s="1">
        <v>3.0851060762058364</v>
      </c>
      <c r="R6941" s="2">
        <f t="shared" si="435"/>
        <v>81.600751731885353</v>
      </c>
      <c r="S6941" s="2">
        <f t="shared" si="434"/>
        <v>1.7419574649311145</v>
      </c>
      <c r="T6941" s="2">
        <f t="shared" si="436"/>
        <v>2.9615031265161234</v>
      </c>
      <c r="U6941" s="2">
        <f t="shared" si="437"/>
        <v>86.304212323332592</v>
      </c>
    </row>
    <row r="6942" spans="1:21" x14ac:dyDescent="0.25">
      <c r="A6942">
        <v>7548197</v>
      </c>
      <c r="B6942">
        <v>59</v>
      </c>
      <c r="C6942" s="1">
        <f>0.856820186267407*(10.3/7.3)</f>
        <v>1.2089380710348343</v>
      </c>
      <c r="D6942" s="1">
        <f>2.40037035218058*(10.3/7.3)</f>
        <v>3.3868239215698535</v>
      </c>
      <c r="E6942" s="1">
        <f>8.00101159773845*(10.3/7.3)</f>
        <v>11.289098555713153</v>
      </c>
      <c r="F6942" s="1">
        <f>29.8586553737062*(38.9/42.5)</f>
        <v>27.329451624404072</v>
      </c>
      <c r="G6942" s="1">
        <v>1.8299243122744369</v>
      </c>
      <c r="H6942" s="1">
        <v>9.5233504209162838</v>
      </c>
      <c r="I6942" s="1">
        <v>21.929348193698264</v>
      </c>
      <c r="J6942" s="1">
        <v>2.1535625523330465E-2</v>
      </c>
      <c r="K6942" s="1">
        <v>1.652969249586397</v>
      </c>
      <c r="L6942" s="1">
        <v>1.4413801092716556</v>
      </c>
      <c r="M6942" s="1">
        <v>0.12850870543899209</v>
      </c>
      <c r="N6942" s="1">
        <v>1.1337332168476126</v>
      </c>
      <c r="O6942" s="1">
        <v>0.11002937853107345</v>
      </c>
      <c r="P6942" s="1">
        <v>7.1163071984551962E-2</v>
      </c>
      <c r="Q6942" s="1">
        <v>2.9245365721280998</v>
      </c>
      <c r="R6942" s="2">
        <f t="shared" si="435"/>
        <v>79.421471671738999</v>
      </c>
      <c r="S6942" s="2">
        <f t="shared" si="434"/>
        <v>1.7456679470942795</v>
      </c>
      <c r="T6942" s="2">
        <f t="shared" si="436"/>
        <v>2.8136514100893337</v>
      </c>
      <c r="U6942" s="2">
        <f t="shared" si="437"/>
        <v>83.98079102892261</v>
      </c>
    </row>
    <row r="6943" spans="1:21" x14ac:dyDescent="0.25">
      <c r="A6943">
        <v>7548413</v>
      </c>
      <c r="B6943">
        <v>7</v>
      </c>
      <c r="C6943" s="1">
        <f>1.4144480034744*(10.3/7.3)</f>
        <v>1.9957280049022326</v>
      </c>
      <c r="D6943" s="1">
        <f>2.98229711478948*(10.3/7.3)</f>
        <v>4.2078986688125477</v>
      </c>
      <c r="E6943" s="1">
        <f>10.2075286222289*(10.3/7.3)</f>
        <v>14.402403398487284</v>
      </c>
      <c r="F6943" s="1">
        <f>27.685411502465*(38.9/42.5)</f>
        <v>25.340294292844412</v>
      </c>
      <c r="G6943" s="1">
        <v>1.4322341844325079</v>
      </c>
      <c r="H6943" s="1">
        <v>5.6830936479124849</v>
      </c>
      <c r="I6943" s="1">
        <v>19.520646140533671</v>
      </c>
      <c r="J6943" s="1">
        <v>2.6260581881459178E-2</v>
      </c>
      <c r="K6943" s="1">
        <v>1.662112073597608</v>
      </c>
      <c r="L6943" s="1">
        <v>1.4034827601310398</v>
      </c>
      <c r="M6943" s="1">
        <v>0.1144914985338563</v>
      </c>
      <c r="N6943" s="1">
        <v>1.0619514736468323</v>
      </c>
      <c r="O6943" s="1">
        <v>9.8041904761904775E-2</v>
      </c>
      <c r="P6943" s="1">
        <v>6.5355235434308726E-2</v>
      </c>
      <c r="Q6943" s="1">
        <v>2.2889587422437363</v>
      </c>
      <c r="R6943" s="2">
        <f t="shared" si="435"/>
        <v>74.871257080168888</v>
      </c>
      <c r="S6943" s="2">
        <f t="shared" si="434"/>
        <v>1.753727890913376</v>
      </c>
      <c r="T6943" s="2">
        <f t="shared" si="436"/>
        <v>2.6779676370736332</v>
      </c>
      <c r="U6943" s="2">
        <f t="shared" si="437"/>
        <v>79.302952608155906</v>
      </c>
    </row>
    <row r="6944" spans="1:21" x14ac:dyDescent="0.25">
      <c r="A6944">
        <v>7559953</v>
      </c>
      <c r="B6944">
        <v>62</v>
      </c>
      <c r="C6944" s="1">
        <f>0.630282008861189*(10.3/7.3)</f>
        <v>0.8893020125027733</v>
      </c>
      <c r="D6944" s="1">
        <f>1.38838887708534*(10.3/7.3)</f>
        <v>1.9589596484902814</v>
      </c>
      <c r="E6944" s="1">
        <f>4.69187050239754*(10.3/7.3)</f>
        <v>6.6200364622869383</v>
      </c>
      <c r="F6944" s="1">
        <f>15.5218690893003*(38.9/42.5)</f>
        <v>14.207075472324313</v>
      </c>
      <c r="G6944" s="1">
        <v>0.89571028176920764</v>
      </c>
      <c r="H6944" s="1">
        <v>3.0017388491081758</v>
      </c>
      <c r="I6944" s="1">
        <v>11.402233184024965</v>
      </c>
      <c r="J6944" s="1">
        <v>2.4522706410829959E-2</v>
      </c>
      <c r="K6944" s="1">
        <v>2.1998624979160293</v>
      </c>
      <c r="L6944" s="1">
        <v>1.7973870817755628</v>
      </c>
      <c r="M6944" s="1">
        <v>0.2092705481464579</v>
      </c>
      <c r="N6944" s="1">
        <v>0.83248002290228862</v>
      </c>
      <c r="O6944" s="1">
        <v>0.23022451612903222</v>
      </c>
      <c r="P6944" s="1">
        <v>0.10580114819498325</v>
      </c>
      <c r="Q6944" s="1">
        <v>1.4315004503160873</v>
      </c>
      <c r="R6944" s="2">
        <f t="shared" si="435"/>
        <v>40.406556360822741</v>
      </c>
      <c r="S6944" s="2">
        <f t="shared" si="434"/>
        <v>2.3301863525218427</v>
      </c>
      <c r="T6944" s="2">
        <f t="shared" si="436"/>
        <v>3.0693621689533415</v>
      </c>
      <c r="U6944" s="2">
        <f t="shared" si="437"/>
        <v>45.806104882297923</v>
      </c>
    </row>
    <row r="6945" spans="1:21" x14ac:dyDescent="0.25">
      <c r="A6945">
        <v>7560001</v>
      </c>
      <c r="B6945">
        <v>3</v>
      </c>
      <c r="C6945" s="1">
        <f>0.282242850665803*(10.3/7.3)</f>
        <v>0.39823306326818714</v>
      </c>
      <c r="D6945" s="1">
        <f>0.67108998680324*(10.3/7.3)</f>
        <v>0.94688039233881871</v>
      </c>
      <c r="E6945" s="1">
        <f>2.24106051160926*(10.3/7.3)</f>
        <v>3.1620442835034694</v>
      </c>
      <c r="F6945" s="1">
        <f>8.57600185833462*(38.9/42.5)</f>
        <v>7.8495640538639186</v>
      </c>
      <c r="G6945" s="1">
        <v>0.52728310526405275</v>
      </c>
      <c r="H6945" s="1">
        <v>3.3849509653812269</v>
      </c>
      <c r="I6945" s="1">
        <v>6.4308605860008088</v>
      </c>
      <c r="J6945" s="1">
        <v>1.3318002192656055E-2</v>
      </c>
      <c r="K6945" s="1">
        <v>1.3093519721189288</v>
      </c>
      <c r="L6945" s="1">
        <v>0.90533607028384155</v>
      </c>
      <c r="M6945" s="1">
        <v>0.11895905931850419</v>
      </c>
      <c r="N6945" s="1">
        <v>0.49095002911573182</v>
      </c>
      <c r="O6945" s="1">
        <v>0.11939555555555555</v>
      </c>
      <c r="P6945" s="1">
        <v>6.4153645322897787E-2</v>
      </c>
      <c r="Q6945" s="1">
        <v>0.84268989425761942</v>
      </c>
      <c r="R6945" s="2">
        <f t="shared" si="435"/>
        <v>23.542506343878102</v>
      </c>
      <c r="S6945" s="2">
        <f t="shared" si="434"/>
        <v>1.3868236196344825</v>
      </c>
      <c r="T6945" s="2">
        <f t="shared" si="436"/>
        <v>1.634640714273633</v>
      </c>
      <c r="U6945" s="2">
        <f t="shared" si="437"/>
        <v>26.563970677786219</v>
      </c>
    </row>
    <row r="6946" spans="1:21" x14ac:dyDescent="0.25">
      <c r="A6946">
        <v>7560417</v>
      </c>
      <c r="B6946">
        <v>48</v>
      </c>
      <c r="C6946" s="1">
        <f>0.823684051877779*(10.3/7.3)</f>
        <v>1.1621843471700175</v>
      </c>
      <c r="D6946" s="1">
        <f>2.42154783413826*(10.3/7.3)</f>
        <v>3.4167044783046725</v>
      </c>
      <c r="E6946" s="1">
        <f>8.04352068541647*(10.3/7.3)</f>
        <v>11.349077131478039</v>
      </c>
      <c r="F6946" s="1">
        <f>31.073685747583*(38.9/42.5)</f>
        <v>28.441561778376006</v>
      </c>
      <c r="G6946" s="1">
        <v>1.9316218823461924</v>
      </c>
      <c r="H6946" s="1">
        <v>10.116797250966252</v>
      </c>
      <c r="I6946" s="1">
        <v>22.892168920256491</v>
      </c>
      <c r="J6946" s="1">
        <v>2.0827588842149813E-2</v>
      </c>
      <c r="K6946" s="1">
        <v>1.6126880444241489</v>
      </c>
      <c r="L6946" s="1">
        <v>1.4150266648212648</v>
      </c>
      <c r="M6946" s="1">
        <v>0.126735199906053</v>
      </c>
      <c r="N6946" s="1">
        <v>1.0011388812393023</v>
      </c>
      <c r="O6946" s="1">
        <v>0.10875222222222225</v>
      </c>
      <c r="P6946" s="1">
        <v>7.0117843252334125E-2</v>
      </c>
      <c r="Q6946" s="1">
        <v>3.0870669352564746</v>
      </c>
      <c r="R6946" s="2">
        <f t="shared" si="435"/>
        <v>82.397182724154135</v>
      </c>
      <c r="S6946" s="2">
        <f t="shared" si="434"/>
        <v>1.7036334765186329</v>
      </c>
      <c r="T6946" s="2">
        <f t="shared" si="436"/>
        <v>2.6516529681888428</v>
      </c>
      <c r="U6946" s="2">
        <f t="shared" si="437"/>
        <v>86.752469168861609</v>
      </c>
    </row>
    <row r="6947" spans="1:21" x14ac:dyDescent="0.25">
      <c r="A6947">
        <v>7560425</v>
      </c>
      <c r="B6947">
        <v>66</v>
      </c>
      <c r="C6947" s="1">
        <f>0.861535351650039*(10.3/7.3)</f>
        <v>1.2155909756158081</v>
      </c>
      <c r="D6947" s="1">
        <f>2.536399014713*(10.3/7.3)</f>
        <v>3.5787547741840955</v>
      </c>
      <c r="E6947" s="1">
        <f>8.42508938619405*(10.3/7.3)</f>
        <v>11.887454887369687</v>
      </c>
      <c r="F6947" s="1">
        <f>32.5316634668845*(38.9/42.5)</f>
        <v>29.776040208513134</v>
      </c>
      <c r="G6947" s="1">
        <v>2.0219894207584606</v>
      </c>
      <c r="H6947" s="1">
        <v>9.8689946772750279</v>
      </c>
      <c r="I6947" s="1">
        <v>23.96097353010046</v>
      </c>
      <c r="J6947" s="1">
        <v>2.1517671998650467E-2</v>
      </c>
      <c r="K6947" s="1">
        <v>1.6548780681358397</v>
      </c>
      <c r="L6947" s="1">
        <v>1.4520923472245111</v>
      </c>
      <c r="M6947" s="1">
        <v>0.12898783169094818</v>
      </c>
      <c r="N6947" s="1">
        <v>1.7898700892724007</v>
      </c>
      <c r="O6947" s="1">
        <v>0.1109341414141414</v>
      </c>
      <c r="P6947" s="1">
        <v>7.1145257138383253E-2</v>
      </c>
      <c r="Q6947" s="1">
        <v>3.2314899418514242</v>
      </c>
      <c r="R6947" s="2">
        <f t="shared" si="435"/>
        <v>85.541288415668092</v>
      </c>
      <c r="S6947" s="2">
        <f t="shared" si="434"/>
        <v>1.7475409972728735</v>
      </c>
      <c r="T6947" s="2">
        <f t="shared" si="436"/>
        <v>3.4818844096020016</v>
      </c>
      <c r="U6947" s="2">
        <f t="shared" si="437"/>
        <v>90.770713822542973</v>
      </c>
    </row>
    <row r="6948" spans="1:21" x14ac:dyDescent="0.25">
      <c r="A6948">
        <v>7560433</v>
      </c>
      <c r="B6948">
        <v>40</v>
      </c>
      <c r="C6948" s="1">
        <f>0.975277232630157*(10.3/7.3)</f>
        <v>1.3760760953548796</v>
      </c>
      <c r="D6948" s="1">
        <f>2.76486677997959*(10.3/7.3)</f>
        <v>3.9011134018890044</v>
      </c>
      <c r="E6948" s="1">
        <f>9.22188807235524*(10.3/7.3)</f>
        <v>13.01170508839164</v>
      </c>
      <c r="F6948" s="1">
        <f>33.9883828400704*(38.9/42.5)</f>
        <v>31.109366881852697</v>
      </c>
      <c r="G6948" s="1">
        <v>2.0741185052959517</v>
      </c>
      <c r="H6948" s="1">
        <v>12.655524471193848</v>
      </c>
      <c r="I6948" s="1">
        <v>24.86876097479735</v>
      </c>
      <c r="J6948" s="1">
        <v>2.3589454807691944E-2</v>
      </c>
      <c r="K6948" s="1">
        <v>1.7591172925754737</v>
      </c>
      <c r="L6948" s="1">
        <v>1.5630636017409483</v>
      </c>
      <c r="M6948" s="1">
        <v>0.13613505182304356</v>
      </c>
      <c r="N6948" s="1">
        <v>1.1765414625956869</v>
      </c>
      <c r="O6948" s="1">
        <v>0.11817333333333332</v>
      </c>
      <c r="P6948" s="1">
        <v>7.4956328711873438E-2</v>
      </c>
      <c r="Q6948" s="1">
        <v>3.3148012641716158</v>
      </c>
      <c r="R6948" s="2">
        <f t="shared" si="435"/>
        <v>92.311466682947</v>
      </c>
      <c r="S6948" s="2">
        <f t="shared" si="434"/>
        <v>1.8576630760950392</v>
      </c>
      <c r="T6948" s="2">
        <f t="shared" si="436"/>
        <v>2.9939134494930122</v>
      </c>
      <c r="U6948" s="2">
        <f t="shared" si="437"/>
        <v>97.163043208535044</v>
      </c>
    </row>
    <row r="6949" spans="1:21" x14ac:dyDescent="0.25">
      <c r="A6949">
        <v>7560641</v>
      </c>
      <c r="B6949">
        <v>23</v>
      </c>
      <c r="C6949" s="1">
        <f>1.52570005839327*(10.3/7.3)</f>
        <v>2.1527000823904978</v>
      </c>
      <c r="D6949" s="1">
        <f>3.27725240188588*(10.3/7.3)</f>
        <v>4.6240684574554187</v>
      </c>
      <c r="E6949" s="1">
        <f>11.2044196390975*(10.3/7.3)</f>
        <v>15.808975655164939</v>
      </c>
      <c r="F6949" s="1">
        <f>30.7487371828478*(38.9/42.5)</f>
        <v>28.144138268536</v>
      </c>
      <c r="G6949" s="1">
        <v>1.6044792183572896</v>
      </c>
      <c r="H6949" s="1">
        <v>7.5687510012001802</v>
      </c>
      <c r="I6949" s="1">
        <v>21.681761144458267</v>
      </c>
      <c r="J6949" s="1">
        <v>2.7496329321014795E-2</v>
      </c>
      <c r="K6949" s="1">
        <v>1.7242885336935307</v>
      </c>
      <c r="L6949" s="1">
        <v>1.4687999009431008</v>
      </c>
      <c r="M6949" s="1">
        <v>0.11917742492595731</v>
      </c>
      <c r="N6949" s="1">
        <v>1.1062731500021024</v>
      </c>
      <c r="O6949" s="1">
        <v>0.1018968115942029</v>
      </c>
      <c r="P6949" s="1">
        <v>6.7055346474776914E-2</v>
      </c>
      <c r="Q6949" s="1">
        <v>2.564236193721698</v>
      </c>
      <c r="R6949" s="2">
        <f t="shared" si="435"/>
        <v>84.149110021284287</v>
      </c>
      <c r="S6949" s="2">
        <f t="shared" si="434"/>
        <v>1.8188402094893226</v>
      </c>
      <c r="T6949" s="2">
        <f t="shared" si="436"/>
        <v>2.7961472874653635</v>
      </c>
      <c r="U6949" s="2">
        <f t="shared" si="437"/>
        <v>88.76409751823897</v>
      </c>
    </row>
    <row r="6950" spans="1:21" x14ac:dyDescent="0.25">
      <c r="A6950">
        <v>7560649</v>
      </c>
      <c r="B6950">
        <v>25</v>
      </c>
      <c r="C6950" s="1">
        <f>1.57750639320998*(10.3/7.3)</f>
        <v>2.2257966917894212</v>
      </c>
      <c r="D6950" s="1">
        <f>3.36219951147633*(10.3/7.3)</f>
        <v>4.7439253381104445</v>
      </c>
      <c r="E6950" s="1">
        <f>11.5007691331545*(10.3/7.3)</f>
        <v>16.227112612533034</v>
      </c>
      <c r="F6950" s="1">
        <f>31.3817594471463*(38.9/42.5)</f>
        <v>28.723539823387995</v>
      </c>
      <c r="G6950" s="1">
        <v>1.6308401858722439</v>
      </c>
      <c r="H6950" s="1">
        <v>6.4287531562818376</v>
      </c>
      <c r="I6950" s="1">
        <v>22.122718307334914</v>
      </c>
      <c r="J6950" s="1">
        <v>2.7852728918681957E-2</v>
      </c>
      <c r="K6950" s="1">
        <v>1.7374327340544893</v>
      </c>
      <c r="L6950" s="1">
        <v>1.4828275103105326</v>
      </c>
      <c r="M6950" s="1">
        <v>0.11906512247849614</v>
      </c>
      <c r="N6950" s="1">
        <v>1.117608938010088</v>
      </c>
      <c r="O6950" s="1">
        <v>0.10252159999999996</v>
      </c>
      <c r="P6950" s="1">
        <v>6.7407792058713181E-2</v>
      </c>
      <c r="Q6950" s="1">
        <v>2.6063655938597527</v>
      </c>
      <c r="R6950" s="2">
        <f t="shared" si="435"/>
        <v>84.709051709169643</v>
      </c>
      <c r="S6950" s="2">
        <f t="shared" si="434"/>
        <v>1.8326932550318846</v>
      </c>
      <c r="T6950" s="2">
        <f t="shared" si="436"/>
        <v>2.8220231707991164</v>
      </c>
      <c r="U6950" s="2">
        <f t="shared" si="437"/>
        <v>89.36376813500064</v>
      </c>
    </row>
    <row r="6951" spans="1:21" x14ac:dyDescent="0.25">
      <c r="A6951">
        <v>7572181</v>
      </c>
      <c r="B6951">
        <v>41</v>
      </c>
      <c r="C6951" s="1">
        <f>0.315784201826878*(10.3/7.3)</f>
        <v>0.44555853134477252</v>
      </c>
      <c r="D6951" s="1">
        <f>0.608501511900096*(10.3/7.3)</f>
        <v>0.85857062637958759</v>
      </c>
      <c r="E6951" s="1">
        <f>2.07671197963219*(10.3/7.3)</f>
        <v>2.9301552589330964</v>
      </c>
      <c r="F6951" s="1">
        <f>6.21375450046281*(38.9/42.5)</f>
        <v>5.6874129427765521</v>
      </c>
      <c r="G6951" s="1">
        <v>0.33828001350930226</v>
      </c>
      <c r="H6951" s="1">
        <v>1.2514725513859086</v>
      </c>
      <c r="I6951" s="1">
        <v>4.5526159568473181</v>
      </c>
      <c r="J6951" s="1">
        <v>1.4012714690728116E-2</v>
      </c>
      <c r="K6951" s="1">
        <v>1.4362595847739346</v>
      </c>
      <c r="L6951" s="1">
        <v>1.017440427856948</v>
      </c>
      <c r="M6951" s="1">
        <v>0.12182137600498186</v>
      </c>
      <c r="N6951" s="1">
        <v>0.50986794194611096</v>
      </c>
      <c r="O6951" s="1">
        <v>0.1321339837398374</v>
      </c>
      <c r="P6951" s="1">
        <v>7.4482579940000695E-2</v>
      </c>
      <c r="Q6951" s="1">
        <v>0.54063015857651098</v>
      </c>
      <c r="R6951" s="2">
        <f t="shared" si="435"/>
        <v>16.604696039753051</v>
      </c>
      <c r="S6951" s="2">
        <f t="shared" si="434"/>
        <v>1.5247548794046633</v>
      </c>
      <c r="T6951" s="2">
        <f t="shared" si="436"/>
        <v>1.7812637295478781</v>
      </c>
      <c r="U6951" s="2">
        <f t="shared" si="437"/>
        <v>19.910714648705593</v>
      </c>
    </row>
    <row r="6952" spans="1:21" x14ac:dyDescent="0.25">
      <c r="A6952">
        <v>7572189</v>
      </c>
      <c r="B6952">
        <v>54</v>
      </c>
      <c r="C6952" s="1">
        <f>0.652453609897148*(10.3/7.3)</f>
        <v>0.92058523040282458</v>
      </c>
      <c r="D6952" s="1">
        <f>1.49622670757497*(10.3/7.3)</f>
        <v>2.1111143956194791</v>
      </c>
      <c r="E6952" s="1">
        <f>5.03448715686986*(10.3/7.3)</f>
        <v>7.1034544816109007</v>
      </c>
      <c r="F6952" s="1">
        <f>17.5149593567209*(38.9/42.5)</f>
        <v>16.031339270033996</v>
      </c>
      <c r="G6952" s="1">
        <v>1.0354438677022777</v>
      </c>
      <c r="H6952" s="1">
        <v>4.4323388632840954</v>
      </c>
      <c r="I6952" s="1">
        <v>12.939694528201494</v>
      </c>
      <c r="J6952" s="1">
        <v>2.5794592795825182E-2</v>
      </c>
      <c r="K6952" s="1">
        <v>2.2098545663463827</v>
      </c>
      <c r="L6952" s="1">
        <v>1.8143671690138159</v>
      </c>
      <c r="M6952" s="1">
        <v>0.21206811662054723</v>
      </c>
      <c r="N6952" s="1">
        <v>0.84964835283472961</v>
      </c>
      <c r="O6952" s="1">
        <v>0.23360987654320992</v>
      </c>
      <c r="P6952" s="1">
        <v>0.10610699381339973</v>
      </c>
      <c r="Q6952" s="1">
        <v>1.6548189666474773</v>
      </c>
      <c r="R6952" s="2">
        <f t="shared" si="435"/>
        <v>46.228789603502541</v>
      </c>
      <c r="S6952" s="2">
        <f t="shared" si="434"/>
        <v>2.3417561529556075</v>
      </c>
      <c r="T6952" s="2">
        <f t="shared" si="436"/>
        <v>3.1096935150123026</v>
      </c>
      <c r="U6952" s="2">
        <f t="shared" si="437"/>
        <v>51.680239271470448</v>
      </c>
    </row>
    <row r="6953" spans="1:21" x14ac:dyDescent="0.25">
      <c r="A6953">
        <v>7572237</v>
      </c>
      <c r="B6953">
        <v>1</v>
      </c>
      <c r="C6953" s="1">
        <f>0.302223822971745*(10.3/7.3)</f>
        <v>0.42642539405602392</v>
      </c>
      <c r="D6953" s="1">
        <f>0.723544715775347*(10.3/7.3)</f>
        <v>1.0208918592446674</v>
      </c>
      <c r="E6953" s="1">
        <f>2.41616451855178*(10.3/7.3)</f>
        <v>3.4091088412442994</v>
      </c>
      <c r="F6953" s="1">
        <f>9.22855411536474*(38.9/42.5)</f>
        <v>8.4468412961809065</v>
      </c>
      <c r="G6953" s="1">
        <v>0.56716105835158037</v>
      </c>
      <c r="H6953" s="1">
        <v>2.8478331134764354</v>
      </c>
      <c r="I6953" s="1">
        <v>6.9128959903103908</v>
      </c>
      <c r="J6953" s="1">
        <v>1.4095922881479424E-2</v>
      </c>
      <c r="K6953" s="1">
        <v>1.3817050980829737</v>
      </c>
      <c r="L6953" s="1">
        <v>0.96903149182812642</v>
      </c>
      <c r="M6953" s="1">
        <v>0.12520628471495904</v>
      </c>
      <c r="N6953" s="1">
        <v>0.52341494235603003</v>
      </c>
      <c r="O6953" s="1">
        <v>0.12549333333333335</v>
      </c>
      <c r="P6953" s="1">
        <v>6.7477547681953895E-2</v>
      </c>
      <c r="Q6953" s="1">
        <v>0.90642178275366814</v>
      </c>
      <c r="R6953" s="2">
        <f t="shared" si="435"/>
        <v>24.53757933561797</v>
      </c>
      <c r="S6953" s="2">
        <f t="shared" si="434"/>
        <v>1.4632785686464069</v>
      </c>
      <c r="T6953" s="2">
        <f t="shared" si="436"/>
        <v>1.7431460522324489</v>
      </c>
      <c r="U6953" s="2">
        <f t="shared" si="437"/>
        <v>27.744003956496826</v>
      </c>
    </row>
    <row r="6954" spans="1:21" x14ac:dyDescent="0.25">
      <c r="A6954">
        <v>7572645</v>
      </c>
      <c r="B6954">
        <v>36</v>
      </c>
      <c r="C6954" s="1">
        <f>0.795311292476567*(10.3/7.3)</f>
        <v>1.1221515496587182</v>
      </c>
      <c r="D6954" s="1">
        <f>2.41880376972907*(10.3/7.3)</f>
        <v>3.4128327161930687</v>
      </c>
      <c r="E6954" s="1">
        <f>8.01636299453757*(10.3/7.3)</f>
        <v>11.310758745717393</v>
      </c>
      <c r="F6954" s="1">
        <f>31.6369242975579*(38.9/42.5)</f>
        <v>28.957090710000021</v>
      </c>
      <c r="G6954" s="1">
        <v>1.9834065934744274</v>
      </c>
      <c r="H6954" s="1">
        <v>10.009796365574021</v>
      </c>
      <c r="I6954" s="1">
        <v>23.345999094702183</v>
      </c>
      <c r="J6954" s="1">
        <v>2.1548167346865221E-2</v>
      </c>
      <c r="K6954" s="1">
        <v>1.6457049013893277</v>
      </c>
      <c r="L6954" s="1">
        <v>1.4547078325111475</v>
      </c>
      <c r="M6954" s="1">
        <v>0.1294369866017667</v>
      </c>
      <c r="N6954" s="1">
        <v>0.99735678701800168</v>
      </c>
      <c r="O6954" s="1">
        <v>0.11100888888888891</v>
      </c>
      <c r="P6954" s="1">
        <v>7.122942998761167E-2</v>
      </c>
      <c r="Q6954" s="1">
        <v>3.1698278891143845</v>
      </c>
      <c r="R6954" s="2">
        <f t="shared" si="435"/>
        <v>83.311863664434213</v>
      </c>
      <c r="S6954" s="2">
        <f t="shared" si="434"/>
        <v>1.7384824987238046</v>
      </c>
      <c r="T6954" s="2">
        <f t="shared" si="436"/>
        <v>2.6925104950198047</v>
      </c>
      <c r="U6954" s="2">
        <f t="shared" si="437"/>
        <v>87.742856658177814</v>
      </c>
    </row>
    <row r="6955" spans="1:21" x14ac:dyDescent="0.25">
      <c r="A6955">
        <v>7572653</v>
      </c>
      <c r="B6955">
        <v>40</v>
      </c>
      <c r="C6955" s="1">
        <f>0.815552260823035*(10.3/7.3)</f>
        <v>1.1507107241749679</v>
      </c>
      <c r="D6955" s="1">
        <f>2.54913218841558*(10.3/7.3)</f>
        <v>3.5967207589973271</v>
      </c>
      <c r="E6955" s="1">
        <f>8.42244096088502*(10.3/7.3)</f>
        <v>11.883718068098037</v>
      </c>
      <c r="F6955" s="1">
        <f>34.3672464812243*(38.9/42.5)</f>
        <v>31.456138543991141</v>
      </c>
      <c r="G6955" s="1">
        <v>2.1805282630750247</v>
      </c>
      <c r="H6955" s="1">
        <v>10.544506872509883</v>
      </c>
      <c r="I6955" s="1">
        <v>25.479917413360749</v>
      </c>
      <c r="J6955" s="1">
        <v>2.1401658950470154E-2</v>
      </c>
      <c r="K6955" s="1">
        <v>1.6453127841986865</v>
      </c>
      <c r="L6955" s="1">
        <v>1.4466614275878458</v>
      </c>
      <c r="M6955" s="1">
        <v>0.12812060355984872</v>
      </c>
      <c r="N6955" s="1">
        <v>1.127612352508613</v>
      </c>
      <c r="O6955" s="1">
        <v>0.11030933333333337</v>
      </c>
      <c r="P6955" s="1">
        <v>7.1056860542859854E-2</v>
      </c>
      <c r="Q6955" s="1">
        <v>3.4848625208961614</v>
      </c>
      <c r="R6955" s="2">
        <f t="shared" si="435"/>
        <v>89.777103165103284</v>
      </c>
      <c r="S6955" s="2">
        <f t="shared" si="434"/>
        <v>1.7377713036920166</v>
      </c>
      <c r="T6955" s="2">
        <f t="shared" si="436"/>
        <v>2.8127037169896409</v>
      </c>
      <c r="U6955" s="2">
        <f t="shared" si="437"/>
        <v>94.327578185784944</v>
      </c>
    </row>
    <row r="6956" spans="1:21" x14ac:dyDescent="0.25">
      <c r="A6956">
        <v>7572661</v>
      </c>
      <c r="B6956">
        <v>67</v>
      </c>
      <c r="C6956" s="1">
        <f>0.829362434757159*(10.3/7.3)</f>
        <v>1.1701963120546213</v>
      </c>
      <c r="D6956" s="1">
        <f>2.35667578517735*(10.3/7.3)</f>
        <v>3.325172683195436</v>
      </c>
      <c r="E6956" s="1">
        <f>7.85556552798954*(10.3/7.3)</f>
        <v>11.083880128533185</v>
      </c>
      <c r="F6956" s="1">
        <f>29.1861542680737*(38.9/42.5)</f>
        <v>26.713915318307478</v>
      </c>
      <c r="G6956" s="1">
        <v>1.7866209100635884</v>
      </c>
      <c r="H6956" s="1">
        <v>10.404443013300636</v>
      </c>
      <c r="I6956" s="1">
        <v>21.387652709667883</v>
      </c>
      <c r="J6956" s="1">
        <v>2.1657945290836176E-2</v>
      </c>
      <c r="K6956" s="1">
        <v>1.6471269413239744</v>
      </c>
      <c r="L6956" s="1">
        <v>1.4378065492405436</v>
      </c>
      <c r="M6956" s="1">
        <v>0.12761465759044957</v>
      </c>
      <c r="N6956" s="1">
        <v>1.3944404116869267</v>
      </c>
      <c r="O6956" s="1">
        <v>0.10953631840796024</v>
      </c>
      <c r="P6956" s="1">
        <v>7.0812671298296784E-2</v>
      </c>
      <c r="Q6956" s="1">
        <v>2.8553302215628147</v>
      </c>
      <c r="R6956" s="2">
        <f t="shared" si="435"/>
        <v>78.727211296685638</v>
      </c>
      <c r="S6956" s="2">
        <f t="shared" si="434"/>
        <v>1.7395975579131073</v>
      </c>
      <c r="T6956" s="2">
        <f t="shared" si="436"/>
        <v>3.0693979369258799</v>
      </c>
      <c r="U6956" s="2">
        <f t="shared" si="437"/>
        <v>83.53620679152462</v>
      </c>
    </row>
    <row r="6957" spans="1:21" x14ac:dyDescent="0.25">
      <c r="A6957">
        <v>7572669</v>
      </c>
      <c r="B6957">
        <v>2</v>
      </c>
      <c r="C6957" s="1">
        <f>1.28190218006663*(10.3/7.3)</f>
        <v>1.8087112951625106</v>
      </c>
      <c r="D6957" s="1">
        <f>3.78705485306625*(10.3/7.3)</f>
        <v>5.3433787652852542</v>
      </c>
      <c r="E6957" s="1">
        <f>12.6201847112756*(10.3/7.3)</f>
        <v>17.806561989882024</v>
      </c>
      <c r="F6957" s="1">
        <f>46.5489054385564*(38.9/42.5)</f>
        <v>42.605939330819858</v>
      </c>
      <c r="G6957" s="1">
        <v>2.8454618364517423</v>
      </c>
      <c r="H6957" s="1">
        <v>15.670136204727026</v>
      </c>
      <c r="I6957" s="1">
        <v>33.93951737527901</v>
      </c>
      <c r="J6957" s="1">
        <v>2.8480383618449699E-2</v>
      </c>
      <c r="K6957" s="1">
        <v>1.9954168006389494</v>
      </c>
      <c r="L6957" s="1">
        <v>1.8425535791180843</v>
      </c>
      <c r="M6957" s="1">
        <v>0.15422062695601649</v>
      </c>
      <c r="N6957" s="1">
        <v>1.3808472927915738</v>
      </c>
      <c r="O6957" s="1">
        <v>0.13661333333333331</v>
      </c>
      <c r="P6957" s="1">
        <v>8.3361345469590703E-2</v>
      </c>
      <c r="Q6957" s="1">
        <v>4.5475417477539306</v>
      </c>
      <c r="R6957" s="2">
        <f t="shared" si="435"/>
        <v>124.56724854536137</v>
      </c>
      <c r="S6957" s="2">
        <f t="shared" si="434"/>
        <v>2.1072585297269897</v>
      </c>
      <c r="T6957" s="2">
        <f t="shared" si="436"/>
        <v>3.514234832199008</v>
      </c>
      <c r="U6957" s="2">
        <f t="shared" si="437"/>
        <v>130.18874190728735</v>
      </c>
    </row>
    <row r="6958" spans="1:21" x14ac:dyDescent="0.25">
      <c r="A6958">
        <v>7572701</v>
      </c>
      <c r="B6958">
        <v>9</v>
      </c>
      <c r="C6958" s="1">
        <f>1.27696778712729*(10.3/7.3)</f>
        <v>1.8017490695083715</v>
      </c>
      <c r="D6958" s="1">
        <f>4.60478367767702*(10.3/7.3)</f>
        <v>6.4971605315168937</v>
      </c>
      <c r="E6958" s="1">
        <f>15.0935994935475*(10.3/7.3)</f>
        <v>21.296448600484879</v>
      </c>
      <c r="F6958" s="1">
        <f>65.9619592062894*(38.9/42.5)</f>
        <v>60.374593249991975</v>
      </c>
      <c r="G6958" s="1">
        <v>4.2906054756954166</v>
      </c>
      <c r="H6958" s="1">
        <v>14.372036080395942</v>
      </c>
      <c r="I6958" s="1">
        <v>49.097889188659188</v>
      </c>
      <c r="J6958" s="1">
        <v>2.3803430143826784E-2</v>
      </c>
      <c r="K6958" s="1">
        <v>1.7532018793625808</v>
      </c>
      <c r="L6958" s="1">
        <v>1.546460307478545</v>
      </c>
      <c r="M6958" s="1">
        <v>0.13244638099787837</v>
      </c>
      <c r="N6958" s="1">
        <v>1.0380549875053171</v>
      </c>
      <c r="O6958" s="1">
        <v>0.11454222222222223</v>
      </c>
      <c r="P6958" s="1">
        <v>7.4308850885065988E-2</v>
      </c>
      <c r="Q6958" s="1">
        <v>6.8571320387826358</v>
      </c>
      <c r="R6958" s="2">
        <f t="shared" si="435"/>
        <v>164.58761423503529</v>
      </c>
      <c r="S6958" s="2">
        <f t="shared" si="434"/>
        <v>1.8513141603914736</v>
      </c>
      <c r="T6958" s="2">
        <f t="shared" si="436"/>
        <v>2.8315038982039624</v>
      </c>
      <c r="U6958" s="2">
        <f t="shared" si="437"/>
        <v>169.27043229363073</v>
      </c>
    </row>
    <row r="6959" spans="1:21" x14ac:dyDescent="0.25">
      <c r="A6959">
        <v>7572877</v>
      </c>
      <c r="B6959">
        <v>33</v>
      </c>
      <c r="C6959" s="1">
        <f>1.79485978410693*(10.3/7.3)</f>
        <v>2.5324733940138882</v>
      </c>
      <c r="D6959" s="1">
        <f>3.89205515782665*(10.3/7.3)</f>
        <v>5.4915298802211678</v>
      </c>
      <c r="E6959" s="1">
        <f>13.3015519884752*(10.3/7.3)</f>
        <v>18.767943216615635</v>
      </c>
      <c r="F6959" s="1">
        <f>36.5773165353969*(38.9/42.5)</f>
        <v>33.479002664163247</v>
      </c>
      <c r="G6959" s="1">
        <v>1.912223444709954</v>
      </c>
      <c r="H6959" s="1">
        <v>8.1688899977378462</v>
      </c>
      <c r="I6959" s="1">
        <v>25.766004915144244</v>
      </c>
      <c r="J6959" s="1">
        <v>3.0328877473412473E-2</v>
      </c>
      <c r="K6959" s="1">
        <v>1.8771021795011567</v>
      </c>
      <c r="L6959" s="1">
        <v>1.6223852451650795</v>
      </c>
      <c r="M6959" s="1">
        <v>0.12905186705276339</v>
      </c>
      <c r="N6959" s="1">
        <v>1.2056722260216017</v>
      </c>
      <c r="O6959" s="1">
        <v>0.11105292929292931</v>
      </c>
      <c r="P6959" s="1">
        <v>7.1852342872281802E-2</v>
      </c>
      <c r="Q6959" s="1">
        <v>3.0560648659748151</v>
      </c>
      <c r="R6959" s="2">
        <f t="shared" si="435"/>
        <v>99.174132378580808</v>
      </c>
      <c r="S6959" s="2">
        <f t="shared" si="434"/>
        <v>1.9792833998468509</v>
      </c>
      <c r="T6959" s="2">
        <f t="shared" si="436"/>
        <v>3.0681622675323736</v>
      </c>
      <c r="U6959" s="2">
        <f t="shared" si="437"/>
        <v>104.22157804596003</v>
      </c>
    </row>
    <row r="6960" spans="1:21" x14ac:dyDescent="0.25">
      <c r="A6960">
        <v>7572885</v>
      </c>
      <c r="B6960">
        <v>20</v>
      </c>
      <c r="C6960" s="1">
        <f>1.44695430478921*(10.3/7.3)</f>
        <v>2.0415930601820365</v>
      </c>
      <c r="D6960" s="1">
        <f>3.07805596523086*(10.3/7.3)</f>
        <v>4.3430104714901194</v>
      </c>
      <c r="E6960" s="1">
        <f>10.5278203712233*(10.3/7.3)</f>
        <v>14.85432189364386</v>
      </c>
      <c r="F6960" s="1">
        <f>28.8061801941303*(38.9/42.5)</f>
        <v>26.366127283568709</v>
      </c>
      <c r="G6960" s="1">
        <v>1.4993395061303414</v>
      </c>
      <c r="H6960" s="1">
        <v>6.2322802159571884</v>
      </c>
      <c r="I6960" s="1">
        <v>20.328259924939651</v>
      </c>
      <c r="J6960" s="1">
        <v>2.6340960284060189E-2</v>
      </c>
      <c r="K6960" s="1">
        <v>1.6791967804050194</v>
      </c>
      <c r="L6960" s="1">
        <v>1.4153976888039608</v>
      </c>
      <c r="M6960" s="1">
        <v>0.1152180127714512</v>
      </c>
      <c r="N6960" s="1">
        <v>1.0435356048370052</v>
      </c>
      <c r="O6960" s="1">
        <v>9.8738666666666655E-2</v>
      </c>
      <c r="P6960" s="1">
        <v>6.5483235437070395E-2</v>
      </c>
      <c r="Q6960" s="1">
        <v>2.3962046901626484</v>
      </c>
      <c r="R6960" s="2">
        <f t="shared" si="435"/>
        <v>78.061137046074549</v>
      </c>
      <c r="S6960" s="2">
        <f t="shared" si="434"/>
        <v>1.7710209761261499</v>
      </c>
      <c r="T6960" s="2">
        <f t="shared" si="436"/>
        <v>2.672889973079084</v>
      </c>
      <c r="U6960" s="2">
        <f t="shared" si="437"/>
        <v>82.505047995279782</v>
      </c>
    </row>
    <row r="6961" spans="1:21" x14ac:dyDescent="0.25">
      <c r="A6961">
        <v>7584417</v>
      </c>
      <c r="B6961">
        <v>65</v>
      </c>
      <c r="C6961" s="1">
        <f>0.434105593270475*(10.3/7.3)</f>
        <v>0.6125051521487529</v>
      </c>
      <c r="D6961" s="1">
        <f>0.898541762483632*(10.3/7.3)</f>
        <v>1.2678055004906048</v>
      </c>
      <c r="E6961" s="1">
        <f>3.05031306982988*(10.3/7.3)</f>
        <v>4.3038663861983251</v>
      </c>
      <c r="F6961" s="1">
        <f>9.6395306940167*(38.9/42.5)</f>
        <v>8.8230057411117571</v>
      </c>
      <c r="G6961" s="1">
        <v>0.54237592697072234</v>
      </c>
      <c r="H6961" s="1">
        <v>1.8831294524928699</v>
      </c>
      <c r="I6961" s="1">
        <v>7.0705669311659092</v>
      </c>
      <c r="J6961" s="1">
        <v>1.775930916528835E-2</v>
      </c>
      <c r="K6961" s="1">
        <v>1.7114996499432122</v>
      </c>
      <c r="L6961" s="1">
        <v>1.2908379081761052</v>
      </c>
      <c r="M6961" s="1">
        <v>0.15001171414690817</v>
      </c>
      <c r="N6961" s="1">
        <v>0.62462177694856513</v>
      </c>
      <c r="O6961" s="1">
        <v>0.16451282051282048</v>
      </c>
      <c r="P6961" s="1">
        <v>8.5928131805285052E-2</v>
      </c>
      <c r="Q6961" s="1">
        <v>0.86681084219065307</v>
      </c>
      <c r="R6961" s="2">
        <f t="shared" si="435"/>
        <v>25.370065932769595</v>
      </c>
      <c r="S6961" s="2">
        <f t="shared" si="434"/>
        <v>1.8151870909137857</v>
      </c>
      <c r="T6961" s="2">
        <f t="shared" si="436"/>
        <v>2.2299842197843991</v>
      </c>
      <c r="U6961" s="2">
        <f t="shared" si="437"/>
        <v>29.415237243467779</v>
      </c>
    </row>
    <row r="6962" spans="1:21" x14ac:dyDescent="0.25">
      <c r="A6962">
        <v>7584425</v>
      </c>
      <c r="B6962">
        <v>34</v>
      </c>
      <c r="C6962" s="1">
        <f>0.631421372833267*(10.3/7.3)</f>
        <v>0.89090960824419929</v>
      </c>
      <c r="D6962" s="1">
        <f>1.50371098221665*(10.3/7.3)</f>
        <v>2.1216743995659564</v>
      </c>
      <c r="E6962" s="1">
        <f>5.03921315697703*(10.3/7.3)</f>
        <v>7.1101226735429339</v>
      </c>
      <c r="F6962" s="1">
        <f>18.3496731468609*(38.9/42.5)</f>
        <v>16.795347892067994</v>
      </c>
      <c r="G6962" s="1">
        <v>1.1070849803461211</v>
      </c>
      <c r="H6962" s="1">
        <v>7.0005328238733222</v>
      </c>
      <c r="I6962" s="1">
        <v>13.625278003599346</v>
      </c>
      <c r="J6962" s="1">
        <v>2.7436305893952965E-2</v>
      </c>
      <c r="K6962" s="1">
        <v>2.1289845297825898</v>
      </c>
      <c r="L6962" s="1">
        <v>1.7326168232993977</v>
      </c>
      <c r="M6962" s="1">
        <v>0.2030651974505488</v>
      </c>
      <c r="N6962" s="1">
        <v>1.0823730907642413</v>
      </c>
      <c r="O6962" s="1">
        <v>0.22385098039215678</v>
      </c>
      <c r="P6962" s="1">
        <v>0.10231234879567352</v>
      </c>
      <c r="Q6962" s="1">
        <v>1.7693138955303331</v>
      </c>
      <c r="R6962" s="2">
        <f t="shared" si="435"/>
        <v>50.420264276770205</v>
      </c>
      <c r="S6962" s="2">
        <f t="shared" si="434"/>
        <v>2.2587331844722165</v>
      </c>
      <c r="T6962" s="2">
        <f t="shared" si="436"/>
        <v>3.2419060919063445</v>
      </c>
      <c r="U6962" s="2">
        <f t="shared" si="437"/>
        <v>55.920903553148761</v>
      </c>
    </row>
    <row r="6963" spans="1:21" x14ac:dyDescent="0.25">
      <c r="A6963">
        <v>7584465</v>
      </c>
      <c r="B6963">
        <v>19</v>
      </c>
      <c r="C6963" s="1">
        <f>0.300412643387307*(10.3/7.3)</f>
        <v>0.42386989409441972</v>
      </c>
      <c r="D6963" s="1">
        <f>0.78280560208416*(10.3/7.3)</f>
        <v>1.104506534447514</v>
      </c>
      <c r="E6963" s="1">
        <f>2.59200158066618*(10.3/7.3)</f>
        <v>3.657207709707079</v>
      </c>
      <c r="F6963" s="1">
        <f>10.7861574107483*(38.9/42.5)</f>
        <v>9.8725064300731571</v>
      </c>
      <c r="G6963" s="1">
        <v>0.68498219782075787</v>
      </c>
      <c r="H6963" s="1">
        <v>4.2216639299675816</v>
      </c>
      <c r="I6963" s="1">
        <v>8.1442785808343121</v>
      </c>
      <c r="J6963" s="1">
        <v>1.3840884003019244E-2</v>
      </c>
      <c r="K6963" s="1">
        <v>1.3518932846275584</v>
      </c>
      <c r="L6963" s="1">
        <v>0.94310905478676221</v>
      </c>
      <c r="M6963" s="1">
        <v>0.1224378864387187</v>
      </c>
      <c r="N6963" s="1">
        <v>0.50688913335488917</v>
      </c>
      <c r="O6963" s="1">
        <v>0.12302596491228072</v>
      </c>
      <c r="P6963" s="1">
        <v>6.6316136896248379E-2</v>
      </c>
      <c r="Q6963" s="1">
        <v>1.0947204074760981</v>
      </c>
      <c r="R6963" s="2">
        <f t="shared" si="435"/>
        <v>29.203735684420923</v>
      </c>
      <c r="S6963" s="2">
        <f t="shared" si="434"/>
        <v>1.4320503055268261</v>
      </c>
      <c r="T6963" s="2">
        <f t="shared" si="436"/>
        <v>1.6954620394926507</v>
      </c>
      <c r="U6963" s="2">
        <f t="shared" si="437"/>
        <v>32.331248029440403</v>
      </c>
    </row>
    <row r="6964" spans="1:21" x14ac:dyDescent="0.25">
      <c r="A6964">
        <v>7584881</v>
      </c>
      <c r="B6964">
        <v>27</v>
      </c>
      <c r="C6964" s="1">
        <f>0.808384852244852*(10.3/7.3)</f>
        <v>1.1405978052221888</v>
      </c>
      <c r="D6964" s="1">
        <f>2.46053080177321*(10.3/7.3)</f>
        <v>3.4717078435978177</v>
      </c>
      <c r="E6964" s="1">
        <f>8.15792967702894*(10.3/7.3)</f>
        <v>11.510503516903848</v>
      </c>
      <c r="F6964" s="1">
        <f>32.0174161690978*(38.9/42.5)</f>
        <v>29.305352681833057</v>
      </c>
      <c r="G6964" s="1">
        <v>2.0034747213361133</v>
      </c>
      <c r="H6964" s="1">
        <v>10.262256560829805</v>
      </c>
      <c r="I6964" s="1">
        <v>23.598142713270001</v>
      </c>
      <c r="J6964" s="1">
        <v>2.1562704248626059E-2</v>
      </c>
      <c r="K6964" s="1">
        <v>1.6462640439071634</v>
      </c>
      <c r="L6964" s="1">
        <v>1.4556305148197406</v>
      </c>
      <c r="M6964" s="1">
        <v>0.12921377104623552</v>
      </c>
      <c r="N6964" s="1">
        <v>1.0104572789581518</v>
      </c>
      <c r="O6964" s="1">
        <v>0.11085827160493826</v>
      </c>
      <c r="P6964" s="1">
        <v>7.1139494892326363E-2</v>
      </c>
      <c r="Q6964" s="1">
        <v>3.2019002395782667</v>
      </c>
      <c r="R6964" s="2">
        <f t="shared" si="435"/>
        <v>84.493936082571082</v>
      </c>
      <c r="S6964" s="2">
        <f t="shared" si="434"/>
        <v>1.7389662430481159</v>
      </c>
      <c r="T6964" s="2">
        <f t="shared" si="436"/>
        <v>2.7061598364290664</v>
      </c>
      <c r="U6964" s="2">
        <f t="shared" si="437"/>
        <v>88.939062162048259</v>
      </c>
    </row>
    <row r="6965" spans="1:21" x14ac:dyDescent="0.25">
      <c r="A6965">
        <v>7584889</v>
      </c>
      <c r="B6965">
        <v>34</v>
      </c>
      <c r="C6965" s="1">
        <f>0.859338002020927*(10.3/7.3)</f>
        <v>1.2124906055911715</v>
      </c>
      <c r="D6965" s="1">
        <f>2.68308523480854*(10.3/7.3)</f>
        <v>3.7857230025380759</v>
      </c>
      <c r="E6965" s="1">
        <f>8.8740863250538*(10.3/7.3)</f>
        <v>12.520971116171804</v>
      </c>
      <c r="F6965" s="1">
        <f>35.7434483740265*(38.9/42.5)</f>
        <v>32.715768041167784</v>
      </c>
      <c r="G6965" s="1">
        <v>2.2580851489142972</v>
      </c>
      <c r="H6965" s="1">
        <v>12.038075065490029</v>
      </c>
      <c r="I6965" s="1">
        <v>26.433015583162057</v>
      </c>
      <c r="J6965" s="1">
        <v>2.165431677419041E-2</v>
      </c>
      <c r="K6965" s="1">
        <v>1.6515525081581797</v>
      </c>
      <c r="L6965" s="1">
        <v>1.4519342879269628</v>
      </c>
      <c r="M6965" s="1">
        <v>0.12827940828305048</v>
      </c>
      <c r="N6965" s="1">
        <v>1.8623798404556053</v>
      </c>
      <c r="O6965" s="1">
        <v>0.11063215686274507</v>
      </c>
      <c r="P6965" s="1">
        <v>7.1010870239887613E-2</v>
      </c>
      <c r="Q6965" s="1">
        <v>3.6088118818265076</v>
      </c>
      <c r="R6965" s="2">
        <f t="shared" si="435"/>
        <v>94.572940444861729</v>
      </c>
      <c r="S6965" s="2">
        <f t="shared" si="434"/>
        <v>1.7442176951722579</v>
      </c>
      <c r="T6965" s="2">
        <f t="shared" si="436"/>
        <v>3.5532256935283635</v>
      </c>
      <c r="U6965" s="2">
        <f t="shared" si="437"/>
        <v>99.870383833562343</v>
      </c>
    </row>
    <row r="6966" spans="1:21" x14ac:dyDescent="0.25">
      <c r="A6966">
        <v>7584897</v>
      </c>
      <c r="B6966">
        <v>11</v>
      </c>
      <c r="C6966" s="1">
        <f>0.898329065980854*(10.3/7.3)</f>
        <v>1.2675053944661372</v>
      </c>
      <c r="D6966" s="1">
        <f>2.56618224717148*(10.3/7.3)</f>
        <v>3.6207776912145517</v>
      </c>
      <c r="E6966" s="1">
        <f>8.55958936263622*(10.3/7.3)</f>
        <v>12.077228826733291</v>
      </c>
      <c r="F6966" s="1">
        <f>31.4579724438062*(38.9/42.5)</f>
        <v>28.793297130919093</v>
      </c>
      <c r="G6966" s="1">
        <v>1.9181409232765498</v>
      </c>
      <c r="H6966" s="1">
        <v>11.235531937650228</v>
      </c>
      <c r="I6966" s="1">
        <v>22.987158423224681</v>
      </c>
      <c r="J6966" s="1">
        <v>2.2980420057502469E-2</v>
      </c>
      <c r="K6966" s="1">
        <v>1.6975909592641367</v>
      </c>
      <c r="L6966" s="1">
        <v>1.4952634944463694</v>
      </c>
      <c r="M6966" s="1">
        <v>0.1313267708669377</v>
      </c>
      <c r="N6966" s="1">
        <v>1.2201715641266306</v>
      </c>
      <c r="O6966" s="1">
        <v>0.11330909090909089</v>
      </c>
      <c r="P6966" s="1">
        <v>7.2666333727610874E-2</v>
      </c>
      <c r="Q6966" s="1">
        <v>3.0655220235013387</v>
      </c>
      <c r="R6966" s="2">
        <f t="shared" si="435"/>
        <v>84.965162350985878</v>
      </c>
      <c r="S6966" s="2">
        <f t="shared" si="434"/>
        <v>1.7932377130492501</v>
      </c>
      <c r="T6966" s="2">
        <f t="shared" si="436"/>
        <v>2.960070920349029</v>
      </c>
      <c r="U6966" s="2">
        <f t="shared" si="437"/>
        <v>89.718470984384155</v>
      </c>
    </row>
    <row r="6967" spans="1:21" x14ac:dyDescent="0.25">
      <c r="A6967">
        <v>7584929</v>
      </c>
      <c r="B6967">
        <v>8</v>
      </c>
      <c r="C6967" s="1">
        <f>1.16341036755465*(10.3/7.3)</f>
        <v>1.6415242172346416</v>
      </c>
      <c r="D6967" s="1">
        <f>3.54008620643728*(10.3/7.3)</f>
        <v>4.9949161542882186</v>
      </c>
      <c r="E6967" s="1">
        <f>11.7757472424862*(10.3/7.3)</f>
        <v>16.61509542432988</v>
      </c>
      <c r="F6967" s="1">
        <f>44.2006856776103*(38.9/42.5)</f>
        <v>40.456627596683283</v>
      </c>
      <c r="G6967" s="1">
        <v>2.7222067729289692</v>
      </c>
      <c r="H6967" s="1">
        <v>11.87100993515655</v>
      </c>
      <c r="I6967" s="1">
        <v>32.26985528486923</v>
      </c>
      <c r="J6967" s="1">
        <v>2.321244615386309E-2</v>
      </c>
      <c r="K6967" s="1">
        <v>1.713806530717142</v>
      </c>
      <c r="L6967" s="1">
        <v>1.5016240487150616</v>
      </c>
      <c r="M6967" s="1">
        <v>0.1291283979056824</v>
      </c>
      <c r="N6967" s="1">
        <v>1.0552049328168911</v>
      </c>
      <c r="O6967" s="1">
        <v>0.11131333333333335</v>
      </c>
      <c r="P6967" s="1">
        <v>7.2808609410155073E-2</v>
      </c>
      <c r="Q6967" s="1">
        <v>4.3505587695211885</v>
      </c>
      <c r="R6967" s="2">
        <f t="shared" si="435"/>
        <v>114.92179415501197</v>
      </c>
      <c r="S6967" s="2">
        <f t="shared" si="434"/>
        <v>1.8098275862811601</v>
      </c>
      <c r="T6967" s="2">
        <f t="shared" si="436"/>
        <v>2.7972707127709686</v>
      </c>
      <c r="U6967" s="2">
        <f t="shared" si="437"/>
        <v>119.52889245406409</v>
      </c>
    </row>
    <row r="6968" spans="1:21" x14ac:dyDescent="0.25">
      <c r="A6968">
        <v>7584937</v>
      </c>
      <c r="B6968">
        <v>13</v>
      </c>
      <c r="C6968" s="1">
        <f>1.2894237676482*(10.3/7.3)</f>
        <v>1.819323946133756</v>
      </c>
      <c r="D6968" s="1">
        <f>3.8602785884241*(10.3/7.3)</f>
        <v>5.4466944466805778</v>
      </c>
      <c r="E6968" s="1">
        <f>12.9116393192922*(10.3/7.3)</f>
        <v>18.217792464206855</v>
      </c>
      <c r="F6968" s="1">
        <f>44.9756890558335*(38.9/42.5)</f>
        <v>41.165983629927617</v>
      </c>
      <c r="G6968" s="1">
        <v>2.6894714990896995</v>
      </c>
      <c r="H6968" s="1">
        <v>14.246917304312539</v>
      </c>
      <c r="I6968" s="1">
        <v>32.32545368836211</v>
      </c>
      <c r="J6968" s="1">
        <v>2.3796539471058649E-2</v>
      </c>
      <c r="K6968" s="1">
        <v>1.7542643686141506</v>
      </c>
      <c r="L6968" s="1">
        <v>1.5475105266562919</v>
      </c>
      <c r="M6968" s="1">
        <v>0.13183556937654151</v>
      </c>
      <c r="N6968" s="1">
        <v>1.0449479086155793</v>
      </c>
      <c r="O6968" s="1">
        <v>0.11439999999999999</v>
      </c>
      <c r="P6968" s="1">
        <v>7.4384369704550909E-2</v>
      </c>
      <c r="Q6968" s="1">
        <v>4.2982421218328577</v>
      </c>
      <c r="R6968" s="2">
        <f t="shared" si="435"/>
        <v>120.209879100546</v>
      </c>
      <c r="S6968" s="2">
        <f t="shared" si="434"/>
        <v>1.8524452777897602</v>
      </c>
      <c r="T6968" s="2">
        <f t="shared" si="436"/>
        <v>2.8386940046484126</v>
      </c>
      <c r="U6968" s="2">
        <f t="shared" si="437"/>
        <v>124.90101838298418</v>
      </c>
    </row>
    <row r="6969" spans="1:21" x14ac:dyDescent="0.25">
      <c r="A6969">
        <v>7585041</v>
      </c>
      <c r="B6969">
        <v>4</v>
      </c>
      <c r="C6969" s="1">
        <f>1.57544324165095*(10.3/7.3)</f>
        <v>2.222885669726677</v>
      </c>
      <c r="D6969" s="1">
        <f>4.84473604306415*(10.3/7.3)</f>
        <v>6.8357234580220148</v>
      </c>
      <c r="E6969" s="1">
        <f>16.3348299070419*(10.3/7.3)</f>
        <v>23.047773704456411</v>
      </c>
      <c r="F6969" s="1">
        <f>49.692263396428*(38.9/42.5)</f>
        <v>45.483036379318833</v>
      </c>
      <c r="G6969" s="1">
        <v>2.7987885370981784</v>
      </c>
      <c r="H6969" s="1">
        <v>11.026199805362586</v>
      </c>
      <c r="I6969" s="1">
        <v>34.379638157481793</v>
      </c>
      <c r="J6969" s="1">
        <v>2.7504446754289473E-2</v>
      </c>
      <c r="K6969" s="1">
        <v>1.7918553741306837</v>
      </c>
      <c r="L6969" s="1">
        <v>1.5853281992607218</v>
      </c>
      <c r="M6969" s="1">
        <v>0.13056395975158505</v>
      </c>
      <c r="N6969" s="1">
        <v>1.2065180488982254</v>
      </c>
      <c r="O6969" s="1">
        <v>0.11159999999999999</v>
      </c>
      <c r="P6969" s="1">
        <v>7.0836634730668924E-2</v>
      </c>
      <c r="Q6969" s="1">
        <v>4.4729497168235781</v>
      </c>
      <c r="R6969" s="2">
        <f t="shared" si="435"/>
        <v>130.26699542829004</v>
      </c>
      <c r="S6969" s="2">
        <f t="shared" si="434"/>
        <v>1.8901964556156421</v>
      </c>
      <c r="T6969" s="2">
        <f t="shared" si="436"/>
        <v>3.0340102079105327</v>
      </c>
      <c r="U6969" s="2">
        <f t="shared" si="437"/>
        <v>135.19120209181622</v>
      </c>
    </row>
    <row r="6970" spans="1:21" x14ac:dyDescent="0.25">
      <c r="A6970">
        <v>7585105</v>
      </c>
      <c r="B6970">
        <v>6</v>
      </c>
      <c r="C6970" s="1">
        <f>1.31588974757707*(10.3/7.3)</f>
        <v>1.856666356170392</v>
      </c>
      <c r="D6970" s="1">
        <f>2.83881987985572*(10.3/7.3)</f>
        <v>4.0054581866457371</v>
      </c>
      <c r="E6970" s="1">
        <f>9.70061040666248*(10.3/7.3)</f>
        <v>13.687162628578568</v>
      </c>
      <c r="F6970" s="1">
        <f>26.8141402823496*(38.9/42.5)</f>
        <v>24.542824870197617</v>
      </c>
      <c r="G6970" s="1">
        <v>1.4057425525607812</v>
      </c>
      <c r="H6970" s="1">
        <v>7.1817258747494916</v>
      </c>
      <c r="I6970" s="1">
        <v>18.930166725679587</v>
      </c>
      <c r="J6970" s="1">
        <v>2.5454979339552996E-2</v>
      </c>
      <c r="K6970" s="1">
        <v>1.6088632284457269</v>
      </c>
      <c r="L6970" s="1">
        <v>1.3501817136076986</v>
      </c>
      <c r="M6970" s="1">
        <v>0.11241305375444081</v>
      </c>
      <c r="N6970" s="1">
        <v>1.0689018927232969</v>
      </c>
      <c r="O6970" s="1">
        <v>9.4248888888888896E-2</v>
      </c>
      <c r="P6970" s="1">
        <v>6.3049014351837337E-2</v>
      </c>
      <c r="Q6970" s="1">
        <v>2.2466205177912051</v>
      </c>
      <c r="R6970" s="2">
        <f t="shared" si="435"/>
        <v>73.85636771237337</v>
      </c>
      <c r="S6970" s="2">
        <f t="shared" si="434"/>
        <v>1.6973672221371174</v>
      </c>
      <c r="T6970" s="2">
        <f t="shared" si="436"/>
        <v>2.6257455489743253</v>
      </c>
      <c r="U6970" s="2">
        <f t="shared" si="437"/>
        <v>78.179480483484809</v>
      </c>
    </row>
    <row r="6971" spans="1:21" x14ac:dyDescent="0.25">
      <c r="A6971">
        <v>7585113</v>
      </c>
      <c r="B6971">
        <v>42</v>
      </c>
      <c r="C6971" s="1">
        <f>1.67182985888759*(10.3/7.3)</f>
        <v>2.3588832255537171</v>
      </c>
      <c r="D6971" s="1">
        <f>3.59752850469445*(10.3/7.3)</f>
        <v>5.075964876486692</v>
      </c>
      <c r="E6971" s="1">
        <f>12.2985873294736*(10.3/7.3)</f>
        <v>17.352801300490199</v>
      </c>
      <c r="F6971" s="1">
        <f>33.762917086856*(38.9/42.5)</f>
        <v>30.902999404204635</v>
      </c>
      <c r="G6971" s="1">
        <v>1.7623449530404718</v>
      </c>
      <c r="H6971" s="1">
        <v>6.8677313116924878</v>
      </c>
      <c r="I6971" s="1">
        <v>23.802416186952502</v>
      </c>
      <c r="J6971" s="1">
        <v>2.8432091918546114E-2</v>
      </c>
      <c r="K6971" s="1">
        <v>1.7974364469857322</v>
      </c>
      <c r="L6971" s="1">
        <v>1.5359832839281833</v>
      </c>
      <c r="M6971" s="1">
        <v>0.12336472139606591</v>
      </c>
      <c r="N6971" s="1">
        <v>1.1239624634506207</v>
      </c>
      <c r="O6971" s="1">
        <v>0.10592507936507936</v>
      </c>
      <c r="P6971" s="1">
        <v>6.9175958198283122E-2</v>
      </c>
      <c r="Q6971" s="1">
        <v>2.81653302997336</v>
      </c>
      <c r="R6971" s="2">
        <f t="shared" si="435"/>
        <v>90.939674288394045</v>
      </c>
      <c r="S6971" s="2">
        <f t="shared" si="434"/>
        <v>1.8950444971025615</v>
      </c>
      <c r="T6971" s="2">
        <f t="shared" si="436"/>
        <v>2.8892355481399492</v>
      </c>
      <c r="U6971" s="2">
        <f t="shared" si="437"/>
        <v>95.723954333636556</v>
      </c>
    </row>
    <row r="6972" spans="1:21" x14ac:dyDescent="0.25">
      <c r="A6972">
        <v>7585121</v>
      </c>
      <c r="B6972">
        <v>1</v>
      </c>
      <c r="C6972" s="1">
        <f>1.30201591630816*(10.3/7.3)</f>
        <v>1.8370909504074091</v>
      </c>
      <c r="D6972" s="1">
        <f>2.75132468340428*(10.3/7.3)</f>
        <v>3.8820060601457635</v>
      </c>
      <c r="E6972" s="1">
        <f>9.41192967607559*(10.3/7.3)</f>
        <v>13.279845981312141</v>
      </c>
      <c r="F6972" s="1">
        <f>25.7568819317689*(38.9/42.5)</f>
        <v>23.575122521077894</v>
      </c>
      <c r="G6972" s="1">
        <v>1.3401138136230115</v>
      </c>
      <c r="H6972" s="1">
        <v>6.0698684077045515</v>
      </c>
      <c r="I6972" s="1">
        <v>18.197100742746215</v>
      </c>
      <c r="J6972" s="1">
        <v>2.480576916469859E-2</v>
      </c>
      <c r="K6972" s="1">
        <v>1.5911502134422026</v>
      </c>
      <c r="L6972" s="1">
        <v>1.3273417653506869</v>
      </c>
      <c r="M6972" s="1">
        <v>0.10940210323287861</v>
      </c>
      <c r="N6972" s="1">
        <v>0.98576999918867825</v>
      </c>
      <c r="O6972" s="1">
        <v>9.2426666666666671E-2</v>
      </c>
      <c r="P6972" s="1">
        <v>6.2643323240731547E-2</v>
      </c>
      <c r="Q6972" s="1">
        <v>2.1417344053335823</v>
      </c>
      <c r="R6972" s="2">
        <f t="shared" si="435"/>
        <v>70.322882882350569</v>
      </c>
      <c r="S6972" s="2">
        <f t="shared" si="434"/>
        <v>1.6785993058476327</v>
      </c>
      <c r="T6972" s="2">
        <f t="shared" si="436"/>
        <v>2.5149405344389106</v>
      </c>
      <c r="U6972" s="2">
        <f t="shared" si="437"/>
        <v>74.516422722637103</v>
      </c>
    </row>
    <row r="6973" spans="1:21" x14ac:dyDescent="0.25">
      <c r="A6973">
        <v>759329</v>
      </c>
      <c r="B6973">
        <v>8</v>
      </c>
      <c r="C6973" s="1">
        <f>1.56220003907608*(10.3/7.3)</f>
        <v>2.2042000551347387</v>
      </c>
      <c r="D6973" s="1">
        <f>2.08555802136653*(10.3/7.3)</f>
        <v>2.9426366602842848</v>
      </c>
      <c r="E6973" s="1">
        <f>7.36727306055346*(10.3/7.3)</f>
        <v>10.394919523794613</v>
      </c>
      <c r="F6973" s="1">
        <f>14.0264814489415*(38.9/42.5)</f>
        <v>12.838355961501762</v>
      </c>
      <c r="G6973" s="1">
        <v>0.49019035002109129</v>
      </c>
      <c r="H6973" s="1">
        <v>1.6093800926875192</v>
      </c>
      <c r="I6973" s="1">
        <v>10.097391342907711</v>
      </c>
      <c r="J6973" s="1">
        <v>5.1420203930911512E-2</v>
      </c>
      <c r="K6973" s="1">
        <v>5.8973819133913556</v>
      </c>
      <c r="L6973" s="1">
        <v>2.4487166918850432</v>
      </c>
      <c r="M6973" s="1">
        <v>0.26753845604171489</v>
      </c>
      <c r="N6973" s="1">
        <v>1.3134944039593937</v>
      </c>
      <c r="O6973" s="1">
        <v>7.8013333333333323E-2</v>
      </c>
      <c r="P6973" s="1">
        <v>6.5719660291162829E-2</v>
      </c>
      <c r="Q6973" s="1">
        <v>0.78340923519352579</v>
      </c>
      <c r="R6973" s="2">
        <f t="shared" si="435"/>
        <v>41.360483221525243</v>
      </c>
      <c r="S6973" s="2">
        <f t="shared" si="434"/>
        <v>6.0145217776134299</v>
      </c>
      <c r="T6973" s="2">
        <f t="shared" si="436"/>
        <v>4.1077628852194854</v>
      </c>
      <c r="U6973" s="2">
        <f t="shared" si="437"/>
        <v>51.482767884358161</v>
      </c>
    </row>
    <row r="6974" spans="1:21" x14ac:dyDescent="0.25">
      <c r="A6974">
        <v>759385</v>
      </c>
      <c r="B6974">
        <v>3</v>
      </c>
      <c r="C6974" s="1">
        <f>1.48828371793765*(10.3/7.3)</f>
        <v>2.0999071636654492</v>
      </c>
      <c r="D6974" s="1">
        <f>1.91077487389212*(10.3/7.3)</f>
        <v>2.6960248220669585</v>
      </c>
      <c r="E6974" s="1">
        <f>6.6995227009545*(10.3/7.3)</f>
        <v>9.4527512081960765</v>
      </c>
      <c r="F6974" s="1">
        <f>15.8640291237888*(38.9/42.5)</f>
        <v>14.520252539185554</v>
      </c>
      <c r="G6974" s="1">
        <v>0.70285339379021672</v>
      </c>
      <c r="H6974" s="1">
        <v>4.5705963549621806</v>
      </c>
      <c r="I6974" s="1">
        <v>12.096122855016359</v>
      </c>
      <c r="J6974" s="1">
        <v>3.389471161266034E-2</v>
      </c>
      <c r="K6974" s="1">
        <v>3.9185316299743871</v>
      </c>
      <c r="L6974" s="1">
        <v>1.4059072562369825</v>
      </c>
      <c r="M6974" s="1">
        <v>9.4386092557671622E-2</v>
      </c>
      <c r="N6974" s="1">
        <v>1.1214559368901726</v>
      </c>
      <c r="O6974" s="1">
        <v>6.8106666666666663E-2</v>
      </c>
      <c r="P6974" s="1">
        <v>5.9995060885031044E-2</v>
      </c>
      <c r="Q6974" s="1">
        <v>1.1232816795734069</v>
      </c>
      <c r="R6974" s="2">
        <f t="shared" si="435"/>
        <v>47.261790016456203</v>
      </c>
      <c r="S6974" s="2">
        <f t="shared" si="434"/>
        <v>4.0124214024720786</v>
      </c>
      <c r="T6974" s="2">
        <f t="shared" si="436"/>
        <v>2.6898559523514933</v>
      </c>
      <c r="U6974" s="2">
        <f t="shared" si="437"/>
        <v>53.964067371279775</v>
      </c>
    </row>
    <row r="6975" spans="1:21" x14ac:dyDescent="0.25">
      <c r="A6975">
        <v>759401</v>
      </c>
      <c r="B6975">
        <v>3</v>
      </c>
      <c r="C6975" s="1">
        <f>1.75752897930942*(10.3/7.3)</f>
        <v>2.4798011625872625</v>
      </c>
      <c r="D6975" s="1">
        <f>1.8173636825673*(10.3/7.3)</f>
        <v>2.5642254699237319</v>
      </c>
      <c r="E6975" s="1">
        <f>6.47738827623402*(10.3/7.3)</f>
        <v>9.1393286637274542</v>
      </c>
      <c r="F6975" s="1">
        <f>13.4220235256775*(38.9/42.5)</f>
        <v>12.285099179973063</v>
      </c>
      <c r="G6975" s="1">
        <v>0.49369978871769543</v>
      </c>
      <c r="H6975" s="1">
        <v>4.1036834005233684</v>
      </c>
      <c r="I6975" s="1">
        <v>10.753210446233416</v>
      </c>
      <c r="J6975" s="1">
        <v>3.1976783514397637E-2</v>
      </c>
      <c r="K6975" s="1">
        <v>3.1635406970329787</v>
      </c>
      <c r="L6975" s="1">
        <v>1.15906359145312</v>
      </c>
      <c r="M6975" s="1">
        <v>7.5312278062204974E-2</v>
      </c>
      <c r="N6975" s="1">
        <v>1.5114418890062453</v>
      </c>
      <c r="O6975" s="1">
        <v>5.7920000000000006E-2</v>
      </c>
      <c r="P6975" s="1">
        <v>5.2510842724497429E-2</v>
      </c>
      <c r="Q6975" s="1">
        <v>0.78901792717439989</v>
      </c>
      <c r="R6975" s="2">
        <f t="shared" si="435"/>
        <v>42.608066038860393</v>
      </c>
      <c r="S6975" s="2">
        <f t="shared" si="434"/>
        <v>3.2480283232718739</v>
      </c>
      <c r="T6975" s="2">
        <f t="shared" si="436"/>
        <v>2.8037377585215708</v>
      </c>
      <c r="U6975" s="2">
        <f t="shared" si="437"/>
        <v>48.659832120653839</v>
      </c>
    </row>
    <row r="6976" spans="1:21" x14ac:dyDescent="0.25">
      <c r="A6976">
        <v>759409</v>
      </c>
      <c r="B6976">
        <v>6</v>
      </c>
      <c r="C6976" s="1">
        <f>2.01190467989537*(10.3/7.3)</f>
        <v>2.8387148223181278</v>
      </c>
      <c r="D6976" s="1">
        <f>2.42144228228342*(10.3/7.3)</f>
        <v>3.4165555489752353</v>
      </c>
      <c r="E6976" s="1">
        <f>8.54584988627631*(10.3/7.3)</f>
        <v>12.057842990225474</v>
      </c>
      <c r="F6976" s="1">
        <f>18.663987760358*(38.9/42.5)</f>
        <v>17.083038208892422</v>
      </c>
      <c r="G6976" s="1">
        <v>0.75532061996008482</v>
      </c>
      <c r="H6976" s="1">
        <v>4.9260996236296215</v>
      </c>
      <c r="I6976" s="1">
        <v>14.306310067582674</v>
      </c>
      <c r="J6976" s="1">
        <v>4.30331581044563E-2</v>
      </c>
      <c r="K6976" s="1">
        <v>3.9744353877953418</v>
      </c>
      <c r="L6976" s="1">
        <v>1.5307856745949093</v>
      </c>
      <c r="M6976" s="1">
        <v>8.7417876244892459E-2</v>
      </c>
      <c r="N6976" s="1">
        <v>1.6332613273229715</v>
      </c>
      <c r="O6976" s="1">
        <v>7.3946666666666661E-2</v>
      </c>
      <c r="P6976" s="1">
        <v>6.4132850475259601E-2</v>
      </c>
      <c r="Q6976" s="1">
        <v>1.2071334108951139</v>
      </c>
      <c r="R6976" s="2">
        <f t="shared" si="435"/>
        <v>56.591015292478758</v>
      </c>
      <c r="S6976" s="2">
        <f t="shared" si="434"/>
        <v>4.0816013963750581</v>
      </c>
      <c r="T6976" s="2">
        <f t="shared" si="436"/>
        <v>3.3254115448294397</v>
      </c>
      <c r="U6976" s="2">
        <f t="shared" si="437"/>
        <v>63.998028233683257</v>
      </c>
    </row>
    <row r="6977" spans="1:21" x14ac:dyDescent="0.25">
      <c r="A6977">
        <v>7596645</v>
      </c>
      <c r="B6977">
        <v>18</v>
      </c>
      <c r="C6977" s="1">
        <f>0.290469789207718*(10.3/7.3)</f>
        <v>0.40984093545746481</v>
      </c>
      <c r="D6977" s="1">
        <f>0.548582083142541*(10.3/7.3)</f>
        <v>0.77402677484495452</v>
      </c>
      <c r="E6977" s="1">
        <f>1.87500645387783*(10.3/7.3)</f>
        <v>2.6455570513618762</v>
      </c>
      <c r="F6977" s="1">
        <f>5.5248562402057*(38.9/42.5)</f>
        <v>5.0568684175059211</v>
      </c>
      <c r="G6977" s="1">
        <v>0.29781499135411837</v>
      </c>
      <c r="H6977" s="1">
        <v>1.1089835823533505</v>
      </c>
      <c r="I6977" s="1">
        <v>4.0475154035277869</v>
      </c>
      <c r="J6977" s="1">
        <v>1.3581080825603596E-2</v>
      </c>
      <c r="K6977" s="1">
        <v>1.3890634373994617</v>
      </c>
      <c r="L6977" s="1">
        <v>0.98229745067868024</v>
      </c>
      <c r="M6977" s="1">
        <v>0.11794791324251043</v>
      </c>
      <c r="N6977" s="1">
        <v>0.4916997550845506</v>
      </c>
      <c r="O6977" s="1">
        <v>0.12811259259259261</v>
      </c>
      <c r="P6977" s="1">
        <v>7.224807153596903E-2</v>
      </c>
      <c r="Q6977" s="1">
        <v>0.47596003184448193</v>
      </c>
      <c r="R6977" s="2">
        <f t="shared" si="435"/>
        <v>14.816567188249953</v>
      </c>
      <c r="S6977" s="2">
        <f t="shared" si="434"/>
        <v>1.4748925897610343</v>
      </c>
      <c r="T6977" s="2">
        <f t="shared" si="436"/>
        <v>1.7200577115983338</v>
      </c>
      <c r="U6977" s="2">
        <f t="shared" si="437"/>
        <v>18.011517489609322</v>
      </c>
    </row>
    <row r="6978" spans="1:21" x14ac:dyDescent="0.25">
      <c r="A6978">
        <v>7596653</v>
      </c>
      <c r="B6978">
        <v>56</v>
      </c>
      <c r="C6978" s="1">
        <f>0.653931135521574*(10.3/7.3)</f>
        <v>0.92266995833865995</v>
      </c>
      <c r="D6978" s="1">
        <f>1.45433615865009*(10.3/7.3)</f>
        <v>2.052008552615876</v>
      </c>
      <c r="E6978" s="1">
        <f>4.91175307260949*(10.3/7.3)</f>
        <v>6.9302817325859936</v>
      </c>
      <c r="F6978" s="1">
        <f>16.3401740872708*(38.9/42.5)</f>
        <v>14.956065223407887</v>
      </c>
      <c r="G6978" s="1">
        <v>0.94580107332900076</v>
      </c>
      <c r="H6978" s="1">
        <v>3.1107355785342299</v>
      </c>
      <c r="I6978" s="1">
        <v>12.003127258613876</v>
      </c>
      <c r="J6978" s="1">
        <v>2.5875208054508943E-2</v>
      </c>
      <c r="K6978" s="1">
        <v>2.2321660521469124</v>
      </c>
      <c r="L6978" s="1">
        <v>1.8392404162832026</v>
      </c>
      <c r="M6978" s="1">
        <v>0.2118148486282927</v>
      </c>
      <c r="N6978" s="1">
        <v>0.85702513001245861</v>
      </c>
      <c r="O6978" s="1">
        <v>0.23379238095238083</v>
      </c>
      <c r="P6978" s="1">
        <v>0.10755943083628094</v>
      </c>
      <c r="Q6978" s="1">
        <v>1.5115542267815096</v>
      </c>
      <c r="R6978" s="2">
        <f t="shared" si="435"/>
        <v>42.432243604207031</v>
      </c>
      <c r="S6978" s="2">
        <f t="shared" si="434"/>
        <v>2.3656006910377023</v>
      </c>
      <c r="T6978" s="2">
        <f t="shared" si="436"/>
        <v>3.141872775876335</v>
      </c>
      <c r="U6978" s="2">
        <f t="shared" si="437"/>
        <v>47.939717071121066</v>
      </c>
    </row>
    <row r="6979" spans="1:21" x14ac:dyDescent="0.25">
      <c r="A6979">
        <v>7596661</v>
      </c>
      <c r="B6979">
        <v>15</v>
      </c>
      <c r="C6979" s="1">
        <f>0.60014609443045*(10.3/7.3)</f>
        <v>0.84678147570323781</v>
      </c>
      <c r="D6979" s="1">
        <f>1.5698005793039*(10.3/7.3)</f>
        <v>2.2149241050452302</v>
      </c>
      <c r="E6979" s="1">
        <f>5.21300875372875*(10.3/7.3)</f>
        <v>7.3553411182748185</v>
      </c>
      <c r="F6979" s="1">
        <f>20.8734537984315*(38.9/42.5)</f>
        <v>19.105349476682001</v>
      </c>
      <c r="G6979" s="1">
        <v>1.308805149826759</v>
      </c>
      <c r="H6979" s="1">
        <v>7.037061237546868</v>
      </c>
      <c r="I6979" s="1">
        <v>15.644232815400265</v>
      </c>
      <c r="J6979" s="1">
        <v>2.7390728893596013E-2</v>
      </c>
      <c r="K6979" s="1">
        <v>2.0361954057399418</v>
      </c>
      <c r="L6979" s="1">
        <v>1.6449377134606684</v>
      </c>
      <c r="M6979" s="1">
        <v>0.19127674572487197</v>
      </c>
      <c r="N6979" s="1">
        <v>0.82693160111227626</v>
      </c>
      <c r="O6979" s="1">
        <v>0.21228444444444439</v>
      </c>
      <c r="P6979" s="1">
        <v>9.8308797863942129E-2</v>
      </c>
      <c r="Q6979" s="1">
        <v>2.0916977280336346</v>
      </c>
      <c r="R6979" s="2">
        <f t="shared" si="435"/>
        <v>55.604193106512817</v>
      </c>
      <c r="S6979" s="2">
        <f t="shared" si="434"/>
        <v>2.1618949324974803</v>
      </c>
      <c r="T6979" s="2">
        <f t="shared" si="436"/>
        <v>2.875430504742261</v>
      </c>
      <c r="U6979" s="2">
        <f t="shared" si="437"/>
        <v>60.641518543752561</v>
      </c>
    </row>
    <row r="6980" spans="1:21" x14ac:dyDescent="0.25">
      <c r="A6980">
        <v>7596693</v>
      </c>
      <c r="B6980">
        <v>4</v>
      </c>
      <c r="C6980" s="1">
        <f>0.307839737447103*(10.3/7.3)</f>
        <v>0.43434921858974812</v>
      </c>
      <c r="D6980" s="1">
        <f>0.84925187536541*(10.3/7.3)</f>
        <v>1.1982594953785919</v>
      </c>
      <c r="E6980" s="1">
        <f>2.79958093266679*(10.3/7.3)</f>
        <v>3.9500936447216302</v>
      </c>
      <c r="F6980" s="1">
        <f>12.1226176737669*(38.9/42.5)</f>
        <v>11.095760647283161</v>
      </c>
      <c r="G6980" s="1">
        <v>0.78097305211437107</v>
      </c>
      <c r="H6980" s="1">
        <v>5.4769897281473554</v>
      </c>
      <c r="I6980" s="1">
        <v>9.1757179695935793</v>
      </c>
      <c r="J6980" s="1">
        <v>1.4416284765149411E-2</v>
      </c>
      <c r="K6980" s="1">
        <v>1.3914794065313949</v>
      </c>
      <c r="L6980" s="1">
        <v>0.97130421142808088</v>
      </c>
      <c r="M6980" s="1">
        <v>0.12507222652754235</v>
      </c>
      <c r="N6980" s="1">
        <v>0.52939407933882254</v>
      </c>
      <c r="O6980" s="1">
        <v>0.12545333333333333</v>
      </c>
      <c r="P6980" s="1">
        <v>6.8110636709692071E-2</v>
      </c>
      <c r="Q6980" s="1">
        <v>1.2481304485846128</v>
      </c>
      <c r="R6980" s="2">
        <f t="shared" si="435"/>
        <v>33.360274204413052</v>
      </c>
      <c r="S6980" s="2">
        <f t="shared" si="434"/>
        <v>1.4740063280062363</v>
      </c>
      <c r="T6980" s="2">
        <f t="shared" si="436"/>
        <v>1.7512238506277791</v>
      </c>
      <c r="U6980" s="2">
        <f t="shared" si="437"/>
        <v>36.585504383047066</v>
      </c>
    </row>
    <row r="6981" spans="1:21" x14ac:dyDescent="0.25">
      <c r="A6981">
        <v>7596701</v>
      </c>
      <c r="B6981">
        <v>6</v>
      </c>
      <c r="C6981" s="1">
        <f>0.314484572423265*(10.3/7.3)</f>
        <v>0.4437248076657031</v>
      </c>
      <c r="D6981" s="1">
        <f>0.752862938972014*(10.3/7.3)</f>
        <v>1.0622586673166772</v>
      </c>
      <c r="E6981" s="1">
        <f>2.51614438635598*(10.3/7.3)</f>
        <v>3.5501763259543342</v>
      </c>
      <c r="F6981" s="1">
        <f>9.50200399562959*(38.9/42.5)</f>
        <v>8.6971283630586171</v>
      </c>
      <c r="G6981" s="1">
        <v>0.58150281547095128</v>
      </c>
      <c r="H6981" s="1">
        <v>3.9152946605129846</v>
      </c>
      <c r="I6981" s="1">
        <v>7.1023370342687109</v>
      </c>
      <c r="J6981" s="1">
        <v>1.4087436473964987E-2</v>
      </c>
      <c r="K6981" s="1">
        <v>1.3841270671720938</v>
      </c>
      <c r="L6981" s="1">
        <v>0.97205091398126553</v>
      </c>
      <c r="M6981" s="1">
        <v>0.12606797500135319</v>
      </c>
      <c r="N6981" s="1">
        <v>0.51978683443727525</v>
      </c>
      <c r="O6981" s="1">
        <v>0.12575111111111112</v>
      </c>
      <c r="P6981" s="1">
        <v>6.7614061043076462E-2</v>
      </c>
      <c r="Q6981" s="1">
        <v>0.92934239915448913</v>
      </c>
      <c r="R6981" s="2">
        <f t="shared" si="435"/>
        <v>26.281765073402468</v>
      </c>
      <c r="S6981" s="2">
        <f t="shared" si="434"/>
        <v>1.4658285646891351</v>
      </c>
      <c r="T6981" s="2">
        <f t="shared" si="436"/>
        <v>1.7436568345310053</v>
      </c>
      <c r="U6981" s="2">
        <f t="shared" si="437"/>
        <v>29.49125047262261</v>
      </c>
    </row>
    <row r="6982" spans="1:21" x14ac:dyDescent="0.25">
      <c r="A6982">
        <v>7596885</v>
      </c>
      <c r="B6982">
        <v>1</v>
      </c>
      <c r="C6982" s="1">
        <f>0.655986605738619*(10.3/7.3)</f>
        <v>0.92557014234353097</v>
      </c>
      <c r="D6982" s="1">
        <f>2.05780341264282*(10.3/7.3)</f>
        <v>2.9034760479754831</v>
      </c>
      <c r="E6982" s="1">
        <f>6.84976225564921*(10.3/7.3)</f>
        <v>9.6647330456420413</v>
      </c>
      <c r="F6982" s="1">
        <f>25.26212477518*(38.9/42.5)</f>
        <v>23.122274205988276</v>
      </c>
      <c r="G6982" s="1">
        <v>1.5471930498353741</v>
      </c>
      <c r="H6982" s="1">
        <v>4.9680881986690828</v>
      </c>
      <c r="I6982" s="1">
        <v>18.324256508561572</v>
      </c>
      <c r="J6982" s="1">
        <v>2.0146731439272821E-2</v>
      </c>
      <c r="K6982" s="1">
        <v>1.9229257676521425</v>
      </c>
      <c r="L6982" s="1">
        <v>1.5817106897704281</v>
      </c>
      <c r="M6982" s="1">
        <v>0.18077222620434699</v>
      </c>
      <c r="N6982" s="1">
        <v>0.83238691832601008</v>
      </c>
      <c r="O6982" s="1">
        <v>0.15871999999999997</v>
      </c>
      <c r="P6982" s="1">
        <v>8.7032213712387688E-2</v>
      </c>
      <c r="Q6982" s="1">
        <v>2.4726829563579065</v>
      </c>
      <c r="R6982" s="2">
        <f t="shared" si="435"/>
        <v>63.928274155373266</v>
      </c>
      <c r="S6982" s="2">
        <f t="shared" si="434"/>
        <v>2.0301047128038032</v>
      </c>
      <c r="T6982" s="2">
        <f t="shared" si="436"/>
        <v>2.7535898343007847</v>
      </c>
      <c r="U6982" s="2">
        <f t="shared" si="437"/>
        <v>68.711968702477847</v>
      </c>
    </row>
    <row r="6983" spans="1:21" x14ac:dyDescent="0.25">
      <c r="A6983">
        <v>7597109</v>
      </c>
      <c r="B6983">
        <v>2</v>
      </c>
      <c r="C6983" s="1">
        <f>0.796384467622568*(10.3/7.3)</f>
        <v>1.1236657556866365</v>
      </c>
      <c r="D6983" s="1">
        <f>2.51016955794914*(10.3/7.3)</f>
        <v>3.5417460886131749</v>
      </c>
      <c r="E6983" s="1">
        <f>8.30037235454636*(10.3/7.3)</f>
        <v>11.711484281072257</v>
      </c>
      <c r="F6983" s="1">
        <f>33.4514121385635*(38.9/42.5)</f>
        <v>30.617880757414575</v>
      </c>
      <c r="G6983" s="1">
        <v>2.114246813245912</v>
      </c>
      <c r="H6983" s="1">
        <v>10.03862852043445</v>
      </c>
      <c r="I6983" s="1">
        <v>24.723222143719376</v>
      </c>
      <c r="J6983" s="1">
        <v>2.2085875556321615E-2</v>
      </c>
      <c r="K6983" s="1">
        <v>1.6648118002569567</v>
      </c>
      <c r="L6983" s="1">
        <v>1.4785325316550459</v>
      </c>
      <c r="M6983" s="1">
        <v>0.13025011459187558</v>
      </c>
      <c r="N6983" s="1">
        <v>1.0248606824723647</v>
      </c>
      <c r="O6983" s="1">
        <v>0.11208</v>
      </c>
      <c r="P6983" s="1">
        <v>7.1712762096091801E-2</v>
      </c>
      <c r="Q6983" s="1">
        <v>3.3789332631784017</v>
      </c>
      <c r="R6983" s="2">
        <f t="shared" si="435"/>
        <v>87.249807623364774</v>
      </c>
      <c r="S6983" s="2">
        <f t="shared" si="434"/>
        <v>1.7586104379093701</v>
      </c>
      <c r="T6983" s="2">
        <f t="shared" si="436"/>
        <v>2.7457233287192864</v>
      </c>
      <c r="U6983" s="2">
        <f t="shared" si="437"/>
        <v>91.754141389993435</v>
      </c>
    </row>
    <row r="6984" spans="1:21" x14ac:dyDescent="0.25">
      <c r="A6984">
        <v>7597125</v>
      </c>
      <c r="B6984">
        <v>17</v>
      </c>
      <c r="C6984" s="1">
        <f>0.844987782512555*(10.3/7.3)</f>
        <v>1.1922430355999067</v>
      </c>
      <c r="D6984" s="1">
        <f>2.54573447970067*(10.3/7.3)</f>
        <v>3.5919267316324563</v>
      </c>
      <c r="E6984" s="1">
        <f>8.44901321869667*(10.3/7.3)</f>
        <v>11.921210431859679</v>
      </c>
      <c r="F6984" s="1">
        <f>32.7964194597782*(38.9/42.5)</f>
        <v>30.018369811420531</v>
      </c>
      <c r="G6984" s="1">
        <v>2.0437161681781535</v>
      </c>
      <c r="H6984" s="1">
        <v>11.197414394876436</v>
      </c>
      <c r="I6984" s="1">
        <v>24.136667453876409</v>
      </c>
      <c r="J6984" s="1">
        <v>2.1650323170654202E-2</v>
      </c>
      <c r="K6984" s="1">
        <v>1.6365305658451486</v>
      </c>
      <c r="L6984" s="1">
        <v>1.4327165202606214</v>
      </c>
      <c r="M6984" s="1">
        <v>0.12660749793811202</v>
      </c>
      <c r="N6984" s="1">
        <v>1.8970720522409896</v>
      </c>
      <c r="O6984" s="1">
        <v>0.10905098039215685</v>
      </c>
      <c r="P6984" s="1">
        <v>7.0361065229703396E-2</v>
      </c>
      <c r="Q6984" s="1">
        <v>3.2662130541660019</v>
      </c>
      <c r="R6984" s="2">
        <f t="shared" si="435"/>
        <v>87.367761081609572</v>
      </c>
      <c r="S6984" s="2">
        <f t="shared" si="434"/>
        <v>1.7285419542455061</v>
      </c>
      <c r="T6984" s="2">
        <f t="shared" si="436"/>
        <v>3.5654470508318798</v>
      </c>
      <c r="U6984" s="2">
        <f t="shared" si="437"/>
        <v>92.661750086686951</v>
      </c>
    </row>
    <row r="6985" spans="1:21" x14ac:dyDescent="0.25">
      <c r="A6985">
        <v>7597165</v>
      </c>
      <c r="B6985">
        <v>47</v>
      </c>
      <c r="C6985" s="1">
        <f>1.25612761559281*(10.3/7.3)</f>
        <v>1.7723444439186267</v>
      </c>
      <c r="D6985" s="1">
        <f>3.7778959346758*(10.3/7.3)</f>
        <v>5.330455907830232</v>
      </c>
      <c r="E6985" s="1">
        <f>12.6283877287844*(10.3/7.3)</f>
        <v>17.818136110476608</v>
      </c>
      <c r="F6985" s="1">
        <f>44.3310799975752*(38.9/42.5)</f>
        <v>40.575976750721814</v>
      </c>
      <c r="G6985" s="1">
        <v>2.6597046161827538</v>
      </c>
      <c r="H6985" s="1">
        <v>10.674174739223234</v>
      </c>
      <c r="I6985" s="1">
        <v>31.907390585119806</v>
      </c>
      <c r="J6985" s="1">
        <v>2.4151954662362939E-2</v>
      </c>
      <c r="K6985" s="1">
        <v>1.771786943987</v>
      </c>
      <c r="L6985" s="1">
        <v>1.5668179418787973</v>
      </c>
      <c r="M6985" s="1">
        <v>0.13269509727426435</v>
      </c>
      <c r="N6985" s="1">
        <v>1.0879493255267816</v>
      </c>
      <c r="O6985" s="1">
        <v>0.11543829787234043</v>
      </c>
      <c r="P6985" s="1">
        <v>7.481068134399603E-2</v>
      </c>
      <c r="Q6985" s="1">
        <v>4.2506694779176453</v>
      </c>
      <c r="R6985" s="2">
        <f t="shared" si="435"/>
        <v>114.98885263139071</v>
      </c>
      <c r="S6985" s="2">
        <f t="shared" ref="S6985:S7048" si="438">J6985+K6985+P6985</f>
        <v>1.8707495799933589</v>
      </c>
      <c r="T6985" s="2">
        <f t="shared" si="436"/>
        <v>2.9029006625521836</v>
      </c>
      <c r="U6985" s="2">
        <f t="shared" si="437"/>
        <v>119.76250287393626</v>
      </c>
    </row>
    <row r="6986" spans="1:21" x14ac:dyDescent="0.25">
      <c r="A6986">
        <v>7597269</v>
      </c>
      <c r="B6986">
        <v>27</v>
      </c>
      <c r="C6986" s="1">
        <f>2.22695275245058*(10.3/7.3)</f>
        <v>3.1421388151015051</v>
      </c>
      <c r="D6986" s="1">
        <f>6.62081944975788*(10.3/7.3)</f>
        <v>9.3417041551378297</v>
      </c>
      <c r="E6986" s="1">
        <f>22.2936914243756*(10.3/7.3)</f>
        <v>31.455482420694381</v>
      </c>
      <c r="F6986" s="1">
        <f>70.0834884858326*(38.9/42.5)</f>
        <v>64.147004755268</v>
      </c>
      <c r="G6986" s="1">
        <v>4.0048830215854787</v>
      </c>
      <c r="H6986" s="1">
        <v>15.041613890358553</v>
      </c>
      <c r="I6986" s="1">
        <v>49.108172444391137</v>
      </c>
      <c r="J6986" s="1">
        <v>3.6918387178915206E-2</v>
      </c>
      <c r="K6986" s="1">
        <v>2.1988797023912303</v>
      </c>
      <c r="L6986" s="1">
        <v>2.0122386951136408</v>
      </c>
      <c r="M6986" s="1">
        <v>0.15779458309422839</v>
      </c>
      <c r="N6986" s="1">
        <v>1.4117274533961743</v>
      </c>
      <c r="O6986" s="1">
        <v>0.13646814814814812</v>
      </c>
      <c r="P6986" s="1">
        <v>8.4572730492142367E-2</v>
      </c>
      <c r="Q6986" s="1">
        <v>6.4004979797028261</v>
      </c>
      <c r="R6986" s="2">
        <f t="shared" ref="R6986:R7049" si="439">C6986+D6986+E6986+F6986+G6986+H6986+I6986+Q6986</f>
        <v>182.64149748223971</v>
      </c>
      <c r="S6986" s="2">
        <f t="shared" si="438"/>
        <v>2.3203708200622879</v>
      </c>
      <c r="T6986" s="2">
        <f t="shared" ref="T6986:T7049" si="440">L6986+M6986+N6986+O6986</f>
        <v>3.7182288797521919</v>
      </c>
      <c r="U6986" s="2">
        <f t="shared" ref="U6986:U7049" si="441">R6986+S6986+T6986</f>
        <v>188.6800971820542</v>
      </c>
    </row>
    <row r="6987" spans="1:21" x14ac:dyDescent="0.25">
      <c r="A6987">
        <v>7597341</v>
      </c>
      <c r="B6987">
        <v>35</v>
      </c>
      <c r="C6987" s="1">
        <f>1.51444200650372*(10.3/7.3)</f>
        <v>2.1368154338340153</v>
      </c>
      <c r="D6987" s="1">
        <f>3.3437983514206*(10.3/7.3)</f>
        <v>4.7179620574838541</v>
      </c>
      <c r="E6987" s="1">
        <f>11.4057868665343*(10.3/7.3)</f>
        <v>16.093096537712764</v>
      </c>
      <c r="F6987" s="1">
        <f>32.2152670523228*(38.9/42.5)</f>
        <v>29.486444431420143</v>
      </c>
      <c r="G6987" s="1">
        <v>1.7133469299643169</v>
      </c>
      <c r="H6987" s="1">
        <v>8.8080033697064621</v>
      </c>
      <c r="I6987" s="1">
        <v>22.789196929971535</v>
      </c>
      <c r="J6987" s="1">
        <v>2.7927312317294548E-2</v>
      </c>
      <c r="K6987" s="1">
        <v>1.749118687796176</v>
      </c>
      <c r="L6987" s="1">
        <v>1.486803167571062</v>
      </c>
      <c r="M6987" s="1">
        <v>0.1208080654540739</v>
      </c>
      <c r="N6987" s="1">
        <v>1.1101933732434344</v>
      </c>
      <c r="O6987" s="1">
        <v>0.10323961904761904</v>
      </c>
      <c r="P6987" s="1">
        <v>6.7314110246864595E-2</v>
      </c>
      <c r="Q6987" s="1">
        <v>2.7382256871575867</v>
      </c>
      <c r="R6987" s="2">
        <f t="shared" si="439"/>
        <v>88.483091377250673</v>
      </c>
      <c r="S6987" s="2">
        <f t="shared" si="438"/>
        <v>1.8443601103603351</v>
      </c>
      <c r="T6987" s="2">
        <f t="shared" si="440"/>
        <v>2.8210442253161898</v>
      </c>
      <c r="U6987" s="2">
        <f t="shared" si="441"/>
        <v>93.1484957129272</v>
      </c>
    </row>
    <row r="6988" spans="1:21" x14ac:dyDescent="0.25">
      <c r="A6988">
        <v>7597349</v>
      </c>
      <c r="B6988">
        <v>2</v>
      </c>
      <c r="C6988" s="1">
        <f>2.07669348046215*(10.3/7.3)</f>
        <v>2.9301291573644028</v>
      </c>
      <c r="D6988" s="1">
        <f>4.51170111215443*(10.3/7.3)</f>
        <v>6.3658248568754301</v>
      </c>
      <c r="E6988" s="1">
        <f>15.420198838992*(10.3/7.3)</f>
        <v>21.757266855016077</v>
      </c>
      <c r="F6988" s="1">
        <f>42.3159426410026*(38.9/42.5)</f>
        <v>38.731533382000023</v>
      </c>
      <c r="G6988" s="1">
        <v>2.2097393107738927</v>
      </c>
      <c r="H6988" s="1">
        <v>8.5707079370548769</v>
      </c>
      <c r="I6988" s="1">
        <v>29.783012936958777</v>
      </c>
      <c r="J6988" s="1">
        <v>3.2477481557749398E-2</v>
      </c>
      <c r="K6988" s="1">
        <v>2.0031519413553101</v>
      </c>
      <c r="L6988" s="1">
        <v>1.7420903071438472</v>
      </c>
      <c r="M6988" s="1">
        <v>0.13535009476415996</v>
      </c>
      <c r="N6988" s="1">
        <v>1.2295223854697706</v>
      </c>
      <c r="O6988" s="1">
        <v>0.11778666666666666</v>
      </c>
      <c r="P6988" s="1">
        <v>7.5321537501475827E-2</v>
      </c>
      <c r="Q6988" s="1">
        <v>3.5315468437025719</v>
      </c>
      <c r="R6988" s="2">
        <f t="shared" si="439"/>
        <v>113.87976127974606</v>
      </c>
      <c r="S6988" s="2">
        <f t="shared" si="438"/>
        <v>2.1109509604145353</v>
      </c>
      <c r="T6988" s="2">
        <f t="shared" si="440"/>
        <v>3.2247494540444439</v>
      </c>
      <c r="U6988" s="2">
        <f t="shared" si="441"/>
        <v>119.21546169420505</v>
      </c>
    </row>
    <row r="6989" spans="1:21" x14ac:dyDescent="0.25">
      <c r="A6989">
        <v>7608881</v>
      </c>
      <c r="B6989">
        <v>55</v>
      </c>
      <c r="C6989" s="1">
        <f>0.340089787124162*(10.3/7.3)</f>
        <v>0.4798527133395708</v>
      </c>
      <c r="D6989" s="1">
        <f>0.666482259877522*(10.3/7.3)</f>
        <v>0.94037907900527096</v>
      </c>
      <c r="E6989" s="1">
        <f>2.27195389965737*(10.3/7.3)</f>
        <v>3.2056335844480768</v>
      </c>
      <c r="F6989" s="1">
        <f>6.87542254605494*(38.9/42.5)</f>
        <v>6.2930338127420535</v>
      </c>
      <c r="G6989" s="1">
        <v>0.37702857037263066</v>
      </c>
      <c r="H6989" s="1">
        <v>1.3752037022633459</v>
      </c>
      <c r="I6989" s="1">
        <v>5.0364967924091397</v>
      </c>
      <c r="J6989" s="1">
        <v>1.4660654726985573E-2</v>
      </c>
      <c r="K6989" s="1">
        <v>1.4705409057513739</v>
      </c>
      <c r="L6989" s="1">
        <v>1.0501444099197441</v>
      </c>
      <c r="M6989" s="1">
        <v>0.12210977613590145</v>
      </c>
      <c r="N6989" s="1">
        <v>0.52348919346439649</v>
      </c>
      <c r="O6989" s="1">
        <v>0.13514375757575761</v>
      </c>
      <c r="P6989" s="1">
        <v>7.5794184643689047E-2</v>
      </c>
      <c r="Q6989" s="1">
        <v>0.60255707593799479</v>
      </c>
      <c r="R6989" s="2">
        <f t="shared" si="439"/>
        <v>18.310185330518081</v>
      </c>
      <c r="S6989" s="2">
        <f t="shared" si="438"/>
        <v>1.5609957451220486</v>
      </c>
      <c r="T6989" s="2">
        <f t="shared" si="440"/>
        <v>1.8308871370957995</v>
      </c>
      <c r="U6989" s="2">
        <f t="shared" si="441"/>
        <v>21.702068212735931</v>
      </c>
    </row>
    <row r="6990" spans="1:21" x14ac:dyDescent="0.25">
      <c r="A6990">
        <v>7608889</v>
      </c>
      <c r="B6990">
        <v>35</v>
      </c>
      <c r="C6990" s="1">
        <f>0.582086405935226*(10.3/7.3)</f>
        <v>0.82129999741545578</v>
      </c>
      <c r="D6990" s="1">
        <f>1.32974939068719*(10.3/7.3)</f>
        <v>1.8762217430243924</v>
      </c>
      <c r="E6990" s="1">
        <f>4.4761373342731*(10.3/7.3)</f>
        <v>6.3156458278099912</v>
      </c>
      <c r="F6990" s="1">
        <f>15.500787331113*(38.9/42.5)</f>
        <v>14.187779463065782</v>
      </c>
      <c r="G6990" s="1">
        <v>0.91441040554209374</v>
      </c>
      <c r="H6990" s="1">
        <v>4.7886650191576017</v>
      </c>
      <c r="I6990" s="1">
        <v>11.445859382263043</v>
      </c>
      <c r="J6990" s="1">
        <v>2.5096004301692326E-2</v>
      </c>
      <c r="K6990" s="1">
        <v>2.0211097883913149</v>
      </c>
      <c r="L6990" s="1">
        <v>1.6232140214251565</v>
      </c>
      <c r="M6990" s="1">
        <v>0.18875149545063671</v>
      </c>
      <c r="N6990" s="1">
        <v>0.78669322216737159</v>
      </c>
      <c r="O6990" s="1">
        <v>0.20759619047619049</v>
      </c>
      <c r="P6990" s="1">
        <v>9.8142438862785369E-2</v>
      </c>
      <c r="Q6990" s="1">
        <v>1.461386492875494</v>
      </c>
      <c r="R6990" s="2">
        <f t="shared" si="439"/>
        <v>41.811268331153848</v>
      </c>
      <c r="S6990" s="2">
        <f t="shared" si="438"/>
        <v>2.1443482315557927</v>
      </c>
      <c r="T6990" s="2">
        <f t="shared" si="440"/>
        <v>2.8062549295193553</v>
      </c>
      <c r="U6990" s="2">
        <f t="shared" si="441"/>
        <v>46.761871492228998</v>
      </c>
    </row>
    <row r="6991" spans="1:21" x14ac:dyDescent="0.25">
      <c r="A6991">
        <v>7608929</v>
      </c>
      <c r="B6991">
        <v>15</v>
      </c>
      <c r="C6991" s="1">
        <f>0.30586686536427*(10.3/7.3)</f>
        <v>0.43156557715780619</v>
      </c>
      <c r="D6991" s="1">
        <f>0.837369936232849*(10.3/7.3)</f>
        <v>1.1814945675614177</v>
      </c>
      <c r="E6991" s="1">
        <f>2.76217293086144*(10.3/7.3)</f>
        <v>3.8973124914894268</v>
      </c>
      <c r="F6991" s="1">
        <f>11.8911327822563*(38.9/42.5)</f>
        <v>10.883883887759316</v>
      </c>
      <c r="G6991" s="1">
        <v>0.76451221990940732</v>
      </c>
      <c r="H6991" s="1">
        <v>4.7983423859762206</v>
      </c>
      <c r="I6991" s="1">
        <v>8.9966274767052905</v>
      </c>
      <c r="J6991" s="1">
        <v>1.4276400481286445E-2</v>
      </c>
      <c r="K6991" s="1">
        <v>1.3849902208085247</v>
      </c>
      <c r="L6991" s="1">
        <v>0.96976851606691317</v>
      </c>
      <c r="M6991" s="1">
        <v>0.12493027629869834</v>
      </c>
      <c r="N6991" s="1">
        <v>0.52340091085380769</v>
      </c>
      <c r="O6991" s="1">
        <v>0.12547555555555553</v>
      </c>
      <c r="P6991" s="1">
        <v>6.7795671112020631E-2</v>
      </c>
      <c r="Q6991" s="1">
        <v>1.2218231825036203</v>
      </c>
      <c r="R6991" s="2">
        <f t="shared" si="439"/>
        <v>32.175561789062506</v>
      </c>
      <c r="S6991" s="2">
        <f t="shared" si="438"/>
        <v>1.4670622924018319</v>
      </c>
      <c r="T6991" s="2">
        <f t="shared" si="440"/>
        <v>1.7435752587749747</v>
      </c>
      <c r="U6991" s="2">
        <f t="shared" si="441"/>
        <v>35.386199340239315</v>
      </c>
    </row>
    <row r="6992" spans="1:21" x14ac:dyDescent="0.25">
      <c r="A6992">
        <v>7609113</v>
      </c>
      <c r="B6992">
        <v>10</v>
      </c>
      <c r="C6992" s="1">
        <f>0.490496360028603*(10.3/7.3)</f>
        <v>0.69207020661570029</v>
      </c>
      <c r="D6992" s="1">
        <f>1.3967910701756*(10.3/7.3)</f>
        <v>1.9708147976450265</v>
      </c>
      <c r="E6992" s="1">
        <f>4.66967320224536*(10.3/7.3)</f>
        <v>6.5887169839900306</v>
      </c>
      <c r="F6992" s="1">
        <f>16.6230042778753*(38.9/42.5)</f>
        <v>15.214938033161147</v>
      </c>
      <c r="G6992" s="1">
        <v>1.0009545049871156</v>
      </c>
      <c r="H6992" s="1">
        <v>3.4105472007252828</v>
      </c>
      <c r="I6992" s="1">
        <v>12.064336425700963</v>
      </c>
      <c r="J6992" s="1">
        <v>1.6978755514133581E-2</v>
      </c>
      <c r="K6992" s="1">
        <v>1.6750955735538444</v>
      </c>
      <c r="L6992" s="1">
        <v>1.3134786294948488</v>
      </c>
      <c r="M6992" s="1">
        <v>0.1543622375552775</v>
      </c>
      <c r="N6992" s="1">
        <v>0.73523032650054632</v>
      </c>
      <c r="O6992" s="1">
        <v>0.13471466666666668</v>
      </c>
      <c r="P6992" s="1">
        <v>7.7257478897856252E-2</v>
      </c>
      <c r="Q6992" s="1">
        <v>1.5996989805730173</v>
      </c>
      <c r="R6992" s="2">
        <f t="shared" si="439"/>
        <v>42.542077133398287</v>
      </c>
      <c r="S6992" s="2">
        <f t="shared" si="438"/>
        <v>1.7693318079658342</v>
      </c>
      <c r="T6992" s="2">
        <f t="shared" si="440"/>
        <v>2.3377858602173394</v>
      </c>
      <c r="U6992" s="2">
        <f t="shared" si="441"/>
        <v>46.649194801581459</v>
      </c>
    </row>
    <row r="6993" spans="1:21" x14ac:dyDescent="0.25">
      <c r="A6993">
        <v>7609393</v>
      </c>
      <c r="B6993">
        <v>22</v>
      </c>
      <c r="C6993" s="1">
        <f>1.26055736005874*(10.3/7.3)</f>
        <v>1.7785946313157635</v>
      </c>
      <c r="D6993" s="1">
        <f>3.72155138827924*(10.3/7.3)</f>
        <v>5.2509560683939958</v>
      </c>
      <c r="E6993" s="1">
        <f>12.4738704316636*(10.3/7.3)</f>
        <v>17.600118554265034</v>
      </c>
      <c r="F6993" s="1">
        <f>42.263404385931*(38.9/42.5)</f>
        <v>38.683445426181542</v>
      </c>
      <c r="G6993" s="1">
        <v>2.4969971302017817</v>
      </c>
      <c r="H6993" s="1">
        <v>11.618009684827868</v>
      </c>
      <c r="I6993" s="1">
        <v>30.212999220813629</v>
      </c>
      <c r="J6993" s="1">
        <v>2.4729005751272546E-2</v>
      </c>
      <c r="K6993" s="1">
        <v>1.8046073413688217</v>
      </c>
      <c r="L6993" s="1">
        <v>1.6064249547063247</v>
      </c>
      <c r="M6993" s="1">
        <v>0.13531419112898846</v>
      </c>
      <c r="N6993" s="1">
        <v>1.0761602975734499</v>
      </c>
      <c r="O6993" s="1">
        <v>0.11784727272727274</v>
      </c>
      <c r="P6993" s="1">
        <v>7.5909044459496186E-2</v>
      </c>
      <c r="Q6993" s="1">
        <v>3.990634682970887</v>
      </c>
      <c r="R6993" s="2">
        <f t="shared" si="439"/>
        <v>111.6317553989705</v>
      </c>
      <c r="S6993" s="2">
        <f t="shared" si="438"/>
        <v>1.9052453915795904</v>
      </c>
      <c r="T6993" s="2">
        <f t="shared" si="440"/>
        <v>2.9357467161360353</v>
      </c>
      <c r="U6993" s="2">
        <f t="shared" si="441"/>
        <v>116.47274750668612</v>
      </c>
    </row>
    <row r="6994" spans="1:21" x14ac:dyDescent="0.25">
      <c r="A6994">
        <v>7609401</v>
      </c>
      <c r="B6994">
        <v>13</v>
      </c>
      <c r="C6994" s="1">
        <f>1.47698857080227*(10.3/7.3)</f>
        <v>2.0839701752415558</v>
      </c>
      <c r="D6994" s="1">
        <f>4.63992140789795*(10.3/7.3)</f>
        <v>6.5467384248423164</v>
      </c>
      <c r="E6994" s="1">
        <f>15.5106499850516*(10.3/7.3)</f>
        <v>21.884889704935802</v>
      </c>
      <c r="F6994" s="1">
        <f>53.7474992202031*(38.9/42.5)</f>
        <v>49.194769874491811</v>
      </c>
      <c r="G6994" s="1">
        <v>3.2125756039577564</v>
      </c>
      <c r="H6994" s="1">
        <v>12.826540707439186</v>
      </c>
      <c r="I6994" s="1">
        <v>38.41241332578732</v>
      </c>
      <c r="J6994" s="1">
        <v>2.6533079494175476E-2</v>
      </c>
      <c r="K6994" s="1">
        <v>1.9055372061059472</v>
      </c>
      <c r="L6994" s="1">
        <v>1.7224771109476782</v>
      </c>
      <c r="M6994" s="1">
        <v>0.14228471849464269</v>
      </c>
      <c r="N6994" s="1">
        <v>1.2008534774092108</v>
      </c>
      <c r="O6994" s="1">
        <v>0.12475897435897434</v>
      </c>
      <c r="P6994" s="1">
        <v>7.9337676640575172E-2</v>
      </c>
      <c r="Q6994" s="1">
        <v>5.1342532483343195</v>
      </c>
      <c r="R6994" s="2">
        <f t="shared" si="439"/>
        <v>139.29615106503007</v>
      </c>
      <c r="S6994" s="2">
        <f t="shared" si="438"/>
        <v>2.011407962240698</v>
      </c>
      <c r="T6994" s="2">
        <f t="shared" si="440"/>
        <v>3.1903742812105063</v>
      </c>
      <c r="U6994" s="2">
        <f t="shared" si="441"/>
        <v>144.49793330848127</v>
      </c>
    </row>
    <row r="6995" spans="1:21" x14ac:dyDescent="0.25">
      <c r="A6995">
        <v>7609505</v>
      </c>
      <c r="B6995">
        <v>4</v>
      </c>
      <c r="C6995" s="1">
        <f>1.84677953500822*(10.3/7.3)</f>
        <v>2.6057300288472178</v>
      </c>
      <c r="D6995" s="1">
        <f>5.46084676761542*(10.3/7.3)</f>
        <v>7.7050303707450505</v>
      </c>
      <c r="E6995" s="1">
        <f>18.4323259107831*(10.3/7.3)</f>
        <v>26.007254367269326</v>
      </c>
      <c r="F6995" s="1">
        <f>55.7480185012416*(38.9/42.5)</f>
        <v>51.025833404665839</v>
      </c>
      <c r="G6995" s="1">
        <v>3.125501632573124</v>
      </c>
      <c r="H6995" s="1">
        <v>11.56533310886927</v>
      </c>
      <c r="I6995" s="1">
        <v>38.669952291331136</v>
      </c>
      <c r="J6995" s="1">
        <v>3.0568039867001136E-2</v>
      </c>
      <c r="K6995" s="1">
        <v>1.8535771994650585</v>
      </c>
      <c r="L6995" s="1">
        <v>1.6627368610384183</v>
      </c>
      <c r="M6995" s="1">
        <v>0.13396855410099062</v>
      </c>
      <c r="N6995" s="1">
        <v>1.3497840191418025</v>
      </c>
      <c r="O6995" s="1">
        <v>0.11516000000000001</v>
      </c>
      <c r="P6995" s="1">
        <v>7.2423258500076498E-2</v>
      </c>
      <c r="Q6995" s="1">
        <v>4.9950939333360491</v>
      </c>
      <c r="R6995" s="2">
        <f t="shared" si="439"/>
        <v>145.69972913763701</v>
      </c>
      <c r="S6995" s="2">
        <f t="shared" si="438"/>
        <v>1.9565684978321363</v>
      </c>
      <c r="T6995" s="2">
        <f t="shared" si="440"/>
        <v>3.2616494342812112</v>
      </c>
      <c r="U6995" s="2">
        <f t="shared" si="441"/>
        <v>150.91794706975037</v>
      </c>
    </row>
    <row r="6996" spans="1:21" x14ac:dyDescent="0.25">
      <c r="A6996">
        <v>7609569</v>
      </c>
      <c r="B6996">
        <v>12</v>
      </c>
      <c r="C6996" s="1">
        <f>1.59668547134497*(10.3/7.3)</f>
        <v>2.2528575828566031</v>
      </c>
      <c r="D6996" s="1">
        <f>3.7711065677494*(10.3/7.3)</f>
        <v>5.3208763901121685</v>
      </c>
      <c r="E6996" s="1">
        <f>12.7774073988348*(10.3/7.3)</f>
        <v>18.028396740821638</v>
      </c>
      <c r="F6996" s="1">
        <f>39.3778461516041*(38.9/42.5)</f>
        <v>36.042310948174062</v>
      </c>
      <c r="G6996" s="1">
        <v>2.2043745637217591</v>
      </c>
      <c r="H6996" s="1">
        <v>10.253050176969301</v>
      </c>
      <c r="I6996" s="1">
        <v>28.205605081564176</v>
      </c>
      <c r="J6996" s="1">
        <v>2.9234259485982159E-2</v>
      </c>
      <c r="K6996" s="1">
        <v>1.7985464899288404</v>
      </c>
      <c r="L6996" s="1">
        <v>1.540545917106722</v>
      </c>
      <c r="M6996" s="1">
        <v>0.12355240699785607</v>
      </c>
      <c r="N6996" s="1">
        <v>1.2259064037358496</v>
      </c>
      <c r="O6996" s="1">
        <v>0.10614666666666667</v>
      </c>
      <c r="P6996" s="1">
        <v>6.8741316038187741E-2</v>
      </c>
      <c r="Q6996" s="1">
        <v>3.5229730470439109</v>
      </c>
      <c r="R6996" s="2">
        <f t="shared" si="439"/>
        <v>105.83044453126361</v>
      </c>
      <c r="S6996" s="2">
        <f t="shared" si="438"/>
        <v>1.8965220654530104</v>
      </c>
      <c r="T6996" s="2">
        <f t="shared" si="440"/>
        <v>2.9961513945070939</v>
      </c>
      <c r="U6996" s="2">
        <f t="shared" si="441"/>
        <v>110.72311799122372</v>
      </c>
    </row>
    <row r="6997" spans="1:21" x14ac:dyDescent="0.25">
      <c r="A6997">
        <v>7609577</v>
      </c>
      <c r="B6997">
        <v>31</v>
      </c>
      <c r="C6997" s="1">
        <f>1.5135088656993*(10.3/7.3)</f>
        <v>2.1354988105072357</v>
      </c>
      <c r="D6997" s="1">
        <f>3.3130741376908*(10.3/7.3)</f>
        <v>4.6746114545500381</v>
      </c>
      <c r="E6997" s="1">
        <f>11.3114321395093*(10.3/7.3)</f>
        <v>15.959965895472006</v>
      </c>
      <c r="F6997" s="1">
        <f>31.5435418755675*(38.9/42.5)</f>
        <v>28.871618328460574</v>
      </c>
      <c r="G6997" s="1">
        <v>1.6641099243005859</v>
      </c>
      <c r="H6997" s="1">
        <v>7.2895416996895284</v>
      </c>
      <c r="I6997" s="1">
        <v>22.2692513782603</v>
      </c>
      <c r="J6997" s="1">
        <v>2.7307616850970769E-2</v>
      </c>
      <c r="K6997" s="1">
        <v>1.7313190238784484</v>
      </c>
      <c r="L6997" s="1">
        <v>1.4663242148542737</v>
      </c>
      <c r="M6997" s="1">
        <v>0.11874311092281756</v>
      </c>
      <c r="N6997" s="1">
        <v>1.07152409637039</v>
      </c>
      <c r="O6997" s="1">
        <v>0.10206967741935483</v>
      </c>
      <c r="P6997" s="1">
        <v>6.6710430038257565E-2</v>
      </c>
      <c r="Q6997" s="1">
        <v>2.659536408699569</v>
      </c>
      <c r="R6997" s="2">
        <f t="shared" si="439"/>
        <v>85.524133899939827</v>
      </c>
      <c r="S6997" s="2">
        <f t="shared" si="438"/>
        <v>1.8253370707676766</v>
      </c>
      <c r="T6997" s="2">
        <f t="shared" si="440"/>
        <v>2.7586610995668361</v>
      </c>
      <c r="U6997" s="2">
        <f t="shared" si="441"/>
        <v>90.108132070274337</v>
      </c>
    </row>
    <row r="6998" spans="1:21" x14ac:dyDescent="0.25">
      <c r="A6998">
        <v>7609585</v>
      </c>
      <c r="B6998">
        <v>1</v>
      </c>
      <c r="C6998" s="1">
        <f>2.37541233553438*(10.3/7.3)</f>
        <v>3.3516091857539885</v>
      </c>
      <c r="D6998" s="1">
        <f>5.22103318460037*(10.3/7.3)</f>
        <v>7.3666632604635351</v>
      </c>
      <c r="E6998" s="1">
        <f>17.827134151005*(10.3/7.3)</f>
        <v>25.153353665116644</v>
      </c>
      <c r="F6998" s="1">
        <f>49.5345144110835*(38.9/42.5)</f>
        <v>45.338649660968208</v>
      </c>
      <c r="G6998" s="1">
        <v>2.6083400167474307</v>
      </c>
      <c r="H6998" s="1">
        <v>11.518305904825073</v>
      </c>
      <c r="I6998" s="1">
        <v>34.914918475951481</v>
      </c>
      <c r="J6998" s="1">
        <v>3.860466778317273E-2</v>
      </c>
      <c r="K6998" s="1">
        <v>2.2618560919326973</v>
      </c>
      <c r="L6998" s="1">
        <v>1.9950633499841792</v>
      </c>
      <c r="M6998" s="1">
        <v>0.15393129291473326</v>
      </c>
      <c r="N6998" s="1">
        <v>1.3901868141377547</v>
      </c>
      <c r="O6998" s="1">
        <v>0.13167999999999999</v>
      </c>
      <c r="P6998" s="1">
        <v>8.3918762913225489E-2</v>
      </c>
      <c r="Q6998" s="1">
        <v>4.1685799354411035</v>
      </c>
      <c r="R6998" s="2">
        <f t="shared" si="439"/>
        <v>134.42042010526745</v>
      </c>
      <c r="S6998" s="2">
        <f t="shared" si="438"/>
        <v>2.3843795226290956</v>
      </c>
      <c r="T6998" s="2">
        <f t="shared" si="440"/>
        <v>3.6708614570366671</v>
      </c>
      <c r="U6998" s="2">
        <f t="shared" si="441"/>
        <v>140.47566108493322</v>
      </c>
    </row>
    <row r="6999" spans="1:21" x14ac:dyDescent="0.25">
      <c r="A6999">
        <v>7621109</v>
      </c>
      <c r="B6999">
        <v>1</v>
      </c>
      <c r="C6999" s="1">
        <f>0.166924096214363*(10.3/7.3)</f>
        <v>0.23552303986410073</v>
      </c>
      <c r="D6999" s="1">
        <f>0.267254598979807*(10.3/7.3)</f>
        <v>0.37708525609479593</v>
      </c>
      <c r="E6999" s="1">
        <f>0.92437890444749*(10.3/7.3)</f>
        <v>1.3042606460012536</v>
      </c>
      <c r="F6999" s="1">
        <f>2.41772889006844*(38.9/42.5)</f>
        <v>2.212933031144996</v>
      </c>
      <c r="G6999" s="1">
        <v>0.11920467949841197</v>
      </c>
      <c r="H6999" s="1">
        <v>0.52872013689689901</v>
      </c>
      <c r="I6999" s="1">
        <v>1.7806081676933125</v>
      </c>
      <c r="J6999" s="1">
        <v>1.2449559823678697E-2</v>
      </c>
      <c r="K6999" s="1">
        <v>1.2739607902448178</v>
      </c>
      <c r="L6999" s="1">
        <v>0.89305556585945256</v>
      </c>
      <c r="M6999" s="1">
        <v>0.10660636163705252</v>
      </c>
      <c r="N6999" s="1">
        <v>0.45308035246632766</v>
      </c>
      <c r="O6999" s="1">
        <v>0.11877333333333334</v>
      </c>
      <c r="P6999" s="1">
        <v>6.7002731994215248E-2</v>
      </c>
      <c r="Q6999" s="1">
        <v>0.19050976175545312</v>
      </c>
      <c r="R6999" s="2">
        <f t="shared" si="439"/>
        <v>6.7488447189492229</v>
      </c>
      <c r="S6999" s="2">
        <f t="shared" si="438"/>
        <v>1.3534130820627117</v>
      </c>
      <c r="T6999" s="2">
        <f t="shared" si="440"/>
        <v>1.5715156132961661</v>
      </c>
      <c r="U6999" s="2">
        <f t="shared" si="441"/>
        <v>9.6737734143080996</v>
      </c>
    </row>
    <row r="7000" spans="1:21" x14ac:dyDescent="0.25">
      <c r="A7000">
        <v>7621117</v>
      </c>
      <c r="B7000">
        <v>60</v>
      </c>
      <c r="C7000" s="1">
        <f>0.45604611020264*(10.3/7.3)</f>
        <v>0.6434623198749575</v>
      </c>
      <c r="D7000" s="1">
        <f>0.961967763967529*(10.3/7.3)</f>
        <v>1.3572969820363769</v>
      </c>
      <c r="E7000" s="1">
        <f>3.26123872941679*(10.3/7.3)</f>
        <v>4.6014738236976607</v>
      </c>
      <c r="F7000" s="1">
        <f>10.4451348247852*(38.9/42.5)</f>
        <v>9.560370463156378</v>
      </c>
      <c r="G7000" s="1">
        <v>0.59222336833013178</v>
      </c>
      <c r="H7000" s="1">
        <v>2.0335850678345273</v>
      </c>
      <c r="I7000" s="1">
        <v>7.6634914842269417</v>
      </c>
      <c r="J7000" s="1">
        <v>1.9391582610613183E-2</v>
      </c>
      <c r="K7000" s="1">
        <v>1.7489137272241386</v>
      </c>
      <c r="L7000" s="1">
        <v>1.3403268192723929</v>
      </c>
      <c r="M7000" s="1">
        <v>0.15497608590823159</v>
      </c>
      <c r="N7000" s="1">
        <v>0.64639040948247939</v>
      </c>
      <c r="O7000" s="1">
        <v>0.17031822222222226</v>
      </c>
      <c r="P7000" s="1">
        <v>8.7463129262495928E-2</v>
      </c>
      <c r="Q7000" s="1">
        <v>0.94647570281071447</v>
      </c>
      <c r="R7000" s="2">
        <f t="shared" si="439"/>
        <v>27.398379211967686</v>
      </c>
      <c r="S7000" s="2">
        <f t="shared" si="438"/>
        <v>1.8557684390972478</v>
      </c>
      <c r="T7000" s="2">
        <f t="shared" si="440"/>
        <v>2.3120115368853265</v>
      </c>
      <c r="U7000" s="2">
        <f t="shared" si="441"/>
        <v>31.566159187950259</v>
      </c>
    </row>
    <row r="7001" spans="1:21" x14ac:dyDescent="0.25">
      <c r="A7001">
        <v>7621125</v>
      </c>
      <c r="B7001">
        <v>6</v>
      </c>
      <c r="C7001" s="1">
        <f>0.533910166965767*(10.3/7.3)</f>
        <v>0.75332530407498699</v>
      </c>
      <c r="D7001" s="1">
        <f>1.30363602294231*(10.3/7.3)</f>
        <v>1.839376854288465</v>
      </c>
      <c r="E7001" s="1">
        <f>4.35861925735078*(10.3/7.3)</f>
        <v>6.1498326507826011</v>
      </c>
      <c r="F7001" s="1">
        <f>16.2621894304737*(38.9/42.5)</f>
        <v>14.884686325774728</v>
      </c>
      <c r="G7001" s="1">
        <v>0.99145890270483894</v>
      </c>
      <c r="H7001" s="1">
        <v>4.8770569679835303</v>
      </c>
      <c r="I7001" s="1">
        <v>12.102204862755046</v>
      </c>
      <c r="J7001" s="1">
        <v>2.7661445293306552E-2</v>
      </c>
      <c r="K7001" s="1">
        <v>1.9001869520542807</v>
      </c>
      <c r="L7001" s="1">
        <v>1.5300133604048636</v>
      </c>
      <c r="M7001" s="1">
        <v>0.17739231846089551</v>
      </c>
      <c r="N7001" s="1">
        <v>0.75481722130851869</v>
      </c>
      <c r="O7001" s="1">
        <v>0.19627555555555556</v>
      </c>
      <c r="P7001" s="1">
        <v>9.2974147917390282E-2</v>
      </c>
      <c r="Q7001" s="1">
        <v>1.5845233604871869</v>
      </c>
      <c r="R7001" s="2">
        <f t="shared" si="439"/>
        <v>43.182465228851385</v>
      </c>
      <c r="S7001" s="2">
        <f t="shared" si="438"/>
        <v>2.0208225452649775</v>
      </c>
      <c r="T7001" s="2">
        <f t="shared" si="440"/>
        <v>2.6584984557298337</v>
      </c>
      <c r="U7001" s="2">
        <f t="shared" si="441"/>
        <v>47.861786229846196</v>
      </c>
    </row>
    <row r="7002" spans="1:21" x14ac:dyDescent="0.25">
      <c r="A7002">
        <v>7621157</v>
      </c>
      <c r="B7002">
        <v>1</v>
      </c>
      <c r="C7002" s="1">
        <f>0.29409867011378*(10.3/7.3)</f>
        <v>0.41496113728382722</v>
      </c>
      <c r="D7002" s="1">
        <f>0.895964014491611*(10.3/7.3)</f>
        <v>1.2641684040087122</v>
      </c>
      <c r="E7002" s="1">
        <f>2.927462111187*(10.3/7.3)</f>
        <v>4.1305287322227597</v>
      </c>
      <c r="F7002" s="1">
        <f>13.7461806970974*(38.9/42.5)</f>
        <v>12.581798332166786</v>
      </c>
      <c r="G7002" s="1">
        <v>0.90900274051354302</v>
      </c>
      <c r="H7002" s="1">
        <v>5.1729924448616549</v>
      </c>
      <c r="I7002" s="1">
        <v>10.476486183976441</v>
      </c>
      <c r="J7002" s="1">
        <v>1.4316569476854779E-2</v>
      </c>
      <c r="K7002" s="1">
        <v>1.3757540604791954</v>
      </c>
      <c r="L7002" s="1">
        <v>0.95733414251446913</v>
      </c>
      <c r="M7002" s="1">
        <v>0.12346266022744516</v>
      </c>
      <c r="N7002" s="1">
        <v>0.52600100074810952</v>
      </c>
      <c r="O7002" s="1">
        <v>0.12416000000000001</v>
      </c>
      <c r="P7002" s="1">
        <v>6.7392635387431302E-2</v>
      </c>
      <c r="Q7002" s="1">
        <v>1.4527441058435635</v>
      </c>
      <c r="R7002" s="2">
        <f t="shared" si="439"/>
        <v>36.402682080877284</v>
      </c>
      <c r="S7002" s="2">
        <f t="shared" si="438"/>
        <v>1.4574632653434814</v>
      </c>
      <c r="T7002" s="2">
        <f t="shared" si="440"/>
        <v>1.7309578034900239</v>
      </c>
      <c r="U7002" s="2">
        <f t="shared" si="441"/>
        <v>39.59110314971079</v>
      </c>
    </row>
    <row r="7003" spans="1:21" x14ac:dyDescent="0.25">
      <c r="A7003">
        <v>7621165</v>
      </c>
      <c r="B7003">
        <v>4</v>
      </c>
      <c r="C7003" s="1">
        <f>0.291320584761609*(10.3/7.3)</f>
        <v>0.41104137301980403</v>
      </c>
      <c r="D7003" s="1">
        <f>0.712970248160577*(10.3/7.3)</f>
        <v>1.0059717200073888</v>
      </c>
      <c r="E7003" s="1">
        <f>2.37823332041595*(10.3/7.3)</f>
        <v>3.3555894794909933</v>
      </c>
      <c r="F7003" s="1">
        <f>9.15537658527542*(38.9/42.5)</f>
        <v>8.3798623333462068</v>
      </c>
      <c r="G7003" s="1">
        <v>0.56477374591338081</v>
      </c>
      <c r="H7003" s="1">
        <v>4.0082293732669925</v>
      </c>
      <c r="I7003" s="1">
        <v>6.8532783781004198</v>
      </c>
      <c r="J7003" s="1">
        <v>1.3198485286827741E-2</v>
      </c>
      <c r="K7003" s="1">
        <v>1.3121993453275507</v>
      </c>
      <c r="L7003" s="1">
        <v>0.91720766574947188</v>
      </c>
      <c r="M7003" s="1">
        <v>0.11984106289841397</v>
      </c>
      <c r="N7003" s="1">
        <v>0.48604196880773387</v>
      </c>
      <c r="O7003" s="1">
        <v>0.11967999999999999</v>
      </c>
      <c r="P7003" s="1">
        <v>6.4397455284211286E-2</v>
      </c>
      <c r="Q7003" s="1">
        <v>0.90260644324056383</v>
      </c>
      <c r="R7003" s="2">
        <f t="shared" si="439"/>
        <v>25.481352846385754</v>
      </c>
      <c r="S7003" s="2">
        <f t="shared" si="438"/>
        <v>1.3897952858985896</v>
      </c>
      <c r="T7003" s="2">
        <f t="shared" si="440"/>
        <v>1.6427706974556198</v>
      </c>
      <c r="U7003" s="2">
        <f t="shared" si="441"/>
        <v>28.513918829739964</v>
      </c>
    </row>
    <row r="7004" spans="1:21" x14ac:dyDescent="0.25">
      <c r="A7004">
        <v>7621629</v>
      </c>
      <c r="B7004">
        <v>1</v>
      </c>
      <c r="C7004" s="1">
        <f>2.17546984853937*(10.3/7.3)</f>
        <v>3.0694985534185588</v>
      </c>
      <c r="D7004" s="1">
        <f>6.64608347798988*(10.3/7.3)</f>
        <v>9.3773506607254546</v>
      </c>
      <c r="E7004" s="1">
        <f>22.2839036361735*(10.3/7.3)</f>
        <v>31.441672253779114</v>
      </c>
      <c r="F7004" s="1">
        <f>74.3452530222617*(38.9/42.5)</f>
        <v>68.047772766258376</v>
      </c>
      <c r="G7004" s="1">
        <v>4.3690499992577276</v>
      </c>
      <c r="H7004" s="1">
        <v>13.469934872659243</v>
      </c>
      <c r="I7004" s="1">
        <v>52.768783613125848</v>
      </c>
      <c r="J7004" s="1">
        <v>3.5193131962369159E-2</v>
      </c>
      <c r="K7004" s="1">
        <v>2.4351728790594156</v>
      </c>
      <c r="L7004" s="1">
        <v>2.3185994840874313</v>
      </c>
      <c r="M7004" s="1">
        <v>0.18391621667755373</v>
      </c>
      <c r="N7004" s="1">
        <v>1.4538210146228305</v>
      </c>
      <c r="O7004" s="1">
        <v>0.16218666666666665</v>
      </c>
      <c r="P7004" s="1">
        <v>9.8631117617244302E-2</v>
      </c>
      <c r="Q7004" s="1">
        <v>6.9824999988137275</v>
      </c>
      <c r="R7004" s="2">
        <f t="shared" si="439"/>
        <v>189.52656271803804</v>
      </c>
      <c r="S7004" s="2">
        <f t="shared" si="438"/>
        <v>2.5689971286390287</v>
      </c>
      <c r="T7004" s="2">
        <f t="shared" si="440"/>
        <v>4.118523382054482</v>
      </c>
      <c r="U7004" s="2">
        <f t="shared" si="441"/>
        <v>196.21408322873157</v>
      </c>
    </row>
    <row r="7005" spans="1:21" x14ac:dyDescent="0.25">
      <c r="A7005">
        <v>7621733</v>
      </c>
      <c r="B7005">
        <v>3</v>
      </c>
      <c r="C7005" s="1">
        <f>1.83333718652997*(10.3/7.3)</f>
        <v>2.5867634275696867</v>
      </c>
      <c r="D7005" s="1">
        <f>5.2886087461367*(10.3/7.3)</f>
        <v>7.4620096007134329</v>
      </c>
      <c r="E7005" s="1">
        <f>17.8366415956977*(10.3/7.3)</f>
        <v>25.166768278861102</v>
      </c>
      <c r="F7005" s="1">
        <f>55.134658454278*(38.9/42.5)</f>
        <v>50.4644285616803</v>
      </c>
      <c r="G7005" s="1">
        <v>3.1212098349314172</v>
      </c>
      <c r="H7005" s="1">
        <v>11.673943556304678</v>
      </c>
      <c r="I7005" s="1">
        <v>38.582291500411038</v>
      </c>
      <c r="J7005" s="1">
        <v>3.3210141406495773E-2</v>
      </c>
      <c r="K7005" s="1">
        <v>1.9136969408309612</v>
      </c>
      <c r="L7005" s="1">
        <v>1.7161663093699875</v>
      </c>
      <c r="M7005" s="1">
        <v>0.13758759257699932</v>
      </c>
      <c r="N7005" s="1">
        <v>1.1520071449514699</v>
      </c>
      <c r="O7005" s="1">
        <v>0.11820444444444445</v>
      </c>
      <c r="P7005" s="1">
        <v>7.4517181242137534E-2</v>
      </c>
      <c r="Q7005" s="1">
        <v>4.9882348960091196</v>
      </c>
      <c r="R7005" s="2">
        <f t="shared" si="439"/>
        <v>144.04564965648078</v>
      </c>
      <c r="S7005" s="2">
        <f t="shared" si="438"/>
        <v>2.0214242634795947</v>
      </c>
      <c r="T7005" s="2">
        <f t="shared" si="440"/>
        <v>3.1239654913429011</v>
      </c>
      <c r="U7005" s="2">
        <f t="shared" si="441"/>
        <v>149.19103941130328</v>
      </c>
    </row>
    <row r="7006" spans="1:21" x14ac:dyDescent="0.25">
      <c r="A7006">
        <v>7621805</v>
      </c>
      <c r="B7006">
        <v>15</v>
      </c>
      <c r="C7006" s="1">
        <f>1.63488165561354*(10.3/7.3)</f>
        <v>2.3067508291533518</v>
      </c>
      <c r="D7006" s="1">
        <f>4.3313737002069*(10.3/7.3)</f>
        <v>6.1113902893330296</v>
      </c>
      <c r="E7006" s="1">
        <f>14.4916733367101*(10.3/7.3)</f>
        <v>20.4471555298787</v>
      </c>
      <c r="F7006" s="1">
        <f>52.1467996812282*(38.9/42.5)</f>
        <v>47.729659002347717</v>
      </c>
      <c r="G7006" s="1">
        <v>3.1449577818821961</v>
      </c>
      <c r="H7006" s="1">
        <v>9.2968303614039662</v>
      </c>
      <c r="I7006" s="1">
        <v>38.202767219327896</v>
      </c>
      <c r="J7006" s="1">
        <v>3.0273844406500664E-2</v>
      </c>
      <c r="K7006" s="1">
        <v>1.8457286067473457</v>
      </c>
      <c r="L7006" s="1">
        <v>1.5821065034245199</v>
      </c>
      <c r="M7006" s="1">
        <v>0.12533460021586518</v>
      </c>
      <c r="N7006" s="1">
        <v>1.2000728401240555</v>
      </c>
      <c r="O7006" s="1">
        <v>0.1082417777777778</v>
      </c>
      <c r="P7006" s="1">
        <v>6.9968038758443887E-2</v>
      </c>
      <c r="Q7006" s="1">
        <v>5.0261882358847929</v>
      </c>
      <c r="R7006" s="2">
        <f t="shared" si="439"/>
        <v>132.26569924921165</v>
      </c>
      <c r="S7006" s="2">
        <f t="shared" si="438"/>
        <v>1.9459704899122903</v>
      </c>
      <c r="T7006" s="2">
        <f t="shared" si="440"/>
        <v>3.0157557215422184</v>
      </c>
      <c r="U7006" s="2">
        <f t="shared" si="441"/>
        <v>137.22742546066615</v>
      </c>
    </row>
    <row r="7007" spans="1:21" x14ac:dyDescent="0.25">
      <c r="A7007">
        <v>7621813</v>
      </c>
      <c r="B7007">
        <v>11</v>
      </c>
      <c r="C7007" s="1">
        <f>1.7973822988831*(10.3/7.3)</f>
        <v>2.5360325586980674</v>
      </c>
      <c r="D7007" s="1">
        <f>3.93839807917118*(10.3/7.3)</f>
        <v>5.556917837734674</v>
      </c>
      <c r="E7007" s="1">
        <f>13.4492928398928*(10.3/7.3)</f>
        <v>18.976399486424047</v>
      </c>
      <c r="F7007" s="1">
        <f>37.3389799053592*(38.9/42.5)</f>
        <v>34.17614866631704</v>
      </c>
      <c r="G7007" s="1">
        <v>1.964765452202367</v>
      </c>
      <c r="H7007" s="1">
        <v>9.8552529618075653</v>
      </c>
      <c r="I7007" s="1">
        <v>26.32568948910308</v>
      </c>
      <c r="J7007" s="1">
        <v>3.1350332341513749E-2</v>
      </c>
      <c r="K7007" s="1">
        <v>1.8874471928752288</v>
      </c>
      <c r="L7007" s="1">
        <v>1.6160214961805082</v>
      </c>
      <c r="M7007" s="1">
        <v>0.12815263334308857</v>
      </c>
      <c r="N7007" s="1">
        <v>1.1629439072852223</v>
      </c>
      <c r="O7007" s="1">
        <v>0.10994909090909091</v>
      </c>
      <c r="P7007" s="1">
        <v>7.1443954294850009E-2</v>
      </c>
      <c r="Q7007" s="1">
        <v>3.140036110825704</v>
      </c>
      <c r="R7007" s="2">
        <f t="shared" si="439"/>
        <v>102.53124256311256</v>
      </c>
      <c r="S7007" s="2">
        <f t="shared" si="438"/>
        <v>1.9902414795115926</v>
      </c>
      <c r="T7007" s="2">
        <f t="shared" si="440"/>
        <v>3.01706712771791</v>
      </c>
      <c r="U7007" s="2">
        <f t="shared" si="441"/>
        <v>107.53855117034206</v>
      </c>
    </row>
    <row r="7008" spans="1:21" x14ac:dyDescent="0.25">
      <c r="A7008">
        <v>7621821</v>
      </c>
      <c r="B7008">
        <v>9</v>
      </c>
      <c r="C7008" s="1">
        <f>1.89162055425295*(10.3/7.3)</f>
        <v>2.6689988642199216</v>
      </c>
      <c r="D7008" s="1">
        <f>4.19719579137721*(10.3/7.3)</f>
        <v>5.9220707741349647</v>
      </c>
      <c r="E7008" s="1">
        <f>14.3093704080076*(10.3/7.3)</f>
        <v>20.18993358938058</v>
      </c>
      <c r="F7008" s="1">
        <f>40.700890812416*(38.9/42.5)</f>
        <v>37.253285943599607</v>
      </c>
      <c r="G7008" s="1">
        <v>2.1741531553280722</v>
      </c>
      <c r="H7008" s="1">
        <v>8.9728651779883872</v>
      </c>
      <c r="I7008" s="1">
        <v>28.822888176768256</v>
      </c>
      <c r="J7008" s="1">
        <v>3.3296891349976682E-2</v>
      </c>
      <c r="K7008" s="1">
        <v>1.9690882548354947</v>
      </c>
      <c r="L7008" s="1">
        <v>1.692269862670601</v>
      </c>
      <c r="M7008" s="1">
        <v>0.13097166217096265</v>
      </c>
      <c r="N7008" s="1">
        <v>1.273296955826027</v>
      </c>
      <c r="O7008" s="1">
        <v>0.11387851851851852</v>
      </c>
      <c r="P7008" s="1">
        <v>7.3823379121545324E-2</v>
      </c>
      <c r="Q7008" s="1">
        <v>3.474673992533452</v>
      </c>
      <c r="R7008" s="2">
        <f t="shared" si="439"/>
        <v>109.47886967395324</v>
      </c>
      <c r="S7008" s="2">
        <f t="shared" si="438"/>
        <v>2.0762085253070164</v>
      </c>
      <c r="T7008" s="2">
        <f t="shared" si="440"/>
        <v>3.2104169991861093</v>
      </c>
      <c r="U7008" s="2">
        <f t="shared" si="441"/>
        <v>114.76549519844636</v>
      </c>
    </row>
    <row r="7009" spans="1:21" x14ac:dyDescent="0.25">
      <c r="A7009">
        <v>7633345</v>
      </c>
      <c r="B7009">
        <v>43</v>
      </c>
      <c r="C7009" s="1">
        <f>0.313648314005732*(10.3/7.3)</f>
        <v>0.44254488140534831</v>
      </c>
      <c r="D7009" s="1">
        <f>0.603887149843402*(10.3/7.3)</f>
        <v>0.8520599511489102</v>
      </c>
      <c r="E7009" s="1">
        <f>2.06117689820436*(10.3/7.3)</f>
        <v>2.9082358974664313</v>
      </c>
      <c r="F7009" s="1">
        <f>6.15891635171136*(38.9/42.5)</f>
        <v>5.6372199078016907</v>
      </c>
      <c r="G7009" s="1">
        <v>0.33502745531327804</v>
      </c>
      <c r="H7009" s="1">
        <v>1.2346906491696827</v>
      </c>
      <c r="I7009" s="1">
        <v>4.5116957670575841</v>
      </c>
      <c r="J7009" s="1">
        <v>1.4184734122909576E-2</v>
      </c>
      <c r="K7009" s="1">
        <v>1.4209319087025321</v>
      </c>
      <c r="L7009" s="1">
        <v>1.0081460877524866</v>
      </c>
      <c r="M7009" s="1">
        <v>0.11779964873703858</v>
      </c>
      <c r="N7009" s="1">
        <v>0.504428587887915</v>
      </c>
      <c r="O7009" s="1">
        <v>0.13006635658914728</v>
      </c>
      <c r="P7009" s="1">
        <v>7.3447938252312842E-2</v>
      </c>
      <c r="Q7009" s="1">
        <v>0.53543200620843578</v>
      </c>
      <c r="R7009" s="2">
        <f t="shared" si="439"/>
        <v>16.456906515571358</v>
      </c>
      <c r="S7009" s="2">
        <f t="shared" si="438"/>
        <v>1.5085645810777544</v>
      </c>
      <c r="T7009" s="2">
        <f t="shared" si="440"/>
        <v>1.7604406809665876</v>
      </c>
      <c r="U7009" s="2">
        <f t="shared" si="441"/>
        <v>19.7259117776157</v>
      </c>
    </row>
    <row r="7010" spans="1:21" x14ac:dyDescent="0.25">
      <c r="A7010">
        <v>7633353</v>
      </c>
      <c r="B7010">
        <v>56</v>
      </c>
      <c r="C7010" s="1">
        <f>0.554161171633557*(10.3/7.3)</f>
        <v>0.7818986394281694</v>
      </c>
      <c r="D7010" s="1">
        <f>1.23190583647371*(10.3/7.3)</f>
        <v>1.7381685089971464</v>
      </c>
      <c r="E7010" s="1">
        <f>4.15880337074051*(10.3/7.3)</f>
        <v>5.8679006463872927</v>
      </c>
      <c r="F7010" s="1">
        <f>13.9274801334477*(38.9/42.5)</f>
        <v>12.747740639790925</v>
      </c>
      <c r="G7010" s="1">
        <v>0.80855359990560882</v>
      </c>
      <c r="H7010" s="1">
        <v>2.7758946876981123</v>
      </c>
      <c r="I7010" s="1">
        <v>10.245871774909087</v>
      </c>
      <c r="J7010" s="1">
        <v>2.6938585224666137E-2</v>
      </c>
      <c r="K7010" s="1">
        <v>1.9592726690390396</v>
      </c>
      <c r="L7010" s="1">
        <v>1.561750536308919</v>
      </c>
      <c r="M7010" s="1">
        <v>0.1798816487177666</v>
      </c>
      <c r="N7010" s="1">
        <v>0.75887321946424913</v>
      </c>
      <c r="O7010" s="1">
        <v>0.19779142857142848</v>
      </c>
      <c r="P7010" s="1">
        <v>9.5893026092687822E-2</v>
      </c>
      <c r="Q7010" s="1">
        <v>1.2922089496208373</v>
      </c>
      <c r="R7010" s="2">
        <f t="shared" si="439"/>
        <v>36.258237446737176</v>
      </c>
      <c r="S7010" s="2">
        <f t="shared" si="438"/>
        <v>2.0821042803563938</v>
      </c>
      <c r="T7010" s="2">
        <f t="shared" si="440"/>
        <v>2.6982968330623631</v>
      </c>
      <c r="U7010" s="2">
        <f t="shared" si="441"/>
        <v>41.038638560155938</v>
      </c>
    </row>
    <row r="7011" spans="1:21" x14ac:dyDescent="0.25">
      <c r="A7011">
        <v>7633401</v>
      </c>
      <c r="B7011">
        <v>1</v>
      </c>
      <c r="C7011" s="1">
        <f>0.277051780784325*(10.3/7.3)</f>
        <v>0.3909086769970615</v>
      </c>
      <c r="D7011" s="1">
        <f>0.656491372731113*(10.3/7.3)</f>
        <v>0.92628234782609042</v>
      </c>
      <c r="E7011" s="1">
        <f>2.19615302686042*(10.3/7.3)</f>
        <v>3.0986816680359359</v>
      </c>
      <c r="F7011" s="1">
        <f>8.21268151318202*(38.9/42.5)</f>
        <v>7.5170190791242453</v>
      </c>
      <c r="G7011" s="1">
        <v>0.50053089996407907</v>
      </c>
      <c r="H7011" s="1">
        <v>3.5740675073589614</v>
      </c>
      <c r="I7011" s="1">
        <v>6.133512658467895</v>
      </c>
      <c r="J7011" s="1">
        <v>1.2534423898823064E-2</v>
      </c>
      <c r="K7011" s="1">
        <v>1.2554678387282621</v>
      </c>
      <c r="L7011" s="1">
        <v>0.87245677793921783</v>
      </c>
      <c r="M7011" s="1">
        <v>0.1150906122543531</v>
      </c>
      <c r="N7011" s="1">
        <v>0.45993007960171095</v>
      </c>
      <c r="O7011" s="1">
        <v>0.11466666666666667</v>
      </c>
      <c r="P7011" s="1">
        <v>6.1958248537984525E-2</v>
      </c>
      <c r="Q7011" s="1">
        <v>0.79993522825309527</v>
      </c>
      <c r="R7011" s="2">
        <f t="shared" si="439"/>
        <v>22.940938066027361</v>
      </c>
      <c r="S7011" s="2">
        <f t="shared" si="438"/>
        <v>1.3299605111650696</v>
      </c>
      <c r="T7011" s="2">
        <f t="shared" si="440"/>
        <v>1.5621441364619486</v>
      </c>
      <c r="U7011" s="2">
        <f t="shared" si="441"/>
        <v>25.833042713654379</v>
      </c>
    </row>
    <row r="7012" spans="1:21" x14ac:dyDescent="0.25">
      <c r="A7012">
        <v>7633577</v>
      </c>
      <c r="B7012">
        <v>2</v>
      </c>
      <c r="C7012" s="1">
        <f>0.486712587864355*(10.3/7.3)</f>
        <v>0.68673145958943227</v>
      </c>
      <c r="D7012" s="1">
        <f>1.38990796825937*(10.3/7.3)</f>
        <v>1.9611030237084213</v>
      </c>
      <c r="E7012" s="1">
        <f>4.64366679622464*(10.3/7.3)</f>
        <v>6.5520230138512066</v>
      </c>
      <c r="F7012" s="1">
        <f>16.6725204267497*(38.9/42.5)</f>
        <v>15.260259872954423</v>
      </c>
      <c r="G7012" s="1">
        <v>1.0074458489201974</v>
      </c>
      <c r="H7012" s="1">
        <v>3.3802482449768072</v>
      </c>
      <c r="I7012" s="1">
        <v>12.120505294065566</v>
      </c>
      <c r="J7012" s="1">
        <v>1.6858248527428583E-2</v>
      </c>
      <c r="K7012" s="1">
        <v>1.6705221854041756</v>
      </c>
      <c r="L7012" s="1">
        <v>1.310177926373165</v>
      </c>
      <c r="M7012" s="1">
        <v>0.15075464951802858</v>
      </c>
      <c r="N7012" s="1">
        <v>0.74536201532077739</v>
      </c>
      <c r="O7012" s="1">
        <v>0.13429333333333332</v>
      </c>
      <c r="P7012" s="1">
        <v>7.7064547189642424E-2</v>
      </c>
      <c r="Q7012" s="1">
        <v>1.6100732745299973</v>
      </c>
      <c r="R7012" s="2">
        <f t="shared" si="439"/>
        <v>42.578390032596047</v>
      </c>
      <c r="S7012" s="2">
        <f t="shared" si="438"/>
        <v>1.7644449811212468</v>
      </c>
      <c r="T7012" s="2">
        <f t="shared" si="440"/>
        <v>2.3405879245453041</v>
      </c>
      <c r="U7012" s="2">
        <f t="shared" si="441"/>
        <v>46.683422938262595</v>
      </c>
    </row>
    <row r="7013" spans="1:21" x14ac:dyDescent="0.25">
      <c r="A7013">
        <v>7634041</v>
      </c>
      <c r="B7013">
        <v>22</v>
      </c>
      <c r="C7013" s="1">
        <f>1.66071389664429*(10.3/7.3)</f>
        <v>2.3431990596487955</v>
      </c>
      <c r="D7013" s="1">
        <f>3.6988456235475*(10.3/7.3)</f>
        <v>5.2189191674711317</v>
      </c>
      <c r="E7013" s="1">
        <f>12.6161346855602*(10.3/7.3)</f>
        <v>17.800847570037003</v>
      </c>
      <c r="F7013" s="1">
        <f>35.52495459055*(38.9/42.5)</f>
        <v>32.515781966409321</v>
      </c>
      <c r="G7013" s="1">
        <v>1.8870741608019204</v>
      </c>
      <c r="H7013" s="1">
        <v>9.4909448161924566</v>
      </c>
      <c r="I7013" s="1">
        <v>25.076847944233769</v>
      </c>
      <c r="J7013" s="1">
        <v>3.1157073697662272E-2</v>
      </c>
      <c r="K7013" s="1">
        <v>1.8384116307410936</v>
      </c>
      <c r="L7013" s="1">
        <v>1.5667065798475484</v>
      </c>
      <c r="M7013" s="1">
        <v>0.12533767753250488</v>
      </c>
      <c r="N7013" s="1">
        <v>1.1403082830095839</v>
      </c>
      <c r="O7013" s="1">
        <v>0.10704969696969693</v>
      </c>
      <c r="P7013" s="1">
        <v>6.9791473347996777E-2</v>
      </c>
      <c r="Q7013" s="1">
        <v>3.0158719464870902</v>
      </c>
      <c r="R7013" s="2">
        <f t="shared" si="439"/>
        <v>97.349486631281508</v>
      </c>
      <c r="S7013" s="2">
        <f t="shared" si="438"/>
        <v>1.9393601777867526</v>
      </c>
      <c r="T7013" s="2">
        <f t="shared" si="440"/>
        <v>2.9394022373593343</v>
      </c>
      <c r="U7013" s="2">
        <f t="shared" si="441"/>
        <v>102.22824904642759</v>
      </c>
    </row>
    <row r="7014" spans="1:21" x14ac:dyDescent="0.25">
      <c r="A7014">
        <v>7634049</v>
      </c>
      <c r="B7014">
        <v>51</v>
      </c>
      <c r="C7014" s="1">
        <f>2.35185845143248*(10.3/7.3)</f>
        <v>3.3183756232540409</v>
      </c>
      <c r="D7014" s="1">
        <f>5.25327203732296*(10.3/7.3)</f>
        <v>7.4121509567707493</v>
      </c>
      <c r="E7014" s="1">
        <f>17.9100060438327*(10.3/7.3)</f>
        <v>25.270282500202363</v>
      </c>
      <c r="F7014" s="1">
        <f>50.7745399649816*(38.9/42.5)</f>
        <v>46.473637756183201</v>
      </c>
      <c r="G7014" s="1">
        <v>2.7082715794832559</v>
      </c>
      <c r="H7014" s="1">
        <v>9.6682398902628233</v>
      </c>
      <c r="I7014" s="1">
        <v>35.889560931767008</v>
      </c>
      <c r="J7014" s="1">
        <v>3.8874402422013954E-2</v>
      </c>
      <c r="K7014" s="1">
        <v>2.2318554862843136</v>
      </c>
      <c r="L7014" s="1">
        <v>1.9564632279482927</v>
      </c>
      <c r="M7014" s="1">
        <v>0.15018755511399925</v>
      </c>
      <c r="N7014" s="1">
        <v>1.4015695291584138</v>
      </c>
      <c r="O7014" s="1">
        <v>0.12990117647058821</v>
      </c>
      <c r="P7014" s="1">
        <v>8.2396016022857135E-2</v>
      </c>
      <c r="Q7014" s="1">
        <v>4.3282879124161662</v>
      </c>
      <c r="R7014" s="2">
        <f t="shared" si="439"/>
        <v>135.06880715033958</v>
      </c>
      <c r="S7014" s="2">
        <f t="shared" si="438"/>
        <v>2.3531259047291844</v>
      </c>
      <c r="T7014" s="2">
        <f t="shared" si="440"/>
        <v>3.638121488691294</v>
      </c>
      <c r="U7014" s="2">
        <f t="shared" si="441"/>
        <v>141.06005454376006</v>
      </c>
    </row>
    <row r="7015" spans="1:21" x14ac:dyDescent="0.25">
      <c r="A7015">
        <v>7645581</v>
      </c>
      <c r="B7015">
        <v>71</v>
      </c>
      <c r="C7015" s="1">
        <f>0.383928618846976*(10.3/7.3)</f>
        <v>0.54170750330463702</v>
      </c>
      <c r="D7015" s="1">
        <f>0.777976614113413*(10.3/7.3)</f>
        <v>1.0976930308723494</v>
      </c>
      <c r="E7015" s="1">
        <f>2.6456564502998*(10.3/7.3)</f>
        <v>3.7329125257654718</v>
      </c>
      <c r="F7015" s="1">
        <f>8.20288462223036*(38.9/42.5)</f>
        <v>7.508052042464965</v>
      </c>
      <c r="G7015" s="1">
        <v>0.45654450772564037</v>
      </c>
      <c r="H7015" s="1">
        <v>1.6409277058632945</v>
      </c>
      <c r="I7015" s="1">
        <v>6.0103332395268545</v>
      </c>
      <c r="J7015" s="1">
        <v>1.6613397741607118E-2</v>
      </c>
      <c r="K7015" s="1">
        <v>1.5591124120593347</v>
      </c>
      <c r="L7015" s="1">
        <v>1.1428744035834721</v>
      </c>
      <c r="M7015" s="1">
        <v>0.13342231752758951</v>
      </c>
      <c r="N7015" s="1">
        <v>0.56475028106672553</v>
      </c>
      <c r="O7015" s="1">
        <v>0.14492845070422536</v>
      </c>
      <c r="P7015" s="1">
        <v>7.9565211537873853E-2</v>
      </c>
      <c r="Q7015" s="1">
        <v>0.72963734111403822</v>
      </c>
      <c r="R7015" s="2">
        <f t="shared" si="439"/>
        <v>21.71780789663725</v>
      </c>
      <c r="S7015" s="2">
        <f t="shared" si="438"/>
        <v>1.6552910213388157</v>
      </c>
      <c r="T7015" s="2">
        <f t="shared" si="440"/>
        <v>1.9859754528820126</v>
      </c>
      <c r="U7015" s="2">
        <f t="shared" si="441"/>
        <v>25.359074370858078</v>
      </c>
    </row>
    <row r="7016" spans="1:21" x14ac:dyDescent="0.25">
      <c r="A7016">
        <v>7645589</v>
      </c>
      <c r="B7016">
        <v>7</v>
      </c>
      <c r="C7016" s="1">
        <f>0.497637163135568*(10.3/7.3)</f>
        <v>0.70214558634196578</v>
      </c>
      <c r="D7016" s="1">
        <f>1.10701210322659*(10.3/7.3)</f>
        <v>1.5619485840046405</v>
      </c>
      <c r="E7016" s="1">
        <f>3.73495658981451*(10.3/7.3)</f>
        <v>5.2698702568615658</v>
      </c>
      <c r="F7016" s="1">
        <f>12.6194893465197*(38.9/42.5)</f>
        <v>11.550544366579171</v>
      </c>
      <c r="G7016" s="1">
        <v>0.73555280439369863</v>
      </c>
      <c r="H7016" s="1">
        <v>2.9372807750462142</v>
      </c>
      <c r="I7016" s="1">
        <v>9.3002467722980793</v>
      </c>
      <c r="J7016" s="1">
        <v>3.3312786525956102E-2</v>
      </c>
      <c r="K7016" s="1">
        <v>1.8069952052564928</v>
      </c>
      <c r="L7016" s="1">
        <v>1.4270188272942461</v>
      </c>
      <c r="M7016" s="1">
        <v>0.16353185129616812</v>
      </c>
      <c r="N7016" s="1">
        <v>0.69303309598363183</v>
      </c>
      <c r="O7016" s="1">
        <v>0.17999238095238093</v>
      </c>
      <c r="P7016" s="1">
        <v>8.9639823241212016E-2</v>
      </c>
      <c r="Q7016" s="1">
        <v>1.175541011588104</v>
      </c>
      <c r="R7016" s="2">
        <f t="shared" si="439"/>
        <v>33.233130157113436</v>
      </c>
      <c r="S7016" s="2">
        <f t="shared" si="438"/>
        <v>1.9299478150236611</v>
      </c>
      <c r="T7016" s="2">
        <f t="shared" si="440"/>
        <v>2.4635761555264271</v>
      </c>
      <c r="U7016" s="2">
        <f t="shared" si="441"/>
        <v>37.626654127663521</v>
      </c>
    </row>
    <row r="7017" spans="1:21" x14ac:dyDescent="0.25">
      <c r="A7017">
        <v>7645605</v>
      </c>
      <c r="B7017">
        <v>1</v>
      </c>
      <c r="C7017" s="1">
        <f>0.332533829466407*(10.3/7.3)</f>
        <v>0.46919156760328729</v>
      </c>
      <c r="D7017" s="1">
        <f>0.755876478787823*(10.3/7.3)</f>
        <v>1.0665106481526814</v>
      </c>
      <c r="E7017" s="1">
        <f>2.54038645837149*(10.3/7.3)</f>
        <v>3.5843808933186789</v>
      </c>
      <c r="F7017" s="1">
        <f>9.02212759719636*(38.9/42.5)</f>
        <v>8.2579003183750253</v>
      </c>
      <c r="G7017" s="1">
        <v>0.53776224450588739</v>
      </c>
      <c r="H7017" s="1">
        <v>3.8696670756367704</v>
      </c>
      <c r="I7017" s="1">
        <v>6.7002566014761999</v>
      </c>
      <c r="J7017" s="1">
        <v>1.5708340309222406E-2</v>
      </c>
      <c r="K7017" s="1">
        <v>1.4282536040904892</v>
      </c>
      <c r="L7017" s="1">
        <v>1.0017908070406012</v>
      </c>
      <c r="M7017" s="1">
        <v>0.12313403493678453</v>
      </c>
      <c r="N7017" s="1">
        <v>0.55205688138422504</v>
      </c>
      <c r="O7017" s="1">
        <v>0.13034666666666667</v>
      </c>
      <c r="P7017" s="1">
        <v>7.1146099609777871E-2</v>
      </c>
      <c r="Q7017" s="1">
        <v>0.85943737706420442</v>
      </c>
      <c r="R7017" s="2">
        <f t="shared" si="439"/>
        <v>25.345106726132734</v>
      </c>
      <c r="S7017" s="2">
        <f t="shared" si="438"/>
        <v>1.5151080440094895</v>
      </c>
      <c r="T7017" s="2">
        <f t="shared" si="440"/>
        <v>1.8073283900282773</v>
      </c>
      <c r="U7017" s="2">
        <f t="shared" si="441"/>
        <v>28.667543160170503</v>
      </c>
    </row>
    <row r="7018" spans="1:21" x14ac:dyDescent="0.25">
      <c r="A7018">
        <v>7646269</v>
      </c>
      <c r="B7018">
        <v>10</v>
      </c>
      <c r="C7018" s="1">
        <f>1.67800338189241*(10.3/7.3)</f>
        <v>2.3675938128071019</v>
      </c>
      <c r="D7018" s="1">
        <f>3.84731206643461*(10.3/7.3)</f>
        <v>5.4283992170241708</v>
      </c>
      <c r="E7018" s="1">
        <f>13.0938701974918*(10.3/7.3)</f>
        <v>18.474912744406186</v>
      </c>
      <c r="F7018" s="1">
        <f>37.8431965586516*(38.9/42.5)</f>
        <v>34.637655203095207</v>
      </c>
      <c r="G7018" s="1">
        <v>2.0440759218040028</v>
      </c>
      <c r="H7018" s="1">
        <v>8.6415846517214892</v>
      </c>
      <c r="I7018" s="1">
        <v>26.7801543869125</v>
      </c>
      <c r="J7018" s="1">
        <v>3.2519913595321581E-2</v>
      </c>
      <c r="K7018" s="1">
        <v>1.8367501508823711</v>
      </c>
      <c r="L7018" s="1">
        <v>1.5752282844765304</v>
      </c>
      <c r="M7018" s="1">
        <v>0.12533264601940378</v>
      </c>
      <c r="N7018" s="1">
        <v>1.1621936636958949</v>
      </c>
      <c r="O7018" s="1">
        <v>0.10784000000000001</v>
      </c>
      <c r="P7018" s="1">
        <v>6.9414183395191592E-2</v>
      </c>
      <c r="Q7018" s="1">
        <v>3.2667880028831129</v>
      </c>
      <c r="R7018" s="2">
        <f t="shared" si="439"/>
        <v>101.64116394065378</v>
      </c>
      <c r="S7018" s="2">
        <f t="shared" si="438"/>
        <v>1.9386842478728843</v>
      </c>
      <c r="T7018" s="2">
        <f t="shared" si="440"/>
        <v>2.9705945941918288</v>
      </c>
      <c r="U7018" s="2">
        <f t="shared" si="441"/>
        <v>106.55044278271849</v>
      </c>
    </row>
    <row r="7019" spans="1:21" x14ac:dyDescent="0.25">
      <c r="A7019">
        <v>7646277</v>
      </c>
      <c r="B7019">
        <v>11</v>
      </c>
      <c r="C7019" s="1">
        <f>1.26870423792435*(10.3/7.3)</f>
        <v>1.7900895411809343</v>
      </c>
      <c r="D7019" s="1">
        <f>2.77726639036081*(10.3/7.3)</f>
        <v>3.9186087425638769</v>
      </c>
      <c r="E7019" s="1">
        <f>9.48024451320136*(10.3/7.3)</f>
        <v>13.376235409037541</v>
      </c>
      <c r="F7019" s="1">
        <f>26.5311870929395*(38.9/42.5)</f>
        <v>24.283839480361099</v>
      </c>
      <c r="G7019" s="1">
        <v>1.402637501994243</v>
      </c>
      <c r="H7019" s="1">
        <v>9.5990463112031428</v>
      </c>
      <c r="I7019" s="1">
        <v>18.74803943716913</v>
      </c>
      <c r="J7019" s="1">
        <v>2.6950515791074426E-2</v>
      </c>
      <c r="K7019" s="1">
        <v>1.6002250887523537</v>
      </c>
      <c r="L7019" s="1">
        <v>1.3285420068680056</v>
      </c>
      <c r="M7019" s="1">
        <v>0.10996533939487672</v>
      </c>
      <c r="N7019" s="1">
        <v>0.99107964496156953</v>
      </c>
      <c r="O7019" s="1">
        <v>9.2567272727272734E-2</v>
      </c>
      <c r="P7019" s="1">
        <v>6.2120407390014031E-2</v>
      </c>
      <c r="Q7019" s="1">
        <v>2.2416581082099793</v>
      </c>
      <c r="R7019" s="2">
        <f t="shared" si="439"/>
        <v>75.360154531719942</v>
      </c>
      <c r="S7019" s="2">
        <f t="shared" si="438"/>
        <v>1.6892960119334421</v>
      </c>
      <c r="T7019" s="2">
        <f t="shared" si="440"/>
        <v>2.5221542639517245</v>
      </c>
      <c r="U7019" s="2">
        <f t="shared" si="441"/>
        <v>79.571604807605098</v>
      </c>
    </row>
    <row r="7020" spans="1:21" x14ac:dyDescent="0.25">
      <c r="A7020">
        <v>7646285</v>
      </c>
      <c r="B7020">
        <v>23</v>
      </c>
      <c r="C7020" s="1">
        <f>1.75800808394654*(10.3/7.3)</f>
        <v>2.4804771595410076</v>
      </c>
      <c r="D7020" s="1">
        <f>4.03281385640318*(10.3/7.3)</f>
        <v>5.6901346193085933</v>
      </c>
      <c r="E7020" s="1">
        <f>13.6989607184042*(10.3/7.3)</f>
        <v>19.32867060267991</v>
      </c>
      <c r="F7020" s="1">
        <f>40.9308144321657*(38.9/42.5)</f>
        <v>37.463733680264596</v>
      </c>
      <c r="G7020" s="1">
        <v>2.2512811129471539</v>
      </c>
      <c r="H7020" s="1">
        <v>7.4389150248172893</v>
      </c>
      <c r="I7020" s="1">
        <v>29.209332565995016</v>
      </c>
      <c r="J7020" s="1">
        <v>3.3147169802910388E-2</v>
      </c>
      <c r="K7020" s="1">
        <v>1.9007456933454407</v>
      </c>
      <c r="L7020" s="1">
        <v>1.62404123556137</v>
      </c>
      <c r="M7020" s="1">
        <v>0.12654112064127979</v>
      </c>
      <c r="N7020" s="1">
        <v>1.1968389020365857</v>
      </c>
      <c r="O7020" s="1">
        <v>0.11002202898550725</v>
      </c>
      <c r="P7020" s="1">
        <v>7.1178829645149266E-2</v>
      </c>
      <c r="Q7020" s="1">
        <v>3.5979378517420315</v>
      </c>
      <c r="R7020" s="2">
        <f t="shared" si="439"/>
        <v>107.4604826172956</v>
      </c>
      <c r="S7020" s="2">
        <f t="shared" si="438"/>
        <v>2.0050716927935004</v>
      </c>
      <c r="T7020" s="2">
        <f t="shared" si="440"/>
        <v>3.0574432872247428</v>
      </c>
      <c r="U7020" s="2">
        <f t="shared" si="441"/>
        <v>112.52299759731385</v>
      </c>
    </row>
    <row r="7021" spans="1:21" x14ac:dyDescent="0.25">
      <c r="A7021">
        <v>7657809</v>
      </c>
      <c r="B7021">
        <v>7</v>
      </c>
      <c r="C7021" s="1">
        <f>0.266701883691441*(10.3/7.3)</f>
        <v>0.37630539753723941</v>
      </c>
      <c r="D7021" s="1">
        <f>0.496776938086685*(10.3/7.3)</f>
        <v>0.70093184414970677</v>
      </c>
      <c r="E7021" s="1">
        <f>1.69962387355238*(10.3/7.3)</f>
        <v>2.3980994380259619</v>
      </c>
      <c r="F7021" s="1">
        <f>4.95839831151338*(38.9/42.5)</f>
        <v>4.5383928074793056</v>
      </c>
      <c r="G7021" s="1">
        <v>0.26550899553445956</v>
      </c>
      <c r="H7021" s="1">
        <v>1.0080617095473914</v>
      </c>
      <c r="I7021" s="1">
        <v>3.6329852906866784</v>
      </c>
      <c r="J7021" s="1">
        <v>1.3549155768763569E-2</v>
      </c>
      <c r="K7021" s="1">
        <v>1.3518068835840567</v>
      </c>
      <c r="L7021" s="1">
        <v>0.95374362592393702</v>
      </c>
      <c r="M7021" s="1">
        <v>0.11274056443694276</v>
      </c>
      <c r="N7021" s="1">
        <v>0.47859359966004306</v>
      </c>
      <c r="O7021" s="1">
        <v>0.12396952380952382</v>
      </c>
      <c r="P7021" s="1">
        <v>7.0127322065134112E-2</v>
      </c>
      <c r="Q7021" s="1">
        <v>0.42432944491808661</v>
      </c>
      <c r="R7021" s="2">
        <f t="shared" si="439"/>
        <v>13.344614927878828</v>
      </c>
      <c r="S7021" s="2">
        <f t="shared" si="438"/>
        <v>1.4354833614179543</v>
      </c>
      <c r="T7021" s="2">
        <f t="shared" si="440"/>
        <v>1.6690473138304465</v>
      </c>
      <c r="U7021" s="2">
        <f t="shared" si="441"/>
        <v>16.449145603127228</v>
      </c>
    </row>
    <row r="7022" spans="1:21" x14ac:dyDescent="0.25">
      <c r="A7022">
        <v>7657817</v>
      </c>
      <c r="B7022">
        <v>54</v>
      </c>
      <c r="C7022" s="1">
        <f>0.442907127317207*(10.3/7.3)</f>
        <v>0.62492375498181274</v>
      </c>
      <c r="D7022" s="1">
        <f>0.936671180022723*(10.3/7.3)</f>
        <v>1.3216045416758975</v>
      </c>
      <c r="E7022" s="1">
        <f>3.17406339143206*(10.3/7.3)</f>
        <v>4.478473004349345</v>
      </c>
      <c r="F7022" s="1">
        <f>10.227537446335*(38.9/42.5)</f>
        <v>9.3612048626454687</v>
      </c>
      <c r="G7022" s="1">
        <v>0.58166177093916249</v>
      </c>
      <c r="H7022" s="1">
        <v>3.2356333720112653</v>
      </c>
      <c r="I7022" s="1">
        <v>7.5109591189256024</v>
      </c>
      <c r="J7022" s="1">
        <v>2.3077842301342442E-2</v>
      </c>
      <c r="K7022" s="1">
        <v>1.6803689597371727</v>
      </c>
      <c r="L7022" s="1">
        <v>1.2745647770842969</v>
      </c>
      <c r="M7022" s="1">
        <v>0.14813856062613098</v>
      </c>
      <c r="N7022" s="1">
        <v>0.65341479441762762</v>
      </c>
      <c r="O7022" s="1">
        <v>0.16155950617283954</v>
      </c>
      <c r="P7022" s="1">
        <v>8.4475420553348071E-2</v>
      </c>
      <c r="Q7022" s="1">
        <v>0.92959643757400512</v>
      </c>
      <c r="R7022" s="2">
        <f t="shared" si="439"/>
        <v>28.044056863102558</v>
      </c>
      <c r="S7022" s="2">
        <f t="shared" si="438"/>
        <v>1.7879222225918632</v>
      </c>
      <c r="T7022" s="2">
        <f t="shared" si="440"/>
        <v>2.2376776383008949</v>
      </c>
      <c r="U7022" s="2">
        <f t="shared" si="441"/>
        <v>32.069656723995315</v>
      </c>
    </row>
    <row r="7023" spans="1:21" x14ac:dyDescent="0.25">
      <c r="A7023">
        <v>7657833</v>
      </c>
      <c r="B7023">
        <v>1</v>
      </c>
      <c r="C7023" s="1">
        <f>0.301068776732132*(10.3/7.3)</f>
        <v>0.42479567127958417</v>
      </c>
      <c r="D7023" s="1">
        <f>0.660713060436521*(10.3/7.3)</f>
        <v>0.93223897568440706</v>
      </c>
      <c r="E7023" s="1">
        <f>2.2266829187724*(10.3/7.3)</f>
        <v>3.1417580908706433</v>
      </c>
      <c r="F7023" s="1">
        <f>7.69396360096425*(38.9/42.5)</f>
        <v>7.0422396253531581</v>
      </c>
      <c r="G7023" s="1">
        <v>0.45257006131800337</v>
      </c>
      <c r="H7023" s="1">
        <v>3.2693984068726287</v>
      </c>
      <c r="I7023" s="1">
        <v>5.7060303420362528</v>
      </c>
      <c r="J7023" s="1">
        <v>1.4749376260091053E-2</v>
      </c>
      <c r="K7023" s="1">
        <v>1.356428617458352</v>
      </c>
      <c r="L7023" s="1">
        <v>0.93330564798409776</v>
      </c>
      <c r="M7023" s="1">
        <v>0.11603854853903264</v>
      </c>
      <c r="N7023" s="1">
        <v>0.51679481381135839</v>
      </c>
      <c r="O7023" s="1">
        <v>0.12330666666666666</v>
      </c>
      <c r="P7023" s="1">
        <v>6.8120455054767909E-2</v>
      </c>
      <c r="Q7023" s="1">
        <v>0.7232854861246637</v>
      </c>
      <c r="R7023" s="2">
        <f t="shared" si="439"/>
        <v>21.69231665953934</v>
      </c>
      <c r="S7023" s="2">
        <f t="shared" si="438"/>
        <v>1.4392984487732108</v>
      </c>
      <c r="T7023" s="2">
        <f t="shared" si="440"/>
        <v>1.6894456770011557</v>
      </c>
      <c r="U7023" s="2">
        <f t="shared" si="441"/>
        <v>24.821060785313708</v>
      </c>
    </row>
    <row r="7024" spans="1:21" x14ac:dyDescent="0.25">
      <c r="A7024">
        <v>7658369</v>
      </c>
      <c r="B7024">
        <v>1</v>
      </c>
      <c r="C7024" s="1">
        <f>2.3192531907808*(10.3/7.3)</f>
        <v>3.2723709404167463</v>
      </c>
      <c r="D7024" s="1">
        <f>5.71960963769194*(10.3/7.3)</f>
        <v>8.0701341463324692</v>
      </c>
      <c r="E7024" s="1">
        <f>19.3550064457447*(10.3/7.3)</f>
        <v>27.309118683721955</v>
      </c>
      <c r="F7024" s="1">
        <f>59.8757454920517*(38.9/42.5)</f>
        <v>54.803917638607366</v>
      </c>
      <c r="G7024" s="1">
        <v>3.3658423005087164</v>
      </c>
      <c r="H7024" s="1">
        <v>14.279474599420061</v>
      </c>
      <c r="I7024" s="1">
        <v>42.690732007706117</v>
      </c>
      <c r="J7024" s="1">
        <v>2.4848201202270773E-2</v>
      </c>
      <c r="K7024" s="1">
        <v>1.7317538438784454</v>
      </c>
      <c r="L7024" s="1">
        <v>1.5227122789106189</v>
      </c>
      <c r="M7024" s="1">
        <v>0.12694584931892139</v>
      </c>
      <c r="N7024" s="1">
        <v>1.2926216786518407</v>
      </c>
      <c r="O7024" s="1">
        <v>0.11093333333333333</v>
      </c>
      <c r="P7024" s="1">
        <v>7.0316044384566706E-2</v>
      </c>
      <c r="Q7024" s="1">
        <v>5.3792000236440725</v>
      </c>
      <c r="R7024" s="2">
        <f t="shared" si="439"/>
        <v>159.17079034035751</v>
      </c>
      <c r="S7024" s="2">
        <f t="shared" si="438"/>
        <v>1.826918089465283</v>
      </c>
      <c r="T7024" s="2">
        <f t="shared" si="440"/>
        <v>3.0532131402147149</v>
      </c>
      <c r="U7024" s="2">
        <f t="shared" si="441"/>
        <v>164.05092157003753</v>
      </c>
    </row>
    <row r="7025" spans="1:21" x14ac:dyDescent="0.25">
      <c r="A7025">
        <v>7658497</v>
      </c>
      <c r="B7025">
        <v>5</v>
      </c>
      <c r="C7025" s="1">
        <f>1.34423484782504*(10.3/7.3)</f>
        <v>1.8966601277531374</v>
      </c>
      <c r="D7025" s="1">
        <f>3.10060334586873*(10.3/7.3)</f>
        <v>4.3748238989654684</v>
      </c>
      <c r="E7025" s="1">
        <f>10.5512272253762*(10.3/7.3)</f>
        <v>14.887348002927995</v>
      </c>
      <c r="F7025" s="1">
        <f>30.4803609140953*(38.9/42.5)</f>
        <v>27.898495048430785</v>
      </c>
      <c r="G7025" s="1">
        <v>1.6465481652408915</v>
      </c>
      <c r="H7025" s="1">
        <v>7.5828007435264286</v>
      </c>
      <c r="I7025" s="1">
        <v>21.548447303246867</v>
      </c>
      <c r="J7025" s="1">
        <v>2.8887731179142662E-2</v>
      </c>
      <c r="K7025" s="1">
        <v>1.7044092894247895</v>
      </c>
      <c r="L7025" s="1">
        <v>1.4306161802714363</v>
      </c>
      <c r="M7025" s="1">
        <v>0.11966275222515202</v>
      </c>
      <c r="N7025" s="1">
        <v>1.1403754425228654</v>
      </c>
      <c r="O7025" s="1">
        <v>9.9423999999999998E-2</v>
      </c>
      <c r="P7025" s="1">
        <v>6.5224772521150068E-2</v>
      </c>
      <c r="Q7025" s="1">
        <v>2.6314696704763127</v>
      </c>
      <c r="R7025" s="2">
        <f t="shared" si="439"/>
        <v>82.46659296056788</v>
      </c>
      <c r="S7025" s="2">
        <f t="shared" si="438"/>
        <v>1.7985217931250823</v>
      </c>
      <c r="T7025" s="2">
        <f t="shared" si="440"/>
        <v>2.790078375019454</v>
      </c>
      <c r="U7025" s="2">
        <f t="shared" si="441"/>
        <v>87.055193128712403</v>
      </c>
    </row>
    <row r="7026" spans="1:21" x14ac:dyDescent="0.25">
      <c r="A7026">
        <v>7658505</v>
      </c>
      <c r="B7026">
        <v>40</v>
      </c>
      <c r="C7026" s="1">
        <f>1.70507726745712*(10.3/7.3)</f>
        <v>2.4057939527134775</v>
      </c>
      <c r="D7026" s="1">
        <f>3.86557299633403*(10.3/7.3)</f>
        <v>5.4541646386630793</v>
      </c>
      <c r="E7026" s="1">
        <f>13.1709883046754*(10.3/7.3)</f>
        <v>18.583723224404999</v>
      </c>
      <c r="F7026" s="1">
        <f>37.4895272733108*(38.9/42.5)</f>
        <v>34.313943786630375</v>
      </c>
      <c r="G7026" s="1">
        <v>2.0061739838806778</v>
      </c>
      <c r="H7026" s="1">
        <v>8.7578930045807972</v>
      </c>
      <c r="I7026" s="1">
        <v>26.467977382228575</v>
      </c>
      <c r="J7026" s="1">
        <v>3.3246562238745239E-2</v>
      </c>
      <c r="K7026" s="1">
        <v>1.8528660389518987</v>
      </c>
      <c r="L7026" s="1">
        <v>1.579716019069048</v>
      </c>
      <c r="M7026" s="1">
        <v>0.126352424367704</v>
      </c>
      <c r="N7026" s="1">
        <v>1.1559156846946153</v>
      </c>
      <c r="O7026" s="1">
        <v>0.10754666666666664</v>
      </c>
      <c r="P7026" s="1">
        <v>6.9775522899046621E-2</v>
      </c>
      <c r="Q7026" s="1">
        <v>3.2062141294896711</v>
      </c>
      <c r="R7026" s="2">
        <f t="shared" si="439"/>
        <v>101.19588410259166</v>
      </c>
      <c r="S7026" s="2">
        <f t="shared" si="438"/>
        <v>1.9558881240896906</v>
      </c>
      <c r="T7026" s="2">
        <f t="shared" si="440"/>
        <v>2.9695307947980338</v>
      </c>
      <c r="U7026" s="2">
        <f t="shared" si="441"/>
        <v>106.12130302147939</v>
      </c>
    </row>
    <row r="7027" spans="1:21" x14ac:dyDescent="0.25">
      <c r="A7027">
        <v>7658513</v>
      </c>
      <c r="B7027">
        <v>15</v>
      </c>
      <c r="C7027" s="1">
        <f>2.05823929341546*(10.3/7.3)</f>
        <v>2.9040910578327792</v>
      </c>
      <c r="D7027" s="1">
        <f>4.6676217274379*(10.3/7.3)</f>
        <v>6.5858224373438796</v>
      </c>
      <c r="E7027" s="1">
        <f>15.8925312554912*(10.3/7.3)</f>
        <v>22.423708483775272</v>
      </c>
      <c r="F7027" s="1">
        <f>45.8067041219354*(38.9/42.5)</f>
        <v>41.926606831606776</v>
      </c>
      <c r="G7027" s="1">
        <v>2.468785063431258</v>
      </c>
      <c r="H7027" s="1">
        <v>10.230432331214709</v>
      </c>
      <c r="I7027" s="1">
        <v>32.444514611171513</v>
      </c>
      <c r="J7027" s="1">
        <v>3.9127996246563004E-2</v>
      </c>
      <c r="K7027" s="1">
        <v>2.10087777894385</v>
      </c>
      <c r="L7027" s="1">
        <v>1.8218409448578536</v>
      </c>
      <c r="M7027" s="1">
        <v>0.1408573806723869</v>
      </c>
      <c r="N7027" s="1">
        <v>1.3167389837473147</v>
      </c>
      <c r="O7027" s="1">
        <v>0.12165688888888891</v>
      </c>
      <c r="P7027" s="1">
        <v>7.7529315307619015E-2</v>
      </c>
      <c r="Q7027" s="1">
        <v>3.9455469050271277</v>
      </c>
      <c r="R7027" s="2">
        <f t="shared" si="439"/>
        <v>122.92950772140331</v>
      </c>
      <c r="S7027" s="2">
        <f t="shared" si="438"/>
        <v>2.217535090498032</v>
      </c>
      <c r="T7027" s="2">
        <f t="shared" si="440"/>
        <v>3.4010941981664442</v>
      </c>
      <c r="U7027" s="2">
        <f t="shared" si="441"/>
        <v>128.54813701006779</v>
      </c>
    </row>
    <row r="7028" spans="1:21" x14ac:dyDescent="0.25">
      <c r="A7028">
        <v>7670045</v>
      </c>
      <c r="B7028">
        <v>49</v>
      </c>
      <c r="C7028" s="1">
        <f>0.328013623879859*(10.3/7.3)</f>
        <v>0.46281374328254016</v>
      </c>
      <c r="D7028" s="1">
        <f>0.640752504805639*(10.3/7.3)</f>
        <v>0.90407545198603856</v>
      </c>
      <c r="E7028" s="1">
        <f>2.18486705840869*(10.3/7.3)</f>
        <v>3.0827576303574658</v>
      </c>
      <c r="F7028" s="1">
        <f>6.59041132175891*(38.9/42.5)</f>
        <v>6.0321647156805058</v>
      </c>
      <c r="G7028" s="1">
        <v>0.36069274639535848</v>
      </c>
      <c r="H7028" s="1">
        <v>1.4389844568095216</v>
      </c>
      <c r="I7028" s="1">
        <v>4.8267029742266923</v>
      </c>
      <c r="J7028" s="1">
        <v>1.4845671006581395E-2</v>
      </c>
      <c r="K7028" s="1">
        <v>1.4249970597932835</v>
      </c>
      <c r="L7028" s="1">
        <v>1.0181171364483321</v>
      </c>
      <c r="M7028" s="1">
        <v>0.12045476575413384</v>
      </c>
      <c r="N7028" s="1">
        <v>0.50963201606038955</v>
      </c>
      <c r="O7028" s="1">
        <v>0.12979047619047615</v>
      </c>
      <c r="P7028" s="1">
        <v>7.3545080585825581E-2</v>
      </c>
      <c r="Q7028" s="1">
        <v>0.57644959469577883</v>
      </c>
      <c r="R7028" s="2">
        <f t="shared" si="439"/>
        <v>17.6846413134339</v>
      </c>
      <c r="S7028" s="2">
        <f t="shared" si="438"/>
        <v>1.5133878113856905</v>
      </c>
      <c r="T7028" s="2">
        <f t="shared" si="440"/>
        <v>1.7779943944533319</v>
      </c>
      <c r="U7028" s="2">
        <f t="shared" si="441"/>
        <v>20.976023519272921</v>
      </c>
    </row>
    <row r="7029" spans="1:21" x14ac:dyDescent="0.25">
      <c r="A7029">
        <v>7670053</v>
      </c>
      <c r="B7029">
        <v>41</v>
      </c>
      <c r="C7029" s="1">
        <f>0.645708734237272*(10.3/7.3)</f>
        <v>0.91106848803341101</v>
      </c>
      <c r="D7029" s="1">
        <f>1.43583943750437*(10.3/7.3)</f>
        <v>2.0259104392184955</v>
      </c>
      <c r="E7029" s="1">
        <f>4.84927492152729*(10.3/7.3)</f>
        <v>6.8421276290042528</v>
      </c>
      <c r="F7029" s="1">
        <f>16.1337356756333*(38.9/42.5)</f>
        <v>14.767113359579666</v>
      </c>
      <c r="G7029" s="1">
        <v>0.93388208208653611</v>
      </c>
      <c r="H7029" s="1">
        <v>5.1730743737885607</v>
      </c>
      <c r="I7029" s="1">
        <v>11.851922214919281</v>
      </c>
      <c r="J7029" s="1">
        <v>3.4773158283179104E-2</v>
      </c>
      <c r="K7029" s="1">
        <v>2.0858703646948404</v>
      </c>
      <c r="L7029" s="1">
        <v>1.7129510500559255</v>
      </c>
      <c r="M7029" s="1">
        <v>0.19744247536636536</v>
      </c>
      <c r="N7029" s="1">
        <v>0.8249755126422651</v>
      </c>
      <c r="O7029" s="1">
        <v>0.21649951219512198</v>
      </c>
      <c r="P7029" s="1">
        <v>0.10100505502854946</v>
      </c>
      <c r="Q7029" s="1">
        <v>1.4925056106405843</v>
      </c>
      <c r="R7029" s="2">
        <f t="shared" si="439"/>
        <v>43.997604197270796</v>
      </c>
      <c r="S7029" s="2">
        <f t="shared" si="438"/>
        <v>2.2216485780065689</v>
      </c>
      <c r="T7029" s="2">
        <f t="shared" si="440"/>
        <v>2.951868550259678</v>
      </c>
      <c r="U7029" s="2">
        <f t="shared" si="441"/>
        <v>49.171121325537044</v>
      </c>
    </row>
    <row r="7030" spans="1:21" x14ac:dyDescent="0.25">
      <c r="A7030">
        <v>7670069</v>
      </c>
      <c r="B7030">
        <v>7</v>
      </c>
      <c r="C7030" s="1">
        <f>0.292221008739041*(10.3/7.3)</f>
        <v>0.41231183424823548</v>
      </c>
      <c r="D7030" s="1">
        <f>0.619511042282789*(10.3/7.3)</f>
        <v>0.87410462130311373</v>
      </c>
      <c r="E7030" s="1">
        <f>2.0936587759037*(10.3/7.3)</f>
        <v>2.954066492028514</v>
      </c>
      <c r="F7030" s="1">
        <f>7.03139195770664*(38.9/42.5)</f>
        <v>6.4357916977597229</v>
      </c>
      <c r="G7030" s="1">
        <v>0.40772077596216516</v>
      </c>
      <c r="H7030" s="1">
        <v>4.4930174639368898</v>
      </c>
      <c r="I7030" s="1">
        <v>5.2070755108218432</v>
      </c>
      <c r="J7030" s="1">
        <v>1.4246253528878015E-2</v>
      </c>
      <c r="K7030" s="1">
        <v>1.3346513194579679</v>
      </c>
      <c r="L7030" s="1">
        <v>0.91902542276466537</v>
      </c>
      <c r="M7030" s="1">
        <v>0.11429933304447785</v>
      </c>
      <c r="N7030" s="1">
        <v>0.5142715739328646</v>
      </c>
      <c r="O7030" s="1">
        <v>0.12089142857142855</v>
      </c>
      <c r="P7030" s="1">
        <v>6.7262416731213165E-2</v>
      </c>
      <c r="Q7030" s="1">
        <v>0.65160854605825558</v>
      </c>
      <c r="R7030" s="2">
        <f t="shared" si="439"/>
        <v>21.435696942118739</v>
      </c>
      <c r="S7030" s="2">
        <f t="shared" si="438"/>
        <v>1.4161599897180592</v>
      </c>
      <c r="T7030" s="2">
        <f t="shared" si="440"/>
        <v>1.6684877583134365</v>
      </c>
      <c r="U7030" s="2">
        <f t="shared" si="441"/>
        <v>24.520344690150235</v>
      </c>
    </row>
    <row r="7031" spans="1:21" x14ac:dyDescent="0.25">
      <c r="A7031">
        <v>7670077</v>
      </c>
      <c r="B7031">
        <v>4</v>
      </c>
      <c r="C7031" s="1">
        <f>0.299226677125854*(10.3/7.3)</f>
        <v>0.42219654443784843</v>
      </c>
      <c r="D7031" s="1">
        <f>0.648886139951938*(10.3/7.3)</f>
        <v>0.9155516769184886</v>
      </c>
      <c r="E7031" s="1">
        <f>2.18734094114914*(10.3/7.3)</f>
        <v>3.0862481772378221</v>
      </c>
      <c r="F7031" s="1">
        <f>7.56691489932094*(38.9/42.5)</f>
        <v>6.9259526960843427</v>
      </c>
      <c r="G7031" s="1">
        <v>0.44505941544501609</v>
      </c>
      <c r="H7031" s="1">
        <v>3.5010073867902984</v>
      </c>
      <c r="I7031" s="1">
        <v>5.6213312052578859</v>
      </c>
      <c r="J7031" s="1">
        <v>1.384133065604632E-2</v>
      </c>
      <c r="K7031" s="1">
        <v>1.3213787738640819</v>
      </c>
      <c r="L7031" s="1">
        <v>0.91926831825925515</v>
      </c>
      <c r="M7031" s="1">
        <v>0.11523025951547687</v>
      </c>
      <c r="N7031" s="1">
        <v>0.5062825156768882</v>
      </c>
      <c r="O7031" s="1">
        <v>0.12045333333333334</v>
      </c>
      <c r="P7031" s="1">
        <v>6.6200543308925913E-2</v>
      </c>
      <c r="Q7031" s="1">
        <v>0.71128217080253797</v>
      </c>
      <c r="R7031" s="2">
        <f t="shared" si="439"/>
        <v>21.628629272974241</v>
      </c>
      <c r="S7031" s="2">
        <f t="shared" si="438"/>
        <v>1.4014206478290541</v>
      </c>
      <c r="T7031" s="2">
        <f t="shared" si="440"/>
        <v>1.6612344267849535</v>
      </c>
      <c r="U7031" s="2">
        <f t="shared" si="441"/>
        <v>24.691284347588248</v>
      </c>
    </row>
    <row r="7032" spans="1:21" x14ac:dyDescent="0.25">
      <c r="A7032">
        <v>7670101</v>
      </c>
      <c r="B7032">
        <v>7</v>
      </c>
      <c r="C7032" s="1">
        <f>0.295896673127168*(10.3/7.3)</f>
        <v>0.41749804564518161</v>
      </c>
      <c r="D7032" s="1">
        <f>0.715837209175841*(10.3/7.3)</f>
        <v>1.010016884179612</v>
      </c>
      <c r="E7032" s="1">
        <f>2.4023680768485*(10.3/7.3)</f>
        <v>3.3896426289780264</v>
      </c>
      <c r="F7032" s="1">
        <f>8.52013934277537*(38.9/42.5)</f>
        <v>7.7984334219755782</v>
      </c>
      <c r="G7032" s="1">
        <v>0.50896121676028927</v>
      </c>
      <c r="H7032" s="1">
        <v>3.4424873099210145</v>
      </c>
      <c r="I7032" s="1">
        <v>6.2817478037653984</v>
      </c>
      <c r="J7032" s="1">
        <v>1.3341844956625187E-2</v>
      </c>
      <c r="K7032" s="1">
        <v>1.3223209445565358</v>
      </c>
      <c r="L7032" s="1">
        <v>0.93099074460012632</v>
      </c>
      <c r="M7032" s="1">
        <v>0.121907834667247</v>
      </c>
      <c r="N7032" s="1">
        <v>0.49723811228399423</v>
      </c>
      <c r="O7032" s="1">
        <v>0.11927619047619049</v>
      </c>
      <c r="P7032" s="1">
        <v>6.5371325860264951E-2</v>
      </c>
      <c r="Q7032" s="1">
        <v>0.81340833728813444</v>
      </c>
      <c r="R7032" s="2">
        <f t="shared" si="439"/>
        <v>23.662195648513233</v>
      </c>
      <c r="S7032" s="2">
        <f t="shared" si="438"/>
        <v>1.401034115373426</v>
      </c>
      <c r="T7032" s="2">
        <f t="shared" si="440"/>
        <v>1.669412882027558</v>
      </c>
      <c r="U7032" s="2">
        <f t="shared" si="441"/>
        <v>26.732642645914218</v>
      </c>
    </row>
    <row r="7033" spans="1:21" x14ac:dyDescent="0.25">
      <c r="A7033">
        <v>7670597</v>
      </c>
      <c r="B7033">
        <v>37</v>
      </c>
      <c r="C7033" s="1">
        <f>2.33015777457137*(10.3/7.3)</f>
        <v>3.2877568600116529</v>
      </c>
      <c r="D7033" s="1">
        <f>6.25919300331298*(10.3/7.3)</f>
        <v>8.831464100564892</v>
      </c>
      <c r="E7033" s="1">
        <f>21.1140990333769*(10.3/7.3)</f>
        <v>29.791126033394875</v>
      </c>
      <c r="F7033" s="1">
        <f>66.6723522462419*(38.9/42.5)</f>
        <v>61.024811820677854</v>
      </c>
      <c r="G7033" s="1">
        <v>3.8012277720802627</v>
      </c>
      <c r="H7033" s="1">
        <v>13.100616984528367</v>
      </c>
      <c r="I7033" s="1">
        <v>47.296834554771756</v>
      </c>
      <c r="J7033" s="1">
        <v>2.9212508288343802E-2</v>
      </c>
      <c r="K7033" s="1">
        <v>1.8699684819228986</v>
      </c>
      <c r="L7033" s="1">
        <v>1.6756198559306688</v>
      </c>
      <c r="M7033" s="1">
        <v>0.1366752251765839</v>
      </c>
      <c r="N7033" s="1">
        <v>1.1228401499917977</v>
      </c>
      <c r="O7033" s="1">
        <v>0.11939747747747753</v>
      </c>
      <c r="P7033" s="1">
        <v>7.5135468576946765E-2</v>
      </c>
      <c r="Q7033" s="1">
        <v>6.0750215535529373</v>
      </c>
      <c r="R7033" s="2">
        <f t="shared" si="439"/>
        <v>173.20885967958262</v>
      </c>
      <c r="S7033" s="2">
        <f t="shared" si="438"/>
        <v>1.9743164587881892</v>
      </c>
      <c r="T7033" s="2">
        <f t="shared" si="440"/>
        <v>3.0545327085765281</v>
      </c>
      <c r="U7033" s="2">
        <f t="shared" si="441"/>
        <v>178.23770884694733</v>
      </c>
    </row>
    <row r="7034" spans="1:21" x14ac:dyDescent="0.25">
      <c r="A7034">
        <v>7670605</v>
      </c>
      <c r="B7034">
        <v>3</v>
      </c>
      <c r="C7034" s="1">
        <f>3.24129872343709*(10.3/7.3)</f>
        <v>4.5733392947126017</v>
      </c>
      <c r="D7034" s="1">
        <f>7.22889484855454*(10.3/7.3)</f>
        <v>10.19967355343997</v>
      </c>
      <c r="E7034" s="1">
        <f>24.6125399053635*(10.3/7.3)</f>
        <v>34.727282332225144</v>
      </c>
      <c r="F7034" s="1">
        <f>71.5174990796435*(38.9/42.5)</f>
        <v>65.459546216426673</v>
      </c>
      <c r="G7034" s="1">
        <v>3.8679826245884357</v>
      </c>
      <c r="H7034" s="1">
        <v>13.827117684328263</v>
      </c>
      <c r="I7034" s="1">
        <v>50.885038293631624</v>
      </c>
      <c r="J7034" s="1">
        <v>2.8746291053902046E-2</v>
      </c>
      <c r="K7034" s="1">
        <v>1.9599671387732709</v>
      </c>
      <c r="L7034" s="1">
        <v>1.7780349920559839</v>
      </c>
      <c r="M7034" s="1">
        <v>0.14200300569775362</v>
      </c>
      <c r="N7034" s="1">
        <v>1.2952274820464567</v>
      </c>
      <c r="O7034" s="1">
        <v>0.12465777777777777</v>
      </c>
      <c r="P7034" s="1">
        <v>7.7652002598145697E-2</v>
      </c>
      <c r="Q7034" s="1">
        <v>6.1817073908947657</v>
      </c>
      <c r="R7034" s="2">
        <f t="shared" si="439"/>
        <v>189.72168739024747</v>
      </c>
      <c r="S7034" s="2">
        <f t="shared" si="438"/>
        <v>2.0663654324253184</v>
      </c>
      <c r="T7034" s="2">
        <f t="shared" si="440"/>
        <v>3.339923257577972</v>
      </c>
      <c r="U7034" s="2">
        <f t="shared" si="441"/>
        <v>195.12797608025076</v>
      </c>
    </row>
    <row r="7035" spans="1:21" x14ac:dyDescent="0.25">
      <c r="A7035">
        <v>7670733</v>
      </c>
      <c r="B7035">
        <v>16</v>
      </c>
      <c r="C7035" s="1">
        <f>1.26477563237583*(10.3/7.3)</f>
        <v>1.7845464402015077</v>
      </c>
      <c r="D7035" s="1">
        <f>2.86784471307327*(10.3/7.3)</f>
        <v>4.0464110335143415</v>
      </c>
      <c r="E7035" s="1">
        <f>9.77107832693669*(10.3/7.3)</f>
        <v>13.78658996814355</v>
      </c>
      <c r="F7035" s="1">
        <f>27.8303473272785*(38.9/42.5)</f>
        <v>25.472953200732565</v>
      </c>
      <c r="G7035" s="1">
        <v>1.4898573157156945</v>
      </c>
      <c r="H7035" s="1">
        <v>7.5562639641014879</v>
      </c>
      <c r="I7035" s="1">
        <v>19.65139828164433</v>
      </c>
      <c r="J7035" s="1">
        <v>2.7763282183479791E-2</v>
      </c>
      <c r="K7035" s="1">
        <v>1.6713245301900186</v>
      </c>
      <c r="L7035" s="1">
        <v>1.3887469095161513</v>
      </c>
      <c r="M7035" s="1">
        <v>0.11747332834313237</v>
      </c>
      <c r="N7035" s="1">
        <v>1.0976197577162372</v>
      </c>
      <c r="O7035" s="1">
        <v>9.6383333333333349E-2</v>
      </c>
      <c r="P7035" s="1">
        <v>6.3942064005887991E-2</v>
      </c>
      <c r="Q7035" s="1">
        <v>2.3810505045684645</v>
      </c>
      <c r="R7035" s="2">
        <f t="shared" si="439"/>
        <v>76.169070708621945</v>
      </c>
      <c r="S7035" s="2">
        <f t="shared" si="438"/>
        <v>1.7630298763793866</v>
      </c>
      <c r="T7035" s="2">
        <f t="shared" si="440"/>
        <v>2.7002233289088542</v>
      </c>
      <c r="U7035" s="2">
        <f t="shared" si="441"/>
        <v>80.632323913910184</v>
      </c>
    </row>
    <row r="7036" spans="1:21" x14ac:dyDescent="0.25">
      <c r="A7036">
        <v>7670741</v>
      </c>
      <c r="B7036">
        <v>9</v>
      </c>
      <c r="C7036" s="1">
        <f>2.08611971988887*(10.3/7.3)</f>
        <v>2.9434291938158066</v>
      </c>
      <c r="D7036" s="1">
        <f>4.76402421396686*(10.3/7.3)</f>
        <v>6.7218423840902251</v>
      </c>
      <c r="E7036" s="1">
        <f>16.2317615142821*(10.3/7.3)</f>
        <v>22.902348437959713</v>
      </c>
      <c r="F7036" s="1">
        <f>46.0726163685974*(38.9/42.5)</f>
        <v>42.169994746786763</v>
      </c>
      <c r="G7036" s="1">
        <v>2.4626573301317096</v>
      </c>
      <c r="H7036" s="1">
        <v>9.1919522317498412</v>
      </c>
      <c r="I7036" s="1">
        <v>32.46852256997817</v>
      </c>
      <c r="J7036" s="1">
        <v>3.7951214404561104E-2</v>
      </c>
      <c r="K7036" s="1">
        <v>1.9586108395359227</v>
      </c>
      <c r="L7036" s="1">
        <v>1.7009516636833044</v>
      </c>
      <c r="M7036" s="1">
        <v>0.13198670760703282</v>
      </c>
      <c r="N7036" s="1">
        <v>1.2343096458655805</v>
      </c>
      <c r="O7036" s="1">
        <v>0.11455407407407409</v>
      </c>
      <c r="P7036" s="1">
        <v>7.3053519203900186E-2</v>
      </c>
      <c r="Q7036" s="1">
        <v>3.9357537239547904</v>
      </c>
      <c r="R7036" s="2">
        <f t="shared" si="439"/>
        <v>122.79650061846699</v>
      </c>
      <c r="S7036" s="2">
        <f t="shared" si="438"/>
        <v>2.0696155731443842</v>
      </c>
      <c r="T7036" s="2">
        <f t="shared" si="440"/>
        <v>3.1818020912299918</v>
      </c>
      <c r="U7036" s="2">
        <f t="shared" si="441"/>
        <v>128.04791828284138</v>
      </c>
    </row>
    <row r="7037" spans="1:21" x14ac:dyDescent="0.25">
      <c r="A7037">
        <v>7682281</v>
      </c>
      <c r="B7037">
        <v>50</v>
      </c>
      <c r="C7037" s="1">
        <f>0.441140835918149*(10.3/7.3)</f>
        <v>0.62243159040505935</v>
      </c>
      <c r="D7037" s="1">
        <f>0.898678802503925*(10.3/7.3)</f>
        <v>1.2679988583274557</v>
      </c>
      <c r="E7037" s="1">
        <f>3.05533889897205*(10.3/7.3)</f>
        <v>4.3109576245770045</v>
      </c>
      <c r="F7037" s="1">
        <f>9.4900685480279*(38.9/42.5)</f>
        <v>8.6862039180773021</v>
      </c>
      <c r="G7037" s="1">
        <v>0.52884174310759946</v>
      </c>
      <c r="H7037" s="1">
        <v>2.9862744840105444</v>
      </c>
      <c r="I7037" s="1">
        <v>6.9507516971511212</v>
      </c>
      <c r="J7037" s="1">
        <v>1.8969836445170727E-2</v>
      </c>
      <c r="K7037" s="1">
        <v>1.6175266049916979</v>
      </c>
      <c r="L7037" s="1">
        <v>1.215952967424538</v>
      </c>
      <c r="M7037" s="1">
        <v>0.14114351548625292</v>
      </c>
      <c r="N7037" s="1">
        <v>0.60662296235241475</v>
      </c>
      <c r="O7037" s="1">
        <v>0.15364053333333333</v>
      </c>
      <c r="P7037" s="1">
        <v>8.1747179848701793E-2</v>
      </c>
      <c r="Q7037" s="1">
        <v>0.84518086798018244</v>
      </c>
      <c r="R7037" s="2">
        <f t="shared" si="439"/>
        <v>26.198640783636272</v>
      </c>
      <c r="S7037" s="2">
        <f t="shared" si="438"/>
        <v>1.7182436212855703</v>
      </c>
      <c r="T7037" s="2">
        <f t="shared" si="440"/>
        <v>2.1173599785965389</v>
      </c>
      <c r="U7037" s="2">
        <f t="shared" si="441"/>
        <v>30.034244383518381</v>
      </c>
    </row>
    <row r="7038" spans="1:21" x14ac:dyDescent="0.25">
      <c r="A7038">
        <v>7682305</v>
      </c>
      <c r="B7038">
        <v>4</v>
      </c>
      <c r="C7038" s="1">
        <f>0.305380285540342*(10.3/7.3)</f>
        <v>0.43087903302267394</v>
      </c>
      <c r="D7038" s="1">
        <f>0.663893010741329*(10.3/7.3)</f>
        <v>0.93672575488160159</v>
      </c>
      <c r="E7038" s="1">
        <f>2.23737831398284*(10.3/7.3)</f>
        <v>3.1568488539757862</v>
      </c>
      <c r="F7038" s="1">
        <f>7.76083813643027*(38.9/42.5)</f>
        <v>7.1034494942855906</v>
      </c>
      <c r="G7038" s="1">
        <v>0.45704962510653502</v>
      </c>
      <c r="H7038" s="1">
        <v>3.4892505857792488</v>
      </c>
      <c r="I7038" s="1">
        <v>5.7667283281050077</v>
      </c>
      <c r="J7038" s="1">
        <v>1.3983477981913137E-2</v>
      </c>
      <c r="K7038" s="1">
        <v>1.3408462584608078</v>
      </c>
      <c r="L7038" s="1">
        <v>0.92915660491967755</v>
      </c>
      <c r="M7038" s="1">
        <v>0.116388696354709</v>
      </c>
      <c r="N7038" s="1">
        <v>0.50885829068585453</v>
      </c>
      <c r="O7038" s="1">
        <v>0.12157333333333332</v>
      </c>
      <c r="P7038" s="1">
        <v>6.7529390392385216E-2</v>
      </c>
      <c r="Q7038" s="1">
        <v>0.73044460633464581</v>
      </c>
      <c r="R7038" s="2">
        <f t="shared" si="439"/>
        <v>22.071376281491091</v>
      </c>
      <c r="S7038" s="2">
        <f t="shared" si="438"/>
        <v>1.4223591268351063</v>
      </c>
      <c r="T7038" s="2">
        <f t="shared" si="440"/>
        <v>1.6759769252935743</v>
      </c>
      <c r="U7038" s="2">
        <f t="shared" si="441"/>
        <v>25.169712333619774</v>
      </c>
    </row>
    <row r="7039" spans="1:21" x14ac:dyDescent="0.25">
      <c r="A7039">
        <v>7682833</v>
      </c>
      <c r="B7039">
        <v>34</v>
      </c>
      <c r="C7039" s="1">
        <f>2.37237828912404*(10.3/7.3)</f>
        <v>3.3473282709558365</v>
      </c>
      <c r="D7039" s="1">
        <f>5.62462530636692*(10.3/7.3)</f>
        <v>7.9361151582985334</v>
      </c>
      <c r="E7039" s="1">
        <f>19.1079253386491*(10.3/7.3)</f>
        <v>26.960497395628149</v>
      </c>
      <c r="F7039" s="1">
        <f>56.2000112102565*(38.9/42.5)</f>
        <v>51.4395396724465</v>
      </c>
      <c r="G7039" s="1">
        <v>3.0710021139905663</v>
      </c>
      <c r="H7039" s="1">
        <v>10.083679791535612</v>
      </c>
      <c r="I7039" s="1">
        <v>39.763256029761095</v>
      </c>
      <c r="J7039" s="1">
        <v>2.6342557725474683E-2</v>
      </c>
      <c r="K7039" s="1">
        <v>1.8073679077922236</v>
      </c>
      <c r="L7039" s="1">
        <v>1.6020652615284581</v>
      </c>
      <c r="M7039" s="1">
        <v>0.13169677442748304</v>
      </c>
      <c r="N7039" s="1">
        <v>1.0679702222274265</v>
      </c>
      <c r="O7039" s="1">
        <v>0.11470274509803922</v>
      </c>
      <c r="P7039" s="1">
        <v>7.2674832154329155E-2</v>
      </c>
      <c r="Q7039" s="1">
        <v>4.907994246103649</v>
      </c>
      <c r="R7039" s="2">
        <f t="shared" si="439"/>
        <v>147.50941267871994</v>
      </c>
      <c r="S7039" s="2">
        <f t="shared" si="438"/>
        <v>1.9063852976720275</v>
      </c>
      <c r="T7039" s="2">
        <f t="shared" si="440"/>
        <v>2.9164350032814066</v>
      </c>
      <c r="U7039" s="2">
        <f t="shared" si="441"/>
        <v>152.33223297967336</v>
      </c>
    </row>
    <row r="7040" spans="1:21" x14ac:dyDescent="0.25">
      <c r="A7040">
        <v>7682841</v>
      </c>
      <c r="B7040">
        <v>3</v>
      </c>
      <c r="C7040" s="1">
        <f>2.59925233093517*(10.3/7.3)</f>
        <v>3.6674382203605855</v>
      </c>
      <c r="D7040" s="1">
        <f>5.97291719594443*(10.3/7.3)</f>
        <v>8.4275407011270769</v>
      </c>
      <c r="E7040" s="1">
        <f>20.3242823719169*(10.3/7.3)</f>
        <v>28.676727182293646</v>
      </c>
      <c r="F7040" s="1">
        <f>58.8783046201442*(38.9/42.5)</f>
        <v>53.890965875849609</v>
      </c>
      <c r="G7040" s="1">
        <v>3.1848714999500713</v>
      </c>
      <c r="H7040" s="1">
        <v>12.760048030658746</v>
      </c>
      <c r="I7040" s="1">
        <v>41.677816578864615</v>
      </c>
      <c r="J7040" s="1">
        <v>2.544790733329097E-2</v>
      </c>
      <c r="K7040" s="1">
        <v>1.7712208876397793</v>
      </c>
      <c r="L7040" s="1">
        <v>1.5617659863522817</v>
      </c>
      <c r="M7040" s="1">
        <v>0.12756063681582683</v>
      </c>
      <c r="N7040" s="1">
        <v>1.1633928435175434</v>
      </c>
      <c r="O7040" s="1">
        <v>0.11212444444444446</v>
      </c>
      <c r="P7040" s="1">
        <v>7.034588884182523E-2</v>
      </c>
      <c r="Q7040" s="1">
        <v>5.0899772830252328</v>
      </c>
      <c r="R7040" s="2">
        <f t="shared" si="439"/>
        <v>157.37538537212959</v>
      </c>
      <c r="S7040" s="2">
        <f t="shared" si="438"/>
        <v>1.8670146838148953</v>
      </c>
      <c r="T7040" s="2">
        <f t="shared" si="440"/>
        <v>2.9648439111300964</v>
      </c>
      <c r="U7040" s="2">
        <f t="shared" si="441"/>
        <v>162.20724396707456</v>
      </c>
    </row>
    <row r="7041" spans="1:21" x14ac:dyDescent="0.25">
      <c r="A7041">
        <v>7682969</v>
      </c>
      <c r="B7041">
        <v>17</v>
      </c>
      <c r="C7041" s="1">
        <f>1.96927183728519*(10.3/7.3)</f>
        <v>2.7785616334297942</v>
      </c>
      <c r="D7041" s="1">
        <f>4.53956655132129*(10.3/7.3)</f>
        <v>6.4051418463848311</v>
      </c>
      <c r="E7041" s="1">
        <f>15.4629727989648*(10.3/7.3)</f>
        <v>21.81761915470382</v>
      </c>
      <c r="F7041" s="1">
        <f>43.910323468689*(38.9/42.5)</f>
        <v>40.190860774870664</v>
      </c>
      <c r="G7041" s="1">
        <v>2.349064947451367</v>
      </c>
      <c r="H7041" s="1">
        <v>10.242446003508352</v>
      </c>
      <c r="I7041" s="1">
        <v>30.905528011566329</v>
      </c>
      <c r="J7041" s="1">
        <v>3.7748039824656639E-2</v>
      </c>
      <c r="K7041" s="1">
        <v>2.0632011110231625</v>
      </c>
      <c r="L7041" s="1">
        <v>1.7820684610687534</v>
      </c>
      <c r="M7041" s="1">
        <v>0.1417948654864605</v>
      </c>
      <c r="N7041" s="1">
        <v>1.366669822887792</v>
      </c>
      <c r="O7041" s="1">
        <v>0.11980862745098039</v>
      </c>
      <c r="P7041" s="1">
        <v>7.5986479937514298E-2</v>
      </c>
      <c r="Q7041" s="1">
        <v>3.754213386337804</v>
      </c>
      <c r="R7041" s="2">
        <f t="shared" si="439"/>
        <v>118.44343575825297</v>
      </c>
      <c r="S7041" s="2">
        <f t="shared" si="438"/>
        <v>2.1769356307853336</v>
      </c>
      <c r="T7041" s="2">
        <f t="shared" si="440"/>
        <v>3.4103417768939863</v>
      </c>
      <c r="U7041" s="2">
        <f t="shared" si="441"/>
        <v>124.0307131659323</v>
      </c>
    </row>
    <row r="7042" spans="1:21" x14ac:dyDescent="0.25">
      <c r="A7042">
        <v>7694509</v>
      </c>
      <c r="B7042">
        <v>17</v>
      </c>
      <c r="C7042" s="1">
        <f>0.298046444786696*(10.3/7.3)</f>
        <v>0.42053128510999543</v>
      </c>
      <c r="D7042" s="1">
        <f>0.566475832327446*(10.3/7.3)</f>
        <v>0.79927411958530048</v>
      </c>
      <c r="E7042" s="1">
        <f>1.93556299474631*(10.3/7.3)</f>
        <v>2.7309998419023334</v>
      </c>
      <c r="F7042" s="1">
        <f>5.71518462896458*(38.9/42.5)</f>
        <v>5.2310748721581657</v>
      </c>
      <c r="G7042" s="1">
        <v>0.30857393897161328</v>
      </c>
      <c r="H7042" s="1">
        <v>1.1785452038723199</v>
      </c>
      <c r="I7042" s="1">
        <v>4.1844937116510081</v>
      </c>
      <c r="J7042" s="1">
        <v>1.4203750176956974E-2</v>
      </c>
      <c r="K7042" s="1">
        <v>1.3617982634796864</v>
      </c>
      <c r="L7042" s="1">
        <v>0.96569116866030569</v>
      </c>
      <c r="M7042" s="1">
        <v>0.11528047381918072</v>
      </c>
      <c r="N7042" s="1">
        <v>0.48384939167509</v>
      </c>
      <c r="O7042" s="1">
        <v>0.12365803921568626</v>
      </c>
      <c r="P7042" s="1">
        <v>7.0497217795688988E-2</v>
      </c>
      <c r="Q7042" s="1">
        <v>0.49315469698659697</v>
      </c>
      <c r="R7042" s="2">
        <f t="shared" si="439"/>
        <v>15.346647670237333</v>
      </c>
      <c r="S7042" s="2">
        <f t="shared" si="438"/>
        <v>1.4464992314523324</v>
      </c>
      <c r="T7042" s="2">
        <f t="shared" si="440"/>
        <v>1.6884790733702626</v>
      </c>
      <c r="U7042" s="2">
        <f t="shared" si="441"/>
        <v>18.481625975059931</v>
      </c>
    </row>
    <row r="7043" spans="1:21" x14ac:dyDescent="0.25">
      <c r="A7043">
        <v>7694517</v>
      </c>
      <c r="B7043">
        <v>15</v>
      </c>
      <c r="C7043" s="1">
        <f>0.748655832778805*(10.3/7.3)</f>
        <v>1.0563226133728338</v>
      </c>
      <c r="D7043" s="1">
        <f>1.43988737396325*(10.3/7.3)</f>
        <v>2.0316219112084197</v>
      </c>
      <c r="E7043" s="1">
        <f>4.92757504459365*(10.3/7.3)</f>
        <v>6.952605884837622</v>
      </c>
      <c r="F7043" s="1">
        <f>14.0641678457627*(38.9/42.5)</f>
        <v>12.872850098827476</v>
      </c>
      <c r="G7043" s="1">
        <v>0.74537795542346363</v>
      </c>
      <c r="H7043" s="1">
        <v>3.7941548222858028</v>
      </c>
      <c r="I7043" s="1">
        <v>10.198853791519552</v>
      </c>
      <c r="J7043" s="1">
        <v>2.8464542324422748E-2</v>
      </c>
      <c r="K7043" s="1">
        <v>1.8821353534360972</v>
      </c>
      <c r="L7043" s="1">
        <v>1.508187649108605</v>
      </c>
      <c r="M7043" s="1">
        <v>0.17426116975686703</v>
      </c>
      <c r="N7043" s="1">
        <v>0.72625621520242367</v>
      </c>
      <c r="O7043" s="1">
        <v>0.18975999999999998</v>
      </c>
      <c r="P7043" s="1">
        <v>9.2494327410441807E-2</v>
      </c>
      <c r="Q7043" s="1">
        <v>1.1912433077543951</v>
      </c>
      <c r="R7043" s="2">
        <f t="shared" si="439"/>
        <v>38.843030385229568</v>
      </c>
      <c r="S7043" s="2">
        <f t="shared" si="438"/>
        <v>2.0030942231709616</v>
      </c>
      <c r="T7043" s="2">
        <f t="shared" si="440"/>
        <v>2.5984650340678956</v>
      </c>
      <c r="U7043" s="2">
        <f t="shared" si="441"/>
        <v>43.444589642468422</v>
      </c>
    </row>
    <row r="7044" spans="1:21" x14ac:dyDescent="0.25">
      <c r="A7044">
        <v>7694533</v>
      </c>
      <c r="B7044">
        <v>14</v>
      </c>
      <c r="C7044" s="1">
        <f>0.314661907108657*(10.3/7.3)</f>
        <v>0.44397501961906449</v>
      </c>
      <c r="D7044" s="1">
        <f>0.66392491566784*(10.3/7.3)</f>
        <v>0.93677077142174703</v>
      </c>
      <c r="E7044" s="1">
        <f>2.24367670384668*(10.3/7.3)</f>
        <v>3.165735623235733</v>
      </c>
      <c r="F7044" s="1">
        <f>7.55438113367575*(38.9/42.5)</f>
        <v>6.9144806141173323</v>
      </c>
      <c r="G7044" s="1">
        <v>0.43843778479781104</v>
      </c>
      <c r="H7044" s="1">
        <v>5.8414505594898811</v>
      </c>
      <c r="I7044" s="1">
        <v>5.6007161609296698</v>
      </c>
      <c r="J7044" s="1">
        <v>1.4500845754311121E-2</v>
      </c>
      <c r="K7044" s="1">
        <v>1.3716647487001141</v>
      </c>
      <c r="L7044" s="1">
        <v>0.95412060617994032</v>
      </c>
      <c r="M7044" s="1">
        <v>0.11827190706167166</v>
      </c>
      <c r="N7044" s="1">
        <v>0.50701513265573162</v>
      </c>
      <c r="O7044" s="1">
        <v>0.12401523809523808</v>
      </c>
      <c r="P7044" s="1">
        <v>6.8751562176739625E-2</v>
      </c>
      <c r="Q7044" s="1">
        <v>0.70069965606956164</v>
      </c>
      <c r="R7044" s="2">
        <f t="shared" si="439"/>
        <v>24.042266189680799</v>
      </c>
      <c r="S7044" s="2">
        <f t="shared" si="438"/>
        <v>1.4549171566311649</v>
      </c>
      <c r="T7044" s="2">
        <f t="shared" si="440"/>
        <v>1.7034228839925816</v>
      </c>
      <c r="U7044" s="2">
        <f t="shared" si="441"/>
        <v>27.200606230304544</v>
      </c>
    </row>
    <row r="7045" spans="1:21" x14ac:dyDescent="0.25">
      <c r="A7045">
        <v>7694541</v>
      </c>
      <c r="B7045">
        <v>17</v>
      </c>
      <c r="C7045" s="1">
        <f>0.288442926457746*(10.3/7.3)</f>
        <v>0.40698111541298432</v>
      </c>
      <c r="D7045" s="1">
        <f>0.654751883343187*(10.3/7.3)</f>
        <v>0.92382799978559238</v>
      </c>
      <c r="E7045" s="1">
        <f>2.19533492377154*(10.3/7.3)</f>
        <v>3.097527358198195</v>
      </c>
      <c r="F7045" s="1">
        <f>8.07053018796188*(38.9/42.5)</f>
        <v>7.3869088073345228</v>
      </c>
      <c r="G7045" s="1">
        <v>0.48773755611152014</v>
      </c>
      <c r="H7045" s="1">
        <v>3.0355269837351853</v>
      </c>
      <c r="I7045" s="1">
        <v>6.0352794898978104</v>
      </c>
      <c r="J7045" s="1">
        <v>1.3359103029049507E-2</v>
      </c>
      <c r="K7045" s="1">
        <v>1.2904903818860118</v>
      </c>
      <c r="L7045" s="1">
        <v>0.89503497181225034</v>
      </c>
      <c r="M7045" s="1">
        <v>0.1123743608911263</v>
      </c>
      <c r="N7045" s="1">
        <v>0.49166929639225737</v>
      </c>
      <c r="O7045" s="1">
        <v>0.11767843137254902</v>
      </c>
      <c r="P7045" s="1">
        <v>6.4981181607959307E-2</v>
      </c>
      <c r="Q7045" s="1">
        <v>0.77948924492708782</v>
      </c>
      <c r="R7045" s="2">
        <f t="shared" si="439"/>
        <v>22.153278555402899</v>
      </c>
      <c r="S7045" s="2">
        <f t="shared" si="438"/>
        <v>1.3688306665230205</v>
      </c>
      <c r="T7045" s="2">
        <f t="shared" si="440"/>
        <v>1.6167570604681829</v>
      </c>
      <c r="U7045" s="2">
        <f t="shared" si="441"/>
        <v>25.138866282394101</v>
      </c>
    </row>
    <row r="7046" spans="1:21" x14ac:dyDescent="0.25">
      <c r="A7046">
        <v>7694565</v>
      </c>
      <c r="B7046">
        <v>20</v>
      </c>
      <c r="C7046" s="1">
        <f>0.280029012039878*(10.3/7.3)</f>
        <v>0.39510942794667758</v>
      </c>
      <c r="D7046" s="1">
        <f>0.69611810862514*(10.3/7.3)</f>
        <v>0.98219404367656749</v>
      </c>
      <c r="E7046" s="1">
        <f>2.33378698099246*(10.3/7.3)</f>
        <v>3.2928775211263543</v>
      </c>
      <c r="F7046" s="1">
        <f>8.32427462027782*(38.9/42.5)</f>
        <v>7.6191595936189902</v>
      </c>
      <c r="G7046" s="1">
        <v>0.49899121756011677</v>
      </c>
      <c r="H7046" s="1">
        <v>3.7675004748507517</v>
      </c>
      <c r="I7046" s="1">
        <v>6.1267804212181218</v>
      </c>
      <c r="J7046" s="1">
        <v>1.3209517616596505E-2</v>
      </c>
      <c r="K7046" s="1">
        <v>1.2924467462405922</v>
      </c>
      <c r="L7046" s="1">
        <v>0.91643847765988951</v>
      </c>
      <c r="M7046" s="1">
        <v>0.1204433529898062</v>
      </c>
      <c r="N7046" s="1">
        <v>0.47718223579301827</v>
      </c>
      <c r="O7046" s="1">
        <v>0.11785066666666666</v>
      </c>
      <c r="P7046" s="1">
        <v>6.373961576670642E-2</v>
      </c>
      <c r="Q7046" s="1">
        <v>0.79747454861205957</v>
      </c>
      <c r="R7046" s="2">
        <f t="shared" si="439"/>
        <v>23.480087248609639</v>
      </c>
      <c r="S7046" s="2">
        <f t="shared" si="438"/>
        <v>1.3693958796238952</v>
      </c>
      <c r="T7046" s="2">
        <f t="shared" si="440"/>
        <v>1.6319147331093804</v>
      </c>
      <c r="U7046" s="2">
        <f t="shared" si="441"/>
        <v>26.481397861342913</v>
      </c>
    </row>
    <row r="7047" spans="1:21" x14ac:dyDescent="0.25">
      <c r="A7047">
        <v>7695061</v>
      </c>
      <c r="B7047">
        <v>5</v>
      </c>
      <c r="C7047" s="1">
        <f>2.77466004263359*(10.3/7.3)</f>
        <v>3.9149312930309494</v>
      </c>
      <c r="D7047" s="1">
        <f>7.04568818846491*(10.3/7.3)</f>
        <v>9.9411764850943261</v>
      </c>
      <c r="E7047" s="1">
        <f>23.8908901633306*(10.3/7.3)</f>
        <v>33.709064203055476</v>
      </c>
      <c r="F7047" s="1">
        <f>70.5801187956535*(38.9/42.5)</f>
        <v>64.601567556492256</v>
      </c>
      <c r="G7047" s="1">
        <v>3.8806434276314712</v>
      </c>
      <c r="H7047" s="1">
        <v>11.080281090013411</v>
      </c>
      <c r="I7047" s="1">
        <v>49.539264239265385</v>
      </c>
      <c r="J7047" s="1">
        <v>3.1581316924224882E-2</v>
      </c>
      <c r="K7047" s="1">
        <v>2.0248616671924511</v>
      </c>
      <c r="L7047" s="1">
        <v>1.8489753312556865</v>
      </c>
      <c r="M7047" s="1">
        <v>0.14722427125895599</v>
      </c>
      <c r="N7047" s="1">
        <v>1.1877660852458096</v>
      </c>
      <c r="O7047" s="1">
        <v>0.129056</v>
      </c>
      <c r="P7047" s="1">
        <v>8.0214970650270667E-2</v>
      </c>
      <c r="Q7047" s="1">
        <v>6.2019415510092069</v>
      </c>
      <c r="R7047" s="2">
        <f t="shared" si="439"/>
        <v>182.86886984559249</v>
      </c>
      <c r="S7047" s="2">
        <f t="shared" si="438"/>
        <v>2.1366579547669464</v>
      </c>
      <c r="T7047" s="2">
        <f t="shared" si="440"/>
        <v>3.3130216877604517</v>
      </c>
      <c r="U7047" s="2">
        <f t="shared" si="441"/>
        <v>188.31854948811988</v>
      </c>
    </row>
    <row r="7048" spans="1:21" x14ac:dyDescent="0.25">
      <c r="A7048">
        <v>7695069</v>
      </c>
      <c r="B7048">
        <v>13</v>
      </c>
      <c r="C7048" s="1">
        <f>2.76932293242296*(10.3/7.3)</f>
        <v>3.9074008498570558</v>
      </c>
      <c r="D7048" s="1">
        <f>6.13625575318754*(10.3/7.3)</f>
        <v>8.65800469285365</v>
      </c>
      <c r="E7048" s="1">
        <f>20.9196869862889*(10.3/7.3)</f>
        <v>29.516818624489822</v>
      </c>
      <c r="F7048" s="1">
        <f>59.5647868717388*(38.9/42.5)</f>
        <v>54.519299042603265</v>
      </c>
      <c r="G7048" s="1">
        <v>3.1834409007361688</v>
      </c>
      <c r="H7048" s="1">
        <v>10.186040717726836</v>
      </c>
      <c r="I7048" s="1">
        <v>42.201725153675348</v>
      </c>
      <c r="J7048" s="1">
        <v>2.7981643976832025E-2</v>
      </c>
      <c r="K7048" s="1">
        <v>1.9049291512127187</v>
      </c>
      <c r="L7048" s="1">
        <v>1.7103426560410229</v>
      </c>
      <c r="M7048" s="1">
        <v>0.13732591298422991</v>
      </c>
      <c r="N7048" s="1">
        <v>1.1176990453889992</v>
      </c>
      <c r="O7048" s="1">
        <v>0.12036102564102566</v>
      </c>
      <c r="P7048" s="1">
        <v>7.5375680975177883E-2</v>
      </c>
      <c r="Q7048" s="1">
        <v>5.0876909372495902</v>
      </c>
      <c r="R7048" s="2">
        <f t="shared" si="439"/>
        <v>157.26042091919174</v>
      </c>
      <c r="S7048" s="2">
        <f t="shared" si="438"/>
        <v>2.0082864761647286</v>
      </c>
      <c r="T7048" s="2">
        <f t="shared" si="440"/>
        <v>3.0857286400552777</v>
      </c>
      <c r="U7048" s="2">
        <f t="shared" si="441"/>
        <v>162.35443603541174</v>
      </c>
    </row>
    <row r="7049" spans="1:21" x14ac:dyDescent="0.25">
      <c r="A7049">
        <v>7695077</v>
      </c>
      <c r="B7049">
        <v>1</v>
      </c>
      <c r="C7049" s="1">
        <f>2.78565289650024*(10.3/7.3)</f>
        <v>3.9304417580756872</v>
      </c>
      <c r="D7049" s="1">
        <f>6.6137819685192*(10.3/7.3)</f>
        <v>9.3317745583216052</v>
      </c>
      <c r="E7049" s="1">
        <f>22.4800534214964*(10.3/7.3)</f>
        <v>31.718431539919564</v>
      </c>
      <c r="F7049" s="1">
        <f>65.4731158422912*(38.9/42.5)</f>
        <v>59.927157794473572</v>
      </c>
      <c r="G7049" s="1">
        <v>3.5589731943855312</v>
      </c>
      <c r="H7049" s="1">
        <v>12.818272188046802</v>
      </c>
      <c r="I7049" s="1">
        <v>46.196561601229774</v>
      </c>
      <c r="J7049" s="1">
        <v>2.6163594367008471E-2</v>
      </c>
      <c r="K7049" s="1">
        <v>1.7908749893035132</v>
      </c>
      <c r="L7049" s="1">
        <v>1.5916015607534355</v>
      </c>
      <c r="M7049" s="1">
        <v>0.12845931905687286</v>
      </c>
      <c r="N7049" s="1">
        <v>1.1811240037840005</v>
      </c>
      <c r="O7049" s="1">
        <v>0.11354666666666667</v>
      </c>
      <c r="P7049" s="1">
        <v>7.0934107690799664E-2</v>
      </c>
      <c r="Q7049" s="1">
        <v>5.6878567033558776</v>
      </c>
      <c r="R7049" s="2">
        <f t="shared" si="439"/>
        <v>173.16946933780844</v>
      </c>
      <c r="S7049" s="2">
        <f t="shared" ref="S7049:S7112" si="442">J7049+K7049+P7049</f>
        <v>1.8879726913613213</v>
      </c>
      <c r="T7049" s="2">
        <f t="shared" si="440"/>
        <v>3.0147315502609753</v>
      </c>
      <c r="U7049" s="2">
        <f t="shared" si="441"/>
        <v>178.07217357943071</v>
      </c>
    </row>
    <row r="7050" spans="1:21" x14ac:dyDescent="0.25">
      <c r="A7050">
        <v>7695197</v>
      </c>
      <c r="B7050">
        <v>14</v>
      </c>
      <c r="C7050" s="1">
        <f>1.30133313035371*(10.3/7.3)</f>
        <v>1.8361275674853761</v>
      </c>
      <c r="D7050" s="1">
        <f>2.99699633957363*(10.3/7.3)</f>
        <v>4.2286386709052604</v>
      </c>
      <c r="E7050" s="1">
        <f>10.2019092132477*(10.3/7.3)</f>
        <v>14.39447464334954</v>
      </c>
      <c r="F7050" s="1">
        <f>29.3244919818305*(38.9/42.5)</f>
        <v>26.840535013957812</v>
      </c>
      <c r="G7050" s="1">
        <v>1.5795348106353804</v>
      </c>
      <c r="H7050" s="1">
        <v>8.0939576593211076</v>
      </c>
      <c r="I7050" s="1">
        <v>20.708857558516048</v>
      </c>
      <c r="J7050" s="1">
        <v>2.7771768590994228E-2</v>
      </c>
      <c r="K7050" s="1">
        <v>1.6727023309572366</v>
      </c>
      <c r="L7050" s="1">
        <v>1.3910807742486211</v>
      </c>
      <c r="M7050" s="1">
        <v>0.11931224435104559</v>
      </c>
      <c r="N7050" s="1">
        <v>1.2719465837956945</v>
      </c>
      <c r="O7050" s="1">
        <v>9.6529523809523801E-2</v>
      </c>
      <c r="P7050" s="1">
        <v>6.3659918151565645E-2</v>
      </c>
      <c r="Q7050" s="1">
        <v>2.5243707019286932</v>
      </c>
      <c r="R7050" s="2">
        <f t="shared" ref="R7050:R7113" si="443">C7050+D7050+E7050+F7050+G7050+H7050+I7050+Q7050</f>
        <v>80.206496626099209</v>
      </c>
      <c r="S7050" s="2">
        <f t="shared" si="442"/>
        <v>1.7641340176997964</v>
      </c>
      <c r="T7050" s="2">
        <f t="shared" ref="T7050:T7113" si="444">L7050+M7050+N7050+O7050</f>
        <v>2.8788691262048851</v>
      </c>
      <c r="U7050" s="2">
        <f t="shared" ref="U7050:U7113" si="445">R7050+S7050+T7050</f>
        <v>84.849499770003902</v>
      </c>
    </row>
    <row r="7051" spans="1:21" x14ac:dyDescent="0.25">
      <c r="A7051">
        <v>7706745</v>
      </c>
      <c r="B7051">
        <v>40</v>
      </c>
      <c r="C7051" s="1">
        <f>0.38141518718091*(10.3/7.3)</f>
        <v>0.53816115451553126</v>
      </c>
      <c r="D7051" s="1">
        <f>0.747588469103243*(10.3/7.3)</f>
        <v>1.0548166070908773</v>
      </c>
      <c r="E7051" s="1">
        <f>2.54957298080021*(10.3/7.3)</f>
        <v>3.5973426989372848</v>
      </c>
      <c r="F7051" s="1">
        <f>7.65632436199093*(38.9/42.5)</f>
        <v>7.0077886513281671</v>
      </c>
      <c r="G7051" s="1">
        <v>0.41812033812272642</v>
      </c>
      <c r="H7051" s="1">
        <v>1.6341365565307857</v>
      </c>
      <c r="I7051" s="1">
        <v>5.5989147465088376</v>
      </c>
      <c r="J7051" s="1">
        <v>1.8102568029232869E-2</v>
      </c>
      <c r="K7051" s="1">
        <v>1.4764748281450828</v>
      </c>
      <c r="L7051" s="1">
        <v>1.0814420013198371</v>
      </c>
      <c r="M7051" s="1">
        <v>0.12675082003050228</v>
      </c>
      <c r="N7051" s="1">
        <v>0.53580528384897397</v>
      </c>
      <c r="O7051" s="1">
        <v>0.13769066666666666</v>
      </c>
      <c r="P7051" s="1">
        <v>7.5588029539123094E-2</v>
      </c>
      <c r="Q7051" s="1">
        <v>0.66822885088107031</v>
      </c>
      <c r="R7051" s="2">
        <f t="shared" si="443"/>
        <v>20.517509603915283</v>
      </c>
      <c r="S7051" s="2">
        <f t="shared" si="442"/>
        <v>1.5701654257134388</v>
      </c>
      <c r="T7051" s="2">
        <f t="shared" si="444"/>
        <v>1.88168877186598</v>
      </c>
      <c r="U7051" s="2">
        <f t="shared" si="445"/>
        <v>23.969363801494701</v>
      </c>
    </row>
    <row r="7052" spans="1:21" x14ac:dyDescent="0.25">
      <c r="A7052">
        <v>7707297</v>
      </c>
      <c r="B7052">
        <v>10</v>
      </c>
      <c r="C7052" s="1">
        <f>2.41842785066478*(10.3/7.3)</f>
        <v>3.4123023098420893</v>
      </c>
      <c r="D7052" s="1">
        <f>5.53404038923304*(10.3/7.3)</f>
        <v>7.8083035628904573</v>
      </c>
      <c r="E7052" s="1">
        <f>18.8375545456732*(10.3/7.3)</f>
        <v>26.579015317867704</v>
      </c>
      <c r="F7052" s="1">
        <f>54.3317107139305*(38.9/42.5)</f>
        <v>49.729495218162299</v>
      </c>
      <c r="G7052" s="1">
        <v>2.9309759044627546</v>
      </c>
      <c r="H7052" s="1">
        <v>9.0917021761445156</v>
      </c>
      <c r="I7052" s="1">
        <v>38.438905427145343</v>
      </c>
      <c r="J7052" s="1">
        <v>2.640121377741269E-2</v>
      </c>
      <c r="K7052" s="1">
        <v>1.8040410786601946</v>
      </c>
      <c r="L7052" s="1">
        <v>1.6013807805793512</v>
      </c>
      <c r="M7052" s="1">
        <v>0.13057508109001345</v>
      </c>
      <c r="N7052" s="1">
        <v>1.0493027187999169</v>
      </c>
      <c r="O7052" s="1">
        <v>0.114208</v>
      </c>
      <c r="P7052" s="1">
        <v>7.2376061705188358E-2</v>
      </c>
      <c r="Q7052" s="1">
        <v>4.6842080664929924</v>
      </c>
      <c r="R7052" s="2">
        <f t="shared" si="443"/>
        <v>142.67490798300815</v>
      </c>
      <c r="S7052" s="2">
        <f t="shared" si="442"/>
        <v>1.9028183541427957</v>
      </c>
      <c r="T7052" s="2">
        <f t="shared" si="444"/>
        <v>2.8954665804692818</v>
      </c>
      <c r="U7052" s="2">
        <f t="shared" si="445"/>
        <v>147.47319291762022</v>
      </c>
    </row>
    <row r="7053" spans="1:21" x14ac:dyDescent="0.25">
      <c r="A7053">
        <v>7707305</v>
      </c>
      <c r="B7053">
        <v>33</v>
      </c>
      <c r="C7053" s="1">
        <f>2.52725806950059*(10.3/7.3)</f>
        <v>3.5658572761446701</v>
      </c>
      <c r="D7053" s="1">
        <f>5.64604523892064*(10.3/7.3)</f>
        <v>7.9663378028606262</v>
      </c>
      <c r="E7053" s="1">
        <f>19.2460609578997*(10.3/7.3)</f>
        <v>27.155401077584461</v>
      </c>
      <c r="F7053" s="1">
        <f>54.7131705720775*(38.9/42.5)</f>
        <v>50.078643182442711</v>
      </c>
      <c r="G7053" s="1">
        <v>2.9230393301874456</v>
      </c>
      <c r="H7053" s="1">
        <v>10.886390574291799</v>
      </c>
      <c r="I7053" s="1">
        <v>38.700439086328622</v>
      </c>
      <c r="J7053" s="1">
        <v>2.5246805191585227E-2</v>
      </c>
      <c r="K7053" s="1">
        <v>1.7523286365100312</v>
      </c>
      <c r="L7053" s="1">
        <v>1.5382311074839368</v>
      </c>
      <c r="M7053" s="1">
        <v>0.12560973996515284</v>
      </c>
      <c r="N7053" s="1">
        <v>1.0416919637147917</v>
      </c>
      <c r="O7053" s="1">
        <v>0.11033535353535352</v>
      </c>
      <c r="P7053" s="1">
        <v>6.9986232849800878E-2</v>
      </c>
      <c r="Q7053" s="1">
        <v>4.6715240436785708</v>
      </c>
      <c r="R7053" s="2">
        <f t="shared" si="443"/>
        <v>145.9476323735189</v>
      </c>
      <c r="S7053" s="2">
        <f t="shared" si="442"/>
        <v>1.8475616745514174</v>
      </c>
      <c r="T7053" s="2">
        <f t="shared" si="444"/>
        <v>2.8158681646992347</v>
      </c>
      <c r="U7053" s="2">
        <f t="shared" si="445"/>
        <v>150.61106221276955</v>
      </c>
    </row>
    <row r="7054" spans="1:21" x14ac:dyDescent="0.25">
      <c r="A7054">
        <v>7707425</v>
      </c>
      <c r="B7054">
        <v>24</v>
      </c>
      <c r="C7054" s="1">
        <f>1.20284125642418*(10.3/7.3)</f>
        <v>1.697159580982067</v>
      </c>
      <c r="D7054" s="1">
        <f>2.82326168564535*(10.3/7.3)</f>
        <v>3.9835062139927508</v>
      </c>
      <c r="E7054" s="1">
        <f>9.59382180006511*(10.3/7.3)</f>
        <v>13.536488293242559</v>
      </c>
      <c r="F7054" s="1">
        <f>28.2014161186842*(38.9/42.5)</f>
        <v>25.812590282748566</v>
      </c>
      <c r="G7054" s="1">
        <v>1.5396824039623869</v>
      </c>
      <c r="H7054" s="1">
        <v>8.0966569248593565</v>
      </c>
      <c r="I7054" s="1">
        <v>19.978300363387838</v>
      </c>
      <c r="J7054" s="1">
        <v>2.6434098606531144E-2</v>
      </c>
      <c r="K7054" s="1">
        <v>1.6270478934057111</v>
      </c>
      <c r="L7054" s="1">
        <v>1.3425781189961923</v>
      </c>
      <c r="M7054" s="1">
        <v>0.11911883397879715</v>
      </c>
      <c r="N7054" s="1">
        <v>1.0720288751161613</v>
      </c>
      <c r="O7054" s="1">
        <v>9.359777777777778E-2</v>
      </c>
      <c r="P7054" s="1">
        <v>6.2268076604883815E-2</v>
      </c>
      <c r="Q7054" s="1">
        <v>2.4606796410357807</v>
      </c>
      <c r="R7054" s="2">
        <f t="shared" si="443"/>
        <v>77.105063704211304</v>
      </c>
      <c r="S7054" s="2">
        <f t="shared" si="442"/>
        <v>1.7157500686171261</v>
      </c>
      <c r="T7054" s="2">
        <f t="shared" si="444"/>
        <v>2.6273236058689284</v>
      </c>
      <c r="U7054" s="2">
        <f t="shared" si="445"/>
        <v>81.448137378697353</v>
      </c>
    </row>
    <row r="7055" spans="1:21" x14ac:dyDescent="0.25">
      <c r="A7055">
        <v>771565</v>
      </c>
      <c r="B7055">
        <v>26</v>
      </c>
      <c r="C7055" s="1">
        <f>1.81155368848317*(10.3/7.3)</f>
        <v>2.5560278070378919</v>
      </c>
      <c r="D7055" s="1">
        <f>2.48616610052942*(10.3/7.3)</f>
        <v>3.5078781966374057</v>
      </c>
      <c r="E7055" s="1">
        <f>8.77076372363332*(10.3/7.3)</f>
        <v>12.375187171701805</v>
      </c>
      <c r="F7055" s="1">
        <f>16.7757594103794*(38.9/42.5)</f>
        <v>15.354753907382586</v>
      </c>
      <c r="G7055" s="1">
        <v>0.59375369681615708</v>
      </c>
      <c r="H7055" s="1">
        <v>2.4158288143473547</v>
      </c>
      <c r="I7055" s="1">
        <v>11.974973202223545</v>
      </c>
      <c r="J7055" s="1">
        <v>4.7628003773042091E-2</v>
      </c>
      <c r="K7055" s="1">
        <v>6.4258413969916335</v>
      </c>
      <c r="L7055" s="1">
        <v>2.6044540328636478</v>
      </c>
      <c r="M7055" s="1">
        <v>0.32247717396455761</v>
      </c>
      <c r="N7055" s="1">
        <v>1.4116320461538727</v>
      </c>
      <c r="O7055" s="1">
        <v>8.3745641025641027E-2</v>
      </c>
      <c r="P7055" s="1">
        <v>7.0039535562122335E-2</v>
      </c>
      <c r="Q7055" s="1">
        <v>0.94892143326783218</v>
      </c>
      <c r="R7055" s="2">
        <f t="shared" si="443"/>
        <v>49.727324229414585</v>
      </c>
      <c r="S7055" s="2">
        <f t="shared" si="442"/>
        <v>6.5435089363267975</v>
      </c>
      <c r="T7055" s="2">
        <f t="shared" si="444"/>
        <v>4.4223088940077195</v>
      </c>
      <c r="U7055" s="2">
        <f t="shared" si="445"/>
        <v>60.6931420597491</v>
      </c>
    </row>
    <row r="7056" spans="1:21" x14ac:dyDescent="0.25">
      <c r="A7056">
        <v>771621</v>
      </c>
      <c r="B7056">
        <v>14</v>
      </c>
      <c r="C7056" s="1">
        <f>1.63174463347837*(10.3/7.3)</f>
        <v>2.302324619839343</v>
      </c>
      <c r="D7056" s="1">
        <f>2.02365371109658*(10.3/7.3)</f>
        <v>2.8552922225061268</v>
      </c>
      <c r="E7056" s="1">
        <f>7.12339880862798*(10.3/7.3)</f>
        <v>10.050822976557283</v>
      </c>
      <c r="F7056" s="1">
        <f>15.9979233737162*(38.9/42.5)</f>
        <v>14.642805158530869</v>
      </c>
      <c r="G7056" s="1">
        <v>0.67020252137434944</v>
      </c>
      <c r="H7056" s="1">
        <v>4.2492917809364039</v>
      </c>
      <c r="I7056" s="1">
        <v>12.207896201132955</v>
      </c>
      <c r="J7056" s="1">
        <v>4.2644197760044619E-2</v>
      </c>
      <c r="K7056" s="1">
        <v>3.8166253773386165</v>
      </c>
      <c r="L7056" s="1">
        <v>1.3853187213929099</v>
      </c>
      <c r="M7056" s="1">
        <v>9.126151018882514E-2</v>
      </c>
      <c r="N7056" s="1">
        <v>1.2017750045144646</v>
      </c>
      <c r="O7056" s="1">
        <v>6.5820952380952383E-2</v>
      </c>
      <c r="P7056" s="1">
        <v>5.8094780190526218E-2</v>
      </c>
      <c r="Q7056" s="1">
        <v>1.0710999200046691</v>
      </c>
      <c r="R7056" s="2">
        <f t="shared" si="443"/>
        <v>48.049735400882</v>
      </c>
      <c r="S7056" s="2">
        <f t="shared" si="442"/>
        <v>3.917364355289187</v>
      </c>
      <c r="T7056" s="2">
        <f t="shared" si="444"/>
        <v>2.7441761884771521</v>
      </c>
      <c r="U7056" s="2">
        <f t="shared" si="445"/>
        <v>54.711275944648342</v>
      </c>
    </row>
    <row r="7057" spans="1:21" x14ac:dyDescent="0.25">
      <c r="A7057">
        <v>7718981</v>
      </c>
      <c r="B7057">
        <v>17</v>
      </c>
      <c r="C7057" s="1">
        <f>0.450304030940257*(10.3/7.3)</f>
        <v>0.63536048201159567</v>
      </c>
      <c r="D7057" s="1">
        <f>0.926533084077495*(10.3/7.3)</f>
        <v>1.3073001049312596</v>
      </c>
      <c r="E7057" s="1">
        <f>3.14743509405467*(10.3/7.3)</f>
        <v>4.4409015710634456</v>
      </c>
      <c r="F7057" s="1">
        <f>9.86500620138297*(38.9/42.5)</f>
        <v>9.0293821466775874</v>
      </c>
      <c r="G7057" s="1">
        <v>0.55259419223825712</v>
      </c>
      <c r="H7057" s="1">
        <v>1.8998990433855529</v>
      </c>
      <c r="I7057" s="1">
        <v>7.2291892919856284</v>
      </c>
      <c r="J7057" s="1">
        <v>2.7496459547217057E-2</v>
      </c>
      <c r="K7057" s="1">
        <v>1.6221187083660749</v>
      </c>
      <c r="L7057" s="1">
        <v>1.254594454919705</v>
      </c>
      <c r="M7057" s="1">
        <v>0.14349189393021575</v>
      </c>
      <c r="N7057" s="1">
        <v>0.63010781539875094</v>
      </c>
      <c r="O7057" s="1">
        <v>0.15769411764705882</v>
      </c>
      <c r="P7057" s="1">
        <v>8.1812468765852644E-2</v>
      </c>
      <c r="Q7057" s="1">
        <v>0.88314140312050327</v>
      </c>
      <c r="R7057" s="2">
        <f t="shared" si="443"/>
        <v>25.977768235413834</v>
      </c>
      <c r="S7057" s="2">
        <f t="shared" si="442"/>
        <v>1.7314276366791446</v>
      </c>
      <c r="T7057" s="2">
        <f t="shared" si="444"/>
        <v>2.1858882818957306</v>
      </c>
      <c r="U7057" s="2">
        <f t="shared" si="445"/>
        <v>29.895084153988709</v>
      </c>
    </row>
    <row r="7058" spans="1:21" x14ac:dyDescent="0.25">
      <c r="A7058">
        <v>7718997</v>
      </c>
      <c r="B7058">
        <v>8</v>
      </c>
      <c r="C7058" s="1">
        <f>0.331821882861819*(10.3/7.3)</f>
        <v>0.46818704020229207</v>
      </c>
      <c r="D7058" s="1">
        <f>0.73495480154683*(10.3/7.3)</f>
        <v>1.0369910213605953</v>
      </c>
      <c r="E7058" s="1">
        <f>2.47022481671013*(10.3/7.3)</f>
        <v>3.4853857002896378</v>
      </c>
      <c r="F7058" s="1">
        <f>8.85045132534282*(38.9/42.5)</f>
        <v>8.1007660366079008</v>
      </c>
      <c r="G7058" s="1">
        <v>0.52880311692882398</v>
      </c>
      <c r="H7058" s="1">
        <v>6.9633852845442927</v>
      </c>
      <c r="I7058" s="1">
        <v>6.6039297030494239</v>
      </c>
      <c r="J7058" s="1">
        <v>1.5224615080899511E-2</v>
      </c>
      <c r="K7058" s="1">
        <v>1.4010316782336927</v>
      </c>
      <c r="L7058" s="1">
        <v>0.985122729033439</v>
      </c>
      <c r="M7058" s="1">
        <v>0.12067090995260157</v>
      </c>
      <c r="N7058" s="1">
        <v>0.52018947334551269</v>
      </c>
      <c r="O7058" s="1">
        <v>0.12681999999999999</v>
      </c>
      <c r="P7058" s="1">
        <v>7.0187521395512889E-2</v>
      </c>
      <c r="Q7058" s="1">
        <v>0.8451191366442401</v>
      </c>
      <c r="R7058" s="2">
        <f t="shared" si="443"/>
        <v>28.032567039627207</v>
      </c>
      <c r="S7058" s="2">
        <f t="shared" si="442"/>
        <v>1.4864438147101051</v>
      </c>
      <c r="T7058" s="2">
        <f t="shared" si="444"/>
        <v>1.7528031123315531</v>
      </c>
      <c r="U7058" s="2">
        <f t="shared" si="445"/>
        <v>31.271813966668862</v>
      </c>
    </row>
    <row r="7059" spans="1:21" x14ac:dyDescent="0.25">
      <c r="A7059">
        <v>7719029</v>
      </c>
      <c r="B7059">
        <v>3</v>
      </c>
      <c r="C7059" s="1">
        <f>0.284128098551147*(10.3/7.3)</f>
        <v>0.40089307055846807</v>
      </c>
      <c r="D7059" s="1">
        <f>0.757804233993433*(10.3/7.3)</f>
        <v>1.0692306315249807</v>
      </c>
      <c r="E7059" s="1">
        <f>2.54593907120418*(10.3/7.3)</f>
        <v>3.5922154018360368</v>
      </c>
      <c r="F7059" s="1">
        <f>8.59438515305066*(38.9/42.5)</f>
        <v>7.8663901753804852</v>
      </c>
      <c r="G7059" s="1">
        <v>0.5049299925468288</v>
      </c>
      <c r="H7059" s="1">
        <v>3.529167724450097</v>
      </c>
      <c r="I7059" s="1">
        <v>6.2021269884224211</v>
      </c>
      <c r="J7059" s="1">
        <v>1.3354776625218617E-2</v>
      </c>
      <c r="K7059" s="1">
        <v>1.2533290737511831</v>
      </c>
      <c r="L7059" s="1">
        <v>0.87952798981697067</v>
      </c>
      <c r="M7059" s="1">
        <v>0.11260894436013326</v>
      </c>
      <c r="N7059" s="1">
        <v>0.4641907525370681</v>
      </c>
      <c r="O7059" s="1">
        <v>0.11336888888888889</v>
      </c>
      <c r="P7059" s="1">
        <v>6.1797279088225243E-2</v>
      </c>
      <c r="Q7059" s="1">
        <v>0.80696574151319744</v>
      </c>
      <c r="R7059" s="2">
        <f t="shared" si="443"/>
        <v>23.971919726232514</v>
      </c>
      <c r="S7059" s="2">
        <f t="shared" si="442"/>
        <v>1.328481129464627</v>
      </c>
      <c r="T7059" s="2">
        <f t="shared" si="444"/>
        <v>1.569696575603061</v>
      </c>
      <c r="U7059" s="2">
        <f t="shared" si="445"/>
        <v>26.870097431300202</v>
      </c>
    </row>
    <row r="7060" spans="1:21" x14ac:dyDescent="0.25">
      <c r="A7060">
        <v>7719533</v>
      </c>
      <c r="B7060">
        <v>21</v>
      </c>
      <c r="C7060" s="1">
        <f>2.33808670335774*(10.3/7.3)</f>
        <v>3.298944252682833</v>
      </c>
      <c r="D7060" s="1">
        <f>4.87734546481756*(10.3/7.3)</f>
        <v>6.8817340120028625</v>
      </c>
      <c r="E7060" s="1">
        <f>16.6589887104881*(10.3/7.3)</f>
        <v>23.505148454524377</v>
      </c>
      <c r="F7060" s="1">
        <f>47.2113888903101*(38.9/42.5)</f>
        <v>43.212306537248537</v>
      </c>
      <c r="G7060" s="1">
        <v>2.5062565442696858</v>
      </c>
      <c r="H7060" s="1">
        <v>8.309099119999491</v>
      </c>
      <c r="I7060" s="1">
        <v>33.724762325252584</v>
      </c>
      <c r="J7060" s="1">
        <v>2.4385894050055746E-2</v>
      </c>
      <c r="K7060" s="1">
        <v>1.6958068519037031</v>
      </c>
      <c r="L7060" s="1">
        <v>1.4748137267950434</v>
      </c>
      <c r="M7060" s="1">
        <v>0.12105157563238785</v>
      </c>
      <c r="N7060" s="1">
        <v>0.99174019564944937</v>
      </c>
      <c r="O7060" s="1">
        <v>0.10598095238095238</v>
      </c>
      <c r="P7060" s="1">
        <v>6.810953610937312E-2</v>
      </c>
      <c r="Q7060" s="1">
        <v>4.0054328333077205</v>
      </c>
      <c r="R7060" s="2">
        <f t="shared" si="443"/>
        <v>125.44368407928809</v>
      </c>
      <c r="S7060" s="2">
        <f t="shared" si="442"/>
        <v>1.7883022820631318</v>
      </c>
      <c r="T7060" s="2">
        <f t="shared" si="444"/>
        <v>2.6935864504578331</v>
      </c>
      <c r="U7060" s="2">
        <f t="shared" si="445"/>
        <v>129.92557281180905</v>
      </c>
    </row>
    <row r="7061" spans="1:21" x14ac:dyDescent="0.25">
      <c r="A7061">
        <v>7731217</v>
      </c>
      <c r="B7061">
        <v>7</v>
      </c>
      <c r="C7061" s="1">
        <f>0.362650379940642*(10.3/7.3)</f>
        <v>0.5116847826559745</v>
      </c>
      <c r="D7061" s="1">
        <f>0.720495409604532*(10.3/7.3)</f>
        <v>1.0165894135516005</v>
      </c>
      <c r="E7061" s="1">
        <f>2.45035358828444*(10.3/7.3)</f>
        <v>3.4573482136068114</v>
      </c>
      <c r="F7061" s="1">
        <f>7.65976589691799*(38.9/42.5)</f>
        <v>7.0109386680025816</v>
      </c>
      <c r="G7061" s="1">
        <v>0.42757034005506006</v>
      </c>
      <c r="H7061" s="1">
        <v>2.1282209177144189</v>
      </c>
      <c r="I7061" s="1">
        <v>5.6386767263110853</v>
      </c>
      <c r="J7061" s="1">
        <v>1.9558744632915414E-2</v>
      </c>
      <c r="K7061" s="1">
        <v>1.4098809320758492</v>
      </c>
      <c r="L7061" s="1">
        <v>1.0276033668996976</v>
      </c>
      <c r="M7061" s="1">
        <v>0.12206188706404641</v>
      </c>
      <c r="N7061" s="1">
        <v>0.51634193183356059</v>
      </c>
      <c r="O7061" s="1">
        <v>0.13110095238095237</v>
      </c>
      <c r="P7061" s="1">
        <v>7.1988791830891047E-2</v>
      </c>
      <c r="Q7061" s="1">
        <v>0.68333159369530228</v>
      </c>
      <c r="R7061" s="2">
        <f t="shared" si="443"/>
        <v>20.874360655592834</v>
      </c>
      <c r="S7061" s="2">
        <f t="shared" si="442"/>
        <v>1.5014284685396557</v>
      </c>
      <c r="T7061" s="2">
        <f t="shared" si="444"/>
        <v>1.797108138178257</v>
      </c>
      <c r="U7061" s="2">
        <f t="shared" si="445"/>
        <v>24.172897262310745</v>
      </c>
    </row>
    <row r="7062" spans="1:21" x14ac:dyDescent="0.25">
      <c r="A7062">
        <v>7731225</v>
      </c>
      <c r="B7062">
        <v>22</v>
      </c>
      <c r="C7062" s="1">
        <f>0.384295470589863*(10.3/7.3)</f>
        <v>0.54222511603775181</v>
      </c>
      <c r="D7062" s="1">
        <f>0.862908581503098*(10.3/7.3)</f>
        <v>1.2175285465043713</v>
      </c>
      <c r="E7062" s="1">
        <f>2.89367465017695*(10.3/7.3)</f>
        <v>4.0828560132633651</v>
      </c>
      <c r="F7062" s="1">
        <f>10.6584058012777*(38.9/42.5)</f>
        <v>9.7555761334047713</v>
      </c>
      <c r="G7062" s="1">
        <v>0.64431587504681298</v>
      </c>
      <c r="H7062" s="1">
        <v>6.4692942706253938</v>
      </c>
      <c r="I7062" s="1">
        <v>7.983095098084414</v>
      </c>
      <c r="J7062" s="1">
        <v>1.6594398402888819E-2</v>
      </c>
      <c r="K7062" s="1">
        <v>1.470062350206897</v>
      </c>
      <c r="L7062" s="1">
        <v>1.0697132718416773</v>
      </c>
      <c r="M7062" s="1">
        <v>0.12751918176441987</v>
      </c>
      <c r="N7062" s="1">
        <v>0.54787601841620504</v>
      </c>
      <c r="O7062" s="1">
        <v>0.13650909090909089</v>
      </c>
      <c r="P7062" s="1">
        <v>7.3442544213183095E-2</v>
      </c>
      <c r="Q7062" s="1">
        <v>1.0297285674264147</v>
      </c>
      <c r="R7062" s="2">
        <f t="shared" si="443"/>
        <v>31.724619620393295</v>
      </c>
      <c r="S7062" s="2">
        <f t="shared" si="442"/>
        <v>1.5600992928229691</v>
      </c>
      <c r="T7062" s="2">
        <f t="shared" si="444"/>
        <v>1.8816175629313932</v>
      </c>
      <c r="U7062" s="2">
        <f t="shared" si="445"/>
        <v>35.166336476147663</v>
      </c>
    </row>
    <row r="7063" spans="1:21" x14ac:dyDescent="0.25">
      <c r="A7063">
        <v>7731257</v>
      </c>
      <c r="B7063">
        <v>5</v>
      </c>
      <c r="C7063" s="1">
        <f>0.312053664762655*(10.3/7.3)</f>
        <v>0.44029489685689721</v>
      </c>
      <c r="D7063" s="1">
        <f>0.889447401937076*(10.3/7.3)</f>
        <v>1.2549737315002578</v>
      </c>
      <c r="E7063" s="1">
        <f>2.95429569087774*(10.3/7.3)</f>
        <v>4.1683898104165342</v>
      </c>
      <c r="F7063" s="1">
        <f>11.5156427815839*(38.9/42.5)</f>
        <v>10.54020009890856</v>
      </c>
      <c r="G7063" s="1">
        <v>0.71739543479953394</v>
      </c>
      <c r="H7063" s="1">
        <v>6.0476984400837157</v>
      </c>
      <c r="I7063" s="1">
        <v>8.5215063320223798</v>
      </c>
      <c r="J7063" s="1">
        <v>1.3520544452000613E-2</v>
      </c>
      <c r="K7063" s="1">
        <v>1.2948398562511425</v>
      </c>
      <c r="L7063" s="1">
        <v>0.91222064529690938</v>
      </c>
      <c r="M7063" s="1">
        <v>0.11747970925329509</v>
      </c>
      <c r="N7063" s="1">
        <v>0.48290569141604245</v>
      </c>
      <c r="O7063" s="1">
        <v>0.11669333333333334</v>
      </c>
      <c r="P7063" s="1">
        <v>6.3787504279095866E-2</v>
      </c>
      <c r="Q7063" s="1">
        <v>1.1465223843828181</v>
      </c>
      <c r="R7063" s="2">
        <f t="shared" si="443"/>
        <v>32.836981128970699</v>
      </c>
      <c r="S7063" s="2">
        <f t="shared" si="442"/>
        <v>1.3721479049822389</v>
      </c>
      <c r="T7063" s="2">
        <f t="shared" si="444"/>
        <v>1.62929937929958</v>
      </c>
      <c r="U7063" s="2">
        <f t="shared" si="445"/>
        <v>35.838428413252522</v>
      </c>
    </row>
    <row r="7064" spans="1:21" x14ac:dyDescent="0.25">
      <c r="A7064">
        <v>7731641</v>
      </c>
      <c r="B7064">
        <v>5</v>
      </c>
      <c r="C7064" s="1">
        <f>0.820321805209022*(10.3/7.3)</f>
        <v>1.157440355294922</v>
      </c>
      <c r="D7064" s="1">
        <f>3.1940809901778*(10.3/7.3)</f>
        <v>4.5067170135385393</v>
      </c>
      <c r="E7064" s="1">
        <f>10.5808996940645*(10.3/7.3)</f>
        <v>14.929214636830697</v>
      </c>
      <c r="F7064" s="1">
        <f>39.6999769576534*(38.9/42.5)</f>
        <v>36.337155380063919</v>
      </c>
      <c r="G7064" s="1">
        <v>2.4617751272831363</v>
      </c>
      <c r="H7064" s="1">
        <v>13.922739665884796</v>
      </c>
      <c r="I7064" s="1">
        <v>28.448123504295381</v>
      </c>
      <c r="J7064" s="1">
        <v>2.1423087129444102E-2</v>
      </c>
      <c r="K7064" s="1">
        <v>1.6819147650990893</v>
      </c>
      <c r="L7064" s="1">
        <v>1.7336886523136414</v>
      </c>
      <c r="M7064" s="1">
        <v>0.13283911065813475</v>
      </c>
      <c r="N7064" s="1">
        <v>0.88835038565295421</v>
      </c>
      <c r="O7064" s="1">
        <v>0.11872000000000001</v>
      </c>
      <c r="P7064" s="1">
        <v>7.3004934866385207E-2</v>
      </c>
      <c r="Q7064" s="1">
        <v>3.9343438107264781</v>
      </c>
      <c r="R7064" s="2">
        <f t="shared" si="443"/>
        <v>105.69750949391786</v>
      </c>
      <c r="S7064" s="2">
        <f t="shared" si="442"/>
        <v>1.7763427870949187</v>
      </c>
      <c r="T7064" s="2">
        <f t="shared" si="444"/>
        <v>2.8735981486247306</v>
      </c>
      <c r="U7064" s="2">
        <f t="shared" si="445"/>
        <v>110.34745042963752</v>
      </c>
    </row>
    <row r="7065" spans="1:21" x14ac:dyDescent="0.25">
      <c r="A7065">
        <v>7731889</v>
      </c>
      <c r="B7065">
        <v>19</v>
      </c>
      <c r="C7065" s="1">
        <f>1.17925818891848*(10.3/7.3)</f>
        <v>1.6638848418986785</v>
      </c>
      <c r="D7065" s="1">
        <f>2.86300898675175*(10.3/7.3)</f>
        <v>4.0395880224031595</v>
      </c>
      <c r="E7065" s="1">
        <f>9.69961899531255*(10.3/7.3)</f>
        <v>13.685763787906749</v>
      </c>
      <c r="F7065" s="1">
        <f>29.6094723861472*(38.9/42.5)</f>
        <v>27.101375901673528</v>
      </c>
      <c r="G7065" s="1">
        <v>1.6520032659275872</v>
      </c>
      <c r="H7065" s="1">
        <v>8.8768267483425749</v>
      </c>
      <c r="I7065" s="1">
        <v>21.082937983001077</v>
      </c>
      <c r="J7065" s="1">
        <v>2.5976893401690859E-2</v>
      </c>
      <c r="K7065" s="1">
        <v>1.6206886100375353</v>
      </c>
      <c r="L7065" s="1">
        <v>1.3293068488965627</v>
      </c>
      <c r="M7065" s="1">
        <v>0.1220735428848906</v>
      </c>
      <c r="N7065" s="1">
        <v>1.0375192648550662</v>
      </c>
      <c r="O7065" s="1">
        <v>9.2505263157894757E-2</v>
      </c>
      <c r="P7065" s="1">
        <v>6.1254689830244048E-2</v>
      </c>
      <c r="Q7065" s="1">
        <v>2.6401878679208042</v>
      </c>
      <c r="R7065" s="2">
        <f t="shared" si="443"/>
        <v>80.742568419074161</v>
      </c>
      <c r="S7065" s="2">
        <f t="shared" si="442"/>
        <v>1.7079201932694701</v>
      </c>
      <c r="T7065" s="2">
        <f t="shared" si="444"/>
        <v>2.581404919794414</v>
      </c>
      <c r="U7065" s="2">
        <f t="shared" si="445"/>
        <v>85.031893532138042</v>
      </c>
    </row>
    <row r="7066" spans="1:21" x14ac:dyDescent="0.25">
      <c r="A7066">
        <v>7743445</v>
      </c>
      <c r="B7066">
        <v>9</v>
      </c>
      <c r="C7066" s="1">
        <f>0.388617741323154*(10.3/7.3)</f>
        <v>0.54832366241486086</v>
      </c>
      <c r="D7066" s="1">
        <f>0.776310176092867*(10.3/7.3)</f>
        <v>1.0953417553091134</v>
      </c>
      <c r="E7066" s="1">
        <f>2.64203695303673*(10.3/7.3)</f>
        <v>3.7278055638737482</v>
      </c>
      <c r="F7066" s="1">
        <f>8.1415284650464*(38.9/42.5)</f>
        <v>7.4518931127130603</v>
      </c>
      <c r="G7066" s="1">
        <v>0.45129444368560712</v>
      </c>
      <c r="H7066" s="1">
        <v>1.6281863089079713</v>
      </c>
      <c r="I7066" s="1">
        <v>5.9700667381110621</v>
      </c>
      <c r="J7066" s="1">
        <v>2.3397025517302092E-2</v>
      </c>
      <c r="K7066" s="1">
        <v>1.509112338867673</v>
      </c>
      <c r="L7066" s="1">
        <v>1.1250974426246216</v>
      </c>
      <c r="M7066" s="1">
        <v>0.13292312755670574</v>
      </c>
      <c r="N7066" s="1">
        <v>0.559627630576228</v>
      </c>
      <c r="O7066" s="1">
        <v>0.14211555555555555</v>
      </c>
      <c r="P7066" s="1">
        <v>7.6706672675411314E-2</v>
      </c>
      <c r="Q7066" s="1">
        <v>0.72124682780804883</v>
      </c>
      <c r="R7066" s="2">
        <f t="shared" si="443"/>
        <v>21.594158412823472</v>
      </c>
      <c r="S7066" s="2">
        <f t="shared" si="442"/>
        <v>1.6092160370603865</v>
      </c>
      <c r="T7066" s="2">
        <f t="shared" si="444"/>
        <v>1.9597637563131109</v>
      </c>
      <c r="U7066" s="2">
        <f t="shared" si="445"/>
        <v>25.163138206196969</v>
      </c>
    </row>
    <row r="7067" spans="1:21" x14ac:dyDescent="0.25">
      <c r="A7067">
        <v>7743453</v>
      </c>
      <c r="B7067">
        <v>38</v>
      </c>
      <c r="C7067" s="1">
        <f>0.351164452795912*(10.3/7.3)</f>
        <v>0.49547861147916411</v>
      </c>
      <c r="D7067" s="1">
        <f>0.689340853057692*(10.3/7.3)</f>
        <v>0.97263161458825076</v>
      </c>
      <c r="E7067" s="1">
        <f>2.34497267217324*(10.3/7.3)</f>
        <v>3.3086600716964876</v>
      </c>
      <c r="F7067" s="1">
        <f>7.34297221425073*(38.9/42.5)</f>
        <v>6.7209792737494922</v>
      </c>
      <c r="G7067" s="1">
        <v>0.40993444000894036</v>
      </c>
      <c r="H7067" s="1">
        <v>3.2038166725109933</v>
      </c>
      <c r="I7067" s="1">
        <v>5.4171024847651319</v>
      </c>
      <c r="J7067" s="1">
        <v>1.6019210816067043E-2</v>
      </c>
      <c r="K7067" s="1">
        <v>1.3710882564194384</v>
      </c>
      <c r="L7067" s="1">
        <v>0.97147105079536133</v>
      </c>
      <c r="M7067" s="1">
        <v>0.11670620387683438</v>
      </c>
      <c r="N7067" s="1">
        <v>0.49990828989332137</v>
      </c>
      <c r="O7067" s="1">
        <v>0.12419789473684209</v>
      </c>
      <c r="P7067" s="1">
        <v>7.0184678558949901E-2</v>
      </c>
      <c r="Q7067" s="1">
        <v>0.65514636531109272</v>
      </c>
      <c r="R7067" s="2">
        <f t="shared" si="443"/>
        <v>21.183749534109555</v>
      </c>
      <c r="S7067" s="2">
        <f t="shared" si="442"/>
        <v>1.4572921457944554</v>
      </c>
      <c r="T7067" s="2">
        <f t="shared" si="444"/>
        <v>1.7122834393023592</v>
      </c>
      <c r="U7067" s="2">
        <f t="shared" si="445"/>
        <v>24.353325119206367</v>
      </c>
    </row>
    <row r="7068" spans="1:21" x14ac:dyDescent="0.25">
      <c r="A7068">
        <v>7743461</v>
      </c>
      <c r="B7068">
        <v>4</v>
      </c>
      <c r="C7068" s="1">
        <f>0.342072918238381*(10.3/7.3)</f>
        <v>0.48265082984319474</v>
      </c>
      <c r="D7068" s="1">
        <f>0.721153494085149*(10.3/7.3)</f>
        <v>1.0175179437091828</v>
      </c>
      <c r="E7068" s="1">
        <f>2.43217887727217*(10.3/7.3)</f>
        <v>3.4317044432744255</v>
      </c>
      <c r="F7068" s="1">
        <f>8.44580796786832*(38.9/42.5)</f>
        <v>7.7303983517665351</v>
      </c>
      <c r="G7068" s="1">
        <v>0.49685604823336749</v>
      </c>
      <c r="H7068" s="1">
        <v>4.8530395030609581</v>
      </c>
      <c r="I7068" s="1">
        <v>6.3009695741136476</v>
      </c>
      <c r="J7068" s="1">
        <v>1.4740889852576617E-2</v>
      </c>
      <c r="K7068" s="1">
        <v>1.3640884469574202</v>
      </c>
      <c r="L7068" s="1">
        <v>0.95864057284676407</v>
      </c>
      <c r="M7068" s="1">
        <v>0.11580039645552614</v>
      </c>
      <c r="N7068" s="1">
        <v>0.49553348489095839</v>
      </c>
      <c r="O7068" s="1">
        <v>0.12296</v>
      </c>
      <c r="P7068" s="1">
        <v>6.9021710971840233E-2</v>
      </c>
      <c r="Q7068" s="1">
        <v>0.79406217754191233</v>
      </c>
      <c r="R7068" s="2">
        <f t="shared" si="443"/>
        <v>25.107198871543225</v>
      </c>
      <c r="S7068" s="2">
        <f t="shared" si="442"/>
        <v>1.4478510477818372</v>
      </c>
      <c r="T7068" s="2">
        <f t="shared" si="444"/>
        <v>1.6929344541932485</v>
      </c>
      <c r="U7068" s="2">
        <f t="shared" si="445"/>
        <v>28.247984373518314</v>
      </c>
    </row>
    <row r="7069" spans="1:21" x14ac:dyDescent="0.25">
      <c r="A7069">
        <v>7743485</v>
      </c>
      <c r="B7069">
        <v>1</v>
      </c>
      <c r="C7069" s="1">
        <f>0.311942143056762*(10.3/7.3)</f>
        <v>0.44013754431296509</v>
      </c>
      <c r="D7069" s="1">
        <f>0.865093302054702*(10.3/7.3)</f>
        <v>1.2206110974196485</v>
      </c>
      <c r="E7069" s="1">
        <f>2.87406962864946*(10.3/7.3)</f>
        <v>4.0551941335738926</v>
      </c>
      <c r="F7069" s="1">
        <f>11.2529115110152*(38.9/42.5)</f>
        <v>10.299723712435085</v>
      </c>
      <c r="G7069" s="1">
        <v>0.70149432453700944</v>
      </c>
      <c r="H7069" s="1">
        <v>6.0497138916856104</v>
      </c>
      <c r="I7069" s="1">
        <v>8.354191277632065</v>
      </c>
      <c r="J7069" s="1">
        <v>1.3086040387261452E-2</v>
      </c>
      <c r="K7069" s="1">
        <v>1.2832879127870853</v>
      </c>
      <c r="L7069" s="1">
        <v>0.90190009673529747</v>
      </c>
      <c r="M7069" s="1">
        <v>0.11573459108124175</v>
      </c>
      <c r="N7069" s="1">
        <v>0.4792367502428882</v>
      </c>
      <c r="O7069" s="1">
        <v>0.11552</v>
      </c>
      <c r="P7069" s="1">
        <v>6.339136012104972E-2</v>
      </c>
      <c r="Q7069" s="1">
        <v>1.1211096510865459</v>
      </c>
      <c r="R7069" s="2">
        <f t="shared" si="443"/>
        <v>32.242175632682823</v>
      </c>
      <c r="S7069" s="2">
        <f t="shared" si="442"/>
        <v>1.3597653132953964</v>
      </c>
      <c r="T7069" s="2">
        <f t="shared" si="444"/>
        <v>1.6123914380594275</v>
      </c>
      <c r="U7069" s="2">
        <f t="shared" si="445"/>
        <v>35.214332384037647</v>
      </c>
    </row>
    <row r="7070" spans="1:21" x14ac:dyDescent="0.25">
      <c r="A7070">
        <v>7743493</v>
      </c>
      <c r="B7070">
        <v>1</v>
      </c>
      <c r="C7070" s="1">
        <f>0.252835638933136*(10.3/7.3)</f>
        <v>0.35674069602894565</v>
      </c>
      <c r="D7070" s="1">
        <f>0.645546028983455*(10.3/7.3)</f>
        <v>0.91083891760679325</v>
      </c>
      <c r="E7070" s="1">
        <f>2.1837968493622*(10.3/7.3)</f>
        <v>3.0812476093740679</v>
      </c>
      <c r="F7070" s="1">
        <f>6.70265200603798*(38.9/42.5)</f>
        <v>6.1348979537618193</v>
      </c>
      <c r="G7070" s="1">
        <v>0.37596147341353336</v>
      </c>
      <c r="H7070" s="1">
        <v>2.0406447469178279</v>
      </c>
      <c r="I7070" s="1">
        <v>4.748796124917499</v>
      </c>
      <c r="J7070" s="1">
        <v>1.2627774381481868E-2</v>
      </c>
      <c r="K7070" s="1">
        <v>1.2265350843637914</v>
      </c>
      <c r="L7070" s="1">
        <v>0.86112576029953025</v>
      </c>
      <c r="M7070" s="1">
        <v>0.11127319533086169</v>
      </c>
      <c r="N7070" s="1">
        <v>0.45079173843356934</v>
      </c>
      <c r="O7070" s="1">
        <v>0.11093333333333333</v>
      </c>
      <c r="P7070" s="1">
        <v>6.068109831220575E-2</v>
      </c>
      <c r="Q7070" s="1">
        <v>0.60085166983898086</v>
      </c>
      <c r="R7070" s="2">
        <f t="shared" si="443"/>
        <v>18.249979191859467</v>
      </c>
      <c r="S7070" s="2">
        <f t="shared" si="442"/>
        <v>1.2998439570574789</v>
      </c>
      <c r="T7070" s="2">
        <f t="shared" si="444"/>
        <v>1.5341240273972947</v>
      </c>
      <c r="U7070" s="2">
        <f t="shared" si="445"/>
        <v>21.08394717631424</v>
      </c>
    </row>
    <row r="7071" spans="1:21" x14ac:dyDescent="0.25">
      <c r="A7071">
        <v>7743853</v>
      </c>
      <c r="B7071">
        <v>1</v>
      </c>
      <c r="C7071" s="1">
        <f>0.660766107419775*(10.3/7.3)</f>
        <v>0.93231382279776442</v>
      </c>
      <c r="D7071" s="1">
        <f>2.3828438778216*(10.3/7.3)</f>
        <v>3.3620947865154078</v>
      </c>
      <c r="E7071" s="1">
        <f>7.90045113715647*(10.3/7.3)</f>
        <v>11.147211878453646</v>
      </c>
      <c r="F7071" s="1">
        <f>29.7733095157728*(38.9/42.5)</f>
        <v>27.251335062672087</v>
      </c>
      <c r="G7071" s="1">
        <v>1.8454729859340109</v>
      </c>
      <c r="H7071" s="1">
        <v>12.532749877778464</v>
      </c>
      <c r="I7071" s="1">
        <v>21.471341407617583</v>
      </c>
      <c r="J7071" s="1">
        <v>1.9943057658926337E-2</v>
      </c>
      <c r="K7071" s="1">
        <v>1.60741620981029</v>
      </c>
      <c r="L7071" s="1">
        <v>1.6269946533269417</v>
      </c>
      <c r="M7071" s="1">
        <v>0.1298753320002824</v>
      </c>
      <c r="N7071" s="1">
        <v>0.84792969998819978</v>
      </c>
      <c r="O7071" s="1">
        <v>0.11322666666666666</v>
      </c>
      <c r="P7071" s="1">
        <v>7.0628544733796164E-2</v>
      </c>
      <c r="Q7071" s="1">
        <v>2.9493860505794727</v>
      </c>
      <c r="R7071" s="2">
        <f t="shared" si="443"/>
        <v>81.49190587234844</v>
      </c>
      <c r="S7071" s="2">
        <f t="shared" si="442"/>
        <v>1.6979878122030125</v>
      </c>
      <c r="T7071" s="2">
        <f t="shared" si="444"/>
        <v>2.7180263519820906</v>
      </c>
      <c r="U7071" s="2">
        <f t="shared" si="445"/>
        <v>85.90792003653354</v>
      </c>
    </row>
    <row r="7072" spans="1:21" x14ac:dyDescent="0.25">
      <c r="A7072">
        <v>7743869</v>
      </c>
      <c r="B7072">
        <v>11</v>
      </c>
      <c r="C7072" s="1">
        <f>0.734920800169827*(10.3/7.3)</f>
        <v>1.036943046814961</v>
      </c>
      <c r="D7072" s="1">
        <f>2.92730659273164*(10.3/7.3)</f>
        <v>4.1303093020734076</v>
      </c>
      <c r="E7072" s="1">
        <f>9.7106667664276*(10.3/7.3)</f>
        <v>13.7013517389321</v>
      </c>
      <c r="F7072" s="1">
        <f>35.5598898066887*(38.9/42.5)</f>
        <v>32.547757964239743</v>
      </c>
      <c r="G7072" s="1">
        <v>2.1868659801607042</v>
      </c>
      <c r="H7072" s="1">
        <v>12.505877189753209</v>
      </c>
      <c r="I7072" s="1">
        <v>25.290953660646604</v>
      </c>
      <c r="J7072" s="1">
        <v>1.972935448788098E-2</v>
      </c>
      <c r="K7072" s="1">
        <v>1.587017254858482</v>
      </c>
      <c r="L7072" s="1">
        <v>1.5012999207849624</v>
      </c>
      <c r="M7072" s="1">
        <v>0.12761007591903512</v>
      </c>
      <c r="N7072" s="1">
        <v>0.82621752137068294</v>
      </c>
      <c r="O7072" s="1">
        <v>0.11153939393939392</v>
      </c>
      <c r="P7072" s="1">
        <v>6.9914010663561732E-2</v>
      </c>
      <c r="Q7072" s="1">
        <v>3.4949912924942796</v>
      </c>
      <c r="R7072" s="2">
        <f t="shared" si="443"/>
        <v>94.895050175115003</v>
      </c>
      <c r="S7072" s="2">
        <f t="shared" si="442"/>
        <v>1.6766606200099248</v>
      </c>
      <c r="T7072" s="2">
        <f t="shared" si="444"/>
        <v>2.5666669120140746</v>
      </c>
      <c r="U7072" s="2">
        <f t="shared" si="445"/>
        <v>99.138377707139</v>
      </c>
    </row>
    <row r="7073" spans="1:21" x14ac:dyDescent="0.25">
      <c r="A7073">
        <v>7743877</v>
      </c>
      <c r="B7073">
        <v>21</v>
      </c>
      <c r="C7073" s="1">
        <f>0.785715937084274*(10.3/7.3)</f>
        <v>1.1086128975298657</v>
      </c>
      <c r="D7073" s="1">
        <f>2.89237951399466*(10.3/7.3)</f>
        <v>4.0810286293349289</v>
      </c>
      <c r="E7073" s="1">
        <f>9.59670552951099*(10.3/7.3)</f>
        <v>13.540557116981255</v>
      </c>
      <c r="F7073" s="1">
        <f>35.6428495214971*(38.9/42.5)</f>
        <v>32.623690503205587</v>
      </c>
      <c r="G7073" s="1">
        <v>2.1988820845969554</v>
      </c>
      <c r="H7073" s="1">
        <v>11.014762917304219</v>
      </c>
      <c r="I7073" s="1">
        <v>25.578085416967095</v>
      </c>
      <c r="J7073" s="1">
        <v>2.1184093729251827E-2</v>
      </c>
      <c r="K7073" s="1">
        <v>1.6511338564850191</v>
      </c>
      <c r="L7073" s="1">
        <v>1.6595762315092581</v>
      </c>
      <c r="M7073" s="1">
        <v>0.129507082442052</v>
      </c>
      <c r="N7073" s="1">
        <v>0.87625541053973011</v>
      </c>
      <c r="O7073" s="1">
        <v>0.11586285714285716</v>
      </c>
      <c r="P7073" s="1">
        <v>7.1681516874791004E-2</v>
      </c>
      <c r="Q7073" s="1">
        <v>3.5141951123695674</v>
      </c>
      <c r="R7073" s="2">
        <f t="shared" si="443"/>
        <v>93.659814678289464</v>
      </c>
      <c r="S7073" s="2">
        <f t="shared" si="442"/>
        <v>1.7439994670890619</v>
      </c>
      <c r="T7073" s="2">
        <f t="shared" si="444"/>
        <v>2.7812015816338973</v>
      </c>
      <c r="U7073" s="2">
        <f t="shared" si="445"/>
        <v>98.185015727012427</v>
      </c>
    </row>
    <row r="7074" spans="1:21" x14ac:dyDescent="0.25">
      <c r="A7074">
        <v>7744125</v>
      </c>
      <c r="B7074">
        <v>23</v>
      </c>
      <c r="C7074" s="1">
        <f>1.78235583526431*(10.3/7.3)</f>
        <v>2.5148308360578637</v>
      </c>
      <c r="D7074" s="1">
        <f>4.24203486626008*(10.3/7.3)</f>
        <v>5.985336866092994</v>
      </c>
      <c r="E7074" s="1">
        <f>14.406401374534*(10.3/7.3)</f>
        <v>20.326840295575412</v>
      </c>
      <c r="F7074" s="1">
        <f>42.5393571397668*(38.9/42.5)</f>
        <v>38.93602335851601</v>
      </c>
      <c r="G7074" s="1">
        <v>2.3299796197032383</v>
      </c>
      <c r="H7074" s="1">
        <v>11.430093385437827</v>
      </c>
      <c r="I7074" s="1">
        <v>30.112821493631653</v>
      </c>
      <c r="J7074" s="1">
        <v>3.6004137341357503E-2</v>
      </c>
      <c r="K7074" s="1">
        <v>1.998494746233846</v>
      </c>
      <c r="L7074" s="1">
        <v>1.6897269341001198</v>
      </c>
      <c r="M7074" s="1">
        <v>0.14466990644440919</v>
      </c>
      <c r="N7074" s="1">
        <v>1.2559982039977853</v>
      </c>
      <c r="O7074" s="1">
        <v>0.11340985507246377</v>
      </c>
      <c r="P7074" s="1">
        <v>7.2079688815113438E-2</v>
      </c>
      <c r="Q7074" s="1">
        <v>3.7237117209869144</v>
      </c>
      <c r="R7074" s="2">
        <f t="shared" si="443"/>
        <v>115.35963757600192</v>
      </c>
      <c r="S7074" s="2">
        <f t="shared" si="442"/>
        <v>2.1065785723903168</v>
      </c>
      <c r="T7074" s="2">
        <f t="shared" si="444"/>
        <v>3.2038048996147781</v>
      </c>
      <c r="U7074" s="2">
        <f t="shared" si="445"/>
        <v>120.67002104800702</v>
      </c>
    </row>
    <row r="7075" spans="1:21" x14ac:dyDescent="0.25">
      <c r="A7075">
        <v>7755681</v>
      </c>
      <c r="B7075">
        <v>50</v>
      </c>
      <c r="C7075" s="1">
        <f>0.365909089705918*(10.3/7.3)</f>
        <v>0.51628268821519885</v>
      </c>
      <c r="D7075" s="1">
        <f>0.714456387263329*(10.3/7.3)</f>
        <v>1.0080686012071622</v>
      </c>
      <c r="E7075" s="1">
        <f>2.43427181056741*(10.3/7.3)</f>
        <v>3.4346574861430512</v>
      </c>
      <c r="F7075" s="1">
        <f>7.44292839268975*(38.9/42.5)</f>
        <v>6.812468575897209</v>
      </c>
      <c r="G7075" s="1">
        <v>0.41028512505308518</v>
      </c>
      <c r="H7075" s="1">
        <v>1.5918507023800448</v>
      </c>
      <c r="I7075" s="1">
        <v>5.4675083626737333</v>
      </c>
      <c r="J7075" s="1">
        <v>1.6245699633036539E-2</v>
      </c>
      <c r="K7075" s="1">
        <v>1.4024111760221427</v>
      </c>
      <c r="L7075" s="1">
        <v>1.0055048628224983</v>
      </c>
      <c r="M7075" s="1">
        <v>0.11902618246536525</v>
      </c>
      <c r="N7075" s="1">
        <v>0.50250368422192526</v>
      </c>
      <c r="O7075" s="1">
        <v>0.12635946666666667</v>
      </c>
      <c r="P7075" s="1">
        <v>7.2270182312372921E-2</v>
      </c>
      <c r="Q7075" s="1">
        <v>0.65570682086109555</v>
      </c>
      <c r="R7075" s="2">
        <f t="shared" si="443"/>
        <v>19.896828362430579</v>
      </c>
      <c r="S7075" s="2">
        <f t="shared" si="442"/>
        <v>1.4909270579675522</v>
      </c>
      <c r="T7075" s="2">
        <f t="shared" si="444"/>
        <v>1.7533941961764556</v>
      </c>
      <c r="U7075" s="2">
        <f t="shared" si="445"/>
        <v>23.141149616574587</v>
      </c>
    </row>
    <row r="7076" spans="1:21" x14ac:dyDescent="0.25">
      <c r="A7076">
        <v>7755689</v>
      </c>
      <c r="B7076">
        <v>50</v>
      </c>
      <c r="C7076" s="1">
        <f>0.377794913803338*(10.3/7.3)</f>
        <v>0.53305309755813501</v>
      </c>
      <c r="D7076" s="1">
        <f>0.762092875926702*(10.3/7.3)</f>
        <v>1.0752817290472645</v>
      </c>
      <c r="E7076" s="1">
        <f>2.5826544835428*(10.3/7.3)</f>
        <v>3.6440193397932705</v>
      </c>
      <c r="F7076" s="1">
        <f>8.48815153544416*(38.9/42.5)</f>
        <v>7.7691551700888883</v>
      </c>
      <c r="G7076" s="1">
        <v>0.48598385185751319</v>
      </c>
      <c r="H7076" s="1">
        <v>2.9723544316134625</v>
      </c>
      <c r="I7076" s="1">
        <v>6.3000095024991154</v>
      </c>
      <c r="J7076" s="1">
        <v>1.5280795098645083E-2</v>
      </c>
      <c r="K7076" s="1">
        <v>1.4110405928785807</v>
      </c>
      <c r="L7076" s="1">
        <v>1.014067055140081</v>
      </c>
      <c r="M7076" s="1">
        <v>0.12124174603496182</v>
      </c>
      <c r="N7076" s="1">
        <v>0.51067992413136831</v>
      </c>
      <c r="O7076" s="1">
        <v>0.1293141333333333</v>
      </c>
      <c r="P7076" s="1">
        <v>7.1389543620281881E-2</v>
      </c>
      <c r="Q7076" s="1">
        <v>0.77668652123346926</v>
      </c>
      <c r="R7076" s="2">
        <f t="shared" si="443"/>
        <v>23.556543643691118</v>
      </c>
      <c r="S7076" s="2">
        <f t="shared" si="442"/>
        <v>1.4977109315975077</v>
      </c>
      <c r="T7076" s="2">
        <f t="shared" si="444"/>
        <v>1.7753028586397441</v>
      </c>
      <c r="U7076" s="2">
        <f t="shared" si="445"/>
        <v>26.829557433928368</v>
      </c>
    </row>
    <row r="7077" spans="1:21" x14ac:dyDescent="0.25">
      <c r="A7077">
        <v>7755721</v>
      </c>
      <c r="B7077">
        <v>1</v>
      </c>
      <c r="C7077" s="1">
        <f>0.313853943729224*(10.3/7.3)</f>
        <v>0.44283501649465845</v>
      </c>
      <c r="D7077" s="1">
        <f>0.890114561819491*(10.3/7.3)</f>
        <v>1.2559150666768157</v>
      </c>
      <c r="E7077" s="1">
        <f>2.96788052704015*(10.3/7.3)</f>
        <v>4.1875574559607562</v>
      </c>
      <c r="F7077" s="1">
        <f>10.9889673158234*(38.9/42.5)</f>
        <v>10.058137143188928</v>
      </c>
      <c r="G7077" s="1">
        <v>0.67177362586818845</v>
      </c>
      <c r="H7077" s="1">
        <v>6.2143091058402993</v>
      </c>
      <c r="I7077" s="1">
        <v>8.0481821696175775</v>
      </c>
      <c r="J7077" s="1">
        <v>1.3111499609804761E-2</v>
      </c>
      <c r="K7077" s="1">
        <v>1.2866187578439601</v>
      </c>
      <c r="L7077" s="1">
        <v>0.90770883281824566</v>
      </c>
      <c r="M7077" s="1">
        <v>0.11580578351452094</v>
      </c>
      <c r="N7077" s="1">
        <v>0.47732187681424348</v>
      </c>
      <c r="O7077" s="1">
        <v>0.11546666666666666</v>
      </c>
      <c r="P7077" s="1">
        <v>6.3514396302909018E-2</v>
      </c>
      <c r="Q7077" s="1">
        <v>1.0736108175975627</v>
      </c>
      <c r="R7077" s="2">
        <f t="shared" si="443"/>
        <v>31.952320401244783</v>
      </c>
      <c r="S7077" s="2">
        <f t="shared" si="442"/>
        <v>1.3632446537566738</v>
      </c>
      <c r="T7077" s="2">
        <f t="shared" si="444"/>
        <v>1.6163031598136768</v>
      </c>
      <c r="U7077" s="2">
        <f t="shared" si="445"/>
        <v>34.931868214815132</v>
      </c>
    </row>
    <row r="7078" spans="1:21" x14ac:dyDescent="0.25">
      <c r="A7078">
        <v>7756081</v>
      </c>
      <c r="B7078">
        <v>18</v>
      </c>
      <c r="C7078" s="1">
        <f>0.67727309007784*(10.3/7.3)</f>
        <v>0.95560449695914462</v>
      </c>
      <c r="D7078" s="1">
        <f>2.42515088308474*(10.3/7.3)</f>
        <v>3.4217882322976445</v>
      </c>
      <c r="E7078" s="1">
        <f>8.02595282892701*(10.3/7.3)</f>
        <v>11.324289607938107</v>
      </c>
      <c r="F7078" s="1">
        <f>31.065895513333*(38.9/42.5)</f>
        <v>28.434431422791821</v>
      </c>
      <c r="G7078" s="1">
        <v>1.9434690320863206</v>
      </c>
      <c r="H7078" s="1">
        <v>10.372670961859498</v>
      </c>
      <c r="I7078" s="1">
        <v>22.552608203490749</v>
      </c>
      <c r="J7078" s="1">
        <v>2.0602168642547589E-2</v>
      </c>
      <c r="K7078" s="1">
        <v>1.6482849630471224</v>
      </c>
      <c r="L7078" s="1">
        <v>1.8766341563001201</v>
      </c>
      <c r="M7078" s="1">
        <v>0.13308879893802691</v>
      </c>
      <c r="N7078" s="1">
        <v>0.86684682782831457</v>
      </c>
      <c r="O7078" s="1">
        <v>0.1168622222222222</v>
      </c>
      <c r="P7078" s="1">
        <v>7.2023403745359538E-2</v>
      </c>
      <c r="Q7078" s="1">
        <v>3.1060007362110174</v>
      </c>
      <c r="R7078" s="2">
        <f t="shared" si="443"/>
        <v>82.110862693634303</v>
      </c>
      <c r="S7078" s="2">
        <f t="shared" si="442"/>
        <v>1.7409105354350294</v>
      </c>
      <c r="T7078" s="2">
        <f t="shared" si="444"/>
        <v>2.9934320052886836</v>
      </c>
      <c r="U7078" s="2">
        <f t="shared" si="445"/>
        <v>86.845205234358019</v>
      </c>
    </row>
    <row r="7079" spans="1:21" x14ac:dyDescent="0.25">
      <c r="A7079">
        <v>7756089</v>
      </c>
      <c r="B7079">
        <v>38</v>
      </c>
      <c r="C7079" s="1">
        <f>0.668815794461721*(10.3/7.3)</f>
        <v>0.94367160040489428</v>
      </c>
      <c r="D7079" s="1">
        <f>2.61805189986853*(10.3/7.3)</f>
        <v>3.6939636395405318</v>
      </c>
      <c r="E7079" s="1">
        <f>8.71312041020651*(10.3/7.3)</f>
        <v>12.293854825359869</v>
      </c>
      <c r="F7079" s="1">
        <f>30.5457966247731*(38.9/42.5)</f>
        <v>27.958387969498204</v>
      </c>
      <c r="G7079" s="1">
        <v>1.8466871128984415</v>
      </c>
      <c r="H7079" s="1">
        <v>12.509678260756777</v>
      </c>
      <c r="I7079" s="1">
        <v>21.509598069199392</v>
      </c>
      <c r="J7079" s="1">
        <v>2.0259064675582333E-2</v>
      </c>
      <c r="K7079" s="1">
        <v>1.6311084741771922</v>
      </c>
      <c r="L7079" s="1">
        <v>1.610315690221753</v>
      </c>
      <c r="M7079" s="1">
        <v>0.13090509642232251</v>
      </c>
      <c r="N7079" s="1">
        <v>0.86216765338467349</v>
      </c>
      <c r="O7079" s="1">
        <v>0.11430315789473684</v>
      </c>
      <c r="P7079" s="1">
        <v>7.1363706137618388E-2</v>
      </c>
      <c r="Q7079" s="1">
        <v>2.9513264361390639</v>
      </c>
      <c r="R7079" s="2">
        <f t="shared" si="443"/>
        <v>83.707167913797193</v>
      </c>
      <c r="S7079" s="2">
        <f t="shared" si="442"/>
        <v>1.7227312449903929</v>
      </c>
      <c r="T7079" s="2">
        <f t="shared" si="444"/>
        <v>2.7176915979234857</v>
      </c>
      <c r="U7079" s="2">
        <f t="shared" si="445"/>
        <v>88.147590756711082</v>
      </c>
    </row>
    <row r="7080" spans="1:21" x14ac:dyDescent="0.25">
      <c r="A7080">
        <v>7756097</v>
      </c>
      <c r="B7080">
        <v>11</v>
      </c>
      <c r="C7080" s="1">
        <f>0.729199881490868*(10.3/7.3)</f>
        <v>1.0288710656651969</v>
      </c>
      <c r="D7080" s="1">
        <f>3.34309870955427*(10.3/7.3)</f>
        <v>4.7169748915628738</v>
      </c>
      <c r="E7080" s="1">
        <f>11.094085157987*(10.3/7.3)</f>
        <v>15.653298236611793</v>
      </c>
      <c r="F7080" s="1">
        <f>39.3028619279859*(38.9/42.5)</f>
        <v>35.973678329380007</v>
      </c>
      <c r="G7080" s="1">
        <v>2.3952132474944814</v>
      </c>
      <c r="H7080" s="1">
        <v>12.693069891565498</v>
      </c>
      <c r="I7080" s="1">
        <v>27.460471179293588</v>
      </c>
      <c r="J7080" s="1">
        <v>1.9577370644213336E-2</v>
      </c>
      <c r="K7080" s="1">
        <v>1.5778201149724149</v>
      </c>
      <c r="L7080" s="1">
        <v>1.4797355694658636</v>
      </c>
      <c r="M7080" s="1">
        <v>0.1274818701479202</v>
      </c>
      <c r="N7080" s="1">
        <v>0.82130833000297132</v>
      </c>
      <c r="O7080" s="1">
        <v>0.11135030303030304</v>
      </c>
      <c r="P7080" s="1">
        <v>6.9766084204348836E-2</v>
      </c>
      <c r="Q7080" s="1">
        <v>3.8279663772742878</v>
      </c>
      <c r="R7080" s="2">
        <f t="shared" si="443"/>
        <v>103.74954321884773</v>
      </c>
      <c r="S7080" s="2">
        <f t="shared" si="442"/>
        <v>1.667163569820977</v>
      </c>
      <c r="T7080" s="2">
        <f t="shared" si="444"/>
        <v>2.5398760726470577</v>
      </c>
      <c r="U7080" s="2">
        <f t="shared" si="445"/>
        <v>107.95658286131577</v>
      </c>
    </row>
    <row r="7081" spans="1:21" x14ac:dyDescent="0.25">
      <c r="A7081">
        <v>7756105</v>
      </c>
      <c r="B7081">
        <v>39</v>
      </c>
      <c r="C7081" s="1">
        <f>0.752005568999785*(10.3/7.3)</f>
        <v>1.0610489535202452</v>
      </c>
      <c r="D7081" s="1">
        <f>2.78359121328314*(10.3/7.3)</f>
        <v>3.9275328077830545</v>
      </c>
      <c r="E7081" s="1">
        <f>9.25457755827561*(10.3/7.3)</f>
        <v>13.057828609621755</v>
      </c>
      <c r="F7081" s="1">
        <f>33.3479787978887*(38.9/42.5)</f>
        <v>30.523208829126357</v>
      </c>
      <c r="G7081" s="1">
        <v>2.0345321743558733</v>
      </c>
      <c r="H7081" s="1">
        <v>10.569234913317741</v>
      </c>
      <c r="I7081" s="1">
        <v>23.745587934255724</v>
      </c>
      <c r="J7081" s="1">
        <v>2.0099512197461724E-2</v>
      </c>
      <c r="K7081" s="1">
        <v>1.6036846756980221</v>
      </c>
      <c r="L7081" s="1">
        <v>1.6000070383135008</v>
      </c>
      <c r="M7081" s="1">
        <v>0.12671358281711853</v>
      </c>
      <c r="N7081" s="1">
        <v>0.83511751737180251</v>
      </c>
      <c r="O7081" s="1">
        <v>0.11223658119658121</v>
      </c>
      <c r="P7081" s="1">
        <v>7.0251764015086857E-2</v>
      </c>
      <c r="Q7081" s="1">
        <v>3.2515354384682933</v>
      </c>
      <c r="R7081" s="2">
        <f t="shared" si="443"/>
        <v>88.170509660449042</v>
      </c>
      <c r="S7081" s="2">
        <f t="shared" si="442"/>
        <v>1.6940359519105705</v>
      </c>
      <c r="T7081" s="2">
        <f t="shared" si="444"/>
        <v>2.6740747196990031</v>
      </c>
      <c r="U7081" s="2">
        <f t="shared" si="445"/>
        <v>92.538620332058613</v>
      </c>
    </row>
    <row r="7082" spans="1:21" x14ac:dyDescent="0.25">
      <c r="A7082">
        <v>7756113</v>
      </c>
      <c r="B7082">
        <v>27</v>
      </c>
      <c r="C7082" s="1">
        <f>0.754821980009431*(10.3/7.3)</f>
        <v>1.0650227937119372</v>
      </c>
      <c r="D7082" s="1">
        <f>2.82168801048991*(10.3/7.3)</f>
        <v>3.981285823020015</v>
      </c>
      <c r="E7082" s="1">
        <f>9.33683999138225*(10.3/7.3)</f>
        <v>13.173897522087291</v>
      </c>
      <c r="F7082" s="1">
        <f>35.8812071592399*(38.9/42.5)</f>
        <v>32.841857846927773</v>
      </c>
      <c r="G7082" s="1">
        <v>2.2415900127167458</v>
      </c>
      <c r="H7082" s="1">
        <v>10.363900015073479</v>
      </c>
      <c r="I7082" s="1">
        <v>25.928620048248703</v>
      </c>
      <c r="J7082" s="1">
        <v>2.1056348600264667E-2</v>
      </c>
      <c r="K7082" s="1">
        <v>1.6402295444722854</v>
      </c>
      <c r="L7082" s="1">
        <v>1.6040024891129732</v>
      </c>
      <c r="M7082" s="1">
        <v>0.12795364308433121</v>
      </c>
      <c r="N7082" s="1">
        <v>0.88306477727728561</v>
      </c>
      <c r="O7082" s="1">
        <v>0.11415506172839504</v>
      </c>
      <c r="P7082" s="1">
        <v>7.0693581689478396E-2</v>
      </c>
      <c r="Q7082" s="1">
        <v>3.582449792013068</v>
      </c>
      <c r="R7082" s="2">
        <f t="shared" si="443"/>
        <v>93.17862385379901</v>
      </c>
      <c r="S7082" s="2">
        <f t="shared" si="442"/>
        <v>1.7319794747620285</v>
      </c>
      <c r="T7082" s="2">
        <f t="shared" si="444"/>
        <v>2.7291759712029853</v>
      </c>
      <c r="U7082" s="2">
        <f t="shared" si="445"/>
        <v>97.639779299764029</v>
      </c>
    </row>
    <row r="7083" spans="1:21" x14ac:dyDescent="0.25">
      <c r="A7083">
        <v>7756353</v>
      </c>
      <c r="B7083">
        <v>10</v>
      </c>
      <c r="C7083" s="1">
        <f>1.20375732757974*(10.3/7.3)</f>
        <v>1.6984521197357947</v>
      </c>
      <c r="D7083" s="1">
        <f>2.90957906153353*(10.3/7.3)</f>
        <v>4.1052964840815571</v>
      </c>
      <c r="E7083" s="1">
        <f>9.84417344892554*(10.3/7.3)</f>
        <v>13.889724181360695</v>
      </c>
      <c r="F7083" s="1">
        <f>30.7854534434434*(38.9/42.5)</f>
        <v>28.1777444458811</v>
      </c>
      <c r="G7083" s="1">
        <v>1.7380707499502932</v>
      </c>
      <c r="H7083" s="1">
        <v>9.1713125144193341</v>
      </c>
      <c r="I7083" s="1">
        <v>22.064280897181412</v>
      </c>
      <c r="J7083" s="1">
        <v>2.6410548825678577E-2</v>
      </c>
      <c r="K7083" s="1">
        <v>1.6794817241980027</v>
      </c>
      <c r="L7083" s="1">
        <v>1.3699674073240129</v>
      </c>
      <c r="M7083" s="1">
        <v>0.13205586068478667</v>
      </c>
      <c r="N7083" s="1">
        <v>1.1071080724919031</v>
      </c>
      <c r="O7083" s="1">
        <v>9.4975999999999991E-2</v>
      </c>
      <c r="P7083" s="1">
        <v>6.230725539751214E-2</v>
      </c>
      <c r="Q7083" s="1">
        <v>2.777738641473074</v>
      </c>
      <c r="R7083" s="2">
        <f t="shared" si="443"/>
        <v>83.622620034083269</v>
      </c>
      <c r="S7083" s="2">
        <f t="shared" si="442"/>
        <v>1.7681995284211933</v>
      </c>
      <c r="T7083" s="2">
        <f t="shared" si="444"/>
        <v>2.7041073405007028</v>
      </c>
      <c r="U7083" s="2">
        <f t="shared" si="445"/>
        <v>88.09492690300516</v>
      </c>
    </row>
    <row r="7084" spans="1:21" x14ac:dyDescent="0.25">
      <c r="A7084">
        <v>7756361</v>
      </c>
      <c r="B7084">
        <v>6</v>
      </c>
      <c r="C7084" s="1">
        <f>1.45708419307455*(10.3/7.3)</f>
        <v>2.0558859162558702</v>
      </c>
      <c r="D7084" s="1">
        <f>3.494132512634*(10.3/7.3)</f>
        <v>4.930077380839748</v>
      </c>
      <c r="E7084" s="1">
        <f>11.8643231878608*(10.3/7.3)</f>
        <v>16.740072443146122</v>
      </c>
      <c r="F7084" s="1">
        <f>35.0312360492912*(38.9/42.5)</f>
        <v>32.063884289821871</v>
      </c>
      <c r="G7084" s="1">
        <v>1.9195064952534568</v>
      </c>
      <c r="H7084" s="1">
        <v>10.282722103330519</v>
      </c>
      <c r="I7084" s="1">
        <v>24.772113504969894</v>
      </c>
      <c r="J7084" s="1">
        <v>3.1896162643010484E-2</v>
      </c>
      <c r="K7084" s="1">
        <v>1.8301009785668629</v>
      </c>
      <c r="L7084" s="1">
        <v>1.5190412951718055</v>
      </c>
      <c r="M7084" s="1">
        <v>0.13318445378854249</v>
      </c>
      <c r="N7084" s="1">
        <v>1.1899415161214983</v>
      </c>
      <c r="O7084" s="1">
        <v>0.10370666666666666</v>
      </c>
      <c r="P7084" s="1">
        <v>6.668204848735039E-2</v>
      </c>
      <c r="Q7084" s="1">
        <v>3.067704444468998</v>
      </c>
      <c r="R7084" s="2">
        <f t="shared" si="443"/>
        <v>95.83196657808648</v>
      </c>
      <c r="S7084" s="2">
        <f t="shared" si="442"/>
        <v>1.928679189697224</v>
      </c>
      <c r="T7084" s="2">
        <f t="shared" si="444"/>
        <v>2.9458739317485128</v>
      </c>
      <c r="U7084" s="2">
        <f t="shared" si="445"/>
        <v>100.70651969953221</v>
      </c>
    </row>
    <row r="7085" spans="1:21" x14ac:dyDescent="0.25">
      <c r="A7085">
        <v>7767909</v>
      </c>
      <c r="B7085">
        <v>9</v>
      </c>
      <c r="C7085" s="1">
        <f>0.283185474608475*(10.3/7.3)</f>
        <v>0.39956306691332766</v>
      </c>
      <c r="D7085" s="1">
        <f>0.529369328850844*(10.3/7.3)</f>
        <v>0.7469183681046162</v>
      </c>
      <c r="E7085" s="1">
        <f>1.81021545011742*(10.3/7.3)</f>
        <v>2.5541396076999279</v>
      </c>
      <c r="F7085" s="1">
        <f>5.31794311002462*(38.9/42.5)</f>
        <v>4.8674820465872406</v>
      </c>
      <c r="G7085" s="1">
        <v>0.2859648611989607</v>
      </c>
      <c r="H7085" s="1">
        <v>1.0972267813423011</v>
      </c>
      <c r="I7085" s="1">
        <v>3.9000060662935758</v>
      </c>
      <c r="J7085" s="1">
        <v>1.3611254718988259E-2</v>
      </c>
      <c r="K7085" s="1">
        <v>1.2914523428876719</v>
      </c>
      <c r="L7085" s="1">
        <v>0.91150269089085734</v>
      </c>
      <c r="M7085" s="1">
        <v>0.11051198158485706</v>
      </c>
      <c r="N7085" s="1">
        <v>0.45406718456789441</v>
      </c>
      <c r="O7085" s="1">
        <v>0.11637333333333334</v>
      </c>
      <c r="P7085" s="1">
        <v>6.7434674354107257E-2</v>
      </c>
      <c r="Q7085" s="1">
        <v>0.45702146766957241</v>
      </c>
      <c r="R7085" s="2">
        <f t="shared" si="443"/>
        <v>14.308322265809522</v>
      </c>
      <c r="S7085" s="2">
        <f t="shared" si="442"/>
        <v>1.3724982719607672</v>
      </c>
      <c r="T7085" s="2">
        <f t="shared" si="444"/>
        <v>1.5924551903769422</v>
      </c>
      <c r="U7085" s="2">
        <f t="shared" si="445"/>
        <v>17.273275728147233</v>
      </c>
    </row>
    <row r="7086" spans="1:21" x14ac:dyDescent="0.25">
      <c r="A7086">
        <v>7767917</v>
      </c>
      <c r="B7086">
        <v>50</v>
      </c>
      <c r="C7086" s="1">
        <f>0.351862134265001*(10.3/7.3)</f>
        <v>0.49646301136020693</v>
      </c>
      <c r="D7086" s="1">
        <f>0.677600693938681*(10.3/7.3)</f>
        <v>0.9560667325436184</v>
      </c>
      <c r="E7086" s="1">
        <f>2.30869783149376*(10.3/7.3)</f>
        <v>3.2574777622446218</v>
      </c>
      <c r="F7086" s="1">
        <f>7.10759647807772*(38.9/42.5)</f>
        <v>6.5055412469934879</v>
      </c>
      <c r="G7086" s="1">
        <v>0.39285398893129214</v>
      </c>
      <c r="H7086" s="1">
        <v>1.5852870483298758</v>
      </c>
      <c r="I7086" s="1">
        <v>5.2399686031051615</v>
      </c>
      <c r="J7086" s="1">
        <v>1.4329638544427013E-2</v>
      </c>
      <c r="K7086" s="1">
        <v>1.3484401984130037</v>
      </c>
      <c r="L7086" s="1">
        <v>0.95288907482466101</v>
      </c>
      <c r="M7086" s="1">
        <v>0.11400208675679796</v>
      </c>
      <c r="N7086" s="1">
        <v>0.48051727069705025</v>
      </c>
      <c r="O7086" s="1">
        <v>0.12129813333333329</v>
      </c>
      <c r="P7086" s="1">
        <v>6.9294716648929389E-2</v>
      </c>
      <c r="Q7086" s="1">
        <v>0.62784884075777336</v>
      </c>
      <c r="R7086" s="2">
        <f t="shared" si="443"/>
        <v>19.061507234266042</v>
      </c>
      <c r="S7086" s="2">
        <f t="shared" si="442"/>
        <v>1.4320645536063599</v>
      </c>
      <c r="T7086" s="2">
        <f t="shared" si="444"/>
        <v>1.6687065656118425</v>
      </c>
      <c r="U7086" s="2">
        <f t="shared" si="445"/>
        <v>22.162278353484243</v>
      </c>
    </row>
    <row r="7087" spans="1:21" x14ac:dyDescent="0.25">
      <c r="A7087">
        <v>7767925</v>
      </c>
      <c r="B7087">
        <v>1</v>
      </c>
      <c r="C7087" s="1">
        <f>0.385466810585207*(10.3/7.3)</f>
        <v>0.54387782863392198</v>
      </c>
      <c r="D7087" s="1">
        <f>1.34670847175909*(10.3/7.3)</f>
        <v>1.900150309468299</v>
      </c>
      <c r="E7087" s="1">
        <f>4.3331780990029*(10.3/7.3)</f>
        <v>6.1139362218808024</v>
      </c>
      <c r="F7087" s="1">
        <f>23.3418268005245*(38.9/42.5)</f>
        <v>21.364636765656581</v>
      </c>
      <c r="G7087" s="1">
        <v>1.6019134697671387</v>
      </c>
      <c r="H7087" s="1">
        <v>4.4642252981955446</v>
      </c>
      <c r="I7087" s="1">
        <v>18.041581654694479</v>
      </c>
      <c r="J7087" s="1">
        <v>1.4418406367028021E-2</v>
      </c>
      <c r="K7087" s="1">
        <v>1.3781622817958861</v>
      </c>
      <c r="L7087" s="1">
        <v>0.98239417651023297</v>
      </c>
      <c r="M7087" s="1">
        <v>0.1175847177250824</v>
      </c>
      <c r="N7087" s="1">
        <v>0.49269736961319693</v>
      </c>
      <c r="O7087" s="1">
        <v>0.12474666666666666</v>
      </c>
      <c r="P7087" s="1">
        <v>6.9518330923779514E-2</v>
      </c>
      <c r="Q7087" s="1">
        <v>2.5601356822762518</v>
      </c>
      <c r="R7087" s="2">
        <f t="shared" si="443"/>
        <v>56.590457230573023</v>
      </c>
      <c r="S7087" s="2">
        <f t="shared" si="442"/>
        <v>1.4620990190866936</v>
      </c>
      <c r="T7087" s="2">
        <f t="shared" si="444"/>
        <v>1.7174229305151789</v>
      </c>
      <c r="U7087" s="2">
        <f t="shared" si="445"/>
        <v>59.769979180174893</v>
      </c>
    </row>
    <row r="7088" spans="1:21" x14ac:dyDescent="0.25">
      <c r="A7088">
        <v>7768317</v>
      </c>
      <c r="B7088">
        <v>52</v>
      </c>
      <c r="C7088" s="1">
        <f>0.646665045568801*(10.3/7.3)</f>
        <v>0.91241780402173267</v>
      </c>
      <c r="D7088" s="1">
        <f>2.31764842204798*(10.3/7.3)</f>
        <v>3.2701066776841374</v>
      </c>
      <c r="E7088" s="1">
        <f>7.692328552714*(10.3/7.3)</f>
        <v>10.853559464788253</v>
      </c>
      <c r="F7088" s="1">
        <f>28.6091796103991*(38.9/42.5)</f>
        <v>26.185813808106442</v>
      </c>
      <c r="G7088" s="1">
        <v>1.7645684736593321</v>
      </c>
      <c r="H7088" s="1">
        <v>10.305611259877676</v>
      </c>
      <c r="I7088" s="1">
        <v>20.577159742824122</v>
      </c>
      <c r="J7088" s="1">
        <v>2.0179697868463513E-2</v>
      </c>
      <c r="K7088" s="1">
        <v>1.6222912209525679</v>
      </c>
      <c r="L7088" s="1">
        <v>1.7284151327985258</v>
      </c>
      <c r="M7088" s="1">
        <v>0.12995590337861496</v>
      </c>
      <c r="N7088" s="1">
        <v>0.85932852870733611</v>
      </c>
      <c r="O7088" s="1">
        <v>0.11390256410256407</v>
      </c>
      <c r="P7088" s="1">
        <v>7.0942122815994602E-2</v>
      </c>
      <c r="Q7088" s="1">
        <v>2.8200866017386619</v>
      </c>
      <c r="R7088" s="2">
        <f t="shared" si="443"/>
        <v>76.689323832700353</v>
      </c>
      <c r="S7088" s="2">
        <f t="shared" si="442"/>
        <v>1.7134130416370259</v>
      </c>
      <c r="T7088" s="2">
        <f t="shared" si="444"/>
        <v>2.8316021289870412</v>
      </c>
      <c r="U7088" s="2">
        <f t="shared" si="445"/>
        <v>81.234339003324422</v>
      </c>
    </row>
    <row r="7089" spans="1:21" x14ac:dyDescent="0.25">
      <c r="A7089">
        <v>7768325</v>
      </c>
      <c r="B7089">
        <v>22</v>
      </c>
      <c r="C7089" s="1">
        <f>0.743013365516329*(10.3/7.3)</f>
        <v>1.0483613239476974</v>
      </c>
      <c r="D7089" s="1">
        <f>3.75281780008167*(10.3/7.3)</f>
        <v>5.2950716905261892</v>
      </c>
      <c r="E7089" s="1">
        <f>12.5861662558513*(10.3/7.3)</f>
        <v>17.758563347297052</v>
      </c>
      <c r="F7089" s="1">
        <f>36.9403449159569*(38.9/42.5)</f>
        <v>33.811280405428803</v>
      </c>
      <c r="G7089" s="1">
        <v>2.078595630563095</v>
      </c>
      <c r="H7089" s="1">
        <v>11.361650348496026</v>
      </c>
      <c r="I7089" s="1">
        <v>24.179759193656139</v>
      </c>
      <c r="J7089" s="1">
        <v>2.0483487519277518E-2</v>
      </c>
      <c r="K7089" s="1">
        <v>1.6483617565727675</v>
      </c>
      <c r="L7089" s="1">
        <v>1.6064532841643826</v>
      </c>
      <c r="M7089" s="1">
        <v>0.13252645376788452</v>
      </c>
      <c r="N7089" s="1">
        <v>0.8566252344786176</v>
      </c>
      <c r="O7089" s="1">
        <v>0.11658424242424244</v>
      </c>
      <c r="P7089" s="1">
        <v>7.2163135435896933E-2</v>
      </c>
      <c r="Q7089" s="1">
        <v>3.3219564872012977</v>
      </c>
      <c r="R7089" s="2">
        <f t="shared" si="443"/>
        <v>98.855238427116291</v>
      </c>
      <c r="S7089" s="2">
        <f t="shared" si="442"/>
        <v>1.7410083795279419</v>
      </c>
      <c r="T7089" s="2">
        <f t="shared" si="444"/>
        <v>2.7121892148351274</v>
      </c>
      <c r="U7089" s="2">
        <f t="shared" si="445"/>
        <v>103.30843602147935</v>
      </c>
    </row>
    <row r="7090" spans="1:21" x14ac:dyDescent="0.25">
      <c r="A7090">
        <v>7768333</v>
      </c>
      <c r="B7090">
        <v>48</v>
      </c>
      <c r="C7090" s="1">
        <f>0.787779705047292*(10.3/7.3)</f>
        <v>1.1115247893133031</v>
      </c>
      <c r="D7090" s="1">
        <f>3.26179326688713*(10.3/7.3)</f>
        <v>4.6022562532790969</v>
      </c>
      <c r="E7090" s="1">
        <f>10.8640566340235*(10.3/7.3)</f>
        <v>15.32873744252635</v>
      </c>
      <c r="F7090" s="1">
        <f>37.1865536496159*(38.9/42.5)</f>
        <v>34.036633811060184</v>
      </c>
      <c r="G7090" s="1">
        <v>2.2301700557974353</v>
      </c>
      <c r="H7090" s="1">
        <v>9.9321874827094145</v>
      </c>
      <c r="I7090" s="1">
        <v>25.913148905595293</v>
      </c>
      <c r="J7090" s="1">
        <v>2.0583604626109753E-2</v>
      </c>
      <c r="K7090" s="1">
        <v>1.6407686575097233</v>
      </c>
      <c r="L7090" s="1">
        <v>1.5997642682051076</v>
      </c>
      <c r="M7090" s="1">
        <v>0.13181219192638116</v>
      </c>
      <c r="N7090" s="1">
        <v>0.85051210650872466</v>
      </c>
      <c r="O7090" s="1">
        <v>0.11636333333333332</v>
      </c>
      <c r="P7090" s="1">
        <v>7.1869459456203183E-2</v>
      </c>
      <c r="Q7090" s="1">
        <v>3.5641987193109741</v>
      </c>
      <c r="R7090" s="2">
        <f t="shared" si="443"/>
        <v>96.718857459592058</v>
      </c>
      <c r="S7090" s="2">
        <f t="shared" si="442"/>
        <v>1.7332217215920362</v>
      </c>
      <c r="T7090" s="2">
        <f t="shared" si="444"/>
        <v>2.6984518999735467</v>
      </c>
      <c r="U7090" s="2">
        <f t="shared" si="445"/>
        <v>101.15053108115764</v>
      </c>
    </row>
    <row r="7091" spans="1:21" x14ac:dyDescent="0.25">
      <c r="A7091">
        <v>7768341</v>
      </c>
      <c r="B7091">
        <v>49</v>
      </c>
      <c r="C7091" s="1">
        <f>0.778611711796297*(10.3/7.3)</f>
        <v>1.0985891276029947</v>
      </c>
      <c r="D7091" s="1">
        <f>2.86475764002665*(10.3/7.3)</f>
        <v>4.0420553003115769</v>
      </c>
      <c r="E7091" s="1">
        <f>9.5186837997454*(10.3/7.3)</f>
        <v>13.430471662654467</v>
      </c>
      <c r="F7091" s="1">
        <f>34.646017212416*(38.9/42.5)</f>
        <v>31.711295754423094</v>
      </c>
      <c r="G7091" s="1">
        <v>2.121418056754377</v>
      </c>
      <c r="H7091" s="1">
        <v>10.581463673822169</v>
      </c>
      <c r="I7091" s="1">
        <v>24.74220083176667</v>
      </c>
      <c r="J7091" s="1">
        <v>2.054541940046125E-2</v>
      </c>
      <c r="K7091" s="1">
        <v>1.6203234195901874</v>
      </c>
      <c r="L7091" s="1">
        <v>1.5533412130259014</v>
      </c>
      <c r="M7091" s="1">
        <v>0.12641041003607026</v>
      </c>
      <c r="N7091" s="1">
        <v>0.84808302968251836</v>
      </c>
      <c r="O7091" s="1">
        <v>0.11323755102040814</v>
      </c>
      <c r="P7091" s="1">
        <v>7.0622580007601174E-2</v>
      </c>
      <c r="Q7091" s="1">
        <v>3.390394154630286</v>
      </c>
      <c r="R7091" s="2">
        <f t="shared" si="443"/>
        <v>91.117888561965643</v>
      </c>
      <c r="S7091" s="2">
        <f t="shared" si="442"/>
        <v>1.71149141899825</v>
      </c>
      <c r="T7091" s="2">
        <f t="shared" si="444"/>
        <v>2.6410722037648982</v>
      </c>
      <c r="U7091" s="2">
        <f t="shared" si="445"/>
        <v>95.470452184728785</v>
      </c>
    </row>
    <row r="7092" spans="1:21" x14ac:dyDescent="0.25">
      <c r="A7092">
        <v>7768349</v>
      </c>
      <c r="B7092">
        <v>11</v>
      </c>
      <c r="C7092" s="1">
        <f>0.736586384089017*(10.3/7.3)</f>
        <v>1.0392931172762849</v>
      </c>
      <c r="D7092" s="1">
        <f>2.8641510145385*(10.3/7.3)</f>
        <v>4.0411993766776124</v>
      </c>
      <c r="E7092" s="1">
        <f>9.44460723318013*(10.3/7.3)</f>
        <v>13.325952671473342</v>
      </c>
      <c r="F7092" s="1">
        <f>37.710384614509*(38.9/42.5)</f>
        <v>34.516093211868267</v>
      </c>
      <c r="G7092" s="1">
        <v>2.388873091887413</v>
      </c>
      <c r="H7092" s="1">
        <v>9.5459116780622981</v>
      </c>
      <c r="I7092" s="1">
        <v>27.417306335450803</v>
      </c>
      <c r="J7092" s="1">
        <v>2.0986885783202059E-2</v>
      </c>
      <c r="K7092" s="1">
        <v>1.6236174397209042</v>
      </c>
      <c r="L7092" s="1">
        <v>1.5256581406173273</v>
      </c>
      <c r="M7092" s="1">
        <v>0.12587116755680483</v>
      </c>
      <c r="N7092" s="1">
        <v>0.88019879748386065</v>
      </c>
      <c r="O7092" s="1">
        <v>0.1119030303030303</v>
      </c>
      <c r="P7092" s="1">
        <v>6.947138445474664E-2</v>
      </c>
      <c r="Q7092" s="1">
        <v>3.8178337084958698</v>
      </c>
      <c r="R7092" s="2">
        <f t="shared" si="443"/>
        <v>96.092463191191896</v>
      </c>
      <c r="S7092" s="2">
        <f t="shared" si="442"/>
        <v>1.7140757099588528</v>
      </c>
      <c r="T7092" s="2">
        <f t="shared" si="444"/>
        <v>2.6436311359610229</v>
      </c>
      <c r="U7092" s="2">
        <f t="shared" si="445"/>
        <v>100.45017003711177</v>
      </c>
    </row>
    <row r="7093" spans="1:21" x14ac:dyDescent="0.25">
      <c r="A7093">
        <v>7768581</v>
      </c>
      <c r="B7093">
        <v>6</v>
      </c>
      <c r="C7093" s="1">
        <f>1.17323489878814*(10.3/7.3)</f>
        <v>1.6553862270572322</v>
      </c>
      <c r="D7093" s="1">
        <f>3.16510905095915*(10.3/7.3)</f>
        <v>4.4658387979286625</v>
      </c>
      <c r="E7093" s="1">
        <f>10.6146156532175*(10.3/7.3)</f>
        <v>14.976786469608184</v>
      </c>
      <c r="F7093" s="1">
        <f>36.679823417132*(38.9/42.5)</f>
        <v>33.572826610033765</v>
      </c>
      <c r="G7093" s="1">
        <v>2.17755082846109</v>
      </c>
      <c r="H7093" s="1">
        <v>9.6388972860587767</v>
      </c>
      <c r="I7093" s="1">
        <v>26.582100428553847</v>
      </c>
      <c r="J7093" s="1">
        <v>2.6768958103038285E-2</v>
      </c>
      <c r="K7093" s="1">
        <v>1.7135611798273285</v>
      </c>
      <c r="L7093" s="1">
        <v>1.4012831960841334</v>
      </c>
      <c r="M7093" s="1">
        <v>0.14005944214809066</v>
      </c>
      <c r="N7093" s="1">
        <v>1.1340921715782417</v>
      </c>
      <c r="O7093" s="1">
        <v>9.6702222222222203E-2</v>
      </c>
      <c r="P7093" s="1">
        <v>6.3115251717911533E-2</v>
      </c>
      <c r="Q7093" s="1">
        <v>3.4801040637506042</v>
      </c>
      <c r="R7093" s="2">
        <f t="shared" si="443"/>
        <v>96.549490711452165</v>
      </c>
      <c r="S7093" s="2">
        <f t="shared" si="442"/>
        <v>1.8034453896482783</v>
      </c>
      <c r="T7093" s="2">
        <f t="shared" si="444"/>
        <v>2.7721370320326879</v>
      </c>
      <c r="U7093" s="2">
        <f t="shared" si="445"/>
        <v>101.12507313313313</v>
      </c>
    </row>
    <row r="7094" spans="1:21" x14ac:dyDescent="0.25">
      <c r="A7094">
        <v>7768589</v>
      </c>
      <c r="B7094">
        <v>9</v>
      </c>
      <c r="C7094" s="1">
        <f>1.73827820864921*(10.3/7.3)</f>
        <v>2.4526391163132666</v>
      </c>
      <c r="D7094" s="1">
        <f>4.09417677208137*(10.3/7.3)</f>
        <v>5.7767151715668632</v>
      </c>
      <c r="E7094" s="1">
        <f>13.9050852011549*(10.3/7.3)</f>
        <v>19.61950377697196</v>
      </c>
      <c r="F7094" s="1">
        <f>41.1982205539909*(38.9/42.5)</f>
        <v>37.708488930594051</v>
      </c>
      <c r="G7094" s="1">
        <v>2.2592738085552613</v>
      </c>
      <c r="H7094" s="1">
        <v>11.98895117704517</v>
      </c>
      <c r="I7094" s="1">
        <v>29.230734664168192</v>
      </c>
      <c r="J7094" s="1">
        <v>3.3143193080548555E-2</v>
      </c>
      <c r="K7094" s="1">
        <v>1.9576304036017913</v>
      </c>
      <c r="L7094" s="1">
        <v>1.642056709941075</v>
      </c>
      <c r="M7094" s="1">
        <v>0.1425418030139903</v>
      </c>
      <c r="N7094" s="1">
        <v>1.2380222367786073</v>
      </c>
      <c r="O7094" s="1">
        <v>0.11042962962962963</v>
      </c>
      <c r="P7094" s="1">
        <v>7.0221760930464949E-2</v>
      </c>
      <c r="Q7094" s="1">
        <v>3.6107115661842113</v>
      </c>
      <c r="R7094" s="2">
        <f t="shared" si="443"/>
        <v>112.64701821139897</v>
      </c>
      <c r="S7094" s="2">
        <f t="shared" si="442"/>
        <v>2.0609953576128048</v>
      </c>
      <c r="T7094" s="2">
        <f t="shared" si="444"/>
        <v>3.133050379363302</v>
      </c>
      <c r="U7094" s="2">
        <f t="shared" si="445"/>
        <v>117.84106394837508</v>
      </c>
    </row>
    <row r="7095" spans="1:21" x14ac:dyDescent="0.25">
      <c r="A7095">
        <v>7780145</v>
      </c>
      <c r="B7095">
        <v>41</v>
      </c>
      <c r="C7095" s="1">
        <f>0.335457874194106*(10.3/7.3)</f>
        <v>0.47331727454784867</v>
      </c>
      <c r="D7095" s="1">
        <f>0.64046337359982*(10.3/7.3)</f>
        <v>0.90366749973673255</v>
      </c>
      <c r="E7095" s="1">
        <f>2.18576052511859*(10.3/7.3)</f>
        <v>3.0840182751673222</v>
      </c>
      <c r="F7095" s="1">
        <f>6.5727432122765*(38.9/42.5)</f>
        <v>6.0159931990013149</v>
      </c>
      <c r="G7095" s="1">
        <v>0.35856660821571246</v>
      </c>
      <c r="H7095" s="1">
        <v>1.3534822582769004</v>
      </c>
      <c r="I7095" s="1">
        <v>4.8279683077791988</v>
      </c>
      <c r="J7095" s="1">
        <v>1.3995534890150112E-2</v>
      </c>
      <c r="K7095" s="1">
        <v>1.3602752598900778</v>
      </c>
      <c r="L7095" s="1">
        <v>0.97213021412497425</v>
      </c>
      <c r="M7095" s="1">
        <v>0.11525852771934927</v>
      </c>
      <c r="N7095" s="1">
        <v>0.48150006569027437</v>
      </c>
      <c r="O7095" s="1">
        <v>0.12207349593495932</v>
      </c>
      <c r="P7095" s="1">
        <v>7.0435431606034202E-2</v>
      </c>
      <c r="Q7095" s="1">
        <v>0.57305165696575089</v>
      </c>
      <c r="R7095" s="2">
        <f t="shared" si="443"/>
        <v>17.590065079690781</v>
      </c>
      <c r="S7095" s="2">
        <f t="shared" si="442"/>
        <v>1.4447062263862622</v>
      </c>
      <c r="T7095" s="2">
        <f t="shared" si="444"/>
        <v>1.6909623034695573</v>
      </c>
      <c r="U7095" s="2">
        <f t="shared" si="445"/>
        <v>20.725733609546602</v>
      </c>
    </row>
    <row r="7096" spans="1:21" x14ac:dyDescent="0.25">
      <c r="A7096">
        <v>7780153</v>
      </c>
      <c r="B7096">
        <v>53</v>
      </c>
      <c r="C7096" s="1">
        <f>0.444924262395169*(10.3/7.3)</f>
        <v>0.62776984968085436</v>
      </c>
      <c r="D7096" s="1">
        <f>0.907664914526448*(10.3/7.3)</f>
        <v>1.2806778930989617</v>
      </c>
      <c r="E7096" s="1">
        <f>3.06660900763346*(10.3/7.3)</f>
        <v>4.326859284743108</v>
      </c>
      <c r="F7096" s="1">
        <f>10.5132379730468*(38.9/42.5)</f>
        <v>9.6227048741534595</v>
      </c>
      <c r="G7096" s="1">
        <v>0.61398214130318385</v>
      </c>
      <c r="H7096" s="1">
        <v>2.5867243867631173</v>
      </c>
      <c r="I7096" s="1">
        <v>7.8567150257032052</v>
      </c>
      <c r="J7096" s="1">
        <v>1.604331322469791E-2</v>
      </c>
      <c r="K7096" s="1">
        <v>1.504820731163691</v>
      </c>
      <c r="L7096" s="1">
        <v>1.117509147837956</v>
      </c>
      <c r="M7096" s="1">
        <v>0.13140268418002318</v>
      </c>
      <c r="N7096" s="1">
        <v>0.54532249589877568</v>
      </c>
      <c r="O7096" s="1">
        <v>0.14112603773584903</v>
      </c>
      <c r="P7096" s="1">
        <v>7.5275060145103101E-2</v>
      </c>
      <c r="Q7096" s="1">
        <v>0.98124999751650532</v>
      </c>
      <c r="R7096" s="2">
        <f t="shared" si="443"/>
        <v>27.896683452962396</v>
      </c>
      <c r="S7096" s="2">
        <f t="shared" si="442"/>
        <v>1.5961391045334921</v>
      </c>
      <c r="T7096" s="2">
        <f t="shared" si="444"/>
        <v>1.9353603656526037</v>
      </c>
      <c r="U7096" s="2">
        <f t="shared" si="445"/>
        <v>31.428182923148491</v>
      </c>
    </row>
    <row r="7097" spans="1:21" x14ac:dyDescent="0.25">
      <c r="A7097">
        <v>7780545</v>
      </c>
      <c r="B7097">
        <v>48</v>
      </c>
      <c r="C7097" s="1">
        <f>0.637399654756347*(10.3/7.3)</f>
        <v>0.89934471835484575</v>
      </c>
      <c r="D7097" s="1">
        <f>2.25934472865454*(10.3/7.3)</f>
        <v>3.1878425623481883</v>
      </c>
      <c r="E7097" s="1">
        <f>7.47637029848438*(10.3/7.3)</f>
        <v>10.548851243067006</v>
      </c>
      <c r="F7097" s="1">
        <f>29.0479955318843*(38.9/42.5)</f>
        <v>26.587459439771788</v>
      </c>
      <c r="G7097" s="1">
        <v>1.8191186660404035</v>
      </c>
      <c r="H7097" s="1">
        <v>8.7616859725260259</v>
      </c>
      <c r="I7097" s="1">
        <v>21.120576039746432</v>
      </c>
      <c r="J7097" s="1">
        <v>1.9690056634902194E-2</v>
      </c>
      <c r="K7097" s="1">
        <v>1.5844317549941778</v>
      </c>
      <c r="L7097" s="1">
        <v>2.5021529190193204</v>
      </c>
      <c r="M7097" s="1">
        <v>0.12722505895417871</v>
      </c>
      <c r="N7097" s="1">
        <v>0.83076794626149741</v>
      </c>
      <c r="O7097" s="1">
        <v>0.11157333333333336</v>
      </c>
      <c r="P7097" s="1">
        <v>6.9508439050625509E-2</v>
      </c>
      <c r="Q7097" s="1">
        <v>2.9072672744937988</v>
      </c>
      <c r="R7097" s="2">
        <f t="shared" si="443"/>
        <v>75.832145916348495</v>
      </c>
      <c r="S7097" s="2">
        <f t="shared" si="442"/>
        <v>1.6736302506797054</v>
      </c>
      <c r="T7097" s="2">
        <f t="shared" si="444"/>
        <v>3.5717192575683296</v>
      </c>
      <c r="U7097" s="2">
        <f t="shared" si="445"/>
        <v>81.077495424596535</v>
      </c>
    </row>
    <row r="7098" spans="1:21" x14ac:dyDescent="0.25">
      <c r="A7098">
        <v>7780553</v>
      </c>
      <c r="B7098">
        <v>45</v>
      </c>
      <c r="C7098" s="1">
        <f>0.673307873868289*(10.3/7.3)</f>
        <v>0.95000973984155812</v>
      </c>
      <c r="D7098" s="1">
        <f>2.54227263322638*(10.3/7.3)</f>
        <v>3.5870422085248954</v>
      </c>
      <c r="E7098" s="1">
        <f>8.46779344079365*(10.3/7.3)</f>
        <v>11.947708553448575</v>
      </c>
      <c r="F7098" s="1">
        <f>29.5684946755502*(38.9/42.5)</f>
        <v>27.063869244209442</v>
      </c>
      <c r="G7098" s="1">
        <v>1.7830273302471744</v>
      </c>
      <c r="H7098" s="1">
        <v>11.213972712939059</v>
      </c>
      <c r="I7098" s="1">
        <v>20.855405120533213</v>
      </c>
      <c r="J7098" s="1">
        <v>1.9586062782819026E-2</v>
      </c>
      <c r="K7098" s="1">
        <v>1.5825793785186835</v>
      </c>
      <c r="L7098" s="1">
        <v>1.5867350704394572</v>
      </c>
      <c r="M7098" s="1">
        <v>0.12745194642525337</v>
      </c>
      <c r="N7098" s="1">
        <v>0.82329046090933011</v>
      </c>
      <c r="O7098" s="1">
        <v>0.11129362962962962</v>
      </c>
      <c r="P7098" s="1">
        <v>6.9666589843828078E-2</v>
      </c>
      <c r="Q7098" s="1">
        <v>2.8495870574726552</v>
      </c>
      <c r="R7098" s="2">
        <f t="shared" si="443"/>
        <v>80.250621967216574</v>
      </c>
      <c r="S7098" s="2">
        <f t="shared" si="442"/>
        <v>1.6718320311453305</v>
      </c>
      <c r="T7098" s="2">
        <f t="shared" si="444"/>
        <v>2.6487711074036704</v>
      </c>
      <c r="U7098" s="2">
        <f t="shared" si="445"/>
        <v>84.571225105765578</v>
      </c>
    </row>
    <row r="7099" spans="1:21" x14ac:dyDescent="0.25">
      <c r="A7099">
        <v>7780561</v>
      </c>
      <c r="B7099">
        <v>21</v>
      </c>
      <c r="C7099" s="1">
        <f>1.05738888184965*(10.3/7.3)</f>
        <v>1.4919322579522423</v>
      </c>
      <c r="D7099" s="1">
        <f>5.43477670087176*(10.3/7.3)</f>
        <v>7.6682465779423516</v>
      </c>
      <c r="E7099" s="1">
        <f>18.2055270342372*(10.3/7.3)</f>
        <v>25.687250472964841</v>
      </c>
      <c r="F7099" s="1">
        <f>54.3548937266651*(38.9/42.5)</f>
        <v>49.750714493347544</v>
      </c>
      <c r="G7099" s="1">
        <v>3.0857003187291978</v>
      </c>
      <c r="H7099" s="1">
        <v>11.366187295824968</v>
      </c>
      <c r="I7099" s="1">
        <v>35.750570307781018</v>
      </c>
      <c r="J7099" s="1">
        <v>2.5175129948898357E-2</v>
      </c>
      <c r="K7099" s="1">
        <v>1.9361541035347227</v>
      </c>
      <c r="L7099" s="1">
        <v>1.98950189078881</v>
      </c>
      <c r="M7099" s="1">
        <v>0.15506841828039511</v>
      </c>
      <c r="N7099" s="1">
        <v>0.99577404038392392</v>
      </c>
      <c r="O7099" s="1">
        <v>0.13948952380952381</v>
      </c>
      <c r="P7099" s="1">
        <v>8.2535272897804851E-2</v>
      </c>
      <c r="Q7099" s="1">
        <v>4.9314845276494088</v>
      </c>
      <c r="R7099" s="2">
        <f t="shared" si="443"/>
        <v>139.73208625219158</v>
      </c>
      <c r="S7099" s="2">
        <f t="shared" si="442"/>
        <v>2.0438645063814258</v>
      </c>
      <c r="T7099" s="2">
        <f t="shared" si="444"/>
        <v>3.2798338732626533</v>
      </c>
      <c r="U7099" s="2">
        <f t="shared" si="445"/>
        <v>145.05578463183565</v>
      </c>
    </row>
    <row r="7100" spans="1:21" x14ac:dyDescent="0.25">
      <c r="A7100">
        <v>7780569</v>
      </c>
      <c r="B7100">
        <v>35</v>
      </c>
      <c r="C7100" s="1">
        <f>0.769738745750125*(10.3/7.3)</f>
        <v>1.0860697371542853</v>
      </c>
      <c r="D7100" s="1">
        <f>2.90340537388599*(10.3/7.3)</f>
        <v>4.0965856645240661</v>
      </c>
      <c r="E7100" s="1">
        <f>9.67007898233248*(10.3/7.3)</f>
        <v>13.644084043565012</v>
      </c>
      <c r="F7100" s="1">
        <f>33.8044838205369*(38.9/42.5)</f>
        <v>30.941045191032618</v>
      </c>
      <c r="G7100" s="1">
        <v>2.0393089608519639</v>
      </c>
      <c r="H7100" s="1">
        <v>8.2581689779325753</v>
      </c>
      <c r="I7100" s="1">
        <v>23.851938140719593</v>
      </c>
      <c r="J7100" s="1">
        <v>2.0833887979156068E-2</v>
      </c>
      <c r="K7100" s="1">
        <v>1.63736267044827</v>
      </c>
      <c r="L7100" s="1">
        <v>1.6508836386501644</v>
      </c>
      <c r="M7100" s="1">
        <v>0.12940542500080668</v>
      </c>
      <c r="N7100" s="1">
        <v>0.85287477740340145</v>
      </c>
      <c r="O7100" s="1">
        <v>0.11471847619047619</v>
      </c>
      <c r="P7100" s="1">
        <v>7.1326327729065692E-2</v>
      </c>
      <c r="Q7100" s="1">
        <v>3.2591695721378455</v>
      </c>
      <c r="R7100" s="2">
        <f t="shared" si="443"/>
        <v>87.176370287917962</v>
      </c>
      <c r="S7100" s="2">
        <f t="shared" si="442"/>
        <v>1.7295228861564917</v>
      </c>
      <c r="T7100" s="2">
        <f t="shared" si="444"/>
        <v>2.7478823172448488</v>
      </c>
      <c r="U7100" s="2">
        <f t="shared" si="445"/>
        <v>91.653775491319294</v>
      </c>
    </row>
    <row r="7101" spans="1:21" x14ac:dyDescent="0.25">
      <c r="A7101">
        <v>7780577</v>
      </c>
      <c r="B7101">
        <v>2</v>
      </c>
      <c r="C7101" s="1">
        <f>0.825658915419646*(10.3/7.3)</f>
        <v>1.1649707984688158</v>
      </c>
      <c r="D7101" s="1">
        <f>3.10767076623088*(10.3/7.3)</f>
        <v>4.3847957386545362</v>
      </c>
      <c r="E7101" s="1">
        <f>10.3185121133492*(10.3/7.3)</f>
        <v>14.558996543492718</v>
      </c>
      <c r="F7101" s="1">
        <f>37.7464521578142*(38.9/42.5)</f>
        <v>34.549105622093492</v>
      </c>
      <c r="G7101" s="1">
        <v>2.3170342518165681</v>
      </c>
      <c r="H7101" s="1">
        <v>13.612696027793412</v>
      </c>
      <c r="I7101" s="1">
        <v>26.945256865085774</v>
      </c>
      <c r="J7101" s="1">
        <v>2.0940210541872652E-2</v>
      </c>
      <c r="K7101" s="1">
        <v>1.6413849827541078</v>
      </c>
      <c r="L7101" s="1">
        <v>1.5548233239082059</v>
      </c>
      <c r="M7101" s="1">
        <v>0.12729309914172487</v>
      </c>
      <c r="N7101" s="1">
        <v>0.85920542736184091</v>
      </c>
      <c r="O7101" s="1">
        <v>0.11469333333333334</v>
      </c>
      <c r="P7101" s="1">
        <v>7.13318149282266E-2</v>
      </c>
      <c r="Q7101" s="1">
        <v>3.7030227768757973</v>
      </c>
      <c r="R7101" s="2">
        <f t="shared" si="443"/>
        <v>101.23587862428113</v>
      </c>
      <c r="S7101" s="2">
        <f t="shared" si="442"/>
        <v>1.7336570082242071</v>
      </c>
      <c r="T7101" s="2">
        <f t="shared" si="444"/>
        <v>2.6560151837451049</v>
      </c>
      <c r="U7101" s="2">
        <f t="shared" si="445"/>
        <v>105.62555081625045</v>
      </c>
    </row>
    <row r="7102" spans="1:21" x14ac:dyDescent="0.25">
      <c r="A7102">
        <v>7780817</v>
      </c>
      <c r="B7102">
        <v>1</v>
      </c>
      <c r="C7102" s="1">
        <f>0.994136349680384*(10.3/7.3)</f>
        <v>1.4026855344805425</v>
      </c>
      <c r="D7102" s="1">
        <f>2.50166803806238*(10.3/7.3)</f>
        <v>3.5297507934304835</v>
      </c>
      <c r="E7102" s="1">
        <f>8.43994973273644*(10.3/7.3)</f>
        <v>11.908422225641829</v>
      </c>
      <c r="F7102" s="1">
        <f>27.2270026105678*(38.9/42.5)</f>
        <v>24.920715330613781</v>
      </c>
      <c r="G7102" s="1">
        <v>1.5632872909917754</v>
      </c>
      <c r="H7102" s="1">
        <v>7.7191796352545987</v>
      </c>
      <c r="I7102" s="1">
        <v>19.564795119642053</v>
      </c>
      <c r="J7102" s="1">
        <v>2.3753454632908434E-2</v>
      </c>
      <c r="K7102" s="1">
        <v>1.552883263332103</v>
      </c>
      <c r="L7102" s="1">
        <v>1.2383063257404332</v>
      </c>
      <c r="M7102" s="1">
        <v>0.13118144894019845</v>
      </c>
      <c r="N7102" s="1">
        <v>0.99661142271532244</v>
      </c>
      <c r="O7102" s="1">
        <v>8.6559999999999998E-2</v>
      </c>
      <c r="P7102" s="1">
        <v>5.8108891186293081E-2</v>
      </c>
      <c r="Q7102" s="1">
        <v>2.4984043463338903</v>
      </c>
      <c r="R7102" s="2">
        <f t="shared" si="443"/>
        <v>73.10724027638895</v>
      </c>
      <c r="S7102" s="2">
        <f t="shared" si="442"/>
        <v>1.6347456091513044</v>
      </c>
      <c r="T7102" s="2">
        <f t="shared" si="444"/>
        <v>2.4526591973959539</v>
      </c>
      <c r="U7102" s="2">
        <f t="shared" si="445"/>
        <v>77.194645082936219</v>
      </c>
    </row>
    <row r="7103" spans="1:21" x14ac:dyDescent="0.25">
      <c r="A7103">
        <v>7792381</v>
      </c>
      <c r="B7103">
        <v>64</v>
      </c>
      <c r="C7103" s="1">
        <f>0.35913785516533*(10.3/7.3)</f>
        <v>0.50672875454834243</v>
      </c>
      <c r="D7103" s="1">
        <f>0.684044821644077*(10.3/7.3)</f>
        <v>0.96515913190876601</v>
      </c>
      <c r="E7103" s="1">
        <f>2.33293259909441*(10.3/7.3)</f>
        <v>3.2916720233797778</v>
      </c>
      <c r="F7103" s="1">
        <f>7.10428723902767*(38.9/42.5)</f>
        <v>6.5025123199570904</v>
      </c>
      <c r="G7103" s="1">
        <v>0.39013278804843549</v>
      </c>
      <c r="H7103" s="1">
        <v>1.4817663159988361</v>
      </c>
      <c r="I7103" s="1">
        <v>5.2344517322144961</v>
      </c>
      <c r="J7103" s="1">
        <v>1.4193251367660621E-2</v>
      </c>
      <c r="K7103" s="1">
        <v>1.3978301548690184</v>
      </c>
      <c r="L7103" s="1">
        <v>1.0079602163284782</v>
      </c>
      <c r="M7103" s="1">
        <v>0.1191131004339625</v>
      </c>
      <c r="N7103" s="1">
        <v>0.49557036099364943</v>
      </c>
      <c r="O7103" s="1">
        <v>0.12633416666666666</v>
      </c>
      <c r="P7103" s="1">
        <v>7.1510096449666355E-2</v>
      </c>
      <c r="Q7103" s="1">
        <v>0.6234998895751257</v>
      </c>
      <c r="R7103" s="2">
        <f t="shared" si="443"/>
        <v>18.995922955630871</v>
      </c>
      <c r="S7103" s="2">
        <f t="shared" si="442"/>
        <v>1.4835335026863454</v>
      </c>
      <c r="T7103" s="2">
        <f t="shared" si="444"/>
        <v>1.7489778444227568</v>
      </c>
      <c r="U7103" s="2">
        <f t="shared" si="445"/>
        <v>22.228434302739974</v>
      </c>
    </row>
    <row r="7104" spans="1:21" x14ac:dyDescent="0.25">
      <c r="A7104">
        <v>7792389</v>
      </c>
      <c r="B7104">
        <v>34</v>
      </c>
      <c r="C7104" s="1">
        <f>0.403195481772121*(10.3/7.3)</f>
        <v>0.56889225510312957</v>
      </c>
      <c r="D7104" s="1">
        <f>0.752871239985492*(10.3/7.3)</f>
        <v>1.0622703797055575</v>
      </c>
      <c r="E7104" s="1">
        <f>2.55888964647801*(10.3/7.3)</f>
        <v>3.6104881313319925</v>
      </c>
      <c r="F7104" s="1">
        <f>8.32417654960881*(38.9/42.5)</f>
        <v>7.6190698301125321</v>
      </c>
      <c r="G7104" s="1">
        <v>0.47207249471928953</v>
      </c>
      <c r="H7104" s="1">
        <v>3.2402039976393096</v>
      </c>
      <c r="I7104" s="1">
        <v>6.2344310874488453</v>
      </c>
      <c r="J7104" s="1">
        <v>1.4797798702967543E-2</v>
      </c>
      <c r="K7104" s="1">
        <v>1.3667367320987351</v>
      </c>
      <c r="L7104" s="1">
        <v>0.97272589288780742</v>
      </c>
      <c r="M7104" s="1">
        <v>0.11579388200319574</v>
      </c>
      <c r="N7104" s="1">
        <v>0.50288208847575588</v>
      </c>
      <c r="O7104" s="1">
        <v>0.12356862745098036</v>
      </c>
      <c r="P7104" s="1">
        <v>6.8991238959831988E-2</v>
      </c>
      <c r="Q7104" s="1">
        <v>0.75445375868379705</v>
      </c>
      <c r="R7104" s="2">
        <f t="shared" si="443"/>
        <v>23.561881934744459</v>
      </c>
      <c r="S7104" s="2">
        <f t="shared" si="442"/>
        <v>1.4505257697615346</v>
      </c>
      <c r="T7104" s="2">
        <f t="shared" si="444"/>
        <v>1.7149704908177394</v>
      </c>
      <c r="U7104" s="2">
        <f t="shared" si="445"/>
        <v>26.72737819532373</v>
      </c>
    </row>
    <row r="7105" spans="1:21" x14ac:dyDescent="0.25">
      <c r="A7105">
        <v>7792421</v>
      </c>
      <c r="B7105">
        <v>2</v>
      </c>
      <c r="C7105" s="1">
        <f>0.270340563840369*(10.3/7.3)</f>
        <v>0.38143942569257544</v>
      </c>
      <c r="D7105" s="1">
        <f>0.710472886670898*(10.3/7.3)</f>
        <v>1.0024480455767466</v>
      </c>
      <c r="E7105" s="1">
        <f>2.41916554584601*(10.3/7.3)</f>
        <v>3.4133431674265644</v>
      </c>
      <c r="F7105" s="1">
        <f>6.53458247986526*(38.9/42.5)</f>
        <v>5.9810649051002036</v>
      </c>
      <c r="G7105" s="1">
        <v>0.34210991951456943</v>
      </c>
      <c r="H7105" s="1">
        <v>2.0957337573696018</v>
      </c>
      <c r="I7105" s="1">
        <v>4.4488254591778329</v>
      </c>
      <c r="J7105" s="1">
        <v>1.2016753040442422E-2</v>
      </c>
      <c r="K7105" s="1">
        <v>1.2082536236720181</v>
      </c>
      <c r="L7105" s="1">
        <v>0.85146846786576758</v>
      </c>
      <c r="M7105" s="1">
        <v>0.10809491622715314</v>
      </c>
      <c r="N7105" s="1">
        <v>0.43676161239692135</v>
      </c>
      <c r="O7105" s="1">
        <v>0.108</v>
      </c>
      <c r="P7105" s="1">
        <v>5.991255540157768E-2</v>
      </c>
      <c r="Q7105" s="1">
        <v>0.54675101292282835</v>
      </c>
      <c r="R7105" s="2">
        <f t="shared" si="443"/>
        <v>18.211715692780924</v>
      </c>
      <c r="S7105" s="2">
        <f t="shared" si="442"/>
        <v>1.2801829321140381</v>
      </c>
      <c r="T7105" s="2">
        <f t="shared" si="444"/>
        <v>1.5043249964898422</v>
      </c>
      <c r="U7105" s="2">
        <f t="shared" si="445"/>
        <v>20.996223621384804</v>
      </c>
    </row>
    <row r="7106" spans="1:21" x14ac:dyDescent="0.25">
      <c r="A7106">
        <v>7792773</v>
      </c>
      <c r="B7106">
        <v>3</v>
      </c>
      <c r="C7106" s="1">
        <f>0.628238943200799*(10.3/7.3)</f>
        <v>0.88641933081756508</v>
      </c>
      <c r="D7106" s="1">
        <f>2.25689030021725*(10.3/7.3)</f>
        <v>3.1843794646900934</v>
      </c>
      <c r="E7106" s="1">
        <f>7.44914893866408*(10.3/7.3)</f>
        <v>10.510443023046584</v>
      </c>
      <c r="F7106" s="1">
        <f>29.8570137439937*(38.9/42.5)</f>
        <v>27.327949050384849</v>
      </c>
      <c r="G7106" s="1">
        <v>1.8901792113684588</v>
      </c>
      <c r="H7106" s="1">
        <v>11.585487624888211</v>
      </c>
      <c r="I7106" s="1">
        <v>21.837682756485382</v>
      </c>
      <c r="J7106" s="1">
        <v>1.9136848945054848E-2</v>
      </c>
      <c r="K7106" s="1">
        <v>1.5407048221238473</v>
      </c>
      <c r="L7106" s="1">
        <v>3.0319923824066475</v>
      </c>
      <c r="M7106" s="1">
        <v>0.1228357942912966</v>
      </c>
      <c r="N7106" s="1">
        <v>0.80022258185546835</v>
      </c>
      <c r="O7106" s="1">
        <v>0.10860444444444443</v>
      </c>
      <c r="P7106" s="1">
        <v>6.7842612784935447E-2</v>
      </c>
      <c r="Q7106" s="1">
        <v>3.0208343560683164</v>
      </c>
      <c r="R7106" s="2">
        <f t="shared" si="443"/>
        <v>80.243374817749469</v>
      </c>
      <c r="S7106" s="2">
        <f t="shared" si="442"/>
        <v>1.6276842838538375</v>
      </c>
      <c r="T7106" s="2">
        <f t="shared" si="444"/>
        <v>4.0636552029978565</v>
      </c>
      <c r="U7106" s="2">
        <f t="shared" si="445"/>
        <v>85.934714304601158</v>
      </c>
    </row>
    <row r="7107" spans="1:21" x14ac:dyDescent="0.25">
      <c r="A7107">
        <v>7792781</v>
      </c>
      <c r="B7107">
        <v>45</v>
      </c>
      <c r="C7107" s="1">
        <f>0.64672853396364*(10.3/7.3)</f>
        <v>0.9125073835377383</v>
      </c>
      <c r="D7107" s="1">
        <f>2.28737986230936*(10.3/7.3)</f>
        <v>3.2273989838063626</v>
      </c>
      <c r="E7107" s="1">
        <f>7.58977258546628*(10.3/7.3)</f>
        <v>10.7088572096305</v>
      </c>
      <c r="F7107" s="1">
        <f>28.422667086039*(38.9/42.5)</f>
        <v>26.015099991692125</v>
      </c>
      <c r="G7107" s="1">
        <v>1.7568235213125298</v>
      </c>
      <c r="H7107" s="1">
        <v>10.676071074300195</v>
      </c>
      <c r="I7107" s="1">
        <v>20.49603892899529</v>
      </c>
      <c r="J7107" s="1">
        <v>1.9640941551412393E-2</v>
      </c>
      <c r="K7107" s="1">
        <v>1.5853258379669792</v>
      </c>
      <c r="L7107" s="1">
        <v>1.8382558222368683</v>
      </c>
      <c r="M7107" s="1">
        <v>0.12665646597788618</v>
      </c>
      <c r="N7107" s="1">
        <v>0.82991034497245042</v>
      </c>
      <c r="O7107" s="1">
        <v>0.11124385185185186</v>
      </c>
      <c r="P7107" s="1">
        <v>6.9498987351125266E-2</v>
      </c>
      <c r="Q7107" s="1">
        <v>2.8077088240154611</v>
      </c>
      <c r="R7107" s="2">
        <f t="shared" si="443"/>
        <v>76.600505917290207</v>
      </c>
      <c r="S7107" s="2">
        <f t="shared" si="442"/>
        <v>1.6744657668695171</v>
      </c>
      <c r="T7107" s="2">
        <f t="shared" si="444"/>
        <v>2.9060664850390565</v>
      </c>
      <c r="U7107" s="2">
        <f t="shared" si="445"/>
        <v>81.181038169198786</v>
      </c>
    </row>
    <row r="7108" spans="1:21" x14ac:dyDescent="0.25">
      <c r="A7108">
        <v>7792789</v>
      </c>
      <c r="B7108">
        <v>32</v>
      </c>
      <c r="C7108" s="1">
        <f>0.819510285652743*(10.3/7.3)</f>
        <v>1.1562953345511306</v>
      </c>
      <c r="D7108" s="1">
        <f>3.60041253384296*(10.3/7.3)</f>
        <v>5.080034123093494</v>
      </c>
      <c r="E7108" s="1">
        <f>12.0306648948771*(10.3/7.3)</f>
        <v>16.97477375578546</v>
      </c>
      <c r="F7108" s="1">
        <f>38.6641367227247*(38.9/42.5)</f>
        <v>35.389056906211515</v>
      </c>
      <c r="G7108" s="1">
        <v>2.2614755901579073</v>
      </c>
      <c r="H7108" s="1">
        <v>9.3217785730732459</v>
      </c>
      <c r="I7108" s="1">
        <v>26.342406772904106</v>
      </c>
      <c r="J7108" s="1">
        <v>2.1151309928794267E-2</v>
      </c>
      <c r="K7108" s="1">
        <v>1.682580821036314</v>
      </c>
      <c r="L7108" s="1">
        <v>1.6816820068603933</v>
      </c>
      <c r="M7108" s="1">
        <v>0.13578464646921731</v>
      </c>
      <c r="N7108" s="1">
        <v>0.86046365254543289</v>
      </c>
      <c r="O7108" s="1">
        <v>0.12028666666666665</v>
      </c>
      <c r="P7108" s="1">
        <v>7.3585907096047509E-2</v>
      </c>
      <c r="Q7108" s="1">
        <v>3.6142303952295367</v>
      </c>
      <c r="R7108" s="2">
        <f t="shared" si="443"/>
        <v>100.14005145100639</v>
      </c>
      <c r="S7108" s="2">
        <f t="shared" si="442"/>
        <v>1.7773180380611557</v>
      </c>
      <c r="T7108" s="2">
        <f t="shared" si="444"/>
        <v>2.7982169725417103</v>
      </c>
      <c r="U7108" s="2">
        <f t="shared" si="445"/>
        <v>104.71558646160925</v>
      </c>
    </row>
    <row r="7109" spans="1:21" x14ac:dyDescent="0.25">
      <c r="A7109">
        <v>7792797</v>
      </c>
      <c r="B7109">
        <v>21</v>
      </c>
      <c r="C7109" s="1">
        <f>1.04069855851863*(10.3/7.3)</f>
        <v>1.4683828976358717</v>
      </c>
      <c r="D7109" s="1">
        <f>4.48603970654156*(10.3/7.3)</f>
        <v>6.3296176681339764</v>
      </c>
      <c r="E7109" s="1">
        <f>14.9561309533198*(10.3/7.3)</f>
        <v>21.102486139615667</v>
      </c>
      <c r="F7109" s="1">
        <f>50.0117884611116*(38.9/42.5)</f>
        <v>45.7754957914645</v>
      </c>
      <c r="G7109" s="1">
        <v>2.973858115899477</v>
      </c>
      <c r="H7109" s="1">
        <v>10.640464762666731</v>
      </c>
      <c r="I7109" s="1">
        <v>34.523337885934453</v>
      </c>
      <c r="J7109" s="1">
        <v>2.5630163037529581E-2</v>
      </c>
      <c r="K7109" s="1">
        <v>1.9247663045309327</v>
      </c>
      <c r="L7109" s="1">
        <v>2.0530966362884864</v>
      </c>
      <c r="M7109" s="1">
        <v>0.15295872541052868</v>
      </c>
      <c r="N7109" s="1">
        <v>0.99937159282970711</v>
      </c>
      <c r="O7109" s="1">
        <v>0.13760507936507935</v>
      </c>
      <c r="P7109" s="1">
        <v>8.1797495634180553E-2</v>
      </c>
      <c r="Q7109" s="1">
        <v>4.7527412811178911</v>
      </c>
      <c r="R7109" s="2">
        <f t="shared" si="443"/>
        <v>127.56638454246855</v>
      </c>
      <c r="S7109" s="2">
        <f t="shared" si="442"/>
        <v>2.0321939632026429</v>
      </c>
      <c r="T7109" s="2">
        <f t="shared" si="444"/>
        <v>3.3430320338938011</v>
      </c>
      <c r="U7109" s="2">
        <f t="shared" si="445"/>
        <v>132.94161053956498</v>
      </c>
    </row>
    <row r="7110" spans="1:21" x14ac:dyDescent="0.25">
      <c r="A7110">
        <v>7792805</v>
      </c>
      <c r="B7110">
        <v>36</v>
      </c>
      <c r="C7110" s="1">
        <f>0.719005220497561*(10.3/7.3)</f>
        <v>1.0144868179623119</v>
      </c>
      <c r="D7110" s="1">
        <f>2.63808604749707*(10.3/7.3)</f>
        <v>3.7222309985232656</v>
      </c>
      <c r="E7110" s="1">
        <f>8.78545784519318*(10.3/7.3)</f>
        <v>12.39591997335476</v>
      </c>
      <c r="F7110" s="1">
        <f>30.9586593184659*(38.9/42.5)</f>
        <v>28.336278764431139</v>
      </c>
      <c r="G7110" s="1">
        <v>1.8720582879923624</v>
      </c>
      <c r="H7110" s="1">
        <v>8.170790086790138</v>
      </c>
      <c r="I7110" s="1">
        <v>21.935038654663174</v>
      </c>
      <c r="J7110" s="1">
        <v>2.0163704254301695E-2</v>
      </c>
      <c r="K7110" s="1">
        <v>1.5741675293999402</v>
      </c>
      <c r="L7110" s="1">
        <v>1.4827106058028434</v>
      </c>
      <c r="M7110" s="1">
        <v>0.12224562483777625</v>
      </c>
      <c r="N7110" s="1">
        <v>0.82487222278912231</v>
      </c>
      <c r="O7110" s="1">
        <v>0.10891703703703703</v>
      </c>
      <c r="P7110" s="1">
        <v>6.8572067800166572E-2</v>
      </c>
      <c r="Q7110" s="1">
        <v>2.9918739762435047</v>
      </c>
      <c r="R7110" s="2">
        <f t="shared" si="443"/>
        <v>80.438677559960652</v>
      </c>
      <c r="S7110" s="2">
        <f t="shared" si="442"/>
        <v>1.6629033014544086</v>
      </c>
      <c r="T7110" s="2">
        <f t="shared" si="444"/>
        <v>2.5387454904667792</v>
      </c>
      <c r="U7110" s="2">
        <f t="shared" si="445"/>
        <v>84.640326351881839</v>
      </c>
    </row>
    <row r="7111" spans="1:21" x14ac:dyDescent="0.25">
      <c r="A7111">
        <v>7793045</v>
      </c>
      <c r="B7111">
        <v>3</v>
      </c>
      <c r="C7111" s="1">
        <f>0.989091320128053*(10.3/7.3)</f>
        <v>1.395567205112185</v>
      </c>
      <c r="D7111" s="1">
        <f>2.58110747693226*(10.3/7.3)</f>
        <v>3.6418365770414027</v>
      </c>
      <c r="E7111" s="1">
        <f>8.67617062796447*(10.3/7.3)</f>
        <v>12.24172020110055</v>
      </c>
      <c r="F7111" s="1">
        <f>29.2638861135216*(38.9/42.5)</f>
        <v>26.785062819199748</v>
      </c>
      <c r="G7111" s="1">
        <v>1.7170767064862762</v>
      </c>
      <c r="H7111" s="1">
        <v>8.9698793237633581</v>
      </c>
      <c r="I7111" s="1">
        <v>21.163596991757299</v>
      </c>
      <c r="J7111" s="1">
        <v>2.378740026296618E-2</v>
      </c>
      <c r="K7111" s="1">
        <v>1.5568656335525457</v>
      </c>
      <c r="L7111" s="1">
        <v>1.2420005139941888</v>
      </c>
      <c r="M7111" s="1">
        <v>0.13655139667667984</v>
      </c>
      <c r="N7111" s="1">
        <v>1.0521765557594229</v>
      </c>
      <c r="O7111" s="1">
        <v>8.6755555555555544E-2</v>
      </c>
      <c r="P7111" s="1">
        <v>5.8219411950592347E-2</v>
      </c>
      <c r="Q7111" s="1">
        <v>2.7441865172155127</v>
      </c>
      <c r="R7111" s="2">
        <f t="shared" si="443"/>
        <v>78.658926341676334</v>
      </c>
      <c r="S7111" s="2">
        <f t="shared" si="442"/>
        <v>1.6388724457661041</v>
      </c>
      <c r="T7111" s="2">
        <f t="shared" si="444"/>
        <v>2.517484021985847</v>
      </c>
      <c r="U7111" s="2">
        <f t="shared" si="445"/>
        <v>82.815282809428297</v>
      </c>
    </row>
    <row r="7112" spans="1:21" x14ac:dyDescent="0.25">
      <c r="A7112">
        <v>7804609</v>
      </c>
      <c r="B7112">
        <v>1</v>
      </c>
      <c r="C7112" s="1">
        <f>0.232721902691606*(10.3/7.3)</f>
        <v>0.32836104078404688</v>
      </c>
      <c r="D7112" s="1">
        <f>0.41620837849463*(10.3/7.3)</f>
        <v>0.58725291760201204</v>
      </c>
      <c r="E7112" s="1">
        <f>1.42765786479719*(10.3/7.3)</f>
        <v>2.0143665763576735</v>
      </c>
      <c r="F7112" s="1">
        <f>4.06902239796032*(38.9/42.5)</f>
        <v>3.7243522654272132</v>
      </c>
      <c r="G7112" s="1">
        <v>0.21426799726222207</v>
      </c>
      <c r="H7112" s="1">
        <v>0.85220011900091031</v>
      </c>
      <c r="I7112" s="1">
        <v>2.9872770181598463</v>
      </c>
      <c r="J7112" s="1">
        <v>1.1660323924836081E-2</v>
      </c>
      <c r="K7112" s="1">
        <v>1.1931512816921832</v>
      </c>
      <c r="L7112" s="1">
        <v>0.83199397080113635</v>
      </c>
      <c r="M7112" s="1">
        <v>0.1011949237516586</v>
      </c>
      <c r="N7112" s="1">
        <v>0.41415257215071322</v>
      </c>
      <c r="O7112" s="1">
        <v>0.10746666666666667</v>
      </c>
      <c r="P7112" s="1">
        <v>6.2381654741284327E-2</v>
      </c>
      <c r="Q7112" s="1">
        <v>0.34243743854693059</v>
      </c>
      <c r="R7112" s="2">
        <f t="shared" si="443"/>
        <v>11.050515373140854</v>
      </c>
      <c r="S7112" s="2">
        <f t="shared" si="442"/>
        <v>1.2671932603583036</v>
      </c>
      <c r="T7112" s="2">
        <f t="shared" si="444"/>
        <v>1.4548081333701748</v>
      </c>
      <c r="U7112" s="2">
        <f t="shared" si="445"/>
        <v>13.772516766869334</v>
      </c>
    </row>
    <row r="7113" spans="1:21" x14ac:dyDescent="0.25">
      <c r="A7113">
        <v>7804617</v>
      </c>
      <c r="B7113">
        <v>56</v>
      </c>
      <c r="C7113" s="1">
        <f>0.415679377834286*(10.3/7.3)</f>
        <v>0.58650651941002008</v>
      </c>
      <c r="D7113" s="1">
        <f>0.776798975936668*(10.3/7.3)</f>
        <v>1.0960314318010527</v>
      </c>
      <c r="E7113" s="1">
        <f>2.64943784798026*(10.3/7.3)</f>
        <v>3.7382479224926914</v>
      </c>
      <c r="F7113" s="1">
        <f>8.1384169557941*(38.9/42.5)</f>
        <v>7.4490451665974211</v>
      </c>
      <c r="G7113" s="1">
        <v>0.4483970545038794</v>
      </c>
      <c r="H7113" s="1">
        <v>1.6954686682541402</v>
      </c>
      <c r="I7113" s="1">
        <v>6.0253986796822758</v>
      </c>
      <c r="J7113" s="1">
        <v>1.443628844000487E-2</v>
      </c>
      <c r="K7113" s="1">
        <v>1.4148783667251141</v>
      </c>
      <c r="L7113" s="1">
        <v>1.0259207277734224</v>
      </c>
      <c r="M7113" s="1">
        <v>0.1212851194192429</v>
      </c>
      <c r="N7113" s="1">
        <v>0.50448483152092771</v>
      </c>
      <c r="O7113" s="1">
        <v>0.12874952380952379</v>
      </c>
      <c r="P7113" s="1">
        <v>7.1884755703272601E-2</v>
      </c>
      <c r="Q7113" s="1">
        <v>0.71661629715231945</v>
      </c>
      <c r="R7113" s="2">
        <f t="shared" si="443"/>
        <v>21.755711739893801</v>
      </c>
      <c r="S7113" s="2">
        <f t="shared" ref="S7113:S7176" si="446">J7113+K7113+P7113</f>
        <v>1.5011994108683917</v>
      </c>
      <c r="T7113" s="2">
        <f t="shared" si="444"/>
        <v>1.7804402025231165</v>
      </c>
      <c r="U7113" s="2">
        <f t="shared" si="445"/>
        <v>25.03735135328531</v>
      </c>
    </row>
    <row r="7114" spans="1:21" x14ac:dyDescent="0.25">
      <c r="A7114">
        <v>7804625</v>
      </c>
      <c r="B7114">
        <v>6</v>
      </c>
      <c r="C7114" s="1">
        <f>0.594649667497121*(10.3/7.3)</f>
        <v>0.83902624318086938</v>
      </c>
      <c r="D7114" s="1">
        <f>0.983158784416603*(10.3/7.3)</f>
        <v>1.3871966410261656</v>
      </c>
      <c r="E7114" s="1">
        <f>3.36469204577888*(10.3/7.3)</f>
        <v>4.7474422015784192</v>
      </c>
      <c r="F7114" s="1">
        <f>10.4366211447184*(38.9/42.5)</f>
        <v>9.5525779418716485</v>
      </c>
      <c r="G7114" s="1">
        <v>0.5729013376973634</v>
      </c>
      <c r="H7114" s="1">
        <v>3.4744706073653586</v>
      </c>
      <c r="I7114" s="1">
        <v>7.8998253825182374</v>
      </c>
      <c r="J7114" s="1">
        <v>1.8845482287059186E-2</v>
      </c>
      <c r="K7114" s="1">
        <v>1.4586005289431876</v>
      </c>
      <c r="L7114" s="1">
        <v>1.0887966954896562</v>
      </c>
      <c r="M7114" s="1">
        <v>0.12803397238684522</v>
      </c>
      <c r="N7114" s="1">
        <v>0.56696210246770073</v>
      </c>
      <c r="O7114" s="1">
        <v>0.13598222222222223</v>
      </c>
      <c r="P7114" s="1">
        <v>7.2882763018517094E-2</v>
      </c>
      <c r="Q7114" s="1">
        <v>0.91559574517843556</v>
      </c>
      <c r="R7114" s="2">
        <f t="shared" ref="R7114:R7177" si="447">C7114+D7114+E7114+F7114+G7114+H7114+I7114+Q7114</f>
        <v>29.389036100416497</v>
      </c>
      <c r="S7114" s="2">
        <f t="shared" si="446"/>
        <v>1.5503287742487639</v>
      </c>
      <c r="T7114" s="2">
        <f t="shared" ref="T7114:T7177" si="448">L7114+M7114+N7114+O7114</f>
        <v>1.9197749925664245</v>
      </c>
      <c r="U7114" s="2">
        <f t="shared" ref="U7114:U7177" si="449">R7114+S7114+T7114</f>
        <v>32.85913986723169</v>
      </c>
    </row>
    <row r="7115" spans="1:21" x14ac:dyDescent="0.25">
      <c r="A7115">
        <v>7804657</v>
      </c>
      <c r="B7115">
        <v>19</v>
      </c>
      <c r="C7115" s="1">
        <f>0.25160931942284*(10.3/7.3)</f>
        <v>0.3550104095966094</v>
      </c>
      <c r="D7115" s="1">
        <f>0.612330370076933*(10.3/7.3)</f>
        <v>0.86397298791676924</v>
      </c>
      <c r="E7115" s="1">
        <f>2.0858340117312*(10.3/7.3)</f>
        <v>2.9430260713467677</v>
      </c>
      <c r="F7115" s="1">
        <f>5.77828587006741*(38.9/42.5)</f>
        <v>5.2888310669558223</v>
      </c>
      <c r="G7115" s="1">
        <v>0.30571716964354217</v>
      </c>
      <c r="H7115" s="1">
        <v>1.8279085265178954</v>
      </c>
      <c r="I7115" s="1">
        <v>4.0073449009194801</v>
      </c>
      <c r="J7115" s="1">
        <v>1.1299428278958981E-2</v>
      </c>
      <c r="K7115" s="1">
        <v>1.1578412856460054</v>
      </c>
      <c r="L7115" s="1">
        <v>0.80859073994790043</v>
      </c>
      <c r="M7115" s="1">
        <v>0.1039784320839942</v>
      </c>
      <c r="N7115" s="1">
        <v>0.41529180887263167</v>
      </c>
      <c r="O7115" s="1">
        <v>0.10327578947368421</v>
      </c>
      <c r="P7115" s="1">
        <v>5.7528004051336262E-2</v>
      </c>
      <c r="Q7115" s="1">
        <v>0.48858908390520478</v>
      </c>
      <c r="R7115" s="2">
        <f t="shared" si="447"/>
        <v>16.08040021680209</v>
      </c>
      <c r="S7115" s="2">
        <f t="shared" si="446"/>
        <v>1.2266687179763005</v>
      </c>
      <c r="T7115" s="2">
        <f t="shared" si="448"/>
        <v>1.4311367703782105</v>
      </c>
      <c r="U7115" s="2">
        <f t="shared" si="449"/>
        <v>18.738205705156599</v>
      </c>
    </row>
    <row r="7116" spans="1:21" x14ac:dyDescent="0.25">
      <c r="A7116">
        <v>7805009</v>
      </c>
      <c r="B7116">
        <v>35</v>
      </c>
      <c r="C7116" s="1">
        <f>0.631520109037465*(10.3/7.3)</f>
        <v>0.8910489209706699</v>
      </c>
      <c r="D7116" s="1">
        <f>2.25520901081061*(10.3/7.3)</f>
        <v>3.1820072344314099</v>
      </c>
      <c r="E7116" s="1">
        <f>7.4581224376053*(10.3/7.3)</f>
        <v>10.523104261278709</v>
      </c>
      <c r="F7116" s="1">
        <f>29.1685476026292*(38.9/42.5)</f>
        <v>26.697800040994757</v>
      </c>
      <c r="G7116" s="1">
        <v>1.8311567752291742</v>
      </c>
      <c r="H7116" s="1">
        <v>9.7592005519147023</v>
      </c>
      <c r="I7116" s="1">
        <v>21.228344731044782</v>
      </c>
      <c r="J7116" s="1">
        <v>1.9693314809215778E-2</v>
      </c>
      <c r="K7116" s="1">
        <v>1.5831332006072163</v>
      </c>
      <c r="L7116" s="1">
        <v>2.7030762997353963</v>
      </c>
      <c r="M7116" s="1">
        <v>0.12611010938188799</v>
      </c>
      <c r="N7116" s="1">
        <v>0.83147863618094719</v>
      </c>
      <c r="O7116" s="1">
        <v>0.1113447619047619</v>
      </c>
      <c r="P7116" s="1">
        <v>6.9377849515136508E-2</v>
      </c>
      <c r="Q7116" s="1">
        <v>2.926506261781789</v>
      </c>
      <c r="R7116" s="2">
        <f t="shared" si="447"/>
        <v>77.039168777645983</v>
      </c>
      <c r="S7116" s="2">
        <f t="shared" si="446"/>
        <v>1.6722043649315685</v>
      </c>
      <c r="T7116" s="2">
        <f t="shared" si="448"/>
        <v>3.7720098072029935</v>
      </c>
      <c r="U7116" s="2">
        <f t="shared" si="449"/>
        <v>82.483382949780548</v>
      </c>
    </row>
    <row r="7117" spans="1:21" x14ac:dyDescent="0.25">
      <c r="A7117">
        <v>7805017</v>
      </c>
      <c r="B7117">
        <v>29</v>
      </c>
      <c r="C7117" s="1">
        <f>0.670476186984651*(10.3/7.3)</f>
        <v>0.94601434601943968</v>
      </c>
      <c r="D7117" s="1">
        <f>2.38914384518952*(10.3/7.3)</f>
        <v>3.3709837815687775</v>
      </c>
      <c r="E7117" s="1">
        <f>7.95407098905079*(10.3/7.3)</f>
        <v>11.222867285920971</v>
      </c>
      <c r="F7117" s="1">
        <f>28.3455700560614*(38.9/42.5)</f>
        <v>25.944533533665613</v>
      </c>
      <c r="G7117" s="1">
        <v>1.7201228961917407</v>
      </c>
      <c r="H7117" s="1">
        <v>7.4670165239141655</v>
      </c>
      <c r="I7117" s="1">
        <v>20.185935344646659</v>
      </c>
      <c r="J7117" s="1">
        <v>1.848983353076452E-2</v>
      </c>
      <c r="K7117" s="1">
        <v>1.500687076541072</v>
      </c>
      <c r="L7117" s="1">
        <v>1.5188010428909549</v>
      </c>
      <c r="M7117" s="1">
        <v>0.12114257348070617</v>
      </c>
      <c r="N7117" s="1">
        <v>0.76077974710295804</v>
      </c>
      <c r="O7117" s="1">
        <v>0.10641839080459772</v>
      </c>
      <c r="P7117" s="1">
        <v>6.6826891439813546E-2</v>
      </c>
      <c r="Q7117" s="1">
        <v>2.7490548569274424</v>
      </c>
      <c r="R7117" s="2">
        <f t="shared" si="447"/>
        <v>73.606528568854813</v>
      </c>
      <c r="S7117" s="2">
        <f t="shared" si="446"/>
        <v>1.5860038015116502</v>
      </c>
      <c r="T7117" s="2">
        <f t="shared" si="448"/>
        <v>2.5071417542792167</v>
      </c>
      <c r="U7117" s="2">
        <f t="shared" si="449"/>
        <v>77.699674124645682</v>
      </c>
    </row>
    <row r="7118" spans="1:21" x14ac:dyDescent="0.25">
      <c r="A7118">
        <v>7805025</v>
      </c>
      <c r="B7118">
        <v>37</v>
      </c>
      <c r="C7118" s="1">
        <f>0.895769038053356*(10.3/7.3)</f>
        <v>1.263893300267064</v>
      </c>
      <c r="D7118" s="1">
        <f>3.86955867590284*(10.3/7.3)</f>
        <v>5.4597882687396222</v>
      </c>
      <c r="E7118" s="1">
        <f>12.9180724489562*(10.3/7.3)</f>
        <v>18.226869345787566</v>
      </c>
      <c r="F7118" s="1">
        <f>42.2839160537954*(38.9/42.5)</f>
        <v>38.702219635120926</v>
      </c>
      <c r="G7118" s="1">
        <v>2.491852509134342</v>
      </c>
      <c r="H7118" s="1">
        <v>9.4687187262501933</v>
      </c>
      <c r="I7118" s="1">
        <v>29.003017705531427</v>
      </c>
      <c r="J7118" s="1">
        <v>2.3414686419426733E-2</v>
      </c>
      <c r="K7118" s="1">
        <v>1.78332525359043</v>
      </c>
      <c r="L7118" s="1">
        <v>1.8687601857321967</v>
      </c>
      <c r="M7118" s="1">
        <v>0.14232681378407941</v>
      </c>
      <c r="N7118" s="1">
        <v>0.92166631572891944</v>
      </c>
      <c r="O7118" s="1">
        <v>0.12664504504504509</v>
      </c>
      <c r="P7118" s="1">
        <v>7.678622399992896E-2</v>
      </c>
      <c r="Q7118" s="1">
        <v>3.9824126858311439</v>
      </c>
      <c r="R7118" s="2">
        <f t="shared" si="447"/>
        <v>108.59877217666229</v>
      </c>
      <c r="S7118" s="2">
        <f t="shared" si="446"/>
        <v>1.8835261640097856</v>
      </c>
      <c r="T7118" s="2">
        <f t="shared" si="448"/>
        <v>3.0593983602902406</v>
      </c>
      <c r="U7118" s="2">
        <f t="shared" si="449"/>
        <v>113.54169670096232</v>
      </c>
    </row>
    <row r="7119" spans="1:21" x14ac:dyDescent="0.25">
      <c r="A7119">
        <v>7805033</v>
      </c>
      <c r="B7119">
        <v>21</v>
      </c>
      <c r="C7119" s="1">
        <f>0.791310988655468*(10.3/7.3)</f>
        <v>1.1165072853631945</v>
      </c>
      <c r="D7119" s="1">
        <f>3.05129363380882*(10.3/7.3)</f>
        <v>4.3052499216754549</v>
      </c>
      <c r="E7119" s="1">
        <f>10.1688538534401*(10.3/7.3)</f>
        <v>14.347834889100373</v>
      </c>
      <c r="F7119" s="1">
        <f>35.0474675309011*(38.9/42.5)</f>
        <v>32.078740869460042</v>
      </c>
      <c r="G7119" s="1">
        <v>2.1036450512143143</v>
      </c>
      <c r="H7119" s="1">
        <v>8.0717237091097367</v>
      </c>
      <c r="I7119" s="1">
        <v>24.595826499608091</v>
      </c>
      <c r="J7119" s="1">
        <v>2.1719545631948427E-2</v>
      </c>
      <c r="K7119" s="1">
        <v>1.6200441041268225</v>
      </c>
      <c r="L7119" s="1">
        <v>1.6138285636355501</v>
      </c>
      <c r="M7119" s="1">
        <v>0.12768337990559578</v>
      </c>
      <c r="N7119" s="1">
        <v>0.83865623017331659</v>
      </c>
      <c r="O7119" s="1">
        <v>0.11402412698412698</v>
      </c>
      <c r="P7119" s="1">
        <v>7.0588358415671251E-2</v>
      </c>
      <c r="Q7119" s="1">
        <v>3.3619898078767614</v>
      </c>
      <c r="R7119" s="2">
        <f t="shared" si="447"/>
        <v>89.98151803340798</v>
      </c>
      <c r="S7119" s="2">
        <f t="shared" si="446"/>
        <v>1.7123520081744421</v>
      </c>
      <c r="T7119" s="2">
        <f t="shared" si="448"/>
        <v>2.6941923006985893</v>
      </c>
      <c r="U7119" s="2">
        <f t="shared" si="449"/>
        <v>94.388062342281017</v>
      </c>
    </row>
    <row r="7120" spans="1:21" x14ac:dyDescent="0.25">
      <c r="A7120">
        <v>7816845</v>
      </c>
      <c r="B7120">
        <v>33</v>
      </c>
      <c r="C7120" s="1">
        <f>0.332510897513897*(10.3/7.3)</f>
        <v>0.46915921156070378</v>
      </c>
      <c r="D7120" s="1">
        <f>0.615255976467665*(10.3/7.3)</f>
        <v>0.86810089830369197</v>
      </c>
      <c r="E7120" s="1">
        <f>2.10341651050826*(10.3/7.3)</f>
        <v>2.9678342545527454</v>
      </c>
      <c r="F7120" s="1">
        <f>6.23872397522556*(38.9/42.5)</f>
        <v>5.7102673561476269</v>
      </c>
      <c r="G7120" s="1">
        <v>0.33703291798614093</v>
      </c>
      <c r="H7120" s="1">
        <v>1.2753940601562099</v>
      </c>
      <c r="I7120" s="1">
        <v>4.5925260048798764</v>
      </c>
      <c r="J7120" s="1">
        <v>1.3239567214113535E-2</v>
      </c>
      <c r="K7120" s="1">
        <v>1.34514198837802</v>
      </c>
      <c r="L7120" s="1">
        <v>0.96078290513430609</v>
      </c>
      <c r="M7120" s="1">
        <v>0.11434222821724227</v>
      </c>
      <c r="N7120" s="1">
        <v>0.47373291832932624</v>
      </c>
      <c r="O7120" s="1">
        <v>0.12002101010101013</v>
      </c>
      <c r="P7120" s="1">
        <v>6.9303188620392281E-2</v>
      </c>
      <c r="Q7120" s="1">
        <v>0.53863708353949524</v>
      </c>
      <c r="R7120" s="2">
        <f t="shared" si="447"/>
        <v>16.758951787126492</v>
      </c>
      <c r="S7120" s="2">
        <f t="shared" si="446"/>
        <v>1.4276847442125258</v>
      </c>
      <c r="T7120" s="2">
        <f t="shared" si="448"/>
        <v>1.6688790617818847</v>
      </c>
      <c r="U7120" s="2">
        <f t="shared" si="449"/>
        <v>19.855515593120902</v>
      </c>
    </row>
    <row r="7121" spans="1:21" x14ac:dyDescent="0.25">
      <c r="A7121">
        <v>7816853</v>
      </c>
      <c r="B7121">
        <v>58</v>
      </c>
      <c r="C7121" s="1">
        <f>0.49814699626851*(10.3/7.3)</f>
        <v>0.70286493994050103</v>
      </c>
      <c r="D7121" s="1">
        <f>0.864622834037821*(10.3/7.3)</f>
        <v>1.2199472863821315</v>
      </c>
      <c r="E7121" s="1">
        <f>2.95751767904234*(10.3/7.3)</f>
        <v>4.1729359033063131</v>
      </c>
      <c r="F7121" s="1">
        <f>9.00164025580801*(38.9/42.5)</f>
        <v>8.2391483753160415</v>
      </c>
      <c r="G7121" s="1">
        <v>0.49092985265353628</v>
      </c>
      <c r="H7121" s="1">
        <v>2.0992086739245921</v>
      </c>
      <c r="I7121" s="1">
        <v>6.7333213686691424</v>
      </c>
      <c r="J7121" s="1">
        <v>1.5994829721520117E-2</v>
      </c>
      <c r="K7121" s="1">
        <v>1.4451441842647204</v>
      </c>
      <c r="L7121" s="1">
        <v>1.0556942387194652</v>
      </c>
      <c r="M7121" s="1">
        <v>0.12404661455163278</v>
      </c>
      <c r="N7121" s="1">
        <v>0.52039259070251942</v>
      </c>
      <c r="O7121" s="1">
        <v>0.13219126436781609</v>
      </c>
      <c r="P7121" s="1">
        <v>7.2613277495493594E-2</v>
      </c>
      <c r="Q7121" s="1">
        <v>0.78459108871569816</v>
      </c>
      <c r="R7121" s="2">
        <f t="shared" si="447"/>
        <v>24.442947488907954</v>
      </c>
      <c r="S7121" s="2">
        <f t="shared" si="446"/>
        <v>1.5337522914817341</v>
      </c>
      <c r="T7121" s="2">
        <f t="shared" si="448"/>
        <v>1.8323247083414336</v>
      </c>
      <c r="U7121" s="2">
        <f t="shared" si="449"/>
        <v>27.809024488731122</v>
      </c>
    </row>
    <row r="7122" spans="1:21" x14ac:dyDescent="0.25">
      <c r="A7122">
        <v>7816885</v>
      </c>
      <c r="B7122">
        <v>2</v>
      </c>
      <c r="C7122" s="1">
        <f>0.327495438110856*(10.3/7.3)</f>
        <v>0.46208260445778288</v>
      </c>
      <c r="D7122" s="1">
        <f>0.854294185031854*(10.3/7.3)</f>
        <v>1.2053739870997398</v>
      </c>
      <c r="E7122" s="1">
        <f>2.89665810604856*(10.3/7.3)</f>
        <v>4.087065546890436</v>
      </c>
      <c r="F7122" s="1">
        <f>8.47416421601313*(38.9/42.5)</f>
        <v>7.7563526588920135</v>
      </c>
      <c r="G7122" s="1">
        <v>0.46415791495061226</v>
      </c>
      <c r="H7122" s="1">
        <v>3.6998652781771879</v>
      </c>
      <c r="I7122" s="1">
        <v>5.9114451860827151</v>
      </c>
      <c r="J7122" s="1">
        <v>1.2593828751424122E-2</v>
      </c>
      <c r="K7122" s="1">
        <v>1.2784906659281439</v>
      </c>
      <c r="L7122" s="1">
        <v>0.90289178184098717</v>
      </c>
      <c r="M7122" s="1">
        <v>0.1134407201446852</v>
      </c>
      <c r="N7122" s="1">
        <v>0.46407784707517885</v>
      </c>
      <c r="O7122" s="1">
        <v>0.11370666666666666</v>
      </c>
      <c r="P7122" s="1">
        <v>6.2816327708561423E-2</v>
      </c>
      <c r="Q7122" s="1">
        <v>0.7418048869073719</v>
      </c>
      <c r="R7122" s="2">
        <f t="shared" si="447"/>
        <v>24.32814806345786</v>
      </c>
      <c r="S7122" s="2">
        <f t="shared" si="446"/>
        <v>1.3539008223881295</v>
      </c>
      <c r="T7122" s="2">
        <f t="shared" si="448"/>
        <v>1.594117015727518</v>
      </c>
      <c r="U7122" s="2">
        <f t="shared" si="449"/>
        <v>27.27616590157351</v>
      </c>
    </row>
    <row r="7123" spans="1:21" x14ac:dyDescent="0.25">
      <c r="A7123">
        <v>7817245</v>
      </c>
      <c r="B7123">
        <v>28</v>
      </c>
      <c r="C7123" s="1">
        <f>0.649685060367333*(10.3/7.3)</f>
        <v>0.91667892079226498</v>
      </c>
      <c r="D7123" s="1">
        <f>2.28326198926131*(10.3/7.3)</f>
        <v>3.2215888341632128</v>
      </c>
      <c r="E7123" s="1">
        <f>7.57765543890743*(10.3/7.3)</f>
        <v>10.6917604138009</v>
      </c>
      <c r="F7123" s="1">
        <f>28.3380100262226*(38.9/42.5)</f>
        <v>25.937613882824905</v>
      </c>
      <c r="G7123" s="1">
        <v>1.7504020042458408</v>
      </c>
      <c r="H7123" s="1">
        <v>7.8914527602736486</v>
      </c>
      <c r="I7123" s="1">
        <v>20.437981817017281</v>
      </c>
      <c r="J7123" s="1">
        <v>1.8692524894477553E-2</v>
      </c>
      <c r="K7123" s="1">
        <v>1.5180716205204774</v>
      </c>
      <c r="L7123" s="1">
        <v>1.8105774858367962</v>
      </c>
      <c r="M7123" s="1">
        <v>0.12196174356128311</v>
      </c>
      <c r="N7123" s="1">
        <v>0.77708795079485782</v>
      </c>
      <c r="O7123" s="1">
        <v>0.10729333333333335</v>
      </c>
      <c r="P7123" s="1">
        <v>6.7307846046571307E-2</v>
      </c>
      <c r="Q7123" s="1">
        <v>2.797446125507054</v>
      </c>
      <c r="R7123" s="2">
        <f t="shared" si="447"/>
        <v>73.644924758625109</v>
      </c>
      <c r="S7123" s="2">
        <f t="shared" si="446"/>
        <v>1.6040719914615262</v>
      </c>
      <c r="T7123" s="2">
        <f t="shared" si="448"/>
        <v>2.8169205135262705</v>
      </c>
      <c r="U7123" s="2">
        <f t="shared" si="449"/>
        <v>78.065917263612903</v>
      </c>
    </row>
    <row r="7124" spans="1:21" x14ac:dyDescent="0.25">
      <c r="A7124">
        <v>7817253</v>
      </c>
      <c r="B7124">
        <v>16</v>
      </c>
      <c r="C7124" s="1">
        <f>0.819809004507815*(10.3/7.3)</f>
        <v>1.1567168145795197</v>
      </c>
      <c r="D7124" s="1">
        <f>3.13725092210486*(10.3/7.3)</f>
        <v>4.4265321229698724</v>
      </c>
      <c r="E7124" s="1">
        <f>10.4364419895929*(10.3/7.3)</f>
        <v>14.725390752439303</v>
      </c>
      <c r="F7124" s="1">
        <f>37.0122117267902*(38.9/42.5)</f>
        <v>33.877059674638573</v>
      </c>
      <c r="G7124" s="1">
        <v>2.2463537094047057</v>
      </c>
      <c r="H7124" s="1">
        <v>9.2987898282391388</v>
      </c>
      <c r="I7124" s="1">
        <v>26.184573623121757</v>
      </c>
      <c r="J7124" s="1">
        <v>2.1334298090824311E-2</v>
      </c>
      <c r="K7124" s="1">
        <v>1.6798363740523634</v>
      </c>
      <c r="L7124" s="1">
        <v>1.7694614650363913</v>
      </c>
      <c r="M7124" s="1">
        <v>0.13470243069918625</v>
      </c>
      <c r="N7124" s="1">
        <v>0.85483051440774982</v>
      </c>
      <c r="O7124" s="1">
        <v>0.11972333333333335</v>
      </c>
      <c r="P7124" s="1">
        <v>7.3023815504975706E-2</v>
      </c>
      <c r="Q7124" s="1">
        <v>3.5900630058979348</v>
      </c>
      <c r="R7124" s="2">
        <f t="shared" si="447"/>
        <v>95.505479531290817</v>
      </c>
      <c r="S7124" s="2">
        <f t="shared" si="446"/>
        <v>1.7741944876481632</v>
      </c>
      <c r="T7124" s="2">
        <f t="shared" si="448"/>
        <v>2.8787177434766607</v>
      </c>
      <c r="U7124" s="2">
        <f t="shared" si="449"/>
        <v>100.15839176241563</v>
      </c>
    </row>
    <row r="7125" spans="1:21" x14ac:dyDescent="0.25">
      <c r="A7125">
        <v>7817261</v>
      </c>
      <c r="B7125">
        <v>4</v>
      </c>
      <c r="C7125" s="1">
        <f>1.09241485299915*(10.3/7.3)</f>
        <v>1.5413524638207163</v>
      </c>
      <c r="D7125" s="1">
        <f>4.61622318545089*(10.3/7.3)</f>
        <v>6.513301206869059</v>
      </c>
      <c r="E7125" s="1">
        <f>15.3543844250435*(10.3/7.3)</f>
        <v>21.664405421636687</v>
      </c>
      <c r="F7125" s="1">
        <f>53.4134236520902*(38.9/42.5)</f>
        <v>48.888992472148459</v>
      </c>
      <c r="G7125" s="1">
        <v>3.2258224024480255</v>
      </c>
      <c r="H7125" s="1">
        <v>11.687099976483708</v>
      </c>
      <c r="I7125" s="1">
        <v>37.33284457347569</v>
      </c>
      <c r="J7125" s="1">
        <v>2.6210269608337871E-2</v>
      </c>
      <c r="K7125" s="1">
        <v>1.8412897062240545</v>
      </c>
      <c r="L7125" s="1">
        <v>1.9960685777823568</v>
      </c>
      <c r="M7125" s="1">
        <v>0.14717390201248848</v>
      </c>
      <c r="N7125" s="1">
        <v>0.9617537461952127</v>
      </c>
      <c r="O7125" s="1">
        <v>0.13246666666666668</v>
      </c>
      <c r="P7125" s="1">
        <v>7.8410729089146786E-2</v>
      </c>
      <c r="Q7125" s="1">
        <v>5.1554239308530141</v>
      </c>
      <c r="R7125" s="2">
        <f t="shared" si="447"/>
        <v>136.00924244773535</v>
      </c>
      <c r="S7125" s="2">
        <f t="shared" si="446"/>
        <v>1.9459107049215392</v>
      </c>
      <c r="T7125" s="2">
        <f t="shared" si="448"/>
        <v>3.2374628926567248</v>
      </c>
      <c r="U7125" s="2">
        <f t="shared" si="449"/>
        <v>141.19261604531363</v>
      </c>
    </row>
    <row r="7126" spans="1:21" x14ac:dyDescent="0.25">
      <c r="A7126">
        <v>7817269</v>
      </c>
      <c r="B7126">
        <v>13</v>
      </c>
      <c r="C7126" s="1">
        <f>0.754517871165521*(10.3/7.3)</f>
        <v>1.0645937086308039</v>
      </c>
      <c r="D7126" s="1">
        <f>2.95608780631877*(10.3/7.3)</f>
        <v>4.1709184116552454</v>
      </c>
      <c r="E7126" s="1">
        <f>9.83230288648813*(10.3/7.3)</f>
        <v>13.872975305592838</v>
      </c>
      <c r="F7126" s="1">
        <f>34.7659245023549*(38.9/42.5)</f>
        <v>31.821046191567202</v>
      </c>
      <c r="G7126" s="1">
        <v>2.1089233334787947</v>
      </c>
      <c r="H7126" s="1">
        <v>7.7703410989949884</v>
      </c>
      <c r="I7126" s="1">
        <v>24.534656238005798</v>
      </c>
      <c r="J7126" s="1">
        <v>2.3165934112678196E-2</v>
      </c>
      <c r="K7126" s="1">
        <v>1.6594863495927112</v>
      </c>
      <c r="L7126" s="1">
        <v>1.5807508295264763</v>
      </c>
      <c r="M7126" s="1">
        <v>0.1287764612473741</v>
      </c>
      <c r="N7126" s="1">
        <v>0.90250862069818105</v>
      </c>
      <c r="O7126" s="1">
        <v>0.1145148717948718</v>
      </c>
      <c r="P7126" s="1">
        <v>7.1128420434610595E-2</v>
      </c>
      <c r="Q7126" s="1">
        <v>3.3704254188017297</v>
      </c>
      <c r="R7126" s="2">
        <f t="shared" si="447"/>
        <v>88.713879706727397</v>
      </c>
      <c r="S7126" s="2">
        <f t="shared" si="446"/>
        <v>1.75378070414</v>
      </c>
      <c r="T7126" s="2">
        <f t="shared" si="448"/>
        <v>2.7265507832669029</v>
      </c>
      <c r="U7126" s="2">
        <f t="shared" si="449"/>
        <v>93.194211194134297</v>
      </c>
    </row>
    <row r="7127" spans="1:21" x14ac:dyDescent="0.25">
      <c r="A7127">
        <v>7829081</v>
      </c>
      <c r="B7127">
        <v>55</v>
      </c>
      <c r="C7127" s="1">
        <f>0.353406492641551*(10.3/7.3)</f>
        <v>0.49864203756273706</v>
      </c>
      <c r="D7127" s="1">
        <f>0.637848072797937*(10.3/7.3)</f>
        <v>0.89997741778339124</v>
      </c>
      <c r="E7127" s="1">
        <f>2.18289656186131*(10.3/7.3)</f>
        <v>3.0799773407084219</v>
      </c>
      <c r="F7127" s="1">
        <f>6.44649557751403*(38.9/42.5)</f>
        <v>5.9004394815363712</v>
      </c>
      <c r="G7127" s="1">
        <v>0.34677549371452676</v>
      </c>
      <c r="H7127" s="1">
        <v>1.3197909980694498</v>
      </c>
      <c r="I7127" s="1">
        <v>4.76103825827236</v>
      </c>
      <c r="J7127" s="1">
        <v>1.3040522383320379E-2</v>
      </c>
      <c r="K7127" s="1">
        <v>1.3270445916043674</v>
      </c>
      <c r="L7127" s="1">
        <v>0.94637186698819875</v>
      </c>
      <c r="M7127" s="1">
        <v>0.11295683024174806</v>
      </c>
      <c r="N7127" s="1">
        <v>0.46754721581164044</v>
      </c>
      <c r="O7127" s="1">
        <v>0.11868218181818185</v>
      </c>
      <c r="P7127" s="1">
        <v>6.8261996445511036E-2</v>
      </c>
      <c r="Q7127" s="1">
        <v>0.55420741004604812</v>
      </c>
      <c r="R7127" s="2">
        <f t="shared" si="447"/>
        <v>17.360848437693303</v>
      </c>
      <c r="S7127" s="2">
        <f t="shared" si="446"/>
        <v>1.4083471104331988</v>
      </c>
      <c r="T7127" s="2">
        <f t="shared" si="448"/>
        <v>1.645558094859769</v>
      </c>
      <c r="U7127" s="2">
        <f t="shared" si="449"/>
        <v>20.41475364298627</v>
      </c>
    </row>
    <row r="7128" spans="1:21" x14ac:dyDescent="0.25">
      <c r="A7128">
        <v>7829089</v>
      </c>
      <c r="B7128">
        <v>44</v>
      </c>
      <c r="C7128" s="1">
        <f>0.434636839338748*(10.3/7.3)</f>
        <v>0.613254718519055</v>
      </c>
      <c r="D7128" s="1">
        <f>0.678388246934507*(10.3/7.3)</f>
        <v>0.95717793745553736</v>
      </c>
      <c r="E7128" s="1">
        <f>2.33721231789154*(10.3/7.3)</f>
        <v>3.2977105307236747</v>
      </c>
      <c r="F7128" s="1">
        <f>6.69262656969468*(38.9/42.5)</f>
        <v>6.1257217308499561</v>
      </c>
      <c r="G7128" s="1">
        <v>0.34933281986385128</v>
      </c>
      <c r="H7128" s="1">
        <v>2.0250173627167776</v>
      </c>
      <c r="I7128" s="1">
        <v>5.045297750773269</v>
      </c>
      <c r="J7128" s="1">
        <v>1.3315944881743463E-2</v>
      </c>
      <c r="K7128" s="1">
        <v>1.248076092649997</v>
      </c>
      <c r="L7128" s="1">
        <v>0.87165358330330811</v>
      </c>
      <c r="M7128" s="1">
        <v>0.10713336659952746</v>
      </c>
      <c r="N7128" s="1">
        <v>0.45122083469403335</v>
      </c>
      <c r="O7128" s="1">
        <v>0.11142424242424244</v>
      </c>
      <c r="P7128" s="1">
        <v>6.3584750156107483E-2</v>
      </c>
      <c r="Q7128" s="1">
        <v>0.55829446096962587</v>
      </c>
      <c r="R7128" s="2">
        <f t="shared" si="447"/>
        <v>18.97180731187175</v>
      </c>
      <c r="S7128" s="2">
        <f t="shared" si="446"/>
        <v>1.324976787687848</v>
      </c>
      <c r="T7128" s="2">
        <f t="shared" si="448"/>
        <v>1.5414320270211113</v>
      </c>
      <c r="U7128" s="2">
        <f t="shared" si="449"/>
        <v>21.838216126580711</v>
      </c>
    </row>
    <row r="7129" spans="1:21" x14ac:dyDescent="0.25">
      <c r="A7129">
        <v>7829121</v>
      </c>
      <c r="B7129">
        <v>45</v>
      </c>
      <c r="C7129" s="1">
        <f>0.26363554254674*(10.3/7.3)</f>
        <v>0.37197891619608558</v>
      </c>
      <c r="D7129" s="1">
        <f>0.609297424559967*(10.3/7.3)</f>
        <v>0.85969362643392666</v>
      </c>
      <c r="E7129" s="1">
        <f>2.07263738467326*(10.3/7.3)</f>
        <v>2.924406172895146</v>
      </c>
      <c r="F7129" s="1">
        <f>6.02211353920816*(38.9/42.5)</f>
        <v>5.5120050982399382</v>
      </c>
      <c r="G7129" s="1">
        <v>0.32639836364788705</v>
      </c>
      <c r="H7129" s="1">
        <v>1.9794720584825591</v>
      </c>
      <c r="I7129" s="1">
        <v>4.2626068511537776</v>
      </c>
      <c r="J7129" s="1">
        <v>1.1080042237682261E-2</v>
      </c>
      <c r="K7129" s="1">
        <v>1.1466280334260732</v>
      </c>
      <c r="L7129" s="1">
        <v>0.79657503102499905</v>
      </c>
      <c r="M7129" s="1">
        <v>0.10254471580984953</v>
      </c>
      <c r="N7129" s="1">
        <v>0.40942307682552881</v>
      </c>
      <c r="O7129" s="1">
        <v>0.10155259259259262</v>
      </c>
      <c r="P7129" s="1">
        <v>5.6902571792904838E-2</v>
      </c>
      <c r="Q7129" s="1">
        <v>0.52164122044182903</v>
      </c>
      <c r="R7129" s="2">
        <f t="shared" si="447"/>
        <v>16.75820230749115</v>
      </c>
      <c r="S7129" s="2">
        <f t="shared" si="446"/>
        <v>1.2146106474566603</v>
      </c>
      <c r="T7129" s="2">
        <f t="shared" si="448"/>
        <v>1.41009541625297</v>
      </c>
      <c r="U7129" s="2">
        <f t="shared" si="449"/>
        <v>19.382908371200777</v>
      </c>
    </row>
    <row r="7130" spans="1:21" x14ac:dyDescent="0.25">
      <c r="A7130">
        <v>7829473</v>
      </c>
      <c r="B7130">
        <v>9</v>
      </c>
      <c r="C7130" s="1">
        <f>0.632929935591563*(10.3/7.3)</f>
        <v>0.89303812830042384</v>
      </c>
      <c r="D7130" s="1">
        <f>2.26658133267988*(10.3/7.3)</f>
        <v>3.1980531132332612</v>
      </c>
      <c r="E7130" s="1">
        <f>7.50030550475399*(10.3/7.3)</f>
        <v>10.58262283547481</v>
      </c>
      <c r="F7130" s="1">
        <f>29.0760611503397*(38.9/42.5)</f>
        <v>26.613147735252092</v>
      </c>
      <c r="G7130" s="1">
        <v>1.8199606332860858</v>
      </c>
      <c r="H7130" s="1">
        <v>8.6638292656979505</v>
      </c>
      <c r="I7130" s="1">
        <v>21.115252783121903</v>
      </c>
      <c r="J7130" s="1">
        <v>1.9234914098555007E-2</v>
      </c>
      <c r="K7130" s="1">
        <v>1.5434222564527362</v>
      </c>
      <c r="L7130" s="1">
        <v>3.0476578102127796</v>
      </c>
      <c r="M7130" s="1">
        <v>0.12175429757801003</v>
      </c>
      <c r="N7130" s="1">
        <v>0.80715638539652246</v>
      </c>
      <c r="O7130" s="1">
        <v>0.10849185185185185</v>
      </c>
      <c r="P7130" s="1">
        <v>6.7993953064968943E-2</v>
      </c>
      <c r="Q7130" s="1">
        <v>2.9086128842471721</v>
      </c>
      <c r="R7130" s="2">
        <f t="shared" si="447"/>
        <v>75.794517378613691</v>
      </c>
      <c r="S7130" s="2">
        <f t="shared" si="446"/>
        <v>1.6306511236162602</v>
      </c>
      <c r="T7130" s="2">
        <f t="shared" si="448"/>
        <v>4.0850603450391638</v>
      </c>
      <c r="U7130" s="2">
        <f t="shared" si="449"/>
        <v>81.510228847269119</v>
      </c>
    </row>
    <row r="7131" spans="1:21" x14ac:dyDescent="0.25">
      <c r="A7131">
        <v>7829481</v>
      </c>
      <c r="B7131">
        <v>28</v>
      </c>
      <c r="C7131" s="1">
        <f>0.793354604949692*(10.3/7.3)</f>
        <v>1.1193907439701134</v>
      </c>
      <c r="D7131" s="1">
        <f>2.98637636625208*(10.3/7.3)</f>
        <v>4.2136543249858089</v>
      </c>
      <c r="E7131" s="1">
        <f>9.91305530606015*(10.3/7.3)</f>
        <v>13.986913651016383</v>
      </c>
      <c r="F7131" s="1">
        <f>36.404172538082*(38.9/42.5)</f>
        <v>33.32052498191505</v>
      </c>
      <c r="G7131" s="1">
        <v>2.2378659131757939</v>
      </c>
      <c r="H7131" s="1">
        <v>9.4711829206154441</v>
      </c>
      <c r="I7131" s="1">
        <v>26.011621483416683</v>
      </c>
      <c r="J7131" s="1">
        <v>2.1089935017305932E-2</v>
      </c>
      <c r="K7131" s="1">
        <v>1.6764179771135332</v>
      </c>
      <c r="L7131" s="1">
        <v>1.8924155231351514</v>
      </c>
      <c r="M7131" s="1">
        <v>0.13389556469874675</v>
      </c>
      <c r="N7131" s="1">
        <v>0.85783509718065243</v>
      </c>
      <c r="O7131" s="1">
        <v>0.11935619047619049</v>
      </c>
      <c r="P7131" s="1">
        <v>7.298356081622491E-2</v>
      </c>
      <c r="Q7131" s="1">
        <v>3.5764980347558391</v>
      </c>
      <c r="R7131" s="2">
        <f t="shared" si="447"/>
        <v>93.93765205385111</v>
      </c>
      <c r="S7131" s="2">
        <f t="shared" si="446"/>
        <v>1.770491472947064</v>
      </c>
      <c r="T7131" s="2">
        <f t="shared" si="448"/>
        <v>3.0035023754907413</v>
      </c>
      <c r="U7131" s="2">
        <f t="shared" si="449"/>
        <v>98.711645902288907</v>
      </c>
    </row>
    <row r="7132" spans="1:21" x14ac:dyDescent="0.25">
      <c r="A7132">
        <v>7829489</v>
      </c>
      <c r="B7132">
        <v>44</v>
      </c>
      <c r="C7132" s="1">
        <f>0.756383297302441*(10.3/7.3)</f>
        <v>1.0672257482486494</v>
      </c>
      <c r="D7132" s="1">
        <f>2.90192572352665*(10.3/7.3)</f>
        <v>4.094497938674591</v>
      </c>
      <c r="E7132" s="1">
        <f>9.66531751355535*(10.3/7.3)</f>
        <v>13.637365806797275</v>
      </c>
      <c r="F7132" s="1">
        <f>33.6487271551583*(38.9/42.5)</f>
        <v>30.798482031427227</v>
      </c>
      <c r="G7132" s="1">
        <v>2.0275573779262048</v>
      </c>
      <c r="H7132" s="1">
        <v>8.6415541145760084</v>
      </c>
      <c r="I7132" s="1">
        <v>23.686224978317316</v>
      </c>
      <c r="J7132" s="1">
        <v>2.3414191205229019E-2</v>
      </c>
      <c r="K7132" s="1">
        <v>1.6906871499240557</v>
      </c>
      <c r="L7132" s="1">
        <v>1.8543515600679541</v>
      </c>
      <c r="M7132" s="1">
        <v>0.13316393451051214</v>
      </c>
      <c r="N7132" s="1">
        <v>0.88886137198334092</v>
      </c>
      <c r="O7132" s="1">
        <v>0.11740848484848483</v>
      </c>
      <c r="P7132" s="1">
        <v>7.2648020739787059E-2</v>
      </c>
      <c r="Q7132" s="1">
        <v>3.2403885035350339</v>
      </c>
      <c r="R7132" s="2">
        <f t="shared" si="447"/>
        <v>87.19329649950231</v>
      </c>
      <c r="S7132" s="2">
        <f t="shared" si="446"/>
        <v>1.7867493618690717</v>
      </c>
      <c r="T7132" s="2">
        <f t="shared" si="448"/>
        <v>2.9937853514102919</v>
      </c>
      <c r="U7132" s="2">
        <f t="shared" si="449"/>
        <v>91.973831212781676</v>
      </c>
    </row>
    <row r="7133" spans="1:21" x14ac:dyDescent="0.25">
      <c r="A7133">
        <v>7829497</v>
      </c>
      <c r="B7133">
        <v>4</v>
      </c>
      <c r="C7133" s="1">
        <f>0.919357062960636*(10.3/7.3)</f>
        <v>1.2971750340403496</v>
      </c>
      <c r="D7133" s="1">
        <f>3.87269088624501*(10.3/7.3)</f>
        <v>5.4642076888114479</v>
      </c>
      <c r="E7133" s="1">
        <f>12.8816701329467*(10.3/7.3)</f>
        <v>18.175507173883645</v>
      </c>
      <c r="F7133" s="1">
        <f>44.819569075518*(38.9/42.5)</f>
        <v>41.023087930297663</v>
      </c>
      <c r="G7133" s="1">
        <v>2.7067831251540846</v>
      </c>
      <c r="H7133" s="1">
        <v>10.974973743814441</v>
      </c>
      <c r="I7133" s="1">
        <v>31.334536314069904</v>
      </c>
      <c r="J7133" s="1">
        <v>2.5160076678426326E-2</v>
      </c>
      <c r="K7133" s="1">
        <v>1.7265712403144091</v>
      </c>
      <c r="L7133" s="1">
        <v>1.7207087905468967</v>
      </c>
      <c r="M7133" s="1">
        <v>0.13512303145186161</v>
      </c>
      <c r="N7133" s="1">
        <v>0.99103542380432319</v>
      </c>
      <c r="O7133" s="1">
        <v>0.12171999999999999</v>
      </c>
      <c r="P7133" s="1">
        <v>7.3456212230684076E-2</v>
      </c>
      <c r="Q7133" s="1">
        <v>4.325909104127537</v>
      </c>
      <c r="R7133" s="2">
        <f t="shared" si="447"/>
        <v>115.30218011419907</v>
      </c>
      <c r="S7133" s="2">
        <f t="shared" si="446"/>
        <v>1.8251875292235196</v>
      </c>
      <c r="T7133" s="2">
        <f t="shared" si="448"/>
        <v>2.9685872458030813</v>
      </c>
      <c r="U7133" s="2">
        <f t="shared" si="449"/>
        <v>120.09595488922567</v>
      </c>
    </row>
    <row r="7134" spans="1:21" x14ac:dyDescent="0.25">
      <c r="A7134">
        <v>7829737</v>
      </c>
      <c r="B7134">
        <v>2</v>
      </c>
      <c r="C7134" s="1">
        <f>1.03635528119726*(10.3/7.3)</f>
        <v>1.4622547118262705</v>
      </c>
      <c r="D7134" s="1">
        <f>2.58416605720135*(10.3/7.3)</f>
        <v>3.6461521081060098</v>
      </c>
      <c r="E7134" s="1">
        <f>8.75016634918903*(10.3/7.3)</f>
        <v>12.346125122828353</v>
      </c>
      <c r="F7134" s="1">
        <f>26.67400884339*(38.9/42.5)</f>
        <v>24.414563388420472</v>
      </c>
      <c r="G7134" s="1">
        <v>1.4892537816723297</v>
      </c>
      <c r="H7134" s="1">
        <v>7.9979837735166228</v>
      </c>
      <c r="I7134" s="1">
        <v>18.921229140300778</v>
      </c>
      <c r="J7134" s="1">
        <v>2.6116919125679067E-2</v>
      </c>
      <c r="K7134" s="1">
        <v>1.6551120568642017</v>
      </c>
      <c r="L7134" s="1">
        <v>1.3177781611898647</v>
      </c>
      <c r="M7134" s="1">
        <v>0.20910190752845248</v>
      </c>
      <c r="N7134" s="1">
        <v>1.465060701485587</v>
      </c>
      <c r="O7134" s="1">
        <v>9.1066666666666657E-2</v>
      </c>
      <c r="P7134" s="1">
        <v>5.9914002376392501E-2</v>
      </c>
      <c r="Q7134" s="1">
        <v>2.3800859524443649</v>
      </c>
      <c r="R7134" s="2">
        <f t="shared" si="447"/>
        <v>72.657647979115197</v>
      </c>
      <c r="S7134" s="2">
        <f t="shared" si="446"/>
        <v>1.7411429783662733</v>
      </c>
      <c r="T7134" s="2">
        <f t="shared" si="448"/>
        <v>3.0830074368705707</v>
      </c>
      <c r="U7134" s="2">
        <f t="shared" si="449"/>
        <v>77.48179839435204</v>
      </c>
    </row>
    <row r="7135" spans="1:21" x14ac:dyDescent="0.25">
      <c r="A7135">
        <v>783793</v>
      </c>
      <c r="B7135">
        <v>9</v>
      </c>
      <c r="C7135" s="1">
        <f>1.80377508353912*(10.3/7.3)</f>
        <v>2.5450525151305392</v>
      </c>
      <c r="D7135" s="1">
        <f>2.50535315018868*(10.3/7.3)</f>
        <v>3.5349503351977303</v>
      </c>
      <c r="E7135" s="1">
        <f>8.8218615961407*(10.3/7.3)</f>
        <v>12.447284169897147</v>
      </c>
      <c r="F7135" s="1">
        <f>17.4904473637749*(38.9/42.5)</f>
        <v>16.008903587078699</v>
      </c>
      <c r="G7135" s="1">
        <v>0.65064844414289735</v>
      </c>
      <c r="H7135" s="1">
        <v>2.6098978549194869</v>
      </c>
      <c r="I7135" s="1">
        <v>12.547718741820661</v>
      </c>
      <c r="J7135" s="1">
        <v>4.2971395916434563E-2</v>
      </c>
      <c r="K7135" s="1">
        <v>6.3209113301999684</v>
      </c>
      <c r="L7135" s="1">
        <v>3.0013841195302131</v>
      </c>
      <c r="M7135" s="1">
        <v>0.29690243147107048</v>
      </c>
      <c r="N7135" s="1">
        <v>1.4141182999052822</v>
      </c>
      <c r="O7135" s="1">
        <v>8.3970370370370376E-2</v>
      </c>
      <c r="P7135" s="1">
        <v>7.0009962840004838E-2</v>
      </c>
      <c r="Q7135" s="1">
        <v>1.0398491116439008</v>
      </c>
      <c r="R7135" s="2">
        <f t="shared" si="447"/>
        <v>51.38430475983106</v>
      </c>
      <c r="S7135" s="2">
        <f t="shared" si="446"/>
        <v>6.4338926889564076</v>
      </c>
      <c r="T7135" s="2">
        <f t="shared" si="448"/>
        <v>4.7963752212769366</v>
      </c>
      <c r="U7135" s="2">
        <f t="shared" si="449"/>
        <v>62.614572670064405</v>
      </c>
    </row>
    <row r="7136" spans="1:21" x14ac:dyDescent="0.25">
      <c r="A7136">
        <v>783801</v>
      </c>
      <c r="B7136">
        <v>3</v>
      </c>
      <c r="C7136" s="1">
        <f>1.53448556752215*(10.3/7.3)</f>
        <v>2.1650960747230381</v>
      </c>
      <c r="D7136" s="1">
        <f>2.50960952797469*(10.3/7.3)</f>
        <v>3.5409559093341576</v>
      </c>
      <c r="E7136" s="1">
        <f>8.82189917639851*(10.3/7.3)</f>
        <v>12.447337194096528</v>
      </c>
      <c r="F7136" s="1">
        <f>15.5040690775952*(38.9/42.5)</f>
        <v>14.190783226316565</v>
      </c>
      <c r="G7136" s="1">
        <v>0.50357092329362152</v>
      </c>
      <c r="H7136" s="1">
        <v>4.0499380244728584</v>
      </c>
      <c r="I7136" s="1">
        <v>10.150064091665289</v>
      </c>
      <c r="J7136" s="1">
        <v>3.3710839449847541E-2</v>
      </c>
      <c r="K7136" s="1">
        <v>5.306059310018977</v>
      </c>
      <c r="L7136" s="1">
        <v>2.0636235158018206</v>
      </c>
      <c r="M7136" s="1">
        <v>0.43933066875168231</v>
      </c>
      <c r="N7136" s="1">
        <v>1.2519355539725077</v>
      </c>
      <c r="O7136" s="1">
        <v>7.390222222222223E-2</v>
      </c>
      <c r="P7136" s="1">
        <v>6.3283727530033543E-2</v>
      </c>
      <c r="Q7136" s="1">
        <v>0.80479371302633673</v>
      </c>
      <c r="R7136" s="2">
        <f t="shared" si="447"/>
        <v>47.852539156928394</v>
      </c>
      <c r="S7136" s="2">
        <f t="shared" si="446"/>
        <v>5.4030538769988583</v>
      </c>
      <c r="T7136" s="2">
        <f t="shared" si="448"/>
        <v>3.8287919607482328</v>
      </c>
      <c r="U7136" s="2">
        <f t="shared" si="449"/>
        <v>57.084384994675489</v>
      </c>
    </row>
    <row r="7137" spans="1:21" x14ac:dyDescent="0.25">
      <c r="A7137">
        <v>783841</v>
      </c>
      <c r="B7137">
        <v>1</v>
      </c>
      <c r="C7137" s="1">
        <f>1.39441961547717*(10.3/7.3)</f>
        <v>1.9674687725225877</v>
      </c>
      <c r="D7137" s="1">
        <f>1.8768431180843*(10.3/7.3)</f>
        <v>2.6481485090778483</v>
      </c>
      <c r="E7137" s="1">
        <f>6.56174434417729*(10.3/7.3)</f>
        <v>9.2583516089076863</v>
      </c>
      <c r="F7137" s="1">
        <f>15.8153422457937*(38.9/42.5)</f>
        <v>14.475689726150019</v>
      </c>
      <c r="G7137" s="1">
        <v>0.71662291122402677</v>
      </c>
      <c r="H7137" s="1">
        <v>4.3063482560471691</v>
      </c>
      <c r="I7137" s="1">
        <v>11.943260621283237</v>
      </c>
      <c r="J7137" s="1">
        <v>3.2893315525956798E-2</v>
      </c>
      <c r="K7137" s="1">
        <v>4.3422493560582618</v>
      </c>
      <c r="L7137" s="1">
        <v>1.4320052510292052</v>
      </c>
      <c r="M7137" s="1">
        <v>0.12037665409832764</v>
      </c>
      <c r="N7137" s="1">
        <v>1.1207336914327826</v>
      </c>
      <c r="O7137" s="1">
        <v>6.7839999999999998E-2</v>
      </c>
      <c r="P7137" s="1">
        <v>5.975052888039678E-2</v>
      </c>
      <c r="Q7137" s="1">
        <v>1.1452877576639708</v>
      </c>
      <c r="R7137" s="2">
        <f t="shared" si="447"/>
        <v>46.461178162876543</v>
      </c>
      <c r="S7137" s="2">
        <f t="shared" si="446"/>
        <v>4.4348932004646153</v>
      </c>
      <c r="T7137" s="2">
        <f t="shared" si="448"/>
        <v>2.740955596560315</v>
      </c>
      <c r="U7137" s="2">
        <f t="shared" si="449"/>
        <v>53.637026959901469</v>
      </c>
    </row>
    <row r="7138" spans="1:21" x14ac:dyDescent="0.25">
      <c r="A7138">
        <v>783865</v>
      </c>
      <c r="B7138">
        <v>1</v>
      </c>
      <c r="C7138" s="1">
        <f>1.79510117308073*(10.3/7.3)</f>
        <v>2.5328139839358195</v>
      </c>
      <c r="D7138" s="1">
        <f>1.86543870303673*(10.3/7.3)</f>
        <v>2.6320573481203131</v>
      </c>
      <c r="E7138" s="1">
        <f>6.64584661766174*(10.3/7.3)</f>
        <v>9.3770164605364315</v>
      </c>
      <c r="F7138" s="1">
        <f>13.8273546236371*(38.9/42.5)</f>
        <v>12.656096349634884</v>
      </c>
      <c r="G7138" s="1">
        <v>0.51190416371460268</v>
      </c>
      <c r="H7138" s="1">
        <v>4.2593210520029725</v>
      </c>
      <c r="I7138" s="1">
        <v>11.063417392471859</v>
      </c>
      <c r="J7138" s="1">
        <v>3.2655696115552572E-2</v>
      </c>
      <c r="K7138" s="1">
        <v>3.1715207423050291</v>
      </c>
      <c r="L7138" s="1">
        <v>1.1725329474272637</v>
      </c>
      <c r="M7138" s="1">
        <v>7.5938260847166816E-2</v>
      </c>
      <c r="N7138" s="1">
        <v>1.5594602693491773</v>
      </c>
      <c r="O7138" s="1">
        <v>5.8559999999999994E-2</v>
      </c>
      <c r="P7138" s="1">
        <v>5.2899781852926694E-2</v>
      </c>
      <c r="Q7138" s="1">
        <v>0.81811167716945721</v>
      </c>
      <c r="R7138" s="2">
        <f t="shared" si="447"/>
        <v>43.850738427586336</v>
      </c>
      <c r="S7138" s="2">
        <f t="shared" si="446"/>
        <v>3.2570762202735084</v>
      </c>
      <c r="T7138" s="2">
        <f t="shared" si="448"/>
        <v>2.8664914776236077</v>
      </c>
      <c r="U7138" s="2">
        <f t="shared" si="449"/>
        <v>49.974306125483452</v>
      </c>
    </row>
    <row r="7139" spans="1:21" x14ac:dyDescent="0.25">
      <c r="A7139">
        <v>783897</v>
      </c>
      <c r="B7139">
        <v>5</v>
      </c>
      <c r="C7139" s="1">
        <f>1.78697602022276*(10.3/7.3)</f>
        <v>2.5213497271636229</v>
      </c>
      <c r="D7139" s="1">
        <f>2.33380849938735*(10.3/7.3)</f>
        <v>3.2929078826972251</v>
      </c>
      <c r="E7139" s="1">
        <f>8.23850236822546*(10.3/7.3)</f>
        <v>11.624188272975649</v>
      </c>
      <c r="F7139" s="1">
        <f>16.364045577636*(38.9/42.5)</f>
        <v>14.977914658118593</v>
      </c>
      <c r="G7139" s="1">
        <v>0.60237525800178626</v>
      </c>
      <c r="H7139" s="1">
        <v>2.5148805088435218</v>
      </c>
      <c r="I7139" s="1">
        <v>11.987616413452725</v>
      </c>
      <c r="J7139" s="1">
        <v>5.926397823631753E-2</v>
      </c>
      <c r="K7139" s="1">
        <v>4.008247909724636</v>
      </c>
      <c r="L7139" s="1">
        <v>1.5832615233318628</v>
      </c>
      <c r="M7139" s="1">
        <v>8.4719979964832756E-2</v>
      </c>
      <c r="N7139" s="1">
        <v>1.354379649305312</v>
      </c>
      <c r="O7139" s="1">
        <v>7.6714666666666667E-2</v>
      </c>
      <c r="P7139" s="1">
        <v>6.5167586690145052E-2</v>
      </c>
      <c r="Q7139" s="1">
        <v>0.96270018402112056</v>
      </c>
      <c r="R7139" s="2">
        <f t="shared" si="447"/>
        <v>48.483932905274251</v>
      </c>
      <c r="S7139" s="2">
        <f t="shared" si="446"/>
        <v>4.1326794746510984</v>
      </c>
      <c r="T7139" s="2">
        <f t="shared" si="448"/>
        <v>3.0990758192686743</v>
      </c>
      <c r="U7139" s="2">
        <f t="shared" si="449"/>
        <v>55.715688199194027</v>
      </c>
    </row>
    <row r="7140" spans="1:21" x14ac:dyDescent="0.25">
      <c r="A7140">
        <v>7841309</v>
      </c>
      <c r="B7140">
        <v>2</v>
      </c>
      <c r="C7140" s="1">
        <f>0.114090688047254*(10.3/7.3)</f>
        <v>0.16097727217626259</v>
      </c>
      <c r="D7140" s="1">
        <f>0.169999790218171*(10.3/7.3)</f>
        <v>0.23986271770509052</v>
      </c>
      <c r="E7140" s="1">
        <f>0.592497783591428*(10.3/7.3)</f>
        <v>0.8359900234235218</v>
      </c>
      <c r="F7140" s="1">
        <f>1.39923082371232*(38.9/42.5)</f>
        <v>1.2807077421743351</v>
      </c>
      <c r="G7140" s="1">
        <v>6.317526128592707E-2</v>
      </c>
      <c r="H7140" s="1">
        <v>0.35297275721172899</v>
      </c>
      <c r="I7140" s="1">
        <v>1.0248776211958353</v>
      </c>
      <c r="J7140" s="1">
        <v>1.0247337073682364E-2</v>
      </c>
      <c r="K7140" s="1">
        <v>1.0778370721630124</v>
      </c>
      <c r="L7140" s="1">
        <v>0.74126055230171572</v>
      </c>
      <c r="M7140" s="1">
        <v>9.328387580070796E-2</v>
      </c>
      <c r="N7140" s="1">
        <v>0.37328717421506535</v>
      </c>
      <c r="O7140" s="1">
        <v>9.6053333333333338E-2</v>
      </c>
      <c r="P7140" s="1">
        <v>5.6653251851619832E-2</v>
      </c>
      <c r="Q7140" s="1">
        <v>0.10096502945239497</v>
      </c>
      <c r="R7140" s="2">
        <f t="shared" si="447"/>
        <v>4.0595284246250962</v>
      </c>
      <c r="S7140" s="2">
        <f t="shared" si="446"/>
        <v>1.1447376610883147</v>
      </c>
      <c r="T7140" s="2">
        <f t="shared" si="448"/>
        <v>1.3038849356508224</v>
      </c>
      <c r="U7140" s="2">
        <f t="shared" si="449"/>
        <v>6.5081510213642337</v>
      </c>
    </row>
    <row r="7141" spans="1:21" x14ac:dyDescent="0.25">
      <c r="A7141">
        <v>7841317</v>
      </c>
      <c r="B7141">
        <v>67</v>
      </c>
      <c r="C7141" s="1">
        <f>0.166940741245093*(10.3/7.3)</f>
        <v>0.23554652531841891</v>
      </c>
      <c r="D7141" s="1">
        <f>0.273510468804194*(10.3/7.3)</f>
        <v>0.38591203132646523</v>
      </c>
      <c r="E7141" s="1">
        <f>0.944392061317003*(10.3/7.3)</f>
        <v>1.3324983878856349</v>
      </c>
      <c r="F7141" s="1">
        <f>2.51391868777597*(38.9/42.5)</f>
        <v>2.3009749871643561</v>
      </c>
      <c r="G7141" s="1">
        <v>0.12575751784546454</v>
      </c>
      <c r="H7141" s="1">
        <v>0.57669490400765777</v>
      </c>
      <c r="I7141" s="1">
        <v>1.8494657161036046</v>
      </c>
      <c r="J7141" s="1">
        <v>1.0907693574824391E-2</v>
      </c>
      <c r="K7141" s="1">
        <v>1.1210568594683343</v>
      </c>
      <c r="L7141" s="1">
        <v>0.77447571116060931</v>
      </c>
      <c r="M7141" s="1">
        <v>9.582811951394421E-2</v>
      </c>
      <c r="N7141" s="1">
        <v>0.39248027687716086</v>
      </c>
      <c r="O7141" s="1">
        <v>0.10076019900497517</v>
      </c>
      <c r="P7141" s="1">
        <v>5.8193656847827006E-2</v>
      </c>
      <c r="Q7141" s="1">
        <v>0.20098233445622207</v>
      </c>
      <c r="R7141" s="2">
        <f t="shared" si="447"/>
        <v>7.0078324041078242</v>
      </c>
      <c r="S7141" s="2">
        <f t="shared" si="446"/>
        <v>1.1901582098909858</v>
      </c>
      <c r="T7141" s="2">
        <f t="shared" si="448"/>
        <v>1.3635443065566895</v>
      </c>
      <c r="U7141" s="2">
        <f t="shared" si="449"/>
        <v>9.5615349205554985</v>
      </c>
    </row>
    <row r="7142" spans="1:21" x14ac:dyDescent="0.25">
      <c r="A7142">
        <v>7841325</v>
      </c>
      <c r="B7142">
        <v>20</v>
      </c>
      <c r="C7142" s="1">
        <f>0.530942893005383*(10.3/7.3)</f>
        <v>0.74913860245965036</v>
      </c>
      <c r="D7142" s="1">
        <f>0.811685900596849*(10.3/7.3)</f>
        <v>1.1452554487873345</v>
      </c>
      <c r="E7142" s="1">
        <f>2.80072054681043*(10.3/7.3)</f>
        <v>3.9517015934448509</v>
      </c>
      <c r="F7142" s="1">
        <f>7.91064163821778*(38.9/42.5)</f>
        <v>7.2405637582746296</v>
      </c>
      <c r="G7142" s="1">
        <v>0.4086274182139758</v>
      </c>
      <c r="H7142" s="1">
        <v>4.1807352349591165</v>
      </c>
      <c r="I7142" s="1">
        <v>5.9730714008800332</v>
      </c>
      <c r="J7142" s="1">
        <v>1.3400037465295615E-2</v>
      </c>
      <c r="K7142" s="1">
        <v>1.3188182681144442</v>
      </c>
      <c r="L7142" s="1">
        <v>0.9323740181140403</v>
      </c>
      <c r="M7142" s="1">
        <v>0.11177688118414612</v>
      </c>
      <c r="N7142" s="1">
        <v>0.47432472760629585</v>
      </c>
      <c r="O7142" s="1">
        <v>0.11849866666666668</v>
      </c>
      <c r="P7142" s="1">
        <v>6.6574183687202249E-2</v>
      </c>
      <c r="Q7142" s="1">
        <v>0.65305751769356934</v>
      </c>
      <c r="R7142" s="2">
        <f t="shared" si="447"/>
        <v>24.302150974713161</v>
      </c>
      <c r="S7142" s="2">
        <f t="shared" si="446"/>
        <v>1.3987924892669421</v>
      </c>
      <c r="T7142" s="2">
        <f t="shared" si="448"/>
        <v>1.6369742935711491</v>
      </c>
      <c r="U7142" s="2">
        <f t="shared" si="449"/>
        <v>27.337917757551253</v>
      </c>
    </row>
    <row r="7143" spans="1:21" x14ac:dyDescent="0.25">
      <c r="A7143">
        <v>7841349</v>
      </c>
      <c r="B7143">
        <v>2</v>
      </c>
      <c r="C7143" s="1">
        <f>0.361390070866385*(10.3/7.3)</f>
        <v>0.50990653834572131</v>
      </c>
      <c r="D7143" s="1">
        <f>0.881326878286179*(10.3/7.3)</f>
        <v>1.243516006348993</v>
      </c>
      <c r="E7143" s="1">
        <f>2.97532349853323*(10.3/7.3)</f>
        <v>4.1980591828619573</v>
      </c>
      <c r="F7143" s="1">
        <f>9.60898779223746*(38.9/42.5)</f>
        <v>8.7950500027773497</v>
      </c>
      <c r="G7143" s="1">
        <v>0.55117411213622169</v>
      </c>
      <c r="H7143" s="1">
        <v>6.3839429489997244</v>
      </c>
      <c r="I7143" s="1">
        <v>6.9325225905924466</v>
      </c>
      <c r="J7143" s="1">
        <v>1.293328505200159E-2</v>
      </c>
      <c r="K7143" s="1">
        <v>1.3130447771142881</v>
      </c>
      <c r="L7143" s="1">
        <v>0.94019863108104651</v>
      </c>
      <c r="M7143" s="1">
        <v>0.11617180478925804</v>
      </c>
      <c r="N7143" s="1">
        <v>0.47718735908532584</v>
      </c>
      <c r="O7143" s="1">
        <v>0.11688</v>
      </c>
      <c r="P7143" s="1">
        <v>6.4707214756995091E-2</v>
      </c>
      <c r="Q7143" s="1">
        <v>0.88087186871085754</v>
      </c>
      <c r="R7143" s="2">
        <f t="shared" si="447"/>
        <v>29.495043250773275</v>
      </c>
      <c r="S7143" s="2">
        <f t="shared" si="446"/>
        <v>1.3906852769232849</v>
      </c>
      <c r="T7143" s="2">
        <f t="shared" si="448"/>
        <v>1.6504377949556304</v>
      </c>
      <c r="U7143" s="2">
        <f t="shared" si="449"/>
        <v>32.536166322652193</v>
      </c>
    </row>
    <row r="7144" spans="1:21" x14ac:dyDescent="0.25">
      <c r="A7144">
        <v>7841357</v>
      </c>
      <c r="B7144">
        <v>1</v>
      </c>
      <c r="C7144" s="1">
        <f>0.172500181509044*(10.3/7.3)</f>
        <v>0.24339066706070633</v>
      </c>
      <c r="D7144" s="1">
        <f>0.303781350409598*(10.3/7.3)</f>
        <v>0.42862300126285713</v>
      </c>
      <c r="E7144" s="1">
        <f>1.04427168326872*(10.3/7.3)</f>
        <v>1.473424429817511</v>
      </c>
      <c r="F7144" s="1">
        <f>2.88713995955944*(38.9/42.5)</f>
        <v>2.6425822218085195</v>
      </c>
      <c r="G7144" s="1">
        <v>0.14903267310827564</v>
      </c>
      <c r="H7144" s="1">
        <v>0.74370164109894177</v>
      </c>
      <c r="I7144" s="1">
        <v>2.111471932287265</v>
      </c>
      <c r="J7144" s="1">
        <v>1.043828124275719E-2</v>
      </c>
      <c r="K7144" s="1">
        <v>1.0950047997457479</v>
      </c>
      <c r="L7144" s="1">
        <v>0.76404576134307711</v>
      </c>
      <c r="M7144" s="1">
        <v>9.951940148449144E-2</v>
      </c>
      <c r="N7144" s="1">
        <v>0.39054094421815039</v>
      </c>
      <c r="O7144" s="1">
        <v>9.7173333333333334E-2</v>
      </c>
      <c r="P7144" s="1">
        <v>5.4788649490600833E-2</v>
      </c>
      <c r="Q7144" s="1">
        <v>0.23818007117760973</v>
      </c>
      <c r="R7144" s="2">
        <f t="shared" si="447"/>
        <v>8.0304066376216863</v>
      </c>
      <c r="S7144" s="2">
        <f t="shared" si="446"/>
        <v>1.1602317304791061</v>
      </c>
      <c r="T7144" s="2">
        <f t="shared" si="448"/>
        <v>1.3512794403790522</v>
      </c>
      <c r="U7144" s="2">
        <f t="shared" si="449"/>
        <v>10.541917808479845</v>
      </c>
    </row>
    <row r="7145" spans="1:21" x14ac:dyDescent="0.25">
      <c r="A7145">
        <v>7841709</v>
      </c>
      <c r="B7145">
        <v>17</v>
      </c>
      <c r="C7145" s="1">
        <f>0.641296666748008*(10.3/7.3)</f>
        <v>0.90484324212390188</v>
      </c>
      <c r="D7145" s="1">
        <f>2.29673053831764*(10.3/7.3)</f>
        <v>3.2405924033796909</v>
      </c>
      <c r="E7145" s="1">
        <f>7.60774698080772*(10.3/7.3)</f>
        <v>10.734218342783494</v>
      </c>
      <c r="F7145" s="1">
        <f>29.0902572680736*(38.9/42.5)</f>
        <v>26.626141358307361</v>
      </c>
      <c r="G7145" s="1">
        <v>1.8121484395395802</v>
      </c>
      <c r="H7145" s="1">
        <v>8.1789792310984915</v>
      </c>
      <c r="I7145" s="1">
        <v>21.059737745540311</v>
      </c>
      <c r="J7145" s="1">
        <v>1.9310570698879786E-2</v>
      </c>
      <c r="K7145" s="1">
        <v>1.5462697424307039</v>
      </c>
      <c r="L7145" s="1">
        <v>2.663905113220661</v>
      </c>
      <c r="M7145" s="1">
        <v>0.12305493476182583</v>
      </c>
      <c r="N7145" s="1">
        <v>0.80720174878039963</v>
      </c>
      <c r="O7145" s="1">
        <v>0.10862117647058822</v>
      </c>
      <c r="P7145" s="1">
        <v>6.8004656635156036E-2</v>
      </c>
      <c r="Q7145" s="1">
        <v>2.896127643099788</v>
      </c>
      <c r="R7145" s="2">
        <f t="shared" si="447"/>
        <v>75.45278840587261</v>
      </c>
      <c r="S7145" s="2">
        <f t="shared" si="446"/>
        <v>1.6335849697647398</v>
      </c>
      <c r="T7145" s="2">
        <f t="shared" si="448"/>
        <v>3.7027829732334747</v>
      </c>
      <c r="U7145" s="2">
        <f t="shared" si="449"/>
        <v>80.789156348870819</v>
      </c>
    </row>
    <row r="7146" spans="1:21" x14ac:dyDescent="0.25">
      <c r="A7146">
        <v>7841717</v>
      </c>
      <c r="B7146">
        <v>27</v>
      </c>
      <c r="C7146" s="1">
        <f>0.653464090962454*(10.3/7.3)</f>
        <v>0.92201097765935247</v>
      </c>
      <c r="D7146" s="1">
        <f>2.37778301365601*(10.3/7.3)</f>
        <v>3.3549541151584763</v>
      </c>
      <c r="E7146" s="1">
        <f>7.91166034873962*(10.3/7.3)</f>
        <v>11.16302761534495</v>
      </c>
      <c r="F7146" s="1">
        <f>28.2940368634974*(38.9/42.5)</f>
        <v>25.897365505648192</v>
      </c>
      <c r="G7146" s="1">
        <v>1.7203750324516625</v>
      </c>
      <c r="H7146" s="1">
        <v>9.5200229647248378</v>
      </c>
      <c r="I7146" s="1">
        <v>20.134673830744092</v>
      </c>
      <c r="J7146" s="1">
        <v>2.0043008680763037E-2</v>
      </c>
      <c r="K7146" s="1">
        <v>1.5872030419105914</v>
      </c>
      <c r="L7146" s="1">
        <v>1.8769594608539835</v>
      </c>
      <c r="M7146" s="1">
        <v>0.12325707645252003</v>
      </c>
      <c r="N7146" s="1">
        <v>0.83161959562448184</v>
      </c>
      <c r="O7146" s="1">
        <v>0.10947753086419754</v>
      </c>
      <c r="P7146" s="1">
        <v>6.8757905919464499E-2</v>
      </c>
      <c r="Q7146" s="1">
        <v>2.7494578144204684</v>
      </c>
      <c r="R7146" s="2">
        <f t="shared" si="447"/>
        <v>75.461887856152032</v>
      </c>
      <c r="S7146" s="2">
        <f t="shared" si="446"/>
        <v>1.6760039565108189</v>
      </c>
      <c r="T7146" s="2">
        <f t="shared" si="448"/>
        <v>2.9413136637951829</v>
      </c>
      <c r="U7146" s="2">
        <f t="shared" si="449"/>
        <v>80.079205476458043</v>
      </c>
    </row>
    <row r="7147" spans="1:21" x14ac:dyDescent="0.25">
      <c r="A7147">
        <v>7841725</v>
      </c>
      <c r="B7147">
        <v>59</v>
      </c>
      <c r="C7147" s="1">
        <f>0.862700053448603*(10.3/7.3)</f>
        <v>1.2172343219891246</v>
      </c>
      <c r="D7147" s="1">
        <f>3.51422284793331*(10.3/7.3)</f>
        <v>4.9584240183168671</v>
      </c>
      <c r="E7147" s="1">
        <f>11.701260609795*(10.3/7.3)</f>
        <v>16.509997846697093</v>
      </c>
      <c r="F7147" s="1">
        <f>40.3775627508401*(38.9/42.5)</f>
        <v>36.957345670768959</v>
      </c>
      <c r="G7147" s="1">
        <v>2.4283936707106046</v>
      </c>
      <c r="H7147" s="1">
        <v>9.8820894193212307</v>
      </c>
      <c r="I7147" s="1">
        <v>28.231908931130736</v>
      </c>
      <c r="J7147" s="1">
        <v>2.4358866314743419E-2</v>
      </c>
      <c r="K7147" s="1">
        <v>1.780649223792975</v>
      </c>
      <c r="L7147" s="1">
        <v>1.8356308564621973</v>
      </c>
      <c r="M7147" s="1">
        <v>0.13889343510062821</v>
      </c>
      <c r="N7147" s="1">
        <v>0.95005980388112454</v>
      </c>
      <c r="O7147" s="1">
        <v>0.12386169491525421</v>
      </c>
      <c r="P7147" s="1">
        <v>7.5352646456476713E-2</v>
      </c>
      <c r="Q7147" s="1">
        <v>3.8809944509073637</v>
      </c>
      <c r="R7147" s="2">
        <f t="shared" si="447"/>
        <v>104.06638832984197</v>
      </c>
      <c r="S7147" s="2">
        <f t="shared" si="446"/>
        <v>1.880360736564195</v>
      </c>
      <c r="T7147" s="2">
        <f t="shared" si="448"/>
        <v>3.0484457903592039</v>
      </c>
      <c r="U7147" s="2">
        <f t="shared" si="449"/>
        <v>108.99519485676538</v>
      </c>
    </row>
    <row r="7148" spans="1:21" x14ac:dyDescent="0.25">
      <c r="A7148">
        <v>7841733</v>
      </c>
      <c r="B7148">
        <v>12</v>
      </c>
      <c r="C7148" s="1">
        <f>0.686389546988193*(10.3/7.3)</f>
        <v>0.96846744301073784</v>
      </c>
      <c r="D7148" s="1">
        <f>3.09074974056784*(10.3/7.3)</f>
        <v>4.3609208668285993</v>
      </c>
      <c r="E7148" s="1">
        <f>10.2128236301696*(10.3/7.3)</f>
        <v>14.409874437088602</v>
      </c>
      <c r="F7148" s="1">
        <f>38.5842874276927*(38.9/42.5)</f>
        <v>35.315971316170533</v>
      </c>
      <c r="G7148" s="1">
        <v>2.4065361151363325</v>
      </c>
      <c r="H7148" s="1">
        <v>11.218507479043318</v>
      </c>
      <c r="I7148" s="1">
        <v>27.443701347962051</v>
      </c>
      <c r="J7148" s="1">
        <v>2.1723081635079442E-2</v>
      </c>
      <c r="K7148" s="1">
        <v>1.6548324370536713</v>
      </c>
      <c r="L7148" s="1">
        <v>1.5353344437637702</v>
      </c>
      <c r="M7148" s="1">
        <v>0.1254823804668731</v>
      </c>
      <c r="N7148" s="1">
        <v>0.90049031067271057</v>
      </c>
      <c r="O7148" s="1">
        <v>0.11125333333333333</v>
      </c>
      <c r="P7148" s="1">
        <v>6.9985154554681669E-2</v>
      </c>
      <c r="Q7148" s="1">
        <v>3.8460622844644621</v>
      </c>
      <c r="R7148" s="2">
        <f t="shared" si="447"/>
        <v>99.970041289704625</v>
      </c>
      <c r="S7148" s="2">
        <f t="shared" si="446"/>
        <v>1.7465406732434325</v>
      </c>
      <c r="T7148" s="2">
        <f t="shared" si="448"/>
        <v>2.6725604682366875</v>
      </c>
      <c r="U7148" s="2">
        <f t="shared" si="449"/>
        <v>104.38914243118474</v>
      </c>
    </row>
    <row r="7149" spans="1:21" x14ac:dyDescent="0.25">
      <c r="A7149">
        <v>7853545</v>
      </c>
      <c r="B7149">
        <v>32</v>
      </c>
      <c r="C7149" s="1">
        <f>0.180621600381321*(10.3/7.3)</f>
        <v>0.25484965533254816</v>
      </c>
      <c r="D7149" s="1">
        <f>0.298920852129635*(10.3/7.3)</f>
        <v>0.42176503793633385</v>
      </c>
      <c r="E7149" s="1">
        <f>1.03115719329671*(10.3/7.3)</f>
        <v>1.4549204234186464</v>
      </c>
      <c r="F7149" s="1">
        <f>2.77624598335253*(38.9/42.5)</f>
        <v>2.5410816177038487</v>
      </c>
      <c r="G7149" s="1">
        <v>0.1400829338385535</v>
      </c>
      <c r="H7149" s="1">
        <v>0.60598226411263623</v>
      </c>
      <c r="I7149" s="1">
        <v>2.043235306513163</v>
      </c>
      <c r="J7149" s="1">
        <v>1.0589975777077747E-2</v>
      </c>
      <c r="K7149" s="1">
        <v>1.1108930217651982</v>
      </c>
      <c r="L7149" s="1">
        <v>0.77008668183587148</v>
      </c>
      <c r="M7149" s="1">
        <v>9.5544895625090512E-2</v>
      </c>
      <c r="N7149" s="1">
        <v>0.38370575599108919</v>
      </c>
      <c r="O7149" s="1">
        <v>9.9483333333333354E-2</v>
      </c>
      <c r="P7149" s="1">
        <v>5.8048257742840031E-2</v>
      </c>
      <c r="Q7149" s="1">
        <v>0.22387683490179811</v>
      </c>
      <c r="R7149" s="2">
        <f t="shared" si="447"/>
        <v>7.6857940737575277</v>
      </c>
      <c r="S7149" s="2">
        <f t="shared" si="446"/>
        <v>1.179531255285116</v>
      </c>
      <c r="T7149" s="2">
        <f t="shared" si="448"/>
        <v>1.3488206667853846</v>
      </c>
      <c r="U7149" s="2">
        <f t="shared" si="449"/>
        <v>10.214145995828028</v>
      </c>
    </row>
    <row r="7150" spans="1:21" x14ac:dyDescent="0.25">
      <c r="A7150">
        <v>7853553</v>
      </c>
      <c r="B7150">
        <v>63</v>
      </c>
      <c r="C7150" s="1">
        <f>0.252594767221427*(10.3/7.3)</f>
        <v>0.35640083594256172</v>
      </c>
      <c r="D7150" s="1">
        <f>0.410830430883407*(10.3/7.3)</f>
        <v>0.5796648545341222</v>
      </c>
      <c r="E7150" s="1">
        <f>1.41593257658515*(10.3/7.3)</f>
        <v>1.9978226765516502</v>
      </c>
      <c r="F7150" s="1">
        <f>3.92086588937074*(38.9/42.5)</f>
        <v>3.5887454846240461</v>
      </c>
      <c r="G7150" s="1">
        <v>0.2011730754815392</v>
      </c>
      <c r="H7150" s="1">
        <v>0.89389010861786855</v>
      </c>
      <c r="I7150" s="1">
        <v>2.9127546579837107</v>
      </c>
      <c r="J7150" s="1">
        <v>1.1165957010899846E-2</v>
      </c>
      <c r="K7150" s="1">
        <v>1.14235450097726</v>
      </c>
      <c r="L7150" s="1">
        <v>0.78778918052149483</v>
      </c>
      <c r="M7150" s="1">
        <v>9.7876342583197981E-2</v>
      </c>
      <c r="N7150" s="1">
        <v>0.40070878310178443</v>
      </c>
      <c r="O7150" s="1">
        <v>0.10198603174603174</v>
      </c>
      <c r="P7150" s="1">
        <v>5.878126696703536E-2</v>
      </c>
      <c r="Q7150" s="1">
        <v>0.32150948136319069</v>
      </c>
      <c r="R7150" s="2">
        <f t="shared" si="447"/>
        <v>10.851961175098689</v>
      </c>
      <c r="S7150" s="2">
        <f t="shared" si="446"/>
        <v>1.2123017249551953</v>
      </c>
      <c r="T7150" s="2">
        <f t="shared" si="448"/>
        <v>1.3883603379525089</v>
      </c>
      <c r="U7150" s="2">
        <f t="shared" si="449"/>
        <v>13.452623238006392</v>
      </c>
    </row>
    <row r="7151" spans="1:21" x14ac:dyDescent="0.25">
      <c r="A7151">
        <v>7853585</v>
      </c>
      <c r="B7151">
        <v>27</v>
      </c>
      <c r="C7151" s="1">
        <f>0.270413584004942*(10.3/7.3)</f>
        <v>0.38154245414395954</v>
      </c>
      <c r="D7151" s="1">
        <f>0.590279383236395*(10.3/7.3)</f>
        <v>0.83285995168970861</v>
      </c>
      <c r="E7151" s="1">
        <f>2.00785385878587*(10.3/7.3)</f>
        <v>2.8329992802047226</v>
      </c>
      <c r="F7151" s="1">
        <f>5.9895325839043*(38.9/42.5)</f>
        <v>5.4821839415029938</v>
      </c>
      <c r="G7151" s="1">
        <v>0.32818343355590068</v>
      </c>
      <c r="H7151" s="1">
        <v>2.4916331454898217</v>
      </c>
      <c r="I7151" s="1">
        <v>4.3028287472648987</v>
      </c>
      <c r="J7151" s="1">
        <v>1.1157425701758348E-2</v>
      </c>
      <c r="K7151" s="1">
        <v>1.1554047480843739</v>
      </c>
      <c r="L7151" s="1">
        <v>0.80721386473279244</v>
      </c>
      <c r="M7151" s="1">
        <v>0.10246272110802336</v>
      </c>
      <c r="N7151" s="1">
        <v>0.4119856723125081</v>
      </c>
      <c r="O7151" s="1">
        <v>0.10225185185185184</v>
      </c>
      <c r="P7151" s="1">
        <v>5.7509927156042383E-2</v>
      </c>
      <c r="Q7151" s="1">
        <v>0.52449407189299257</v>
      </c>
      <c r="R7151" s="2">
        <f t="shared" si="447"/>
        <v>17.176725025744997</v>
      </c>
      <c r="S7151" s="2">
        <f t="shared" si="446"/>
        <v>1.2240721009421747</v>
      </c>
      <c r="T7151" s="2">
        <f t="shared" si="448"/>
        <v>1.4239141100051758</v>
      </c>
      <c r="U7151" s="2">
        <f t="shared" si="449"/>
        <v>19.824711236692345</v>
      </c>
    </row>
    <row r="7152" spans="1:21" x14ac:dyDescent="0.25">
      <c r="A7152">
        <v>7853945</v>
      </c>
      <c r="B7152">
        <v>19</v>
      </c>
      <c r="C7152" s="1">
        <f>0.699882555389233*(10.3/7.3)</f>
        <v>0.98750552335741126</v>
      </c>
      <c r="D7152" s="1">
        <f>2.66335562596804*(10.3/7.3)</f>
        <v>3.7578853352699708</v>
      </c>
      <c r="E7152" s="1">
        <f>8.82509498524793*(10.3/7.3)</f>
        <v>12.451846349048457</v>
      </c>
      <c r="F7152" s="1">
        <f>33.1512811748031*(38.9/42.5)</f>
        <v>30.343172651760977</v>
      </c>
      <c r="G7152" s="1">
        <v>2.0553757732264444</v>
      </c>
      <c r="H7152" s="1">
        <v>9.7775921791891225</v>
      </c>
      <c r="I7152" s="1">
        <v>23.799275207775558</v>
      </c>
      <c r="J7152" s="1">
        <v>2.0628670055487412E-2</v>
      </c>
      <c r="K7152" s="1">
        <v>1.6253878896945206</v>
      </c>
      <c r="L7152" s="1">
        <v>2.6948993021970029</v>
      </c>
      <c r="M7152" s="1">
        <v>0.12822065198083663</v>
      </c>
      <c r="N7152" s="1">
        <v>0.85089771947848791</v>
      </c>
      <c r="O7152" s="1">
        <v>0.11357192982456139</v>
      </c>
      <c r="P7152" s="1">
        <v>7.0346232483776194E-2</v>
      </c>
      <c r="Q7152" s="1">
        <v>3.2848471261609871</v>
      </c>
      <c r="R7152" s="2">
        <f t="shared" si="447"/>
        <v>86.457500145788927</v>
      </c>
      <c r="S7152" s="2">
        <f t="shared" si="446"/>
        <v>1.7163627922337843</v>
      </c>
      <c r="T7152" s="2">
        <f t="shared" si="448"/>
        <v>3.7875896034808885</v>
      </c>
      <c r="U7152" s="2">
        <f t="shared" si="449"/>
        <v>91.96145254150359</v>
      </c>
    </row>
    <row r="7153" spans="1:21" x14ac:dyDescent="0.25">
      <c r="A7153">
        <v>7853953</v>
      </c>
      <c r="B7153">
        <v>39</v>
      </c>
      <c r="C7153" s="1">
        <f>0.832869018383099*(10.3/7.3)</f>
        <v>1.1751439574446469</v>
      </c>
      <c r="D7153" s="1">
        <f>3.33911757001263*(10.3/7.3)</f>
        <v>4.7113576672781017</v>
      </c>
      <c r="E7153" s="1">
        <f>11.1081692945339*(10.3/7.3)</f>
        <v>15.673170374479389</v>
      </c>
      <c r="F7153" s="1">
        <f>38.9849633152011*(38.9/42.5)</f>
        <v>35.682707599089952</v>
      </c>
      <c r="G7153" s="1">
        <v>2.3594157535284248</v>
      </c>
      <c r="H7153" s="1">
        <v>11.16896096049676</v>
      </c>
      <c r="I7153" s="1">
        <v>27.413110437407177</v>
      </c>
      <c r="J7153" s="1">
        <v>2.2780564171445694E-2</v>
      </c>
      <c r="K7153" s="1">
        <v>1.7632382854471711</v>
      </c>
      <c r="L7153" s="1">
        <v>1.9322032008254557</v>
      </c>
      <c r="M7153" s="1">
        <v>0.13671798865071277</v>
      </c>
      <c r="N7153" s="1">
        <v>0.91979134371851157</v>
      </c>
      <c r="O7153" s="1">
        <v>0.12295111111111111</v>
      </c>
      <c r="P7153" s="1">
        <v>7.4743109708042474E-2</v>
      </c>
      <c r="Q7153" s="1">
        <v>3.7707557704792212</v>
      </c>
      <c r="R7153" s="2">
        <f t="shared" si="447"/>
        <v>101.95462252020367</v>
      </c>
      <c r="S7153" s="2">
        <f t="shared" si="446"/>
        <v>1.8607619593266591</v>
      </c>
      <c r="T7153" s="2">
        <f t="shared" si="448"/>
        <v>3.111663644305791</v>
      </c>
      <c r="U7153" s="2">
        <f t="shared" si="449"/>
        <v>106.92704812383613</v>
      </c>
    </row>
    <row r="7154" spans="1:21" x14ac:dyDescent="0.25">
      <c r="A7154">
        <v>7853961</v>
      </c>
      <c r="B7154">
        <v>40</v>
      </c>
      <c r="C7154" s="1">
        <f>0.794661855558318*(10.3/7.3)</f>
        <v>1.1212352208562566</v>
      </c>
      <c r="D7154" s="1">
        <f>3.30852807536428*(10.3/7.3)</f>
        <v>4.6681971474317985</v>
      </c>
      <c r="E7154" s="1">
        <f>11.0255617394409*(10.3/7.3)</f>
        <v>15.556614509074127</v>
      </c>
      <c r="F7154" s="1">
        <f>37.3916890284968*(38.9/42.5)</f>
        <v>34.224393016671193</v>
      </c>
      <c r="G7154" s="1">
        <v>2.2343634997431865</v>
      </c>
      <c r="H7154" s="1">
        <v>9.221782781616767</v>
      </c>
      <c r="I7154" s="1">
        <v>25.978988636079276</v>
      </c>
      <c r="J7154" s="1">
        <v>2.2187500286306998E-2</v>
      </c>
      <c r="K7154" s="1">
        <v>1.6926852488923303</v>
      </c>
      <c r="L7154" s="1">
        <v>1.6566413935751521</v>
      </c>
      <c r="M7154" s="1">
        <v>0.12993961406120291</v>
      </c>
      <c r="N7154" s="1">
        <v>0.91204208120388586</v>
      </c>
      <c r="O7154" s="1">
        <v>0.11601199999999998</v>
      </c>
      <c r="P7154" s="1">
        <v>7.1779842953173315E-2</v>
      </c>
      <c r="Q7154" s="1">
        <v>3.5709005703658279</v>
      </c>
      <c r="R7154" s="2">
        <f t="shared" si="447"/>
        <v>96.576475381838435</v>
      </c>
      <c r="S7154" s="2">
        <f t="shared" si="446"/>
        <v>1.7866525921318106</v>
      </c>
      <c r="T7154" s="2">
        <f t="shared" si="448"/>
        <v>2.8146350888402409</v>
      </c>
      <c r="U7154" s="2">
        <f t="shared" si="449"/>
        <v>101.1777630628105</v>
      </c>
    </row>
    <row r="7155" spans="1:21" x14ac:dyDescent="0.25">
      <c r="A7155">
        <v>7854201</v>
      </c>
      <c r="B7155">
        <v>2</v>
      </c>
      <c r="C7155" s="1">
        <f>1.08873065378659*(10.3/7.3)</f>
        <v>1.536154210137245</v>
      </c>
      <c r="D7155" s="1">
        <f>2.73272190123239*(10.3/7.3)</f>
        <v>3.8557582989991257</v>
      </c>
      <c r="E7155" s="1">
        <f>9.25141125908595*(10.3/7.3)</f>
        <v>13.053361091587021</v>
      </c>
      <c r="F7155" s="1">
        <f>28.2210098142497*(38.9/42.5)</f>
        <v>25.830524277042674</v>
      </c>
      <c r="G7155" s="1">
        <v>1.57669915862211</v>
      </c>
      <c r="H7155" s="1">
        <v>8.590862453073818</v>
      </c>
      <c r="I7155" s="1">
        <v>20.005375803079573</v>
      </c>
      <c r="J7155" s="1">
        <v>2.6931614247064993E-2</v>
      </c>
      <c r="K7155" s="1">
        <v>1.6969041095888091</v>
      </c>
      <c r="L7155" s="1">
        <v>1.3565777698942618</v>
      </c>
      <c r="M7155" s="1">
        <v>0.21362921884296004</v>
      </c>
      <c r="N7155" s="1">
        <v>1.4274036496042393</v>
      </c>
      <c r="O7155" s="1">
        <v>9.3733333333333335E-2</v>
      </c>
      <c r="P7155" s="1">
        <v>6.1050206857783604E-2</v>
      </c>
      <c r="Q7155" s="1">
        <v>2.5198388379805436</v>
      </c>
      <c r="R7155" s="2">
        <f t="shared" si="447"/>
        <v>76.968574130522114</v>
      </c>
      <c r="S7155" s="2">
        <f t="shared" si="446"/>
        <v>1.7848859306936578</v>
      </c>
      <c r="T7155" s="2">
        <f t="shared" si="448"/>
        <v>3.0913439716747946</v>
      </c>
      <c r="U7155" s="2">
        <f t="shared" si="449"/>
        <v>81.844804032890565</v>
      </c>
    </row>
    <row r="7156" spans="1:21" x14ac:dyDescent="0.25">
      <c r="A7156">
        <v>7865781</v>
      </c>
      <c r="B7156">
        <v>67</v>
      </c>
      <c r="C7156" s="1">
        <f>0.297134604825927*(10.3/7.3)</f>
        <v>0.41924471639822614</v>
      </c>
      <c r="D7156" s="1">
        <f>0.520907545558238*(10.3/7.3)</f>
        <v>0.73497913962326678</v>
      </c>
      <c r="E7156" s="1">
        <f>1.78721710613386*(10.3/7.3)</f>
        <v>2.5216898894765456</v>
      </c>
      <c r="F7156" s="1">
        <f>5.13106794223914*(38.9/42.5)</f>
        <v>4.6964363047788797</v>
      </c>
      <c r="G7156" s="1">
        <v>0.27093301789410762</v>
      </c>
      <c r="H7156" s="1">
        <v>1.0598492899497933</v>
      </c>
      <c r="I7156" s="1">
        <v>3.7863745474790611</v>
      </c>
      <c r="J7156" s="1">
        <v>1.2136449385235596E-2</v>
      </c>
      <c r="K7156" s="1">
        <v>1.2579333330986047</v>
      </c>
      <c r="L7156" s="1">
        <v>0.89105881313535118</v>
      </c>
      <c r="M7156" s="1">
        <v>0.10639075969478487</v>
      </c>
      <c r="N7156" s="1">
        <v>0.44094402296724955</v>
      </c>
      <c r="O7156" s="1">
        <v>0.11280636815920397</v>
      </c>
      <c r="P7156" s="1">
        <v>6.4748845093611354E-2</v>
      </c>
      <c r="Q7156" s="1">
        <v>0.43299797380336863</v>
      </c>
      <c r="R7156" s="2">
        <f t="shared" si="447"/>
        <v>13.922504879403249</v>
      </c>
      <c r="S7156" s="2">
        <f t="shared" si="446"/>
        <v>1.3348186275774516</v>
      </c>
      <c r="T7156" s="2">
        <f t="shared" si="448"/>
        <v>1.5511999639565897</v>
      </c>
      <c r="U7156" s="2">
        <f t="shared" si="449"/>
        <v>16.808523470937288</v>
      </c>
    </row>
    <row r="7157" spans="1:21" x14ac:dyDescent="0.25">
      <c r="A7157">
        <v>7865789</v>
      </c>
      <c r="B7157">
        <v>65</v>
      </c>
      <c r="C7157" s="1">
        <f>0.291158051066618*(10.3/7.3)</f>
        <v>0.41081204465563931</v>
      </c>
      <c r="D7157" s="1">
        <f>0.462190630614238*(10.3/7.3)</f>
        <v>0.65213198566118558</v>
      </c>
      <c r="E7157" s="1">
        <f>1.59382054996868*(10.3/7.3)</f>
        <v>2.2488152965311499</v>
      </c>
      <c r="F7157" s="1">
        <f>4.43894460898934*(38.9/42.5)</f>
        <v>4.0629398891690647</v>
      </c>
      <c r="G7157" s="1">
        <v>0.22807768152011465</v>
      </c>
      <c r="H7157" s="1">
        <v>1.3568485288167245</v>
      </c>
      <c r="I7157" s="1">
        <v>3.3174546555034481</v>
      </c>
      <c r="J7157" s="1">
        <v>1.1529763809229356E-2</v>
      </c>
      <c r="K7157" s="1">
        <v>1.1730399391029684</v>
      </c>
      <c r="L7157" s="1">
        <v>0.81452500604245781</v>
      </c>
      <c r="M7157" s="1">
        <v>9.9323059609010916E-2</v>
      </c>
      <c r="N7157" s="1">
        <v>0.41354588138929632</v>
      </c>
      <c r="O7157" s="1">
        <v>0.10460800000000002</v>
      </c>
      <c r="P7157" s="1">
        <v>5.9960521525848277E-2</v>
      </c>
      <c r="Q7157" s="1">
        <v>0.36450771019196448</v>
      </c>
      <c r="R7157" s="2">
        <f t="shared" si="447"/>
        <v>12.641587792049293</v>
      </c>
      <c r="S7157" s="2">
        <f t="shared" si="446"/>
        <v>1.2445302244380461</v>
      </c>
      <c r="T7157" s="2">
        <f t="shared" si="448"/>
        <v>1.432001947040765</v>
      </c>
      <c r="U7157" s="2">
        <f t="shared" si="449"/>
        <v>15.318119963528105</v>
      </c>
    </row>
    <row r="7158" spans="1:21" x14ac:dyDescent="0.25">
      <c r="A7158">
        <v>7865797</v>
      </c>
      <c r="B7158">
        <v>10</v>
      </c>
      <c r="C7158" s="1">
        <f>0.575213027327088*(10.3/7.3)</f>
        <v>0.81160194266698704</v>
      </c>
      <c r="D7158" s="1">
        <f>0.871031621397487*(10.3/7.3)</f>
        <v>1.2289898219717967</v>
      </c>
      <c r="E7158" s="1">
        <f>2.99867816126225*(10.3/7.3)</f>
        <v>4.231011652191949</v>
      </c>
      <c r="F7158" s="1">
        <f>8.874195319141*(38.9/42.5)</f>
        <v>8.1224987744608192</v>
      </c>
      <c r="G7158" s="1">
        <v>0.47111062713017765</v>
      </c>
      <c r="H7158" s="1">
        <v>4.8978833012031036</v>
      </c>
      <c r="I7158" s="1">
        <v>6.769430936813448</v>
      </c>
      <c r="J7158" s="1">
        <v>1.5584438759511626E-2</v>
      </c>
      <c r="K7158" s="1">
        <v>1.3436850518328669</v>
      </c>
      <c r="L7158" s="1">
        <v>0.96011655789953709</v>
      </c>
      <c r="M7158" s="1">
        <v>0.11498891143678858</v>
      </c>
      <c r="N7158" s="1">
        <v>0.48697066835746761</v>
      </c>
      <c r="O7158" s="1">
        <v>0.12077866666666666</v>
      </c>
      <c r="P7158" s="1">
        <v>6.6972464515843211E-2</v>
      </c>
      <c r="Q7158" s="1">
        <v>0.75291652737699688</v>
      </c>
      <c r="R7158" s="2">
        <f t="shared" si="447"/>
        <v>27.28544358381528</v>
      </c>
      <c r="S7158" s="2">
        <f t="shared" si="446"/>
        <v>1.4262419551082217</v>
      </c>
      <c r="T7158" s="2">
        <f t="shared" si="448"/>
        <v>1.6828548043604596</v>
      </c>
      <c r="U7158" s="2">
        <f t="shared" si="449"/>
        <v>30.39454034328396</v>
      </c>
    </row>
    <row r="7159" spans="1:21" x14ac:dyDescent="0.25">
      <c r="A7159">
        <v>7865813</v>
      </c>
      <c r="B7159">
        <v>6</v>
      </c>
      <c r="C7159" s="1">
        <f>0.267930898409453*(10.3/7.3)</f>
        <v>0.37803948679689936</v>
      </c>
      <c r="D7159" s="1">
        <f>0.557980635313014*(10.3/7.3)</f>
        <v>0.78728774571562188</v>
      </c>
      <c r="E7159" s="1">
        <f>1.89959023379061*(10.3/7.3)</f>
        <v>2.6802437545264772</v>
      </c>
      <c r="F7159" s="1">
        <f>5.70808235163289*(38.9/42.5)</f>
        <v>5.224574199494576</v>
      </c>
      <c r="G7159" s="1">
        <v>0.31306875547235202</v>
      </c>
      <c r="H7159" s="1">
        <v>3.9176460207151944</v>
      </c>
      <c r="I7159" s="1">
        <v>4.1362573451826332</v>
      </c>
      <c r="J7159" s="1">
        <v>1.1606576677244648E-2</v>
      </c>
      <c r="K7159" s="1">
        <v>1.1952257507055666</v>
      </c>
      <c r="L7159" s="1">
        <v>0.84500260504355362</v>
      </c>
      <c r="M7159" s="1">
        <v>0.10648445494066384</v>
      </c>
      <c r="N7159" s="1">
        <v>0.42731906148173371</v>
      </c>
      <c r="O7159" s="1">
        <v>0.10647111111111113</v>
      </c>
      <c r="P7159" s="1">
        <v>5.9628744240293498E-2</v>
      </c>
      <c r="Q7159" s="1">
        <v>0.50033819367727539</v>
      </c>
      <c r="R7159" s="2">
        <f t="shared" si="447"/>
        <v>17.937455501581031</v>
      </c>
      <c r="S7159" s="2">
        <f t="shared" si="446"/>
        <v>1.2664610716231046</v>
      </c>
      <c r="T7159" s="2">
        <f t="shared" si="448"/>
        <v>1.4852772325770622</v>
      </c>
      <c r="U7159" s="2">
        <f t="shared" si="449"/>
        <v>20.689193805781198</v>
      </c>
    </row>
    <row r="7160" spans="1:21" x14ac:dyDescent="0.25">
      <c r="A7160">
        <v>7866181</v>
      </c>
      <c r="B7160">
        <v>6</v>
      </c>
      <c r="C7160" s="1">
        <f>0.623393059551849*(10.3/7.3)</f>
        <v>0.87958198813480071</v>
      </c>
      <c r="D7160" s="1">
        <f>2.28406244266948*(10.3/7.3)</f>
        <v>3.2227182410268043</v>
      </c>
      <c r="E7160" s="1">
        <f>7.59443982403925*(10.3/7.3)</f>
        <v>10.715442491452645</v>
      </c>
      <c r="F7160" s="1">
        <f>27.3962625051924*(38.9/42.5)</f>
        <v>25.075637916517273</v>
      </c>
      <c r="G7160" s="1">
        <v>1.6716551814448772</v>
      </c>
      <c r="H7160" s="1">
        <v>10.730040389417582</v>
      </c>
      <c r="I7160" s="1">
        <v>19.527824517128277</v>
      </c>
      <c r="J7160" s="1">
        <v>2.0180677069330567E-2</v>
      </c>
      <c r="K7160" s="1">
        <v>1.6009572507882581</v>
      </c>
      <c r="L7160" s="1">
        <v>2.0692055297731762</v>
      </c>
      <c r="M7160" s="1">
        <v>0.12283759079384926</v>
      </c>
      <c r="N7160" s="1">
        <v>0.84893168947147724</v>
      </c>
      <c r="O7160" s="1">
        <v>0.10927999999999999</v>
      </c>
      <c r="P7160" s="1">
        <v>6.8776938767461257E-2</v>
      </c>
      <c r="Q7160" s="1">
        <v>2.6715950388388481</v>
      </c>
      <c r="R7160" s="2">
        <f t="shared" si="447"/>
        <v>74.494495763961098</v>
      </c>
      <c r="S7160" s="2">
        <f t="shared" si="446"/>
        <v>1.6899148666250499</v>
      </c>
      <c r="T7160" s="2">
        <f t="shared" si="448"/>
        <v>3.1502548100385028</v>
      </c>
      <c r="U7160" s="2">
        <f t="shared" si="449"/>
        <v>79.334665440624647</v>
      </c>
    </row>
    <row r="7161" spans="1:21" x14ac:dyDescent="0.25">
      <c r="A7161">
        <v>7866189</v>
      </c>
      <c r="B7161">
        <v>42</v>
      </c>
      <c r="C7161" s="1">
        <f>0.713757883995763*(10.3/7.3)</f>
        <v>1.007083041802241</v>
      </c>
      <c r="D7161" s="1">
        <f>2.92420288963816*(10.3/7.3)</f>
        <v>4.1259301045579537</v>
      </c>
      <c r="E7161" s="1">
        <f>9.73342546336655*(10.3/7.3)</f>
        <v>13.733463325024031</v>
      </c>
      <c r="F7161" s="1">
        <f>33.7148357862752*(38.9/42.5)</f>
        <v>30.858990872614243</v>
      </c>
      <c r="G7161" s="1">
        <v>2.0310676875233051</v>
      </c>
      <c r="H7161" s="1">
        <v>8.6007797546069469</v>
      </c>
      <c r="I7161" s="1">
        <v>23.588009276832139</v>
      </c>
      <c r="J7161" s="1">
        <v>2.1136610258635329E-2</v>
      </c>
      <c r="K7161" s="1">
        <v>1.660743611714834</v>
      </c>
      <c r="L7161" s="1">
        <v>1.6992561520690406</v>
      </c>
      <c r="M7161" s="1">
        <v>0.12670088318880154</v>
      </c>
      <c r="N7161" s="1">
        <v>0.87730186164115986</v>
      </c>
      <c r="O7161" s="1">
        <v>0.11283047619047622</v>
      </c>
      <c r="P7161" s="1">
        <v>7.0254195804094241E-2</v>
      </c>
      <c r="Q7161" s="1">
        <v>3.2459985873660151</v>
      </c>
      <c r="R7161" s="2">
        <f t="shared" si="447"/>
        <v>87.191322650326867</v>
      </c>
      <c r="S7161" s="2">
        <f t="shared" si="446"/>
        <v>1.7521344177775635</v>
      </c>
      <c r="T7161" s="2">
        <f t="shared" si="448"/>
        <v>2.8160893730894783</v>
      </c>
      <c r="U7161" s="2">
        <f t="shared" si="449"/>
        <v>91.759546441193919</v>
      </c>
    </row>
    <row r="7162" spans="1:21" x14ac:dyDescent="0.25">
      <c r="A7162">
        <v>7866197</v>
      </c>
      <c r="B7162">
        <v>10</v>
      </c>
      <c r="C7162" s="1">
        <f>0.662916883176295*(10.3/7.3)</f>
        <v>0.93534847900216933</v>
      </c>
      <c r="D7162" s="1">
        <f>3.25822735161277*(10.3/7.3)</f>
        <v>4.5972248933714486</v>
      </c>
      <c r="E7162" s="1">
        <f>10.8351214108699*(10.3/7.3)</f>
        <v>15.287911031775298</v>
      </c>
      <c r="F7162" s="1">
        <f>36.7248972057123*(38.9/42.5)</f>
        <v>33.614082383581341</v>
      </c>
      <c r="G7162" s="1">
        <v>2.2029797294882045</v>
      </c>
      <c r="H7162" s="1">
        <v>9.1703047886183882</v>
      </c>
      <c r="I7162" s="1">
        <v>25.231977721445759</v>
      </c>
      <c r="J7162" s="1">
        <v>2.0982642579444842E-2</v>
      </c>
      <c r="K7162" s="1">
        <v>1.6517126569302394</v>
      </c>
      <c r="L7162" s="1">
        <v>1.5492802330281017</v>
      </c>
      <c r="M7162" s="1">
        <v>0.12208588858068412</v>
      </c>
      <c r="N7162" s="1">
        <v>0.93288214595130425</v>
      </c>
      <c r="O7162" s="1">
        <v>0.10933333333333332</v>
      </c>
      <c r="P7162" s="1">
        <v>6.9018619182340687E-2</v>
      </c>
      <c r="Q7162" s="1">
        <v>3.5207438599126588</v>
      </c>
      <c r="R7162" s="2">
        <f t="shared" si="447"/>
        <v>94.560572887195264</v>
      </c>
      <c r="S7162" s="2">
        <f t="shared" si="446"/>
        <v>1.741713918692025</v>
      </c>
      <c r="T7162" s="2">
        <f t="shared" si="448"/>
        <v>2.7135816008934235</v>
      </c>
      <c r="U7162" s="2">
        <f t="shared" si="449"/>
        <v>99.015868406780712</v>
      </c>
    </row>
    <row r="7163" spans="1:21" x14ac:dyDescent="0.25">
      <c r="A7163">
        <v>7878017</v>
      </c>
      <c r="B7163">
        <v>58</v>
      </c>
      <c r="C7163" s="1">
        <f>0.255420415417026*(10.3/7.3)</f>
        <v>0.36038770942402254</v>
      </c>
      <c r="D7163" s="1">
        <f>0.43879017700563*(10.3/7.3)</f>
        <v>0.61911490728191632</v>
      </c>
      <c r="E7163" s="1">
        <f>1.5082817174721*(10.3/7.3)</f>
        <v>2.1281235191729695</v>
      </c>
      <c r="F7163" s="1">
        <f>4.23773960969914*(38.9/42.5)</f>
        <v>3.8787781368775627</v>
      </c>
      <c r="G7163" s="1">
        <v>0.22048999389503121</v>
      </c>
      <c r="H7163" s="1">
        <v>0.87470367861102483</v>
      </c>
      <c r="I7163" s="1">
        <v>3.124536383875026</v>
      </c>
      <c r="J7163" s="1">
        <v>1.1287507263684616E-2</v>
      </c>
      <c r="K7163" s="1">
        <v>1.1697617828445013</v>
      </c>
      <c r="L7163" s="1">
        <v>0.81502803368976728</v>
      </c>
      <c r="M7163" s="1">
        <v>9.9182509000317054E-2</v>
      </c>
      <c r="N7163" s="1">
        <v>0.40926052950616143</v>
      </c>
      <c r="O7163" s="1">
        <v>0.10438528735632184</v>
      </c>
      <c r="P7163" s="1">
        <v>5.9996581265923596E-2</v>
      </c>
      <c r="Q7163" s="1">
        <v>0.35238126878201376</v>
      </c>
      <c r="R7163" s="2">
        <f t="shared" si="447"/>
        <v>11.558515597919564</v>
      </c>
      <c r="S7163" s="2">
        <f t="shared" si="446"/>
        <v>1.2410458713741095</v>
      </c>
      <c r="T7163" s="2">
        <f t="shared" si="448"/>
        <v>1.4278563595525677</v>
      </c>
      <c r="U7163" s="2">
        <f t="shared" si="449"/>
        <v>14.227417828846242</v>
      </c>
    </row>
    <row r="7164" spans="1:21" x14ac:dyDescent="0.25">
      <c r="A7164">
        <v>7878025</v>
      </c>
      <c r="B7164">
        <v>46</v>
      </c>
      <c r="C7164" s="1">
        <f>0.501851139928363*(10.3/7.3)</f>
        <v>0.70809133441947147</v>
      </c>
      <c r="D7164" s="1">
        <f>0.800996521205371*(10.3/7.3)</f>
        <v>1.1301731737555238</v>
      </c>
      <c r="E7164" s="1">
        <f>2.75429597422486*(10.3/7.3)</f>
        <v>3.8861984293857645</v>
      </c>
      <c r="F7164" s="1">
        <f>8.04653928736645*(38.9/42.5)</f>
        <v>7.3649500771424661</v>
      </c>
      <c r="G7164" s="1">
        <v>0.42592126346120851</v>
      </c>
      <c r="H7164" s="1">
        <v>2.7044439553068931</v>
      </c>
      <c r="I7164" s="1">
        <v>6.0624690935279633</v>
      </c>
      <c r="J7164" s="1">
        <v>1.4149793120484108E-2</v>
      </c>
      <c r="K7164" s="1">
        <v>1.3378633949220535</v>
      </c>
      <c r="L7164" s="1">
        <v>0.95452614844591399</v>
      </c>
      <c r="M7164" s="1">
        <v>0.11452505995702103</v>
      </c>
      <c r="N7164" s="1">
        <v>0.4777065969737902</v>
      </c>
      <c r="O7164" s="1">
        <v>0.11919072463768116</v>
      </c>
      <c r="P7164" s="1">
        <v>6.7226678062412129E-2</v>
      </c>
      <c r="Q7164" s="1">
        <v>0.68069608315718322</v>
      </c>
      <c r="R7164" s="2">
        <f t="shared" si="447"/>
        <v>22.962943410156473</v>
      </c>
      <c r="S7164" s="2">
        <f t="shared" si="446"/>
        <v>1.4192398661049499</v>
      </c>
      <c r="T7164" s="2">
        <f t="shared" si="448"/>
        <v>1.6659485300144063</v>
      </c>
      <c r="U7164" s="2">
        <f t="shared" si="449"/>
        <v>26.04813180627583</v>
      </c>
    </row>
    <row r="7165" spans="1:21" x14ac:dyDescent="0.25">
      <c r="A7165">
        <v>7878417</v>
      </c>
      <c r="B7165">
        <v>13</v>
      </c>
      <c r="C7165" s="1">
        <f>0.696673645691021*(10.3/7.3)</f>
        <v>0.9829778836462354</v>
      </c>
      <c r="D7165" s="1">
        <f>2.78548688286458*(10.3/7.3)</f>
        <v>3.9302075196582371</v>
      </c>
      <c r="E7165" s="1">
        <f>9.25999995436263*(10.3/7.3)</f>
        <v>13.065479387662334</v>
      </c>
      <c r="F7165" s="1">
        <f>32.8513806606505*(38.9/42.5)</f>
        <v>30.068675475277711</v>
      </c>
      <c r="G7165" s="1">
        <v>1.9964287145240514</v>
      </c>
      <c r="H7165" s="1">
        <v>12.455490899705854</v>
      </c>
      <c r="I7165" s="1">
        <v>23.170162506940095</v>
      </c>
      <c r="J7165" s="1">
        <v>2.0910508115572126E-2</v>
      </c>
      <c r="K7165" s="1">
        <v>1.6519881328835611</v>
      </c>
      <c r="L7165" s="1">
        <v>1.9016592836990791</v>
      </c>
      <c r="M7165" s="1">
        <v>0.12501003528593146</v>
      </c>
      <c r="N7165" s="1">
        <v>0.87660796324794432</v>
      </c>
      <c r="O7165" s="1">
        <v>0.11269333333333334</v>
      </c>
      <c r="P7165" s="1">
        <v>6.9892592859163077E-2</v>
      </c>
      <c r="Q7165" s="1">
        <v>3.1906394980978021</v>
      </c>
      <c r="R7165" s="2">
        <f t="shared" si="447"/>
        <v>88.860061885512323</v>
      </c>
      <c r="S7165" s="2">
        <f t="shared" si="446"/>
        <v>1.7427912338582963</v>
      </c>
      <c r="T7165" s="2">
        <f t="shared" si="448"/>
        <v>3.0159706155662884</v>
      </c>
      <c r="U7165" s="2">
        <f t="shared" si="449"/>
        <v>93.61882373493691</v>
      </c>
    </row>
    <row r="7166" spans="1:21" x14ac:dyDescent="0.25">
      <c r="A7166">
        <v>7878425</v>
      </c>
      <c r="B7166">
        <v>38</v>
      </c>
      <c r="C7166" s="1">
        <f>0.701727275336346*(10.3/7.3)</f>
        <v>0.99010834739237841</v>
      </c>
      <c r="D7166" s="1">
        <f>3.12733343574554*(10.3/7.3)</f>
        <v>4.4125389572848004</v>
      </c>
      <c r="E7166" s="1">
        <f>10.4309719029802*(10.3/7.3)</f>
        <v>14.717672685026921</v>
      </c>
      <c r="F7166" s="1">
        <f>34.3989738932886*(38.9/42.5)</f>
        <v>31.485178457621767</v>
      </c>
      <c r="G7166" s="1">
        <v>2.0353285605579448</v>
      </c>
      <c r="H7166" s="1">
        <v>8.2391307897432586</v>
      </c>
      <c r="I7166" s="1">
        <v>23.594625133360658</v>
      </c>
      <c r="J7166" s="1">
        <v>2.1016588209502585E-2</v>
      </c>
      <c r="K7166" s="1">
        <v>1.6649014908211193</v>
      </c>
      <c r="L7166" s="1">
        <v>1.6168283814826185</v>
      </c>
      <c r="M7166" s="1">
        <v>0.12392533887263461</v>
      </c>
      <c r="N7166" s="1">
        <v>0.89395461638886464</v>
      </c>
      <c r="O7166" s="1">
        <v>0.11103999999999999</v>
      </c>
      <c r="P7166" s="1">
        <v>6.9683777194136695E-2</v>
      </c>
      <c r="Q7166" s="1">
        <v>3.2528082018049367</v>
      </c>
      <c r="R7166" s="2">
        <f t="shared" si="447"/>
        <v>88.727391132792675</v>
      </c>
      <c r="S7166" s="2">
        <f t="shared" si="446"/>
        <v>1.7556018562247586</v>
      </c>
      <c r="T7166" s="2">
        <f t="shared" si="448"/>
        <v>2.7457483367441178</v>
      </c>
      <c r="U7166" s="2">
        <f t="shared" si="449"/>
        <v>93.228741325761547</v>
      </c>
    </row>
    <row r="7167" spans="1:21" x14ac:dyDescent="0.25">
      <c r="A7167">
        <v>7890245</v>
      </c>
      <c r="B7167">
        <v>25</v>
      </c>
      <c r="C7167" s="1">
        <f>0.25927522086488*(10.3/7.3)</f>
        <v>0.36582668149428282</v>
      </c>
      <c r="D7167" s="1">
        <f>0.454198126044304*(10.3/7.3)</f>
        <v>0.64085489017210018</v>
      </c>
      <c r="E7167" s="1">
        <f>1.55952333750672*(10.3/7.3)</f>
        <v>2.2004233392218162</v>
      </c>
      <c r="F7167" s="1">
        <f>4.41850741194436*(38.9/42.5)</f>
        <v>4.044233842932603</v>
      </c>
      <c r="G7167" s="1">
        <v>0.23145149666008857</v>
      </c>
      <c r="H7167" s="1">
        <v>0.91397236696456474</v>
      </c>
      <c r="I7167" s="1">
        <v>3.2518475003470506</v>
      </c>
      <c r="J7167" s="1">
        <v>1.1810024153390745E-2</v>
      </c>
      <c r="K7167" s="1">
        <v>1.2345372961556942</v>
      </c>
      <c r="L7167" s="1">
        <v>0.8758102690340499</v>
      </c>
      <c r="M7167" s="1">
        <v>0.10477823358732294</v>
      </c>
      <c r="N7167" s="1">
        <v>0.43169117604437474</v>
      </c>
      <c r="O7167" s="1">
        <v>0.11073066666666666</v>
      </c>
      <c r="P7167" s="1">
        <v>6.3696581811498093E-2</v>
      </c>
      <c r="Q7167" s="1">
        <v>0.36989965219648901</v>
      </c>
      <c r="R7167" s="2">
        <f t="shared" si="447"/>
        <v>12.018509769988995</v>
      </c>
      <c r="S7167" s="2">
        <f t="shared" si="446"/>
        <v>1.310043902120583</v>
      </c>
      <c r="T7167" s="2">
        <f t="shared" si="448"/>
        <v>1.5230103453324144</v>
      </c>
      <c r="U7167" s="2">
        <f t="shared" si="449"/>
        <v>14.851564017441993</v>
      </c>
    </row>
    <row r="7168" spans="1:21" x14ac:dyDescent="0.25">
      <c r="A7168">
        <v>7890253</v>
      </c>
      <c r="B7168">
        <v>67</v>
      </c>
      <c r="C7168" s="1">
        <f>0.298981014306235*(10.3/7.3)</f>
        <v>0.42184992429509816</v>
      </c>
      <c r="D7168" s="1">
        <f>0.509818411487488*(10.3/7.3)</f>
        <v>0.71933282716727776</v>
      </c>
      <c r="E7168" s="1">
        <f>1.75196141427568*(10.3/7.3)</f>
        <v>2.4719455571286963</v>
      </c>
      <c r="F7168" s="1">
        <f>4.96879719690228*(38.9/42.5)</f>
        <v>4.5479108461058546</v>
      </c>
      <c r="G7168" s="1">
        <v>0.25985233303505417</v>
      </c>
      <c r="H7168" s="1">
        <v>1.0196179681104907</v>
      </c>
      <c r="I7168" s="1">
        <v>3.6758783689569037</v>
      </c>
      <c r="J7168" s="1">
        <v>1.1412571490534019E-2</v>
      </c>
      <c r="K7168" s="1">
        <v>1.1610604399691726</v>
      </c>
      <c r="L7168" s="1">
        <v>0.80116228167043158</v>
      </c>
      <c r="M7168" s="1">
        <v>9.7611841701607388E-2</v>
      </c>
      <c r="N7168" s="1">
        <v>0.40595308822410547</v>
      </c>
      <c r="O7168" s="1">
        <v>0.10272716417910446</v>
      </c>
      <c r="P7168" s="1">
        <v>5.9356978224366141E-2</v>
      </c>
      <c r="Q7168" s="1">
        <v>0.41528911672268948</v>
      </c>
      <c r="R7168" s="2">
        <f t="shared" si="447"/>
        <v>13.531676941522063</v>
      </c>
      <c r="S7168" s="2">
        <f t="shared" si="446"/>
        <v>1.2318299896840728</v>
      </c>
      <c r="T7168" s="2">
        <f t="shared" si="448"/>
        <v>1.4074543757752489</v>
      </c>
      <c r="U7168" s="2">
        <f t="shared" si="449"/>
        <v>16.170961306981386</v>
      </c>
    </row>
    <row r="7169" spans="1:21" x14ac:dyDescent="0.25">
      <c r="A7169">
        <v>7890261</v>
      </c>
      <c r="B7169">
        <v>18</v>
      </c>
      <c r="C7169" s="1">
        <f>0.481840151428288*(10.3/7.3)</f>
        <v>0.67985665201525547</v>
      </c>
      <c r="D7169" s="1">
        <f>0.78820387251492*(10.3/7.3)</f>
        <v>1.1121232721785863</v>
      </c>
      <c r="E7169" s="1">
        <f>2.70529444179964*(10.3/7.3)</f>
        <v>3.8170592808953856</v>
      </c>
      <c r="F7169" s="1">
        <f>8.04029731844565*(38.9/42.5)</f>
        <v>7.359236839706722</v>
      </c>
      <c r="G7169" s="1">
        <v>0.43073554081581894</v>
      </c>
      <c r="H7169" s="1">
        <v>2.7899635262776048</v>
      </c>
      <c r="I7169" s="1">
        <v>6.0496069917544233</v>
      </c>
      <c r="J7169" s="1">
        <v>1.7002045988089871E-2</v>
      </c>
      <c r="K7169" s="1">
        <v>1.3321435096574521</v>
      </c>
      <c r="L7169" s="1">
        <v>0.95134896369307365</v>
      </c>
      <c r="M7169" s="1">
        <v>0.11388683637580092</v>
      </c>
      <c r="N7169" s="1">
        <v>0.47938993829891591</v>
      </c>
      <c r="O7169" s="1">
        <v>0.11915851851851851</v>
      </c>
      <c r="P7169" s="1">
        <v>6.6842183255030843E-2</v>
      </c>
      <c r="Q7169" s="1">
        <v>0.68839013372391233</v>
      </c>
      <c r="R7169" s="2">
        <f t="shared" si="447"/>
        <v>22.926972237367711</v>
      </c>
      <c r="S7169" s="2">
        <f t="shared" si="446"/>
        <v>1.4159877389005728</v>
      </c>
      <c r="T7169" s="2">
        <f t="shared" si="448"/>
        <v>1.663784256886309</v>
      </c>
      <c r="U7169" s="2">
        <f t="shared" si="449"/>
        <v>26.006744233154592</v>
      </c>
    </row>
    <row r="7170" spans="1:21" x14ac:dyDescent="0.25">
      <c r="A7170">
        <v>7890653</v>
      </c>
      <c r="B7170">
        <v>8</v>
      </c>
      <c r="C7170" s="1">
        <f>0.734848383477688*(10.3/7.3)</f>
        <v>1.036840869838382</v>
      </c>
      <c r="D7170" s="1">
        <f>3.73045936898292*(10.3/7.3)</f>
        <v>5.2635248630854958</v>
      </c>
      <c r="E7170" s="1">
        <f>12.226451322062*(10.3/7.3)</f>
        <v>17.251020358525871</v>
      </c>
      <c r="F7170" s="1">
        <f>50.4841119718706*(38.9/42.5)</f>
        <v>46.207810722488659</v>
      </c>
      <c r="G7170" s="1">
        <v>3.2496955268300205</v>
      </c>
      <c r="H7170" s="1">
        <v>10.995968031334172</v>
      </c>
      <c r="I7170" s="1">
        <v>36.450434422340777</v>
      </c>
      <c r="J7170" s="1">
        <v>2.1382564533562669E-2</v>
      </c>
      <c r="K7170" s="1">
        <v>1.6967752944943564</v>
      </c>
      <c r="L7170" s="1">
        <v>1.8060735499402703</v>
      </c>
      <c r="M7170" s="1">
        <v>0.12590673155126306</v>
      </c>
      <c r="N7170" s="1">
        <v>0.90351679736360546</v>
      </c>
      <c r="O7170" s="1">
        <v>0.11441999999999999</v>
      </c>
      <c r="P7170" s="1">
        <v>7.0469334181566298E-2</v>
      </c>
      <c r="Q7170" s="1">
        <v>5.1935773259840561</v>
      </c>
      <c r="R7170" s="2">
        <f t="shared" si="447"/>
        <v>125.64887212042744</v>
      </c>
      <c r="S7170" s="2">
        <f t="shared" si="446"/>
        <v>1.7886271932094853</v>
      </c>
      <c r="T7170" s="2">
        <f t="shared" si="448"/>
        <v>2.9499170788551385</v>
      </c>
      <c r="U7170" s="2">
        <f t="shared" si="449"/>
        <v>130.38741639249207</v>
      </c>
    </row>
    <row r="7171" spans="1:21" x14ac:dyDescent="0.25">
      <c r="A7171">
        <v>7902481</v>
      </c>
      <c r="B7171">
        <v>51</v>
      </c>
      <c r="C7171" s="1">
        <f>0.295038170199145*(10.3/7.3)</f>
        <v>0.41628673329468385</v>
      </c>
      <c r="D7171" s="1">
        <f>0.525430862343611*(10.3/7.3)</f>
        <v>0.74136135371769785</v>
      </c>
      <c r="E7171" s="1">
        <f>1.80198667539115*(10.3/7.3)</f>
        <v>2.5425291447299787</v>
      </c>
      <c r="F7171" s="1">
        <f>5.16490582585403*(38.9/42.5)</f>
        <v>4.7274079206052217</v>
      </c>
      <c r="G7171" s="1">
        <v>0.27279570454310259</v>
      </c>
      <c r="H7171" s="1">
        <v>1.0432333159333873</v>
      </c>
      <c r="I7171" s="1">
        <v>3.7992894501976742</v>
      </c>
      <c r="J7171" s="1">
        <v>1.1975652204048972E-2</v>
      </c>
      <c r="K7171" s="1">
        <v>1.2458870645236657</v>
      </c>
      <c r="L7171" s="1">
        <v>0.88159546811292255</v>
      </c>
      <c r="M7171" s="1">
        <v>0.10600040526791026</v>
      </c>
      <c r="N7171" s="1">
        <v>0.43680944088930418</v>
      </c>
      <c r="O7171" s="1">
        <v>0.11114039215686279</v>
      </c>
      <c r="P7171" s="1">
        <v>6.3682793590696243E-2</v>
      </c>
      <c r="Q7171" s="1">
        <v>0.43597487027436527</v>
      </c>
      <c r="R7171" s="2">
        <f t="shared" si="447"/>
        <v>13.978878493296111</v>
      </c>
      <c r="S7171" s="2">
        <f t="shared" si="446"/>
        <v>1.3215455103184111</v>
      </c>
      <c r="T7171" s="2">
        <f t="shared" si="448"/>
        <v>1.5355457064269997</v>
      </c>
      <c r="U7171" s="2">
        <f t="shared" si="449"/>
        <v>16.835969710041525</v>
      </c>
    </row>
    <row r="7172" spans="1:21" x14ac:dyDescent="0.25">
      <c r="A7172">
        <v>7902489</v>
      </c>
      <c r="B7172">
        <v>52</v>
      </c>
      <c r="C7172" s="1">
        <f>0.427373236222929*(10.3/7.3)</f>
        <v>0.60300607302687315</v>
      </c>
      <c r="D7172" s="1">
        <f>0.760848622800598*(10.3/7.3)</f>
        <v>1.0735261390200213</v>
      </c>
      <c r="E7172" s="1">
        <f>2.60381970809557*(10.3/7.3)</f>
        <v>3.6738826018334767</v>
      </c>
      <c r="F7172" s="1">
        <f>7.74910119804875*(38.9/42.5)</f>
        <v>7.0927067436257945</v>
      </c>
      <c r="G7172" s="1">
        <v>0.41822329999884256</v>
      </c>
      <c r="H7172" s="1">
        <v>1.6233429088333335</v>
      </c>
      <c r="I7172" s="1">
        <v>5.7456304533697153</v>
      </c>
      <c r="J7172" s="1">
        <v>1.5369863209511983E-2</v>
      </c>
      <c r="K7172" s="1">
        <v>1.3570730109731626</v>
      </c>
      <c r="L7172" s="1">
        <v>0.97365832807975761</v>
      </c>
      <c r="M7172" s="1">
        <v>0.11590278184397219</v>
      </c>
      <c r="N7172" s="1">
        <v>0.50171737372864456</v>
      </c>
      <c r="O7172" s="1">
        <v>0.12022769230769231</v>
      </c>
      <c r="P7172" s="1">
        <v>6.8181551694565426E-2</v>
      </c>
      <c r="Q7172" s="1">
        <v>0.6683934018246348</v>
      </c>
      <c r="R7172" s="2">
        <f t="shared" si="447"/>
        <v>20.898711621532691</v>
      </c>
      <c r="S7172" s="2">
        <f t="shared" si="446"/>
        <v>1.44062442587724</v>
      </c>
      <c r="T7172" s="2">
        <f t="shared" si="448"/>
        <v>1.7115061759600669</v>
      </c>
      <c r="U7172" s="2">
        <f t="shared" si="449"/>
        <v>24.050842223369997</v>
      </c>
    </row>
    <row r="7173" spans="1:21" x14ac:dyDescent="0.25">
      <c r="A7173">
        <v>7914717</v>
      </c>
      <c r="B7173">
        <v>68</v>
      </c>
      <c r="C7173" s="1">
        <f>0.37121440685879*(10.3/7.3)</f>
        <v>0.52376827269116932</v>
      </c>
      <c r="D7173" s="1">
        <f>0.684781468480446*(10.3/7.3)</f>
        <v>0.96619851032172577</v>
      </c>
      <c r="E7173" s="1">
        <f>2.34227908923938*(10.3/7.3)</f>
        <v>3.3048595368720006</v>
      </c>
      <c r="F7173" s="1">
        <f>6.89830775156283*(38.9/42.5)</f>
        <v>6.3139805067245645</v>
      </c>
      <c r="G7173" s="1">
        <v>0.37111111093169263</v>
      </c>
      <c r="H7173" s="1">
        <v>1.3823429276167933</v>
      </c>
      <c r="I7173" s="1">
        <v>5.0729930198506441</v>
      </c>
      <c r="J7173" s="1">
        <v>1.3209842096883829E-2</v>
      </c>
      <c r="K7173" s="1">
        <v>1.3338251258773322</v>
      </c>
      <c r="L7173" s="1">
        <v>0.9583139877878869</v>
      </c>
      <c r="M7173" s="1">
        <v>0.1128054146988367</v>
      </c>
      <c r="N7173" s="1">
        <v>0.48920167071114379</v>
      </c>
      <c r="O7173" s="1">
        <v>0.11865333333333332</v>
      </c>
      <c r="P7173" s="1">
        <v>6.7614905550607521E-2</v>
      </c>
      <c r="Q7173" s="1">
        <v>0.59309994897759111</v>
      </c>
      <c r="R7173" s="2">
        <f t="shared" si="447"/>
        <v>18.528353833986184</v>
      </c>
      <c r="S7173" s="2">
        <f t="shared" si="446"/>
        <v>1.4146498735248234</v>
      </c>
      <c r="T7173" s="2">
        <f t="shared" si="448"/>
        <v>1.6789744065312007</v>
      </c>
      <c r="U7173" s="2">
        <f t="shared" si="449"/>
        <v>21.621978114042207</v>
      </c>
    </row>
    <row r="7174" spans="1:21" x14ac:dyDescent="0.25">
      <c r="A7174">
        <v>7914725</v>
      </c>
      <c r="B7174">
        <v>6</v>
      </c>
      <c r="C7174" s="1">
        <f>0.506627178202504*(10.3/7.3)</f>
        <v>0.71483012814873792</v>
      </c>
      <c r="D7174" s="1">
        <f>0.940554576543274*(10.3/7.3)</f>
        <v>1.3270838545747565</v>
      </c>
      <c r="E7174" s="1">
        <f>3.20758780565472*(10.3/7.3)</f>
        <v>4.5257745751018703</v>
      </c>
      <c r="F7174" s="1">
        <f>9.90555773086822*(38.9/42.5)</f>
        <v>9.0664987230770322</v>
      </c>
      <c r="G7174" s="1">
        <v>0.54704325690607869</v>
      </c>
      <c r="H7174" s="1">
        <v>2.0234574235350085</v>
      </c>
      <c r="I7174" s="1">
        <v>7.3493846196686903</v>
      </c>
      <c r="J7174" s="1">
        <v>2.0897778504300468E-2</v>
      </c>
      <c r="K7174" s="1">
        <v>1.5147107963638211</v>
      </c>
      <c r="L7174" s="1">
        <v>1.1454117328286426</v>
      </c>
      <c r="M7174" s="1">
        <v>0.13238710784073568</v>
      </c>
      <c r="N7174" s="1">
        <v>0.57032131633109728</v>
      </c>
      <c r="O7174" s="1">
        <v>0.13852444444444442</v>
      </c>
      <c r="P7174" s="1">
        <v>7.4746598473257E-2</v>
      </c>
      <c r="Q7174" s="1">
        <v>0.87427004528368835</v>
      </c>
      <c r="R7174" s="2">
        <f t="shared" si="447"/>
        <v>26.428342626295859</v>
      </c>
      <c r="S7174" s="2">
        <f t="shared" si="446"/>
        <v>1.6103551733413786</v>
      </c>
      <c r="T7174" s="2">
        <f t="shared" si="448"/>
        <v>1.9866446014449199</v>
      </c>
      <c r="U7174" s="2">
        <f t="shared" si="449"/>
        <v>30.025342401082156</v>
      </c>
    </row>
    <row r="7175" spans="1:21" x14ac:dyDescent="0.25">
      <c r="A7175">
        <v>7914733</v>
      </c>
      <c r="B7175">
        <v>3</v>
      </c>
      <c r="C7175" s="1">
        <f>0.326519623184287*(10.3/7.3)</f>
        <v>0.4607057696983769</v>
      </c>
      <c r="D7175" s="1">
        <f>0.650530797082053*(10.3/7.3)</f>
        <v>0.91787222054043061</v>
      </c>
      <c r="E7175" s="1">
        <f>2.2094589189993*(10.3/7.3)</f>
        <v>3.1174557350264136</v>
      </c>
      <c r="F7175" s="1">
        <f>7.04973873719109*(38.9/42.5)</f>
        <v>6.4525843970996055</v>
      </c>
      <c r="G7175" s="1">
        <v>0.39763505150415374</v>
      </c>
      <c r="H7175" s="1">
        <v>2.6541258206277196</v>
      </c>
      <c r="I7175" s="1">
        <v>5.2098628993490834</v>
      </c>
      <c r="J7175" s="1">
        <v>1.4681484999975561E-2</v>
      </c>
      <c r="K7175" s="1">
        <v>1.2750434809859243</v>
      </c>
      <c r="L7175" s="1">
        <v>0.92220840890232747</v>
      </c>
      <c r="M7175" s="1">
        <v>0.11116258431771979</v>
      </c>
      <c r="N7175" s="1">
        <v>0.45643769478609325</v>
      </c>
      <c r="O7175" s="1">
        <v>0.11352888888888889</v>
      </c>
      <c r="P7175" s="1">
        <v>6.3028988721016879E-2</v>
      </c>
      <c r="Q7175" s="1">
        <v>0.63548980833997237</v>
      </c>
      <c r="R7175" s="2">
        <f t="shared" si="447"/>
        <v>19.845731702185756</v>
      </c>
      <c r="S7175" s="2">
        <f t="shared" si="446"/>
        <v>1.3527539547069167</v>
      </c>
      <c r="T7175" s="2">
        <f t="shared" si="448"/>
        <v>1.6033375768950293</v>
      </c>
      <c r="U7175" s="2">
        <f t="shared" si="449"/>
        <v>22.801823233787701</v>
      </c>
    </row>
    <row r="7176" spans="1:21" x14ac:dyDescent="0.25">
      <c r="A7176">
        <v>7926945</v>
      </c>
      <c r="B7176">
        <v>17</v>
      </c>
      <c r="C7176" s="1">
        <f>0.238354217417831*(10.3/7.3)</f>
        <v>0.33630800539776112</v>
      </c>
      <c r="D7176" s="1">
        <f>0.420598014925116*(10.3/7.3)</f>
        <v>0.59344651420941064</v>
      </c>
      <c r="E7176" s="1">
        <f>1.44445794676962*(10.3/7.3)</f>
        <v>2.0380708016064482</v>
      </c>
      <c r="F7176" s="1">
        <f>4.05943141217528*(38.9/42.5)</f>
        <v>3.7155736925557297</v>
      </c>
      <c r="G7176" s="1">
        <v>0.2117213202792386</v>
      </c>
      <c r="H7176" s="1">
        <v>0.83352755268924383</v>
      </c>
      <c r="I7176" s="1">
        <v>2.9783849247056131</v>
      </c>
      <c r="J7176" s="1">
        <v>1.1318371622048479E-2</v>
      </c>
      <c r="K7176" s="1">
        <v>1.1860980653612947</v>
      </c>
      <c r="L7176" s="1">
        <v>0.83651849516226895</v>
      </c>
      <c r="M7176" s="1">
        <v>0.10161743856672574</v>
      </c>
      <c r="N7176" s="1">
        <v>0.41304885446241302</v>
      </c>
      <c r="O7176" s="1">
        <v>0.10603607843137254</v>
      </c>
      <c r="P7176" s="1">
        <v>6.0795741836267993E-2</v>
      </c>
      <c r="Q7176" s="1">
        <v>0.3383674068389661</v>
      </c>
      <c r="R7176" s="2">
        <f t="shared" si="447"/>
        <v>11.045400218282412</v>
      </c>
      <c r="S7176" s="2">
        <f t="shared" si="446"/>
        <v>1.258212178819611</v>
      </c>
      <c r="T7176" s="2">
        <f t="shared" si="448"/>
        <v>1.4572208666227802</v>
      </c>
      <c r="U7176" s="2">
        <f t="shared" si="449"/>
        <v>13.760833263724802</v>
      </c>
    </row>
    <row r="7177" spans="1:21" x14ac:dyDescent="0.25">
      <c r="A7177">
        <v>7926953</v>
      </c>
      <c r="B7177">
        <v>62</v>
      </c>
      <c r="C7177" s="1">
        <f>0.406319313887668*(10.3/7.3)</f>
        <v>0.57329985384150461</v>
      </c>
      <c r="D7177" s="1">
        <f>0.771115054794266*(10.3/7.3)</f>
        <v>1.0880116526549228</v>
      </c>
      <c r="E7177" s="1">
        <f>2.63171054743399*(10.3/7.3)</f>
        <v>3.7132354299411121</v>
      </c>
      <c r="F7177" s="1">
        <f>7.93487151206308*(38.9/42.5)</f>
        <v>7.2627412192765579</v>
      </c>
      <c r="G7177" s="1">
        <v>0.43332100278223445</v>
      </c>
      <c r="H7177" s="1">
        <v>1.6161104549252956</v>
      </c>
      <c r="I7177" s="1">
        <v>5.837439407651356</v>
      </c>
      <c r="J7177" s="1">
        <v>1.5061320175016881E-2</v>
      </c>
      <c r="K7177" s="1">
        <v>1.3947914959931358</v>
      </c>
      <c r="L7177" s="1">
        <v>1.0124800603502186</v>
      </c>
      <c r="M7177" s="1">
        <v>0.11878211891715747</v>
      </c>
      <c r="N7177" s="1">
        <v>0.49941184948666156</v>
      </c>
      <c r="O7177" s="1">
        <v>0.12362580645161289</v>
      </c>
      <c r="P7177" s="1">
        <v>6.9876278542955889E-2</v>
      </c>
      <c r="Q7177" s="1">
        <v>0.69252215056521538</v>
      </c>
      <c r="R7177" s="2">
        <f t="shared" si="447"/>
        <v>21.216681171638196</v>
      </c>
      <c r="S7177" s="2">
        <f t="shared" ref="S7177:S7240" si="450">J7177+K7177+P7177</f>
        <v>1.4797290947111086</v>
      </c>
      <c r="T7177" s="2">
        <f t="shared" si="448"/>
        <v>1.7542998352056505</v>
      </c>
      <c r="U7177" s="2">
        <f t="shared" si="449"/>
        <v>24.450710101554954</v>
      </c>
    </row>
    <row r="7178" spans="1:21" x14ac:dyDescent="0.25">
      <c r="A7178">
        <v>7926969</v>
      </c>
      <c r="B7178">
        <v>15</v>
      </c>
      <c r="C7178" s="1">
        <f>0.248372115418679*(10.3/7.3)</f>
        <v>0.35044284778251994</v>
      </c>
      <c r="D7178" s="1">
        <f>0.476421622860938*(10.3/7.3)</f>
        <v>0.67221133088598117</v>
      </c>
      <c r="E7178" s="1">
        <f>1.62478221373927*(10.3/7.3)</f>
        <v>2.292500931714311</v>
      </c>
      <c r="F7178" s="1">
        <f>4.93279877382506*(38.9/42.5)</f>
        <v>4.5149617012187013</v>
      </c>
      <c r="G7178" s="1">
        <v>0.27057638232141801</v>
      </c>
      <c r="H7178" s="1">
        <v>1.7940654403794225</v>
      </c>
      <c r="I7178" s="1">
        <v>3.6281083888924135</v>
      </c>
      <c r="J7178" s="1">
        <v>1.2299633290923645E-2</v>
      </c>
      <c r="K7178" s="1">
        <v>1.1775911228769427</v>
      </c>
      <c r="L7178" s="1">
        <v>0.83491832076167738</v>
      </c>
      <c r="M7178" s="1">
        <v>0.10230007759848388</v>
      </c>
      <c r="N7178" s="1">
        <v>0.41754536315669438</v>
      </c>
      <c r="O7178" s="1">
        <v>0.10407822222222224</v>
      </c>
      <c r="P7178" s="1">
        <v>5.8701121361376916E-2</v>
      </c>
      <c r="Q7178" s="1">
        <v>0.43242800827623917</v>
      </c>
      <c r="R7178" s="2">
        <f t="shared" ref="R7178:R7241" si="451">C7178+D7178+E7178+F7178+G7178+H7178+I7178+Q7178</f>
        <v>13.955295031471007</v>
      </c>
      <c r="S7178" s="2">
        <f t="shared" si="450"/>
        <v>1.2485918775292431</v>
      </c>
      <c r="T7178" s="2">
        <f t="shared" ref="T7178:T7241" si="452">L7178+M7178+N7178+O7178</f>
        <v>1.458841983739078</v>
      </c>
      <c r="U7178" s="2">
        <f t="shared" ref="U7178:U7241" si="453">R7178+S7178+T7178</f>
        <v>16.662728892739327</v>
      </c>
    </row>
    <row r="7179" spans="1:21" x14ac:dyDescent="0.25">
      <c r="A7179">
        <v>7939181</v>
      </c>
      <c r="B7179">
        <v>42</v>
      </c>
      <c r="C7179" s="1">
        <f>0.356896959960568*(10.3/7.3)</f>
        <v>0.5035669435060075</v>
      </c>
      <c r="D7179" s="1">
        <f>0.682054820588165*(10.3/7.3)</f>
        <v>0.96235132219973929</v>
      </c>
      <c r="E7179" s="1">
        <f>2.32991891879825*(10.3/7.3)</f>
        <v>3.2874198443317733</v>
      </c>
      <c r="F7179" s="1">
        <f>6.88868709561223*(38.9/42.5)</f>
        <v>6.3051747769250781</v>
      </c>
      <c r="G7179" s="1">
        <v>0.37235176503988326</v>
      </c>
      <c r="H7179" s="1">
        <v>1.3656524102310792</v>
      </c>
      <c r="I7179" s="1">
        <v>5.0406499082324192</v>
      </c>
      <c r="J7179" s="1">
        <v>1.3181411443137983E-2</v>
      </c>
      <c r="K7179" s="1">
        <v>1.3502182592421017</v>
      </c>
      <c r="L7179" s="1">
        <v>0.9788515186365051</v>
      </c>
      <c r="M7179" s="1">
        <v>0.11412003749556453</v>
      </c>
      <c r="N7179" s="1">
        <v>0.47781397744493814</v>
      </c>
      <c r="O7179" s="1">
        <v>0.11990984126984129</v>
      </c>
      <c r="P7179" s="1">
        <v>6.8365578722329026E-2</v>
      </c>
      <c r="Q7179" s="1">
        <v>0.59508272951579588</v>
      </c>
      <c r="R7179" s="2">
        <f t="shared" si="451"/>
        <v>18.432249699981774</v>
      </c>
      <c r="S7179" s="2">
        <f t="shared" si="450"/>
        <v>1.4317652494075686</v>
      </c>
      <c r="T7179" s="2">
        <f t="shared" si="452"/>
        <v>1.6906953748468492</v>
      </c>
      <c r="U7179" s="2">
        <f t="shared" si="453"/>
        <v>21.554710324236193</v>
      </c>
    </row>
    <row r="7180" spans="1:21" x14ac:dyDescent="0.25">
      <c r="A7180">
        <v>7939189</v>
      </c>
      <c r="B7180">
        <v>19</v>
      </c>
      <c r="C7180" s="1">
        <f>0.382492199670487*(10.3/7.3)</f>
        <v>0.53968077487753718</v>
      </c>
      <c r="D7180" s="1">
        <f>0.751368774001984*(10.3/7.3)</f>
        <v>1.0601504619480051</v>
      </c>
      <c r="E7180" s="1">
        <f>2.55900445080764*(10.3/7.3)</f>
        <v>3.6106501155231134</v>
      </c>
      <c r="F7180" s="1">
        <f>7.85422520439804*(38.9/42.5)</f>
        <v>7.1889261282607944</v>
      </c>
      <c r="G7180" s="1">
        <v>0.43399674231330027</v>
      </c>
      <c r="H7180" s="1">
        <v>2.2737299567368852</v>
      </c>
      <c r="I7180" s="1">
        <v>5.7690298919296845</v>
      </c>
      <c r="J7180" s="1">
        <v>1.4609573862616384E-2</v>
      </c>
      <c r="K7180" s="1">
        <v>1.385951931582629</v>
      </c>
      <c r="L7180" s="1">
        <v>1.0061337177910901</v>
      </c>
      <c r="M7180" s="1">
        <v>0.11826405756806842</v>
      </c>
      <c r="N7180" s="1">
        <v>0.49143923570016984</v>
      </c>
      <c r="O7180" s="1">
        <v>0.12220912280701754</v>
      </c>
      <c r="P7180" s="1">
        <v>6.9421683829198624E-2</v>
      </c>
      <c r="Q7180" s="1">
        <v>0.69360209958746699</v>
      </c>
      <c r="R7180" s="2">
        <f t="shared" si="451"/>
        <v>21.569766171176788</v>
      </c>
      <c r="S7180" s="2">
        <f t="shared" si="450"/>
        <v>1.4699831892744439</v>
      </c>
      <c r="T7180" s="2">
        <f t="shared" si="452"/>
        <v>1.7380461338663458</v>
      </c>
      <c r="U7180" s="2">
        <f t="shared" si="453"/>
        <v>24.777795494317576</v>
      </c>
    </row>
    <row r="7181" spans="1:21" x14ac:dyDescent="0.25">
      <c r="A7181">
        <v>7939197</v>
      </c>
      <c r="B7181">
        <v>5</v>
      </c>
      <c r="C7181" s="1">
        <f>0.315909129452121*(10.3/7.3)</f>
        <v>0.44573479908997876</v>
      </c>
      <c r="D7181" s="1">
        <f>0.638141570066067*(10.3/7.3)</f>
        <v>0.90039153036719044</v>
      </c>
      <c r="E7181" s="1">
        <f>2.16631378947867*(10.3/7.3)</f>
        <v>3.0565797303603217</v>
      </c>
      <c r="F7181" s="1">
        <f>6.92297274626716*(38.9/42.5)</f>
        <v>6.3365562312892321</v>
      </c>
      <c r="G7181" s="1">
        <v>0.39111151908875913</v>
      </c>
      <c r="H7181" s="1">
        <v>2.8187434286890971</v>
      </c>
      <c r="I7181" s="1">
        <v>5.1077426435423092</v>
      </c>
      <c r="J7181" s="1">
        <v>1.3050397475700821E-2</v>
      </c>
      <c r="K7181" s="1">
        <v>1.2541722282117518</v>
      </c>
      <c r="L7181" s="1">
        <v>0.89923222526433333</v>
      </c>
      <c r="M7181" s="1">
        <v>0.10882051830273279</v>
      </c>
      <c r="N7181" s="1">
        <v>0.44865657152479554</v>
      </c>
      <c r="O7181" s="1">
        <v>0.11109333333333334</v>
      </c>
      <c r="P7181" s="1">
        <v>6.2151062986363081E-2</v>
      </c>
      <c r="Q7181" s="1">
        <v>0.62506407160304023</v>
      </c>
      <c r="R7181" s="2">
        <f t="shared" si="451"/>
        <v>19.68192395402993</v>
      </c>
      <c r="S7181" s="2">
        <f t="shared" si="450"/>
        <v>1.3293736886738157</v>
      </c>
      <c r="T7181" s="2">
        <f t="shared" si="452"/>
        <v>1.5678026484251948</v>
      </c>
      <c r="U7181" s="2">
        <f t="shared" si="453"/>
        <v>22.579100291128938</v>
      </c>
    </row>
    <row r="7182" spans="1:21" x14ac:dyDescent="0.25">
      <c r="A7182">
        <v>7951417</v>
      </c>
      <c r="B7182">
        <v>55</v>
      </c>
      <c r="C7182" s="1">
        <f>0.336500815861767*(10.3/7.3)</f>
        <v>0.47478882238030096</v>
      </c>
      <c r="D7182" s="1">
        <f>0.64932644322061*(10.3/7.3)</f>
        <v>0.91617292673592898</v>
      </c>
      <c r="E7182" s="1">
        <f>2.21669181135806*(10.3/7.3)</f>
        <v>3.1276610489024712</v>
      </c>
      <c r="F7182" s="1">
        <f>6.59434514441621*(38.9/42.5)</f>
        <v>6.0357653204186059</v>
      </c>
      <c r="G7182" s="1">
        <v>0.35789885779327657</v>
      </c>
      <c r="H7182" s="1">
        <v>1.4215774113942012</v>
      </c>
      <c r="I7182" s="1">
        <v>4.8242618641106585</v>
      </c>
      <c r="J7182" s="1">
        <v>1.3172447445590259E-2</v>
      </c>
      <c r="K7182" s="1">
        <v>1.3483514407127537</v>
      </c>
      <c r="L7182" s="1">
        <v>0.97494493254686276</v>
      </c>
      <c r="M7182" s="1">
        <v>0.1146059519129374</v>
      </c>
      <c r="N7182" s="1">
        <v>0.47580108312049219</v>
      </c>
      <c r="O7182" s="1">
        <v>0.11919321212121213</v>
      </c>
      <c r="P7182" s="1">
        <v>6.794869812025961E-2</v>
      </c>
      <c r="Q7182" s="1">
        <v>0.5719844759253282</v>
      </c>
      <c r="R7182" s="2">
        <f t="shared" si="451"/>
        <v>17.730110727660772</v>
      </c>
      <c r="S7182" s="2">
        <f t="shared" si="450"/>
        <v>1.4294725862786035</v>
      </c>
      <c r="T7182" s="2">
        <f t="shared" si="452"/>
        <v>1.6845451797015043</v>
      </c>
      <c r="U7182" s="2">
        <f t="shared" si="453"/>
        <v>20.844128493640881</v>
      </c>
    </row>
    <row r="7183" spans="1:21" x14ac:dyDescent="0.25">
      <c r="A7183">
        <v>7951425</v>
      </c>
      <c r="B7183">
        <v>12</v>
      </c>
      <c r="C7183" s="1">
        <f>0.402380935979074*(10.3/7.3)</f>
        <v>0.56774296446362549</v>
      </c>
      <c r="D7183" s="1">
        <f>0.885435732463265*(10.3/7.3)</f>
        <v>1.2493134307358391</v>
      </c>
      <c r="E7183" s="1">
        <f>2.98129284571013*(10.3/7.3)</f>
        <v>4.2064816864129195</v>
      </c>
      <c r="F7183" s="1">
        <f>10.4323567978113*(38.9/42.5)</f>
        <v>9.5486748102320291</v>
      </c>
      <c r="G7183" s="1">
        <v>0.61704426469133733</v>
      </c>
      <c r="H7183" s="1">
        <v>4.5288317189895961</v>
      </c>
      <c r="I7183" s="1">
        <v>7.7540534908593974</v>
      </c>
      <c r="J7183" s="1">
        <v>1.5380199218664181E-2</v>
      </c>
      <c r="K7183" s="1">
        <v>1.4340290892842518</v>
      </c>
      <c r="L7183" s="1">
        <v>1.0689544316011064</v>
      </c>
      <c r="M7183" s="1">
        <v>0.12327074298587191</v>
      </c>
      <c r="N7183" s="1">
        <v>0.51508202994367314</v>
      </c>
      <c r="O7183" s="1">
        <v>0.13108888888888889</v>
      </c>
      <c r="P7183" s="1">
        <v>7.0299775304463116E-2</v>
      </c>
      <c r="Q7183" s="1">
        <v>0.98614380201812002</v>
      </c>
      <c r="R7183" s="2">
        <f t="shared" si="451"/>
        <v>29.458286168402868</v>
      </c>
      <c r="S7183" s="2">
        <f t="shared" si="450"/>
        <v>1.5197090638073791</v>
      </c>
      <c r="T7183" s="2">
        <f t="shared" si="452"/>
        <v>1.8383960934195402</v>
      </c>
      <c r="U7183" s="2">
        <f t="shared" si="453"/>
        <v>32.816391325629787</v>
      </c>
    </row>
    <row r="7184" spans="1:21" x14ac:dyDescent="0.25">
      <c r="A7184">
        <v>796029</v>
      </c>
      <c r="B7184">
        <v>46</v>
      </c>
      <c r="C7184" s="1">
        <f>2.00674131727002*(10.3/7.3)</f>
        <v>2.8314295298467367</v>
      </c>
      <c r="D7184" s="1">
        <f>2.98080510240484*(10.3/7.3)</f>
        <v>4.2057935006534111</v>
      </c>
      <c r="E7184" s="1">
        <f>10.4890414386456*(10.3/7.3)</f>
        <v>14.799606413431423</v>
      </c>
      <c r="F7184" s="1">
        <f>19.7459623223901*(38.9/42.5)</f>
        <v>18.073363160964128</v>
      </c>
      <c r="G7184" s="1">
        <v>0.69553945530914096</v>
      </c>
      <c r="H7184" s="1">
        <v>3.830278141069317</v>
      </c>
      <c r="I7184" s="1">
        <v>13.662245867270492</v>
      </c>
      <c r="J7184" s="1">
        <v>4.3122019400531376E-2</v>
      </c>
      <c r="K7184" s="1">
        <v>6.6217814525186318</v>
      </c>
      <c r="L7184" s="1">
        <v>2.9008096400387666</v>
      </c>
      <c r="M7184" s="1">
        <v>0.3801024040156778</v>
      </c>
      <c r="N7184" s="1">
        <v>1.4387988494097521</v>
      </c>
      <c r="O7184" s="1">
        <v>8.6831304347826072E-2</v>
      </c>
      <c r="P7184" s="1">
        <v>7.2112161803062597E-2</v>
      </c>
      <c r="Q7184" s="1">
        <v>1.1115927367954321</v>
      </c>
      <c r="R7184" s="2">
        <f t="shared" si="451"/>
        <v>59.209848805340073</v>
      </c>
      <c r="S7184" s="2">
        <f t="shared" si="450"/>
        <v>6.7370156337222253</v>
      </c>
      <c r="T7184" s="2">
        <f t="shared" si="452"/>
        <v>4.8065421978120222</v>
      </c>
      <c r="U7184" s="2">
        <f t="shared" si="453"/>
        <v>70.753406636874317</v>
      </c>
    </row>
    <row r="7185" spans="1:21" x14ac:dyDescent="0.25">
      <c r="A7185">
        <v>796069</v>
      </c>
      <c r="B7185">
        <v>8</v>
      </c>
      <c r="C7185" s="1">
        <f>1.41040107422354*(10.3/7.3)</f>
        <v>1.9900179540414307</v>
      </c>
      <c r="D7185" s="1">
        <f>1.92046669768215*(10.3/7.3)</f>
        <v>2.7096995871405674</v>
      </c>
      <c r="E7185" s="1">
        <f>6.70551140905471*(10.3/7.3)</f>
        <v>9.4612010292141875</v>
      </c>
      <c r="F7185" s="1">
        <f>16.4416427761757*(38.9/42.5)</f>
        <v>15.048938917487881</v>
      </c>
      <c r="G7185" s="1">
        <v>0.75703286839422412</v>
      </c>
      <c r="H7185" s="1">
        <v>4.7736810962363752</v>
      </c>
      <c r="I7185" s="1">
        <v>12.418208171325784</v>
      </c>
      <c r="J7185" s="1">
        <v>3.1725373691782445E-2</v>
      </c>
      <c r="K7185" s="1">
        <v>4.2625051209945255</v>
      </c>
      <c r="L7185" s="1">
        <v>1.4145463282039301</v>
      </c>
      <c r="M7185" s="1">
        <v>0.11868109992985523</v>
      </c>
      <c r="N7185" s="1">
        <v>1.0887941714490958</v>
      </c>
      <c r="O7185" s="1">
        <v>6.7326666666666674E-2</v>
      </c>
      <c r="P7185" s="1">
        <v>5.9178670570346585E-2</v>
      </c>
      <c r="Q7185" s="1">
        <v>1.2098698809953365</v>
      </c>
      <c r="R7185" s="2">
        <f t="shared" si="451"/>
        <v>48.36864950483578</v>
      </c>
      <c r="S7185" s="2">
        <f t="shared" si="450"/>
        <v>4.3534091652566547</v>
      </c>
      <c r="T7185" s="2">
        <f t="shared" si="452"/>
        <v>2.689348266249548</v>
      </c>
      <c r="U7185" s="2">
        <f t="shared" si="453"/>
        <v>55.411406936341983</v>
      </c>
    </row>
    <row r="7186" spans="1:21" x14ac:dyDescent="0.25">
      <c r="A7186">
        <v>796085</v>
      </c>
      <c r="B7186">
        <v>5</v>
      </c>
      <c r="C7186" s="1">
        <f>2.14448274597321*(10.3/7.3)</f>
        <v>3.0257770251402794</v>
      </c>
      <c r="D7186" s="1">
        <f>2.71642307699468*(10.3/7.3)</f>
        <v>3.8327613278144184</v>
      </c>
      <c r="E7186" s="1">
        <f>9.55043079604123*(10.3/7.3)</f>
        <v>13.475265369756807</v>
      </c>
      <c r="F7186" s="1">
        <f>21.573522093033*(38.9/42.5)</f>
        <v>19.746117868681985</v>
      </c>
      <c r="G7186" s="1">
        <v>0.91237180166228316</v>
      </c>
      <c r="H7186" s="1">
        <v>3.7490758881234365</v>
      </c>
      <c r="I7186" s="1">
        <v>16.375468759408541</v>
      </c>
      <c r="J7186" s="1">
        <v>5.1144183526504461E-2</v>
      </c>
      <c r="K7186" s="1">
        <v>4.1528893989121212</v>
      </c>
      <c r="L7186" s="1">
        <v>1.5533966030968416</v>
      </c>
      <c r="M7186" s="1">
        <v>9.7335631749402837E-2</v>
      </c>
      <c r="N7186" s="1">
        <v>1.3817400640317645</v>
      </c>
      <c r="O7186" s="1">
        <v>7.2352E-2</v>
      </c>
      <c r="P7186" s="1">
        <v>6.1890088803773113E-2</v>
      </c>
      <c r="Q7186" s="1">
        <v>1.4581284501452028</v>
      </c>
      <c r="R7186" s="2">
        <f t="shared" si="451"/>
        <v>62.574966490732947</v>
      </c>
      <c r="S7186" s="2">
        <f t="shared" si="450"/>
        <v>4.2659236712423985</v>
      </c>
      <c r="T7186" s="2">
        <f t="shared" si="452"/>
        <v>3.1048242988780088</v>
      </c>
      <c r="U7186" s="2">
        <f t="shared" si="453"/>
        <v>69.945714460853367</v>
      </c>
    </row>
    <row r="7187" spans="1:21" x14ac:dyDescent="0.25">
      <c r="A7187">
        <v>796117</v>
      </c>
      <c r="B7187">
        <v>1</v>
      </c>
      <c r="C7187" s="1">
        <f>2.09222686092591*(10.3/7.3)</f>
        <v>2.952046118840661</v>
      </c>
      <c r="D7187" s="1">
        <f>2.74010224618841*(10.3/7.3)</f>
        <v>3.86617166243022</v>
      </c>
      <c r="E7187" s="1">
        <f>9.64293987868555*(10.3/7.3)</f>
        <v>13.605791883624812</v>
      </c>
      <c r="F7187" s="1">
        <f>20.5988649145339*(38.9/42.5)</f>
        <v>18.854019886479271</v>
      </c>
      <c r="G7187" s="1">
        <v>0.8269221106158966</v>
      </c>
      <c r="H7187" s="1">
        <v>2.0228415911010962</v>
      </c>
      <c r="I7187" s="1">
        <v>15.312655437865889</v>
      </c>
      <c r="J7187" s="1">
        <v>4.9874616962344714E-2</v>
      </c>
      <c r="K7187" s="1">
        <v>3.2684350763144772</v>
      </c>
      <c r="L7187" s="1">
        <v>1.3800387240260583</v>
      </c>
      <c r="M7187" s="1">
        <v>7.4087184122012525E-2</v>
      </c>
      <c r="N7187" s="1">
        <v>1.1027533345010054</v>
      </c>
      <c r="O7187" s="1">
        <v>6.773333333333334E-2</v>
      </c>
      <c r="P7187" s="1">
        <v>5.618652304907381E-2</v>
      </c>
      <c r="Q7187" s="1">
        <v>1.321565016966046</v>
      </c>
      <c r="R7187" s="2">
        <f t="shared" si="451"/>
        <v>58.762013707923899</v>
      </c>
      <c r="S7187" s="2">
        <f t="shared" si="450"/>
        <v>3.3744962163258956</v>
      </c>
      <c r="T7187" s="2">
        <f t="shared" si="452"/>
        <v>2.6246125759824097</v>
      </c>
      <c r="U7187" s="2">
        <f t="shared" si="453"/>
        <v>64.761122500232204</v>
      </c>
    </row>
    <row r="7188" spans="1:21" x14ac:dyDescent="0.25">
      <c r="A7188">
        <v>796125</v>
      </c>
      <c r="B7188">
        <v>4</v>
      </c>
      <c r="C7188" s="1">
        <f>1.80276829036091*(10.3/7.3)</f>
        <v>2.5436319713311519</v>
      </c>
      <c r="D7188" s="1">
        <f>2.33086961639237*(10.3/7.3)</f>
        <v>3.2887612395673158</v>
      </c>
      <c r="E7188" s="1">
        <f>8.22676524963269*(10.3/7.3)</f>
        <v>11.607627680988593</v>
      </c>
      <c r="F7188" s="1">
        <f>16.5910559359046*(38.9/42.5)</f>
        <v>15.185695903686778</v>
      </c>
      <c r="G7188" s="1">
        <v>0.6212377086370886</v>
      </c>
      <c r="H7188" s="1">
        <v>3.4112358133559293</v>
      </c>
      <c r="I7188" s="1">
        <v>12.235715632732237</v>
      </c>
      <c r="J7188" s="1">
        <v>5.2532984116242035E-2</v>
      </c>
      <c r="K7188" s="1">
        <v>4.0830437439824534</v>
      </c>
      <c r="L7188" s="1">
        <v>1.5816196331905477</v>
      </c>
      <c r="M7188" s="1">
        <v>8.5297679601111759E-2</v>
      </c>
      <c r="N7188" s="1">
        <v>1.3431833669610023</v>
      </c>
      <c r="O7188" s="1">
        <v>7.6653333333333323E-2</v>
      </c>
      <c r="P7188" s="1">
        <v>6.5206291100311634E-2</v>
      </c>
      <c r="Q7188" s="1">
        <v>0.99284565307297346</v>
      </c>
      <c r="R7188" s="2">
        <f t="shared" si="451"/>
        <v>49.886751603372069</v>
      </c>
      <c r="S7188" s="2">
        <f t="shared" si="450"/>
        <v>4.2007830191990072</v>
      </c>
      <c r="T7188" s="2">
        <f t="shared" si="452"/>
        <v>3.086754013085995</v>
      </c>
      <c r="U7188" s="2">
        <f t="shared" si="453"/>
        <v>57.174288635657071</v>
      </c>
    </row>
    <row r="7189" spans="1:21" x14ac:dyDescent="0.25">
      <c r="A7189">
        <v>7963653</v>
      </c>
      <c r="B7189">
        <v>64</v>
      </c>
      <c r="C7189" s="1">
        <f>0.369059677470364*(10.3/7.3)</f>
        <v>0.52072803807462387</v>
      </c>
      <c r="D7189" s="1">
        <f>0.742374141329377*(10.3/7.3)</f>
        <v>1.0474594048893953</v>
      </c>
      <c r="E7189" s="1">
        <f>2.52609692641511*(10.3/7.3)</f>
        <v>3.5642189509692597</v>
      </c>
      <c r="F7189" s="1">
        <f>7.78131655697453*(38.9/42.5)</f>
        <v>7.1221932721484489</v>
      </c>
      <c r="G7189" s="1">
        <v>0.43143295793259639</v>
      </c>
      <c r="H7189" s="1">
        <v>2.3265502029334009</v>
      </c>
      <c r="I7189" s="1">
        <v>5.6995443783463786</v>
      </c>
      <c r="J7189" s="1">
        <v>1.366961350399639E-2</v>
      </c>
      <c r="K7189" s="1">
        <v>1.3746365786745902</v>
      </c>
      <c r="L7189" s="1">
        <v>1.0029232913435853</v>
      </c>
      <c r="M7189" s="1">
        <v>0.11686913891553662</v>
      </c>
      <c r="N7189" s="1">
        <v>0.48574290218351079</v>
      </c>
      <c r="O7189" s="1">
        <v>0.12185333333333336</v>
      </c>
      <c r="P7189" s="1">
        <v>6.8757270187062916E-2</v>
      </c>
      <c r="Q7189" s="1">
        <v>0.68950472728953838</v>
      </c>
      <c r="R7189" s="2">
        <f t="shared" si="451"/>
        <v>21.401631932583641</v>
      </c>
      <c r="S7189" s="2">
        <f t="shared" si="450"/>
        <v>1.4570634623656495</v>
      </c>
      <c r="T7189" s="2">
        <f t="shared" si="452"/>
        <v>1.7273886657759661</v>
      </c>
      <c r="U7189" s="2">
        <f t="shared" si="453"/>
        <v>24.586084060725256</v>
      </c>
    </row>
    <row r="7190" spans="1:21" x14ac:dyDescent="0.25">
      <c r="A7190">
        <v>7975881</v>
      </c>
      <c r="B7190">
        <v>5</v>
      </c>
      <c r="C7190" s="1">
        <f>0.302606183106238*(10.3/7.3)</f>
        <v>0.42696488849236258</v>
      </c>
      <c r="D7190" s="1">
        <f>0.583227879690026*(10.3/7.3)</f>
        <v>0.82291056997359824</v>
      </c>
      <c r="E7190" s="1">
        <f>1.99269274881002*(10.3/7.3)</f>
        <v>2.8116075770881075</v>
      </c>
      <c r="F7190" s="1">
        <f>5.84669212696238*(38.9/42.5)</f>
        <v>5.3514429115020361</v>
      </c>
      <c r="G7190" s="1">
        <v>0.31486773398383422</v>
      </c>
      <c r="H7190" s="1">
        <v>1.1608329409709679</v>
      </c>
      <c r="I7190" s="1">
        <v>4.2650277300506829</v>
      </c>
      <c r="J7190" s="1">
        <v>1.2149140997667635E-2</v>
      </c>
      <c r="K7190" s="1">
        <v>1.2750321556834323</v>
      </c>
      <c r="L7190" s="1">
        <v>0.91106179083733141</v>
      </c>
      <c r="M7190" s="1">
        <v>0.10905481619039481</v>
      </c>
      <c r="N7190" s="1">
        <v>0.44219010834183825</v>
      </c>
      <c r="O7190" s="1">
        <v>0.11263999999999999</v>
      </c>
      <c r="P7190" s="1">
        <v>6.4457903595756871E-2</v>
      </c>
      <c r="Q7190" s="1">
        <v>0.50321327349014644</v>
      </c>
      <c r="R7190" s="2">
        <f t="shared" si="451"/>
        <v>15.656867625551737</v>
      </c>
      <c r="S7190" s="2">
        <f t="shared" si="450"/>
        <v>1.3516392002768569</v>
      </c>
      <c r="T7190" s="2">
        <f t="shared" si="452"/>
        <v>1.5749467153695644</v>
      </c>
      <c r="U7190" s="2">
        <f t="shared" si="453"/>
        <v>18.583453541198157</v>
      </c>
    </row>
    <row r="7191" spans="1:21" x14ac:dyDescent="0.25">
      <c r="A7191">
        <v>7975889</v>
      </c>
      <c r="B7191">
        <v>29</v>
      </c>
      <c r="C7191" s="1">
        <f>0.352952464953115*(10.3/7.3)</f>
        <v>0.49800142315302515</v>
      </c>
      <c r="D7191" s="1">
        <f>0.713805923833541*(10.3/7.3)</f>
        <v>1.0071508240391063</v>
      </c>
      <c r="E7191" s="1">
        <f>2.42793670760588*(10.3/7.3)</f>
        <v>3.4257189162110344</v>
      </c>
      <c r="F7191" s="1">
        <f>7.50876998859071*(38.9/42.5)</f>
        <v>6.8727330013218459</v>
      </c>
      <c r="G7191" s="1">
        <v>0.41731812344715469</v>
      </c>
      <c r="H7191" s="1">
        <v>1.9171809617190365</v>
      </c>
      <c r="I7191" s="1">
        <v>5.5002971204434816</v>
      </c>
      <c r="J7191" s="1">
        <v>1.3132276676478039E-2</v>
      </c>
      <c r="K7191" s="1">
        <v>1.3251971417888844</v>
      </c>
      <c r="L7191" s="1">
        <v>0.9567197550754869</v>
      </c>
      <c r="M7191" s="1">
        <v>0.11165070894182988</v>
      </c>
      <c r="N7191" s="1">
        <v>0.46773450455146914</v>
      </c>
      <c r="O7191" s="1">
        <v>0.11718068965517241</v>
      </c>
      <c r="P7191" s="1">
        <v>6.6491804380404224E-2</v>
      </c>
      <c r="Q7191" s="1">
        <v>0.66694677263243995</v>
      </c>
      <c r="R7191" s="2">
        <f t="shared" si="451"/>
        <v>20.305347142967126</v>
      </c>
      <c r="S7191" s="2">
        <f t="shared" si="450"/>
        <v>1.4048212228457666</v>
      </c>
      <c r="T7191" s="2">
        <f t="shared" si="452"/>
        <v>1.6532856582239583</v>
      </c>
      <c r="U7191" s="2">
        <f t="shared" si="453"/>
        <v>23.363454024036848</v>
      </c>
    </row>
    <row r="7192" spans="1:21" x14ac:dyDescent="0.25">
      <c r="A7192">
        <v>7988117</v>
      </c>
      <c r="B7192">
        <v>18</v>
      </c>
      <c r="C7192" s="1">
        <f>0.313196762248065*(10.3/7.3)</f>
        <v>0.44190776043220131</v>
      </c>
      <c r="D7192" s="1">
        <f>0.615576357128131*(10.3/7.3)</f>
        <v>0.8685529422492807</v>
      </c>
      <c r="E7192" s="1">
        <f>2.10017891369896*(10.3/7.3)</f>
        <v>2.9632661385067465</v>
      </c>
      <c r="F7192" s="1">
        <f>6.25589367509232*(38.9/42.5)</f>
        <v>5.7259826814374444</v>
      </c>
      <c r="G7192" s="1">
        <v>0.34020245389603299</v>
      </c>
      <c r="H7192" s="1">
        <v>1.2589294492164937</v>
      </c>
      <c r="I7192" s="1">
        <v>4.5646023480321478</v>
      </c>
      <c r="J7192" s="1">
        <v>1.245333156035178E-2</v>
      </c>
      <c r="K7192" s="1">
        <v>1.288222844069582</v>
      </c>
      <c r="L7192" s="1">
        <v>0.92654883804321087</v>
      </c>
      <c r="M7192" s="1">
        <v>0.10948672631162336</v>
      </c>
      <c r="N7192" s="1">
        <v>0.44843290364626742</v>
      </c>
      <c r="O7192" s="1">
        <v>0.11332148148148148</v>
      </c>
      <c r="P7192" s="1">
        <v>6.5132543520976985E-2</v>
      </c>
      <c r="Q7192" s="1">
        <v>0.54370255188863781</v>
      </c>
      <c r="R7192" s="2">
        <f t="shared" si="451"/>
        <v>16.707146325658986</v>
      </c>
      <c r="S7192" s="2">
        <f t="shared" si="450"/>
        <v>1.365808719150911</v>
      </c>
      <c r="T7192" s="2">
        <f t="shared" si="452"/>
        <v>1.5977899494825831</v>
      </c>
      <c r="U7192" s="2">
        <f t="shared" si="453"/>
        <v>19.67074499429248</v>
      </c>
    </row>
    <row r="7193" spans="1:21" x14ac:dyDescent="0.25">
      <c r="A7193">
        <v>8000353</v>
      </c>
      <c r="B7193">
        <v>2</v>
      </c>
      <c r="C7193" s="1">
        <f>0.255942315025887*(10.3/7.3)</f>
        <v>0.36112408832419746</v>
      </c>
      <c r="D7193" s="1">
        <f>0.485432858764584*(10.3/7.3)</f>
        <v>0.68492581442126277</v>
      </c>
      <c r="E7193" s="1">
        <f>1.6603342271759*(10.3/7.3)</f>
        <v>2.3426633616317494</v>
      </c>
      <c r="F7193" s="1">
        <f>4.82135890006897*(38.9/42.5)</f>
        <v>4.4129614402984227</v>
      </c>
      <c r="G7193" s="1">
        <v>0.25782974332554814</v>
      </c>
      <c r="H7193" s="1">
        <v>0.98471606182545057</v>
      </c>
      <c r="I7193" s="1">
        <v>3.518257579506868</v>
      </c>
      <c r="J7193" s="1">
        <v>1.1265705975414772E-2</v>
      </c>
      <c r="K7193" s="1">
        <v>1.1875701664913674</v>
      </c>
      <c r="L7193" s="1">
        <v>0.84015435622229828</v>
      </c>
      <c r="M7193" s="1">
        <v>0.10110222470967434</v>
      </c>
      <c r="N7193" s="1">
        <v>0.40870249869943731</v>
      </c>
      <c r="O7193" s="1">
        <v>0.10490666666666668</v>
      </c>
      <c r="P7193" s="1">
        <v>6.0396035609165566E-2</v>
      </c>
      <c r="Q7193" s="1">
        <v>0.41205666741526004</v>
      </c>
      <c r="R7193" s="2">
        <f t="shared" si="451"/>
        <v>12.974534756748758</v>
      </c>
      <c r="S7193" s="2">
        <f t="shared" si="450"/>
        <v>1.2592319080759478</v>
      </c>
      <c r="T7193" s="2">
        <f t="shared" si="452"/>
        <v>1.4548657462980767</v>
      </c>
      <c r="U7193" s="2">
        <f t="shared" si="453"/>
        <v>15.688632411122784</v>
      </c>
    </row>
    <row r="7194" spans="1:21" x14ac:dyDescent="0.25">
      <c r="A7194">
        <v>808265</v>
      </c>
      <c r="B7194">
        <v>36</v>
      </c>
      <c r="C7194" s="1">
        <f>1.89580261822397*(10.3/7.3)</f>
        <v>2.6748995846173758</v>
      </c>
      <c r="D7194" s="1">
        <f>3.85731739682403*(10.3/7.3)</f>
        <v>5.4425163270256833</v>
      </c>
      <c r="E7194" s="1">
        <f>13.5153868528318*(10.3/7.3)</f>
        <v>19.069655422488768</v>
      </c>
      <c r="F7194" s="1">
        <f>21.3081800163088*(38.9/42.5)</f>
        <v>19.5032518266921</v>
      </c>
      <c r="G7194" s="1">
        <v>0.59989793702971228</v>
      </c>
      <c r="H7194" s="1">
        <v>3.7946568190273848</v>
      </c>
      <c r="I7194" s="1">
        <v>12.306460758403272</v>
      </c>
      <c r="J7194" s="1">
        <v>4.1068790498406262E-2</v>
      </c>
      <c r="K7194" s="1">
        <v>6.1052875366125949</v>
      </c>
      <c r="L7194" s="1">
        <v>2.4552078730565468</v>
      </c>
      <c r="M7194" s="1">
        <v>0.47657850856977568</v>
      </c>
      <c r="N7194" s="1">
        <v>1.3886003596483716</v>
      </c>
      <c r="O7194" s="1">
        <v>8.124592592592593E-2</v>
      </c>
      <c r="P7194" s="1">
        <v>6.7873034716396524E-2</v>
      </c>
      <c r="Q7194" s="1">
        <v>0.95874099525296552</v>
      </c>
      <c r="R7194" s="2">
        <f t="shared" si="451"/>
        <v>64.350079670537269</v>
      </c>
      <c r="S7194" s="2">
        <f t="shared" si="450"/>
        <v>6.2142293618273978</v>
      </c>
      <c r="T7194" s="2">
        <f t="shared" si="452"/>
        <v>4.4016326672006203</v>
      </c>
      <c r="U7194" s="2">
        <f t="shared" si="453"/>
        <v>74.965941699565278</v>
      </c>
    </row>
    <row r="7195" spans="1:21" x14ac:dyDescent="0.25">
      <c r="A7195">
        <v>808305</v>
      </c>
      <c r="B7195">
        <v>13</v>
      </c>
      <c r="C7195" s="1">
        <f>1.45802375323409*(10.3/7.3)</f>
        <v>2.0572115970289242</v>
      </c>
      <c r="D7195" s="1">
        <f>2.11788181716863*(10.3/7.3)</f>
        <v>2.9882442077858751</v>
      </c>
      <c r="E7195" s="1">
        <f>7.3243622225512*(10.3/7.3)</f>
        <v>10.334374094832516</v>
      </c>
      <c r="F7195" s="1">
        <f>20.5666318034065*(38.9/42.5)</f>
        <v>18.824517109470872</v>
      </c>
      <c r="G7195" s="1">
        <v>1.0531328601618688</v>
      </c>
      <c r="H7195" s="1">
        <v>4.0758632779844026</v>
      </c>
      <c r="I7195" s="1">
        <v>15.678167670785722</v>
      </c>
      <c r="J7195" s="1">
        <v>3.404811974849823E-2</v>
      </c>
      <c r="K7195" s="1">
        <v>4.2583112051731211</v>
      </c>
      <c r="L7195" s="1">
        <v>1.4248004187826453</v>
      </c>
      <c r="M7195" s="1">
        <v>0.1136664083442496</v>
      </c>
      <c r="N7195" s="1">
        <v>1.1059192135104832</v>
      </c>
      <c r="O7195" s="1">
        <v>6.6724102564102564E-2</v>
      </c>
      <c r="P7195" s="1">
        <v>5.9109354855886968E-2</v>
      </c>
      <c r="Q7195" s="1">
        <v>1.6830890459207963</v>
      </c>
      <c r="R7195" s="2">
        <f t="shared" si="451"/>
        <v>56.694599863970979</v>
      </c>
      <c r="S7195" s="2">
        <f t="shared" si="450"/>
        <v>4.3514686797775068</v>
      </c>
      <c r="T7195" s="2">
        <f t="shared" si="452"/>
        <v>2.7111101432014806</v>
      </c>
      <c r="U7195" s="2">
        <f t="shared" si="453"/>
        <v>63.757178686949963</v>
      </c>
    </row>
    <row r="7196" spans="1:21" x14ac:dyDescent="0.25">
      <c r="A7196">
        <v>808313</v>
      </c>
      <c r="B7196">
        <v>4</v>
      </c>
      <c r="C7196" s="1">
        <f>1.69433334596969*(10.3/7.3)</f>
        <v>2.3906347210257324</v>
      </c>
      <c r="D7196" s="1">
        <f>2.19798795749105*(10.3/7.3)</f>
        <v>3.1012706797476497</v>
      </c>
      <c r="E7196" s="1">
        <f>7.7133711223303*(10.3/7.3)</f>
        <v>10.883249665753707</v>
      </c>
      <c r="F7196" s="1">
        <f>17.739958200465*(38.9/42.5)</f>
        <v>16.237279388190302</v>
      </c>
      <c r="G7196" s="1">
        <v>0.76640776386782794</v>
      </c>
      <c r="H7196" s="1">
        <v>2.8841112423105306</v>
      </c>
      <c r="I7196" s="1">
        <v>13.41638609281879</v>
      </c>
      <c r="J7196" s="1">
        <v>4.6265772166830491E-2</v>
      </c>
      <c r="K7196" s="1">
        <v>4.2453569980419159</v>
      </c>
      <c r="L7196" s="1">
        <v>1.4722106785860063</v>
      </c>
      <c r="M7196" s="1">
        <v>0.10202208217367517</v>
      </c>
      <c r="N7196" s="1">
        <v>1.2347239714337102</v>
      </c>
      <c r="O7196" s="1">
        <v>6.797333333333333E-2</v>
      </c>
      <c r="P7196" s="1">
        <v>5.9806848259416873E-2</v>
      </c>
      <c r="Q7196" s="1">
        <v>1.2248525906563472</v>
      </c>
      <c r="R7196" s="2">
        <f t="shared" si="451"/>
        <v>50.904192144370882</v>
      </c>
      <c r="S7196" s="2">
        <f t="shared" si="450"/>
        <v>4.3514296184681633</v>
      </c>
      <c r="T7196" s="2">
        <f t="shared" si="452"/>
        <v>2.8769300655267247</v>
      </c>
      <c r="U7196" s="2">
        <f t="shared" si="453"/>
        <v>58.132551828365763</v>
      </c>
    </row>
    <row r="7197" spans="1:21" x14ac:dyDescent="0.25">
      <c r="A7197">
        <v>808321</v>
      </c>
      <c r="B7197">
        <v>5</v>
      </c>
      <c r="C7197" s="1">
        <f>1.54186724234083*(10.3/7.3)</f>
        <v>2.1755113145356875</v>
      </c>
      <c r="D7197" s="1">
        <f>1.90777721504114*(10.3/7.3)</f>
        <v>2.6917952486196923</v>
      </c>
      <c r="E7197" s="1">
        <f>6.72071016967085*(10.3/7.3)</f>
        <v>9.4826458558369531</v>
      </c>
      <c r="F7197" s="1">
        <f>14.8653961541548*(38.9/42.5)</f>
        <v>13.606209656391082</v>
      </c>
      <c r="G7197" s="1">
        <v>0.61289016222396842</v>
      </c>
      <c r="H7197" s="1">
        <v>2.6978163325754472</v>
      </c>
      <c r="I7197" s="1">
        <v>11.32130759190977</v>
      </c>
      <c r="J7197" s="1">
        <v>4.4803139831717319E-2</v>
      </c>
      <c r="K7197" s="1">
        <v>3.9616210669677536</v>
      </c>
      <c r="L7197" s="1">
        <v>1.4066879721948458</v>
      </c>
      <c r="M7197" s="1">
        <v>9.4241586169334576E-2</v>
      </c>
      <c r="N7197" s="1">
        <v>1.9086807959215413</v>
      </c>
      <c r="O7197" s="1">
        <v>6.7093333333333338E-2</v>
      </c>
      <c r="P7197" s="1">
        <v>5.8800897504919479E-2</v>
      </c>
      <c r="Q7197" s="1">
        <v>0.97950482547209672</v>
      </c>
      <c r="R7197" s="2">
        <f t="shared" si="451"/>
        <v>43.5676809875647</v>
      </c>
      <c r="S7197" s="2">
        <f t="shared" si="450"/>
        <v>4.0652251043043908</v>
      </c>
      <c r="T7197" s="2">
        <f t="shared" si="452"/>
        <v>3.4767036876190547</v>
      </c>
      <c r="U7197" s="2">
        <f t="shared" si="453"/>
        <v>51.109609779488146</v>
      </c>
    </row>
    <row r="7198" spans="1:21" x14ac:dyDescent="0.25">
      <c r="A7198">
        <v>808353</v>
      </c>
      <c r="B7198">
        <v>16</v>
      </c>
      <c r="C7198" s="1">
        <f>1.55386080437198*(10.3/7.3)</f>
        <v>2.1924337376755294</v>
      </c>
      <c r="D7198" s="1">
        <f>1.97372068403478*(10.3/7.3)</f>
        <v>2.784838773364144</v>
      </c>
      <c r="E7198" s="1">
        <f>6.96163346814306*(10.3/7.3)</f>
        <v>9.8225787290237747</v>
      </c>
      <c r="F7198" s="1">
        <f>14.5458682862929*(38.9/42.5)</f>
        <v>13.313747678512826</v>
      </c>
      <c r="G7198" s="1">
        <v>0.56624905135271753</v>
      </c>
      <c r="H7198" s="1">
        <v>1.5638854716322625</v>
      </c>
      <c r="I7198" s="1">
        <v>10.869581842531401</v>
      </c>
      <c r="J7198" s="1">
        <v>4.8047387344392553E-2</v>
      </c>
      <c r="K7198" s="1">
        <v>3.7497504280302874</v>
      </c>
      <c r="L7198" s="1">
        <v>1.3930576556448044</v>
      </c>
      <c r="M7198" s="1">
        <v>7.8663214039138313E-2</v>
      </c>
      <c r="N7198" s="1">
        <v>1.2613874408895405</v>
      </c>
      <c r="O7198" s="1">
        <v>6.9076666666666675E-2</v>
      </c>
      <c r="P7198" s="1">
        <v>5.9440051118917481E-2</v>
      </c>
      <c r="Q7198" s="1">
        <v>0.90496423732169562</v>
      </c>
      <c r="R7198" s="2">
        <f t="shared" si="451"/>
        <v>42.018279521414343</v>
      </c>
      <c r="S7198" s="2">
        <f t="shared" si="450"/>
        <v>3.8572378664935973</v>
      </c>
      <c r="T7198" s="2">
        <f t="shared" si="452"/>
        <v>2.8021849772401497</v>
      </c>
      <c r="U7198" s="2">
        <f t="shared" si="453"/>
        <v>48.677702365148093</v>
      </c>
    </row>
    <row r="7199" spans="1:21" x14ac:dyDescent="0.25">
      <c r="A7199">
        <v>808361</v>
      </c>
      <c r="B7199">
        <v>32</v>
      </c>
      <c r="C7199" s="1">
        <f>1.74708211712786*(10.3/7.3)</f>
        <v>2.4650610693721933</v>
      </c>
      <c r="D7199" s="1">
        <f>2.25779847630868*(10.3/7.3)</f>
        <v>3.1856608638327968</v>
      </c>
      <c r="E7199" s="1">
        <f>7.9726510754627*(10.3/7.3)</f>
        <v>11.249083024282985</v>
      </c>
      <c r="F7199" s="1">
        <f>15.8956134051637*(38.9/42.5)</f>
        <v>14.549161446138031</v>
      </c>
      <c r="G7199" s="1">
        <v>0.58661497234938031</v>
      </c>
      <c r="H7199" s="1">
        <v>2.8296835519156276</v>
      </c>
      <c r="I7199" s="1">
        <v>11.695715234339032</v>
      </c>
      <c r="J7199" s="1">
        <v>4.8783052795800294E-2</v>
      </c>
      <c r="K7199" s="1">
        <v>3.8844833955021767</v>
      </c>
      <c r="L7199" s="1">
        <v>1.5289615788336837</v>
      </c>
      <c r="M7199" s="1">
        <v>8.239845030637423E-2</v>
      </c>
      <c r="N7199" s="1">
        <v>1.2457846718129579</v>
      </c>
      <c r="O7199" s="1">
        <v>7.4553333333333333E-2</v>
      </c>
      <c r="P7199" s="1">
        <v>6.3527175964256319E-2</v>
      </c>
      <c r="Q7199" s="1">
        <v>0.93751251288713855</v>
      </c>
      <c r="R7199" s="2">
        <f t="shared" si="451"/>
        <v>47.498492675117184</v>
      </c>
      <c r="S7199" s="2">
        <f t="shared" si="450"/>
        <v>3.9967936242622333</v>
      </c>
      <c r="T7199" s="2">
        <f t="shared" si="452"/>
        <v>2.9316980342863488</v>
      </c>
      <c r="U7199" s="2">
        <f t="shared" si="453"/>
        <v>54.426984333665764</v>
      </c>
    </row>
    <row r="7200" spans="1:21" x14ac:dyDescent="0.25">
      <c r="A7200">
        <v>8122689</v>
      </c>
      <c r="B7200">
        <v>17</v>
      </c>
      <c r="C7200" s="1">
        <f>0.280226400773524*(10.3/7.3)</f>
        <v>0.39538793533798605</v>
      </c>
      <c r="D7200" s="1">
        <f>0.564886610789728*(10.3/7.3)</f>
        <v>0.79703179330605423</v>
      </c>
      <c r="E7200" s="1">
        <f>1.92922139496009*(10.3/7.3)</f>
        <v>2.7220521052176556</v>
      </c>
      <c r="F7200" s="1">
        <f>5.57241954952818*(38.9/42.5)</f>
        <v>5.10040283474462</v>
      </c>
      <c r="G7200" s="1">
        <v>0.29838091957255913</v>
      </c>
      <c r="H7200" s="1">
        <v>1.1040920505788185</v>
      </c>
      <c r="I7200" s="1">
        <v>4.0209977895420081</v>
      </c>
      <c r="J7200" s="1">
        <v>1.0988400129869499E-2</v>
      </c>
      <c r="K7200" s="1">
        <v>1.2135417108004289</v>
      </c>
      <c r="L7200" s="1">
        <v>0.87594175629583615</v>
      </c>
      <c r="M7200" s="1">
        <v>0.10230094256234487</v>
      </c>
      <c r="N7200" s="1">
        <v>0.41841252797373713</v>
      </c>
      <c r="O7200" s="1">
        <v>0.1064878431372549</v>
      </c>
      <c r="P7200" s="1">
        <v>6.0858568405608923E-2</v>
      </c>
      <c r="Q7200" s="1">
        <v>0.47686448333514059</v>
      </c>
      <c r="R7200" s="2">
        <f t="shared" si="451"/>
        <v>14.915209911634841</v>
      </c>
      <c r="S7200" s="2">
        <f t="shared" si="450"/>
        <v>1.2853886793359073</v>
      </c>
      <c r="T7200" s="2">
        <f t="shared" si="452"/>
        <v>1.503143069969173</v>
      </c>
      <c r="U7200" s="2">
        <f t="shared" si="453"/>
        <v>17.703741660939922</v>
      </c>
    </row>
    <row r="7201" spans="1:21" x14ac:dyDescent="0.25">
      <c r="A7201">
        <v>8122697</v>
      </c>
      <c r="B7201">
        <v>2</v>
      </c>
      <c r="C7201" s="1">
        <f>0.23568917665199*(10.3/7.3)</f>
        <v>0.33254774239938345</v>
      </c>
      <c r="D7201" s="1">
        <f>0.457435973075469*(10.3/7.3)</f>
        <v>0.64542335927086725</v>
      </c>
      <c r="E7201" s="1">
        <f>1.56574389240973*(10.3/7.3)</f>
        <v>2.2092002865507094</v>
      </c>
      <c r="F7201" s="1">
        <f>4.43141529780146*(38.9/42.5)</f>
        <v>4.0560483549288682</v>
      </c>
      <c r="G7201" s="1">
        <v>0.23384932400251029</v>
      </c>
      <c r="H7201" s="1">
        <v>0.89334892253958242</v>
      </c>
      <c r="I7201" s="1">
        <v>3.2022838236538265</v>
      </c>
      <c r="J7201" s="1">
        <v>9.4708307861114012E-3</v>
      </c>
      <c r="K7201" s="1">
        <v>1.0566374857862195</v>
      </c>
      <c r="L7201" s="1">
        <v>0.74470174362036701</v>
      </c>
      <c r="M7201" s="1">
        <v>9.2032550148095194E-2</v>
      </c>
      <c r="N7201" s="1">
        <v>0.35746669663432484</v>
      </c>
      <c r="O7201" s="1">
        <v>9.2026666666666673E-2</v>
      </c>
      <c r="P7201" s="1">
        <v>5.2886207438496209E-2</v>
      </c>
      <c r="Q7201" s="1">
        <v>0.37373179635104425</v>
      </c>
      <c r="R7201" s="2">
        <f t="shared" si="451"/>
        <v>11.946433609696793</v>
      </c>
      <c r="S7201" s="2">
        <f t="shared" si="450"/>
        <v>1.118994524010827</v>
      </c>
      <c r="T7201" s="2">
        <f t="shared" si="452"/>
        <v>1.2862276570694537</v>
      </c>
      <c r="U7201" s="2">
        <f t="shared" si="453"/>
        <v>14.351655790777073</v>
      </c>
    </row>
    <row r="7202" spans="1:21" x14ac:dyDescent="0.25">
      <c r="A7202">
        <v>8134925</v>
      </c>
      <c r="B7202">
        <v>44</v>
      </c>
      <c r="C7202" s="1">
        <f>0.290776554361916*(10.3/7.3)</f>
        <v>0.41027376848325203</v>
      </c>
      <c r="D7202" s="1">
        <f>0.593670447138621*(10.3/7.3)</f>
        <v>0.83764460349695857</v>
      </c>
      <c r="E7202" s="1">
        <f>2.02639995401825*(10.3/7.3)</f>
        <v>2.8591670584093154</v>
      </c>
      <c r="F7202" s="1">
        <f>5.87337259532885*(38.9/42.5)</f>
        <v>5.3758633872539372</v>
      </c>
      <c r="G7202" s="1">
        <v>0.315391040673556</v>
      </c>
      <c r="H7202" s="1">
        <v>1.1609535626956264</v>
      </c>
      <c r="I7202" s="1">
        <v>4.2330360171007779</v>
      </c>
      <c r="J7202" s="1">
        <v>1.1229252997682309E-2</v>
      </c>
      <c r="K7202" s="1">
        <v>1.2364432665665575</v>
      </c>
      <c r="L7202" s="1">
        <v>0.90002088606429997</v>
      </c>
      <c r="M7202" s="1">
        <v>0.10444892865461446</v>
      </c>
      <c r="N7202" s="1">
        <v>0.4293799937936601</v>
      </c>
      <c r="O7202" s="1">
        <v>0.10799272727272728</v>
      </c>
      <c r="P7202" s="1">
        <v>6.1413512459344989E-2</v>
      </c>
      <c r="Q7202" s="1">
        <v>0.50404960838239588</v>
      </c>
      <c r="R7202" s="2">
        <f t="shared" si="451"/>
        <v>15.696379046495819</v>
      </c>
      <c r="S7202" s="2">
        <f t="shared" si="450"/>
        <v>1.3090860320235846</v>
      </c>
      <c r="T7202" s="2">
        <f t="shared" si="452"/>
        <v>1.5418425357853018</v>
      </c>
      <c r="U7202" s="2">
        <f t="shared" si="453"/>
        <v>18.547307614304707</v>
      </c>
    </row>
    <row r="7203" spans="1:21" x14ac:dyDescent="0.25">
      <c r="A7203">
        <v>8147161</v>
      </c>
      <c r="B7203">
        <v>26</v>
      </c>
      <c r="C7203" s="1">
        <f>0.270980894514319*(10.3/7.3)</f>
        <v>0.3823429059585593</v>
      </c>
      <c r="D7203" s="1">
        <f>0.546568686619773*(10.3/7.3)</f>
        <v>0.77118595509365173</v>
      </c>
      <c r="E7203" s="1">
        <f>1.86705666517067*(10.3/7.3)</f>
        <v>2.6343402261997158</v>
      </c>
      <c r="F7203" s="1">
        <f>5.37096318542474*(38.9/42.5)</f>
        <v>4.9160110097181757</v>
      </c>
      <c r="G7203" s="1">
        <v>0.28693555944762467</v>
      </c>
      <c r="H7203" s="1">
        <v>1.0668844732872889</v>
      </c>
      <c r="I7203" s="1">
        <v>3.8715237965096856</v>
      </c>
      <c r="J7203" s="1">
        <v>1.0620086203739545E-2</v>
      </c>
      <c r="K7203" s="1">
        <v>1.1751968733122125</v>
      </c>
      <c r="L7203" s="1">
        <v>0.84788129288918845</v>
      </c>
      <c r="M7203" s="1">
        <v>0.10044996450391282</v>
      </c>
      <c r="N7203" s="1">
        <v>0.40498805142560507</v>
      </c>
      <c r="O7203" s="1">
        <v>0.10237743589743589</v>
      </c>
      <c r="P7203" s="1">
        <v>5.838175655592414E-2</v>
      </c>
      <c r="Q7203" s="1">
        <v>0.45857281190259686</v>
      </c>
      <c r="R7203" s="2">
        <f t="shared" si="451"/>
        <v>14.387796738117297</v>
      </c>
      <c r="S7203" s="2">
        <f t="shared" si="450"/>
        <v>1.2441987160718762</v>
      </c>
      <c r="T7203" s="2">
        <f t="shared" si="452"/>
        <v>1.4556967447161422</v>
      </c>
      <c r="U7203" s="2">
        <f t="shared" si="453"/>
        <v>17.087692198905316</v>
      </c>
    </row>
    <row r="7204" spans="1:21" x14ac:dyDescent="0.25">
      <c r="A7204">
        <v>8159389</v>
      </c>
      <c r="B7204">
        <v>18</v>
      </c>
      <c r="C7204" s="1">
        <f>0.28904700236467*(10.3/7.3)</f>
        <v>0.40783344169261659</v>
      </c>
      <c r="D7204" s="1">
        <f>0.59078964750997*(10.3/7.3)</f>
        <v>0.8335799136099582</v>
      </c>
      <c r="E7204" s="1">
        <f>2.01672208134625*(10.3/7.3)</f>
        <v>2.8455119777899132</v>
      </c>
      <c r="F7204" s="1">
        <f>5.83413949148961*(38.9/42.5)</f>
        <v>5.3399535580928417</v>
      </c>
      <c r="G7204" s="1">
        <v>0.31296742136136729</v>
      </c>
      <c r="H7204" s="1">
        <v>1.1458588820324505</v>
      </c>
      <c r="I7204" s="1">
        <v>4.2021073067876626</v>
      </c>
      <c r="J7204" s="1">
        <v>1.1108235969313556E-2</v>
      </c>
      <c r="K7204" s="1">
        <v>1.2285649858360208</v>
      </c>
      <c r="L7204" s="1">
        <v>0.89294409435927369</v>
      </c>
      <c r="M7204" s="1">
        <v>0.10401211237205236</v>
      </c>
      <c r="N7204" s="1">
        <v>0.42537635757187325</v>
      </c>
      <c r="O7204" s="1">
        <v>0.10711703703703704</v>
      </c>
      <c r="P7204" s="1">
        <v>6.0925565621758465E-2</v>
      </c>
      <c r="Q7204" s="1">
        <v>0.50017624418483397</v>
      </c>
      <c r="R7204" s="2">
        <f t="shared" si="451"/>
        <v>15.587988745551643</v>
      </c>
      <c r="S7204" s="2">
        <f t="shared" si="450"/>
        <v>1.3005987874270928</v>
      </c>
      <c r="T7204" s="2">
        <f t="shared" si="452"/>
        <v>1.5294496013402363</v>
      </c>
      <c r="U7204" s="2">
        <f t="shared" si="453"/>
        <v>18.418037134318972</v>
      </c>
    </row>
    <row r="7205" spans="1:21" x14ac:dyDescent="0.25">
      <c r="A7205">
        <v>8159397</v>
      </c>
      <c r="B7205">
        <v>11</v>
      </c>
      <c r="C7205" s="1">
        <f>0.234995786824762*(10.3/7.3)</f>
        <v>0.33156939784863665</v>
      </c>
      <c r="D7205" s="1">
        <f>0.460969780937675*(10.3/7.3)</f>
        <v>0.65040941693945997</v>
      </c>
      <c r="E7205" s="1">
        <f>1.57719710006054*(10.3/7.3)</f>
        <v>2.2253602918662354</v>
      </c>
      <c r="F7205" s="1">
        <f>4.47149490703079*(38.9/42.5)</f>
        <v>4.0927329854940631</v>
      </c>
      <c r="G7205" s="1">
        <v>0.23639026328811183</v>
      </c>
      <c r="H7205" s="1">
        <v>0.90371628343114407</v>
      </c>
      <c r="I7205" s="1">
        <v>3.2267664311080271</v>
      </c>
      <c r="J7205" s="1">
        <v>9.7686265407089089E-3</v>
      </c>
      <c r="K7205" s="1">
        <v>1.0907329919127542</v>
      </c>
      <c r="L7205" s="1">
        <v>0.77633376019131528</v>
      </c>
      <c r="M7205" s="1">
        <v>9.3642952221456674E-2</v>
      </c>
      <c r="N7205" s="1">
        <v>0.37227036102268107</v>
      </c>
      <c r="O7205" s="1">
        <v>9.4831515151515153E-2</v>
      </c>
      <c r="P7205" s="1">
        <v>5.4659047020526347E-2</v>
      </c>
      <c r="Q7205" s="1">
        <v>0.37779265822301011</v>
      </c>
      <c r="R7205" s="2">
        <f t="shared" si="451"/>
        <v>12.044737728198687</v>
      </c>
      <c r="S7205" s="2">
        <f t="shared" si="450"/>
        <v>1.1551606654739894</v>
      </c>
      <c r="T7205" s="2">
        <f t="shared" si="452"/>
        <v>1.3370785885869683</v>
      </c>
      <c r="U7205" s="2">
        <f t="shared" si="453"/>
        <v>14.536976982259644</v>
      </c>
    </row>
    <row r="7206" spans="1:21" x14ac:dyDescent="0.25">
      <c r="A7206">
        <v>8171625</v>
      </c>
      <c r="B7206">
        <v>5</v>
      </c>
      <c r="C7206" s="1">
        <f>0.226102292863205*(10.3/7.3)</f>
        <v>0.3190210433549337</v>
      </c>
      <c r="D7206" s="1">
        <f>0.436459451420285*(10.3/7.3)</f>
        <v>0.61582634926423707</v>
      </c>
      <c r="E7206" s="1">
        <f>1.49472551954761*(10.3/7.3)</f>
        <v>2.1089962810055294</v>
      </c>
      <c r="F7206" s="1">
        <f>4.20261001621454*(38.9/42.5)</f>
        <v>3.8466242266057762</v>
      </c>
      <c r="G7206" s="1">
        <v>0.22081298866582527</v>
      </c>
      <c r="H7206" s="1">
        <v>0.84185413411118692</v>
      </c>
      <c r="I7206" s="1">
        <v>3.0350228134195243</v>
      </c>
      <c r="J7206" s="1">
        <v>9.0923370109675244E-3</v>
      </c>
      <c r="K7206" s="1">
        <v>1.0246831918238855</v>
      </c>
      <c r="L7206" s="1">
        <v>0.71895580198824716</v>
      </c>
      <c r="M7206" s="1">
        <v>8.802629721753133E-2</v>
      </c>
      <c r="N7206" s="1">
        <v>0.34385841441714604</v>
      </c>
      <c r="O7206" s="1">
        <v>8.9066666666666669E-2</v>
      </c>
      <c r="P7206" s="1">
        <v>5.1280787206308485E-2</v>
      </c>
      <c r="Q7206" s="1">
        <v>0.35289747047049735</v>
      </c>
      <c r="R7206" s="2">
        <f t="shared" si="451"/>
        <v>11.341055306897509</v>
      </c>
      <c r="S7206" s="2">
        <f t="shared" si="450"/>
        <v>1.0850563160411615</v>
      </c>
      <c r="T7206" s="2">
        <f t="shared" si="452"/>
        <v>1.2399071802895911</v>
      </c>
      <c r="U7206" s="2">
        <f t="shared" si="453"/>
        <v>13.666018803228262</v>
      </c>
    </row>
    <row r="7207" spans="1:21" x14ac:dyDescent="0.25">
      <c r="A7207">
        <v>8171633</v>
      </c>
      <c r="B7207">
        <v>23</v>
      </c>
      <c r="C7207" s="1">
        <f>0.209489368432771*(10.3/7.3)</f>
        <v>0.29558088970651247</v>
      </c>
      <c r="D7207" s="1">
        <f>0.401794218911184*(10.3/7.3)</f>
        <v>0.56691513079249234</v>
      </c>
      <c r="E7207" s="1">
        <f>1.37618325229185*(10.3/7.3)</f>
        <v>1.9417380135076776</v>
      </c>
      <c r="F7207" s="1">
        <f>3.87390457390193*(38.9/42.5)</f>
        <v>3.5457620688184708</v>
      </c>
      <c r="G7207" s="1">
        <v>0.20358795213078293</v>
      </c>
      <c r="H7207" s="1">
        <v>0.81119736267976661</v>
      </c>
      <c r="I7207" s="1">
        <v>2.8015159039200501</v>
      </c>
      <c r="J7207" s="1">
        <v>1.0318733589075558E-2</v>
      </c>
      <c r="K7207" s="1">
        <v>1.1435524651788516</v>
      </c>
      <c r="L7207" s="1">
        <v>0.8273519351930344</v>
      </c>
      <c r="M7207" s="1">
        <v>9.7815779849167617E-2</v>
      </c>
      <c r="N7207" s="1">
        <v>0.39929827269317369</v>
      </c>
      <c r="O7207" s="1">
        <v>9.9888695652173884E-2</v>
      </c>
      <c r="P7207" s="1">
        <v>5.7155642989085181E-2</v>
      </c>
      <c r="Q7207" s="1">
        <v>0.32536887326837483</v>
      </c>
      <c r="R7207" s="2">
        <f t="shared" si="451"/>
        <v>10.491666194824127</v>
      </c>
      <c r="S7207" s="2">
        <f t="shared" si="450"/>
        <v>1.2110268417570123</v>
      </c>
      <c r="T7207" s="2">
        <f t="shared" si="452"/>
        <v>1.4243546833875496</v>
      </c>
      <c r="U7207" s="2">
        <f t="shared" si="453"/>
        <v>13.12704771996869</v>
      </c>
    </row>
    <row r="7208" spans="1:21" x14ac:dyDescent="0.25">
      <c r="A7208">
        <v>8183861</v>
      </c>
      <c r="B7208">
        <v>63</v>
      </c>
      <c r="C7208" s="1">
        <f>0.288606036435754*(10.3/7.3)</f>
        <v>0.40721125688880355</v>
      </c>
      <c r="D7208" s="1">
        <f>0.596220030185275*(10.3/7.3)</f>
        <v>0.84124196039840249</v>
      </c>
      <c r="E7208" s="1">
        <f>2.0345997301937*(10.3/7.3)</f>
        <v>2.8707366056157673</v>
      </c>
      <c r="F7208" s="1">
        <f>5.88856030942278*(38.9/42.5)</f>
        <v>5.3897646126246137</v>
      </c>
      <c r="G7208" s="1">
        <v>0.31619819125276327</v>
      </c>
      <c r="H7208" s="1">
        <v>1.1603562706714723</v>
      </c>
      <c r="I7208" s="1">
        <v>4.234633031508543</v>
      </c>
      <c r="J7208" s="1">
        <v>1.1076917084438847E-2</v>
      </c>
      <c r="K7208" s="1">
        <v>1.2232833768942442</v>
      </c>
      <c r="L7208" s="1">
        <v>0.89383538480264735</v>
      </c>
      <c r="M7208" s="1">
        <v>0.10488909494867886</v>
      </c>
      <c r="N7208" s="1">
        <v>0.42544230542230738</v>
      </c>
      <c r="O7208" s="1">
        <v>0.10592253968253972</v>
      </c>
      <c r="P7208" s="1">
        <v>6.0731966653828184E-2</v>
      </c>
      <c r="Q7208" s="1">
        <v>0.50533957506149441</v>
      </c>
      <c r="R7208" s="2">
        <f t="shared" si="451"/>
        <v>15.725481504021861</v>
      </c>
      <c r="S7208" s="2">
        <f t="shared" si="450"/>
        <v>1.2950922606325113</v>
      </c>
      <c r="T7208" s="2">
        <f t="shared" si="452"/>
        <v>1.5300893248561731</v>
      </c>
      <c r="U7208" s="2">
        <f t="shared" si="453"/>
        <v>18.550663089510547</v>
      </c>
    </row>
    <row r="7209" spans="1:21" x14ac:dyDescent="0.25">
      <c r="A7209">
        <v>8183869</v>
      </c>
      <c r="B7209">
        <v>23</v>
      </c>
      <c r="C7209" s="1">
        <f>0.181340527915675*(10.3/7.3)</f>
        <v>0.25586403253855466</v>
      </c>
      <c r="D7209" s="1">
        <f>0.332921824327752*(10.3/7.3)</f>
        <v>0.46973901240764943</v>
      </c>
      <c r="E7209" s="1">
        <f>1.14283658602067*(10.3/7.3)</f>
        <v>1.6124954569880634</v>
      </c>
      <c r="F7209" s="1">
        <f>3.16446469897233*(38.9/42.5)</f>
        <v>2.896415924471142</v>
      </c>
      <c r="G7209" s="1">
        <v>0.16407169184450937</v>
      </c>
      <c r="H7209" s="1">
        <v>0.69338837466035219</v>
      </c>
      <c r="I7209" s="1">
        <v>2.2973954460299573</v>
      </c>
      <c r="J7209" s="1">
        <v>1.0567791200912285E-2</v>
      </c>
      <c r="K7209" s="1">
        <v>1.1668255102807039</v>
      </c>
      <c r="L7209" s="1">
        <v>0.85157854357697205</v>
      </c>
      <c r="M7209" s="1">
        <v>0.10129408758382742</v>
      </c>
      <c r="N7209" s="1">
        <v>0.41401136879712402</v>
      </c>
      <c r="O7209" s="1">
        <v>0.1018063768115942</v>
      </c>
      <c r="P7209" s="1">
        <v>5.8221178667118394E-2</v>
      </c>
      <c r="Q7209" s="1">
        <v>0.2622150326282115</v>
      </c>
      <c r="R7209" s="2">
        <f t="shared" si="451"/>
        <v>8.6515849715684396</v>
      </c>
      <c r="S7209" s="2">
        <f t="shared" si="450"/>
        <v>1.2356144801487345</v>
      </c>
      <c r="T7209" s="2">
        <f t="shared" si="452"/>
        <v>1.4686903767695176</v>
      </c>
      <c r="U7209" s="2">
        <f t="shared" si="453"/>
        <v>11.355889828486692</v>
      </c>
    </row>
    <row r="7210" spans="1:21" x14ac:dyDescent="0.25">
      <c r="A7210">
        <v>8183973</v>
      </c>
      <c r="B7210">
        <v>5</v>
      </c>
      <c r="C7210" s="1">
        <f>0.167800338189241*(10.3/7.3)</f>
        <v>0.23675938128071017</v>
      </c>
      <c r="D7210" s="1">
        <f>0.319485649826289*(10.3/7.3)</f>
        <v>0.45078112235764023</v>
      </c>
      <c r="E7210" s="1">
        <f>1.09493264852184*(10.3/7.3)</f>
        <v>1.544904969832182</v>
      </c>
      <c r="F7210" s="1">
        <f>3.06046928693058*(38.9/42.5)</f>
        <v>2.8012295355670496</v>
      </c>
      <c r="G7210" s="1">
        <v>0.16006259304746265</v>
      </c>
      <c r="H7210" s="1">
        <v>0.74712790882216173</v>
      </c>
      <c r="I7210" s="1">
        <v>2.2123929477954047</v>
      </c>
      <c r="J7210" s="1">
        <v>1.0568971918479516E-2</v>
      </c>
      <c r="K7210" s="1">
        <v>1.1724399160224319</v>
      </c>
      <c r="L7210" s="1">
        <v>0.86900736521144673</v>
      </c>
      <c r="M7210" s="1">
        <v>9.5981345686886016E-2</v>
      </c>
      <c r="N7210" s="1">
        <v>0.42384836582051688</v>
      </c>
      <c r="O7210" s="1">
        <v>9.9658666666666659E-2</v>
      </c>
      <c r="P7210" s="1">
        <v>5.6642854081219954E-2</v>
      </c>
      <c r="Q7210" s="1">
        <v>0.25580779710781726</v>
      </c>
      <c r="R7210" s="2">
        <f t="shared" si="451"/>
        <v>8.4090662558104281</v>
      </c>
      <c r="S7210" s="2">
        <f t="shared" si="450"/>
        <v>1.2396517420221316</v>
      </c>
      <c r="T7210" s="2">
        <f t="shared" si="452"/>
        <v>1.4884957433855162</v>
      </c>
      <c r="U7210" s="2">
        <f t="shared" si="453"/>
        <v>11.137213741218076</v>
      </c>
    </row>
    <row r="7211" spans="1:21" x14ac:dyDescent="0.25">
      <c r="A7211">
        <v>8184653</v>
      </c>
      <c r="B7211">
        <v>2</v>
      </c>
      <c r="C7211" s="1">
        <f>2.07450287552495*(10.3/7.3)</f>
        <v>2.9270383038228789</v>
      </c>
      <c r="D7211" s="1">
        <f>2.42836143349993*(10.3/7.3)</f>
        <v>3.426318186993059</v>
      </c>
      <c r="E7211" s="1">
        <f>8.58571306405707*(10.3/7.3)</f>
        <v>12.114088295861347</v>
      </c>
      <c r="F7211" s="1">
        <f>18.5408078307821*(38.9/42.5)</f>
        <v>16.970292343939388</v>
      </c>
      <c r="G7211" s="1">
        <v>0.73706259749265635</v>
      </c>
      <c r="H7211" s="1">
        <v>6.2109500198371421</v>
      </c>
      <c r="I7211" s="1">
        <v>14.312965727913149</v>
      </c>
      <c r="J7211" s="1">
        <v>1.6773384452284216E-2</v>
      </c>
      <c r="K7211" s="1">
        <v>1.3940910846586454</v>
      </c>
      <c r="L7211" s="1">
        <v>1.0167325075587845</v>
      </c>
      <c r="M7211" s="1">
        <v>7.5328472704252775E-2</v>
      </c>
      <c r="N7211" s="1">
        <v>0.66500571355499649</v>
      </c>
      <c r="O7211" s="1">
        <v>6.8719999999999989E-2</v>
      </c>
      <c r="P7211" s="1">
        <v>4.8600447103731098E-2</v>
      </c>
      <c r="Q7211" s="1">
        <v>1.1779539229334701</v>
      </c>
      <c r="R7211" s="2">
        <f t="shared" si="451"/>
        <v>57.876669398793084</v>
      </c>
      <c r="S7211" s="2">
        <f t="shared" si="450"/>
        <v>1.4594649162146607</v>
      </c>
      <c r="T7211" s="2">
        <f t="shared" si="452"/>
        <v>1.8257866938180336</v>
      </c>
      <c r="U7211" s="2">
        <f t="shared" si="453"/>
        <v>61.161921008825779</v>
      </c>
    </row>
    <row r="7212" spans="1:21" x14ac:dyDescent="0.25">
      <c r="A7212">
        <v>8184661</v>
      </c>
      <c r="B7212">
        <v>11</v>
      </c>
      <c r="C7212" s="1">
        <f>1.33818805403146*(10.3/7.3)</f>
        <v>1.8881283502087665</v>
      </c>
      <c r="D7212" s="1">
        <f>1.86949784386906*(10.3/7.3)</f>
        <v>2.6377846290207283</v>
      </c>
      <c r="E7212" s="1">
        <f>6.53915351697355*(10.3/7.3)</f>
        <v>9.226476880113367</v>
      </c>
      <c r="F7212" s="1">
        <f>15.0927432153991*(38.9/42.5)</f>
        <v>13.81429908421239</v>
      </c>
      <c r="G7212" s="1">
        <v>0.66170740958127583</v>
      </c>
      <c r="H7212" s="1">
        <v>5.0465686625610209</v>
      </c>
      <c r="I7212" s="1">
        <v>11.188457927961847</v>
      </c>
      <c r="J7212" s="1">
        <v>1.5679023628717984E-2</v>
      </c>
      <c r="K7212" s="1">
        <v>1.3276346881835006</v>
      </c>
      <c r="L7212" s="1">
        <v>0.949573999328581</v>
      </c>
      <c r="M7212" s="1">
        <v>7.1421686920701125E-2</v>
      </c>
      <c r="N7212" s="1">
        <v>0.62649701946146152</v>
      </c>
      <c r="O7212" s="1">
        <v>6.4717575757575752E-2</v>
      </c>
      <c r="P7212" s="1">
        <v>4.6592536262529884E-2</v>
      </c>
      <c r="Q7212" s="1">
        <v>1.0575232573216746</v>
      </c>
      <c r="R7212" s="2">
        <f t="shared" si="451"/>
        <v>45.520946200981072</v>
      </c>
      <c r="S7212" s="2">
        <f t="shared" si="450"/>
        <v>1.3899062480747486</v>
      </c>
      <c r="T7212" s="2">
        <f t="shared" si="452"/>
        <v>1.7122102814683196</v>
      </c>
      <c r="U7212" s="2">
        <f t="shared" si="453"/>
        <v>48.62306273052414</v>
      </c>
    </row>
    <row r="7213" spans="1:21" x14ac:dyDescent="0.25">
      <c r="A7213">
        <v>8184669</v>
      </c>
      <c r="B7213">
        <v>17</v>
      </c>
      <c r="C7213" s="1">
        <f>1.15537424462996*(10.3/7.3)</f>
        <v>1.6301855780395329</v>
      </c>
      <c r="D7213" s="1">
        <f>1.70488732208218*(10.3/7.3)</f>
        <v>2.4055259475954043</v>
      </c>
      <c r="E7213" s="1">
        <f>5.94536879084361*(10.3/7.3)</f>
        <v>8.3886710336560579</v>
      </c>
      <c r="F7213" s="1">
        <f>13.9827399665813*(38.9/42.5)</f>
        <v>12.798319640000326</v>
      </c>
      <c r="G7213" s="1">
        <v>0.62825606007470358</v>
      </c>
      <c r="H7213" s="1">
        <v>4.915133195795784</v>
      </c>
      <c r="I7213" s="1">
        <v>10.257907454228009</v>
      </c>
      <c r="J7213" s="1">
        <v>1.4892646786952428E-2</v>
      </c>
      <c r="K7213" s="1">
        <v>1.2847577189139932</v>
      </c>
      <c r="L7213" s="1">
        <v>0.90739600934679598</v>
      </c>
      <c r="M7213" s="1">
        <v>6.8352809334562836E-2</v>
      </c>
      <c r="N7213" s="1">
        <v>0.59828436318976697</v>
      </c>
      <c r="O7213" s="1">
        <v>6.2174117647058831E-2</v>
      </c>
      <c r="P7213" s="1">
        <v>4.5254549221109094E-2</v>
      </c>
      <c r="Q7213" s="1">
        <v>1.0040621964664223</v>
      </c>
      <c r="R7213" s="2">
        <f t="shared" si="451"/>
        <v>42.028061105856239</v>
      </c>
      <c r="S7213" s="2">
        <f t="shared" si="450"/>
        <v>1.3449049149220547</v>
      </c>
      <c r="T7213" s="2">
        <f t="shared" si="452"/>
        <v>1.6362072995181847</v>
      </c>
      <c r="U7213" s="2">
        <f t="shared" si="453"/>
        <v>45.009173320296476</v>
      </c>
    </row>
    <row r="7214" spans="1:21" x14ac:dyDescent="0.25">
      <c r="A7214">
        <v>8184677</v>
      </c>
      <c r="B7214">
        <v>10</v>
      </c>
      <c r="C7214" s="1">
        <f>1.06933384279723*(10.3/7.3)</f>
        <v>1.5087861069604813</v>
      </c>
      <c r="D7214" s="1">
        <f>1.64385293065652*(10.3/7.3)</f>
        <v>2.3194089295564639</v>
      </c>
      <c r="E7214" s="1">
        <f>5.72699767562051*(10.3/7.3)</f>
        <v>8.0805583642316829</v>
      </c>
      <c r="F7214" s="1">
        <f>13.3005538339548*(38.9/42.5)</f>
        <v>12.173918685666894</v>
      </c>
      <c r="G7214" s="1">
        <v>0.59427448995306431</v>
      </c>
      <c r="H7214" s="1">
        <v>3.5734628718783923</v>
      </c>
      <c r="I7214" s="1">
        <v>9.6284510103887602</v>
      </c>
      <c r="J7214" s="1">
        <v>1.4399736270496261E-2</v>
      </c>
      <c r="K7214" s="1">
        <v>1.2466345791014972</v>
      </c>
      <c r="L7214" s="1">
        <v>0.90733408814790129</v>
      </c>
      <c r="M7214" s="1">
        <v>6.6499355303154942E-2</v>
      </c>
      <c r="N7214" s="1">
        <v>0.57654636057459596</v>
      </c>
      <c r="O7214" s="1">
        <v>6.0959999999999993E-2</v>
      </c>
      <c r="P7214" s="1">
        <v>4.445499451587541E-2</v>
      </c>
      <c r="Q7214" s="1">
        <v>0.94975375106654203</v>
      </c>
      <c r="R7214" s="2">
        <f t="shared" si="451"/>
        <v>38.82861420970228</v>
      </c>
      <c r="S7214" s="2">
        <f t="shared" si="450"/>
        <v>1.3054893098878688</v>
      </c>
      <c r="T7214" s="2">
        <f t="shared" si="452"/>
        <v>1.6113398040256521</v>
      </c>
      <c r="U7214" s="2">
        <f t="shared" si="453"/>
        <v>41.745443323615802</v>
      </c>
    </row>
    <row r="7215" spans="1:21" x14ac:dyDescent="0.25">
      <c r="A7215">
        <v>8196089</v>
      </c>
      <c r="B7215">
        <v>7</v>
      </c>
      <c r="C7215" s="1">
        <f>0.243919592344599*(10.3/7.3)</f>
        <v>0.34416052070539366</v>
      </c>
      <c r="D7215" s="1">
        <f>0.481884147654328*(10.3/7.3)</f>
        <v>0.67991872888213445</v>
      </c>
      <c r="E7215" s="1">
        <f>1.64848052433054*(10.3/7.3)</f>
        <v>2.3259382740554129</v>
      </c>
      <c r="F7215" s="1">
        <f>4.6701876308416*(38.9/42.5)</f>
        <v>4.2745952668173688</v>
      </c>
      <c r="G7215" s="1">
        <v>0.24691631503663605</v>
      </c>
      <c r="H7215" s="1">
        <v>0.92653189355648258</v>
      </c>
      <c r="I7215" s="1">
        <v>3.3655682616959632</v>
      </c>
      <c r="J7215" s="1">
        <v>9.8187734942033061E-3</v>
      </c>
      <c r="K7215" s="1">
        <v>1.0983318804099174</v>
      </c>
      <c r="L7215" s="1">
        <v>0.78494199674738885</v>
      </c>
      <c r="M7215" s="1">
        <v>9.4402120807226222E-2</v>
      </c>
      <c r="N7215" s="1">
        <v>0.37432766526978878</v>
      </c>
      <c r="O7215" s="1">
        <v>9.5664761904761905E-2</v>
      </c>
      <c r="P7215" s="1">
        <v>5.4838407435037186E-2</v>
      </c>
      <c r="Q7215" s="1">
        <v>0.39461511535535487</v>
      </c>
      <c r="R7215" s="2">
        <f t="shared" si="451"/>
        <v>12.558244376104748</v>
      </c>
      <c r="S7215" s="2">
        <f t="shared" si="450"/>
        <v>1.1629890613391578</v>
      </c>
      <c r="T7215" s="2">
        <f t="shared" si="452"/>
        <v>1.3493365447291656</v>
      </c>
      <c r="U7215" s="2">
        <f t="shared" si="453"/>
        <v>15.070569982173071</v>
      </c>
    </row>
    <row r="7216" spans="1:21" x14ac:dyDescent="0.25">
      <c r="A7216">
        <v>8196097</v>
      </c>
      <c r="B7216">
        <v>60</v>
      </c>
      <c r="C7216" s="1">
        <f>0.295390463207048*(10.3/7.3)</f>
        <v>0.41678380425104089</v>
      </c>
      <c r="D7216" s="1">
        <f>0.615380546664677*(10.3/7.3)</f>
        <v>0.86827666173235218</v>
      </c>
      <c r="E7216" s="1">
        <f>2.09909619651267*(10.3/7.3)</f>
        <v>2.961738469052118</v>
      </c>
      <c r="F7216" s="1">
        <f>6.09581765861485*(38.9/42.5)</f>
        <v>5.5794660451792364</v>
      </c>
      <c r="G7216" s="1">
        <v>0.32813832994179581</v>
      </c>
      <c r="H7216" s="1">
        <v>1.200458958854876</v>
      </c>
      <c r="I7216" s="1">
        <v>4.3815033839813662</v>
      </c>
      <c r="J7216" s="1">
        <v>1.1529633249113751E-2</v>
      </c>
      <c r="K7216" s="1">
        <v>1.2657385395460279</v>
      </c>
      <c r="L7216" s="1">
        <v>0.93297293741709475</v>
      </c>
      <c r="M7216" s="1">
        <v>0.10801858086659812</v>
      </c>
      <c r="N7216" s="1">
        <v>0.44550276417979146</v>
      </c>
      <c r="O7216" s="1">
        <v>0.11000000000000003</v>
      </c>
      <c r="P7216" s="1">
        <v>6.2721910387627977E-2</v>
      </c>
      <c r="Q7216" s="1">
        <v>0.52442198849145494</v>
      </c>
      <c r="R7216" s="2">
        <f t="shared" si="451"/>
        <v>16.260787641484242</v>
      </c>
      <c r="S7216" s="2">
        <f t="shared" si="450"/>
        <v>1.3399900831827696</v>
      </c>
      <c r="T7216" s="2">
        <f t="shared" si="452"/>
        <v>1.5964942824634845</v>
      </c>
      <c r="U7216" s="2">
        <f t="shared" si="453"/>
        <v>19.197272007130497</v>
      </c>
    </row>
    <row r="7217" spans="1:21" x14ac:dyDescent="0.25">
      <c r="A7217">
        <v>8196105</v>
      </c>
      <c r="B7217">
        <v>8</v>
      </c>
      <c r="C7217" s="1">
        <f>0.0867977419888212*(10.3/7.3)</f>
        <v>0.1224680469157341</v>
      </c>
      <c r="D7217" s="1">
        <f>0.0941475930502981*(10.3/7.3)</f>
        <v>0.13283838471480416</v>
      </c>
      <c r="E7217" s="1">
        <f>0.335004335009256*(10.3/7.3)</f>
        <v>0.47267734939662209</v>
      </c>
      <c r="F7217" s="1">
        <f>0.679377494056087*(38.9/42.5)</f>
        <v>0.62183022397133636</v>
      </c>
      <c r="G7217" s="1">
        <v>2.4597365234033251E-2</v>
      </c>
      <c r="H7217" s="1">
        <v>0.25193984795177676</v>
      </c>
      <c r="I7217" s="1">
        <v>0.53332219718069707</v>
      </c>
      <c r="J7217" s="1">
        <v>9.0327199981786038E-3</v>
      </c>
      <c r="K7217" s="1">
        <v>1.0135739148774472</v>
      </c>
      <c r="L7217" s="1">
        <v>0.72147838400142505</v>
      </c>
      <c r="M7217" s="1">
        <v>8.6960811020425119E-2</v>
      </c>
      <c r="N7217" s="1">
        <v>0.35738483397432946</v>
      </c>
      <c r="O7217" s="1">
        <v>8.7933333333333336E-2</v>
      </c>
      <c r="P7217" s="1">
        <v>5.1198792414468654E-2</v>
      </c>
      <c r="Q7217" s="1">
        <v>3.9310857679961869E-2</v>
      </c>
      <c r="R7217" s="2">
        <f t="shared" si="451"/>
        <v>2.1989842730449651</v>
      </c>
      <c r="S7217" s="2">
        <f t="shared" si="450"/>
        <v>1.0738054272900943</v>
      </c>
      <c r="T7217" s="2">
        <f t="shared" si="452"/>
        <v>1.2537573623295131</v>
      </c>
      <c r="U7217" s="2">
        <f t="shared" si="453"/>
        <v>4.526547062664573</v>
      </c>
    </row>
    <row r="7218" spans="1:21" x14ac:dyDescent="0.25">
      <c r="A7218">
        <v>8196201</v>
      </c>
      <c r="B7218">
        <v>3</v>
      </c>
      <c r="C7218" s="1">
        <f>0.169898008371526*(10.3/7.3)</f>
        <v>0.23971910770229035</v>
      </c>
      <c r="D7218" s="1">
        <f>0.325289069231815*(10.3/7.3)</f>
        <v>0.45896950864214958</v>
      </c>
      <c r="E7218" s="1">
        <f>1.11456582975504*(10.3/7.3)</f>
        <v>1.5726065817091639</v>
      </c>
      <c r="F7218" s="1">
        <f>3.11891402932697*(38.9/42.5)</f>
        <v>2.8547236644898604</v>
      </c>
      <c r="G7218" s="1">
        <v>0.16330290026695143</v>
      </c>
      <c r="H7218" s="1">
        <v>0.75344299050809693</v>
      </c>
      <c r="I7218" s="1">
        <v>2.2530633959978483</v>
      </c>
      <c r="J7218" s="1">
        <v>1.0381705192660946E-2</v>
      </c>
      <c r="K7218" s="1">
        <v>1.1507727084508914</v>
      </c>
      <c r="L7218" s="1">
        <v>0.85166778528029352</v>
      </c>
      <c r="M7218" s="1">
        <v>9.461057130598409E-2</v>
      </c>
      <c r="N7218" s="1">
        <v>0.41549472527987347</v>
      </c>
      <c r="O7218" s="1">
        <v>9.8186666666666686E-2</v>
      </c>
      <c r="P7218" s="1">
        <v>5.5595025353243538E-2</v>
      </c>
      <c r="Q7218" s="1">
        <v>0.26098637028964866</v>
      </c>
      <c r="R7218" s="2">
        <f t="shared" si="451"/>
        <v>8.556814519606009</v>
      </c>
      <c r="S7218" s="2">
        <f t="shared" si="450"/>
        <v>1.2167494389967959</v>
      </c>
      <c r="T7218" s="2">
        <f t="shared" si="452"/>
        <v>1.4599597485328177</v>
      </c>
      <c r="U7218" s="2">
        <f t="shared" si="453"/>
        <v>11.233523707135623</v>
      </c>
    </row>
    <row r="7219" spans="1:21" x14ac:dyDescent="0.25">
      <c r="A7219">
        <v>8196209</v>
      </c>
      <c r="B7219">
        <v>28</v>
      </c>
      <c r="C7219" s="1">
        <f>0.261019113091377*(10.3/7.3)</f>
        <v>0.36828724175906613</v>
      </c>
      <c r="D7219" s="1">
        <f>0.577288498301067*(10.3/7.3)</f>
        <v>0.81453034691794401</v>
      </c>
      <c r="E7219" s="1">
        <f>1.96650991988171*(10.3/7.3)</f>
        <v>2.7746646814769278</v>
      </c>
      <c r="F7219" s="1">
        <f>5.68516342554669*(38.9/42.5)</f>
        <v>5.2035966412650856</v>
      </c>
      <c r="G7219" s="1">
        <v>0.30644584750442017</v>
      </c>
      <c r="H7219" s="1">
        <v>1.1549737352426044</v>
      </c>
      <c r="I7219" s="1">
        <v>4.044814333921499</v>
      </c>
      <c r="J7219" s="1">
        <v>1.0633468615589234E-2</v>
      </c>
      <c r="K7219" s="1">
        <v>1.1739514405981628</v>
      </c>
      <c r="L7219" s="1">
        <v>0.86200188926677435</v>
      </c>
      <c r="M7219" s="1">
        <v>9.4578431202517785E-2</v>
      </c>
      <c r="N7219" s="1">
        <v>0.42100649194644507</v>
      </c>
      <c r="O7219" s="1">
        <v>9.8529523809523803E-2</v>
      </c>
      <c r="P7219" s="1">
        <v>5.6251341641282315E-2</v>
      </c>
      <c r="Q7219" s="1">
        <v>0.48975363756414242</v>
      </c>
      <c r="R7219" s="2">
        <f t="shared" si="451"/>
        <v>15.15706646565169</v>
      </c>
      <c r="S7219" s="2">
        <f t="shared" si="450"/>
        <v>1.2408362508550344</v>
      </c>
      <c r="T7219" s="2">
        <f t="shared" si="452"/>
        <v>1.4761163362252609</v>
      </c>
      <c r="U7219" s="2">
        <f t="shared" si="453"/>
        <v>17.874019052731985</v>
      </c>
    </row>
    <row r="7220" spans="1:21" x14ac:dyDescent="0.25">
      <c r="A7220">
        <v>8196881</v>
      </c>
      <c r="B7220">
        <v>18</v>
      </c>
      <c r="C7220" s="1">
        <f>1.86042102938985*(10.3/7.3)</f>
        <v>2.6249776168103423</v>
      </c>
      <c r="D7220" s="1">
        <f>2.16761076338911*(10.3/7.3)</f>
        <v>3.0584097072476522</v>
      </c>
      <c r="E7220" s="1">
        <f>7.67038686275613*(10.3/7.3)</f>
        <v>10.822600641970984</v>
      </c>
      <c r="F7220" s="1">
        <f>16.3180942858898*(38.9/42.5)</f>
        <v>14.935855711085006</v>
      </c>
      <c r="G7220" s="1">
        <v>0.63718888987209965</v>
      </c>
      <c r="H7220" s="1">
        <v>5.1933335767696587</v>
      </c>
      <c r="I7220" s="1">
        <v>12.585896474070072</v>
      </c>
      <c r="J7220" s="1">
        <v>1.5730027795092631E-2</v>
      </c>
      <c r="K7220" s="1">
        <v>1.3131003133449193</v>
      </c>
      <c r="L7220" s="1">
        <v>0.93947570031886363</v>
      </c>
      <c r="M7220" s="1">
        <v>6.9212028503696274E-2</v>
      </c>
      <c r="N7220" s="1">
        <v>0.62241813596352058</v>
      </c>
      <c r="O7220" s="1">
        <v>6.4068148148148152E-2</v>
      </c>
      <c r="P7220" s="1">
        <v>4.5967235532461764E-2</v>
      </c>
      <c r="Q7220" s="1">
        <v>1.0183384084713929</v>
      </c>
      <c r="R7220" s="2">
        <f t="shared" si="451"/>
        <v>50.876601026297209</v>
      </c>
      <c r="S7220" s="2">
        <f t="shared" si="450"/>
        <v>1.3747975766724738</v>
      </c>
      <c r="T7220" s="2">
        <f t="shared" si="452"/>
        <v>1.6951740129342288</v>
      </c>
      <c r="U7220" s="2">
        <f t="shared" si="453"/>
        <v>53.946572615903911</v>
      </c>
    </row>
    <row r="7221" spans="1:21" x14ac:dyDescent="0.25">
      <c r="A7221">
        <v>8196889</v>
      </c>
      <c r="B7221">
        <v>40</v>
      </c>
      <c r="C7221" s="1">
        <f>1.36471700398783*(10.3/7.3)</f>
        <v>1.925559608366384</v>
      </c>
      <c r="D7221" s="1">
        <f>1.81940054488081*(10.3/7.3)</f>
        <v>2.567099398941417</v>
      </c>
      <c r="E7221" s="1">
        <f>6.38387686064206*(10.3/7.3)</f>
        <v>9.0073878992620795</v>
      </c>
      <c r="F7221" s="1">
        <f>14.3488992478645*(38.9/42.5)</f>
        <v>13.133463076280652</v>
      </c>
      <c r="G7221" s="1">
        <v>0.60904632096111444</v>
      </c>
      <c r="H7221" s="1">
        <v>4.0417110630034596</v>
      </c>
      <c r="I7221" s="1">
        <v>10.719583016500492</v>
      </c>
      <c r="J7221" s="1">
        <v>1.5124687632417019E-2</v>
      </c>
      <c r="K7221" s="1">
        <v>1.2779503181654635</v>
      </c>
      <c r="L7221" s="1">
        <v>0.909034685571663</v>
      </c>
      <c r="M7221" s="1">
        <v>6.7989712599088245E-2</v>
      </c>
      <c r="N7221" s="1">
        <v>0.60316569773591133</v>
      </c>
      <c r="O7221" s="1">
        <v>6.2365333333333342E-2</v>
      </c>
      <c r="P7221" s="1">
        <v>4.490017732911665E-2</v>
      </c>
      <c r="Q7221" s="1">
        <v>0.97336170016616563</v>
      </c>
      <c r="R7221" s="2">
        <f t="shared" si="451"/>
        <v>42.977212083481767</v>
      </c>
      <c r="S7221" s="2">
        <f t="shared" si="450"/>
        <v>1.337975183126997</v>
      </c>
      <c r="T7221" s="2">
        <f t="shared" si="452"/>
        <v>1.642555429239996</v>
      </c>
      <c r="U7221" s="2">
        <f t="shared" si="453"/>
        <v>45.957742695848765</v>
      </c>
    </row>
    <row r="7222" spans="1:21" x14ac:dyDescent="0.25">
      <c r="A7222">
        <v>8196897</v>
      </c>
      <c r="B7222">
        <v>64</v>
      </c>
      <c r="C7222" s="1">
        <f>1.13881584848703*(10.3/7.3)</f>
        <v>1.6068223615638988</v>
      </c>
      <c r="D7222" s="1">
        <f>1.64835334140605*(10.3/7.3)</f>
        <v>2.3257588241756615</v>
      </c>
      <c r="E7222" s="1">
        <f>5.75645948325533*(10.3/7.3)</f>
        <v>8.1221277640451888</v>
      </c>
      <c r="F7222" s="1">
        <f>13.3386309026817*(38.9/42.5)</f>
        <v>12.208770402689805</v>
      </c>
      <c r="G7222" s="1">
        <v>0.58990590936917353</v>
      </c>
      <c r="H7222" s="1">
        <v>4.3305599181292989</v>
      </c>
      <c r="I7222" s="1">
        <v>9.802759638428439</v>
      </c>
      <c r="J7222" s="1">
        <v>1.4574874505575448E-2</v>
      </c>
      <c r="K7222" s="1">
        <v>1.2494350248766621</v>
      </c>
      <c r="L7222" s="1">
        <v>0.88144111849576667</v>
      </c>
      <c r="M7222" s="1">
        <v>6.6759969019918888E-2</v>
      </c>
      <c r="N7222" s="1">
        <v>0.58344343915504793</v>
      </c>
      <c r="O7222" s="1">
        <v>6.076666666666667E-2</v>
      </c>
      <c r="P7222" s="1">
        <v>4.4188211927995866E-2</v>
      </c>
      <c r="Q7222" s="1">
        <v>0.94277200127493599</v>
      </c>
      <c r="R7222" s="2">
        <f t="shared" si="451"/>
        <v>39.929476819676402</v>
      </c>
      <c r="S7222" s="2">
        <f t="shared" si="450"/>
        <v>1.3081981113102334</v>
      </c>
      <c r="T7222" s="2">
        <f t="shared" si="452"/>
        <v>1.5924111933374001</v>
      </c>
      <c r="U7222" s="2">
        <f t="shared" si="453"/>
        <v>42.830086124324033</v>
      </c>
    </row>
    <row r="7223" spans="1:21" x14ac:dyDescent="0.25">
      <c r="A7223">
        <v>8196905</v>
      </c>
      <c r="B7223">
        <v>43</v>
      </c>
      <c r="C7223" s="1">
        <f>1.11392955751447*(10.3/7.3)</f>
        <v>1.5717088277258919</v>
      </c>
      <c r="D7223" s="1">
        <f>1.67718289828158*(10.3/7.3)</f>
        <v>2.3664361441507276</v>
      </c>
      <c r="E7223" s="1">
        <f>5.84739662487219*(10.3/7.3)</f>
        <v>8.2504363337237816</v>
      </c>
      <c r="F7223" s="1">
        <f>13.5933068135247*(38.9/42.5)</f>
        <v>12.441873765790875</v>
      </c>
      <c r="G7223" s="1">
        <v>0.60619395981043078</v>
      </c>
      <c r="H7223" s="1">
        <v>4.4343059972837047</v>
      </c>
      <c r="I7223" s="1">
        <v>9.8949230047823402</v>
      </c>
      <c r="J7223" s="1">
        <v>1.4337094741540858E-2</v>
      </c>
      <c r="K7223" s="1">
        <v>1.2447056389098232</v>
      </c>
      <c r="L7223" s="1">
        <v>0.88442028420373486</v>
      </c>
      <c r="M7223" s="1">
        <v>6.7208249409567711E-2</v>
      </c>
      <c r="N7223" s="1">
        <v>0.57480231217054556</v>
      </c>
      <c r="O7223" s="1">
        <v>6.0635038759689903E-2</v>
      </c>
      <c r="P7223" s="1">
        <v>4.4337530594198094E-2</v>
      </c>
      <c r="Q7223" s="1">
        <v>0.96880313211712743</v>
      </c>
      <c r="R7223" s="2">
        <f t="shared" si="451"/>
        <v>40.534681165384882</v>
      </c>
      <c r="S7223" s="2">
        <f t="shared" si="450"/>
        <v>1.3033802642455621</v>
      </c>
      <c r="T7223" s="2">
        <f t="shared" si="452"/>
        <v>1.5870658845435381</v>
      </c>
      <c r="U7223" s="2">
        <f t="shared" si="453"/>
        <v>43.425127314173984</v>
      </c>
    </row>
    <row r="7224" spans="1:21" x14ac:dyDescent="0.25">
      <c r="A7224">
        <v>820493</v>
      </c>
      <c r="B7224">
        <v>1</v>
      </c>
      <c r="C7224" s="1">
        <f>2.27145817396924*(10.3/7.3)</f>
        <v>3.2049341358744128</v>
      </c>
      <c r="D7224" s="1">
        <f>3.6234811504456*(10.3/7.3)</f>
        <v>5.1125829930944722</v>
      </c>
      <c r="E7224" s="1">
        <f>12.7487146564091*(10.3/7.3)</f>
        <v>17.987912460412826</v>
      </c>
      <c r="F7224" s="1">
        <f>22.4011886292047*(38.9/42.5)</f>
        <v>20.503676180613272</v>
      </c>
      <c r="G7224" s="1">
        <v>0.72327519756867253</v>
      </c>
      <c r="H7224" s="1">
        <v>3.4161904652105863</v>
      </c>
      <c r="I7224" s="1">
        <v>14.792321726632371</v>
      </c>
      <c r="J7224" s="1">
        <v>4.1108157999931567E-2</v>
      </c>
      <c r="K7224" s="1">
        <v>5.5104032011312629</v>
      </c>
      <c r="L7224" s="1">
        <v>2.4896825866269641</v>
      </c>
      <c r="M7224" s="1">
        <v>0.32336561112443329</v>
      </c>
      <c r="N7224" s="1">
        <v>1.152586084532802</v>
      </c>
      <c r="O7224" s="1">
        <v>7.9039999999999999E-2</v>
      </c>
      <c r="P7224" s="1">
        <v>6.5659725641235636E-2</v>
      </c>
      <c r="Q7224" s="1">
        <v>1.1559192655207107</v>
      </c>
      <c r="R7224" s="2">
        <f t="shared" si="451"/>
        <v>66.896812424927319</v>
      </c>
      <c r="S7224" s="2">
        <f t="shared" si="450"/>
        <v>5.6171710847724299</v>
      </c>
      <c r="T7224" s="2">
        <f t="shared" si="452"/>
        <v>4.0446742822841992</v>
      </c>
      <c r="U7224" s="2">
        <f t="shared" si="453"/>
        <v>76.558657791983961</v>
      </c>
    </row>
    <row r="7225" spans="1:21" x14ac:dyDescent="0.25">
      <c r="A7225">
        <v>820501</v>
      </c>
      <c r="B7225">
        <v>6</v>
      </c>
      <c r="C7225" s="1">
        <f>1.72540010689721*(10.3/7.3)</f>
        <v>2.4344686439782492</v>
      </c>
      <c r="D7225" s="1">
        <f>5.9401711948888*(10.3/7.3)</f>
        <v>8.3813374393636479</v>
      </c>
      <c r="E7225" s="1">
        <f>20.6856560818631*(10.3/7.3)</f>
        <v>29.186610636053388</v>
      </c>
      <c r="F7225" s="1">
        <f>26.9875033304195*(38.9/42.5)</f>
        <v>24.701503048313377</v>
      </c>
      <c r="G7225" s="1">
        <v>0.5331127970607048</v>
      </c>
      <c r="H7225" s="1">
        <v>3.5724439491241018</v>
      </c>
      <c r="I7225" s="1">
        <v>11.065235146476132</v>
      </c>
      <c r="J7225" s="1">
        <v>3.8371291576525718E-2</v>
      </c>
      <c r="K7225" s="1">
        <v>5.6549637709643035</v>
      </c>
      <c r="L7225" s="1">
        <v>2.0661411337401021</v>
      </c>
      <c r="M7225" s="1">
        <v>0.53231051771580928</v>
      </c>
      <c r="N7225" s="1">
        <v>1.3463954872365056</v>
      </c>
      <c r="O7225" s="1">
        <v>7.392E-2</v>
      </c>
      <c r="P7225" s="1">
        <v>6.2524137956583029E-2</v>
      </c>
      <c r="Q7225" s="1">
        <v>0.85200675329336484</v>
      </c>
      <c r="R7225" s="2">
        <f t="shared" si="451"/>
        <v>80.726718413662979</v>
      </c>
      <c r="S7225" s="2">
        <f t="shared" si="450"/>
        <v>5.7558592004974116</v>
      </c>
      <c r="T7225" s="2">
        <f t="shared" si="452"/>
        <v>4.0187671386924171</v>
      </c>
      <c r="U7225" s="2">
        <f t="shared" si="453"/>
        <v>90.501344752852802</v>
      </c>
    </row>
    <row r="7226" spans="1:21" x14ac:dyDescent="0.25">
      <c r="A7226">
        <v>820541</v>
      </c>
      <c r="B7226">
        <v>15</v>
      </c>
      <c r="C7226" s="1">
        <f>1.73124172006306*(10.3/7.3)</f>
        <v>2.4427109200889787</v>
      </c>
      <c r="D7226" s="1">
        <f>2.39700095683919*(10.3/7.3)</f>
        <v>3.3820698432114642</v>
      </c>
      <c r="E7226" s="1">
        <f>8.33864737439863*(10.3/7.3)</f>
        <v>11.765488761137801</v>
      </c>
      <c r="F7226" s="1">
        <f>21.7179771021374*(38.9/42.5)</f>
        <v>19.878336688779925</v>
      </c>
      <c r="G7226" s="1">
        <v>1.0504246258038583</v>
      </c>
      <c r="H7226" s="1">
        <v>3.5213298571093978</v>
      </c>
      <c r="I7226" s="1">
        <v>16.515520600526315</v>
      </c>
      <c r="J7226" s="1">
        <v>4.465547634096613E-2</v>
      </c>
      <c r="K7226" s="1">
        <v>4.6142296844742408</v>
      </c>
      <c r="L7226" s="1">
        <v>1.5467170081999799</v>
      </c>
      <c r="M7226" s="1">
        <v>0.10994810941351552</v>
      </c>
      <c r="N7226" s="1">
        <v>1.2313963544492659</v>
      </c>
      <c r="O7226" s="1">
        <v>7.0563555555555546E-2</v>
      </c>
      <c r="P7226" s="1">
        <v>6.2036036671742206E-2</v>
      </c>
      <c r="Q7226" s="1">
        <v>1.6787608174947524</v>
      </c>
      <c r="R7226" s="2">
        <f t="shared" si="451"/>
        <v>60.234642114152493</v>
      </c>
      <c r="S7226" s="2">
        <f t="shared" si="450"/>
        <v>4.7209211974869492</v>
      </c>
      <c r="T7226" s="2">
        <f t="shared" si="452"/>
        <v>2.958625027618317</v>
      </c>
      <c r="U7226" s="2">
        <f t="shared" si="453"/>
        <v>67.914188339257748</v>
      </c>
    </row>
    <row r="7227" spans="1:21" x14ac:dyDescent="0.25">
      <c r="A7227">
        <v>820549</v>
      </c>
      <c r="B7227">
        <v>19</v>
      </c>
      <c r="C7227" s="1">
        <f>1.77044900651477*(10.3/7.3)</f>
        <v>2.498030790013984</v>
      </c>
      <c r="D7227" s="1">
        <f>2.20742000803118*(10.3/7.3)</f>
        <v>3.1145789154412475</v>
      </c>
      <c r="E7227" s="1">
        <f>7.78124491869239*(10.3/7.3)</f>
        <v>10.97901680308652</v>
      </c>
      <c r="F7227" s="1">
        <f>16.8233102290151*(38.9/42.5)</f>
        <v>15.398276891969076</v>
      </c>
      <c r="G7227" s="1">
        <v>0.67800802665298399</v>
      </c>
      <c r="H7227" s="1">
        <v>2.3630993238208755</v>
      </c>
      <c r="I7227" s="1">
        <v>12.729388697430531</v>
      </c>
      <c r="J7227" s="1">
        <v>5.1507133776306092E-2</v>
      </c>
      <c r="K7227" s="1">
        <v>4.4140996852872929</v>
      </c>
      <c r="L7227" s="1">
        <v>1.5243455253530351</v>
      </c>
      <c r="M7227" s="1">
        <v>0.10218270932316639</v>
      </c>
      <c r="N7227" s="1">
        <v>2.1043675154739532</v>
      </c>
      <c r="O7227" s="1">
        <v>7.078736842105264E-2</v>
      </c>
      <c r="P7227" s="1">
        <v>6.1699590427153013E-2</v>
      </c>
      <c r="Q7227" s="1">
        <v>1.0835744718198383</v>
      </c>
      <c r="R7227" s="2">
        <f t="shared" si="451"/>
        <v>48.843973920235051</v>
      </c>
      <c r="S7227" s="2">
        <f t="shared" si="450"/>
        <v>4.5273064094907527</v>
      </c>
      <c r="T7227" s="2">
        <f t="shared" si="452"/>
        <v>3.8016831185712072</v>
      </c>
      <c r="U7227" s="2">
        <f t="shared" si="453"/>
        <v>57.172963448297011</v>
      </c>
    </row>
    <row r="7228" spans="1:21" x14ac:dyDescent="0.25">
      <c r="A7228">
        <v>820581</v>
      </c>
      <c r="B7228">
        <v>12</v>
      </c>
      <c r="C7228" s="1">
        <f>1.48257486870738*(10.3/7.3)</f>
        <v>2.0918522120117808</v>
      </c>
      <c r="D7228" s="1">
        <f>1.91440454909298*(10.3/7.3)</f>
        <v>2.7011461446106448</v>
      </c>
      <c r="E7228" s="1">
        <f>6.73330574525325*(10.3/7.3)</f>
        <v>9.5004176953573261</v>
      </c>
      <c r="F7228" s="1">
        <f>14.7875977473765*(38.9/42.5)</f>
        <v>13.535001232304628</v>
      </c>
      <c r="G7228" s="1">
        <v>0.60985550364147811</v>
      </c>
      <c r="H7228" s="1">
        <v>1.4791735214901491</v>
      </c>
      <c r="I7228" s="1">
        <v>11.101554466485878</v>
      </c>
      <c r="J7228" s="1">
        <v>5.2632699404536659E-2</v>
      </c>
      <c r="K7228" s="1">
        <v>3.6153385804986953</v>
      </c>
      <c r="L7228" s="1">
        <v>1.3421134409525655</v>
      </c>
      <c r="M7228" s="1">
        <v>7.5543997915649586E-2</v>
      </c>
      <c r="N7228" s="1">
        <v>1.3115181544887526</v>
      </c>
      <c r="O7228" s="1">
        <v>6.6680000000000003E-2</v>
      </c>
      <c r="P7228" s="1">
        <v>5.7416404323768579E-2</v>
      </c>
      <c r="Q7228" s="1">
        <v>0.974654914495514</v>
      </c>
      <c r="R7228" s="2">
        <f t="shared" si="451"/>
        <v>41.993655690397397</v>
      </c>
      <c r="S7228" s="2">
        <f t="shared" si="450"/>
        <v>3.7253876842270004</v>
      </c>
      <c r="T7228" s="2">
        <f t="shared" si="452"/>
        <v>2.7958555933569675</v>
      </c>
      <c r="U7228" s="2">
        <f t="shared" si="453"/>
        <v>48.514898967981367</v>
      </c>
    </row>
    <row r="7229" spans="1:21" x14ac:dyDescent="0.25">
      <c r="A7229">
        <v>820589</v>
      </c>
      <c r="B7229">
        <v>33</v>
      </c>
      <c r="C7229" s="1">
        <f>1.81322948501279*(10.3/7.3)</f>
        <v>2.5583922870728362</v>
      </c>
      <c r="D7229" s="1">
        <f>2.30715549568174*(10.3/7.3)</f>
        <v>3.2553015897975257</v>
      </c>
      <c r="E7229" s="1">
        <f>8.14658901973768*(10.3/7.3)</f>
        <v>11.49450231552029</v>
      </c>
      <c r="F7229" s="1">
        <f>16.5413676635078*(38.9/42.5)</f>
        <v>15.140216520245932</v>
      </c>
      <c r="G7229" s="1">
        <v>0.62249923703480226</v>
      </c>
      <c r="H7229" s="1">
        <v>1.8866153851003418</v>
      </c>
      <c r="I7229" s="1">
        <v>12.282111738522174</v>
      </c>
      <c r="J7229" s="1">
        <v>4.3626820884670764E-2</v>
      </c>
      <c r="K7229" s="1">
        <v>3.9850420118162102</v>
      </c>
      <c r="L7229" s="1">
        <v>1.5166238452132674</v>
      </c>
      <c r="M7229" s="1">
        <v>8.3524040253666249E-2</v>
      </c>
      <c r="N7229" s="1">
        <v>1.2246834216974709</v>
      </c>
      <c r="O7229" s="1">
        <v>7.4314343434343413E-2</v>
      </c>
      <c r="P7229" s="1">
        <v>6.3254145739007062E-2</v>
      </c>
      <c r="Q7229" s="1">
        <v>0.99486179434785871</v>
      </c>
      <c r="R7229" s="2">
        <f t="shared" si="451"/>
        <v>48.234500867641756</v>
      </c>
      <c r="S7229" s="2">
        <f t="shared" si="450"/>
        <v>4.0919229784398885</v>
      </c>
      <c r="T7229" s="2">
        <f t="shared" si="452"/>
        <v>2.8991456505987481</v>
      </c>
      <c r="U7229" s="2">
        <f t="shared" si="453"/>
        <v>55.225569496680393</v>
      </c>
    </row>
    <row r="7230" spans="1:21" x14ac:dyDescent="0.25">
      <c r="A7230">
        <v>8208325</v>
      </c>
      <c r="B7230">
        <v>44</v>
      </c>
      <c r="C7230" s="1">
        <f>0.3009737298237*(10.3/7.3)</f>
        <v>0.42466156399782379</v>
      </c>
      <c r="D7230" s="1">
        <f>0.626837472529951*(10.3/7.3)</f>
        <v>0.88444191329568456</v>
      </c>
      <c r="E7230" s="1">
        <f>2.13831760404796*(10.3/7.3)</f>
        <v>3.0170782632457511</v>
      </c>
      <c r="F7230" s="1">
        <f>6.20330552451254*(38.9/42.5)</f>
        <v>5.6778490565538284</v>
      </c>
      <c r="G7230" s="1">
        <v>0.33372384446352937</v>
      </c>
      <c r="H7230" s="1">
        <v>1.2062096123017956</v>
      </c>
      <c r="I7230" s="1">
        <v>4.4578438747513713</v>
      </c>
      <c r="J7230" s="1">
        <v>1.1434084015417118E-2</v>
      </c>
      <c r="K7230" s="1">
        <v>1.2592535780147904</v>
      </c>
      <c r="L7230" s="1">
        <v>0.92853824652811146</v>
      </c>
      <c r="M7230" s="1">
        <v>0.10726378206655611</v>
      </c>
      <c r="N7230" s="1">
        <v>0.43991871612301608</v>
      </c>
      <c r="O7230" s="1">
        <v>0.10885212121212123</v>
      </c>
      <c r="P7230" s="1">
        <v>6.2317524796486425E-2</v>
      </c>
      <c r="Q7230" s="1">
        <v>0.53334860987322119</v>
      </c>
      <c r="R7230" s="2">
        <f t="shared" si="451"/>
        <v>16.535156738483007</v>
      </c>
      <c r="S7230" s="2">
        <f t="shared" si="450"/>
        <v>1.3330051868266939</v>
      </c>
      <c r="T7230" s="2">
        <f t="shared" si="452"/>
        <v>1.5845728659298048</v>
      </c>
      <c r="U7230" s="2">
        <f t="shared" si="453"/>
        <v>19.452734791239504</v>
      </c>
    </row>
    <row r="7231" spans="1:21" x14ac:dyDescent="0.25">
      <c r="A7231">
        <v>8208333</v>
      </c>
      <c r="B7231">
        <v>68</v>
      </c>
      <c r="C7231" s="1">
        <f>0.244873317137348*(10.3/7.3)</f>
        <v>0.34550618719379278</v>
      </c>
      <c r="D7231" s="1">
        <f>0.490507823457053*(10.3/7.3)</f>
        <v>0.69208638104214371</v>
      </c>
      <c r="E7231" s="1">
        <f>1.67642852917802*(10.3/7.3)</f>
        <v>2.3653717603470668</v>
      </c>
      <c r="F7231" s="1">
        <f>4.79470133776667*(38.9/42.5)</f>
        <v>4.388561930332318</v>
      </c>
      <c r="G7231" s="1">
        <v>0.25516867100101187</v>
      </c>
      <c r="H7231" s="1">
        <v>0.9656349713778124</v>
      </c>
      <c r="I7231" s="1">
        <v>3.4552402193340193</v>
      </c>
      <c r="J7231" s="1">
        <v>1.1018102556170027E-2</v>
      </c>
      <c r="K7231" s="1">
        <v>1.2121041161883352</v>
      </c>
      <c r="L7231" s="1">
        <v>0.88928401006107893</v>
      </c>
      <c r="M7231" s="1">
        <v>0.10354217446523441</v>
      </c>
      <c r="N7231" s="1">
        <v>0.4300453415224646</v>
      </c>
      <c r="O7231" s="1">
        <v>0.10527058823529409</v>
      </c>
      <c r="P7231" s="1">
        <v>6.0159460722965706E-2</v>
      </c>
      <c r="Q7231" s="1">
        <v>0.40780381210207406</v>
      </c>
      <c r="R7231" s="2">
        <f t="shared" si="451"/>
        <v>12.875373932730238</v>
      </c>
      <c r="S7231" s="2">
        <f t="shared" si="450"/>
        <v>1.2832816794674708</v>
      </c>
      <c r="T7231" s="2">
        <f t="shared" si="452"/>
        <v>1.5281421142840719</v>
      </c>
      <c r="U7231" s="2">
        <f t="shared" si="453"/>
        <v>15.686797726481782</v>
      </c>
    </row>
    <row r="7232" spans="1:21" x14ac:dyDescent="0.25">
      <c r="A7232">
        <v>8208341</v>
      </c>
      <c r="B7232">
        <v>20</v>
      </c>
      <c r="C7232" s="1">
        <f>0.137265296823758*(10.3/7.3)</f>
        <v>0.19367569277872665</v>
      </c>
      <c r="D7232" s="1">
        <f>0.222295108078705*(10.3/7.3)</f>
        <v>0.31364926208365196</v>
      </c>
      <c r="E7232" s="1">
        <f>0.768677701425744*(10.3/7.3)</f>
        <v>1.084572647217146</v>
      </c>
      <c r="F7232" s="1">
        <f>2.00460318288321*(38.9/42.5)</f>
        <v>1.8348015015095755</v>
      </c>
      <c r="G7232" s="1">
        <v>9.8746753089805114E-2</v>
      </c>
      <c r="H7232" s="1">
        <v>0.4745649523540032</v>
      </c>
      <c r="I7232" s="1">
        <v>1.4718153677726247</v>
      </c>
      <c r="J7232" s="1">
        <v>9.3494751586549567E-3</v>
      </c>
      <c r="K7232" s="1">
        <v>1.0451381037869674</v>
      </c>
      <c r="L7232" s="1">
        <v>0.74567549321151327</v>
      </c>
      <c r="M7232" s="1">
        <v>8.8005938297258446E-2</v>
      </c>
      <c r="N7232" s="1">
        <v>0.36778286447340475</v>
      </c>
      <c r="O7232" s="1">
        <v>9.002933333333335E-2</v>
      </c>
      <c r="P7232" s="1">
        <v>5.2684786464787949E-2</v>
      </c>
      <c r="Q7232" s="1">
        <v>0.15781444557731433</v>
      </c>
      <c r="R7232" s="2">
        <f t="shared" si="451"/>
        <v>5.6296406223828468</v>
      </c>
      <c r="S7232" s="2">
        <f t="shared" si="450"/>
        <v>1.1071723654104102</v>
      </c>
      <c r="T7232" s="2">
        <f t="shared" si="452"/>
        <v>1.2914936293155097</v>
      </c>
      <c r="U7232" s="2">
        <f t="shared" si="453"/>
        <v>8.0283066171087665</v>
      </c>
    </row>
    <row r="7233" spans="1:21" x14ac:dyDescent="0.25">
      <c r="A7233">
        <v>8208437</v>
      </c>
      <c r="B7233">
        <v>38</v>
      </c>
      <c r="C7233" s="1">
        <f>0.250611493633265*(10.3/7.3)</f>
        <v>0.3536025184140591</v>
      </c>
      <c r="D7233" s="1">
        <f>0.546288315561999*(10.3/7.3)</f>
        <v>0.77079036305323101</v>
      </c>
      <c r="E7233" s="1">
        <f>1.86192262584902*(10.3/7.3)</f>
        <v>2.627096307704782</v>
      </c>
      <c r="F7233" s="1">
        <f>5.36706021336033*(38.9/42.5)</f>
        <v>4.9124386423462738</v>
      </c>
      <c r="G7233" s="1">
        <v>0.2885556261788742</v>
      </c>
      <c r="H7233" s="1">
        <v>1.0989603447328191</v>
      </c>
      <c r="I7233" s="1">
        <v>3.8239867246590298</v>
      </c>
      <c r="J7233" s="1">
        <v>1.0573170456934025E-2</v>
      </c>
      <c r="K7233" s="1">
        <v>1.1670678054810484</v>
      </c>
      <c r="L7233" s="1">
        <v>0.8580660076810952</v>
      </c>
      <c r="M7233" s="1">
        <v>9.4594152890488906E-2</v>
      </c>
      <c r="N7233" s="1">
        <v>0.41937917549873804</v>
      </c>
      <c r="O7233" s="1">
        <v>9.843368421052634E-2</v>
      </c>
      <c r="P7233" s="1">
        <v>5.6032644277537264E-2</v>
      </c>
      <c r="Q7233" s="1">
        <v>0.46116195964660317</v>
      </c>
      <c r="R7233" s="2">
        <f t="shared" si="451"/>
        <v>14.336592486735672</v>
      </c>
      <c r="S7233" s="2">
        <f t="shared" si="450"/>
        <v>1.2336736202155196</v>
      </c>
      <c r="T7233" s="2">
        <f t="shared" si="452"/>
        <v>1.4704730202808487</v>
      </c>
      <c r="U7233" s="2">
        <f t="shared" si="453"/>
        <v>17.04073912723204</v>
      </c>
    </row>
    <row r="7234" spans="1:21" x14ac:dyDescent="0.25">
      <c r="A7234">
        <v>8208445</v>
      </c>
      <c r="B7234">
        <v>7</v>
      </c>
      <c r="C7234" s="1">
        <f>0.248750302972339*(10.3/7.3)</f>
        <v>0.35097645487877954</v>
      </c>
      <c r="D7234" s="1">
        <f>0.550693442842832*(10.3/7.3)</f>
        <v>0.77700581661385926</v>
      </c>
      <c r="E7234" s="1">
        <f>1.87588700547112*(10.3/7.3)</f>
        <v>2.6467994734729481</v>
      </c>
      <c r="F7234" s="1">
        <f>5.42215327370785*(38.9/42.5)</f>
        <v>4.9628649964055374</v>
      </c>
      <c r="G7234" s="1">
        <v>0.29225609155152643</v>
      </c>
      <c r="H7234" s="1">
        <v>1.1315321136348591</v>
      </c>
      <c r="I7234" s="1">
        <v>3.8569437590871454</v>
      </c>
      <c r="J7234" s="1">
        <v>1.0888060841022338E-2</v>
      </c>
      <c r="K7234" s="1">
        <v>1.2004332234034141</v>
      </c>
      <c r="L7234" s="1">
        <v>0.88482570223767854</v>
      </c>
      <c r="M7234" s="1">
        <v>9.6717848861131522E-2</v>
      </c>
      <c r="N7234" s="1">
        <v>0.43111314131977646</v>
      </c>
      <c r="O7234" s="1">
        <v>0.10109714285714286</v>
      </c>
      <c r="P7234" s="1">
        <v>5.7258777432592445E-2</v>
      </c>
      <c r="Q7234" s="1">
        <v>0.46707594540198338</v>
      </c>
      <c r="R7234" s="2">
        <f t="shared" si="451"/>
        <v>14.485454651046641</v>
      </c>
      <c r="S7234" s="2">
        <f t="shared" si="450"/>
        <v>1.2685800616770289</v>
      </c>
      <c r="T7234" s="2">
        <f t="shared" si="452"/>
        <v>1.5137538352757294</v>
      </c>
      <c r="U7234" s="2">
        <f t="shared" si="453"/>
        <v>17.267788547999398</v>
      </c>
    </row>
    <row r="7235" spans="1:21" x14ac:dyDescent="0.25">
      <c r="A7235">
        <v>8209109</v>
      </c>
      <c r="B7235">
        <v>29</v>
      </c>
      <c r="C7235" s="1">
        <f>1.87936049151145*(10.3/7.3)</f>
        <v>2.6517004195298477</v>
      </c>
      <c r="D7235" s="1">
        <f>2.18839791798785*(10.3/7.3)</f>
        <v>3.0877395281198474</v>
      </c>
      <c r="E7235" s="1">
        <f>7.74914875780086*(10.3/7.3)</f>
        <v>10.933730439088885</v>
      </c>
      <c r="F7235" s="1">
        <f>16.2333994082152*(38.9/42.5)</f>
        <v>14.858334987754574</v>
      </c>
      <c r="G7235" s="1">
        <v>0.62246605072074956</v>
      </c>
      <c r="H7235" s="1">
        <v>4.6612530668634724</v>
      </c>
      <c r="I7235" s="1">
        <v>12.491323160274096</v>
      </c>
      <c r="J7235" s="1">
        <v>1.5567875633121384E-2</v>
      </c>
      <c r="K7235" s="1">
        <v>1.3095948182977186</v>
      </c>
      <c r="L7235" s="1">
        <v>0.93027052763060858</v>
      </c>
      <c r="M7235" s="1">
        <v>6.8211948490139673E-2</v>
      </c>
      <c r="N7235" s="1">
        <v>0.61633918253547793</v>
      </c>
      <c r="O7235" s="1">
        <v>6.3233103448275874E-2</v>
      </c>
      <c r="P7235" s="1">
        <v>4.5514742686522905E-2</v>
      </c>
      <c r="Q7235" s="1">
        <v>0.99480875685964631</v>
      </c>
      <c r="R7235" s="2">
        <f t="shared" si="451"/>
        <v>50.301356409211117</v>
      </c>
      <c r="S7235" s="2">
        <f t="shared" si="450"/>
        <v>1.3706774366173631</v>
      </c>
      <c r="T7235" s="2">
        <f t="shared" si="452"/>
        <v>1.6780547621045019</v>
      </c>
      <c r="U7235" s="2">
        <f t="shared" si="453"/>
        <v>53.350088607932982</v>
      </c>
    </row>
    <row r="7236" spans="1:21" x14ac:dyDescent="0.25">
      <c r="A7236">
        <v>8209117</v>
      </c>
      <c r="B7236">
        <v>67</v>
      </c>
      <c r="C7236" s="1">
        <f>1.44729731131533*(10.3/7.3)</f>
        <v>2.0420770282942362</v>
      </c>
      <c r="D7236" s="1">
        <f>1.83843179700358*(10.3/7.3)</f>
        <v>2.5939517135803976</v>
      </c>
      <c r="E7236" s="1">
        <f>6.47064456373045*(10.3/7.3)</f>
        <v>9.1298135625237844</v>
      </c>
      <c r="F7236" s="1">
        <f>14.217340604274*(38.9/42.5)</f>
        <v>13.01304822367668</v>
      </c>
      <c r="G7236" s="1">
        <v>0.58490636046641442</v>
      </c>
      <c r="H7236" s="1">
        <v>3.5436201501990041</v>
      </c>
      <c r="I7236" s="1">
        <v>10.727798835008439</v>
      </c>
      <c r="J7236" s="1">
        <v>1.4898711699785397E-2</v>
      </c>
      <c r="K7236" s="1">
        <v>1.2574621134958082</v>
      </c>
      <c r="L7236" s="1">
        <v>0.89079545246204617</v>
      </c>
      <c r="M7236" s="1">
        <v>6.660828670147291E-2</v>
      </c>
      <c r="N7236" s="1">
        <v>0.592568900959769</v>
      </c>
      <c r="O7236" s="1">
        <v>6.1267263681592035E-2</v>
      </c>
      <c r="P7236" s="1">
        <v>4.4186827096324356E-2</v>
      </c>
      <c r="Q7236" s="1">
        <v>0.93478185462669039</v>
      </c>
      <c r="R7236" s="2">
        <f t="shared" si="451"/>
        <v>42.569997728375654</v>
      </c>
      <c r="S7236" s="2">
        <f t="shared" si="450"/>
        <v>1.3165476522919179</v>
      </c>
      <c r="T7236" s="2">
        <f t="shared" si="452"/>
        <v>1.6112399038048801</v>
      </c>
      <c r="U7236" s="2">
        <f t="shared" si="453"/>
        <v>45.49778528447245</v>
      </c>
    </row>
    <row r="7237" spans="1:21" x14ac:dyDescent="0.25">
      <c r="A7237">
        <v>8209125</v>
      </c>
      <c r="B7237">
        <v>61</v>
      </c>
      <c r="C7237" s="1">
        <f>1.23006221613557*(10.3/7.3)</f>
        <v>1.7355672364652619</v>
      </c>
      <c r="D7237" s="1">
        <f>1.71536495327488*(10.3/7.3)</f>
        <v>2.4203094546207202</v>
      </c>
      <c r="E7237" s="1">
        <f>6.00422531718671*(10.3/7.3)</f>
        <v>8.4717151735648066</v>
      </c>
      <c r="F7237" s="1">
        <f>13.666996359766*(38.9/42.5)</f>
        <v>12.50932137399762</v>
      </c>
      <c r="G7237" s="1">
        <v>0.59135518808997378</v>
      </c>
      <c r="H7237" s="1">
        <v>3.3647413823786265</v>
      </c>
      <c r="I7237" s="1">
        <v>10.107123997567319</v>
      </c>
      <c r="J7237" s="1">
        <v>1.4504105170780362E-2</v>
      </c>
      <c r="K7237" s="1">
        <v>1.2399656001967942</v>
      </c>
      <c r="L7237" s="1">
        <v>0.87787618773594234</v>
      </c>
      <c r="M7237" s="1">
        <v>6.652284134694704E-2</v>
      </c>
      <c r="N7237" s="1">
        <v>0.57843777803547447</v>
      </c>
      <c r="O7237" s="1">
        <v>6.0642622950819666E-2</v>
      </c>
      <c r="P7237" s="1">
        <v>4.3918651850155893E-2</v>
      </c>
      <c r="Q7237" s="1">
        <v>0.9450882001437948</v>
      </c>
      <c r="R7237" s="2">
        <f t="shared" si="451"/>
        <v>40.145222006828121</v>
      </c>
      <c r="S7237" s="2">
        <f t="shared" si="450"/>
        <v>1.2983883572177306</v>
      </c>
      <c r="T7237" s="2">
        <f t="shared" si="452"/>
        <v>1.5834794300691837</v>
      </c>
      <c r="U7237" s="2">
        <f t="shared" si="453"/>
        <v>43.027089794115035</v>
      </c>
    </row>
    <row r="7238" spans="1:21" x14ac:dyDescent="0.25">
      <c r="A7238">
        <v>8209133</v>
      </c>
      <c r="B7238">
        <v>24</v>
      </c>
      <c r="C7238" s="1">
        <f>1.15658962036383*(10.3/7.3)</f>
        <v>1.6319004232530789</v>
      </c>
      <c r="D7238" s="1">
        <f>1.69752492411908*(10.3/7.3)</f>
        <v>2.3951379066337757</v>
      </c>
      <c r="E7238" s="1">
        <f>5.92429891363565*(10.3/7.3)</f>
        <v>8.3589423028009833</v>
      </c>
      <c r="F7238" s="1">
        <f>13.7615989869932*(38.9/42.5)</f>
        <v>12.595910602212598</v>
      </c>
      <c r="G7238" s="1">
        <v>0.61115198417907723</v>
      </c>
      <c r="H7238" s="1">
        <v>4.4265755425768285</v>
      </c>
      <c r="I7238" s="1">
        <v>10.082166012445526</v>
      </c>
      <c r="J7238" s="1">
        <v>1.417760455380588E-2</v>
      </c>
      <c r="K7238" s="1">
        <v>1.225254199977295</v>
      </c>
      <c r="L7238" s="1">
        <v>0.86851827909191825</v>
      </c>
      <c r="M7238" s="1">
        <v>6.6294894906878149E-2</v>
      </c>
      <c r="N7238" s="1">
        <v>0.56606300548419486</v>
      </c>
      <c r="O7238" s="1">
        <v>6.0128888888888898E-2</v>
      </c>
      <c r="P7238" s="1">
        <v>4.3773731696431749E-2</v>
      </c>
      <c r="Q7238" s="1">
        <v>0.97672691535469047</v>
      </c>
      <c r="R7238" s="2">
        <f t="shared" si="451"/>
        <v>41.078511689456562</v>
      </c>
      <c r="S7238" s="2">
        <f t="shared" si="450"/>
        <v>1.2832055362275325</v>
      </c>
      <c r="T7238" s="2">
        <f t="shared" si="452"/>
        <v>1.5610050683718801</v>
      </c>
      <c r="U7238" s="2">
        <f t="shared" si="453"/>
        <v>43.922722294055973</v>
      </c>
    </row>
    <row r="7239" spans="1:21" x14ac:dyDescent="0.25">
      <c r="A7239">
        <v>8209141</v>
      </c>
      <c r="B7239">
        <v>21</v>
      </c>
      <c r="C7239" s="1">
        <f>1.02865497293318*(10.3/7.3)</f>
        <v>1.4513898933166727</v>
      </c>
      <c r="D7239" s="1">
        <f>1.56973792245757*(10.3/7.3)</f>
        <v>2.2148356988099942</v>
      </c>
      <c r="E7239" s="1">
        <f>5.47062263503732*(10.3/7.3)</f>
        <v>7.7188237179293742</v>
      </c>
      <c r="F7239" s="1">
        <f>12.6878295010736*(38.9/42.5)</f>
        <v>11.613095708041476</v>
      </c>
      <c r="G7239" s="1">
        <v>0.56566403845988977</v>
      </c>
      <c r="H7239" s="1">
        <v>3.0194344212948514</v>
      </c>
      <c r="I7239" s="1">
        <v>9.1991356404262934</v>
      </c>
      <c r="J7239" s="1">
        <v>1.4046620894966983E-2</v>
      </c>
      <c r="K7239" s="1">
        <v>1.2237431899513111</v>
      </c>
      <c r="L7239" s="1">
        <v>0.87045348505946107</v>
      </c>
      <c r="M7239" s="1">
        <v>6.5385164793129197E-2</v>
      </c>
      <c r="N7239" s="1">
        <v>0.56480399196572906</v>
      </c>
      <c r="O7239" s="1">
        <v>5.9941587301587308E-2</v>
      </c>
      <c r="P7239" s="1">
        <v>4.3793976192335951E-2</v>
      </c>
      <c r="Q7239" s="1">
        <v>0.90402928520987036</v>
      </c>
      <c r="R7239" s="2">
        <f t="shared" si="451"/>
        <v>36.686408403488421</v>
      </c>
      <c r="S7239" s="2">
        <f t="shared" si="450"/>
        <v>1.2815837870386142</v>
      </c>
      <c r="T7239" s="2">
        <f t="shared" si="452"/>
        <v>1.5605842291199068</v>
      </c>
      <c r="U7239" s="2">
        <f t="shared" si="453"/>
        <v>39.528576419646939</v>
      </c>
    </row>
    <row r="7240" spans="1:21" x14ac:dyDescent="0.25">
      <c r="A7240">
        <v>8220561</v>
      </c>
      <c r="B7240">
        <v>62</v>
      </c>
      <c r="C7240" s="1">
        <f>0.310744698011913*(10.3/7.3)</f>
        <v>0.43844799856475392</v>
      </c>
      <c r="D7240" s="1">
        <f>0.654890392474008*(10.3/7.3)</f>
        <v>0.92402343047702484</v>
      </c>
      <c r="E7240" s="1">
        <f>2.23288994858123*(10.3/7.3)</f>
        <v>3.1505159548474881</v>
      </c>
      <c r="F7240" s="1">
        <f>6.49818614366177*(38.9/42.5)</f>
        <v>5.9477515526692466</v>
      </c>
      <c r="G7240" s="1">
        <v>0.35048411660659368</v>
      </c>
      <c r="H7240" s="1">
        <v>1.2590937915962184</v>
      </c>
      <c r="I7240" s="1">
        <v>4.6647895590780362</v>
      </c>
      <c r="J7240" s="1">
        <v>1.1927645761540834E-2</v>
      </c>
      <c r="K7240" s="1">
        <v>1.3085620678801344</v>
      </c>
      <c r="L7240" s="1">
        <v>0.9719222687879181</v>
      </c>
      <c r="M7240" s="1">
        <v>0.11045550320372945</v>
      </c>
      <c r="N7240" s="1">
        <v>0.46222662953736526</v>
      </c>
      <c r="O7240" s="1">
        <v>0.11305204301075268</v>
      </c>
      <c r="P7240" s="1">
        <v>6.4640113733942364E-2</v>
      </c>
      <c r="Q7240" s="1">
        <v>0.56013443293291276</v>
      </c>
      <c r="R7240" s="2">
        <f t="shared" si="451"/>
        <v>17.295240836772273</v>
      </c>
      <c r="S7240" s="2">
        <f t="shared" si="450"/>
        <v>1.3851298273756176</v>
      </c>
      <c r="T7240" s="2">
        <f t="shared" si="452"/>
        <v>1.6576564445397655</v>
      </c>
      <c r="U7240" s="2">
        <f t="shared" si="453"/>
        <v>20.338027108687655</v>
      </c>
    </row>
    <row r="7241" spans="1:21" x14ac:dyDescent="0.25">
      <c r="A7241">
        <v>8220569</v>
      </c>
      <c r="B7241">
        <v>59</v>
      </c>
      <c r="C7241" s="1">
        <f>0.152589641596049*(10.3/7.3)</f>
        <v>0.21529771348483637</v>
      </c>
      <c r="D7241" s="1">
        <f>0.262382710759333*(10.3/7.3)</f>
        <v>0.37021122203029211</v>
      </c>
      <c r="E7241" s="1">
        <f>0.904139908418948*(10.3/7.3)</f>
        <v>1.2757042543445434</v>
      </c>
      <c r="F7241" s="1">
        <f>2.42425656081371*(38.9/42.5)</f>
        <v>2.2189077697800799</v>
      </c>
      <c r="G7241" s="1">
        <v>0.12242280030636311</v>
      </c>
      <c r="H7241" s="1">
        <v>0.54864691827155865</v>
      </c>
      <c r="I7241" s="1">
        <v>1.7689745613446435</v>
      </c>
      <c r="J7241" s="1">
        <v>1.0041865325642146E-2</v>
      </c>
      <c r="K7241" s="1">
        <v>1.1161546098484993</v>
      </c>
      <c r="L7241" s="1">
        <v>0.80715546041620345</v>
      </c>
      <c r="M7241" s="1">
        <v>9.4601629203080406E-2</v>
      </c>
      <c r="N7241" s="1">
        <v>0.39552966481291191</v>
      </c>
      <c r="O7241" s="1">
        <v>9.6771073446327696E-2</v>
      </c>
      <c r="P7241" s="1">
        <v>5.5879338896768813E-2</v>
      </c>
      <c r="Q7241" s="1">
        <v>0.19565287720195043</v>
      </c>
      <c r="R7241" s="2">
        <f t="shared" si="451"/>
        <v>6.7158181167642672</v>
      </c>
      <c r="S7241" s="2">
        <f t="shared" ref="S7241:S7304" si="454">J7241+K7241+P7241</f>
        <v>1.1820758140709104</v>
      </c>
      <c r="T7241" s="2">
        <f t="shared" si="452"/>
        <v>1.3940578278785234</v>
      </c>
      <c r="U7241" s="2">
        <f t="shared" si="453"/>
        <v>9.2919517587137008</v>
      </c>
    </row>
    <row r="7242" spans="1:21" x14ac:dyDescent="0.25">
      <c r="A7242">
        <v>8220673</v>
      </c>
      <c r="B7242">
        <v>6</v>
      </c>
      <c r="C7242" s="1">
        <f>0.263250969679988*(10.3/7.3)</f>
        <v>0.37143629968546255</v>
      </c>
      <c r="D7242" s="1">
        <f>0.586658334773064*(10.3/7.3)</f>
        <v>0.82775080111815835</v>
      </c>
      <c r="E7242" s="1">
        <f>1.99780622468731*(10.3/7.3)</f>
        <v>2.8188224814081169</v>
      </c>
      <c r="F7242" s="1">
        <f>5.78739790346361*(38.9/42.5)</f>
        <v>5.2971712575231642</v>
      </c>
      <c r="G7242" s="1">
        <v>0.31246075080644359</v>
      </c>
      <c r="H7242" s="1">
        <v>1.1786472937410433</v>
      </c>
      <c r="I7242" s="1">
        <v>4.1150432588790222</v>
      </c>
      <c r="J7242" s="1">
        <v>1.0852700809712184E-2</v>
      </c>
      <c r="K7242" s="1">
        <v>1.1981306669448095</v>
      </c>
      <c r="L7242" s="1">
        <v>0.88027360811261435</v>
      </c>
      <c r="M7242" s="1">
        <v>9.6582114097356467E-2</v>
      </c>
      <c r="N7242" s="1">
        <v>0.42933481540125795</v>
      </c>
      <c r="O7242" s="1">
        <v>0.1003911111111111</v>
      </c>
      <c r="P7242" s="1">
        <v>5.7224532141923655E-2</v>
      </c>
      <c r="Q7242" s="1">
        <v>0.49936649672262717</v>
      </c>
      <c r="R7242" s="2">
        <f t="shared" ref="R7242:R7305" si="455">C7242+D7242+E7242+F7242+G7242+H7242+I7242+Q7242</f>
        <v>15.420698639884039</v>
      </c>
      <c r="S7242" s="2">
        <f t="shared" si="454"/>
        <v>1.2662078998964452</v>
      </c>
      <c r="T7242" s="2">
        <f t="shared" ref="T7242:T7305" si="456">L7242+M7242+N7242+O7242</f>
        <v>1.50658164872234</v>
      </c>
      <c r="U7242" s="2">
        <f t="shared" ref="U7242:U7305" si="457">R7242+S7242+T7242</f>
        <v>18.193488188502823</v>
      </c>
    </row>
    <row r="7243" spans="1:21" x14ac:dyDescent="0.25">
      <c r="A7243">
        <v>8221337</v>
      </c>
      <c r="B7243">
        <v>36</v>
      </c>
      <c r="C7243" s="1">
        <f>2.20756552996768*(10.3/7.3)</f>
        <v>3.114784240913306</v>
      </c>
      <c r="D7243" s="1">
        <f>2.40972040925481*(10.3/7.3)</f>
        <v>3.4000164678526743</v>
      </c>
      <c r="E7243" s="1">
        <f>8.56973581735951*(10.3/7.3)</f>
        <v>12.091545057370276</v>
      </c>
      <c r="F7243" s="1">
        <f>17.4775554436161*(38.9/42.5)</f>
        <v>15.997103688392187</v>
      </c>
      <c r="G7243" s="1">
        <v>0.63850027248484342</v>
      </c>
      <c r="H7243" s="1">
        <v>4.407680683809069</v>
      </c>
      <c r="I7243" s="1">
        <v>13.699718191799851</v>
      </c>
      <c r="J7243" s="1">
        <v>1.558222286421619E-2</v>
      </c>
      <c r="K7243" s="1">
        <v>1.3124193948646856</v>
      </c>
      <c r="L7243" s="1">
        <v>0.93231277861653084</v>
      </c>
      <c r="M7243" s="1">
        <v>6.8329790804379162E-2</v>
      </c>
      <c r="N7243" s="1">
        <v>0.61592595135889383</v>
      </c>
      <c r="O7243" s="1">
        <v>6.3336296296296279E-2</v>
      </c>
      <c r="P7243" s="1">
        <v>4.5443721825498634E-2</v>
      </c>
      <c r="Q7243" s="1">
        <v>1.020434225432399</v>
      </c>
      <c r="R7243" s="2">
        <f t="shared" si="455"/>
        <v>54.369782828054603</v>
      </c>
      <c r="S7243" s="2">
        <f t="shared" si="454"/>
        <v>1.3734453395544004</v>
      </c>
      <c r="T7243" s="2">
        <f t="shared" si="456"/>
        <v>1.6799048170761</v>
      </c>
      <c r="U7243" s="2">
        <f t="shared" si="457"/>
        <v>57.423132984685104</v>
      </c>
    </row>
    <row r="7244" spans="1:21" x14ac:dyDescent="0.25">
      <c r="A7244">
        <v>8221345</v>
      </c>
      <c r="B7244">
        <v>69</v>
      </c>
      <c r="C7244" s="1">
        <f>1.57005475756959*(10.3/7.3)</f>
        <v>2.2152827401324422</v>
      </c>
      <c r="D7244" s="1">
        <f>1.92849536400589*(10.3/7.3)</f>
        <v>2.7210277053781722</v>
      </c>
      <c r="E7244" s="1">
        <f>6.80328239021908*(10.3/7.3)</f>
        <v>9.5991518656515851</v>
      </c>
      <c r="F7244" s="1">
        <f>14.6773116347948*(38.9/42.5)</f>
        <v>13.434057002200399</v>
      </c>
      <c r="G7244" s="1">
        <v>0.5884458866558141</v>
      </c>
      <c r="H7244" s="1">
        <v>4.5855905359617806</v>
      </c>
      <c r="I7244" s="1">
        <v>11.153964978061625</v>
      </c>
      <c r="J7244" s="1">
        <v>1.4839282983178778E-2</v>
      </c>
      <c r="K7244" s="1">
        <v>1.2584087418227818</v>
      </c>
      <c r="L7244" s="1">
        <v>0.88829962843984123</v>
      </c>
      <c r="M7244" s="1">
        <v>6.6200501576285029E-2</v>
      </c>
      <c r="N7244" s="1">
        <v>0.58812774816801006</v>
      </c>
      <c r="O7244" s="1">
        <v>6.0892753623188418E-2</v>
      </c>
      <c r="P7244" s="1">
        <v>4.4060054613072851E-2</v>
      </c>
      <c r="Q7244" s="1">
        <v>0.94043863164171315</v>
      </c>
      <c r="R7244" s="2">
        <f t="shared" si="455"/>
        <v>45.237959345683528</v>
      </c>
      <c r="S7244" s="2">
        <f t="shared" si="454"/>
        <v>1.3173080794190335</v>
      </c>
      <c r="T7244" s="2">
        <f t="shared" si="456"/>
        <v>1.6035206318073247</v>
      </c>
      <c r="U7244" s="2">
        <f t="shared" si="457"/>
        <v>48.158788056909891</v>
      </c>
    </row>
    <row r="7245" spans="1:21" x14ac:dyDescent="0.25">
      <c r="A7245">
        <v>8221353</v>
      </c>
      <c r="B7245">
        <v>50</v>
      </c>
      <c r="C7245" s="1">
        <f>1.34956399219953*(10.3/7.3)</f>
        <v>1.9041793314596067</v>
      </c>
      <c r="D7245" s="1">
        <f>1.7985704789355*(10.3/7.3)</f>
        <v>2.5377090319226885</v>
      </c>
      <c r="E7245" s="1">
        <f>6.31233075814891*(10.3/7.3)</f>
        <v>8.9064392888950401</v>
      </c>
      <c r="F7245" s="1">
        <f>14.114619625848*(38.9/42.5)</f>
        <v>12.919028316364386</v>
      </c>
      <c r="G7245" s="1">
        <v>0.59601266799795571</v>
      </c>
      <c r="H7245" s="1">
        <v>3.1495596546240017</v>
      </c>
      <c r="I7245" s="1">
        <v>10.534711892768703</v>
      </c>
      <c r="J7245" s="1">
        <v>1.4504797995524989E-2</v>
      </c>
      <c r="K7245" s="1">
        <v>1.2370178976032671</v>
      </c>
      <c r="L7245" s="1">
        <v>0.87717079118550279</v>
      </c>
      <c r="M7245" s="1">
        <v>6.6423951952779323E-2</v>
      </c>
      <c r="N7245" s="1">
        <v>0.57643840847029482</v>
      </c>
      <c r="O7245" s="1">
        <v>6.0594133333333328E-2</v>
      </c>
      <c r="P7245" s="1">
        <v>4.3741164859552019E-2</v>
      </c>
      <c r="Q7245" s="1">
        <v>0.95253166118394816</v>
      </c>
      <c r="R7245" s="2">
        <f t="shared" si="455"/>
        <v>41.500171845216336</v>
      </c>
      <c r="S7245" s="2">
        <f t="shared" si="454"/>
        <v>1.2952638604583442</v>
      </c>
      <c r="T7245" s="2">
        <f t="shared" si="456"/>
        <v>1.5806272849419103</v>
      </c>
      <c r="U7245" s="2">
        <f t="shared" si="457"/>
        <v>44.376062990616589</v>
      </c>
    </row>
    <row r="7246" spans="1:21" x14ac:dyDescent="0.25">
      <c r="A7246">
        <v>8221361</v>
      </c>
      <c r="B7246">
        <v>9</v>
      </c>
      <c r="C7246" s="1">
        <f>1.30294526385728*(10.3/7.3)</f>
        <v>1.8384022216068439</v>
      </c>
      <c r="D7246" s="1">
        <f>1.84187377184978*(10.3/7.3)</f>
        <v>2.5988081986373595</v>
      </c>
      <c r="E7246" s="1">
        <f>6.44109826074258*(10.3/7.3)</f>
        <v>9.088124943239535</v>
      </c>
      <c r="F7246" s="1">
        <f>14.7834418472247*(38.9/42.5)</f>
        <v>13.531197361342103</v>
      </c>
      <c r="G7246" s="1">
        <v>0.64593938839713561</v>
      </c>
      <c r="H7246" s="1">
        <v>3.6367331229067443</v>
      </c>
      <c r="I7246" s="1">
        <v>10.911214249822917</v>
      </c>
      <c r="J7246" s="1">
        <v>1.4105352223162131E-2</v>
      </c>
      <c r="K7246" s="1">
        <v>1.2134996112244287</v>
      </c>
      <c r="L7246" s="1">
        <v>0.86690589397265971</v>
      </c>
      <c r="M7246" s="1">
        <v>6.5305087910216955E-2</v>
      </c>
      <c r="N7246" s="1">
        <v>0.55838033003809917</v>
      </c>
      <c r="O7246" s="1">
        <v>6.0177777777777774E-2</v>
      </c>
      <c r="P7246" s="1">
        <v>4.3652749029844853E-2</v>
      </c>
      <c r="Q7246" s="1">
        <v>1.0323232234657427</v>
      </c>
      <c r="R7246" s="2">
        <f t="shared" si="455"/>
        <v>43.282742709418386</v>
      </c>
      <c r="S7246" s="2">
        <f t="shared" si="454"/>
        <v>1.2712577124774358</v>
      </c>
      <c r="T7246" s="2">
        <f t="shared" si="456"/>
        <v>1.5507690896987536</v>
      </c>
      <c r="U7246" s="2">
        <f t="shared" si="457"/>
        <v>46.104769511594576</v>
      </c>
    </row>
    <row r="7247" spans="1:21" x14ac:dyDescent="0.25">
      <c r="A7247">
        <v>8221369</v>
      </c>
      <c r="B7247">
        <v>2</v>
      </c>
      <c r="C7247" s="1">
        <f>1.12895812626965*(10.3/7.3)</f>
        <v>1.5929135206270424</v>
      </c>
      <c r="D7247" s="1">
        <f>1.7079535811191*(10.3/7.3)</f>
        <v>2.409852313085858</v>
      </c>
      <c r="E7247" s="1">
        <f>5.95423877297352*(10.3/7.3)</f>
        <v>8.4011862139215463</v>
      </c>
      <c r="F7247" s="1">
        <f>13.8095031694381*(38.9/42.5)</f>
        <v>12.639757018615143</v>
      </c>
      <c r="G7247" s="1">
        <v>0.61496095458609212</v>
      </c>
      <c r="H7247" s="1">
        <v>3.2425257188473733</v>
      </c>
      <c r="I7247" s="1">
        <v>10.034599875039156</v>
      </c>
      <c r="J7247" s="1">
        <v>1.3735250562115863E-2</v>
      </c>
      <c r="K7247" s="1">
        <v>1.1981583635103803</v>
      </c>
      <c r="L7247" s="1">
        <v>0.85788140909500443</v>
      </c>
      <c r="M7247" s="1">
        <v>6.5668775608944047E-2</v>
      </c>
      <c r="N7247" s="1">
        <v>0.54682121910681247</v>
      </c>
      <c r="O7247" s="1">
        <v>5.9840000000000004E-2</v>
      </c>
      <c r="P7247" s="1">
        <v>4.347365070893254E-2</v>
      </c>
      <c r="Q7247" s="1">
        <v>0.98281431098233996</v>
      </c>
      <c r="R7247" s="2">
        <f t="shared" si="455"/>
        <v>39.918609925704551</v>
      </c>
      <c r="S7247" s="2">
        <f t="shared" si="454"/>
        <v>1.2553672647814287</v>
      </c>
      <c r="T7247" s="2">
        <f t="shared" si="456"/>
        <v>1.5302114038107608</v>
      </c>
      <c r="U7247" s="2">
        <f t="shared" si="457"/>
        <v>42.704188594296738</v>
      </c>
    </row>
    <row r="7248" spans="1:21" x14ac:dyDescent="0.25">
      <c r="A7248">
        <v>8232789</v>
      </c>
      <c r="B7248">
        <v>2</v>
      </c>
      <c r="C7248" s="1">
        <f>0.257575311433616*(10.3/7.3)</f>
        <v>0.3634281791460604</v>
      </c>
      <c r="D7248" s="1">
        <f>0.519728395751276*(10.3/7.3)</f>
        <v>0.73331540770385573</v>
      </c>
      <c r="E7248" s="1">
        <f>1.77626574693755*(10.3/7.3)</f>
        <v>2.5062379717064043</v>
      </c>
      <c r="F7248" s="1">
        <f>5.06286477676346*(38.9/42.5)</f>
        <v>4.6340103486140878</v>
      </c>
      <c r="G7248" s="1">
        <v>0.2690420646645077</v>
      </c>
      <c r="H7248" s="1">
        <v>0.99193809673223798</v>
      </c>
      <c r="I7248" s="1">
        <v>3.6411616899895556</v>
      </c>
      <c r="J7248" s="1">
        <v>1.0463740465300499E-2</v>
      </c>
      <c r="K7248" s="1">
        <v>1.1668123589042856</v>
      </c>
      <c r="L7248" s="1">
        <v>0.84404604075898226</v>
      </c>
      <c r="M7248" s="1">
        <v>9.8586203703489E-2</v>
      </c>
      <c r="N7248" s="1">
        <v>0.40122856099230669</v>
      </c>
      <c r="O7248" s="1">
        <v>0.10093333333333333</v>
      </c>
      <c r="P7248" s="1">
        <v>5.8094736249032691E-2</v>
      </c>
      <c r="Q7248" s="1">
        <v>0.42997590243186201</v>
      </c>
      <c r="R7248" s="2">
        <f t="shared" si="455"/>
        <v>13.56910966098857</v>
      </c>
      <c r="S7248" s="2">
        <f t="shared" si="454"/>
        <v>1.2353708356186188</v>
      </c>
      <c r="T7248" s="2">
        <f t="shared" si="456"/>
        <v>1.4447941387881114</v>
      </c>
      <c r="U7248" s="2">
        <f t="shared" si="457"/>
        <v>16.249274635395299</v>
      </c>
    </row>
    <row r="7249" spans="1:21" x14ac:dyDescent="0.25">
      <c r="A7249">
        <v>8232797</v>
      </c>
      <c r="B7249">
        <v>56</v>
      </c>
      <c r="C7249" s="1">
        <f>0.223851375166699*(10.3/7.3)</f>
        <v>0.31584509098863034</v>
      </c>
      <c r="D7249" s="1">
        <f>0.440243059702663*(10.3/7.3)</f>
        <v>0.62116486505992174</v>
      </c>
      <c r="E7249" s="1">
        <f>1.50626758448038*(10.3/7.3)</f>
        <v>2.125281660294239</v>
      </c>
      <c r="F7249" s="1">
        <f>4.26527895517494*(38.9/42.5)</f>
        <v>3.9039847377954144</v>
      </c>
      <c r="G7249" s="1">
        <v>0.2253709160809399</v>
      </c>
      <c r="H7249" s="1">
        <v>0.86390773339548488</v>
      </c>
      <c r="I7249" s="1">
        <v>3.0757482090162731</v>
      </c>
      <c r="J7249" s="1">
        <v>1.1226910969634489E-2</v>
      </c>
      <c r="K7249" s="1">
        <v>1.2384263128490389</v>
      </c>
      <c r="L7249" s="1">
        <v>0.91305579474288101</v>
      </c>
      <c r="M7249" s="1">
        <v>0.10593064157643904</v>
      </c>
      <c r="N7249" s="1">
        <v>0.44020269882545587</v>
      </c>
      <c r="O7249" s="1">
        <v>0.10751142857142859</v>
      </c>
      <c r="P7249" s="1">
        <v>6.1421884309717914E-2</v>
      </c>
      <c r="Q7249" s="1">
        <v>0.36018182935310067</v>
      </c>
      <c r="R7249" s="2">
        <f t="shared" si="455"/>
        <v>11.491485041984005</v>
      </c>
      <c r="S7249" s="2">
        <f t="shared" si="454"/>
        <v>1.3110751081283913</v>
      </c>
      <c r="T7249" s="2">
        <f t="shared" si="456"/>
        <v>1.5667005637162044</v>
      </c>
      <c r="U7249" s="2">
        <f t="shared" si="457"/>
        <v>14.369260713828599</v>
      </c>
    </row>
    <row r="7250" spans="1:21" x14ac:dyDescent="0.25">
      <c r="A7250">
        <v>8232805</v>
      </c>
      <c r="B7250">
        <v>1</v>
      </c>
      <c r="C7250" s="1">
        <f>0.0904122401351952*(10.3/7.3)</f>
        <v>0.12756795525924805</v>
      </c>
      <c r="D7250" s="1">
        <f>0.104389473743979*(10.3/7.3)</f>
        <v>0.14728925747438201</v>
      </c>
      <c r="E7250" s="1">
        <f>0.369563303138215*(10.3/7.3)</f>
        <v>0.52143863319501593</v>
      </c>
      <c r="F7250" s="1">
        <f>0.785988099037559*(38.9/42.5)</f>
        <v>0.71941028358967185</v>
      </c>
      <c r="G7250" s="1">
        <v>3.0621976173579462E-2</v>
      </c>
      <c r="H7250" s="1">
        <v>0.26949947003327956</v>
      </c>
      <c r="I7250" s="1">
        <v>0.60803444937380602</v>
      </c>
      <c r="J7250" s="1">
        <v>8.9871055577885068E-3</v>
      </c>
      <c r="K7250" s="1">
        <v>1.0098903065796661</v>
      </c>
      <c r="L7250" s="1">
        <v>0.71909012781274495</v>
      </c>
      <c r="M7250" s="1">
        <v>8.4785280914502201E-2</v>
      </c>
      <c r="N7250" s="1">
        <v>0.355704053289563</v>
      </c>
      <c r="O7250" s="1">
        <v>8.7413333333333329E-2</v>
      </c>
      <c r="P7250" s="1">
        <v>5.105135095175433E-2</v>
      </c>
      <c r="Q7250" s="1">
        <v>4.8939231327638458E-2</v>
      </c>
      <c r="R7250" s="2">
        <f t="shared" si="455"/>
        <v>2.4728012564266217</v>
      </c>
      <c r="S7250" s="2">
        <f t="shared" si="454"/>
        <v>1.0699287630892089</v>
      </c>
      <c r="T7250" s="2">
        <f t="shared" si="456"/>
        <v>1.2469927953501434</v>
      </c>
      <c r="U7250" s="2">
        <f t="shared" si="457"/>
        <v>4.7897228148659741</v>
      </c>
    </row>
    <row r="7251" spans="1:21" x14ac:dyDescent="0.25">
      <c r="A7251">
        <v>8233565</v>
      </c>
      <c r="B7251">
        <v>39</v>
      </c>
      <c r="C7251" s="1">
        <f>2.57986879633937*(10.3/7.3)</f>
        <v>3.6400888496295276</v>
      </c>
      <c r="D7251" s="1">
        <f>2.5820591742691*(10.3/7.3)</f>
        <v>3.6431793828728334</v>
      </c>
      <c r="E7251" s="1">
        <f>9.23125299772523*(10.3/7.3)</f>
        <v>13.024918613228746</v>
      </c>
      <c r="F7251" s="1">
        <f>18.5283079740259*(38.9/42.5)</f>
        <v>16.958851298579006</v>
      </c>
      <c r="G7251" s="1">
        <v>0.64726360972077346</v>
      </c>
      <c r="H7251" s="1">
        <v>4.4926483336068728</v>
      </c>
      <c r="I7251" s="1">
        <v>14.971510030818985</v>
      </c>
      <c r="J7251" s="1">
        <v>1.541218644698783E-2</v>
      </c>
      <c r="K7251" s="1">
        <v>1.3032511743467232</v>
      </c>
      <c r="L7251" s="1">
        <v>0.92263903108329426</v>
      </c>
      <c r="M7251" s="1">
        <v>6.8063196692286734E-2</v>
      </c>
      <c r="N7251" s="1">
        <v>0.60877645603576469</v>
      </c>
      <c r="O7251" s="1">
        <v>6.2769230769230785E-2</v>
      </c>
      <c r="P7251" s="1">
        <v>4.4893824638314893E-2</v>
      </c>
      <c r="Q7251" s="1">
        <v>1.0344395589144786</v>
      </c>
      <c r="R7251" s="2">
        <f t="shared" si="455"/>
        <v>58.412899677371222</v>
      </c>
      <c r="S7251" s="2">
        <f t="shared" si="454"/>
        <v>1.3635571854320259</v>
      </c>
      <c r="T7251" s="2">
        <f t="shared" si="456"/>
        <v>1.6622479145805764</v>
      </c>
      <c r="U7251" s="2">
        <f t="shared" si="457"/>
        <v>61.438704777383826</v>
      </c>
    </row>
    <row r="7252" spans="1:21" x14ac:dyDescent="0.25">
      <c r="A7252">
        <v>8233573</v>
      </c>
      <c r="B7252">
        <v>49</v>
      </c>
      <c r="C7252" s="1">
        <f>1.76690373884275*(10.3/7.3)</f>
        <v>2.4930285630247044</v>
      </c>
      <c r="D7252" s="1">
        <f>2.08677934132389*(10.3/7.3)</f>
        <v>2.9443598925528831</v>
      </c>
      <c r="E7252" s="1">
        <f>7.3810021781088*(10.3/7.3)</f>
        <v>10.414290744454888</v>
      </c>
      <c r="F7252" s="1">
        <f>15.629108269176*(38.9/42.5)</f>
        <v>14.305230862845828</v>
      </c>
      <c r="G7252" s="1">
        <v>0.60873675315927978</v>
      </c>
      <c r="H7252" s="1">
        <v>3.7851894902961534</v>
      </c>
      <c r="I7252" s="1">
        <v>11.990805870075457</v>
      </c>
      <c r="J7252" s="1">
        <v>1.4889142196094121E-2</v>
      </c>
      <c r="K7252" s="1">
        <v>1.2650160629157226</v>
      </c>
      <c r="L7252" s="1">
        <v>0.89390213790598205</v>
      </c>
      <c r="M7252" s="1">
        <v>6.6333889447407104E-2</v>
      </c>
      <c r="N7252" s="1">
        <v>0.58849598596914443</v>
      </c>
      <c r="O7252" s="1">
        <v>6.1113469387755102E-2</v>
      </c>
      <c r="P7252" s="1">
        <v>4.4129932151258891E-2</v>
      </c>
      <c r="Q7252" s="1">
        <v>0.97286695710387261</v>
      </c>
      <c r="R7252" s="2">
        <f t="shared" si="455"/>
        <v>47.514509133513066</v>
      </c>
      <c r="S7252" s="2">
        <f t="shared" si="454"/>
        <v>1.3240351372630756</v>
      </c>
      <c r="T7252" s="2">
        <f t="shared" si="456"/>
        <v>1.6098454827102886</v>
      </c>
      <c r="U7252" s="2">
        <f t="shared" si="457"/>
        <v>50.448389753486431</v>
      </c>
    </row>
    <row r="7253" spans="1:21" x14ac:dyDescent="0.25">
      <c r="A7253">
        <v>8233581</v>
      </c>
      <c r="B7253">
        <v>14</v>
      </c>
      <c r="C7253" s="1">
        <f>1.59336637295528*(10.3/7.3)</f>
        <v>2.2481744714300529</v>
      </c>
      <c r="D7253" s="1">
        <f>1.9956200431378*(10.3/7.3)</f>
        <v>2.8157378690848431</v>
      </c>
      <c r="E7253" s="1">
        <f>7.03046819942598*(10.3/7.3)</f>
        <v>9.9197017060393939</v>
      </c>
      <c r="F7253" s="1">
        <f>15.3388641343584*(38.9/42.5)</f>
        <v>14.039572113565677</v>
      </c>
      <c r="G7253" s="1">
        <v>0.62477077776713674</v>
      </c>
      <c r="H7253" s="1">
        <v>3.8027252902881434</v>
      </c>
      <c r="I7253" s="1">
        <v>11.609247572082081</v>
      </c>
      <c r="J7253" s="1">
        <v>1.4488116143039464E-2</v>
      </c>
      <c r="K7253" s="1">
        <v>1.23458170740365</v>
      </c>
      <c r="L7253" s="1">
        <v>0.87720163781627547</v>
      </c>
      <c r="M7253" s="1">
        <v>6.5989570424565824E-2</v>
      </c>
      <c r="N7253" s="1">
        <v>0.57221908560389523</v>
      </c>
      <c r="O7253" s="1">
        <v>6.052571428571428E-2</v>
      </c>
      <c r="P7253" s="1">
        <v>4.3689108477110064E-2</v>
      </c>
      <c r="Q7253" s="1">
        <v>0.99849211058674925</v>
      </c>
      <c r="R7253" s="2">
        <f t="shared" si="455"/>
        <v>46.058421910844075</v>
      </c>
      <c r="S7253" s="2">
        <f t="shared" si="454"/>
        <v>1.2927589320237995</v>
      </c>
      <c r="T7253" s="2">
        <f t="shared" si="456"/>
        <v>1.575936008130451</v>
      </c>
      <c r="U7253" s="2">
        <f t="shared" si="457"/>
        <v>48.927116850998324</v>
      </c>
    </row>
    <row r="7254" spans="1:21" x14ac:dyDescent="0.25">
      <c r="A7254">
        <v>8233589</v>
      </c>
      <c r="B7254">
        <v>1</v>
      </c>
      <c r="C7254" s="1">
        <f>1.50036523607613*(10.3/7.3)</f>
        <v>2.1169536892580947</v>
      </c>
      <c r="D7254" s="1">
        <f>2.0097344095482*(10.3/7.3)</f>
        <v>2.8356526600474563</v>
      </c>
      <c r="E7254" s="1">
        <f>7.05065877124056*(10.3/7.3)</f>
        <v>9.9481897731202427</v>
      </c>
      <c r="F7254" s="1">
        <f>15.8296164358432*(38.9/42.5)</f>
        <v>14.488754808336482</v>
      </c>
      <c r="G7254" s="1">
        <v>0.67166633092714589</v>
      </c>
      <c r="H7254" s="1">
        <v>3.5303993893179211</v>
      </c>
      <c r="I7254" s="1">
        <v>11.806943330283278</v>
      </c>
      <c r="J7254" s="1">
        <v>1.4011058806335058E-2</v>
      </c>
      <c r="K7254" s="1">
        <v>1.2021353538714263</v>
      </c>
      <c r="L7254" s="1">
        <v>0.86098680690595553</v>
      </c>
      <c r="M7254" s="1">
        <v>6.5164113473649934E-2</v>
      </c>
      <c r="N7254" s="1">
        <v>0.55014913679718758</v>
      </c>
      <c r="O7254" s="1">
        <v>6.0053333333333334E-2</v>
      </c>
      <c r="P7254" s="1">
        <v>4.3320285819427623E-2</v>
      </c>
      <c r="Q7254" s="1">
        <v>1.0734393416643895</v>
      </c>
      <c r="R7254" s="2">
        <f t="shared" si="455"/>
        <v>46.471999322955007</v>
      </c>
      <c r="S7254" s="2">
        <f t="shared" si="454"/>
        <v>1.2594666984971892</v>
      </c>
      <c r="T7254" s="2">
        <f t="shared" si="456"/>
        <v>1.5363533905101263</v>
      </c>
      <c r="U7254" s="2">
        <f t="shared" si="457"/>
        <v>49.267819411962329</v>
      </c>
    </row>
    <row r="7255" spans="1:21" x14ac:dyDescent="0.25">
      <c r="A7255">
        <v>8245025</v>
      </c>
      <c r="B7255">
        <v>20</v>
      </c>
      <c r="C7255" s="1">
        <f>0.285850046795719*(10.3/7.3)</f>
        <v>0.40332266876656281</v>
      </c>
      <c r="D7255" s="1">
        <f>0.59492620294261*(10.3/7.3)</f>
        <v>0.8394164233299839</v>
      </c>
      <c r="E7255" s="1">
        <f>2.03009739561851*(10.3/7.3)</f>
        <v>2.8643839965576214</v>
      </c>
      <c r="F7255" s="1">
        <f>5.85857466910965*(38.9/42.5)</f>
        <v>5.3623189324321228</v>
      </c>
      <c r="G7255" s="1">
        <v>0.3142293290846303</v>
      </c>
      <c r="H7255" s="1">
        <v>1.1343465478360757</v>
      </c>
      <c r="I7255" s="1">
        <v>4.2052266343794384</v>
      </c>
      <c r="J7255" s="1">
        <v>1.1250430441888786E-2</v>
      </c>
      <c r="K7255" s="1">
        <v>1.2441161313141011</v>
      </c>
      <c r="L7255" s="1">
        <v>0.91550884156049417</v>
      </c>
      <c r="M7255" s="1">
        <v>0.10495416117260536</v>
      </c>
      <c r="N7255" s="1">
        <v>0.43528037236089878</v>
      </c>
      <c r="O7255" s="1">
        <v>0.10703733333333332</v>
      </c>
      <c r="P7255" s="1">
        <v>6.1614815188613427E-2</v>
      </c>
      <c r="Q7255" s="1">
        <v>0.50219299168776577</v>
      </c>
      <c r="R7255" s="2">
        <f t="shared" si="455"/>
        <v>15.625437524074202</v>
      </c>
      <c r="S7255" s="2">
        <f t="shared" si="454"/>
        <v>1.3169813769446033</v>
      </c>
      <c r="T7255" s="2">
        <f t="shared" si="456"/>
        <v>1.5627807084273315</v>
      </c>
      <c r="U7255" s="2">
        <f t="shared" si="457"/>
        <v>18.505199609446137</v>
      </c>
    </row>
    <row r="7256" spans="1:21" x14ac:dyDescent="0.25">
      <c r="A7256">
        <v>8245033</v>
      </c>
      <c r="B7256">
        <v>41</v>
      </c>
      <c r="C7256" s="1">
        <f>0.235861607861016*(10.3/7.3)</f>
        <v>0.33279103574910429</v>
      </c>
      <c r="D7256" s="1">
        <f>0.470250788031493*(10.3/7.3)</f>
        <v>0.66350453653758612</v>
      </c>
      <c r="E7256" s="1">
        <f>1.60793986041318*(10.3/7.3)</f>
        <v>2.2687370633227091</v>
      </c>
      <c r="F7256" s="1">
        <f>4.57167621844704*(38.9/42.5)</f>
        <v>4.1844283505315296</v>
      </c>
      <c r="G7256" s="1">
        <v>0.24237901012042476</v>
      </c>
      <c r="H7256" s="1">
        <v>0.91085631493018238</v>
      </c>
      <c r="I7256" s="1">
        <v>3.2923919381924591</v>
      </c>
      <c r="J7256" s="1">
        <v>1.0613391017323373E-2</v>
      </c>
      <c r="K7256" s="1">
        <v>1.1681439552528496</v>
      </c>
      <c r="L7256" s="1">
        <v>0.85134608694945646</v>
      </c>
      <c r="M7256" s="1">
        <v>9.9115630543157154E-2</v>
      </c>
      <c r="N7256" s="1">
        <v>0.41218169827537876</v>
      </c>
      <c r="O7256" s="1">
        <v>0.10110178861788616</v>
      </c>
      <c r="P7256" s="1">
        <v>5.8108821095258514E-2</v>
      </c>
      <c r="Q7256" s="1">
        <v>0.38736371480433218</v>
      </c>
      <c r="R7256" s="2">
        <f t="shared" si="455"/>
        <v>12.282451964188327</v>
      </c>
      <c r="S7256" s="2">
        <f t="shared" si="454"/>
        <v>1.2368661673654315</v>
      </c>
      <c r="T7256" s="2">
        <f t="shared" si="456"/>
        <v>1.4637452043858785</v>
      </c>
      <c r="U7256" s="2">
        <f t="shared" si="457"/>
        <v>14.983063335939637</v>
      </c>
    </row>
    <row r="7257" spans="1:21" x14ac:dyDescent="0.25">
      <c r="A7257">
        <v>8245793</v>
      </c>
      <c r="B7257">
        <v>33</v>
      </c>
      <c r="C7257" s="1">
        <f>2.72730918153381*(10.3/7.3)</f>
        <v>3.848121173944969</v>
      </c>
      <c r="D7257" s="1">
        <f>2.65932577804137*(10.3/7.3)</f>
        <v>3.7521993854556257</v>
      </c>
      <c r="E7257" s="1">
        <f>9.51720211197325*(10.3/7.3)</f>
        <v>13.428381062099243</v>
      </c>
      <c r="F7257" s="1">
        <f>19.3189581867984*(38.9/42.5)</f>
        <v>17.682528787446028</v>
      </c>
      <c r="G7257" s="1">
        <v>0.68045801336894562</v>
      </c>
      <c r="H7257" s="1">
        <v>4.909762250796085</v>
      </c>
      <c r="I7257" s="1">
        <v>15.787269156418581</v>
      </c>
      <c r="J7257" s="1">
        <v>1.5436260941032278E-2</v>
      </c>
      <c r="K7257" s="1">
        <v>1.3085267198381898</v>
      </c>
      <c r="L7257" s="1">
        <v>0.92498650639681823</v>
      </c>
      <c r="M7257" s="1">
        <v>6.816256787339213E-2</v>
      </c>
      <c r="N7257" s="1">
        <v>0.60935402734180544</v>
      </c>
      <c r="O7257" s="1">
        <v>6.2860606060606061E-2</v>
      </c>
      <c r="P7257" s="1">
        <v>4.4727161708999472E-2</v>
      </c>
      <c r="Q7257" s="1">
        <v>1.0874899757037959</v>
      </c>
      <c r="R7257" s="2">
        <f t="shared" si="455"/>
        <v>61.176209805233277</v>
      </c>
      <c r="S7257" s="2">
        <f t="shared" si="454"/>
        <v>1.3686901424882216</v>
      </c>
      <c r="T7257" s="2">
        <f t="shared" si="456"/>
        <v>1.6653637076726218</v>
      </c>
      <c r="U7257" s="2">
        <f t="shared" si="457"/>
        <v>64.210263655394115</v>
      </c>
    </row>
    <row r="7258" spans="1:21" x14ac:dyDescent="0.25">
      <c r="A7258">
        <v>8245801</v>
      </c>
      <c r="B7258">
        <v>24</v>
      </c>
      <c r="C7258" s="1">
        <f>2.12468764317709*(10.3/7.3)</f>
        <v>2.9978469485923291</v>
      </c>
      <c r="D7258" s="1">
        <f>2.33454425983533*(10.3/7.3)</f>
        <v>3.2939460104525957</v>
      </c>
      <c r="E7258" s="1">
        <f>8.29485783429121*(10.3/7.3)</f>
        <v>11.703703519616363</v>
      </c>
      <c r="F7258" s="1">
        <f>17.1562165312188*(38.9/42.5)</f>
        <v>15.702984072103831</v>
      </c>
      <c r="G7258" s="1">
        <v>0.63912019881086779</v>
      </c>
      <c r="H7258" s="1">
        <v>3.5694067755295813</v>
      </c>
      <c r="I7258" s="1">
        <v>13.443599026967822</v>
      </c>
      <c r="J7258" s="1">
        <v>1.4893645187836474E-2</v>
      </c>
      <c r="K7258" s="1">
        <v>1.2647487426906177</v>
      </c>
      <c r="L7258" s="1">
        <v>0.89598657716146723</v>
      </c>
      <c r="M7258" s="1">
        <v>6.626130659404568E-2</v>
      </c>
      <c r="N7258" s="1">
        <v>0.58632274530592443</v>
      </c>
      <c r="O7258" s="1">
        <v>6.1404444444444428E-2</v>
      </c>
      <c r="P7258" s="1">
        <v>4.4104403300757156E-2</v>
      </c>
      <c r="Q7258" s="1">
        <v>1.0214249752685109</v>
      </c>
      <c r="R7258" s="2">
        <f t="shared" si="455"/>
        <v>52.372031527341896</v>
      </c>
      <c r="S7258" s="2">
        <f t="shared" si="454"/>
        <v>1.3237467911792113</v>
      </c>
      <c r="T7258" s="2">
        <f t="shared" si="456"/>
        <v>1.6099750735058818</v>
      </c>
      <c r="U7258" s="2">
        <f t="shared" si="457"/>
        <v>55.305753392026986</v>
      </c>
    </row>
    <row r="7259" spans="1:21" x14ac:dyDescent="0.25">
      <c r="A7259">
        <v>8245809</v>
      </c>
      <c r="B7259">
        <v>9</v>
      </c>
      <c r="C7259" s="1">
        <f>1.76553907008987*(10.3/7.3)</f>
        <v>2.4911030714966724</v>
      </c>
      <c r="D7259" s="1">
        <f>2.13413776903598*(10.3/7.3)</f>
        <v>3.0111806878178862</v>
      </c>
      <c r="E7259" s="1">
        <f>7.536071096035*(10.3/7.3)</f>
        <v>10.633086614953488</v>
      </c>
      <c r="F7259" s="1">
        <f>16.1695056736412*(38.9/42.5)</f>
        <v>14.799853428344544</v>
      </c>
      <c r="G7259" s="1">
        <v>0.64233904704214795</v>
      </c>
      <c r="H7259" s="1">
        <v>4.5183439060241835</v>
      </c>
      <c r="I7259" s="1">
        <v>12.339305512100161</v>
      </c>
      <c r="J7259" s="1">
        <v>1.455796062393209E-2</v>
      </c>
      <c r="K7259" s="1">
        <v>1.2430909775843513</v>
      </c>
      <c r="L7259" s="1">
        <v>0.88535184234485609</v>
      </c>
      <c r="M7259" s="1">
        <v>6.5837222141868629E-2</v>
      </c>
      <c r="N7259" s="1">
        <v>0.57197388403831351</v>
      </c>
      <c r="O7259" s="1">
        <v>6.0912592592592595E-2</v>
      </c>
      <c r="P7259" s="1">
        <v>4.3910952491531909E-2</v>
      </c>
      <c r="Q7259" s="1">
        <v>1.0265692532637081</v>
      </c>
      <c r="R7259" s="2">
        <f t="shared" si="455"/>
        <v>49.461781521042795</v>
      </c>
      <c r="S7259" s="2">
        <f t="shared" si="454"/>
        <v>1.3015598906998154</v>
      </c>
      <c r="T7259" s="2">
        <f t="shared" si="456"/>
        <v>1.5840755411176308</v>
      </c>
      <c r="U7259" s="2">
        <f t="shared" si="457"/>
        <v>52.347416952860236</v>
      </c>
    </row>
    <row r="7260" spans="1:21" x14ac:dyDescent="0.25">
      <c r="A7260">
        <v>8257261</v>
      </c>
      <c r="B7260">
        <v>48</v>
      </c>
      <c r="C7260" s="1">
        <f>0.302300992009305*(10.3/7.3)</f>
        <v>0.42653427639669117</v>
      </c>
      <c r="D7260" s="1">
        <f>0.637514435312569*(10.3/7.3)</f>
        <v>0.8995066690026664</v>
      </c>
      <c r="E7260" s="1">
        <f>2.17393008580894*(10.3/7.3)</f>
        <v>3.0673260114838463</v>
      </c>
      <c r="F7260" s="1">
        <f>6.30997830778505*(38.9/42.5)</f>
        <v>5.7754860275961963</v>
      </c>
      <c r="G7260" s="1">
        <v>0.3398455491963146</v>
      </c>
      <c r="H7260" s="1">
        <v>1.2173397656399072</v>
      </c>
      <c r="I7260" s="1">
        <v>4.526327682029387</v>
      </c>
      <c r="J7260" s="1">
        <v>1.1691263952232469E-2</v>
      </c>
      <c r="K7260" s="1">
        <v>1.2842476572163934</v>
      </c>
      <c r="L7260" s="1">
        <v>0.95575662016420371</v>
      </c>
      <c r="M7260" s="1">
        <v>0.11002362822652224</v>
      </c>
      <c r="N7260" s="1">
        <v>0.45394267402398047</v>
      </c>
      <c r="O7260" s="1">
        <v>0.11097999999999997</v>
      </c>
      <c r="P7260" s="1">
        <v>6.3390216584940456E-2</v>
      </c>
      <c r="Q7260" s="1">
        <v>0.54313215624981848</v>
      </c>
      <c r="R7260" s="2">
        <f t="shared" si="455"/>
        <v>16.79549813759483</v>
      </c>
      <c r="S7260" s="2">
        <f t="shared" si="454"/>
        <v>1.3593291377535663</v>
      </c>
      <c r="T7260" s="2">
        <f t="shared" si="456"/>
        <v>1.6307029224147063</v>
      </c>
      <c r="U7260" s="2">
        <f t="shared" si="457"/>
        <v>19.785530197763102</v>
      </c>
    </row>
    <row r="7261" spans="1:21" x14ac:dyDescent="0.25">
      <c r="A7261">
        <v>8257269</v>
      </c>
      <c r="B7261">
        <v>32</v>
      </c>
      <c r="C7261" s="1">
        <f>0.360465287077557*(10.3/7.3)</f>
        <v>0.50860170642449853</v>
      </c>
      <c r="D7261" s="1">
        <f>0.790682053538332*(10.3/7.3)</f>
        <v>1.1156198837595641</v>
      </c>
      <c r="E7261" s="1">
        <f>2.6909069770343*(10.3/7.3)</f>
        <v>3.7967591593771579</v>
      </c>
      <c r="F7261" s="1">
        <f>7.9385934571735*(38.9/42.5)</f>
        <v>7.2661478937423345</v>
      </c>
      <c r="G7261" s="1">
        <v>0.4325089250132399</v>
      </c>
      <c r="H7261" s="1">
        <v>1.4335802272835496</v>
      </c>
      <c r="I7261" s="1">
        <v>5.6836076157685591</v>
      </c>
      <c r="J7261" s="1">
        <v>1.4355819111609045E-2</v>
      </c>
      <c r="K7261" s="1">
        <v>1.5066547769746081</v>
      </c>
      <c r="L7261" s="1">
        <v>1.1856440383052824</v>
      </c>
      <c r="M7261" s="1">
        <v>0.13127469005499406</v>
      </c>
      <c r="N7261" s="1">
        <v>0.54935742846528768</v>
      </c>
      <c r="O7261" s="1">
        <v>0.1384133333333333</v>
      </c>
      <c r="P7261" s="1">
        <v>7.3766743080398559E-2</v>
      </c>
      <c r="Q7261" s="1">
        <v>0.69122430938189128</v>
      </c>
      <c r="R7261" s="2">
        <f t="shared" si="455"/>
        <v>20.928049720750796</v>
      </c>
      <c r="S7261" s="2">
        <f t="shared" si="454"/>
        <v>1.5947773391666158</v>
      </c>
      <c r="T7261" s="2">
        <f t="shared" si="456"/>
        <v>2.0046894901588974</v>
      </c>
      <c r="U7261" s="2">
        <f t="shared" si="457"/>
        <v>24.527516550076307</v>
      </c>
    </row>
    <row r="7262" spans="1:21" x14ac:dyDescent="0.25">
      <c r="A7262">
        <v>8258021</v>
      </c>
      <c r="B7262">
        <v>19</v>
      </c>
      <c r="C7262" s="1">
        <f>2.37115690202002*(10.3/7.3)</f>
        <v>3.3456049439460527</v>
      </c>
      <c r="D7262" s="1">
        <f>2.56579734982399*(10.3/7.3)</f>
        <v>3.6202346168749409</v>
      </c>
      <c r="E7262" s="1">
        <f>9.10347820895947*(10.3/7.3)</f>
        <v>12.844633637298973</v>
      </c>
      <c r="F7262" s="1">
        <f>19.8502403668262*(38.9/42.5)</f>
        <v>18.168808241636174</v>
      </c>
      <c r="G7262" s="1">
        <v>0.78460272702780154</v>
      </c>
      <c r="H7262" s="1">
        <v>5.7615396714147789</v>
      </c>
      <c r="I7262" s="1">
        <v>15.752192062342191</v>
      </c>
      <c r="J7262" s="1">
        <v>1.5935686700003896E-2</v>
      </c>
      <c r="K7262" s="1">
        <v>1.3514916086629594</v>
      </c>
      <c r="L7262" s="1">
        <v>0.96153099928648667</v>
      </c>
      <c r="M7262" s="1">
        <v>7.0160375104134531E-2</v>
      </c>
      <c r="N7262" s="1">
        <v>0.62756450680774767</v>
      </c>
      <c r="O7262" s="1">
        <v>6.4757894736842098E-2</v>
      </c>
      <c r="P7262" s="1">
        <v>4.5799678730322479E-2</v>
      </c>
      <c r="Q7262" s="1">
        <v>1.2539312989028808</v>
      </c>
      <c r="R7262" s="2">
        <f t="shared" si="455"/>
        <v>61.531547199443793</v>
      </c>
      <c r="S7262" s="2">
        <f t="shared" si="454"/>
        <v>1.4132269740932859</v>
      </c>
      <c r="T7262" s="2">
        <f t="shared" si="456"/>
        <v>1.724013775935211</v>
      </c>
      <c r="U7262" s="2">
        <f t="shared" si="457"/>
        <v>64.668787949472289</v>
      </c>
    </row>
    <row r="7263" spans="1:21" x14ac:dyDescent="0.25">
      <c r="A7263">
        <v>8258029</v>
      </c>
      <c r="B7263">
        <v>13</v>
      </c>
      <c r="C7263" s="1">
        <f>2.575630563011*(10.3/7.3)</f>
        <v>3.6341088765771628</v>
      </c>
      <c r="D7263" s="1">
        <f>2.60510824955548*(10.3/7.3)</f>
        <v>3.6757006808796513</v>
      </c>
      <c r="E7263" s="1">
        <f>9.30243399271138*(10.3/7.3)</f>
        <v>13.125352071907841</v>
      </c>
      <c r="F7263" s="1">
        <f>18.9633033552107*(38.9/42.5)</f>
        <v>17.357000012181064</v>
      </c>
      <c r="G7263" s="1">
        <v>0.67873129012195588</v>
      </c>
      <c r="H7263" s="1">
        <v>4.4213323538475402</v>
      </c>
      <c r="I7263" s="1">
        <v>15.28849030845355</v>
      </c>
      <c r="J7263" s="1">
        <v>1.4891686786102377E-2</v>
      </c>
      <c r="K7263" s="1">
        <v>1.2656568683688763</v>
      </c>
      <c r="L7263" s="1">
        <v>0.89738676419072227</v>
      </c>
      <c r="M7263" s="1">
        <v>6.6427712956270341E-2</v>
      </c>
      <c r="N7263" s="1">
        <v>0.58423961490173548</v>
      </c>
      <c r="O7263" s="1">
        <v>6.1591794871794878E-2</v>
      </c>
      <c r="P7263" s="1">
        <v>4.389005860176682E-2</v>
      </c>
      <c r="Q7263" s="1">
        <v>1.0847303723410264</v>
      </c>
      <c r="R7263" s="2">
        <f t="shared" si="455"/>
        <v>59.265445966309798</v>
      </c>
      <c r="S7263" s="2">
        <f t="shared" si="454"/>
        <v>1.3244386137567454</v>
      </c>
      <c r="T7263" s="2">
        <f t="shared" si="456"/>
        <v>1.609645886920523</v>
      </c>
      <c r="U7263" s="2">
        <f t="shared" si="457"/>
        <v>62.199530466987071</v>
      </c>
    </row>
    <row r="7264" spans="1:21" x14ac:dyDescent="0.25">
      <c r="A7264">
        <v>8269497</v>
      </c>
      <c r="B7264">
        <v>56</v>
      </c>
      <c r="C7264" s="1">
        <f>0.390488843527266*(10.3/7.3)</f>
        <v>0.55096371073025252</v>
      </c>
      <c r="D7264" s="1">
        <f>0.864722318058056*(10.3/7.3)</f>
        <v>1.2200876542462984</v>
      </c>
      <c r="E7264" s="1">
        <f>2.94192060389677*(10.3/7.3)</f>
        <v>4.150929071251606</v>
      </c>
      <c r="F7264" s="1">
        <f>8.69123330301862*(38.9/42.5)</f>
        <v>7.9550347173511575</v>
      </c>
      <c r="G7264" s="1">
        <v>0.47414975633521145</v>
      </c>
      <c r="H7264" s="1">
        <v>1.5777686940506666</v>
      </c>
      <c r="I7264" s="1">
        <v>6.215976781205903</v>
      </c>
      <c r="J7264" s="1">
        <v>1.4051520785019962E-2</v>
      </c>
      <c r="K7264" s="1">
        <v>1.4877737167343863</v>
      </c>
      <c r="L7264" s="1">
        <v>1.1625532910154865</v>
      </c>
      <c r="M7264" s="1">
        <v>0.12974402261218917</v>
      </c>
      <c r="N7264" s="1">
        <v>0.53707717938823207</v>
      </c>
      <c r="O7264" s="1">
        <v>0.1346209523809524</v>
      </c>
      <c r="P7264" s="1">
        <v>7.2661416907977769E-2</v>
      </c>
      <c r="Q7264" s="1">
        <v>0.75777358318412869</v>
      </c>
      <c r="R7264" s="2">
        <f t="shared" si="455"/>
        <v>22.902683968355223</v>
      </c>
      <c r="S7264" s="2">
        <f t="shared" si="454"/>
        <v>1.5744866544273841</v>
      </c>
      <c r="T7264" s="2">
        <f t="shared" si="456"/>
        <v>1.96399544539686</v>
      </c>
      <c r="U7264" s="2">
        <f t="shared" si="457"/>
        <v>26.44116606817947</v>
      </c>
    </row>
    <row r="7265" spans="1:21" x14ac:dyDescent="0.25">
      <c r="A7265">
        <v>8269505</v>
      </c>
      <c r="B7265">
        <v>35</v>
      </c>
      <c r="C7265" s="1">
        <f>0.306947563799954*(10.3/7.3)</f>
        <v>0.43309039823829126</v>
      </c>
      <c r="D7265" s="1">
        <f>0.657291102998593*(10.3/7.3)</f>
        <v>0.92741073436787713</v>
      </c>
      <c r="E7265" s="1">
        <f>2.23941661269553*(10.3/7.3)</f>
        <v>3.1597248096936941</v>
      </c>
      <c r="F7265" s="1">
        <f>6.55273399253765*(38.9/42.5)</f>
        <v>5.9976788778756402</v>
      </c>
      <c r="G7265" s="1">
        <v>0.35486547931839441</v>
      </c>
      <c r="H7265" s="1">
        <v>1.4368547962835203</v>
      </c>
      <c r="I7265" s="1">
        <v>4.6987612821653642</v>
      </c>
      <c r="J7265" s="1">
        <v>1.3218428344486666E-2</v>
      </c>
      <c r="K7265" s="1">
        <v>1.4203376119023872</v>
      </c>
      <c r="L7265" s="1">
        <v>1.0946797153951267</v>
      </c>
      <c r="M7265" s="1">
        <v>0.12387951770871806</v>
      </c>
      <c r="N7265" s="1">
        <v>0.51449740578557379</v>
      </c>
      <c r="O7265" s="1">
        <v>0.12745142857142858</v>
      </c>
      <c r="P7265" s="1">
        <v>7.0038944688841101E-2</v>
      </c>
      <c r="Q7265" s="1">
        <v>0.56713661078282274</v>
      </c>
      <c r="R7265" s="2">
        <f t="shared" si="455"/>
        <v>17.575522988725602</v>
      </c>
      <c r="S7265" s="2">
        <f t="shared" si="454"/>
        <v>1.5035949849357151</v>
      </c>
      <c r="T7265" s="2">
        <f t="shared" si="456"/>
        <v>1.860508067460847</v>
      </c>
      <c r="U7265" s="2">
        <f t="shared" si="457"/>
        <v>20.939626041122168</v>
      </c>
    </row>
    <row r="7266" spans="1:21" x14ac:dyDescent="0.25">
      <c r="A7266">
        <v>8270249</v>
      </c>
      <c r="B7266">
        <v>1</v>
      </c>
      <c r="C7266" s="1">
        <f>1.7222137724431*(10.3/7.3)</f>
        <v>2.4299728570087602</v>
      </c>
      <c r="D7266" s="1">
        <f>2.21542203429125*(10.3/7.3)</f>
        <v>3.1258694456438212</v>
      </c>
      <c r="E7266" s="1">
        <f>7.77639789162441*(10.3/7.3)</f>
        <v>10.972177847086499</v>
      </c>
      <c r="F7266" s="1">
        <f>17.9365342106255*(38.9/42.5)</f>
        <v>16.417204253960712</v>
      </c>
      <c r="G7266" s="1">
        <v>0.77595701362062586</v>
      </c>
      <c r="H7266" s="1">
        <v>5.8817595915277643</v>
      </c>
      <c r="I7266" s="1">
        <v>13.605002373675088</v>
      </c>
      <c r="J7266" s="1">
        <v>1.6556981060666078E-2</v>
      </c>
      <c r="K7266" s="1">
        <v>1.4095414241553006</v>
      </c>
      <c r="L7266" s="1">
        <v>1.0061447431999104</v>
      </c>
      <c r="M7266" s="1">
        <v>7.2135256755149604E-2</v>
      </c>
      <c r="N7266" s="1">
        <v>0.65230684835872232</v>
      </c>
      <c r="O7266" s="1">
        <v>6.6719999999999988E-2</v>
      </c>
      <c r="P7266" s="1">
        <v>4.7182933966933162E-2</v>
      </c>
      <c r="Q7266" s="1">
        <v>1.2401139487087642</v>
      </c>
      <c r="R7266" s="2">
        <f t="shared" si="455"/>
        <v>54.44805733123205</v>
      </c>
      <c r="S7266" s="2">
        <f t="shared" si="454"/>
        <v>1.4732813391828998</v>
      </c>
      <c r="T7266" s="2">
        <f t="shared" si="456"/>
        <v>1.7973068483137824</v>
      </c>
      <c r="U7266" s="2">
        <f t="shared" si="457"/>
        <v>57.718645518728728</v>
      </c>
    </row>
    <row r="7267" spans="1:21" x14ac:dyDescent="0.25">
      <c r="A7267">
        <v>8270257</v>
      </c>
      <c r="B7267">
        <v>26</v>
      </c>
      <c r="C7267" s="1">
        <f>2.23853782424872*(10.3/7.3)</f>
        <v>3.158484875309838</v>
      </c>
      <c r="D7267" s="1">
        <f>2.41700528421314*(10.3/7.3)</f>
        <v>3.410295127040464</v>
      </c>
      <c r="E7267" s="1">
        <f>8.5844179601488*(10.3/7.3)</f>
        <v>12.112260957470228</v>
      </c>
      <c r="F7267" s="1">
        <f>18.3190238715304*(38.9/42.5)</f>
        <v>16.767294790647824</v>
      </c>
      <c r="G7267" s="1">
        <v>0.7059800784182938</v>
      </c>
      <c r="H7267" s="1">
        <v>5.1687289895499537</v>
      </c>
      <c r="I7267" s="1">
        <v>14.506403007689009</v>
      </c>
      <c r="J7267" s="1">
        <v>1.5007885288992355E-2</v>
      </c>
      <c r="K7267" s="1">
        <v>1.2796807882182146</v>
      </c>
      <c r="L7267" s="1">
        <v>0.90528612857716029</v>
      </c>
      <c r="M7267" s="1">
        <v>6.7098484490592358E-2</v>
      </c>
      <c r="N7267" s="1">
        <v>0.58882858674375749</v>
      </c>
      <c r="O7267" s="1">
        <v>6.1764102564102558E-2</v>
      </c>
      <c r="P7267" s="1">
        <v>4.3943934364022254E-2</v>
      </c>
      <c r="Q7267" s="1">
        <v>1.1282786641388265</v>
      </c>
      <c r="R7267" s="2">
        <f t="shared" si="455"/>
        <v>56.957726490264434</v>
      </c>
      <c r="S7267" s="2">
        <f t="shared" si="454"/>
        <v>1.3386326078712292</v>
      </c>
      <c r="T7267" s="2">
        <f t="shared" si="456"/>
        <v>1.6229773023756127</v>
      </c>
      <c r="U7267" s="2">
        <f t="shared" si="457"/>
        <v>59.91933640051127</v>
      </c>
    </row>
    <row r="7268" spans="1:21" x14ac:dyDescent="0.25">
      <c r="A7268">
        <v>8281733</v>
      </c>
      <c r="B7268">
        <v>47</v>
      </c>
      <c r="C7268" s="1">
        <f>0.355444082649039*(10.3/7.3)</f>
        <v>0.50151699332672683</v>
      </c>
      <c r="D7268" s="1">
        <f>0.777139306811947*(10.3/7.3)</f>
        <v>1.0965116246798703</v>
      </c>
      <c r="E7268" s="1">
        <f>2.64549534894309*(10.3/7.3)</f>
        <v>3.7326852183717634</v>
      </c>
      <c r="F7268" s="1">
        <f>7.78135684376497*(38.9/42.5)</f>
        <v>7.1222301464107645</v>
      </c>
      <c r="G7268" s="1">
        <v>0.42316668173013827</v>
      </c>
      <c r="H7268" s="1">
        <v>1.4622744600976705</v>
      </c>
      <c r="I7268" s="1">
        <v>5.5696025691924644</v>
      </c>
      <c r="J7268" s="1">
        <v>1.3070692628990663E-2</v>
      </c>
      <c r="K7268" s="1">
        <v>1.4057216394578069</v>
      </c>
      <c r="L7268" s="1">
        <v>1.0789931597605551</v>
      </c>
      <c r="M7268" s="1">
        <v>0.12079963054922961</v>
      </c>
      <c r="N7268" s="1">
        <v>0.50396298300559195</v>
      </c>
      <c r="O7268" s="1">
        <v>0.12579517730496451</v>
      </c>
      <c r="P7268" s="1">
        <v>6.9003019236681326E-2</v>
      </c>
      <c r="Q7268" s="1">
        <v>0.67629378358697989</v>
      </c>
      <c r="R7268" s="2">
        <f t="shared" si="455"/>
        <v>20.584281477396381</v>
      </c>
      <c r="S7268" s="2">
        <f t="shared" si="454"/>
        <v>1.487795351323479</v>
      </c>
      <c r="T7268" s="2">
        <f t="shared" si="456"/>
        <v>1.8295509506203413</v>
      </c>
      <c r="U7268" s="2">
        <f t="shared" si="457"/>
        <v>23.901627779340199</v>
      </c>
    </row>
    <row r="7269" spans="1:21" x14ac:dyDescent="0.25">
      <c r="A7269">
        <v>8281741</v>
      </c>
      <c r="B7269">
        <v>54</v>
      </c>
      <c r="C7269" s="1">
        <f>0.348286270423883*(10.3/7.3)</f>
        <v>0.49141761443369836</v>
      </c>
      <c r="D7269" s="1">
        <f>0.765623027220167*(10.3/7.3)</f>
        <v>1.0802626274476328</v>
      </c>
      <c r="E7269" s="1">
        <f>2.60560932512101*(10.3/7.3)</f>
        <v>3.6764076779104631</v>
      </c>
      <c r="F7269" s="1">
        <f>7.68012457377622*(38.9/42.5)</f>
        <v>7.0295728451740036</v>
      </c>
      <c r="G7269" s="1">
        <v>0.41828038640978182</v>
      </c>
      <c r="H7269" s="1">
        <v>1.478799045606094</v>
      </c>
      <c r="I7269" s="1">
        <v>5.4956143659924273</v>
      </c>
      <c r="J7269" s="1">
        <v>1.3504546002278952E-2</v>
      </c>
      <c r="K7269" s="1">
        <v>1.4496014404031796</v>
      </c>
      <c r="L7269" s="1">
        <v>1.119744375032844</v>
      </c>
      <c r="M7269" s="1">
        <v>0.1254576614841503</v>
      </c>
      <c r="N7269" s="1">
        <v>0.52289571008132618</v>
      </c>
      <c r="O7269" s="1">
        <v>0.13208592592592594</v>
      </c>
      <c r="P7269" s="1">
        <v>7.1080918887247727E-2</v>
      </c>
      <c r="Q7269" s="1">
        <v>0.66848463581472028</v>
      </c>
      <c r="R7269" s="2">
        <f t="shared" si="455"/>
        <v>20.338839198788822</v>
      </c>
      <c r="S7269" s="2">
        <f t="shared" si="454"/>
        <v>1.5341869052927062</v>
      </c>
      <c r="T7269" s="2">
        <f t="shared" si="456"/>
        <v>1.9001836725242465</v>
      </c>
      <c r="U7269" s="2">
        <f t="shared" si="457"/>
        <v>23.773209776605775</v>
      </c>
    </row>
    <row r="7270" spans="1:21" x14ac:dyDescent="0.25">
      <c r="A7270">
        <v>8281749</v>
      </c>
      <c r="B7270">
        <v>11</v>
      </c>
      <c r="C7270" s="1">
        <f>0.184340310673725*(10.3/7.3)</f>
        <v>0.26009660273142082</v>
      </c>
      <c r="D7270" s="1">
        <f>0.349763522980797*(10.3/7.3)</f>
        <v>0.49350195708249495</v>
      </c>
      <c r="E7270" s="1">
        <f>1.19910344277212*(10.3/7.3)</f>
        <v>1.6918856795277881</v>
      </c>
      <c r="F7270" s="1">
        <f>3.33737867568528*(38.9/42.5)</f>
        <v>3.0546830702154657</v>
      </c>
      <c r="G7270" s="1">
        <v>0.17404409927387812</v>
      </c>
      <c r="H7270" s="1">
        <v>0.72516559379061207</v>
      </c>
      <c r="I7270" s="1">
        <v>2.4116116145764512</v>
      </c>
      <c r="J7270" s="1">
        <v>1.1229831616376472E-2</v>
      </c>
      <c r="K7270" s="1">
        <v>1.2381493437530167</v>
      </c>
      <c r="L7270" s="1">
        <v>0.91538360579522193</v>
      </c>
      <c r="M7270" s="1">
        <v>0.10641045121944889</v>
      </c>
      <c r="N7270" s="1">
        <v>0.44615822162994873</v>
      </c>
      <c r="O7270" s="1">
        <v>0.10999272727272726</v>
      </c>
      <c r="P7270" s="1">
        <v>6.1113062960626949E-2</v>
      </c>
      <c r="Q7270" s="1">
        <v>0.27815267007240824</v>
      </c>
      <c r="R7270" s="2">
        <f t="shared" si="455"/>
        <v>9.08914128727052</v>
      </c>
      <c r="S7270" s="2">
        <f t="shared" si="454"/>
        <v>1.3104922383300199</v>
      </c>
      <c r="T7270" s="2">
        <f t="shared" si="456"/>
        <v>1.5779450059173468</v>
      </c>
      <c r="U7270" s="2">
        <f t="shared" si="457"/>
        <v>11.977578531517887</v>
      </c>
    </row>
    <row r="7271" spans="1:21" x14ac:dyDescent="0.25">
      <c r="A7271">
        <v>8282485</v>
      </c>
      <c r="B7271">
        <v>45</v>
      </c>
      <c r="C7271" s="1">
        <f>1.66832046552355*(10.3/7.3)</f>
        <v>2.35393161573871</v>
      </c>
      <c r="D7271" s="1">
        <f>2.09538195991351*(10.3/7.3)</f>
        <v>2.9564978338505625</v>
      </c>
      <c r="E7271" s="1">
        <f>7.36793646352775*(10.3/7.3)</f>
        <v>10.39585555812819</v>
      </c>
      <c r="F7271" s="1">
        <f>16.7363988255759*(38.9/42.5)</f>
        <v>15.318727395644752</v>
      </c>
      <c r="G7271" s="1">
        <v>0.71065492817003084</v>
      </c>
      <c r="H7271" s="1">
        <v>4.5434997278700484</v>
      </c>
      <c r="I7271" s="1">
        <v>12.748550150788681</v>
      </c>
      <c r="J7271" s="1">
        <v>1.538378236850361E-2</v>
      </c>
      <c r="K7271" s="1">
        <v>1.3172717865885097</v>
      </c>
      <c r="L7271" s="1">
        <v>0.92972649161882104</v>
      </c>
      <c r="M7271" s="1">
        <v>6.776303337321328E-2</v>
      </c>
      <c r="N7271" s="1">
        <v>0.60459024800702887</v>
      </c>
      <c r="O7271" s="1">
        <v>6.2705777777777777E-2</v>
      </c>
      <c r="P7271" s="1">
        <v>4.4577927808166037E-2</v>
      </c>
      <c r="Q7271" s="1">
        <v>1.1357498852032466</v>
      </c>
      <c r="R7271" s="2">
        <f t="shared" si="455"/>
        <v>50.163467095394218</v>
      </c>
      <c r="S7271" s="2">
        <f t="shared" si="454"/>
        <v>1.3772334967651794</v>
      </c>
      <c r="T7271" s="2">
        <f t="shared" si="456"/>
        <v>1.664785550776841</v>
      </c>
      <c r="U7271" s="2">
        <f t="shared" si="457"/>
        <v>53.205486142936238</v>
      </c>
    </row>
    <row r="7272" spans="1:21" x14ac:dyDescent="0.25">
      <c r="A7272">
        <v>8293961</v>
      </c>
      <c r="B7272">
        <v>2</v>
      </c>
      <c r="C7272" s="1">
        <f>0.183373547833673*(10.3/7.3)</f>
        <v>0.25873254009408725</v>
      </c>
      <c r="D7272" s="1">
        <f>0.342322000600915*(10.3/7.3)</f>
        <v>0.48300227482046915</v>
      </c>
      <c r="E7272" s="1">
        <f>1.17464938538564*(10.3/7.3)</f>
        <v>1.6573820095167255</v>
      </c>
      <c r="F7272" s="1">
        <f>3.24483301232256*(38.9/42.5)</f>
        <v>2.9699765689258228</v>
      </c>
      <c r="G7272" s="1">
        <v>0.16821700856670593</v>
      </c>
      <c r="H7272" s="1">
        <v>0.67853537263769748</v>
      </c>
      <c r="I7272" s="1">
        <v>2.3473636263970308</v>
      </c>
      <c r="J7272" s="1">
        <v>1.0603766189288707E-2</v>
      </c>
      <c r="K7272" s="1">
        <v>1.1766898318635826</v>
      </c>
      <c r="L7272" s="1">
        <v>0.86276164175925052</v>
      </c>
      <c r="M7272" s="1">
        <v>0.10027125371908736</v>
      </c>
      <c r="N7272" s="1">
        <v>0.41658368904996357</v>
      </c>
      <c r="O7272" s="1">
        <v>0.10365333333333333</v>
      </c>
      <c r="P7272" s="1">
        <v>5.852796512966825E-2</v>
      </c>
      <c r="Q7272" s="1">
        <v>0.26883996802898236</v>
      </c>
      <c r="R7272" s="2">
        <f t="shared" si="455"/>
        <v>8.832049368987521</v>
      </c>
      <c r="S7272" s="2">
        <f t="shared" si="454"/>
        <v>1.2458215631825393</v>
      </c>
      <c r="T7272" s="2">
        <f t="shared" si="456"/>
        <v>1.4832699178616349</v>
      </c>
      <c r="U7272" s="2">
        <f t="shared" si="457"/>
        <v>11.561140850031697</v>
      </c>
    </row>
    <row r="7273" spans="1:21" x14ac:dyDescent="0.25">
      <c r="A7273">
        <v>8293969</v>
      </c>
      <c r="B7273">
        <v>66</v>
      </c>
      <c r="C7273" s="1">
        <f>0.329978727178779*(10.3/7.3)</f>
        <v>0.46558642327964767</v>
      </c>
      <c r="D7273" s="1">
        <f>0.713002173213976*(10.3/7.3)</f>
        <v>1.006016764945747</v>
      </c>
      <c r="E7273" s="1">
        <f>2.42864620655326*(10.3/7.3)</f>
        <v>3.4267199900682979</v>
      </c>
      <c r="F7273" s="1">
        <f>7.10621716624307*(38.9/42.5)</f>
        <v>6.5042787709848371</v>
      </c>
      <c r="G7273" s="1">
        <v>0.3850539068264377</v>
      </c>
      <c r="H7273" s="1">
        <v>1.464001649709223</v>
      </c>
      <c r="I7273" s="1">
        <v>5.0887222953033326</v>
      </c>
      <c r="J7273" s="1">
        <v>1.2058542168354424E-2</v>
      </c>
      <c r="K7273" s="1">
        <v>1.3175715420872729</v>
      </c>
      <c r="L7273" s="1">
        <v>0.99037024708127019</v>
      </c>
      <c r="M7273" s="1">
        <v>0.1132781653427101</v>
      </c>
      <c r="N7273" s="1">
        <v>0.4695817974079794</v>
      </c>
      <c r="O7273" s="1">
        <v>0.11665212121212123</v>
      </c>
      <c r="P7273" s="1">
        <v>6.5096843484931943E-2</v>
      </c>
      <c r="Q7273" s="1">
        <v>0.61538295611531191</v>
      </c>
      <c r="R7273" s="2">
        <f t="shared" si="455"/>
        <v>18.955762757232833</v>
      </c>
      <c r="S7273" s="2">
        <f t="shared" si="454"/>
        <v>1.3947269277405592</v>
      </c>
      <c r="T7273" s="2">
        <f t="shared" si="456"/>
        <v>1.6898823310440809</v>
      </c>
      <c r="U7273" s="2">
        <f t="shared" si="457"/>
        <v>22.040372016017475</v>
      </c>
    </row>
    <row r="7274" spans="1:21" x14ac:dyDescent="0.25">
      <c r="A7274">
        <v>8293977</v>
      </c>
      <c r="B7274">
        <v>60</v>
      </c>
      <c r="C7274" s="1">
        <f>0.40433986784867*(10.3/7.3)</f>
        <v>0.57050693682757592</v>
      </c>
      <c r="D7274" s="1">
        <f>0.913847265889547*(10.3/7.3)</f>
        <v>1.2894009368030594</v>
      </c>
      <c r="E7274" s="1">
        <f>3.1066311550683*(10.3/7.3)</f>
        <v>4.3833288900278786</v>
      </c>
      <c r="F7274" s="1">
        <f>9.21844235928002*(38.9/42.5)</f>
        <v>8.437586065317479</v>
      </c>
      <c r="G7274" s="1">
        <v>0.50473096043119459</v>
      </c>
      <c r="H7274" s="1">
        <v>1.6817678362078838</v>
      </c>
      <c r="I7274" s="1">
        <v>6.5809713762848441</v>
      </c>
      <c r="J7274" s="1">
        <v>1.4729433202432123E-2</v>
      </c>
      <c r="K7274" s="1">
        <v>1.5498211557102599</v>
      </c>
      <c r="L7274" s="1">
        <v>1.2244038306340801</v>
      </c>
      <c r="M7274" s="1">
        <v>0.13458054302074826</v>
      </c>
      <c r="N7274" s="1">
        <v>0.56515571172257539</v>
      </c>
      <c r="O7274" s="1">
        <v>0.14383555555555561</v>
      </c>
      <c r="P7274" s="1">
        <v>7.5480482534308571E-2</v>
      </c>
      <c r="Q7274" s="1">
        <v>0.8066476536571614</v>
      </c>
      <c r="R7274" s="2">
        <f t="shared" si="455"/>
        <v>24.254940655557075</v>
      </c>
      <c r="S7274" s="2">
        <f t="shared" si="454"/>
        <v>1.6400310714470006</v>
      </c>
      <c r="T7274" s="2">
        <f t="shared" si="456"/>
        <v>2.0679756409329593</v>
      </c>
      <c r="U7274" s="2">
        <f t="shared" si="457"/>
        <v>27.962947367937037</v>
      </c>
    </row>
    <row r="7275" spans="1:21" x14ac:dyDescent="0.25">
      <c r="A7275">
        <v>8293985</v>
      </c>
      <c r="B7275">
        <v>21</v>
      </c>
      <c r="C7275" s="1">
        <f>0.234316966546309*(10.3/7.3)</f>
        <v>0.33061161033246361</v>
      </c>
      <c r="D7275" s="1">
        <f>0.481308999736323*(10.3/7.3)</f>
        <v>0.67910721880604419</v>
      </c>
      <c r="E7275" s="1">
        <f>1.64377828995032*(10.3/7.3)</f>
        <v>2.3193036145874411</v>
      </c>
      <c r="F7275" s="1">
        <f>4.7034674405525*(38.9/42.5)</f>
        <v>4.3050560808821734</v>
      </c>
      <c r="G7275" s="1">
        <v>0.25082031810571737</v>
      </c>
      <c r="H7275" s="1">
        <v>0.97031518026048791</v>
      </c>
      <c r="I7275" s="1">
        <v>3.3761309205034902</v>
      </c>
      <c r="J7275" s="1">
        <v>1.1662748612697348E-2</v>
      </c>
      <c r="K7275" s="1">
        <v>1.2780386292413202</v>
      </c>
      <c r="L7275" s="1">
        <v>0.95002144447641945</v>
      </c>
      <c r="M7275" s="1">
        <v>0.10908846772537849</v>
      </c>
      <c r="N7275" s="1">
        <v>0.45809838487543564</v>
      </c>
      <c r="O7275" s="1">
        <v>0.11330031746031748</v>
      </c>
      <c r="P7275" s="1">
        <v>6.2720120483495401E-2</v>
      </c>
      <c r="Q7275" s="1">
        <v>0.40085438966667197</v>
      </c>
      <c r="R7275" s="2">
        <f t="shared" si="455"/>
        <v>12.63219933314449</v>
      </c>
      <c r="S7275" s="2">
        <f t="shared" si="454"/>
        <v>1.3524214983375131</v>
      </c>
      <c r="T7275" s="2">
        <f t="shared" si="456"/>
        <v>1.6305086145375511</v>
      </c>
      <c r="U7275" s="2">
        <f t="shared" si="457"/>
        <v>15.615129446019553</v>
      </c>
    </row>
    <row r="7276" spans="1:21" x14ac:dyDescent="0.25">
      <c r="A7276">
        <v>8294713</v>
      </c>
      <c r="B7276">
        <v>5</v>
      </c>
      <c r="C7276" s="1">
        <f>1.91315486460527*(10.3/7.3)</f>
        <v>2.6993828911553841</v>
      </c>
      <c r="D7276" s="1">
        <f>2.4515043751206*(10.3/7.3)</f>
        <v>3.4589719265400278</v>
      </c>
      <c r="E7276" s="1">
        <f>8.60833749853375*(10.3/7.3)</f>
        <v>12.146010443136657</v>
      </c>
      <c r="F7276" s="1">
        <f>19.7644167930525*(38.9/42.5)</f>
        <v>18.09025442940569</v>
      </c>
      <c r="G7276" s="1">
        <v>0.85078450550378759</v>
      </c>
      <c r="H7276" s="1">
        <v>6.4171979004309776</v>
      </c>
      <c r="I7276" s="1">
        <v>14.995756560760423</v>
      </c>
      <c r="J7276" s="1">
        <v>1.7168002401705525E-2</v>
      </c>
      <c r="K7276" s="1">
        <v>1.4626847805490795</v>
      </c>
      <c r="L7276" s="1">
        <v>1.0545661480620754</v>
      </c>
      <c r="M7276" s="1">
        <v>7.427526398189517E-2</v>
      </c>
      <c r="N7276" s="1">
        <v>0.67373220300265035</v>
      </c>
      <c r="O7276" s="1">
        <v>6.9397333333333339E-2</v>
      </c>
      <c r="P7276" s="1">
        <v>4.862505387799522E-2</v>
      </c>
      <c r="Q7276" s="1">
        <v>1.3597012645037716</v>
      </c>
      <c r="R7276" s="2">
        <f t="shared" si="455"/>
        <v>60.018059921436716</v>
      </c>
      <c r="S7276" s="2">
        <f t="shared" si="454"/>
        <v>1.5284778368287804</v>
      </c>
      <c r="T7276" s="2">
        <f t="shared" si="456"/>
        <v>1.8719709483799543</v>
      </c>
      <c r="U7276" s="2">
        <f t="shared" si="457"/>
        <v>63.418508706645447</v>
      </c>
    </row>
    <row r="7277" spans="1:21" x14ac:dyDescent="0.25">
      <c r="A7277">
        <v>8306197</v>
      </c>
      <c r="B7277">
        <v>5</v>
      </c>
      <c r="C7277" s="1">
        <f>0.204825544545927*(10.3/7.3)</f>
        <v>0.28900042586617136</v>
      </c>
      <c r="D7277" s="1">
        <f>0.39731497315184*(10.3/7.3)</f>
        <v>0.56059509910465055</v>
      </c>
      <c r="E7277" s="1">
        <f>1.36069250070021*(10.3/7.3)</f>
        <v>1.919881199618102</v>
      </c>
      <c r="F7277" s="1">
        <f>3.81450460091477*(38.9/42.5)</f>
        <v>3.4913936229549294</v>
      </c>
      <c r="G7277" s="1">
        <v>0.20013939942572262</v>
      </c>
      <c r="H7277" s="1">
        <v>0.78824312150080245</v>
      </c>
      <c r="I7277" s="1">
        <v>2.7505270971912821</v>
      </c>
      <c r="J7277" s="1">
        <v>1.075737016530001E-2</v>
      </c>
      <c r="K7277" s="1">
        <v>1.1924109789678905</v>
      </c>
      <c r="L7277" s="1">
        <v>0.87599293127025069</v>
      </c>
      <c r="M7277" s="1">
        <v>0.10072082534043769</v>
      </c>
      <c r="N7277" s="1">
        <v>0.42218876132268141</v>
      </c>
      <c r="O7277" s="1">
        <v>0.10616533333333333</v>
      </c>
      <c r="P7277" s="1">
        <v>5.9246252669901391E-2</v>
      </c>
      <c r="Q7277" s="1">
        <v>0.31985748766668032</v>
      </c>
      <c r="R7277" s="2">
        <f t="shared" si="455"/>
        <v>10.319637453328342</v>
      </c>
      <c r="S7277" s="2">
        <f t="shared" si="454"/>
        <v>1.262414601803092</v>
      </c>
      <c r="T7277" s="2">
        <f t="shared" si="456"/>
        <v>1.5050678512667033</v>
      </c>
      <c r="U7277" s="2">
        <f t="shared" si="457"/>
        <v>13.087119906398138</v>
      </c>
    </row>
    <row r="7278" spans="1:21" x14ac:dyDescent="0.25">
      <c r="A7278">
        <v>8306205</v>
      </c>
      <c r="B7278">
        <v>65</v>
      </c>
      <c r="C7278" s="1">
        <f>0.333739734505961*(10.3/7.3)</f>
        <v>0.47089305005635534</v>
      </c>
      <c r="D7278" s="1">
        <f>0.726094368718044*(10.3/7.3)</f>
        <v>1.024489314766555</v>
      </c>
      <c r="E7278" s="1">
        <f>2.47273593083073*(10.3/7.3)</f>
        <v>3.4889287791173347</v>
      </c>
      <c r="F7278" s="1">
        <f>7.23806634145149*(38.9/42.5)</f>
        <v>6.6249595454697197</v>
      </c>
      <c r="G7278" s="1">
        <v>0.39245353119749282</v>
      </c>
      <c r="H7278" s="1">
        <v>1.4064079669248399</v>
      </c>
      <c r="I7278" s="1">
        <v>5.1783364555585738</v>
      </c>
      <c r="J7278" s="1">
        <v>1.2102139356049216E-2</v>
      </c>
      <c r="K7278" s="1">
        <v>1.3251003251095672</v>
      </c>
      <c r="L7278" s="1">
        <v>0.99349609692859375</v>
      </c>
      <c r="M7278" s="1">
        <v>0.11289289983112077</v>
      </c>
      <c r="N7278" s="1">
        <v>0.47096773289901989</v>
      </c>
      <c r="O7278" s="1">
        <v>0.1167442051282051</v>
      </c>
      <c r="P7278" s="1">
        <v>6.5306619086382842E-2</v>
      </c>
      <c r="Q7278" s="1">
        <v>0.62720883981334552</v>
      </c>
      <c r="R7278" s="2">
        <f t="shared" si="455"/>
        <v>19.213677482904217</v>
      </c>
      <c r="S7278" s="2">
        <f t="shared" si="454"/>
        <v>1.4025090835519993</v>
      </c>
      <c r="T7278" s="2">
        <f t="shared" si="456"/>
        <v>1.6941009347869393</v>
      </c>
      <c r="U7278" s="2">
        <f t="shared" si="457"/>
        <v>22.310287501243153</v>
      </c>
    </row>
    <row r="7279" spans="1:21" x14ac:dyDescent="0.25">
      <c r="A7279">
        <v>8306213</v>
      </c>
      <c r="B7279">
        <v>62</v>
      </c>
      <c r="C7279" s="1">
        <f>0.435715176445196*(10.3/7.3)</f>
        <v>0.61477620786102949</v>
      </c>
      <c r="D7279" s="1">
        <f>1.00052517036794*(10.3/7.3)</f>
        <v>1.4116998979164037</v>
      </c>
      <c r="E7279" s="1">
        <f>3.39949592579641*(10.3/7.3)</f>
        <v>4.7965490459867173</v>
      </c>
      <c r="F7279" s="1">
        <f>10.1097316886336*(38.9/42.5)</f>
        <v>9.253377945596398</v>
      </c>
      <c r="G7279" s="1">
        <v>0.55470273124567382</v>
      </c>
      <c r="H7279" s="1">
        <v>1.839316301954423</v>
      </c>
      <c r="I7279" s="1">
        <v>7.2050989192271757</v>
      </c>
      <c r="J7279" s="1">
        <v>1.5019435647606919E-2</v>
      </c>
      <c r="K7279" s="1">
        <v>1.5784071263757029</v>
      </c>
      <c r="L7279" s="1">
        <v>1.2483116468473994</v>
      </c>
      <c r="M7279" s="1">
        <v>0.13703745118350594</v>
      </c>
      <c r="N7279" s="1">
        <v>0.57335194671137157</v>
      </c>
      <c r="O7279" s="1">
        <v>0.145934623655914</v>
      </c>
      <c r="P7279" s="1">
        <v>7.6307271136158511E-2</v>
      </c>
      <c r="Q7279" s="1">
        <v>0.8865112143195707</v>
      </c>
      <c r="R7279" s="2">
        <f t="shared" si="455"/>
        <v>26.56203226410739</v>
      </c>
      <c r="S7279" s="2">
        <f t="shared" si="454"/>
        <v>1.6697338331594684</v>
      </c>
      <c r="T7279" s="2">
        <f t="shared" si="456"/>
        <v>2.1046356683981911</v>
      </c>
      <c r="U7279" s="2">
        <f t="shared" si="457"/>
        <v>30.336401765665052</v>
      </c>
    </row>
    <row r="7280" spans="1:21" x14ac:dyDescent="0.25">
      <c r="A7280">
        <v>8306221</v>
      </c>
      <c r="B7280">
        <v>21</v>
      </c>
      <c r="C7280" s="1">
        <f>0.23913440078049*(10.3/7.3)</f>
        <v>0.33740881206014339</v>
      </c>
      <c r="D7280" s="1">
        <f>0.496524757990537*(10.3/7.3)</f>
        <v>0.70057602839760724</v>
      </c>
      <c r="E7280" s="1">
        <f>1.69505986097891*(10.3/7.3)</f>
        <v>2.3916598038469536</v>
      </c>
      <c r="F7280" s="1">
        <f>4.85923334300708*(38.9/42.5)</f>
        <v>4.4476276951288369</v>
      </c>
      <c r="G7280" s="1">
        <v>0.25959653335471755</v>
      </c>
      <c r="H7280" s="1">
        <v>0.99484450590735041</v>
      </c>
      <c r="I7280" s="1">
        <v>3.4835469535749901</v>
      </c>
      <c r="J7280" s="1">
        <v>1.1334203407495582E-2</v>
      </c>
      <c r="K7280" s="1">
        <v>1.2352170131648228</v>
      </c>
      <c r="L7280" s="1">
        <v>0.911386593292008</v>
      </c>
      <c r="M7280" s="1">
        <v>0.10452804010701706</v>
      </c>
      <c r="N7280" s="1">
        <v>0.44043393570504169</v>
      </c>
      <c r="O7280" s="1">
        <v>0.10838603174603174</v>
      </c>
      <c r="P7280" s="1">
        <v>6.0898756469582004E-2</v>
      </c>
      <c r="Q7280" s="1">
        <v>0.41488030444817914</v>
      </c>
      <c r="R7280" s="2">
        <f t="shared" si="455"/>
        <v>13.030140636718778</v>
      </c>
      <c r="S7280" s="2">
        <f t="shared" si="454"/>
        <v>1.3074499730419005</v>
      </c>
      <c r="T7280" s="2">
        <f t="shared" si="456"/>
        <v>1.5647346008500984</v>
      </c>
      <c r="U7280" s="2">
        <f t="shared" si="457"/>
        <v>15.902325210610776</v>
      </c>
    </row>
    <row r="7281" spans="1:21" x14ac:dyDescent="0.25">
      <c r="A7281">
        <v>8306949</v>
      </c>
      <c r="B7281">
        <v>19</v>
      </c>
      <c r="C7281" s="1">
        <f>1.6255756024864*(10.3/7.3)</f>
        <v>2.2936203706314982</v>
      </c>
      <c r="D7281" s="1">
        <f>2.19053908453673*(10.3/7.3)</f>
        <v>3.090760626127171</v>
      </c>
      <c r="E7281" s="1">
        <f>7.67623997602152*(10.3/7.3)</f>
        <v>10.830859144249549</v>
      </c>
      <c r="F7281" s="1">
        <f>17.5784523153315*(38.9/42.5)</f>
        <v>16.089454001562203</v>
      </c>
      <c r="G7281" s="1">
        <v>0.76090748636385075</v>
      </c>
      <c r="H7281" s="1">
        <v>5.4286365691019132</v>
      </c>
      <c r="I7281" s="1">
        <v>13.140749540138083</v>
      </c>
      <c r="J7281" s="1">
        <v>1.5908440865352282E-2</v>
      </c>
      <c r="K7281" s="1">
        <v>1.3746332159710672</v>
      </c>
      <c r="L7281" s="1">
        <v>0.98355466671940883</v>
      </c>
      <c r="M7281" s="1">
        <v>7.0298180970547366E-2</v>
      </c>
      <c r="N7281" s="1">
        <v>0.6214713587682299</v>
      </c>
      <c r="O7281" s="1">
        <v>6.5723508771929826E-2</v>
      </c>
      <c r="P7281" s="1">
        <v>4.6288844079004431E-2</v>
      </c>
      <c r="Q7281" s="1">
        <v>1.216062192818941</v>
      </c>
      <c r="R7281" s="2">
        <f t="shared" si="455"/>
        <v>52.851049930993199</v>
      </c>
      <c r="S7281" s="2">
        <f t="shared" si="454"/>
        <v>1.4368305009154239</v>
      </c>
      <c r="T7281" s="2">
        <f t="shared" si="456"/>
        <v>1.741047715230116</v>
      </c>
      <c r="U7281" s="2">
        <f t="shared" si="457"/>
        <v>56.028928147138743</v>
      </c>
    </row>
    <row r="7282" spans="1:21" x14ac:dyDescent="0.25">
      <c r="A7282">
        <v>8318433</v>
      </c>
      <c r="B7282">
        <v>11</v>
      </c>
      <c r="C7282" s="1">
        <f>0.25785411569835*(10.3/7.3)</f>
        <v>0.36382156050589076</v>
      </c>
      <c r="D7282" s="1">
        <f>0.533172774802857*(10.3/7.3)</f>
        <v>0.75228487403690747</v>
      </c>
      <c r="E7282" s="1">
        <f>1.82026477466486*(10.3/7.3)</f>
        <v>2.5683187916504222</v>
      </c>
      <c r="F7282" s="1">
        <f>5.22408605380322*(38.9/42.5)</f>
        <v>4.781575235128126</v>
      </c>
      <c r="G7282" s="1">
        <v>0.27919119067858983</v>
      </c>
      <c r="H7282" s="1">
        <v>1.0392401350857841</v>
      </c>
      <c r="I7282" s="1">
        <v>3.748611004721937</v>
      </c>
      <c r="J7282" s="1">
        <v>1.1219030734085369E-2</v>
      </c>
      <c r="K7282" s="1">
        <v>1.2362899647334056</v>
      </c>
      <c r="L7282" s="1">
        <v>0.91687844956046372</v>
      </c>
      <c r="M7282" s="1">
        <v>0.10607906561756784</v>
      </c>
      <c r="N7282" s="1">
        <v>0.43862900664387877</v>
      </c>
      <c r="O7282" s="1">
        <v>0.10942545454545453</v>
      </c>
      <c r="P7282" s="1">
        <v>6.1484273046110059E-2</v>
      </c>
      <c r="Q7282" s="1">
        <v>0.44619596683792939</v>
      </c>
      <c r="R7282" s="2">
        <f t="shared" si="455"/>
        <v>13.979238758645588</v>
      </c>
      <c r="S7282" s="2">
        <f t="shared" si="454"/>
        <v>1.308993268513601</v>
      </c>
      <c r="T7282" s="2">
        <f t="shared" si="456"/>
        <v>1.5710119763673647</v>
      </c>
      <c r="U7282" s="2">
        <f t="shared" si="457"/>
        <v>16.859244003526555</v>
      </c>
    </row>
    <row r="7283" spans="1:21" x14ac:dyDescent="0.25">
      <c r="A7283">
        <v>8318441</v>
      </c>
      <c r="B7283">
        <v>57</v>
      </c>
      <c r="C7283" s="1">
        <f>0.333472260863745*(10.3/7.3)</f>
        <v>0.47051565573925735</v>
      </c>
      <c r="D7283" s="1">
        <f>0.728682321139984*(10.3/7.3)</f>
        <v>1.0281408092797031</v>
      </c>
      <c r="E7283" s="1">
        <f>2.48130183551353*(10.3/7.3)</f>
        <v>3.5010149186012862</v>
      </c>
      <c r="F7283" s="1">
        <f>7.26119649047167*(38.9/42.5)</f>
        <v>6.646130434808188</v>
      </c>
      <c r="G7283" s="1">
        <v>0.39375737468752364</v>
      </c>
      <c r="H7283" s="1">
        <v>1.4111697093262383</v>
      </c>
      <c r="I7283" s="1">
        <v>5.1911792257718758</v>
      </c>
      <c r="J7283" s="1">
        <v>1.2050847554842521E-2</v>
      </c>
      <c r="K7283" s="1">
        <v>1.3181882752458989</v>
      </c>
      <c r="L7283" s="1">
        <v>0.98802326380620564</v>
      </c>
      <c r="M7283" s="1">
        <v>0.11112649927058336</v>
      </c>
      <c r="N7283" s="1">
        <v>0.46858364740568853</v>
      </c>
      <c r="O7283" s="1">
        <v>0.11636116959064326</v>
      </c>
      <c r="P7283" s="1">
        <v>6.4763191051430982E-2</v>
      </c>
      <c r="Q7283" s="1">
        <v>0.62929260794809805</v>
      </c>
      <c r="R7283" s="2">
        <f t="shared" si="455"/>
        <v>19.271200736162172</v>
      </c>
      <c r="S7283" s="2">
        <f t="shared" si="454"/>
        <v>1.3950023138521723</v>
      </c>
      <c r="T7283" s="2">
        <f t="shared" si="456"/>
        <v>1.6840945800731209</v>
      </c>
      <c r="U7283" s="2">
        <f t="shared" si="457"/>
        <v>22.350297630087464</v>
      </c>
    </row>
    <row r="7284" spans="1:21" x14ac:dyDescent="0.25">
      <c r="A7284">
        <v>8318449</v>
      </c>
      <c r="B7284">
        <v>60</v>
      </c>
      <c r="C7284" s="1">
        <f>0.340755899997351*(10.3/7.3)</f>
        <v>0.48079257122913927</v>
      </c>
      <c r="D7284" s="1">
        <f>0.756562555145668*(10.3/7.3)</f>
        <v>1.0674786736986819</v>
      </c>
      <c r="E7284" s="1">
        <f>2.57481323416987*(10.3/7.3)</f>
        <v>3.6329556591711798</v>
      </c>
      <c r="F7284" s="1">
        <f>7.55304446086022*(38.9/42.5)</f>
        <v>6.913257165352058</v>
      </c>
      <c r="G7284" s="1">
        <v>0.41053369166650061</v>
      </c>
      <c r="H7284" s="1">
        <v>1.4673271448523486</v>
      </c>
      <c r="I7284" s="1">
        <v>5.3904113842003882</v>
      </c>
      <c r="J7284" s="1">
        <v>1.2310382740441937E-2</v>
      </c>
      <c r="K7284" s="1">
        <v>1.3364539327329441</v>
      </c>
      <c r="L7284" s="1">
        <v>1.0019913655615742</v>
      </c>
      <c r="M7284" s="1">
        <v>0.1127107928320875</v>
      </c>
      <c r="N7284" s="1">
        <v>0.47530310852568708</v>
      </c>
      <c r="O7284" s="1">
        <v>0.11768977777777777</v>
      </c>
      <c r="P7284" s="1">
        <v>6.5077042072630667E-2</v>
      </c>
      <c r="Q7284" s="1">
        <v>0.65610407343961319</v>
      </c>
      <c r="R7284" s="2">
        <f t="shared" si="455"/>
        <v>20.01886036360991</v>
      </c>
      <c r="S7284" s="2">
        <f t="shared" si="454"/>
        <v>1.4138413575460167</v>
      </c>
      <c r="T7284" s="2">
        <f t="shared" si="456"/>
        <v>1.7076950446971264</v>
      </c>
      <c r="U7284" s="2">
        <f t="shared" si="457"/>
        <v>23.140396765853051</v>
      </c>
    </row>
    <row r="7285" spans="1:21" x14ac:dyDescent="0.25">
      <c r="A7285">
        <v>8318457</v>
      </c>
      <c r="B7285">
        <v>10</v>
      </c>
      <c r="C7285" s="1">
        <f>0.257495653072263*(10.3/7.3)</f>
        <v>0.36331578447182328</v>
      </c>
      <c r="D7285" s="1">
        <f>0.549039309401906*(10.3/7.3)</f>
        <v>0.77467190230679883</v>
      </c>
      <c r="E7285" s="1">
        <f>1.87201153853956*(10.3/7.3)</f>
        <v>2.6413313488982779</v>
      </c>
      <c r="F7285" s="1">
        <f>5.41612007261851*(38.9/42.5)</f>
        <v>4.9573428429378863</v>
      </c>
      <c r="G7285" s="1">
        <v>0.29138409023782391</v>
      </c>
      <c r="H7285" s="1">
        <v>1.0828685548376957</v>
      </c>
      <c r="I7285" s="1">
        <v>3.8755005323423708</v>
      </c>
      <c r="J7285" s="1">
        <v>1.2986749419342542E-2</v>
      </c>
      <c r="K7285" s="1">
        <v>1.332632071758991</v>
      </c>
      <c r="L7285" s="1">
        <v>1.0039189245809965</v>
      </c>
      <c r="M7285" s="1">
        <v>0.11477049312984525</v>
      </c>
      <c r="N7285" s="1">
        <v>0.47682913627424445</v>
      </c>
      <c r="O7285" s="1">
        <v>0.11879466666666665</v>
      </c>
      <c r="P7285" s="1">
        <v>6.5094802874980484E-2</v>
      </c>
      <c r="Q7285" s="1">
        <v>0.46568233599652276</v>
      </c>
      <c r="R7285" s="2">
        <f t="shared" si="455"/>
        <v>14.452097392029199</v>
      </c>
      <c r="S7285" s="2">
        <f t="shared" si="454"/>
        <v>1.410713624053314</v>
      </c>
      <c r="T7285" s="2">
        <f t="shared" si="456"/>
        <v>1.7143132206517528</v>
      </c>
      <c r="U7285" s="2">
        <f t="shared" si="457"/>
        <v>17.577124236734264</v>
      </c>
    </row>
    <row r="7286" spans="1:21" x14ac:dyDescent="0.25">
      <c r="A7286">
        <v>832729</v>
      </c>
      <c r="B7286">
        <v>28</v>
      </c>
      <c r="C7286" s="1">
        <f>2.13707736330889*(10.3/7.3)</f>
        <v>3.0153283345317266</v>
      </c>
      <c r="D7286" s="1">
        <f>3.83286631823006*(10.3/7.3)</f>
        <v>5.4080168599684475</v>
      </c>
      <c r="E7286" s="1">
        <f>13.4637105594385*(10.3/7.3)</f>
        <v>18.996742296194085</v>
      </c>
      <c r="F7286" s="1">
        <f>22.0741696269796*(38.9/42.5)</f>
        <v>20.2043576115178</v>
      </c>
      <c r="G7286" s="1">
        <v>0.65018818290771041</v>
      </c>
      <c r="H7286" s="1">
        <v>2.5861483170947861</v>
      </c>
      <c r="I7286" s="1">
        <v>13.599074144174271</v>
      </c>
      <c r="J7286" s="1">
        <v>4.4950985174058121E-2</v>
      </c>
      <c r="K7286" s="1">
        <v>6.1387705693703287</v>
      </c>
      <c r="L7286" s="1">
        <v>2.6587502408724517</v>
      </c>
      <c r="M7286" s="1">
        <v>0.37061711119107071</v>
      </c>
      <c r="N7286" s="1">
        <v>1.3738603425800668</v>
      </c>
      <c r="O7286" s="1">
        <v>8.0373333333333324E-2</v>
      </c>
      <c r="P7286" s="1">
        <v>6.6982513956041295E-2</v>
      </c>
      <c r="Q7286" s="1">
        <v>1.0391135343273921</v>
      </c>
      <c r="R7286" s="2">
        <f t="shared" si="455"/>
        <v>65.498969280716224</v>
      </c>
      <c r="S7286" s="2">
        <f t="shared" si="454"/>
        <v>6.2507040685004283</v>
      </c>
      <c r="T7286" s="2">
        <f t="shared" si="456"/>
        <v>4.4836010279769223</v>
      </c>
      <c r="U7286" s="2">
        <f t="shared" si="457"/>
        <v>76.233274377193567</v>
      </c>
    </row>
    <row r="7287" spans="1:21" x14ac:dyDescent="0.25">
      <c r="A7287">
        <v>832777</v>
      </c>
      <c r="B7287">
        <v>3</v>
      </c>
      <c r="C7287" s="1">
        <f>1.47633496373476*(10.3/7.3)</f>
        <v>2.0830479625298657</v>
      </c>
      <c r="D7287" s="1">
        <f>1.8501577132674*(10.3/7.3)</f>
        <v>2.6104964995416804</v>
      </c>
      <c r="E7287" s="1">
        <f>6.51903536858279*(10.3/7.3)</f>
        <v>9.1980909995072224</v>
      </c>
      <c r="F7287" s="1">
        <f>14.1622340406454*(38.9/42.5)</f>
        <v>12.962609510143629</v>
      </c>
      <c r="G7287" s="1">
        <v>0.57427828944074444</v>
      </c>
      <c r="H7287" s="1">
        <v>2.0509459439941757</v>
      </c>
      <c r="I7287" s="1">
        <v>10.708220334296078</v>
      </c>
      <c r="J7287" s="1">
        <v>5.0004741877566088E-2</v>
      </c>
      <c r="K7287" s="1">
        <v>4.2223370260175717</v>
      </c>
      <c r="L7287" s="1">
        <v>1.4108653308730232</v>
      </c>
      <c r="M7287" s="1">
        <v>9.9928777157041682E-2</v>
      </c>
      <c r="N7287" s="1">
        <v>1.8209307561248715</v>
      </c>
      <c r="O7287" s="1">
        <v>6.6115555555555566E-2</v>
      </c>
      <c r="P7287" s="1">
        <v>5.8514390715237757E-2</v>
      </c>
      <c r="Q7287" s="1">
        <v>0.91779635298749207</v>
      </c>
      <c r="R7287" s="2">
        <f t="shared" si="455"/>
        <v>41.105485892440889</v>
      </c>
      <c r="S7287" s="2">
        <f t="shared" si="454"/>
        <v>4.3308561586103753</v>
      </c>
      <c r="T7287" s="2">
        <f t="shared" si="456"/>
        <v>3.3978404197104921</v>
      </c>
      <c r="U7287" s="2">
        <f t="shared" si="457"/>
        <v>48.834182470761753</v>
      </c>
    </row>
    <row r="7288" spans="1:21" x14ac:dyDescent="0.25">
      <c r="A7288">
        <v>832785</v>
      </c>
      <c r="B7288">
        <v>14</v>
      </c>
      <c r="C7288" s="1">
        <f>1.77308132604969*(10.3/7.3)</f>
        <v>2.5017448847002441</v>
      </c>
      <c r="D7288" s="1">
        <f>2.17901372300915*(10.3/7.3)</f>
        <v>3.0744988146567396</v>
      </c>
      <c r="E7288" s="1">
        <f>7.694681928875*(10.3/7.3)</f>
        <v>10.856879981837325</v>
      </c>
      <c r="F7288" s="1">
        <f>16.2047958611809*(38.9/42.5)</f>
        <v>14.832154329410239</v>
      </c>
      <c r="G7288" s="1">
        <v>0.63238105465680639</v>
      </c>
      <c r="H7288" s="1">
        <v>3.5825372027812068</v>
      </c>
      <c r="I7288" s="1">
        <v>12.258646942628483</v>
      </c>
      <c r="J7288" s="1">
        <v>4.4838540274491835E-2</v>
      </c>
      <c r="K7288" s="1">
        <v>4.5770137212672264</v>
      </c>
      <c r="L7288" s="1">
        <v>1.5355892959171631</v>
      </c>
      <c r="M7288" s="1">
        <v>0.10026316228651541</v>
      </c>
      <c r="N7288" s="1">
        <v>1.6953062422076519</v>
      </c>
      <c r="O7288" s="1">
        <v>7.1371428571428572E-2</v>
      </c>
      <c r="P7288" s="1">
        <v>6.2194335248874931E-2</v>
      </c>
      <c r="Q7288" s="1">
        <v>1.010654653561107</v>
      </c>
      <c r="R7288" s="2">
        <f t="shared" si="455"/>
        <v>48.749497864232147</v>
      </c>
      <c r="S7288" s="2">
        <f t="shared" si="454"/>
        <v>4.6840465967905933</v>
      </c>
      <c r="T7288" s="2">
        <f t="shared" si="456"/>
        <v>3.4025301289827588</v>
      </c>
      <c r="U7288" s="2">
        <f t="shared" si="457"/>
        <v>56.836074590005502</v>
      </c>
    </row>
    <row r="7289" spans="1:21" x14ac:dyDescent="0.25">
      <c r="A7289">
        <v>832817</v>
      </c>
      <c r="B7289">
        <v>40</v>
      </c>
      <c r="C7289" s="1">
        <f>1.61575037249536*(10.3/7.3)</f>
        <v>2.2797573748907118</v>
      </c>
      <c r="D7289" s="1">
        <f>2.16812979357072*(10.3/7.3)</f>
        <v>3.0591420375038862</v>
      </c>
      <c r="E7289" s="1">
        <f>7.58521614547748*(10.3/7.3)</f>
        <v>10.702428260057266</v>
      </c>
      <c r="F7289" s="1">
        <f>18.0727897284753*(38.9/42.5)</f>
        <v>16.541918127945653</v>
      </c>
      <c r="G7289" s="1">
        <v>0.81044697241879382</v>
      </c>
      <c r="H7289" s="1">
        <v>1.5045850071040312</v>
      </c>
      <c r="I7289" s="1">
        <v>13.629779368853018</v>
      </c>
      <c r="J7289" s="1">
        <v>4.450484260758486E-2</v>
      </c>
      <c r="K7289" s="1">
        <v>3.810304275327534</v>
      </c>
      <c r="L7289" s="1">
        <v>1.399443075417526</v>
      </c>
      <c r="M7289" s="1">
        <v>7.9356729689446598E-2</v>
      </c>
      <c r="N7289" s="1">
        <v>1.225727906358113</v>
      </c>
      <c r="O7289" s="1">
        <v>6.8861333333333344E-2</v>
      </c>
      <c r="P7289" s="1">
        <v>5.9473249298924211E-2</v>
      </c>
      <c r="Q7289" s="1">
        <v>1.2952348874272974</v>
      </c>
      <c r="R7289" s="2">
        <f t="shared" si="455"/>
        <v>49.823292036200669</v>
      </c>
      <c r="S7289" s="2">
        <f t="shared" si="454"/>
        <v>3.9142823672340432</v>
      </c>
      <c r="T7289" s="2">
        <f t="shared" si="456"/>
        <v>2.7733890447984191</v>
      </c>
      <c r="U7289" s="2">
        <f t="shared" si="457"/>
        <v>56.510963448233134</v>
      </c>
    </row>
    <row r="7290" spans="1:21" x14ac:dyDescent="0.25">
      <c r="A7290">
        <v>832825</v>
      </c>
      <c r="B7290">
        <v>42</v>
      </c>
      <c r="C7290" s="1">
        <f>1.59495005704408*(10.3/7.3)</f>
        <v>2.2504089845964357</v>
      </c>
      <c r="D7290" s="1">
        <f>2.00709750295855*(10.3/7.3)</f>
        <v>2.8319320932154901</v>
      </c>
      <c r="E7290" s="1">
        <f>7.0991608049167*(10.3/7.3)</f>
        <v>10.016624149403009</v>
      </c>
      <c r="F7290" s="1">
        <f>13.981068271013*(38.9/42.5)</f>
        <v>12.796789546880159</v>
      </c>
      <c r="G7290" s="1">
        <v>0.5047639408523581</v>
      </c>
      <c r="H7290" s="1">
        <v>1.7016649822563925</v>
      </c>
      <c r="I7290" s="1">
        <v>10.354194257082847</v>
      </c>
      <c r="J7290" s="1">
        <v>3.681605637084432E-2</v>
      </c>
      <c r="K7290" s="1">
        <v>3.6144136588922104</v>
      </c>
      <c r="L7290" s="1">
        <v>1.3724090688860457</v>
      </c>
      <c r="M7290" s="1">
        <v>7.6322076440625941E-2</v>
      </c>
      <c r="N7290" s="1">
        <v>1.0802840894562731</v>
      </c>
      <c r="O7290" s="1">
        <v>6.803174603174604E-2</v>
      </c>
      <c r="P7290" s="1">
        <v>5.8757547055430868E-2</v>
      </c>
      <c r="Q7290" s="1">
        <v>0.8067003620928106</v>
      </c>
      <c r="R7290" s="2">
        <f t="shared" si="455"/>
        <v>41.263078316379506</v>
      </c>
      <c r="S7290" s="2">
        <f t="shared" si="454"/>
        <v>3.7099872623184855</v>
      </c>
      <c r="T7290" s="2">
        <f t="shared" si="456"/>
        <v>2.5970469808146905</v>
      </c>
      <c r="U7290" s="2">
        <f t="shared" si="457"/>
        <v>47.57011255951268</v>
      </c>
    </row>
    <row r="7291" spans="1:21" x14ac:dyDescent="0.25">
      <c r="A7291">
        <v>8330669</v>
      </c>
      <c r="B7291">
        <v>20</v>
      </c>
      <c r="C7291" s="1">
        <f>0.244268382169665*(10.3/7.3)</f>
        <v>0.3446526488147324</v>
      </c>
      <c r="D7291" s="1">
        <f>0.50003894355832*(10.3/7.3)</f>
        <v>0.70553439981516408</v>
      </c>
      <c r="E7291" s="1">
        <f>1.70805918519416*(10.3/7.3)</f>
        <v>2.4100013160958715</v>
      </c>
      <c r="F7291" s="1">
        <f>4.87966728568403*(38.9/42.5)</f>
        <v>4.4663307626613822</v>
      </c>
      <c r="G7291" s="1">
        <v>0.25991662992882825</v>
      </c>
      <c r="H7291" s="1">
        <v>0.98095388550191509</v>
      </c>
      <c r="I7291" s="1">
        <v>3.5031768340666551</v>
      </c>
      <c r="J7291" s="1">
        <v>1.1018751516744665E-2</v>
      </c>
      <c r="K7291" s="1">
        <v>1.2200296128968238</v>
      </c>
      <c r="L7291" s="1">
        <v>0.89886287767011641</v>
      </c>
      <c r="M7291" s="1">
        <v>0.10348235617325111</v>
      </c>
      <c r="N7291" s="1">
        <v>0.43072644242899216</v>
      </c>
      <c r="O7291" s="1">
        <v>0.10741333333333333</v>
      </c>
      <c r="P7291" s="1">
        <v>6.0501020736887325E-2</v>
      </c>
      <c r="Q7291" s="1">
        <v>0.41539187431547908</v>
      </c>
      <c r="R7291" s="2">
        <f t="shared" si="455"/>
        <v>13.085958351200027</v>
      </c>
      <c r="S7291" s="2">
        <f t="shared" si="454"/>
        <v>1.2915493851504556</v>
      </c>
      <c r="T7291" s="2">
        <f t="shared" si="456"/>
        <v>1.5404850096056932</v>
      </c>
      <c r="U7291" s="2">
        <f t="shared" si="457"/>
        <v>15.917992745956175</v>
      </c>
    </row>
    <row r="7292" spans="1:21" x14ac:dyDescent="0.25">
      <c r="A7292">
        <v>8330677</v>
      </c>
      <c r="B7292">
        <v>60</v>
      </c>
      <c r="C7292" s="1">
        <f>0.336746429142604*(10.3/7.3)</f>
        <v>0.47513537262586569</v>
      </c>
      <c r="D7292" s="1">
        <f>0.740604691156276*(10.3/7.3)</f>
        <v>1.0449627834122803</v>
      </c>
      <c r="E7292" s="1">
        <f>2.52145956880472*(10.3/7.3)</f>
        <v>3.557675829957339</v>
      </c>
      <c r="F7292" s="1">
        <f>7.37938108736289*(38.9/42.5)</f>
        <v>6.7543041011392075</v>
      </c>
      <c r="G7292" s="1">
        <v>0.40034782526351614</v>
      </c>
      <c r="H7292" s="1">
        <v>1.4304163881543266</v>
      </c>
      <c r="I7292" s="1">
        <v>5.2707543365631055</v>
      </c>
      <c r="J7292" s="1">
        <v>1.213867442839983E-2</v>
      </c>
      <c r="K7292" s="1">
        <v>1.3237023300268191</v>
      </c>
      <c r="L7292" s="1">
        <v>0.99390285904662468</v>
      </c>
      <c r="M7292" s="1">
        <v>0.11283301597738113</v>
      </c>
      <c r="N7292" s="1">
        <v>0.47068206807848351</v>
      </c>
      <c r="O7292" s="1">
        <v>0.1167671111111111</v>
      </c>
      <c r="P7292" s="1">
        <v>6.4809433467192132E-2</v>
      </c>
      <c r="Q7292" s="1">
        <v>0.63982529151703538</v>
      </c>
      <c r="R7292" s="2">
        <f t="shared" si="455"/>
        <v>19.573421928632676</v>
      </c>
      <c r="S7292" s="2">
        <f t="shared" si="454"/>
        <v>1.400650437922411</v>
      </c>
      <c r="T7292" s="2">
        <f t="shared" si="456"/>
        <v>1.6941850542136003</v>
      </c>
      <c r="U7292" s="2">
        <f t="shared" si="457"/>
        <v>22.66825742076869</v>
      </c>
    </row>
    <row r="7293" spans="1:21" x14ac:dyDescent="0.25">
      <c r="A7293">
        <v>8330685</v>
      </c>
      <c r="B7293">
        <v>29</v>
      </c>
      <c r="C7293" s="1">
        <f>0.392454771663862*(10.3/7.3)</f>
        <v>0.55373755453942164</v>
      </c>
      <c r="D7293" s="1">
        <f>0.896077083083266*(10.3/7.3)</f>
        <v>1.2643279391448827</v>
      </c>
      <c r="E7293" s="1">
        <f>3.04583168404274*(10.3/7.3)</f>
        <v>4.2975433350192063</v>
      </c>
      <c r="F7293" s="1">
        <f>9.01759040362305*(38.9/42.5)</f>
        <v>8.2537474517867437</v>
      </c>
      <c r="G7293" s="1">
        <v>0.49343093472749661</v>
      </c>
      <c r="H7293" s="1">
        <v>1.6790912624263106</v>
      </c>
      <c r="I7293" s="1">
        <v>6.4246589046700322</v>
      </c>
      <c r="J7293" s="1">
        <v>1.4387387084389042E-2</v>
      </c>
      <c r="K7293" s="1">
        <v>1.50326237602877</v>
      </c>
      <c r="L7293" s="1">
        <v>1.1709244609848193</v>
      </c>
      <c r="M7293" s="1">
        <v>0.12851062243456868</v>
      </c>
      <c r="N7293" s="1">
        <v>0.5429582571707523</v>
      </c>
      <c r="O7293" s="1">
        <v>0.13630712643678161</v>
      </c>
      <c r="P7293" s="1">
        <v>7.2840567371206977E-2</v>
      </c>
      <c r="Q7293" s="1">
        <v>0.78858825184759807</v>
      </c>
      <c r="R7293" s="2">
        <f t="shared" si="455"/>
        <v>23.755125634161693</v>
      </c>
      <c r="S7293" s="2">
        <f t="shared" si="454"/>
        <v>1.5904903304843661</v>
      </c>
      <c r="T7293" s="2">
        <f t="shared" si="456"/>
        <v>1.9787004670269219</v>
      </c>
      <c r="U7293" s="2">
        <f t="shared" si="457"/>
        <v>27.32431643167298</v>
      </c>
    </row>
    <row r="7294" spans="1:21" x14ac:dyDescent="0.25">
      <c r="A7294">
        <v>8331413</v>
      </c>
      <c r="B7294">
        <v>21</v>
      </c>
      <c r="C7294" s="1">
        <f>1.47864884946929*(10.3/7.3)</f>
        <v>2.0863127602100899</v>
      </c>
      <c r="D7294" s="1">
        <f>2.13864294283923*(10.3/7.3)</f>
        <v>3.0175373029101489</v>
      </c>
      <c r="E7294" s="1">
        <f>7.47031846485164*(10.3/7.3)</f>
        <v>10.540312354516702</v>
      </c>
      <c r="F7294" s="1">
        <f>17.237404704421*(38.9/42.5)</f>
        <v>15.777295129458267</v>
      </c>
      <c r="G7294" s="1">
        <v>0.75936206273935891</v>
      </c>
      <c r="H7294" s="1">
        <v>5.6731763463793543</v>
      </c>
      <c r="I7294" s="1">
        <v>12.658932333068357</v>
      </c>
      <c r="J7294" s="1">
        <v>1.5968186025021588E-2</v>
      </c>
      <c r="K7294" s="1">
        <v>1.3974393270116763</v>
      </c>
      <c r="L7294" s="1">
        <v>1.0060386233102288</v>
      </c>
      <c r="M7294" s="1">
        <v>7.1291437862066098E-2</v>
      </c>
      <c r="N7294" s="1">
        <v>0.62315607504675286</v>
      </c>
      <c r="O7294" s="1">
        <v>6.6862222222222226E-2</v>
      </c>
      <c r="P7294" s="1">
        <v>4.6892738842436887E-2</v>
      </c>
      <c r="Q7294" s="1">
        <v>1.2135923377113054</v>
      </c>
      <c r="R7294" s="2">
        <f t="shared" si="455"/>
        <v>51.726520626993583</v>
      </c>
      <c r="S7294" s="2">
        <f t="shared" si="454"/>
        <v>1.4603002518791348</v>
      </c>
      <c r="T7294" s="2">
        <f t="shared" si="456"/>
        <v>1.7673483584412699</v>
      </c>
      <c r="U7294" s="2">
        <f t="shared" si="457"/>
        <v>54.954169237313984</v>
      </c>
    </row>
    <row r="7295" spans="1:21" x14ac:dyDescent="0.25">
      <c r="A7295">
        <v>8342905</v>
      </c>
      <c r="B7295">
        <v>21</v>
      </c>
      <c r="C7295" s="1">
        <f>0.242847997721642*(10.3/7.3)</f>
        <v>0.3426485447305358</v>
      </c>
      <c r="D7295" s="1">
        <f>0.498303689513325*(10.3/7.3)</f>
        <v>0.70308602766948569</v>
      </c>
      <c r="E7295" s="1">
        <f>1.70196846623253*(10.3/7.3)</f>
        <v>2.4014075619445321</v>
      </c>
      <c r="F7295" s="1">
        <f>4.86488814497849*(38.9/42.5)</f>
        <v>4.4528035021097212</v>
      </c>
      <c r="G7295" s="1">
        <v>0.25925267861509033</v>
      </c>
      <c r="H7295" s="1">
        <v>0.98165289530352462</v>
      </c>
      <c r="I7295" s="1">
        <v>3.491704346308826</v>
      </c>
      <c r="J7295" s="1">
        <v>1.1155180620405318E-2</v>
      </c>
      <c r="K7295" s="1">
        <v>1.2316098751171929</v>
      </c>
      <c r="L7295" s="1">
        <v>0.91038483957930727</v>
      </c>
      <c r="M7295" s="1">
        <v>0.10391042522036044</v>
      </c>
      <c r="N7295" s="1">
        <v>0.43622793227353962</v>
      </c>
      <c r="O7295" s="1">
        <v>0.10886349206349206</v>
      </c>
      <c r="P7295" s="1">
        <v>6.0874825423341751E-2</v>
      </c>
      <c r="Q7295" s="1">
        <v>0.41433076490996212</v>
      </c>
      <c r="R7295" s="2">
        <f t="shared" si="455"/>
        <v>13.046886321591677</v>
      </c>
      <c r="S7295" s="2">
        <f t="shared" si="454"/>
        <v>1.30363988116094</v>
      </c>
      <c r="T7295" s="2">
        <f t="shared" si="456"/>
        <v>1.5593866891366994</v>
      </c>
      <c r="U7295" s="2">
        <f t="shared" si="457"/>
        <v>15.909912891889316</v>
      </c>
    </row>
    <row r="7296" spans="1:21" x14ac:dyDescent="0.25">
      <c r="A7296">
        <v>8342913</v>
      </c>
      <c r="B7296">
        <v>66</v>
      </c>
      <c r="C7296" s="1">
        <f>0.336804000412854*(10.3/7.3)</f>
        <v>0.47521660332224613</v>
      </c>
      <c r="D7296" s="1">
        <f>0.745338145502848*(10.3/7.3)</f>
        <v>1.0516414929697724</v>
      </c>
      <c r="E7296" s="1">
        <f>2.53712439387043*(10.3/7.3)</f>
        <v>3.5797782543651242</v>
      </c>
      <c r="F7296" s="1">
        <f>7.42731106850474*(38.9/42.5)</f>
        <v>6.7981741309372818</v>
      </c>
      <c r="G7296" s="1">
        <v>0.40316561801062611</v>
      </c>
      <c r="H7296" s="1">
        <v>1.4403811676779341</v>
      </c>
      <c r="I7296" s="1">
        <v>5.3005235956830106</v>
      </c>
      <c r="J7296" s="1">
        <v>1.2199467965866885E-2</v>
      </c>
      <c r="K7296" s="1">
        <v>1.3261437342877731</v>
      </c>
      <c r="L7296" s="1">
        <v>0.99297661432235329</v>
      </c>
      <c r="M7296" s="1">
        <v>0.11207768996531611</v>
      </c>
      <c r="N7296" s="1">
        <v>0.46979084438513913</v>
      </c>
      <c r="O7296" s="1">
        <v>0.11656888888888893</v>
      </c>
      <c r="P7296" s="1">
        <v>6.4440475500466804E-2</v>
      </c>
      <c r="Q7296" s="1">
        <v>0.64432861325899216</v>
      </c>
      <c r="R7296" s="2">
        <f t="shared" si="455"/>
        <v>19.693209476224986</v>
      </c>
      <c r="S7296" s="2">
        <f t="shared" si="454"/>
        <v>1.4027836777541067</v>
      </c>
      <c r="T7296" s="2">
        <f t="shared" si="456"/>
        <v>1.6914140375616975</v>
      </c>
      <c r="U7296" s="2">
        <f t="shared" si="457"/>
        <v>22.78740719154079</v>
      </c>
    </row>
    <row r="7297" spans="1:21" x14ac:dyDescent="0.25">
      <c r="A7297">
        <v>8342921</v>
      </c>
      <c r="B7297">
        <v>36</v>
      </c>
      <c r="C7297" s="1">
        <f>0.445411940235294*(10.3/7.3)</f>
        <v>0.62845794307171643</v>
      </c>
      <c r="D7297" s="1">
        <f>1.04229444466269*(10.3/7.3)</f>
        <v>1.4706346274007869</v>
      </c>
      <c r="E7297" s="1">
        <f>3.53912803285066*(10.3/7.3)</f>
        <v>4.9935642107344993</v>
      </c>
      <c r="F7297" s="1">
        <f>10.5572141391115*(38.9/42.5)</f>
        <v>9.6629560002691512</v>
      </c>
      <c r="G7297" s="1">
        <v>0.58082924167440542</v>
      </c>
      <c r="H7297" s="1">
        <v>1.8702737709965997</v>
      </c>
      <c r="I7297" s="1">
        <v>7.5101549622303798</v>
      </c>
      <c r="J7297" s="1">
        <v>1.8204758519719214E-2</v>
      </c>
      <c r="K7297" s="1">
        <v>1.5882259248255781</v>
      </c>
      <c r="L7297" s="1">
        <v>1.2610664910058134</v>
      </c>
      <c r="M7297" s="1">
        <v>0.13831243864142598</v>
      </c>
      <c r="N7297" s="1">
        <v>0.57477812980498211</v>
      </c>
      <c r="O7297" s="1">
        <v>0.14692296296296295</v>
      </c>
      <c r="P7297" s="1">
        <v>7.6256214557509597E-2</v>
      </c>
      <c r="Q7297" s="1">
        <v>0.9282659113517906</v>
      </c>
      <c r="R7297" s="2">
        <f t="shared" si="455"/>
        <v>27.645136667729329</v>
      </c>
      <c r="S7297" s="2">
        <f t="shared" si="454"/>
        <v>1.6826868979028069</v>
      </c>
      <c r="T7297" s="2">
        <f t="shared" si="456"/>
        <v>2.1210800224151845</v>
      </c>
      <c r="U7297" s="2">
        <f t="shared" si="457"/>
        <v>31.448903588047322</v>
      </c>
    </row>
    <row r="7298" spans="1:21" x14ac:dyDescent="0.25">
      <c r="A7298">
        <v>8343649</v>
      </c>
      <c r="B7298">
        <v>5</v>
      </c>
      <c r="C7298" s="1">
        <f>1.38398437013998*(10.3/7.3)</f>
        <v>1.9527450701975115</v>
      </c>
      <c r="D7298" s="1">
        <f>2.06036667303258*(10.3/7.3)</f>
        <v>2.9070927030459743</v>
      </c>
      <c r="E7298" s="1">
        <f>7.18796436562273*(10.3/7.3)</f>
        <v>10.141922324097829</v>
      </c>
      <c r="F7298" s="1">
        <f>16.6315267289177*(38.9/42.5)</f>
        <v>15.222738582468173</v>
      </c>
      <c r="G7298" s="1">
        <v>0.73745958877451412</v>
      </c>
      <c r="H7298" s="1">
        <v>4.2841782884263342</v>
      </c>
      <c r="I7298" s="1">
        <v>12.128977907685636</v>
      </c>
      <c r="J7298" s="1">
        <v>1.5306084593038102E-2</v>
      </c>
      <c r="K7298" s="1">
        <v>1.34595789694349</v>
      </c>
      <c r="L7298" s="1">
        <v>0.97096588307362519</v>
      </c>
      <c r="M7298" s="1">
        <v>7.0574011639636614E-2</v>
      </c>
      <c r="N7298" s="1">
        <v>0.59499430442896084</v>
      </c>
      <c r="O7298" s="1">
        <v>6.5088000000000007E-2</v>
      </c>
      <c r="P7298" s="1">
        <v>4.5904973319731139E-2</v>
      </c>
      <c r="Q7298" s="1">
        <v>1.1785883838862112</v>
      </c>
      <c r="R7298" s="2">
        <f t="shared" si="455"/>
        <v>48.553702848582176</v>
      </c>
      <c r="S7298" s="2">
        <f t="shared" si="454"/>
        <v>1.4071689548562594</v>
      </c>
      <c r="T7298" s="2">
        <f t="shared" si="456"/>
        <v>1.7016221991422229</v>
      </c>
      <c r="U7298" s="2">
        <f t="shared" si="457"/>
        <v>51.662494002580658</v>
      </c>
    </row>
    <row r="7299" spans="1:21" x14ac:dyDescent="0.25">
      <c r="A7299">
        <v>8355141</v>
      </c>
      <c r="B7299">
        <v>23</v>
      </c>
      <c r="C7299" s="1">
        <f>0.281838209279511*(10.3/7.3)</f>
        <v>0.39766213090122854</v>
      </c>
      <c r="D7299" s="1">
        <f>0.600477344959051*(10.3/7.3)</f>
        <v>0.8472488565860582</v>
      </c>
      <c r="E7299" s="1">
        <f>2.04748026467148*(10.3/7.3)</f>
        <v>2.8889105104268813</v>
      </c>
      <c r="F7299" s="1">
        <f>5.92162357070572*(38.9/42.5)</f>
        <v>5.4200272211871141</v>
      </c>
      <c r="G7299" s="1">
        <v>0.3184980349890259</v>
      </c>
      <c r="H7299" s="1">
        <v>1.167004896383725</v>
      </c>
      <c r="I7299" s="1">
        <v>4.2373350963516447</v>
      </c>
      <c r="J7299" s="1">
        <v>1.136625145574886E-2</v>
      </c>
      <c r="K7299" s="1">
        <v>1.2477192582144614</v>
      </c>
      <c r="L7299" s="1">
        <v>0.92526665501198468</v>
      </c>
      <c r="M7299" s="1">
        <v>0.10669518039960631</v>
      </c>
      <c r="N7299" s="1">
        <v>0.44049185955684556</v>
      </c>
      <c r="O7299" s="1">
        <v>0.11016347826086954</v>
      </c>
      <c r="P7299" s="1">
        <v>6.1376545073076064E-2</v>
      </c>
      <c r="Q7299" s="1">
        <v>0.50901512441168584</v>
      </c>
      <c r="R7299" s="2">
        <f t="shared" si="455"/>
        <v>15.785701871237364</v>
      </c>
      <c r="S7299" s="2">
        <f t="shared" si="454"/>
        <v>1.3204620547432864</v>
      </c>
      <c r="T7299" s="2">
        <f t="shared" si="456"/>
        <v>1.582617173229306</v>
      </c>
      <c r="U7299" s="2">
        <f t="shared" si="457"/>
        <v>18.688781099209958</v>
      </c>
    </row>
    <row r="7300" spans="1:21" x14ac:dyDescent="0.25">
      <c r="A7300">
        <v>8355149</v>
      </c>
      <c r="B7300">
        <v>34</v>
      </c>
      <c r="C7300" s="1">
        <f>0.469820329471643*(10.3/7.3)</f>
        <v>0.66289717719971508</v>
      </c>
      <c r="D7300" s="1">
        <f>1.0994247655417*(10.3/7.3)</f>
        <v>1.5512431623396605</v>
      </c>
      <c r="E7300" s="1">
        <f>3.73320761615689*(10.3/7.3)</f>
        <v>5.2674025269062907</v>
      </c>
      <c r="F7300" s="1">
        <f>11.1313308137412*(38.9/42.5)</f>
        <v>10.188441615400778</v>
      </c>
      <c r="G7300" s="1">
        <v>0.61227542532646495</v>
      </c>
      <c r="H7300" s="1">
        <v>1.9321363893511436</v>
      </c>
      <c r="I7300" s="1">
        <v>7.9176866503281573</v>
      </c>
      <c r="J7300" s="1">
        <v>1.6328347258218315E-2</v>
      </c>
      <c r="K7300" s="1">
        <v>1.6652615439161791</v>
      </c>
      <c r="L7300" s="1">
        <v>1.3415271866362419</v>
      </c>
      <c r="M7300" s="1">
        <v>0.14341228356908162</v>
      </c>
      <c r="N7300" s="1">
        <v>0.60657890248691315</v>
      </c>
      <c r="O7300" s="1">
        <v>0.15583686274509809</v>
      </c>
      <c r="P7300" s="1">
        <v>7.9831334627057438E-2</v>
      </c>
      <c r="Q7300" s="1">
        <v>0.97852236924320979</v>
      </c>
      <c r="R7300" s="2">
        <f t="shared" si="455"/>
        <v>29.11060531609542</v>
      </c>
      <c r="S7300" s="2">
        <f t="shared" si="454"/>
        <v>1.7614212258014548</v>
      </c>
      <c r="T7300" s="2">
        <f t="shared" si="456"/>
        <v>2.2473552354373347</v>
      </c>
      <c r="U7300" s="2">
        <f t="shared" si="457"/>
        <v>33.119381777334212</v>
      </c>
    </row>
    <row r="7301" spans="1:21" x14ac:dyDescent="0.25">
      <c r="A7301">
        <v>8355157</v>
      </c>
      <c r="B7301">
        <v>24</v>
      </c>
      <c r="C7301" s="1">
        <f>0.549941412187977*(10.3/7.3)</f>
        <v>0.77594473226522787</v>
      </c>
      <c r="D7301" s="1">
        <f>1.33287575576757*(10.3/7.3)</f>
        <v>1.8806329156720558</v>
      </c>
      <c r="E7301" s="1">
        <f>4.51945830954095*(10.3/7.3)</f>
        <v>6.3767699435988732</v>
      </c>
      <c r="F7301" s="1">
        <f>13.6102265885193*(38.9/42.5)</f>
        <v>12.457360336315304</v>
      </c>
      <c r="G7301" s="1">
        <v>0.75400625693231216</v>
      </c>
      <c r="H7301" s="1">
        <v>2.2673410635558806</v>
      </c>
      <c r="I7301" s="1">
        <v>9.659752848253369</v>
      </c>
      <c r="J7301" s="1">
        <v>2.403810288495516E-2</v>
      </c>
      <c r="K7301" s="1">
        <v>1.830887022361698</v>
      </c>
      <c r="L7301" s="1">
        <v>1.5051124894509142</v>
      </c>
      <c r="M7301" s="1">
        <v>0.15938152843981862</v>
      </c>
      <c r="N7301" s="1">
        <v>0.67057646613359723</v>
      </c>
      <c r="O7301" s="1">
        <v>0.17368222222222221</v>
      </c>
      <c r="P7301" s="1">
        <v>8.6513305727222878E-2</v>
      </c>
      <c r="Q7301" s="1">
        <v>1.2050328307137419</v>
      </c>
      <c r="R7301" s="2">
        <f t="shared" si="455"/>
        <v>35.376840927306759</v>
      </c>
      <c r="S7301" s="2">
        <f t="shared" si="454"/>
        <v>1.9414384309738761</v>
      </c>
      <c r="T7301" s="2">
        <f t="shared" si="456"/>
        <v>2.5087527062465522</v>
      </c>
      <c r="U7301" s="2">
        <f t="shared" si="457"/>
        <v>39.827032064527188</v>
      </c>
    </row>
    <row r="7302" spans="1:21" x14ac:dyDescent="0.25">
      <c r="A7302">
        <v>8355165</v>
      </c>
      <c r="B7302">
        <v>47</v>
      </c>
      <c r="C7302" s="1">
        <f>0.342193676924474*(10.3/7.3)</f>
        <v>0.48282121538658634</v>
      </c>
      <c r="D7302" s="1">
        <f>0.783600912678289*(10.3/7.3)</f>
        <v>1.1056286850118329</v>
      </c>
      <c r="E7302" s="1">
        <f>2.66383512742637*(10.3/7.3)</f>
        <v>3.7585618921221338</v>
      </c>
      <c r="F7302" s="1">
        <f>7.86021086868278*(38.9/42.5)</f>
        <v>7.1944047715708308</v>
      </c>
      <c r="G7302" s="1">
        <v>0.42939663692387164</v>
      </c>
      <c r="H7302" s="1">
        <v>1.489826112315054</v>
      </c>
      <c r="I7302" s="1">
        <v>5.5930284226915825</v>
      </c>
      <c r="J7302" s="1">
        <v>1.3229225943834824E-2</v>
      </c>
      <c r="K7302" s="1">
        <v>1.3727116004753186</v>
      </c>
      <c r="L7302" s="1">
        <v>1.045511400680222</v>
      </c>
      <c r="M7302" s="1">
        <v>0.11737187887954072</v>
      </c>
      <c r="N7302" s="1">
        <v>0.48767619138791202</v>
      </c>
      <c r="O7302" s="1">
        <v>0.1209565957446808</v>
      </c>
      <c r="P7302" s="1">
        <v>6.5891866513985112E-2</v>
      </c>
      <c r="Q7302" s="1">
        <v>0.68625033298335714</v>
      </c>
      <c r="R7302" s="2">
        <f t="shared" si="455"/>
        <v>20.739918069005249</v>
      </c>
      <c r="S7302" s="2">
        <f t="shared" si="454"/>
        <v>1.4518326929331387</v>
      </c>
      <c r="T7302" s="2">
        <f t="shared" si="456"/>
        <v>1.7715160666923555</v>
      </c>
      <c r="U7302" s="2">
        <f t="shared" si="457"/>
        <v>23.963266828630744</v>
      </c>
    </row>
    <row r="7303" spans="1:21" x14ac:dyDescent="0.25">
      <c r="A7303">
        <v>8355877</v>
      </c>
      <c r="B7303">
        <v>31</v>
      </c>
      <c r="C7303" s="1">
        <f>1.46713999051841*(10.3/7.3)</f>
        <v>2.0700742331972144</v>
      </c>
      <c r="D7303" s="1">
        <f>2.31374945275389*(10.3/7.3)</f>
        <v>3.2646053922417857</v>
      </c>
      <c r="E7303" s="1">
        <f>8.05555365686663*(10.3/7.3)</f>
        <v>11.366055159688532</v>
      </c>
      <c r="F7303" s="1">
        <f>18.595006200531*(38.9/42.5)</f>
        <v>17.019899792956569</v>
      </c>
      <c r="G7303" s="1">
        <v>0.82914415423361942</v>
      </c>
      <c r="H7303" s="1">
        <v>7.0428114148770042</v>
      </c>
      <c r="I7303" s="1">
        <v>13.355174335021221</v>
      </c>
      <c r="J7303" s="1">
        <v>1.6641571380729331E-2</v>
      </c>
      <c r="K7303" s="1">
        <v>1.4714120825211909</v>
      </c>
      <c r="L7303" s="1">
        <v>1.0743413240387987</v>
      </c>
      <c r="M7303" s="1">
        <v>7.4604744472120663E-2</v>
      </c>
      <c r="N7303" s="1">
        <v>0.64656315838485179</v>
      </c>
      <c r="O7303" s="1">
        <v>7.0443010752688162E-2</v>
      </c>
      <c r="P7303" s="1">
        <v>4.8604844394138022E-2</v>
      </c>
      <c r="Q7303" s="1">
        <v>1.3251162282272464</v>
      </c>
      <c r="R7303" s="2">
        <f t="shared" si="455"/>
        <v>56.272880710443189</v>
      </c>
      <c r="S7303" s="2">
        <f t="shared" si="454"/>
        <v>1.5366584982960583</v>
      </c>
      <c r="T7303" s="2">
        <f t="shared" si="456"/>
        <v>1.8659522376484592</v>
      </c>
      <c r="U7303" s="2">
        <f t="shared" si="457"/>
        <v>59.675491446387703</v>
      </c>
    </row>
    <row r="7304" spans="1:21" x14ac:dyDescent="0.25">
      <c r="A7304">
        <v>8367377</v>
      </c>
      <c r="B7304">
        <v>16</v>
      </c>
      <c r="C7304" s="1">
        <f>0.276653488977562*(10.3/7.3)</f>
        <v>0.39034670362587531</v>
      </c>
      <c r="D7304" s="1">
        <f>0.591307674252083*(10.3/7.3)</f>
        <v>0.83431082805430823</v>
      </c>
      <c r="E7304" s="1">
        <f>2.01615948627518*(10.3/7.3)</f>
        <v>2.8447181792649747</v>
      </c>
      <c r="F7304" s="1">
        <f>5.82497170486985*(38.9/42.5)</f>
        <v>5.3315623369279299</v>
      </c>
      <c r="G7304" s="1">
        <v>0.31318052103593819</v>
      </c>
      <c r="H7304" s="1">
        <v>1.1495632074303763</v>
      </c>
      <c r="I7304" s="1">
        <v>4.1650715488873891</v>
      </c>
      <c r="J7304" s="1">
        <v>1.1347918048210877E-2</v>
      </c>
      <c r="K7304" s="1">
        <v>1.2450597681922477</v>
      </c>
      <c r="L7304" s="1">
        <v>0.91854165385564601</v>
      </c>
      <c r="M7304" s="1">
        <v>0.10440298686386743</v>
      </c>
      <c r="N7304" s="1">
        <v>0.43712301609349546</v>
      </c>
      <c r="O7304" s="1">
        <v>0.10961999999999997</v>
      </c>
      <c r="P7304" s="1">
        <v>6.0799693927642291E-2</v>
      </c>
      <c r="Q7304" s="1">
        <v>0.50051681444099749</v>
      </c>
      <c r="R7304" s="2">
        <f t="shared" si="455"/>
        <v>15.529270139667789</v>
      </c>
      <c r="S7304" s="2">
        <f t="shared" si="454"/>
        <v>1.3172073801681008</v>
      </c>
      <c r="T7304" s="2">
        <f t="shared" si="456"/>
        <v>1.5696876568130089</v>
      </c>
      <c r="U7304" s="2">
        <f t="shared" si="457"/>
        <v>18.416165176648899</v>
      </c>
    </row>
    <row r="7305" spans="1:21" x14ac:dyDescent="0.25">
      <c r="A7305">
        <v>8367385</v>
      </c>
      <c r="B7305">
        <v>37</v>
      </c>
      <c r="C7305" s="1">
        <f>0.433564313877035*(10.3/7.3)</f>
        <v>0.61174142916896723</v>
      </c>
      <c r="D7305" s="1">
        <f>1.015817013031*(10.3/7.3)</f>
        <v>1.4332760594820964</v>
      </c>
      <c r="E7305" s="1">
        <f>3.44929605641259*(10.3/7.3)</f>
        <v>4.8668149837054377</v>
      </c>
      <c r="F7305" s="1">
        <f>10.2801489831919*(38.9/42.5)</f>
        <v>9.409359892850917</v>
      </c>
      <c r="G7305" s="1">
        <v>0.56536024326002632</v>
      </c>
      <c r="H7305" s="1">
        <v>1.789621157762993</v>
      </c>
      <c r="I7305" s="1">
        <v>7.3101870137748257</v>
      </c>
      <c r="J7305" s="1">
        <v>1.6188625102066471E-2</v>
      </c>
      <c r="K7305" s="1">
        <v>1.581017805978987</v>
      </c>
      <c r="L7305" s="1">
        <v>1.2587102813149667</v>
      </c>
      <c r="M7305" s="1">
        <v>0.13813251913983446</v>
      </c>
      <c r="N7305" s="1">
        <v>0.57237609160469871</v>
      </c>
      <c r="O7305" s="1">
        <v>0.14572252252252252</v>
      </c>
      <c r="P7305" s="1">
        <v>7.6012912012681885E-2</v>
      </c>
      <c r="Q7305" s="1">
        <v>0.90354376776716627</v>
      </c>
      <c r="R7305" s="2">
        <f t="shared" si="455"/>
        <v>26.889904547772431</v>
      </c>
      <c r="S7305" s="2">
        <f t="shared" ref="S7305:S7368" si="458">J7305+K7305+P7305</f>
        <v>1.6732193430937352</v>
      </c>
      <c r="T7305" s="2">
        <f t="shared" si="456"/>
        <v>2.1149414145820224</v>
      </c>
      <c r="U7305" s="2">
        <f t="shared" si="457"/>
        <v>30.67806530544819</v>
      </c>
    </row>
    <row r="7306" spans="1:21" x14ac:dyDescent="0.25">
      <c r="A7306">
        <v>8367393</v>
      </c>
      <c r="B7306">
        <v>25</v>
      </c>
      <c r="C7306" s="1">
        <f>0.498680460073969*(10.3/7.3)</f>
        <v>0.70361763544683265</v>
      </c>
      <c r="D7306" s="1">
        <f>1.20116144672236*(10.3/7.3)</f>
        <v>1.6947894385260651</v>
      </c>
      <c r="E7306" s="1">
        <f>4.07420933712009*(10.3/7.3)</f>
        <v>5.7485419414160122</v>
      </c>
      <c r="F7306" s="1">
        <f>12.2302709833376*(38.9/42.5)</f>
        <v>11.194295088278437</v>
      </c>
      <c r="G7306" s="1">
        <v>0.67620276103443022</v>
      </c>
      <c r="H7306" s="1">
        <v>2.0939870326479597</v>
      </c>
      <c r="I7306" s="1">
        <v>8.680377378595912</v>
      </c>
      <c r="J7306" s="1">
        <v>1.8895495515344266E-2</v>
      </c>
      <c r="K7306" s="1">
        <v>1.6757937163064023</v>
      </c>
      <c r="L7306" s="1">
        <v>1.3509981031124014</v>
      </c>
      <c r="M7306" s="1">
        <v>0.14600760202605451</v>
      </c>
      <c r="N7306" s="1">
        <v>0.6112566873715477</v>
      </c>
      <c r="O7306" s="1">
        <v>0.15622186666666665</v>
      </c>
      <c r="P7306" s="1">
        <v>7.974315704536937E-2</v>
      </c>
      <c r="Q7306" s="1">
        <v>1.0806893441189536</v>
      </c>
      <c r="R7306" s="2">
        <f t="shared" ref="R7306:R7369" si="459">C7306+D7306+E7306+F7306+G7306+H7306+I7306+Q7306</f>
        <v>31.872500620064603</v>
      </c>
      <c r="S7306" s="2">
        <f t="shared" si="458"/>
        <v>1.7744323688671158</v>
      </c>
      <c r="T7306" s="2">
        <f t="shared" ref="T7306:T7369" si="460">L7306+M7306+N7306+O7306</f>
        <v>2.2644842591766707</v>
      </c>
      <c r="U7306" s="2">
        <f t="shared" ref="U7306:U7369" si="461">R7306+S7306+T7306</f>
        <v>35.911417248108386</v>
      </c>
    </row>
    <row r="7307" spans="1:21" x14ac:dyDescent="0.25">
      <c r="A7307">
        <v>8367401</v>
      </c>
      <c r="B7307">
        <v>4</v>
      </c>
      <c r="C7307" s="1">
        <f>0.244750315255848*(10.3/7.3)</f>
        <v>0.34533263659386754</v>
      </c>
      <c r="D7307" s="1">
        <f>0.519507115793976*(10.3/7.3)</f>
        <v>0.73300319077780163</v>
      </c>
      <c r="E7307" s="1">
        <f>1.77217731853878*(10.3/7.3)</f>
        <v>2.5004693672533485</v>
      </c>
      <c r="F7307" s="1">
        <f>5.09426968551379*(38.9/42.5)</f>
        <v>4.6627550768585007</v>
      </c>
      <c r="G7307" s="1">
        <v>0.27298515374782595</v>
      </c>
      <c r="H7307" s="1">
        <v>1.0297278142677533</v>
      </c>
      <c r="I7307" s="1">
        <v>3.6419235124765148</v>
      </c>
      <c r="J7307" s="1">
        <v>1.1108707436397691E-2</v>
      </c>
      <c r="K7307" s="1">
        <v>1.2096803869153632</v>
      </c>
      <c r="L7307" s="1">
        <v>0.8809818686480384</v>
      </c>
      <c r="M7307" s="1">
        <v>0.10213512715801744</v>
      </c>
      <c r="N7307" s="1">
        <v>0.42162949745538708</v>
      </c>
      <c r="O7307" s="1">
        <v>0.10439999999999999</v>
      </c>
      <c r="P7307" s="1">
        <v>5.892450886648809E-2</v>
      </c>
      <c r="Q7307" s="1">
        <v>0.43627764297597815</v>
      </c>
      <c r="R7307" s="2">
        <f t="shared" si="459"/>
        <v>13.62247439495159</v>
      </c>
      <c r="S7307" s="2">
        <f t="shared" si="458"/>
        <v>1.279713603218249</v>
      </c>
      <c r="T7307" s="2">
        <f t="shared" si="460"/>
        <v>1.5091464932614429</v>
      </c>
      <c r="U7307" s="2">
        <f t="shared" si="461"/>
        <v>16.411334491431283</v>
      </c>
    </row>
    <row r="7308" spans="1:21" x14ac:dyDescent="0.25">
      <c r="A7308">
        <v>8379613</v>
      </c>
      <c r="B7308">
        <v>2</v>
      </c>
      <c r="C7308" s="1">
        <f>0.21525680696505*(10.3/7.3)</f>
        <v>0.30371850845753579</v>
      </c>
      <c r="D7308" s="1">
        <f>0.44058716654341*(10.3/7.3)</f>
        <v>0.62165038567083819</v>
      </c>
      <c r="E7308" s="1">
        <f>1.50526793180657*(10.3/7.3)</f>
        <v>2.1238711914531123</v>
      </c>
      <c r="F7308" s="1">
        <f>4.28588701916801*(38.9/42.5)</f>
        <v>3.9228471775443658</v>
      </c>
      <c r="G7308" s="1">
        <v>0.22784080730412046</v>
      </c>
      <c r="H7308" s="1">
        <v>0.89082960803721489</v>
      </c>
      <c r="I7308" s="1">
        <v>3.0744470864838274</v>
      </c>
      <c r="J7308" s="1">
        <v>1.1634864702292771E-2</v>
      </c>
      <c r="K7308" s="1">
        <v>1.2648104977865833</v>
      </c>
      <c r="L7308" s="1">
        <v>0.94318930812812041</v>
      </c>
      <c r="M7308" s="1">
        <v>0.10687561908892748</v>
      </c>
      <c r="N7308" s="1">
        <v>0.44931274619560085</v>
      </c>
      <c r="O7308" s="1">
        <v>0.11157333333333333</v>
      </c>
      <c r="P7308" s="1">
        <v>6.1978174045464511E-2</v>
      </c>
      <c r="Q7308" s="1">
        <v>0.36412914409334363</v>
      </c>
      <c r="R7308" s="2">
        <f t="shared" si="459"/>
        <v>11.529333909044357</v>
      </c>
      <c r="S7308" s="2">
        <f t="shared" si="458"/>
        <v>1.3384235365343407</v>
      </c>
      <c r="T7308" s="2">
        <f t="shared" si="460"/>
        <v>1.610951006745982</v>
      </c>
      <c r="U7308" s="2">
        <f t="shared" si="461"/>
        <v>14.47870845232468</v>
      </c>
    </row>
    <row r="7309" spans="1:21" x14ac:dyDescent="0.25">
      <c r="A7309">
        <v>8379621</v>
      </c>
      <c r="B7309">
        <v>12</v>
      </c>
      <c r="C7309" s="1">
        <f>0.397787303807741*(10.3/7.3)</f>
        <v>0.56126153824927905</v>
      </c>
      <c r="D7309" s="1">
        <f>0.922972292034542*(10.3/7.3)</f>
        <v>1.3022759736925735</v>
      </c>
      <c r="E7309" s="1">
        <f>3.13564771039707*(10.3/7.3)</f>
        <v>4.4242700571355913</v>
      </c>
      <c r="F7309" s="1">
        <f>9.30106221416774*(38.9/42.5)</f>
        <v>8.5132075324970593</v>
      </c>
      <c r="G7309" s="1">
        <v>0.50993708979548702</v>
      </c>
      <c r="H7309" s="1">
        <v>1.6597243941598336</v>
      </c>
      <c r="I7309" s="1">
        <v>6.6148715788223198</v>
      </c>
      <c r="J7309" s="1">
        <v>1.5138336604502737E-2</v>
      </c>
      <c r="K7309" s="1">
        <v>1.513037764008935</v>
      </c>
      <c r="L7309" s="1">
        <v>1.18311127979821</v>
      </c>
      <c r="M7309" s="1">
        <v>0.13052394369790657</v>
      </c>
      <c r="N7309" s="1">
        <v>0.54492687633444892</v>
      </c>
      <c r="O7309" s="1">
        <v>0.13744888888888887</v>
      </c>
      <c r="P7309" s="1">
        <v>7.265498367046648E-2</v>
      </c>
      <c r="Q7309" s="1">
        <v>0.81496795172794789</v>
      </c>
      <c r="R7309" s="2">
        <f t="shared" si="459"/>
        <v>24.400516116080091</v>
      </c>
      <c r="S7309" s="2">
        <f t="shared" si="458"/>
        <v>1.6008310842839042</v>
      </c>
      <c r="T7309" s="2">
        <f t="shared" si="460"/>
        <v>1.9960109887194546</v>
      </c>
      <c r="U7309" s="2">
        <f t="shared" si="461"/>
        <v>27.99735818908345</v>
      </c>
    </row>
    <row r="7310" spans="1:21" x14ac:dyDescent="0.25">
      <c r="A7310">
        <v>8379629</v>
      </c>
      <c r="B7310">
        <v>11</v>
      </c>
      <c r="C7310" s="1">
        <f>0.274607717424643*(10.3/7.3)</f>
        <v>0.38746020403751025</v>
      </c>
      <c r="D7310" s="1">
        <f>0.600031899793222*(10.3/7.3)</f>
        <v>0.84662035176303907</v>
      </c>
      <c r="E7310" s="1">
        <f>2.04413138274702*(10.3/7.3)</f>
        <v>2.884185375656759</v>
      </c>
      <c r="F7310" s="1">
        <f>5.93527814969067*(38.9/42.5)</f>
        <v>5.4325251770109881</v>
      </c>
      <c r="G7310" s="1">
        <v>0.32046072663782238</v>
      </c>
      <c r="H7310" s="1">
        <v>1.1790086499625951</v>
      </c>
      <c r="I7310" s="1">
        <v>4.2350309447818049</v>
      </c>
      <c r="J7310" s="1">
        <v>1.1728986676543795E-2</v>
      </c>
      <c r="K7310" s="1">
        <v>1.2491433895099313</v>
      </c>
      <c r="L7310" s="1">
        <v>0.91882988154486545</v>
      </c>
      <c r="M7310" s="1">
        <v>0.10597618124978579</v>
      </c>
      <c r="N7310" s="1">
        <v>0.43900704348369213</v>
      </c>
      <c r="O7310" s="1">
        <v>0.10776242424242423</v>
      </c>
      <c r="P7310" s="1">
        <v>6.0498460736231954E-2</v>
      </c>
      <c r="Q7310" s="1">
        <v>0.5121518462248309</v>
      </c>
      <c r="R7310" s="2">
        <f t="shared" si="459"/>
        <v>15.797443276075349</v>
      </c>
      <c r="S7310" s="2">
        <f t="shared" si="458"/>
        <v>1.3213708369227071</v>
      </c>
      <c r="T7310" s="2">
        <f t="shared" si="460"/>
        <v>1.5715755305207675</v>
      </c>
      <c r="U7310" s="2">
        <f t="shared" si="461"/>
        <v>18.690389643518824</v>
      </c>
    </row>
    <row r="7311" spans="1:21" x14ac:dyDescent="0.25">
      <c r="A7311">
        <v>8379821</v>
      </c>
      <c r="B7311">
        <v>5</v>
      </c>
      <c r="C7311" s="1">
        <f>0.367304704196815*(10.3/7.3)</f>
        <v>0.51825184290783499</v>
      </c>
      <c r="D7311" s="1">
        <f>1.24817089259397*(10.3/7.3)</f>
        <v>1.7611178347558809</v>
      </c>
      <c r="E7311" s="1">
        <f>4.20632115394187*(10.3/7.3)</f>
        <v>5.9349462856988033</v>
      </c>
      <c r="F7311" s="1">
        <f>12.5156501304902*(38.9/42.5)</f>
        <v>11.455500942966289</v>
      </c>
      <c r="G7311" s="1">
        <v>0.69997073637420348</v>
      </c>
      <c r="H7311" s="1">
        <v>4.360227995537806</v>
      </c>
      <c r="I7311" s="1">
        <v>8.5136297879914125</v>
      </c>
      <c r="J7311" s="1">
        <v>1.395844307974555E-2</v>
      </c>
      <c r="K7311" s="1">
        <v>1.2752395436414097</v>
      </c>
      <c r="L7311" s="1">
        <v>0.96315714447915768</v>
      </c>
      <c r="M7311" s="1">
        <v>0.10200655862858277</v>
      </c>
      <c r="N7311" s="1">
        <v>0.53017385303001963</v>
      </c>
      <c r="O7311" s="1">
        <v>9.6341333333333334E-2</v>
      </c>
      <c r="P7311" s="1">
        <v>5.9120330394243782E-2</v>
      </c>
      <c r="Q7311" s="1">
        <v>1.118674692835486</v>
      </c>
      <c r="R7311" s="2">
        <f t="shared" si="459"/>
        <v>34.362320119067718</v>
      </c>
      <c r="S7311" s="2">
        <f t="shared" si="458"/>
        <v>1.348318317115399</v>
      </c>
      <c r="T7311" s="2">
        <f t="shared" si="460"/>
        <v>1.6916788894710935</v>
      </c>
      <c r="U7311" s="2">
        <f t="shared" si="461"/>
        <v>37.402317325654209</v>
      </c>
    </row>
    <row r="7312" spans="1:21" x14ac:dyDescent="0.25">
      <c r="A7312">
        <v>8380341</v>
      </c>
      <c r="B7312">
        <v>23</v>
      </c>
      <c r="C7312" s="1">
        <f>1.27908816186668*(10.3/7.3)</f>
        <v>1.8047408311269562</v>
      </c>
      <c r="D7312" s="1">
        <f>2.17605838495084*(10.3/7.3)</f>
        <v>3.0703289541087266</v>
      </c>
      <c r="E7312" s="1">
        <f>7.55693833881158*(10.3/7.3)</f>
        <v>10.662529436953333</v>
      </c>
      <c r="F7312" s="1">
        <f>17.406742633035*(38.9/42.5)</f>
        <v>15.932289139413173</v>
      </c>
      <c r="G7312" s="1">
        <v>0.7820728252600585</v>
      </c>
      <c r="H7312" s="1">
        <v>5.4903530485512189</v>
      </c>
      <c r="I7312" s="1">
        <v>12.265015529040593</v>
      </c>
      <c r="J7312" s="1">
        <v>1.6292795504999263E-2</v>
      </c>
      <c r="K7312" s="1">
        <v>1.4556786995589464</v>
      </c>
      <c r="L7312" s="1">
        <v>1.0600367285211698</v>
      </c>
      <c r="M7312" s="1">
        <v>7.2936932045921304E-2</v>
      </c>
      <c r="N7312" s="1">
        <v>0.63229335003236509</v>
      </c>
      <c r="O7312" s="1">
        <v>6.9017971014492752E-2</v>
      </c>
      <c r="P7312" s="1">
        <v>4.7825261746155624E-2</v>
      </c>
      <c r="Q7312" s="1">
        <v>1.2498880768996381</v>
      </c>
      <c r="R7312" s="2">
        <f t="shared" si="459"/>
        <v>51.257217841353693</v>
      </c>
      <c r="S7312" s="2">
        <f t="shared" si="458"/>
        <v>1.5197967568101012</v>
      </c>
      <c r="T7312" s="2">
        <f t="shared" si="460"/>
        <v>1.8342849816139488</v>
      </c>
      <c r="U7312" s="2">
        <f t="shared" si="461"/>
        <v>54.611299579777743</v>
      </c>
    </row>
    <row r="7313" spans="1:21" x14ac:dyDescent="0.25">
      <c r="A7313">
        <v>8392049</v>
      </c>
      <c r="B7313">
        <v>9</v>
      </c>
      <c r="C7313" s="1">
        <f>0.326320477280905*(10.3/7.3)</f>
        <v>0.46042478301278389</v>
      </c>
      <c r="D7313" s="1">
        <f>1.07376089841893*(10.3/7.3)</f>
        <v>1.5150325005088945</v>
      </c>
      <c r="E7313" s="1">
        <f>3.62614428538348*(10.3/7.3)</f>
        <v>5.1163405670479172</v>
      </c>
      <c r="F7313" s="1">
        <f>10.5033098965108*(38.9/42.5)</f>
        <v>9.6136177641004448</v>
      </c>
      <c r="G7313" s="1">
        <v>0.57855816542233574</v>
      </c>
      <c r="H7313" s="1">
        <v>3.2316273509260203</v>
      </c>
      <c r="I7313" s="1">
        <v>7.1089245300724793</v>
      </c>
      <c r="J7313" s="1">
        <v>1.2974774155405504E-2</v>
      </c>
      <c r="K7313" s="1">
        <v>1.2082471081023831</v>
      </c>
      <c r="L7313" s="1">
        <v>0.90800848557756142</v>
      </c>
      <c r="M7313" s="1">
        <v>9.6796483675769443E-2</v>
      </c>
      <c r="N7313" s="1">
        <v>0.49448646972204913</v>
      </c>
      <c r="O7313" s="1">
        <v>9.2124444444444453E-2</v>
      </c>
      <c r="P7313" s="1">
        <v>5.6659285181426565E-2</v>
      </c>
      <c r="Q7313" s="1">
        <v>0.92463633743295737</v>
      </c>
      <c r="R7313" s="2">
        <f t="shared" si="459"/>
        <v>28.549161998523836</v>
      </c>
      <c r="S7313" s="2">
        <f t="shared" si="458"/>
        <v>1.2778811674392152</v>
      </c>
      <c r="T7313" s="2">
        <f t="shared" si="460"/>
        <v>1.5914158834198244</v>
      </c>
      <c r="U7313" s="2">
        <f t="shared" si="461"/>
        <v>31.418459049382875</v>
      </c>
    </row>
    <row r="7314" spans="1:21" x14ac:dyDescent="0.25">
      <c r="A7314">
        <v>8392057</v>
      </c>
      <c r="B7314">
        <v>22</v>
      </c>
      <c r="C7314" s="1">
        <f>0.3498088313761*(10.3/7.3)</f>
        <v>0.49356588536627766</v>
      </c>
      <c r="D7314" s="1">
        <f>1.14673141615396*(10.3/7.3)</f>
        <v>1.6179909022446219</v>
      </c>
      <c r="E7314" s="1">
        <f>3.86554830646124*(10.3/7.3)</f>
        <v>5.4541298022672251</v>
      </c>
      <c r="F7314" s="1">
        <f>11.5706254008027*(38.9/42.5)</f>
        <v>10.590525366852336</v>
      </c>
      <c r="G7314" s="1">
        <v>0.64814435362492673</v>
      </c>
      <c r="H7314" s="1">
        <v>4.3842790513204104</v>
      </c>
      <c r="I7314" s="1">
        <v>7.9140108037162555</v>
      </c>
      <c r="J7314" s="1">
        <v>1.3530033798584938E-2</v>
      </c>
      <c r="K7314" s="1">
        <v>1.2352270811918329</v>
      </c>
      <c r="L7314" s="1">
        <v>0.92224668041827662</v>
      </c>
      <c r="M7314" s="1">
        <v>9.7801649794737336E-2</v>
      </c>
      <c r="N7314" s="1">
        <v>0.51616268855748837</v>
      </c>
      <c r="O7314" s="1">
        <v>9.2426666666666671E-2</v>
      </c>
      <c r="P7314" s="1">
        <v>5.7250105909860703E-2</v>
      </c>
      <c r="Q7314" s="1">
        <v>1.0358471404964593</v>
      </c>
      <c r="R7314" s="2">
        <f t="shared" si="459"/>
        <v>32.13849330588851</v>
      </c>
      <c r="S7314" s="2">
        <f t="shared" si="458"/>
        <v>1.3060072209002784</v>
      </c>
      <c r="T7314" s="2">
        <f t="shared" si="460"/>
        <v>1.6286376854371689</v>
      </c>
      <c r="U7314" s="2">
        <f t="shared" si="461"/>
        <v>35.073138212225956</v>
      </c>
    </row>
    <row r="7315" spans="1:21" x14ac:dyDescent="0.25">
      <c r="A7315">
        <v>8392577</v>
      </c>
      <c r="B7315">
        <v>16</v>
      </c>
      <c r="C7315" s="1">
        <f>1.16089615052446*(10.3/7.3)</f>
        <v>1.6379767603290292</v>
      </c>
      <c r="D7315" s="1">
        <f>1.97145401725325*(10.3/7.3)</f>
        <v>2.7816405996860962</v>
      </c>
      <c r="E7315" s="1">
        <f>6.84163241876618*(10.3/7.3)</f>
        <v>9.653262179902967</v>
      </c>
      <c r="F7315" s="1">
        <f>16.0218259059849*(38.9/42.5)</f>
        <v>14.664683005713194</v>
      </c>
      <c r="G7315" s="1">
        <v>0.72998783731765504</v>
      </c>
      <c r="H7315" s="1">
        <v>4.439452038922262</v>
      </c>
      <c r="I7315" s="1">
        <v>11.343589260054326</v>
      </c>
      <c r="J7315" s="1">
        <v>1.6056813417783963E-2</v>
      </c>
      <c r="K7315" s="1">
        <v>1.4582750057123364</v>
      </c>
      <c r="L7315" s="1">
        <v>1.0671958864892381</v>
      </c>
      <c r="M7315" s="1">
        <v>7.1933301729010385E-2</v>
      </c>
      <c r="N7315" s="1">
        <v>0.62919797556486567</v>
      </c>
      <c r="O7315" s="1">
        <v>6.8389999999999992E-2</v>
      </c>
      <c r="P7315" s="1">
        <v>4.757532660449755E-2</v>
      </c>
      <c r="Q7315" s="1">
        <v>1.1666472285898608</v>
      </c>
      <c r="R7315" s="2">
        <f t="shared" si="459"/>
        <v>46.417238910515387</v>
      </c>
      <c r="S7315" s="2">
        <f t="shared" si="458"/>
        <v>1.5219071457346178</v>
      </c>
      <c r="T7315" s="2">
        <f t="shared" si="460"/>
        <v>1.8367171637831143</v>
      </c>
      <c r="U7315" s="2">
        <f t="shared" si="461"/>
        <v>49.775863220033116</v>
      </c>
    </row>
    <row r="7316" spans="1:21" x14ac:dyDescent="0.25">
      <c r="A7316">
        <v>8404285</v>
      </c>
      <c r="B7316">
        <v>25</v>
      </c>
      <c r="C7316" s="1">
        <f>0.306648048361268*(10.3/7.3)</f>
        <v>0.43266779426315932</v>
      </c>
      <c r="D7316" s="1">
        <f>0.968293100645003*(10.3/7.3)</f>
        <v>1.3662217721429497</v>
      </c>
      <c r="E7316" s="1">
        <f>3.27053738388961*(10.3/7.3)</f>
        <v>4.6145938430223294</v>
      </c>
      <c r="F7316" s="1">
        <f>9.56892851492166*(38.9/42.5)</f>
        <v>8.7583839818929992</v>
      </c>
      <c r="G7316" s="1">
        <v>0.52895118394746299</v>
      </c>
      <c r="H7316" s="1">
        <v>3.1020756148833772</v>
      </c>
      <c r="I7316" s="1">
        <v>6.5257120583826413</v>
      </c>
      <c r="J7316" s="1">
        <v>1.2436999940557334E-2</v>
      </c>
      <c r="K7316" s="1">
        <v>1.1596814868573515</v>
      </c>
      <c r="L7316" s="1">
        <v>0.85901754088509474</v>
      </c>
      <c r="M7316" s="1">
        <v>9.2546659715668264E-2</v>
      </c>
      <c r="N7316" s="1">
        <v>0.47384078790994372</v>
      </c>
      <c r="O7316" s="1">
        <v>8.7505066666666659E-2</v>
      </c>
      <c r="P7316" s="1">
        <v>5.4432108195666205E-2</v>
      </c>
      <c r="Q7316" s="1">
        <v>0.84535577343201906</v>
      </c>
      <c r="R7316" s="2">
        <f t="shared" si="459"/>
        <v>26.17396202196694</v>
      </c>
      <c r="S7316" s="2">
        <f t="shared" si="458"/>
        <v>1.2265505949935751</v>
      </c>
      <c r="T7316" s="2">
        <f t="shared" si="460"/>
        <v>1.5129100551773733</v>
      </c>
      <c r="U7316" s="2">
        <f t="shared" si="461"/>
        <v>28.913422672137887</v>
      </c>
    </row>
    <row r="7317" spans="1:21" x14ac:dyDescent="0.25">
      <c r="A7317">
        <v>8404293</v>
      </c>
      <c r="B7317">
        <v>43</v>
      </c>
      <c r="C7317" s="1">
        <f>0.347203935595505*(10.3/7.3)</f>
        <v>0.48989048447037042</v>
      </c>
      <c r="D7317" s="1">
        <f>1.11773273693532*(10.3/7.3)</f>
        <v>1.5770749575936733</v>
      </c>
      <c r="E7317" s="1">
        <f>3.76984184971988*(10.3/7.3)</f>
        <v>5.3190919249472257</v>
      </c>
      <c r="F7317" s="1">
        <f>11.2416582012802*(38.9/42.5)</f>
        <v>10.289423624230539</v>
      </c>
      <c r="G7317" s="1">
        <v>0.62805218500889182</v>
      </c>
      <c r="H7317" s="1">
        <v>3.4664830133229687</v>
      </c>
      <c r="I7317" s="1">
        <v>7.694788484118595</v>
      </c>
      <c r="J7317" s="1">
        <v>1.322359913232104E-2</v>
      </c>
      <c r="K7317" s="1">
        <v>1.2088607456026508</v>
      </c>
      <c r="L7317" s="1">
        <v>0.89847728197846599</v>
      </c>
      <c r="M7317" s="1">
        <v>9.5284793514856428E-2</v>
      </c>
      <c r="N7317" s="1">
        <v>0.50174654041657252</v>
      </c>
      <c r="O7317" s="1">
        <v>9.0029147286821709E-2</v>
      </c>
      <c r="P7317" s="1">
        <v>5.6035505559346471E-2</v>
      </c>
      <c r="Q7317" s="1">
        <v>1.0037363687356731</v>
      </c>
      <c r="R7317" s="2">
        <f t="shared" si="459"/>
        <v>30.468541042427937</v>
      </c>
      <c r="S7317" s="2">
        <f t="shared" si="458"/>
        <v>1.2781198502943183</v>
      </c>
      <c r="T7317" s="2">
        <f t="shared" si="460"/>
        <v>1.5855377631967167</v>
      </c>
      <c r="U7317" s="2">
        <f t="shared" si="461"/>
        <v>33.332198655918972</v>
      </c>
    </row>
    <row r="7318" spans="1:21" x14ac:dyDescent="0.25">
      <c r="A7318">
        <v>8404301</v>
      </c>
      <c r="B7318">
        <v>1</v>
      </c>
      <c r="C7318" s="1">
        <f>0.361409985456723*(10.3/7.3)</f>
        <v>0.50993463701428055</v>
      </c>
      <c r="D7318" s="1">
        <f>1.20415586800006*(10.3/7.3)</f>
        <v>1.6990144438904968</v>
      </c>
      <c r="E7318" s="1">
        <f>4.05676997039284*(10.3/7.3)</f>
        <v>5.7239357116501663</v>
      </c>
      <c r="F7318" s="1">
        <f>12.204514821744*(38.9/42.5)</f>
        <v>11.170720625078616</v>
      </c>
      <c r="G7318" s="1">
        <v>0.68582926314477899</v>
      </c>
      <c r="H7318" s="1">
        <v>4.7430294364575687</v>
      </c>
      <c r="I7318" s="1">
        <v>8.3464647827240483</v>
      </c>
      <c r="J7318" s="1">
        <v>1.4036518028878366E-2</v>
      </c>
      <c r="K7318" s="1">
        <v>1.2675252995391408</v>
      </c>
      <c r="L7318" s="1">
        <v>0.95266036090740402</v>
      </c>
      <c r="M7318" s="1">
        <v>0.10064508133204055</v>
      </c>
      <c r="N7318" s="1">
        <v>0.53748963602950139</v>
      </c>
      <c r="O7318" s="1">
        <v>9.4506666666666669E-2</v>
      </c>
      <c r="P7318" s="1">
        <v>5.8387888725438777E-2</v>
      </c>
      <c r="Q7318" s="1">
        <v>1.0960741648432553</v>
      </c>
      <c r="R7318" s="2">
        <f t="shared" si="459"/>
        <v>33.975003064803218</v>
      </c>
      <c r="S7318" s="2">
        <f t="shared" si="458"/>
        <v>1.339949706293458</v>
      </c>
      <c r="T7318" s="2">
        <f t="shared" si="460"/>
        <v>1.6853017449356127</v>
      </c>
      <c r="U7318" s="2">
        <f t="shared" si="461"/>
        <v>37.000254516032292</v>
      </c>
    </row>
    <row r="7319" spans="1:21" x14ac:dyDescent="0.25">
      <c r="A7319">
        <v>8404805</v>
      </c>
      <c r="B7319">
        <v>26</v>
      </c>
      <c r="C7319" s="1">
        <f>1.11628938303146*(10.3/7.3)</f>
        <v>1.5750384445512382</v>
      </c>
      <c r="D7319" s="1">
        <f>1.97961902136183*(10.3/7.3)</f>
        <v>2.79316108493519</v>
      </c>
      <c r="E7319" s="1">
        <f>6.8614022451647*(10.3/7.3)</f>
        <v>9.6811565924926608</v>
      </c>
      <c r="F7319" s="1">
        <f>16.0061044244575*(38.9/42.5)</f>
        <v>14.650293226150552</v>
      </c>
      <c r="G7319" s="1">
        <v>0.73051347936055155</v>
      </c>
      <c r="H7319" s="1">
        <v>4.5351536911083574</v>
      </c>
      <c r="I7319" s="1">
        <v>11.207755915918378</v>
      </c>
      <c r="J7319" s="1">
        <v>1.5961300533210421E-2</v>
      </c>
      <c r="K7319" s="1">
        <v>1.4513195797179013</v>
      </c>
      <c r="L7319" s="1">
        <v>1.0586683291754873</v>
      </c>
      <c r="M7319" s="1">
        <v>7.1478237666678185E-2</v>
      </c>
      <c r="N7319" s="1">
        <v>0.62205735607689816</v>
      </c>
      <c r="O7319" s="1">
        <v>6.7823589743589735E-2</v>
      </c>
      <c r="P7319" s="1">
        <v>4.7238118005035676E-2</v>
      </c>
      <c r="Q7319" s="1">
        <v>1.1674872957817042</v>
      </c>
      <c r="R7319" s="2">
        <f t="shared" si="459"/>
        <v>46.340559730298629</v>
      </c>
      <c r="S7319" s="2">
        <f t="shared" si="458"/>
        <v>1.5145189982561473</v>
      </c>
      <c r="T7319" s="2">
        <f t="shared" si="460"/>
        <v>1.8200275126626533</v>
      </c>
      <c r="U7319" s="2">
        <f t="shared" si="461"/>
        <v>49.675106241217435</v>
      </c>
    </row>
    <row r="7320" spans="1:21" x14ac:dyDescent="0.25">
      <c r="A7320">
        <v>8404813</v>
      </c>
      <c r="B7320">
        <v>3</v>
      </c>
      <c r="C7320" s="1">
        <f>1.08640728491381*(10.3/7.3)</f>
        <v>1.5328760321386592</v>
      </c>
      <c r="D7320" s="1">
        <f>1.83549596890413*(10.3/7.3)</f>
        <v>2.5898093807825382</v>
      </c>
      <c r="E7320" s="1">
        <f>6.36855279082186*(10.3/7.3)</f>
        <v>8.9857662665020754</v>
      </c>
      <c r="F7320" s="1">
        <f>15.0339329620013*(38.9/42.5)</f>
        <v>13.760470405220017</v>
      </c>
      <c r="G7320" s="1">
        <v>0.68919117129744956</v>
      </c>
      <c r="H7320" s="1">
        <v>3.5695887260214185</v>
      </c>
      <c r="I7320" s="1">
        <v>10.679179506299647</v>
      </c>
      <c r="J7320" s="1">
        <v>1.4851213150264294E-2</v>
      </c>
      <c r="K7320" s="1">
        <v>1.3520601307426652</v>
      </c>
      <c r="L7320" s="1">
        <v>1.00566748040007</v>
      </c>
      <c r="M7320" s="1">
        <v>6.8605146379828841E-2</v>
      </c>
      <c r="N7320" s="1">
        <v>0.58062265331798046</v>
      </c>
      <c r="O7320" s="1">
        <v>6.501333333333334E-2</v>
      </c>
      <c r="P7320" s="1">
        <v>4.5513374183708155E-2</v>
      </c>
      <c r="Q7320" s="1">
        <v>1.1014470774160163</v>
      </c>
      <c r="R7320" s="2">
        <f t="shared" si="459"/>
        <v>42.90832856567782</v>
      </c>
      <c r="S7320" s="2">
        <f t="shared" si="458"/>
        <v>1.4124247180766376</v>
      </c>
      <c r="T7320" s="2">
        <f t="shared" si="460"/>
        <v>1.7199086134312127</v>
      </c>
      <c r="U7320" s="2">
        <f t="shared" si="461"/>
        <v>46.040661897185672</v>
      </c>
    </row>
    <row r="7321" spans="1:21" x14ac:dyDescent="0.25">
      <c r="A7321">
        <v>8416521</v>
      </c>
      <c r="B7321">
        <v>32</v>
      </c>
      <c r="C7321" s="1">
        <f>0.295594753712934*(10.3/7.3)</f>
        <v>0.41707204975934498</v>
      </c>
      <c r="D7321" s="1">
        <f>0.915861196596232*(10.3/7.3)</f>
        <v>1.2922425102659172</v>
      </c>
      <c r="E7321" s="1">
        <f>3.09456135078225*(10.3/7.3)</f>
        <v>4.3662988921996062</v>
      </c>
      <c r="F7321" s="1">
        <f>9.05237606187859*(38.9/42.5)</f>
        <v>8.285586560166518</v>
      </c>
      <c r="G7321" s="1">
        <v>0.49993407185452921</v>
      </c>
      <c r="H7321" s="1">
        <v>2.3342498578812627</v>
      </c>
      <c r="I7321" s="1">
        <v>6.1860060420058662</v>
      </c>
      <c r="J7321" s="1">
        <v>1.2361778545951241E-2</v>
      </c>
      <c r="K7321" s="1">
        <v>1.1553210392836193</v>
      </c>
      <c r="L7321" s="1">
        <v>0.85738928972991646</v>
      </c>
      <c r="M7321" s="1">
        <v>9.1920783672015505E-2</v>
      </c>
      <c r="N7321" s="1">
        <v>0.4736163024179294</v>
      </c>
      <c r="O7321" s="1">
        <v>8.700999999999999E-2</v>
      </c>
      <c r="P7321" s="1">
        <v>5.4250237292182618E-2</v>
      </c>
      <c r="Q7321" s="1">
        <v>0.79898139337481955</v>
      </c>
      <c r="R7321" s="2">
        <f t="shared" si="459"/>
        <v>24.180371377507864</v>
      </c>
      <c r="S7321" s="2">
        <f t="shared" si="458"/>
        <v>1.2219330551217533</v>
      </c>
      <c r="T7321" s="2">
        <f t="shared" si="460"/>
        <v>1.5099363758198614</v>
      </c>
      <c r="U7321" s="2">
        <f t="shared" si="461"/>
        <v>26.912240808449479</v>
      </c>
    </row>
    <row r="7322" spans="1:21" x14ac:dyDescent="0.25">
      <c r="A7322">
        <v>8416529</v>
      </c>
      <c r="B7322">
        <v>55</v>
      </c>
      <c r="C7322" s="1">
        <f>0.332495448619574*(10.3/7.3)</f>
        <v>0.46913741380570023</v>
      </c>
      <c r="D7322" s="1">
        <f>1.06324612942904*(10.3/7.3)</f>
        <v>1.5001965935779673</v>
      </c>
      <c r="E7322" s="1">
        <f>3.58699378578516*(10.3/7.3)</f>
        <v>5.0611008210393411</v>
      </c>
      <c r="F7322" s="1">
        <f>10.6712697060111*(38.9/42.5)</f>
        <v>9.7673503897372314</v>
      </c>
      <c r="G7322" s="1">
        <v>0.59530744761273868</v>
      </c>
      <c r="H7322" s="1">
        <v>3.3738415518544214</v>
      </c>
      <c r="I7322" s="1">
        <v>7.3043596105813098</v>
      </c>
      <c r="J7322" s="1">
        <v>1.2975562791255332E-2</v>
      </c>
      <c r="K7322" s="1">
        <v>1.1880530516317116</v>
      </c>
      <c r="L7322" s="1">
        <v>0.88172405212169869</v>
      </c>
      <c r="M7322" s="1">
        <v>9.4071594985048843E-2</v>
      </c>
      <c r="N7322" s="1">
        <v>0.49592055990887079</v>
      </c>
      <c r="O7322" s="1">
        <v>8.8520727272727223E-2</v>
      </c>
      <c r="P7322" s="1">
        <v>5.5189788171956612E-2</v>
      </c>
      <c r="Q7322" s="1">
        <v>0.95140459664136445</v>
      </c>
      <c r="R7322" s="2">
        <f t="shared" si="459"/>
        <v>29.022698424850073</v>
      </c>
      <c r="S7322" s="2">
        <f t="shared" si="458"/>
        <v>1.2562184025949235</v>
      </c>
      <c r="T7322" s="2">
        <f t="shared" si="460"/>
        <v>1.5602369342883455</v>
      </c>
      <c r="U7322" s="2">
        <f t="shared" si="461"/>
        <v>31.839153761733343</v>
      </c>
    </row>
    <row r="7323" spans="1:21" x14ac:dyDescent="0.25">
      <c r="A7323">
        <v>8416537</v>
      </c>
      <c r="B7323">
        <v>4</v>
      </c>
      <c r="C7323" s="1">
        <f>0.317896605567868*(10.3/7.3)</f>
        <v>0.44853904621219753</v>
      </c>
      <c r="D7323" s="1">
        <f>1.01570070437827*(10.3/7.3)</f>
        <v>1.4331119527529059</v>
      </c>
      <c r="E7323" s="1">
        <f>3.42699665819875*(10.3/7.3)</f>
        <v>4.8353514492393339</v>
      </c>
      <c r="F7323" s="1">
        <f>10.1772420916709*(38.9/42.5)</f>
        <v>9.3151698203763793</v>
      </c>
      <c r="G7323" s="1">
        <v>0.56721470582210176</v>
      </c>
      <c r="H7323" s="1">
        <v>4.0644940638198719</v>
      </c>
      <c r="I7323" s="1">
        <v>6.963124137109193</v>
      </c>
      <c r="J7323" s="1">
        <v>1.2801745735527819E-2</v>
      </c>
      <c r="K7323" s="1">
        <v>1.1611519665860266</v>
      </c>
      <c r="L7323" s="1">
        <v>0.85957520359220574</v>
      </c>
      <c r="M7323" s="1">
        <v>9.1401719418148578E-2</v>
      </c>
      <c r="N7323" s="1">
        <v>0.49075136429106969</v>
      </c>
      <c r="O7323" s="1">
        <v>8.5826666666666662E-2</v>
      </c>
      <c r="P7323" s="1">
        <v>5.3885515972077178E-2</v>
      </c>
      <c r="Q7323" s="1">
        <v>0.90650752072025464</v>
      </c>
      <c r="R7323" s="2">
        <f t="shared" si="459"/>
        <v>28.533512696052238</v>
      </c>
      <c r="S7323" s="2">
        <f t="shared" si="458"/>
        <v>1.2278392282936317</v>
      </c>
      <c r="T7323" s="2">
        <f t="shared" si="460"/>
        <v>1.5275549539680906</v>
      </c>
      <c r="U7323" s="2">
        <f t="shared" si="461"/>
        <v>31.288906878313959</v>
      </c>
    </row>
    <row r="7324" spans="1:21" x14ac:dyDescent="0.25">
      <c r="A7324">
        <v>8417041</v>
      </c>
      <c r="B7324">
        <v>25</v>
      </c>
      <c r="C7324" s="1">
        <f>1.11775019482734*(10.3/7.3)</f>
        <v>1.5770995899618654</v>
      </c>
      <c r="D7324" s="1">
        <f>1.90863967768665*(10.3/7.3)</f>
        <v>2.6930121479688398</v>
      </c>
      <c r="E7324" s="1">
        <f>6.62058345867411*(10.3/7.3)</f>
        <v>9.341371181416898</v>
      </c>
      <c r="F7324" s="1">
        <f>15.5977634492506*(38.9/42.5)</f>
        <v>14.276541133549415</v>
      </c>
      <c r="G7324" s="1">
        <v>0.71472593666639228</v>
      </c>
      <c r="H7324" s="1">
        <v>3.770775583703831</v>
      </c>
      <c r="I7324" s="1">
        <v>11.046615825184633</v>
      </c>
      <c r="J7324" s="1">
        <v>1.5777249938239635E-2</v>
      </c>
      <c r="K7324" s="1">
        <v>1.4430051638374284</v>
      </c>
      <c r="L7324" s="1">
        <v>1.0754039383456842</v>
      </c>
      <c r="M7324" s="1">
        <v>7.1466427131278459E-2</v>
      </c>
      <c r="N7324" s="1">
        <v>0.61958117545823521</v>
      </c>
      <c r="O7324" s="1">
        <v>6.7891199999999999E-2</v>
      </c>
      <c r="P7324" s="1">
        <v>4.7257792830627372E-2</v>
      </c>
      <c r="Q7324" s="1">
        <v>1.1422560631654681</v>
      </c>
      <c r="R7324" s="2">
        <f t="shared" si="459"/>
        <v>44.562397461617344</v>
      </c>
      <c r="S7324" s="2">
        <f t="shared" si="458"/>
        <v>1.5060402066062955</v>
      </c>
      <c r="T7324" s="2">
        <f t="shared" si="460"/>
        <v>1.8343427409351978</v>
      </c>
      <c r="U7324" s="2">
        <f t="shared" si="461"/>
        <v>47.902780409158837</v>
      </c>
    </row>
    <row r="7325" spans="1:21" x14ac:dyDescent="0.25">
      <c r="A7325">
        <v>8428757</v>
      </c>
      <c r="B7325">
        <v>29</v>
      </c>
      <c r="C7325" s="1">
        <f>0.294738683844648*(10.3/7.3)</f>
        <v>0.41586417035614698</v>
      </c>
      <c r="D7325" s="1">
        <f>0.91650738178403*(10.3/7.3)</f>
        <v>1.2931542510103438</v>
      </c>
      <c r="E7325" s="1">
        <f>3.09607399793079*(10.3/7.3)</f>
        <v>4.3684331751626173</v>
      </c>
      <c r="F7325" s="1">
        <f>9.08056061614709*(38.9/42.5)</f>
        <v>8.3113837168969837</v>
      </c>
      <c r="G7325" s="1">
        <v>0.50225871849742143</v>
      </c>
      <c r="H7325" s="1">
        <v>2.3346806027458911</v>
      </c>
      <c r="I7325" s="1">
        <v>6.2077020664937956</v>
      </c>
      <c r="J7325" s="1">
        <v>1.2337773352281638E-2</v>
      </c>
      <c r="K7325" s="1">
        <v>1.1516548531284529</v>
      </c>
      <c r="L7325" s="1">
        <v>0.85554830829247053</v>
      </c>
      <c r="M7325" s="1">
        <v>9.1264371578405307E-2</v>
      </c>
      <c r="N7325" s="1">
        <v>0.4722625174628034</v>
      </c>
      <c r="O7325" s="1">
        <v>8.6455172413793108E-2</v>
      </c>
      <c r="P7325" s="1">
        <v>5.3957709607953853E-2</v>
      </c>
      <c r="Q7325" s="1">
        <v>0.80269658207350569</v>
      </c>
      <c r="R7325" s="2">
        <f t="shared" si="459"/>
        <v>24.236173283236706</v>
      </c>
      <c r="S7325" s="2">
        <f t="shared" si="458"/>
        <v>1.2179503360886883</v>
      </c>
      <c r="T7325" s="2">
        <f t="shared" si="460"/>
        <v>1.5055303697474725</v>
      </c>
      <c r="U7325" s="2">
        <f t="shared" si="461"/>
        <v>26.959653989072866</v>
      </c>
    </row>
    <row r="7326" spans="1:21" x14ac:dyDescent="0.25">
      <c r="A7326">
        <v>8428765</v>
      </c>
      <c r="B7326">
        <v>67</v>
      </c>
      <c r="C7326" s="1">
        <f>0.308187499696292*(10.3/7.3)</f>
        <v>0.43483989683175378</v>
      </c>
      <c r="D7326" s="1">
        <f>0.978651689464143*(10.3/7.3)</f>
        <v>1.3808373152713249</v>
      </c>
      <c r="E7326" s="1">
        <f>3.30303562567612*(10.3/7.3)</f>
        <v>4.6604475266389125</v>
      </c>
      <c r="F7326" s="1">
        <f>9.77443450264262*(38.9/42.5)</f>
        <v>8.9464824035952493</v>
      </c>
      <c r="G7326" s="1">
        <v>0.54363624217371587</v>
      </c>
      <c r="H7326" s="1">
        <v>3.272115757042346</v>
      </c>
      <c r="I7326" s="1">
        <v>6.6847834749756476</v>
      </c>
      <c r="J7326" s="1">
        <v>1.2620301276357215E-2</v>
      </c>
      <c r="K7326" s="1">
        <v>1.1609635188981984</v>
      </c>
      <c r="L7326" s="1">
        <v>0.86282546982147679</v>
      </c>
      <c r="M7326" s="1">
        <v>9.2325306762653492E-2</v>
      </c>
      <c r="N7326" s="1">
        <v>0.48286825134269884</v>
      </c>
      <c r="O7326" s="1">
        <v>8.6717611940298478E-2</v>
      </c>
      <c r="P7326" s="1">
        <v>5.4132393472292942E-2</v>
      </c>
      <c r="Q7326" s="1">
        <v>0.86882504456986687</v>
      </c>
      <c r="R7326" s="2">
        <f t="shared" si="459"/>
        <v>26.791967661098816</v>
      </c>
      <c r="S7326" s="2">
        <f t="shared" si="458"/>
        <v>1.2277162136468487</v>
      </c>
      <c r="T7326" s="2">
        <f t="shared" si="460"/>
        <v>1.5247366398671276</v>
      </c>
      <c r="U7326" s="2">
        <f t="shared" si="461"/>
        <v>29.544420514612796</v>
      </c>
    </row>
    <row r="7327" spans="1:21" x14ac:dyDescent="0.25">
      <c r="A7327">
        <v>8428773</v>
      </c>
      <c r="B7327">
        <v>28</v>
      </c>
      <c r="C7327" s="1">
        <f>0.312448542639646*(10.3/7.3)</f>
        <v>0.44085205331347321</v>
      </c>
      <c r="D7327" s="1">
        <f>1.01358278638149*(10.3/7.3)</f>
        <v>1.4301236574971676</v>
      </c>
      <c r="E7327" s="1">
        <f>3.41950064688868*(10.3/7.3)</f>
        <v>4.8247748853360815</v>
      </c>
      <c r="F7327" s="1">
        <f>10.1248369426077*(38.9/42.5)</f>
        <v>9.2672036957044739</v>
      </c>
      <c r="G7327" s="1">
        <v>0.5637927635952763</v>
      </c>
      <c r="H7327" s="1">
        <v>3.1696215558431429</v>
      </c>
      <c r="I7327" s="1">
        <v>6.9099295969484018</v>
      </c>
      <c r="J7327" s="1">
        <v>1.2868121565730025E-2</v>
      </c>
      <c r="K7327" s="1">
        <v>1.1626391827929889</v>
      </c>
      <c r="L7327" s="1">
        <v>0.86244431296197255</v>
      </c>
      <c r="M7327" s="1">
        <v>8.996254334539304E-2</v>
      </c>
      <c r="N7327" s="1">
        <v>0.49341776233758933</v>
      </c>
      <c r="O7327" s="1">
        <v>8.5548571428571404E-2</v>
      </c>
      <c r="P7327" s="1">
        <v>5.3970262526712956E-2</v>
      </c>
      <c r="Q7327" s="1">
        <v>0.90103866328012294</v>
      </c>
      <c r="R7327" s="2">
        <f t="shared" si="459"/>
        <v>27.507336871518142</v>
      </c>
      <c r="S7327" s="2">
        <f t="shared" si="458"/>
        <v>1.2294775668854319</v>
      </c>
      <c r="T7327" s="2">
        <f t="shared" si="460"/>
        <v>1.5313731900735261</v>
      </c>
      <c r="U7327" s="2">
        <f t="shared" si="461"/>
        <v>30.268187628477101</v>
      </c>
    </row>
    <row r="7328" spans="1:21" x14ac:dyDescent="0.25">
      <c r="A7328">
        <v>8428797</v>
      </c>
      <c r="B7328">
        <v>2</v>
      </c>
      <c r="C7328" s="1">
        <f>0.388912034713707*(10.3/7.3)</f>
        <v>0.54873889829468181</v>
      </c>
      <c r="D7328" s="1">
        <f>4.74614054479771*(10.3/7.3)</f>
        <v>6.6966092618378648</v>
      </c>
      <c r="E7328" s="1">
        <f>16.1996759477134*(10.3/7.3)</f>
        <v>22.85707702211613</v>
      </c>
      <c r="F7328" s="1">
        <f>27.500858506604*(38.9/42.5)</f>
        <v>25.171374021338753</v>
      </c>
      <c r="G7328" s="1">
        <v>1.0276709453067416</v>
      </c>
      <c r="H7328" s="1">
        <v>8.3288537448275797</v>
      </c>
      <c r="I7328" s="1">
        <v>12.022952579583301</v>
      </c>
      <c r="J7328" s="1">
        <v>1.572106992049406E-2</v>
      </c>
      <c r="K7328" s="1">
        <v>1.3442607553909616</v>
      </c>
      <c r="L7328" s="1">
        <v>1.0364059921990778</v>
      </c>
      <c r="M7328" s="1">
        <v>0.10356320956223848</v>
      </c>
      <c r="N7328" s="1">
        <v>0.59712933755894848</v>
      </c>
      <c r="O7328" s="1">
        <v>9.7040000000000001E-2</v>
      </c>
      <c r="P7328" s="1">
        <v>6.0314875051737687E-2</v>
      </c>
      <c r="Q7328" s="1">
        <v>1.6423964879331505</v>
      </c>
      <c r="R7328" s="2">
        <f t="shared" si="459"/>
        <v>78.295672961238211</v>
      </c>
      <c r="S7328" s="2">
        <f t="shared" si="458"/>
        <v>1.4202967003631934</v>
      </c>
      <c r="T7328" s="2">
        <f t="shared" si="460"/>
        <v>1.8341385393202649</v>
      </c>
      <c r="U7328" s="2">
        <f t="shared" si="461"/>
        <v>81.55010820092167</v>
      </c>
    </row>
    <row r="7329" spans="1:21" x14ac:dyDescent="0.25">
      <c r="A7329">
        <v>8429277</v>
      </c>
      <c r="B7329">
        <v>2</v>
      </c>
      <c r="C7329" s="1">
        <f>1.02181763025041*(10.3/7.3)</f>
        <v>1.4417426837779774</v>
      </c>
      <c r="D7329" s="1">
        <f>1.74739314826361*(10.3/7.3)</f>
        <v>2.4654999215226279</v>
      </c>
      <c r="E7329" s="1">
        <f>6.05945106188934*(10.3/7.3)</f>
        <v>8.5496364297890679</v>
      </c>
      <c r="F7329" s="1">
        <f>14.3526129911703*(38.9/42.5)</f>
        <v>13.136862243682888</v>
      </c>
      <c r="G7329" s="1">
        <v>0.66072224694079296</v>
      </c>
      <c r="H7329" s="1">
        <v>3.4096402475044303</v>
      </c>
      <c r="I7329" s="1">
        <v>10.175580250141142</v>
      </c>
      <c r="J7329" s="1">
        <v>1.4359001514426963E-2</v>
      </c>
      <c r="K7329" s="1">
        <v>1.3106551076243329</v>
      </c>
      <c r="L7329" s="1">
        <v>0.98078358035743463</v>
      </c>
      <c r="M7329" s="1">
        <v>6.6893249221131046E-2</v>
      </c>
      <c r="N7329" s="1">
        <v>0.56083331711198403</v>
      </c>
      <c r="O7329" s="1">
        <v>6.3173333333333331E-2</v>
      </c>
      <c r="P7329" s="1">
        <v>4.4351944204317734E-2</v>
      </c>
      <c r="Q7329" s="1">
        <v>1.0559487964807204</v>
      </c>
      <c r="R7329" s="2">
        <f t="shared" si="459"/>
        <v>40.895632819839648</v>
      </c>
      <c r="S7329" s="2">
        <f t="shared" si="458"/>
        <v>1.3693660533430776</v>
      </c>
      <c r="T7329" s="2">
        <f t="shared" si="460"/>
        <v>1.6716834800238831</v>
      </c>
      <c r="U7329" s="2">
        <f t="shared" si="461"/>
        <v>43.936682353206606</v>
      </c>
    </row>
    <row r="7330" spans="1:21" x14ac:dyDescent="0.25">
      <c r="A7330">
        <v>8440993</v>
      </c>
      <c r="B7330">
        <v>15</v>
      </c>
      <c r="C7330" s="1">
        <f>0.275076253422781*(10.3/7.3)</f>
        <v>0.38812128907597832</v>
      </c>
      <c r="D7330" s="1">
        <f>0.849804305946853*(10.3/7.3)</f>
        <v>1.1990389522263816</v>
      </c>
      <c r="E7330" s="1">
        <f>2.87145434244753*(10.3/7.3)</f>
        <v>4.0515040722204922</v>
      </c>
      <c r="F7330" s="1">
        <f>8.40319165126321*(38.9/42.5)</f>
        <v>7.6913918878620926</v>
      </c>
      <c r="G7330" s="1">
        <v>0.46412214997026469</v>
      </c>
      <c r="H7330" s="1">
        <v>2.2300300157758155</v>
      </c>
      <c r="I7330" s="1">
        <v>5.7449606145911085</v>
      </c>
      <c r="J7330" s="1">
        <v>1.2218163778785056E-2</v>
      </c>
      <c r="K7330" s="1">
        <v>1.1440369895638502</v>
      </c>
      <c r="L7330" s="1">
        <v>0.8528243477106624</v>
      </c>
      <c r="M7330" s="1">
        <v>9.0897071729967222E-2</v>
      </c>
      <c r="N7330" s="1">
        <v>0.46789879578417332</v>
      </c>
      <c r="O7330" s="1">
        <v>8.6069333333333303E-2</v>
      </c>
      <c r="P7330" s="1">
        <v>5.3757800063792834E-2</v>
      </c>
      <c r="Q7330" s="1">
        <v>0.74174772826298097</v>
      </c>
      <c r="R7330" s="2">
        <f t="shared" si="459"/>
        <v>22.510916709985114</v>
      </c>
      <c r="S7330" s="2">
        <f t="shared" si="458"/>
        <v>1.2100129534064281</v>
      </c>
      <c r="T7330" s="2">
        <f t="shared" si="460"/>
        <v>1.4976895485581363</v>
      </c>
      <c r="U7330" s="2">
        <f t="shared" si="461"/>
        <v>25.218619211949676</v>
      </c>
    </row>
    <row r="7331" spans="1:21" x14ac:dyDescent="0.25">
      <c r="A7331">
        <v>8441001</v>
      </c>
      <c r="B7331">
        <v>62</v>
      </c>
      <c r="C7331" s="1">
        <f>0.307064353236195*(10.3/7.3)</f>
        <v>0.43325518333326163</v>
      </c>
      <c r="D7331" s="1">
        <f>0.997892619344781*(10.3/7.3)</f>
        <v>1.4079854766097593</v>
      </c>
      <c r="E7331" s="1">
        <f>3.36718927368514*(10.3/7.3)</f>
        <v>4.7509656875283506</v>
      </c>
      <c r="F7331" s="1">
        <f>9.93243730574927*(38.9/42.5)</f>
        <v>9.0911014398505081</v>
      </c>
      <c r="G7331" s="1">
        <v>0.55204977730021509</v>
      </c>
      <c r="H7331" s="1">
        <v>2.7301134027077349</v>
      </c>
      <c r="I7331" s="1">
        <v>6.7695665003064311</v>
      </c>
      <c r="J7331" s="1">
        <v>1.239042872615875E-2</v>
      </c>
      <c r="K7331" s="1">
        <v>1.1428337748270121</v>
      </c>
      <c r="L7331" s="1">
        <v>0.85175662704993294</v>
      </c>
      <c r="M7331" s="1">
        <v>9.0638591918997258E-2</v>
      </c>
      <c r="N7331" s="1">
        <v>0.47267720000316898</v>
      </c>
      <c r="O7331" s="1">
        <v>8.5343655913978522E-2</v>
      </c>
      <c r="P7331" s="1">
        <v>5.3480509724495848E-2</v>
      </c>
      <c r="Q7331" s="1">
        <v>0.88227133358482035</v>
      </c>
      <c r="R7331" s="2">
        <f t="shared" si="459"/>
        <v>26.617308801221082</v>
      </c>
      <c r="S7331" s="2">
        <f t="shared" si="458"/>
        <v>1.2087047132776667</v>
      </c>
      <c r="T7331" s="2">
        <f t="shared" si="460"/>
        <v>1.5004160748860778</v>
      </c>
      <c r="U7331" s="2">
        <f t="shared" si="461"/>
        <v>29.326429589384826</v>
      </c>
    </row>
    <row r="7332" spans="1:21" x14ac:dyDescent="0.25">
      <c r="A7332">
        <v>8441009</v>
      </c>
      <c r="B7332">
        <v>18</v>
      </c>
      <c r="C7332" s="1">
        <f>0.304328131350809*(10.3/7.3)</f>
        <v>0.42939448670045716</v>
      </c>
      <c r="D7332" s="1">
        <f>1.00686982412803*(10.3/7.3)</f>
        <v>1.420651943632701</v>
      </c>
      <c r="E7332" s="1">
        <f>3.39759720721951*(10.3/7.3)</f>
        <v>4.7938700321042447</v>
      </c>
      <c r="F7332" s="1">
        <f>9.96082735975436*(38.9/42.5)</f>
        <v>9.1170866892810523</v>
      </c>
      <c r="G7332" s="1">
        <v>0.55228282652699601</v>
      </c>
      <c r="H7332" s="1">
        <v>4.3840364506646265</v>
      </c>
      <c r="I7332" s="1">
        <v>6.763342814063984</v>
      </c>
      <c r="J7332" s="1">
        <v>1.2690479503671876E-2</v>
      </c>
      <c r="K7332" s="1">
        <v>1.1475452107542408</v>
      </c>
      <c r="L7332" s="1">
        <v>0.85159893551127508</v>
      </c>
      <c r="M7332" s="1">
        <v>8.9049955690298332E-2</v>
      </c>
      <c r="N7332" s="1">
        <v>0.48690881023530558</v>
      </c>
      <c r="O7332" s="1">
        <v>8.4180740740740737E-2</v>
      </c>
      <c r="P7332" s="1">
        <v>5.3327712508037695E-2</v>
      </c>
      <c r="Q7332" s="1">
        <v>0.88264378668698096</v>
      </c>
      <c r="R7332" s="2">
        <f t="shared" si="459"/>
        <v>28.343309029661039</v>
      </c>
      <c r="S7332" s="2">
        <f t="shared" si="458"/>
        <v>1.2135634027659505</v>
      </c>
      <c r="T7332" s="2">
        <f t="shared" si="460"/>
        <v>1.5117384421776197</v>
      </c>
      <c r="U7332" s="2">
        <f t="shared" si="461"/>
        <v>31.068610874604609</v>
      </c>
    </row>
    <row r="7333" spans="1:21" x14ac:dyDescent="0.25">
      <c r="A7333">
        <v>8441017</v>
      </c>
      <c r="B7333">
        <v>8</v>
      </c>
      <c r="C7333" s="1">
        <f>0.306819114692273*(10.3/7.3)</f>
        <v>0.43290916182608374</v>
      </c>
      <c r="D7333" s="1">
        <f>1.11937262178544*(10.3/7.3)</f>
        <v>1.5793887677246643</v>
      </c>
      <c r="E7333" s="1">
        <f>3.77722186256256*(10.3/7.3)</f>
        <v>5.3295048197800474</v>
      </c>
      <c r="F7333" s="1">
        <f>10.7569957372794*(38.9/42.5)</f>
        <v>9.8458149218862854</v>
      </c>
      <c r="G7333" s="1">
        <v>0.58966617223528139</v>
      </c>
      <c r="H7333" s="1">
        <v>5.0738994077685255</v>
      </c>
      <c r="I7333" s="1">
        <v>7.1637615205983805</v>
      </c>
      <c r="J7333" s="1">
        <v>1.2911008232276195E-2</v>
      </c>
      <c r="K7333" s="1">
        <v>1.1503958269834467</v>
      </c>
      <c r="L7333" s="1">
        <v>0.85545736451239962</v>
      </c>
      <c r="M7333" s="1">
        <v>8.9286122180039965E-2</v>
      </c>
      <c r="N7333" s="1">
        <v>0.49354764284415298</v>
      </c>
      <c r="O7333" s="1">
        <v>8.3886666666666679E-2</v>
      </c>
      <c r="P7333" s="1">
        <v>5.3369977474273071E-2</v>
      </c>
      <c r="Q7333" s="1">
        <v>0.94238885973675213</v>
      </c>
      <c r="R7333" s="2">
        <f t="shared" si="459"/>
        <v>30.957333631556025</v>
      </c>
      <c r="S7333" s="2">
        <f t="shared" si="458"/>
        <v>1.2166768126899958</v>
      </c>
      <c r="T7333" s="2">
        <f t="shared" si="460"/>
        <v>1.5221777962032592</v>
      </c>
      <c r="U7333" s="2">
        <f t="shared" si="461"/>
        <v>33.696188240449281</v>
      </c>
    </row>
    <row r="7334" spans="1:21" x14ac:dyDescent="0.25">
      <c r="A7334">
        <v>8441025</v>
      </c>
      <c r="B7334">
        <v>4</v>
      </c>
      <c r="C7334" s="1">
        <f>0.349520975024848*(10.3/7.3)</f>
        <v>0.49315973188437501</v>
      </c>
      <c r="D7334" s="1">
        <f>1.76440549509878*(10.3/7.3)</f>
        <v>2.4895036437695177</v>
      </c>
      <c r="E7334" s="1">
        <f>5.95966032654638*(10.3/7.3)</f>
        <v>8.4088358032092803</v>
      </c>
      <c r="F7334" s="1">
        <f>15.3234230690019*(38.9/42.5)</f>
        <v>14.025438997274636</v>
      </c>
      <c r="G7334" s="1">
        <v>0.80152003332404331</v>
      </c>
      <c r="H7334" s="1">
        <v>4.0863281228403912</v>
      </c>
      <c r="I7334" s="1">
        <v>9.5235432641807556</v>
      </c>
      <c r="J7334" s="1">
        <v>1.4532972868472915E-2</v>
      </c>
      <c r="K7334" s="1">
        <v>1.2697441184594656</v>
      </c>
      <c r="L7334" s="1">
        <v>0.96600036565871827</v>
      </c>
      <c r="M7334" s="1">
        <v>9.8232881196000488E-2</v>
      </c>
      <c r="N7334" s="1">
        <v>0.5570322009890063</v>
      </c>
      <c r="O7334" s="1">
        <v>9.2186666666666667E-2</v>
      </c>
      <c r="P7334" s="1">
        <v>5.7979646009509819E-2</v>
      </c>
      <c r="Q7334" s="1">
        <v>1.280968089787285</v>
      </c>
      <c r="R7334" s="2">
        <f t="shared" si="459"/>
        <v>41.109297686270288</v>
      </c>
      <c r="S7334" s="2">
        <f t="shared" si="458"/>
        <v>1.3422567373374483</v>
      </c>
      <c r="T7334" s="2">
        <f t="shared" si="460"/>
        <v>1.7134521145103916</v>
      </c>
      <c r="U7334" s="2">
        <f t="shared" si="461"/>
        <v>44.165006538118128</v>
      </c>
    </row>
    <row r="7335" spans="1:21" x14ac:dyDescent="0.25">
      <c r="A7335">
        <v>845013</v>
      </c>
      <c r="B7335">
        <v>25</v>
      </c>
      <c r="C7335" s="1">
        <f>1.7860360515588*(10.3/7.3)</f>
        <v>2.5200234700076236</v>
      </c>
      <c r="D7335" s="1">
        <f>2.21337012683065*(10.3/7.3)</f>
        <v>3.1229742885418816</v>
      </c>
      <c r="E7335" s="1">
        <f>7.81031106390616*(10.3/7.3)</f>
        <v>11.020027939484031</v>
      </c>
      <c r="F7335" s="1">
        <f>16.5852645511905*(38.9/42.5)</f>
        <v>15.180395083324965</v>
      </c>
      <c r="G7335" s="1">
        <v>0.65447768137210927</v>
      </c>
      <c r="H7335" s="1">
        <v>3.2578834600538058</v>
      </c>
      <c r="I7335" s="1">
        <v>12.531713230070455</v>
      </c>
      <c r="J7335" s="1">
        <v>4.1282299082127806E-2</v>
      </c>
      <c r="K7335" s="1">
        <v>4.8093125091316828</v>
      </c>
      <c r="L7335" s="1">
        <v>1.554960212791209</v>
      </c>
      <c r="M7335" s="1">
        <v>0.10451094241198106</v>
      </c>
      <c r="N7335" s="1">
        <v>2.2225040992939675</v>
      </c>
      <c r="O7335" s="1">
        <v>7.1767466666666654E-2</v>
      </c>
      <c r="P7335" s="1">
        <v>6.2674515858769611E-2</v>
      </c>
      <c r="Q7335" s="1">
        <v>1.0459688971700387</v>
      </c>
      <c r="R7335" s="2">
        <f t="shared" si="459"/>
        <v>49.333464050024915</v>
      </c>
      <c r="S7335" s="2">
        <f t="shared" si="458"/>
        <v>4.91326932407258</v>
      </c>
      <c r="T7335" s="2">
        <f t="shared" si="460"/>
        <v>3.9537427211638239</v>
      </c>
      <c r="U7335" s="2">
        <f t="shared" si="461"/>
        <v>58.200476095261322</v>
      </c>
    </row>
    <row r="7336" spans="1:21" x14ac:dyDescent="0.25">
      <c r="A7336">
        <v>845045</v>
      </c>
      <c r="B7336">
        <v>11</v>
      </c>
      <c r="C7336" s="1">
        <f>1.53443728972739*(10.3/7.3)</f>
        <v>2.1650279567386521</v>
      </c>
      <c r="D7336" s="1">
        <f>2.03174940302855*(10.3/7.3)</f>
        <v>2.8667149111224783</v>
      </c>
      <c r="E7336" s="1">
        <f>7.11792654911913*(10.3/7.3)</f>
        <v>10.043101843277674</v>
      </c>
      <c r="F7336" s="1">
        <f>16.663593472297*(38.9/42.5)</f>
        <v>15.252089084055394</v>
      </c>
      <c r="G7336" s="1">
        <v>0.73418026521282809</v>
      </c>
      <c r="H7336" s="1">
        <v>1.3930740398001407</v>
      </c>
      <c r="I7336" s="1">
        <v>12.571309196261195</v>
      </c>
      <c r="J7336" s="1">
        <v>5.4670208699593693E-2</v>
      </c>
      <c r="K7336" s="1">
        <v>3.9228872129568444</v>
      </c>
      <c r="L7336" s="1">
        <v>1.3921193110099039</v>
      </c>
      <c r="M7336" s="1">
        <v>7.9838861530132907E-2</v>
      </c>
      <c r="N7336" s="1">
        <v>1.539286690765143</v>
      </c>
      <c r="O7336" s="1">
        <v>6.7956363636363634E-2</v>
      </c>
      <c r="P7336" s="1">
        <v>5.8926349722498418E-2</v>
      </c>
      <c r="Q7336" s="1">
        <v>1.1733474558195895</v>
      </c>
      <c r="R7336" s="2">
        <f t="shared" si="459"/>
        <v>46.198844752287954</v>
      </c>
      <c r="S7336" s="2">
        <f t="shared" si="458"/>
        <v>4.0364837713789363</v>
      </c>
      <c r="T7336" s="2">
        <f t="shared" si="460"/>
        <v>3.0792012269415436</v>
      </c>
      <c r="U7336" s="2">
        <f t="shared" si="461"/>
        <v>53.314529750608436</v>
      </c>
    </row>
    <row r="7337" spans="1:21" x14ac:dyDescent="0.25">
      <c r="A7337">
        <v>845053</v>
      </c>
      <c r="B7337">
        <v>47</v>
      </c>
      <c r="C7337" s="1">
        <f>1.77523742850514*(10.3/7.3)</f>
        <v>2.5047870566579422</v>
      </c>
      <c r="D7337" s="1">
        <f>2.23792232254643*(10.3/7.3)</f>
        <v>3.1576164277024983</v>
      </c>
      <c r="E7337" s="1">
        <f>7.90686207503487*(10.3/7.3)</f>
        <v>11.156257448336877</v>
      </c>
      <c r="F7337" s="1">
        <f>15.980657127907*(38.9/42.5)</f>
        <v>14.627001465307838</v>
      </c>
      <c r="G7337" s="1">
        <v>0.5967744620793588</v>
      </c>
      <c r="H7337" s="1">
        <v>1.5873182233130614</v>
      </c>
      <c r="I7337" s="1">
        <v>11.891610106635747</v>
      </c>
      <c r="J7337" s="1">
        <v>4.0663253571940658E-2</v>
      </c>
      <c r="K7337" s="1">
        <v>3.9733095463961763</v>
      </c>
      <c r="L7337" s="1">
        <v>1.4878928524212363</v>
      </c>
      <c r="M7337" s="1">
        <v>8.2402221172777942E-2</v>
      </c>
      <c r="N7337" s="1">
        <v>1.1773517393678752</v>
      </c>
      <c r="O7337" s="1">
        <v>7.3165390070922015E-2</v>
      </c>
      <c r="P7337" s="1">
        <v>6.2102755043617383E-2</v>
      </c>
      <c r="Q7337" s="1">
        <v>0.95374914030947822</v>
      </c>
      <c r="R7337" s="2">
        <f t="shared" si="459"/>
        <v>46.475114330342798</v>
      </c>
      <c r="S7337" s="2">
        <f t="shared" si="458"/>
        <v>4.0760755550117338</v>
      </c>
      <c r="T7337" s="2">
        <f t="shared" si="460"/>
        <v>2.8208122030328115</v>
      </c>
      <c r="U7337" s="2">
        <f t="shared" si="461"/>
        <v>53.37200208838734</v>
      </c>
    </row>
    <row r="7338" spans="1:21" x14ac:dyDescent="0.25">
      <c r="A7338">
        <v>845061</v>
      </c>
      <c r="B7338">
        <v>2</v>
      </c>
      <c r="C7338" s="1">
        <f>1.78554216971841*(10.3/7.3)</f>
        <v>2.5193266230273528</v>
      </c>
      <c r="D7338" s="1">
        <f>2.25188319682506*(10.3/7.3)</f>
        <v>3.177314647575082</v>
      </c>
      <c r="E7338" s="1">
        <f>7.96797253875251*(10.3/7.3)</f>
        <v>11.242481801253543</v>
      </c>
      <c r="F7338" s="1">
        <f>15.5013614861001*(38.9/42.5)</f>
        <v>14.188304983748077</v>
      </c>
      <c r="G7338" s="1">
        <v>0.55079857984257241</v>
      </c>
      <c r="H7338" s="1">
        <v>1.5461872872531295</v>
      </c>
      <c r="I7338" s="1">
        <v>11.441517621774882</v>
      </c>
      <c r="J7338" s="1">
        <v>4.0077059486927503E-2</v>
      </c>
      <c r="K7338" s="1">
        <v>4.0617076100280531</v>
      </c>
      <c r="L7338" s="1">
        <v>1.5506135097876412</v>
      </c>
      <c r="M7338" s="1">
        <v>8.4109317649163656E-2</v>
      </c>
      <c r="N7338" s="1">
        <v>1.189907638734611</v>
      </c>
      <c r="O7338" s="1">
        <v>7.5013333333333349E-2</v>
      </c>
      <c r="P7338" s="1">
        <v>6.3923936386276733E-2</v>
      </c>
      <c r="Q7338" s="1">
        <v>0.88027170294475132</v>
      </c>
      <c r="R7338" s="2">
        <f t="shared" si="459"/>
        <v>45.546203247419385</v>
      </c>
      <c r="S7338" s="2">
        <f t="shared" si="458"/>
        <v>4.1657086059012576</v>
      </c>
      <c r="T7338" s="2">
        <f t="shared" si="460"/>
        <v>2.8996437995047493</v>
      </c>
      <c r="U7338" s="2">
        <f t="shared" si="461"/>
        <v>52.611555652825395</v>
      </c>
    </row>
    <row r="7339" spans="1:21" x14ac:dyDescent="0.25">
      <c r="A7339">
        <v>8453229</v>
      </c>
      <c r="B7339">
        <v>7</v>
      </c>
      <c r="C7339" s="1">
        <f>0.287862558396463*(10.3/7.3)</f>
        <v>0.40616223992925599</v>
      </c>
      <c r="D7339" s="1">
        <f>0.915661791151068*(10.3/7.3)</f>
        <v>1.2919611573775345</v>
      </c>
      <c r="E7339" s="1">
        <f>3.0916853999613*(10.3/7.3)</f>
        <v>4.3622410437810188</v>
      </c>
      <c r="F7339" s="1">
        <f>9.07998714583771*(38.9/42.5)</f>
        <v>8.3108588228961633</v>
      </c>
      <c r="G7339" s="1">
        <v>0.50307532285166257</v>
      </c>
      <c r="H7339" s="1">
        <v>2.3969477979669724</v>
      </c>
      <c r="I7339" s="1">
        <v>6.1944869357382659</v>
      </c>
      <c r="J7339" s="1">
        <v>1.2191330566453693E-2</v>
      </c>
      <c r="K7339" s="1">
        <v>1.1387232475829283</v>
      </c>
      <c r="L7339" s="1">
        <v>0.84960166060340736</v>
      </c>
      <c r="M7339" s="1">
        <v>9.0981342543249619E-2</v>
      </c>
      <c r="N7339" s="1">
        <v>0.46578477064130641</v>
      </c>
      <c r="O7339" s="1">
        <v>8.5676190476190475E-2</v>
      </c>
      <c r="P7339" s="1">
        <v>5.3485338603820078E-2</v>
      </c>
      <c r="Q7339" s="1">
        <v>0.80400165752548891</v>
      </c>
      <c r="R7339" s="2">
        <f t="shared" si="459"/>
        <v>24.269734978066364</v>
      </c>
      <c r="S7339" s="2">
        <f t="shared" si="458"/>
        <v>1.204399916753202</v>
      </c>
      <c r="T7339" s="2">
        <f t="shared" si="460"/>
        <v>1.4920439642641539</v>
      </c>
      <c r="U7339" s="2">
        <f t="shared" si="461"/>
        <v>26.966178859083723</v>
      </c>
    </row>
    <row r="7340" spans="1:21" x14ac:dyDescent="0.25">
      <c r="A7340">
        <v>8453237</v>
      </c>
      <c r="B7340">
        <v>56</v>
      </c>
      <c r="C7340" s="1">
        <f>0.320531021375457*(10.3/7.3)</f>
        <v>0.45225609865304278</v>
      </c>
      <c r="D7340" s="1">
        <f>1.08313183418181*(10.3/7.3)</f>
        <v>1.5282545057633736</v>
      </c>
      <c r="E7340" s="1">
        <f>3.65295520970916*(10.3/7.3)</f>
        <v>5.1541696794526501</v>
      </c>
      <c r="F7340" s="1">
        <f>10.7424279950999*(38.9/42.5)</f>
        <v>9.8324811531620195</v>
      </c>
      <c r="G7340" s="1">
        <v>0.59707910307267631</v>
      </c>
      <c r="H7340" s="1">
        <v>2.9720653102824754</v>
      </c>
      <c r="I7340" s="1">
        <v>7.2850484021919044</v>
      </c>
      <c r="J7340" s="1">
        <v>1.2283468705181868E-2</v>
      </c>
      <c r="K7340" s="1">
        <v>1.1314747772804608</v>
      </c>
      <c r="L7340" s="1">
        <v>0.84448263563000858</v>
      </c>
      <c r="M7340" s="1">
        <v>8.8799026666942921E-2</v>
      </c>
      <c r="N7340" s="1">
        <v>0.4662529772432859</v>
      </c>
      <c r="O7340" s="1">
        <v>8.4328571428571433E-2</v>
      </c>
      <c r="P7340" s="1">
        <v>5.3106482452782024E-2</v>
      </c>
      <c r="Q7340" s="1">
        <v>0.95423600947688081</v>
      </c>
      <c r="R7340" s="2">
        <f t="shared" si="459"/>
        <v>28.775590262055022</v>
      </c>
      <c r="S7340" s="2">
        <f t="shared" si="458"/>
        <v>1.1968647284384246</v>
      </c>
      <c r="T7340" s="2">
        <f t="shared" si="460"/>
        <v>1.483863210968809</v>
      </c>
      <c r="U7340" s="2">
        <f t="shared" si="461"/>
        <v>31.456318201462256</v>
      </c>
    </row>
    <row r="7341" spans="1:21" x14ac:dyDescent="0.25">
      <c r="A7341">
        <v>8453245</v>
      </c>
      <c r="B7341">
        <v>36</v>
      </c>
      <c r="C7341" s="1">
        <f>0.30625874024748*(10.3/7.3)</f>
        <v>0.43211849651356771</v>
      </c>
      <c r="D7341" s="1">
        <f>1.05995484707961*(10.3/7.3)</f>
        <v>1.4955527294410937</v>
      </c>
      <c r="E7341" s="1">
        <f>3.57678034558634*(10.3/7.3)</f>
        <v>5.0466900766492211</v>
      </c>
      <c r="F7341" s="1">
        <f>10.3414232241778*(38.9/42.5)</f>
        <v>9.4654438451886413</v>
      </c>
      <c r="G7341" s="1">
        <v>0.57027559205684686</v>
      </c>
      <c r="H7341" s="1">
        <v>4.5120922737405298</v>
      </c>
      <c r="I7341" s="1">
        <v>6.9583846807583134</v>
      </c>
      <c r="J7341" s="1">
        <v>1.2752241691693604E-2</v>
      </c>
      <c r="K7341" s="1">
        <v>1.1485060579581898</v>
      </c>
      <c r="L7341" s="1">
        <v>0.85288679720215854</v>
      </c>
      <c r="M7341" s="1">
        <v>8.9580111266064161E-2</v>
      </c>
      <c r="N7341" s="1">
        <v>0.48864353460635951</v>
      </c>
      <c r="O7341" s="1">
        <v>8.3894814814814811E-2</v>
      </c>
      <c r="P7341" s="1">
        <v>5.3291867517784634E-2</v>
      </c>
      <c r="Q7341" s="1">
        <v>0.9113993480360576</v>
      </c>
      <c r="R7341" s="2">
        <f t="shared" si="459"/>
        <v>29.39195704238427</v>
      </c>
      <c r="S7341" s="2">
        <f t="shared" si="458"/>
        <v>1.2145501671676682</v>
      </c>
      <c r="T7341" s="2">
        <f t="shared" si="460"/>
        <v>1.5150052578893971</v>
      </c>
      <c r="U7341" s="2">
        <f t="shared" si="461"/>
        <v>32.121512467441335</v>
      </c>
    </row>
    <row r="7342" spans="1:21" x14ac:dyDescent="0.25">
      <c r="A7342">
        <v>8453253</v>
      </c>
      <c r="B7342">
        <v>25</v>
      </c>
      <c r="C7342" s="1">
        <f>0.31397502443848*(10.3/7.3)</f>
        <v>0.44300585639949902</v>
      </c>
      <c r="D7342" s="1">
        <f>1.26957148040479*(10.3/7.3)</f>
        <v>1.7913131846807255</v>
      </c>
      <c r="E7342" s="1">
        <f>4.2845125315472*(10.3/7.3)</f>
        <v>6.0452711061556368</v>
      </c>
      <c r="F7342" s="1">
        <f>11.8358898768366*(38.9/42.5)</f>
        <v>10.833320381386919</v>
      </c>
      <c r="G7342" s="1">
        <v>0.6405937160011872</v>
      </c>
      <c r="H7342" s="1">
        <v>3.6306345156521243</v>
      </c>
      <c r="I7342" s="1">
        <v>7.7211768037879107</v>
      </c>
      <c r="J7342" s="1">
        <v>1.329310873061371E-2</v>
      </c>
      <c r="K7342" s="1">
        <v>1.1779702075995346</v>
      </c>
      <c r="L7342" s="1">
        <v>0.88185853045041707</v>
      </c>
      <c r="M7342" s="1">
        <v>9.1016604888162794E-2</v>
      </c>
      <c r="N7342" s="1">
        <v>0.50945457522037318</v>
      </c>
      <c r="O7342" s="1">
        <v>8.5789866666666659E-2</v>
      </c>
      <c r="P7342" s="1">
        <v>5.4381391503129074E-2</v>
      </c>
      <c r="Q7342" s="1">
        <v>1.0237799114174233</v>
      </c>
      <c r="R7342" s="2">
        <f t="shared" si="459"/>
        <v>32.129095475481428</v>
      </c>
      <c r="S7342" s="2">
        <f t="shared" si="458"/>
        <v>1.2456447078332773</v>
      </c>
      <c r="T7342" s="2">
        <f t="shared" si="460"/>
        <v>1.5681195772256196</v>
      </c>
      <c r="U7342" s="2">
        <f t="shared" si="461"/>
        <v>34.94285976054033</v>
      </c>
    </row>
    <row r="7343" spans="1:21" x14ac:dyDescent="0.25">
      <c r="A7343">
        <v>8453261</v>
      </c>
      <c r="B7343">
        <v>5</v>
      </c>
      <c r="C7343" s="1">
        <f>0.386685583513901*(10.3/7.3)</f>
        <v>0.54559746714975144</v>
      </c>
      <c r="D7343" s="1">
        <f>4.10036397884832*(10.3/7.3)</f>
        <v>5.7854450660462584</v>
      </c>
      <c r="E7343" s="1">
        <f>13.976793018564*(10.3/7.3)</f>
        <v>19.720680560439686</v>
      </c>
      <c r="F7343" s="1">
        <f>25.1754388168648*(38.9/42.5)</f>
        <v>23.042931058259764</v>
      </c>
      <c r="G7343" s="1">
        <v>1.0049244178056944</v>
      </c>
      <c r="H7343" s="1">
        <v>11.252938110575677</v>
      </c>
      <c r="I7343" s="1">
        <v>11.777058729454501</v>
      </c>
      <c r="J7343" s="1">
        <v>1.5560676818471203E-2</v>
      </c>
      <c r="K7343" s="1">
        <v>1.3360246376701679</v>
      </c>
      <c r="L7343" s="1">
        <v>1.030292261838651</v>
      </c>
      <c r="M7343" s="1">
        <v>0.10295535978109727</v>
      </c>
      <c r="N7343" s="1">
        <v>0.59148275553087692</v>
      </c>
      <c r="O7343" s="1">
        <v>9.6671999999999994E-2</v>
      </c>
      <c r="P7343" s="1">
        <v>6.004905047093613E-2</v>
      </c>
      <c r="Q7343" s="1">
        <v>1.6060435901004264</v>
      </c>
      <c r="R7343" s="2">
        <f t="shared" si="459"/>
        <v>74.735618999831757</v>
      </c>
      <c r="S7343" s="2">
        <f t="shared" si="458"/>
        <v>1.4116343649595753</v>
      </c>
      <c r="T7343" s="2">
        <f t="shared" si="460"/>
        <v>1.8214023771506251</v>
      </c>
      <c r="U7343" s="2">
        <f t="shared" si="461"/>
        <v>77.968655741941959</v>
      </c>
    </row>
    <row r="7344" spans="1:21" x14ac:dyDescent="0.25">
      <c r="A7344">
        <v>8465465</v>
      </c>
      <c r="B7344">
        <v>4</v>
      </c>
      <c r="C7344" s="1">
        <f>0.321540975599749*(10.3/7.3)</f>
        <v>0.45368110255855043</v>
      </c>
      <c r="D7344" s="1">
        <f>1.07540216130751*(10.3/7.3)</f>
        <v>1.5173482549955251</v>
      </c>
      <c r="E7344" s="1">
        <f>3.62732079342278*(10.3/7.3)</f>
        <v>5.1180005715417272</v>
      </c>
      <c r="F7344" s="1">
        <f>10.6778834040996*(38.9/42.5)</f>
        <v>9.7734038686935101</v>
      </c>
      <c r="G7344" s="1">
        <v>0.59355561384807842</v>
      </c>
      <c r="H7344" s="1">
        <v>2.7499997336344904</v>
      </c>
      <c r="I7344" s="1">
        <v>7.2512521685224485</v>
      </c>
      <c r="J7344" s="1">
        <v>1.2088887504315134E-2</v>
      </c>
      <c r="K7344" s="1">
        <v>1.1245018362847354</v>
      </c>
      <c r="L7344" s="1">
        <v>0.83953063444027576</v>
      </c>
      <c r="M7344" s="1">
        <v>8.9390920066793847E-2</v>
      </c>
      <c r="N7344" s="1">
        <v>0.45818513255495186</v>
      </c>
      <c r="O7344" s="1">
        <v>8.4453333333333339E-2</v>
      </c>
      <c r="P7344" s="1">
        <v>5.2880143141053722E-2</v>
      </c>
      <c r="Q7344" s="1">
        <v>0.94860486231428154</v>
      </c>
      <c r="R7344" s="2">
        <f t="shared" si="459"/>
        <v>28.405846176108611</v>
      </c>
      <c r="S7344" s="2">
        <f t="shared" si="458"/>
        <v>1.1894708669301042</v>
      </c>
      <c r="T7344" s="2">
        <f t="shared" si="460"/>
        <v>1.4715600203953547</v>
      </c>
      <c r="U7344" s="2">
        <f t="shared" si="461"/>
        <v>31.06687706343407</v>
      </c>
    </row>
    <row r="7345" spans="1:21" x14ac:dyDescent="0.25">
      <c r="A7345">
        <v>8465473</v>
      </c>
      <c r="B7345">
        <v>50</v>
      </c>
      <c r="C7345" s="1">
        <f>0.316191916634923*(10.3/7.3)</f>
        <v>0.44613380018352106</v>
      </c>
      <c r="D7345" s="1">
        <f>1.09184523427965*(10.3/7.3)</f>
        <v>1.5405487552164905</v>
      </c>
      <c r="E7345" s="1">
        <f>3.68262262396864*(10.3/7.3)</f>
        <v>5.1960291817639668</v>
      </c>
      <c r="F7345" s="1">
        <f>10.7456258172117*(38.9/42.5)</f>
        <v>9.8354081009302305</v>
      </c>
      <c r="G7345" s="1">
        <v>0.59536675245287907</v>
      </c>
      <c r="H7345" s="1">
        <v>3.6947124402483449</v>
      </c>
      <c r="I7345" s="1">
        <v>7.2533187067584333</v>
      </c>
      <c r="J7345" s="1">
        <v>1.2306818449285868E-2</v>
      </c>
      <c r="K7345" s="1">
        <v>1.13017231589047</v>
      </c>
      <c r="L7345" s="1">
        <v>0.84624455756248407</v>
      </c>
      <c r="M7345" s="1">
        <v>8.828822170675607E-2</v>
      </c>
      <c r="N7345" s="1">
        <v>0.46708980159074054</v>
      </c>
      <c r="O7345" s="1">
        <v>8.3748266666666668E-2</v>
      </c>
      <c r="P7345" s="1">
        <v>5.3032926317801356E-2</v>
      </c>
      <c r="Q7345" s="1">
        <v>0.95149937606624557</v>
      </c>
      <c r="R7345" s="2">
        <f t="shared" si="459"/>
        <v>29.513017113620108</v>
      </c>
      <c r="S7345" s="2">
        <f t="shared" si="458"/>
        <v>1.1955120606575571</v>
      </c>
      <c r="T7345" s="2">
        <f t="shared" si="460"/>
        <v>1.4853708475266474</v>
      </c>
      <c r="U7345" s="2">
        <f t="shared" si="461"/>
        <v>32.193900021804311</v>
      </c>
    </row>
    <row r="7346" spans="1:21" x14ac:dyDescent="0.25">
      <c r="A7346">
        <v>8465481</v>
      </c>
      <c r="B7346">
        <v>60</v>
      </c>
      <c r="C7346" s="1">
        <f>0.303423345129779*(10.3/7.3)</f>
        <v>0.4281178705255792</v>
      </c>
      <c r="D7346" s="1">
        <f>1.08429693181261*(10.3/7.3)</f>
        <v>1.529898410639704</v>
      </c>
      <c r="E7346" s="1">
        <f>3.65958816516971*(10.3/7.3)</f>
        <v>5.1635285070202794</v>
      </c>
      <c r="F7346" s="1">
        <f>10.4473079818412*(38.9/42.5)</f>
        <v>9.562359541026435</v>
      </c>
      <c r="G7346" s="1">
        <v>0.57296929116002382</v>
      </c>
      <c r="H7346" s="1">
        <v>3.4441884470468995</v>
      </c>
      <c r="I7346" s="1">
        <v>6.97768355216387</v>
      </c>
      <c r="J7346" s="1">
        <v>1.2775154991982588E-2</v>
      </c>
      <c r="K7346" s="1">
        <v>1.1472971502869413</v>
      </c>
      <c r="L7346" s="1">
        <v>0.85233552476043983</v>
      </c>
      <c r="M7346" s="1">
        <v>8.9090991068043662E-2</v>
      </c>
      <c r="N7346" s="1">
        <v>0.49025122378785907</v>
      </c>
      <c r="O7346" s="1">
        <v>8.3555555555555563E-2</v>
      </c>
      <c r="P7346" s="1">
        <v>5.3235984439056992E-2</v>
      </c>
      <c r="Q7346" s="1">
        <v>0.91570434660277877</v>
      </c>
      <c r="R7346" s="2">
        <f t="shared" si="459"/>
        <v>28.594449966185575</v>
      </c>
      <c r="S7346" s="2">
        <f t="shared" si="458"/>
        <v>1.213308289717981</v>
      </c>
      <c r="T7346" s="2">
        <f t="shared" si="460"/>
        <v>1.5152332951718981</v>
      </c>
      <c r="U7346" s="2">
        <f t="shared" si="461"/>
        <v>31.322991551075457</v>
      </c>
    </row>
    <row r="7347" spans="1:21" x14ac:dyDescent="0.25">
      <c r="A7347">
        <v>8465489</v>
      </c>
      <c r="B7347">
        <v>26</v>
      </c>
      <c r="C7347" s="1">
        <f>0.306499332328189*(10.3/7.3)</f>
        <v>0.43245796205210252</v>
      </c>
      <c r="D7347" s="1">
        <f>1.25341424643615*(10.3/7.3)</f>
        <v>1.7685159915468935</v>
      </c>
      <c r="E7347" s="1">
        <f>4.23605898634469*(10.3/7.3)</f>
        <v>5.9769051451164774</v>
      </c>
      <c r="F7347" s="1">
        <f>11.3558495430068*(38.9/42.5)</f>
        <v>10.39394228759919</v>
      </c>
      <c r="G7347" s="1">
        <v>0.60444605036390997</v>
      </c>
      <c r="H7347" s="1">
        <v>2.8166452918932787</v>
      </c>
      <c r="I7347" s="1">
        <v>7.3179368955189341</v>
      </c>
      <c r="J7347" s="1">
        <v>1.2854948982637561E-2</v>
      </c>
      <c r="K7347" s="1">
        <v>1.1437836056557453</v>
      </c>
      <c r="L7347" s="1">
        <v>0.85173240724565757</v>
      </c>
      <c r="M7347" s="1">
        <v>8.7985411888424112E-2</v>
      </c>
      <c r="N7347" s="1">
        <v>0.49231387645482905</v>
      </c>
      <c r="O7347" s="1">
        <v>8.3115897435897451E-2</v>
      </c>
      <c r="P7347" s="1">
        <v>5.2935061467214196E-2</v>
      </c>
      <c r="Q7347" s="1">
        <v>0.9660096695313638</v>
      </c>
      <c r="R7347" s="2">
        <f t="shared" si="459"/>
        <v>30.276859293622149</v>
      </c>
      <c r="S7347" s="2">
        <f t="shared" si="458"/>
        <v>1.209573616105597</v>
      </c>
      <c r="T7347" s="2">
        <f t="shared" si="460"/>
        <v>1.5151475930248082</v>
      </c>
      <c r="U7347" s="2">
        <f t="shared" si="461"/>
        <v>33.001580502752553</v>
      </c>
    </row>
    <row r="7348" spans="1:21" x14ac:dyDescent="0.25">
      <c r="A7348">
        <v>8465497</v>
      </c>
      <c r="B7348">
        <v>7</v>
      </c>
      <c r="C7348" s="1">
        <f>0.385261974798872*(10.3/7.3)</f>
        <v>0.54358881375731205</v>
      </c>
      <c r="D7348" s="1">
        <f>3.20848373585591*(10.3/7.3)</f>
        <v>4.5270386957966995</v>
      </c>
      <c r="E7348" s="1">
        <f>10.9032281824692*(10.3/7.3)</f>
        <v>15.384006887593566</v>
      </c>
      <c r="F7348" s="1">
        <f>22.1523724298544*(38.9/42.5)</f>
        <v>20.275936176972625</v>
      </c>
      <c r="G7348" s="1">
        <v>0.98956591338787159</v>
      </c>
      <c r="H7348" s="1">
        <v>10.333508284568724</v>
      </c>
      <c r="I7348" s="1">
        <v>11.611283216854162</v>
      </c>
      <c r="J7348" s="1">
        <v>1.5631962641592476E-2</v>
      </c>
      <c r="K7348" s="1">
        <v>1.3383951116777228</v>
      </c>
      <c r="L7348" s="1">
        <v>1.0326784952328536</v>
      </c>
      <c r="M7348" s="1">
        <v>0.10280430622711283</v>
      </c>
      <c r="N7348" s="1">
        <v>0.59330957187343891</v>
      </c>
      <c r="O7348" s="1">
        <v>9.6769523809523819E-2</v>
      </c>
      <c r="P7348" s="1">
        <v>6.0043472170537938E-2</v>
      </c>
      <c r="Q7348" s="1">
        <v>1.5814980350947736</v>
      </c>
      <c r="R7348" s="2">
        <f t="shared" si="459"/>
        <v>65.246426024025737</v>
      </c>
      <c r="S7348" s="2">
        <f t="shared" si="458"/>
        <v>1.4140705464898531</v>
      </c>
      <c r="T7348" s="2">
        <f t="shared" si="460"/>
        <v>1.8255618971429293</v>
      </c>
      <c r="U7348" s="2">
        <f t="shared" si="461"/>
        <v>68.486058467658523</v>
      </c>
    </row>
    <row r="7349" spans="1:21" x14ac:dyDescent="0.25">
      <c r="A7349">
        <v>8477701</v>
      </c>
      <c r="B7349">
        <v>2</v>
      </c>
      <c r="C7349" s="1">
        <f>0.29055387303359*(10.3/7.3)</f>
        <v>0.40995957428027074</v>
      </c>
      <c r="D7349" s="1">
        <f>0.962993691276028*(10.3/7.3)</f>
        <v>1.3587445233072721</v>
      </c>
      <c r="E7349" s="1">
        <f>3.25032210299409*(10.3/7.3)</f>
        <v>4.5860709124437209</v>
      </c>
      <c r="F7349" s="1">
        <f>9.48374150902597*(38.9/42.5)</f>
        <v>8.6804128164967107</v>
      </c>
      <c r="G7349" s="1">
        <v>0.52456496675763831</v>
      </c>
      <c r="H7349" s="1">
        <v>2.5404767441875773</v>
      </c>
      <c r="I7349" s="1">
        <v>6.4286565951076966</v>
      </c>
      <c r="J7349" s="1">
        <v>1.220345400576003E-2</v>
      </c>
      <c r="K7349" s="1">
        <v>1.1325493529663069</v>
      </c>
      <c r="L7349" s="1">
        <v>0.84872311724575877</v>
      </c>
      <c r="M7349" s="1">
        <v>8.8637980625746252E-2</v>
      </c>
      <c r="N7349" s="1">
        <v>0.46546795903425253</v>
      </c>
      <c r="O7349" s="1">
        <v>8.4400000000000003E-2</v>
      </c>
      <c r="P7349" s="1">
        <v>5.3310480093780935E-2</v>
      </c>
      <c r="Q7349" s="1">
        <v>0.83834583728389767</v>
      </c>
      <c r="R7349" s="2">
        <f t="shared" si="459"/>
        <v>25.367231969864783</v>
      </c>
      <c r="S7349" s="2">
        <f t="shared" si="458"/>
        <v>1.1980632870658479</v>
      </c>
      <c r="T7349" s="2">
        <f t="shared" si="460"/>
        <v>1.4872290569057576</v>
      </c>
      <c r="U7349" s="2">
        <f t="shared" si="461"/>
        <v>28.05252431383639</v>
      </c>
    </row>
    <row r="7350" spans="1:21" x14ac:dyDescent="0.25">
      <c r="A7350">
        <v>8477709</v>
      </c>
      <c r="B7350">
        <v>60</v>
      </c>
      <c r="C7350" s="1">
        <f>0.327926257081838*(10.3/7.3)</f>
        <v>0.46269047232094934</v>
      </c>
      <c r="D7350" s="1">
        <f>1.17177420456585*(10.3/7.3)</f>
        <v>1.6533252475381139</v>
      </c>
      <c r="E7350" s="1">
        <f>3.95124539133624*(10.3/7.3)</f>
        <v>5.5750448672278443</v>
      </c>
      <c r="F7350" s="1">
        <f>11.4641970507698*(38.9/42.5)</f>
        <v>10.49311212411633</v>
      </c>
      <c r="G7350" s="1">
        <v>0.6341524430405916</v>
      </c>
      <c r="H7350" s="1">
        <v>3.6002907720902741</v>
      </c>
      <c r="I7350" s="1">
        <v>7.6977529358807191</v>
      </c>
      <c r="J7350" s="1">
        <v>1.224051131857307E-2</v>
      </c>
      <c r="K7350" s="1">
        <v>1.1234424567912578</v>
      </c>
      <c r="L7350" s="1">
        <v>0.8406978822462533</v>
      </c>
      <c r="M7350" s="1">
        <v>8.895996612132949E-2</v>
      </c>
      <c r="N7350" s="1">
        <v>0.46322144747901561</v>
      </c>
      <c r="O7350" s="1">
        <v>8.3081777777777782E-2</v>
      </c>
      <c r="P7350" s="1">
        <v>5.2657348751207957E-2</v>
      </c>
      <c r="Q7350" s="1">
        <v>1.0134856395625909</v>
      </c>
      <c r="R7350" s="2">
        <f t="shared" si="459"/>
        <v>31.129854501777416</v>
      </c>
      <c r="S7350" s="2">
        <f t="shared" si="458"/>
        <v>1.1883403168610387</v>
      </c>
      <c r="T7350" s="2">
        <f t="shared" si="460"/>
        <v>1.4759610736243762</v>
      </c>
      <c r="U7350" s="2">
        <f t="shared" si="461"/>
        <v>33.794155892262829</v>
      </c>
    </row>
    <row r="7351" spans="1:21" x14ac:dyDescent="0.25">
      <c r="A7351">
        <v>8477717</v>
      </c>
      <c r="B7351">
        <v>62</v>
      </c>
      <c r="C7351" s="1">
        <f>0.299446058822643*(10.3/7.3)</f>
        <v>0.4225060829963323</v>
      </c>
      <c r="D7351" s="1">
        <f>1.11252950133376*(10.3/7.3)</f>
        <v>1.5697334059914765</v>
      </c>
      <c r="E7351" s="1">
        <f>3.75707533135754*(10.3/7.3)</f>
        <v>5.3010788921894063</v>
      </c>
      <c r="F7351" s="1">
        <f>10.493164558103*(38.9/42.5)</f>
        <v>9.6043317955342715</v>
      </c>
      <c r="G7351" s="1">
        <v>0.56954231381730158</v>
      </c>
      <c r="H7351" s="1">
        <v>2.6487964320280879</v>
      </c>
      <c r="I7351" s="1">
        <v>6.9290968279735994</v>
      </c>
      <c r="J7351" s="1">
        <v>1.2705794579598464E-2</v>
      </c>
      <c r="K7351" s="1">
        <v>1.1407683328415936</v>
      </c>
      <c r="L7351" s="1">
        <v>0.84756436411485325</v>
      </c>
      <c r="M7351" s="1">
        <v>8.811957043153662E-2</v>
      </c>
      <c r="N7351" s="1">
        <v>0.4883341000795085</v>
      </c>
      <c r="O7351" s="1">
        <v>8.2969462365591384E-2</v>
      </c>
      <c r="P7351" s="1">
        <v>5.2911232127707736E-2</v>
      </c>
      <c r="Q7351" s="1">
        <v>0.91022744217377061</v>
      </c>
      <c r="R7351" s="2">
        <f t="shared" si="459"/>
        <v>27.955313192704246</v>
      </c>
      <c r="S7351" s="2">
        <f t="shared" si="458"/>
        <v>1.2063853595488998</v>
      </c>
      <c r="T7351" s="2">
        <f t="shared" si="460"/>
        <v>1.5069874969914898</v>
      </c>
      <c r="U7351" s="2">
        <f t="shared" si="461"/>
        <v>30.668686049244634</v>
      </c>
    </row>
    <row r="7352" spans="1:21" x14ac:dyDescent="0.25">
      <c r="A7352">
        <v>8477725</v>
      </c>
      <c r="B7352">
        <v>25</v>
      </c>
      <c r="C7352" s="1">
        <f>0.305228536361965*(10.3/7.3)</f>
        <v>0.43066492116825195</v>
      </c>
      <c r="D7352" s="1">
        <f>1.30932303786565*(10.3/7.3)</f>
        <v>1.8474009986323492</v>
      </c>
      <c r="E7352" s="1">
        <f>4.42958981224535*(10.3/7.3)</f>
        <v>6.249969187140695</v>
      </c>
      <c r="F7352" s="1">
        <f>11.4899819412282*(38.9/42.5)</f>
        <v>10.516712882677096</v>
      </c>
      <c r="G7352" s="1">
        <v>0.60077441748142957</v>
      </c>
      <c r="H7352" s="1">
        <v>3.8291564984386981</v>
      </c>
      <c r="I7352" s="1">
        <v>7.2753577761932551</v>
      </c>
      <c r="J7352" s="1">
        <v>1.2924798644487154E-2</v>
      </c>
      <c r="K7352" s="1">
        <v>1.1487886923525472</v>
      </c>
      <c r="L7352" s="1">
        <v>0.85503842266246477</v>
      </c>
      <c r="M7352" s="1">
        <v>8.9186655228920775E-2</v>
      </c>
      <c r="N7352" s="1">
        <v>0.49577678797669256</v>
      </c>
      <c r="O7352" s="1">
        <v>8.3027200000000009E-2</v>
      </c>
      <c r="P7352" s="1">
        <v>5.3024689363124926E-2</v>
      </c>
      <c r="Q7352" s="1">
        <v>0.96014176309817589</v>
      </c>
      <c r="R7352" s="2">
        <f t="shared" si="459"/>
        <v>31.710178444829953</v>
      </c>
      <c r="S7352" s="2">
        <f t="shared" si="458"/>
        <v>1.2147381803601593</v>
      </c>
      <c r="T7352" s="2">
        <f t="shared" si="460"/>
        <v>1.5230290658680783</v>
      </c>
      <c r="U7352" s="2">
        <f t="shared" si="461"/>
        <v>34.447945691058194</v>
      </c>
    </row>
    <row r="7353" spans="1:21" x14ac:dyDescent="0.25">
      <c r="A7353">
        <v>8477733</v>
      </c>
      <c r="B7353">
        <v>2</v>
      </c>
      <c r="C7353" s="1">
        <f>0.357387238208417*(10.3/7.3)</f>
        <v>0.50425870596530076</v>
      </c>
      <c r="D7353" s="1">
        <f>1.90504211046846*(10.3/7.3)</f>
        <v>2.6879361284691954</v>
      </c>
      <c r="E7353" s="1">
        <f>6.43801742639457*(10.3/7.3)</f>
        <v>9.0837780125841157</v>
      </c>
      <c r="F7353" s="1">
        <f>16.1823744100506*(38.9/42.5)</f>
        <v>14.811632107081595</v>
      </c>
      <c r="G7353" s="1">
        <v>0.83609582807504534</v>
      </c>
      <c r="H7353" s="1">
        <v>9.497815673926187</v>
      </c>
      <c r="I7353" s="1">
        <v>9.911516193058068</v>
      </c>
      <c r="J7353" s="1">
        <v>1.4906374799108132E-2</v>
      </c>
      <c r="K7353" s="1">
        <v>1.2870451432171075</v>
      </c>
      <c r="L7353" s="1">
        <v>0.98199208539096206</v>
      </c>
      <c r="M7353" s="1">
        <v>9.8684084116760967E-2</v>
      </c>
      <c r="N7353" s="1">
        <v>0.56804859432274846</v>
      </c>
      <c r="O7353" s="1">
        <v>9.2719999999999997E-2</v>
      </c>
      <c r="P7353" s="1">
        <v>5.807654364552256E-2</v>
      </c>
      <c r="Q7353" s="1">
        <v>1.3362262092523569</v>
      </c>
      <c r="R7353" s="2">
        <f t="shared" si="459"/>
        <v>48.669258858411872</v>
      </c>
      <c r="S7353" s="2">
        <f t="shared" si="458"/>
        <v>1.3600280616617382</v>
      </c>
      <c r="T7353" s="2">
        <f t="shared" si="460"/>
        <v>1.7414447638304713</v>
      </c>
      <c r="U7353" s="2">
        <f t="shared" si="461"/>
        <v>51.770731683904081</v>
      </c>
    </row>
    <row r="7354" spans="1:21" x14ac:dyDescent="0.25">
      <c r="A7354">
        <v>8489945</v>
      </c>
      <c r="B7354">
        <v>64</v>
      </c>
      <c r="C7354" s="1">
        <f>0.315717202587737*(10.3/7.3)</f>
        <v>0.4454639981717386</v>
      </c>
      <c r="D7354" s="1">
        <f>1.14405114605788*(10.3/7.3)</f>
        <v>1.6142091512871457</v>
      </c>
      <c r="E7354" s="1">
        <f>3.85946447802669*(10.3/7.3)</f>
        <v>5.4455457703664267</v>
      </c>
      <c r="F7354" s="1">
        <f>11.065688492006*(38.9/42.5)</f>
        <v>10.128359584447837</v>
      </c>
      <c r="G7354" s="1">
        <v>0.60861881768039772</v>
      </c>
      <c r="H7354" s="1">
        <v>2.8940730317386434</v>
      </c>
      <c r="I7354" s="1">
        <v>7.3909610894583846</v>
      </c>
      <c r="J7354" s="1">
        <v>1.2277842671628764E-2</v>
      </c>
      <c r="K7354" s="1">
        <v>1.1259262265680119</v>
      </c>
      <c r="L7354" s="1">
        <v>0.84254896959452696</v>
      </c>
      <c r="M7354" s="1">
        <v>8.9279136909196241E-2</v>
      </c>
      <c r="N7354" s="1">
        <v>0.46672601228975852</v>
      </c>
      <c r="O7354" s="1">
        <v>8.2913333333333353E-2</v>
      </c>
      <c r="P7354" s="1">
        <v>5.268875544125147E-2</v>
      </c>
      <c r="Q7354" s="1">
        <v>0.97267847574492916</v>
      </c>
      <c r="R7354" s="2">
        <f t="shared" si="459"/>
        <v>29.499909918895504</v>
      </c>
      <c r="S7354" s="2">
        <f t="shared" si="458"/>
        <v>1.1908928246808921</v>
      </c>
      <c r="T7354" s="2">
        <f t="shared" si="460"/>
        <v>1.481467452126815</v>
      </c>
      <c r="U7354" s="2">
        <f t="shared" si="461"/>
        <v>32.172270195703213</v>
      </c>
    </row>
    <row r="7355" spans="1:21" x14ac:dyDescent="0.25">
      <c r="A7355">
        <v>8489953</v>
      </c>
      <c r="B7355">
        <v>71</v>
      </c>
      <c r="C7355" s="1">
        <f>0.30199101860582*(10.3/7.3)</f>
        <v>0.42609691666300675</v>
      </c>
      <c r="D7355" s="1">
        <f>1.16307621509937*(10.3/7.3)</f>
        <v>1.6410527418525369</v>
      </c>
      <c r="E7355" s="1">
        <f>3.92997019233257*(10.3/7.3)</f>
        <v>5.5450264357569123</v>
      </c>
      <c r="F7355" s="1">
        <f>10.7521793473843*(38.9/42.5)</f>
        <v>9.8414065085470153</v>
      </c>
      <c r="G7355" s="1">
        <v>0.57772280966069667</v>
      </c>
      <c r="H7355" s="1">
        <v>2.6252014091798799</v>
      </c>
      <c r="I7355" s="1">
        <v>7.023056654694793</v>
      </c>
      <c r="J7355" s="1">
        <v>1.2694231319200552E-2</v>
      </c>
      <c r="K7355" s="1">
        <v>1.1392340531613243</v>
      </c>
      <c r="L7355" s="1">
        <v>0.84713627542171055</v>
      </c>
      <c r="M7355" s="1">
        <v>8.7768388974610895E-2</v>
      </c>
      <c r="N7355" s="1">
        <v>0.48798162733871059</v>
      </c>
      <c r="O7355" s="1">
        <v>8.28439436619718E-2</v>
      </c>
      <c r="P7355" s="1">
        <v>5.2745903299769428E-2</v>
      </c>
      <c r="Q7355" s="1">
        <v>0.92330129397828342</v>
      </c>
      <c r="R7355" s="2">
        <f t="shared" si="459"/>
        <v>28.602864770333127</v>
      </c>
      <c r="S7355" s="2">
        <f t="shared" si="458"/>
        <v>1.2046741877802942</v>
      </c>
      <c r="T7355" s="2">
        <f t="shared" si="460"/>
        <v>1.5057302353970039</v>
      </c>
      <c r="U7355" s="2">
        <f t="shared" si="461"/>
        <v>31.313269193510425</v>
      </c>
    </row>
    <row r="7356" spans="1:21" x14ac:dyDescent="0.25">
      <c r="A7356">
        <v>8489961</v>
      </c>
      <c r="B7356">
        <v>38</v>
      </c>
      <c r="C7356" s="1">
        <f>0.316405107565174*(10.3/7.3)</f>
        <v>0.44643460382483463</v>
      </c>
      <c r="D7356" s="1">
        <f>1.43841520865642*(10.3/7.3)</f>
        <v>2.0295447464604268</v>
      </c>
      <c r="E7356" s="1">
        <f>4.86433738837919*(10.3/7.3)</f>
        <v>6.8633801507268029</v>
      </c>
      <c r="F7356" s="1">
        <f>12.5287303365474*(38.9/42.5)</f>
        <v>11.467473178628065</v>
      </c>
      <c r="G7356" s="1">
        <v>0.65366336924061685</v>
      </c>
      <c r="H7356" s="1">
        <v>5.537886421504588</v>
      </c>
      <c r="I7356" s="1">
        <v>7.8661087551661195</v>
      </c>
      <c r="J7356" s="1">
        <v>1.3394007649430089E-2</v>
      </c>
      <c r="K7356" s="1">
        <v>1.1842539875183102</v>
      </c>
      <c r="L7356" s="1">
        <v>0.8879581769646977</v>
      </c>
      <c r="M7356" s="1">
        <v>9.1409964775897357E-2</v>
      </c>
      <c r="N7356" s="1">
        <v>0.51351974754092689</v>
      </c>
      <c r="O7356" s="1">
        <v>8.5166315789473715E-2</v>
      </c>
      <c r="P7356" s="1">
        <v>5.4240046432606881E-2</v>
      </c>
      <c r="Q7356" s="1">
        <v>1.0446674850877447</v>
      </c>
      <c r="R7356" s="2">
        <f t="shared" si="459"/>
        <v>35.909158710639197</v>
      </c>
      <c r="S7356" s="2">
        <f t="shared" si="458"/>
        <v>1.2518880416003473</v>
      </c>
      <c r="T7356" s="2">
        <f t="shared" si="460"/>
        <v>1.5780542050709956</v>
      </c>
      <c r="U7356" s="2">
        <f t="shared" si="461"/>
        <v>38.739100957310541</v>
      </c>
    </row>
    <row r="7357" spans="1:21" x14ac:dyDescent="0.25">
      <c r="A7357">
        <v>8502173</v>
      </c>
      <c r="B7357">
        <v>1</v>
      </c>
      <c r="C7357" s="1">
        <f>0.304454257089618*(10.3/7.3)</f>
        <v>0.42957244493466618</v>
      </c>
      <c r="D7357" s="1">
        <f>1.06038385691118*(10.3/7.3)</f>
        <v>1.4961580446828955</v>
      </c>
      <c r="E7357" s="1">
        <f>3.57764320597832*(10.3/7.3)</f>
        <v>5.0479075372022892</v>
      </c>
      <c r="F7357" s="1">
        <f>10.3545500130926*(38.9/42.5)</f>
        <v>9.4774587178659164</v>
      </c>
      <c r="G7357" s="1">
        <v>0.57145285599328732</v>
      </c>
      <c r="H7357" s="1">
        <v>2.7238828399599453</v>
      </c>
      <c r="I7357" s="1">
        <v>6.965027798224467</v>
      </c>
      <c r="J7357" s="1">
        <v>1.2161021968187849E-2</v>
      </c>
      <c r="K7357" s="1">
        <v>1.1226020065703366</v>
      </c>
      <c r="L7357" s="1">
        <v>0.84433345322146502</v>
      </c>
      <c r="M7357" s="1">
        <v>9.029940104166298E-2</v>
      </c>
      <c r="N7357" s="1">
        <v>0.46236604150053973</v>
      </c>
      <c r="O7357" s="1">
        <v>8.3199999999999996E-2</v>
      </c>
      <c r="P7357" s="1">
        <v>5.2780209746103139E-2</v>
      </c>
      <c r="Q7357" s="1">
        <v>0.91328082008059708</v>
      </c>
      <c r="R7357" s="2">
        <f t="shared" si="459"/>
        <v>27.624741058944064</v>
      </c>
      <c r="S7357" s="2">
        <f t="shared" si="458"/>
        <v>1.1875432382846276</v>
      </c>
      <c r="T7357" s="2">
        <f t="shared" si="460"/>
        <v>1.4801988957636676</v>
      </c>
      <c r="U7357" s="2">
        <f t="shared" si="461"/>
        <v>30.292483192992361</v>
      </c>
    </row>
    <row r="7358" spans="1:21" x14ac:dyDescent="0.25">
      <c r="A7358">
        <v>8502181</v>
      </c>
      <c r="B7358">
        <v>57</v>
      </c>
      <c r="C7358" s="1">
        <f>0.326437169792711*(10.3/7.3)</f>
        <v>0.46058943135135927</v>
      </c>
      <c r="D7358" s="1">
        <f>1.2297027162108*(10.3/7.3)</f>
        <v>1.7350599968453768</v>
      </c>
      <c r="E7358" s="1">
        <f>4.14871999901816*(10.3/7.3)</f>
        <v>5.8536734232722027</v>
      </c>
      <c r="F7358" s="1">
        <f>11.7491628594533*(38.9/42.5)</f>
        <v>10.753939652534893</v>
      </c>
      <c r="G7358" s="1">
        <v>0.64291316909509577</v>
      </c>
      <c r="H7358" s="1">
        <v>2.9439324388334178</v>
      </c>
      <c r="I7358" s="1">
        <v>7.7850218508284739</v>
      </c>
      <c r="J7358" s="1">
        <v>1.2275216258776846E-2</v>
      </c>
      <c r="K7358" s="1">
        <v>1.1241562273458678</v>
      </c>
      <c r="L7358" s="1">
        <v>0.84191454833540658</v>
      </c>
      <c r="M7358" s="1">
        <v>8.8702307995527335E-2</v>
      </c>
      <c r="N7358" s="1">
        <v>0.46588991532005819</v>
      </c>
      <c r="O7358" s="1">
        <v>8.2821988304093555E-2</v>
      </c>
      <c r="P7358" s="1">
        <v>5.2606100182103627E-2</v>
      </c>
      <c r="Q7358" s="1">
        <v>1.0274867999236701</v>
      </c>
      <c r="R7358" s="2">
        <f t="shared" si="459"/>
        <v>31.202616762684492</v>
      </c>
      <c r="S7358" s="2">
        <f t="shared" si="458"/>
        <v>1.1890375437867484</v>
      </c>
      <c r="T7358" s="2">
        <f t="shared" si="460"/>
        <v>1.4793287599550855</v>
      </c>
      <c r="U7358" s="2">
        <f t="shared" si="461"/>
        <v>33.870983066426327</v>
      </c>
    </row>
    <row r="7359" spans="1:21" x14ac:dyDescent="0.25">
      <c r="A7359">
        <v>8502189</v>
      </c>
      <c r="B7359">
        <v>65</v>
      </c>
      <c r="C7359" s="1">
        <f>0.300048536950193*(10.3/7.3)</f>
        <v>0.42335615487493039</v>
      </c>
      <c r="D7359" s="1">
        <f>1.18802984206555*(10.3/7.3)</f>
        <v>1.6762612840102988</v>
      </c>
      <c r="E7359" s="1">
        <f>4.01570760820398*(10.3/7.3)</f>
        <v>5.6659984060960227</v>
      </c>
      <c r="F7359" s="1">
        <f>10.829262618888*(38.9/42.5)</f>
        <v>9.9119603735233426</v>
      </c>
      <c r="G7359" s="1">
        <v>0.57769081879636819</v>
      </c>
      <c r="H7359" s="1">
        <v>2.7810906585060167</v>
      </c>
      <c r="I7359" s="1">
        <v>7.0165652988816687</v>
      </c>
      <c r="J7359" s="1">
        <v>1.2678692826568484E-2</v>
      </c>
      <c r="K7359" s="1">
        <v>1.136429406789335</v>
      </c>
      <c r="L7359" s="1">
        <v>0.84499442568753957</v>
      </c>
      <c r="M7359" s="1">
        <v>8.7510161136310979E-2</v>
      </c>
      <c r="N7359" s="1">
        <v>0.48733832253472403</v>
      </c>
      <c r="O7359" s="1">
        <v>8.2207179487179496E-2</v>
      </c>
      <c r="P7359" s="1">
        <v>5.2547878128936111E-2</v>
      </c>
      <c r="Q7359" s="1">
        <v>0.92325016702616058</v>
      </c>
      <c r="R7359" s="2">
        <f t="shared" si="459"/>
        <v>28.976173161714811</v>
      </c>
      <c r="S7359" s="2">
        <f t="shared" si="458"/>
        <v>1.2016559777448397</v>
      </c>
      <c r="T7359" s="2">
        <f t="shared" si="460"/>
        <v>1.502050088845754</v>
      </c>
      <c r="U7359" s="2">
        <f t="shared" si="461"/>
        <v>31.679879228305403</v>
      </c>
    </row>
    <row r="7360" spans="1:21" x14ac:dyDescent="0.25">
      <c r="A7360">
        <v>8502197</v>
      </c>
      <c r="B7360">
        <v>19</v>
      </c>
      <c r="C7360" s="1">
        <f>0.302158838519063*(10.3/7.3)</f>
        <v>0.42633370366388312</v>
      </c>
      <c r="D7360" s="1">
        <f>1.23891653455126*(10.3/7.3)</f>
        <v>1.7480603158736989</v>
      </c>
      <c r="E7360" s="1">
        <f>4.18628245991836*(10.3/7.3)</f>
        <v>5.9066725119396049</v>
      </c>
      <c r="F7360" s="1">
        <f>11.2542974000514*(38.9/42.5)</f>
        <v>10.300992208517673</v>
      </c>
      <c r="G7360" s="1">
        <v>0.60008931104736118</v>
      </c>
      <c r="H7360" s="1">
        <v>4.0876540778416377</v>
      </c>
      <c r="I7360" s="1">
        <v>7.2584367170061652</v>
      </c>
      <c r="J7360" s="1">
        <v>1.289040636140233E-2</v>
      </c>
      <c r="K7360" s="1">
        <v>1.1420898987144394</v>
      </c>
      <c r="L7360" s="1">
        <v>0.84918076146638666</v>
      </c>
      <c r="M7360" s="1">
        <v>8.7711365624632193E-2</v>
      </c>
      <c r="N7360" s="1">
        <v>0.4931429270554189</v>
      </c>
      <c r="O7360" s="1">
        <v>8.1830175438596484E-2</v>
      </c>
      <c r="P7360" s="1">
        <v>5.2376079880134756E-2</v>
      </c>
      <c r="Q7360" s="1">
        <v>0.95904684413961971</v>
      </c>
      <c r="R7360" s="2">
        <f t="shared" si="459"/>
        <v>31.287285690029648</v>
      </c>
      <c r="S7360" s="2">
        <f t="shared" si="458"/>
        <v>1.2073563849559765</v>
      </c>
      <c r="T7360" s="2">
        <f t="shared" si="460"/>
        <v>1.5118652295850341</v>
      </c>
      <c r="U7360" s="2">
        <f t="shared" si="461"/>
        <v>34.006507304570661</v>
      </c>
    </row>
    <row r="7361" spans="1:21" x14ac:dyDescent="0.25">
      <c r="A7361">
        <v>8502205</v>
      </c>
      <c r="B7361">
        <v>2</v>
      </c>
      <c r="C7361" s="1">
        <f>0.345398654824852*(10.3/7.3)</f>
        <v>0.4873433074925988</v>
      </c>
      <c r="D7361" s="1">
        <f>1.64885172078208*(10.3/7.3)</f>
        <v>2.3264620169938937</v>
      </c>
      <c r="E7361" s="1">
        <f>5.55442199237325*(10.3/7.3)</f>
        <v>7.8370611673211563</v>
      </c>
      <c r="F7361" s="1">
        <f>15.2324528813537*(38.9/42.5)</f>
        <v>13.942174519639076</v>
      </c>
      <c r="G7361" s="1">
        <v>0.82574186626442714</v>
      </c>
      <c r="H7361" s="1">
        <v>8.407792265901767</v>
      </c>
      <c r="I7361" s="1">
        <v>9.7648094559122534</v>
      </c>
      <c r="J7361" s="1">
        <v>1.4622080147374501E-2</v>
      </c>
      <c r="K7361" s="1">
        <v>1.2513290437296294</v>
      </c>
      <c r="L7361" s="1">
        <v>0.95350029206447462</v>
      </c>
      <c r="M7361" s="1">
        <v>9.524571045879493E-2</v>
      </c>
      <c r="N7361" s="1">
        <v>0.55530321807626315</v>
      </c>
      <c r="O7361" s="1">
        <v>8.962666666666666E-2</v>
      </c>
      <c r="P7361" s="1">
        <v>5.6731522791677994E-2</v>
      </c>
      <c r="Q7361" s="1">
        <v>1.3196787817011408</v>
      </c>
      <c r="R7361" s="2">
        <f t="shared" si="459"/>
        <v>44.911063381226313</v>
      </c>
      <c r="S7361" s="2">
        <f t="shared" si="458"/>
        <v>1.3226826466686818</v>
      </c>
      <c r="T7361" s="2">
        <f t="shared" si="460"/>
        <v>1.6936758872661994</v>
      </c>
      <c r="U7361" s="2">
        <f t="shared" si="461"/>
        <v>47.927421915161197</v>
      </c>
    </row>
    <row r="7362" spans="1:21" x14ac:dyDescent="0.25">
      <c r="A7362">
        <v>8514209</v>
      </c>
      <c r="B7362">
        <v>23</v>
      </c>
      <c r="C7362" s="1">
        <f>0.213929456226424*(10.3/7.3)</f>
        <v>0.30184567111399596</v>
      </c>
      <c r="D7362" s="1">
        <f>0.446737323947761*(10.3/7.3)</f>
        <v>0.63032800502218378</v>
      </c>
      <c r="E7362" s="1">
        <f>1.52677439783695*(10.3/7.3)</f>
        <v>2.154215931194603</v>
      </c>
      <c r="F7362" s="1">
        <f>4.27815274618938*(38.9/42.5)</f>
        <v>3.9157680429827519</v>
      </c>
      <c r="G7362" s="1">
        <v>0.22561327102812584</v>
      </c>
      <c r="H7362" s="1">
        <v>0.86563646301353792</v>
      </c>
      <c r="I7362" s="1">
        <v>3.0468517673900211</v>
      </c>
      <c r="J7362" s="1">
        <v>9.1398608930483675E-3</v>
      </c>
      <c r="K7362" s="1">
        <v>1.0139313179637726</v>
      </c>
      <c r="L7362" s="1">
        <v>0.72735656222588652</v>
      </c>
      <c r="M7362" s="1">
        <v>8.4448387446457149E-2</v>
      </c>
      <c r="N7362" s="1">
        <v>0.34844615852760363</v>
      </c>
      <c r="O7362" s="1">
        <v>8.5312463768115951E-2</v>
      </c>
      <c r="P7362" s="1">
        <v>4.977520565959076E-2</v>
      </c>
      <c r="Q7362" s="1">
        <v>0.36056915461116029</v>
      </c>
      <c r="R7362" s="2">
        <f t="shared" si="459"/>
        <v>11.500828306356381</v>
      </c>
      <c r="S7362" s="2">
        <f t="shared" si="458"/>
        <v>1.0728463845164118</v>
      </c>
      <c r="T7362" s="2">
        <f t="shared" si="460"/>
        <v>1.2455635719680633</v>
      </c>
      <c r="U7362" s="2">
        <f t="shared" si="461"/>
        <v>13.819238262840855</v>
      </c>
    </row>
    <row r="7363" spans="1:21" x14ac:dyDescent="0.25">
      <c r="A7363">
        <v>8514409</v>
      </c>
      <c r="B7363">
        <v>1</v>
      </c>
      <c r="C7363" s="1">
        <f>0.327196719255784*(10.3/7.3)</f>
        <v>0.46166112442939333</v>
      </c>
      <c r="D7363" s="1">
        <f>1.20327662755632*(10.3/7.3)</f>
        <v>1.6977738717575475</v>
      </c>
      <c r="E7363" s="1">
        <f>4.05833508934621*(10.3/7.3)</f>
        <v>5.7261440301734225</v>
      </c>
      <c r="F7363" s="1">
        <f>11.6345178436372*(38.9/42.5)</f>
        <v>10.649005743940847</v>
      </c>
      <c r="G7363" s="1">
        <v>0.6402289132016421</v>
      </c>
      <c r="H7363" s="1">
        <v>2.9297948119534643</v>
      </c>
      <c r="I7363" s="1">
        <v>7.7592440695922571</v>
      </c>
      <c r="J7363" s="1">
        <v>1.207615789304348E-2</v>
      </c>
      <c r="K7363" s="1">
        <v>1.1152006965212895</v>
      </c>
      <c r="L7363" s="1">
        <v>0.83614787723433159</v>
      </c>
      <c r="M7363" s="1">
        <v>8.8892438357364656E-2</v>
      </c>
      <c r="N7363" s="1">
        <v>0.45658063900741724</v>
      </c>
      <c r="O7363" s="1">
        <v>8.2559999999999995E-2</v>
      </c>
      <c r="P7363" s="1">
        <v>5.237124614212272E-2</v>
      </c>
      <c r="Q7363" s="1">
        <v>1.0231968932446345</v>
      </c>
      <c r="R7363" s="2">
        <f t="shared" si="459"/>
        <v>30.887049458293209</v>
      </c>
      <c r="S7363" s="2">
        <f t="shared" si="458"/>
        <v>1.1796481005564556</v>
      </c>
      <c r="T7363" s="2">
        <f t="shared" si="460"/>
        <v>1.4641809545991133</v>
      </c>
      <c r="U7363" s="2">
        <f t="shared" si="461"/>
        <v>33.530878513448776</v>
      </c>
    </row>
    <row r="7364" spans="1:21" x14ac:dyDescent="0.25">
      <c r="A7364">
        <v>8514417</v>
      </c>
      <c r="B7364">
        <v>51</v>
      </c>
      <c r="C7364" s="1">
        <f>0.328234620846348*(10.3/7.3)</f>
        <v>0.46312556092019019</v>
      </c>
      <c r="D7364" s="1">
        <f>1.27999345399893*(10.3/7.3)</f>
        <v>1.8060181611217745</v>
      </c>
      <c r="E7364" s="1">
        <f>4.31965763654639*(10.3/7.3)</f>
        <v>6.0948594049901059</v>
      </c>
      <c r="F7364" s="1">
        <f>12.0519037155101*(38.9/42.5)</f>
        <v>11.031036577255108</v>
      </c>
      <c r="G7364" s="1">
        <v>0.65499143479569011</v>
      </c>
      <c r="H7364" s="1">
        <v>2.9764136565227681</v>
      </c>
      <c r="I7364" s="1">
        <v>7.9175395107998634</v>
      </c>
      <c r="J7364" s="1">
        <v>1.2211607612979781E-2</v>
      </c>
      <c r="K7364" s="1">
        <v>1.1171764607574819</v>
      </c>
      <c r="L7364" s="1">
        <v>0.83645493409866623</v>
      </c>
      <c r="M7364" s="1">
        <v>8.7669710113881555E-2</v>
      </c>
      <c r="N7364" s="1">
        <v>0.46301497766243332</v>
      </c>
      <c r="O7364" s="1">
        <v>8.2181437908496746E-2</v>
      </c>
      <c r="P7364" s="1">
        <v>5.2239171461615615E-2</v>
      </c>
      <c r="Q7364" s="1">
        <v>1.0467899642853504</v>
      </c>
      <c r="R7364" s="2">
        <f t="shared" si="459"/>
        <v>31.990774270690849</v>
      </c>
      <c r="S7364" s="2">
        <f t="shared" si="458"/>
        <v>1.1816272398320773</v>
      </c>
      <c r="T7364" s="2">
        <f t="shared" si="460"/>
        <v>1.469321059783478</v>
      </c>
      <c r="U7364" s="2">
        <f t="shared" si="461"/>
        <v>34.641722570306399</v>
      </c>
    </row>
    <row r="7365" spans="1:21" x14ac:dyDescent="0.25">
      <c r="A7365">
        <v>8514425</v>
      </c>
      <c r="B7365">
        <v>68</v>
      </c>
      <c r="C7365" s="1">
        <f>0.305280712588651*(10.3/7.3)</f>
        <v>0.43073853967987735</v>
      </c>
      <c r="D7365" s="1">
        <f>1.21311417621569*(10.3/7.3)</f>
        <v>1.7116542486330986</v>
      </c>
      <c r="E7365" s="1">
        <f>4.09888088770146*(10.3/7.3)</f>
        <v>5.7833524853869873</v>
      </c>
      <c r="F7365" s="1">
        <f>11.1251099762443*(38.9/42.5)</f>
        <v>10.18274771943303</v>
      </c>
      <c r="G7365" s="1">
        <v>0.59576620520691359</v>
      </c>
      <c r="H7365" s="1">
        <v>3.2060401170542598</v>
      </c>
      <c r="I7365" s="1">
        <v>7.2229368864502232</v>
      </c>
      <c r="J7365" s="1">
        <v>1.2701156846459647E-2</v>
      </c>
      <c r="K7365" s="1">
        <v>1.1371858783545996</v>
      </c>
      <c r="L7365" s="1">
        <v>0.84644013682936836</v>
      </c>
      <c r="M7365" s="1">
        <v>8.7887013438850664E-2</v>
      </c>
      <c r="N7365" s="1">
        <v>0.4871651301966885</v>
      </c>
      <c r="O7365" s="1">
        <v>8.1869019607843138E-2</v>
      </c>
      <c r="P7365" s="1">
        <v>5.2515026110415475E-2</v>
      </c>
      <c r="Q7365" s="1">
        <v>0.95213777087862961</v>
      </c>
      <c r="R7365" s="2">
        <f t="shared" si="459"/>
        <v>30.085373972723019</v>
      </c>
      <c r="S7365" s="2">
        <f t="shared" si="458"/>
        <v>1.2024020613114748</v>
      </c>
      <c r="T7365" s="2">
        <f t="shared" si="460"/>
        <v>1.5033613000727506</v>
      </c>
      <c r="U7365" s="2">
        <f t="shared" si="461"/>
        <v>32.791137334107248</v>
      </c>
    </row>
    <row r="7366" spans="1:21" x14ac:dyDescent="0.25">
      <c r="A7366">
        <v>8514433</v>
      </c>
      <c r="B7366">
        <v>33</v>
      </c>
      <c r="C7366" s="1">
        <f>0.306647275916552*(10.3/7.3)</f>
        <v>0.43266670437540916</v>
      </c>
      <c r="D7366" s="1">
        <f>1.26034542017316*(10.3/7.3)</f>
        <v>1.7782955928470572</v>
      </c>
      <c r="E7366" s="1">
        <f>4.25524483375858*(10.3/7.3)</f>
        <v>6.0039755873579939</v>
      </c>
      <c r="F7366" s="1">
        <f>11.6085451939856*(38.9/42.5)</f>
        <v>10.625233130495044</v>
      </c>
      <c r="G7366" s="1">
        <v>0.62425497243368244</v>
      </c>
      <c r="H7366" s="1">
        <v>5.5019792922011437</v>
      </c>
      <c r="I7366" s="1">
        <v>7.5263993897190566</v>
      </c>
      <c r="J7366" s="1">
        <v>1.3041551038776676E-2</v>
      </c>
      <c r="K7366" s="1">
        <v>1.1483285988971774</v>
      </c>
      <c r="L7366" s="1">
        <v>0.85657252490830149</v>
      </c>
      <c r="M7366" s="1">
        <v>8.7825946557362297E-2</v>
      </c>
      <c r="N7366" s="1">
        <v>0.49851977451473284</v>
      </c>
      <c r="O7366" s="1">
        <v>8.2333737373737365E-2</v>
      </c>
      <c r="P7366" s="1">
        <v>5.2578039086630175E-2</v>
      </c>
      <c r="Q7366" s="1">
        <v>0.99766776416342073</v>
      </c>
      <c r="R7366" s="2">
        <f t="shared" si="459"/>
        <v>33.490472433592814</v>
      </c>
      <c r="S7366" s="2">
        <f t="shared" si="458"/>
        <v>1.2139481890225843</v>
      </c>
      <c r="T7366" s="2">
        <f t="shared" si="460"/>
        <v>1.525251983354134</v>
      </c>
      <c r="U7366" s="2">
        <f t="shared" si="461"/>
        <v>36.229672605969526</v>
      </c>
    </row>
    <row r="7367" spans="1:21" x14ac:dyDescent="0.25">
      <c r="A7367">
        <v>8526437</v>
      </c>
      <c r="B7367">
        <v>8</v>
      </c>
      <c r="C7367" s="1">
        <f>0.211985835502009*(10.3/7.3)</f>
        <v>0.2991033021466698</v>
      </c>
      <c r="D7367" s="1">
        <f>0.439799972825127*(10.3/7.3)</f>
        <v>0.62053968768476853</v>
      </c>
      <c r="E7367" s="1">
        <f>1.50350658291566*(10.3/7.3)</f>
        <v>2.1213860005522278</v>
      </c>
      <c r="F7367" s="1">
        <f>4.20419614274851*(38.9/42.5)</f>
        <v>3.8480759988921633</v>
      </c>
      <c r="G7367" s="1">
        <v>0.22133605150340832</v>
      </c>
      <c r="H7367" s="1">
        <v>0.8490929644479901</v>
      </c>
      <c r="I7367" s="1">
        <v>2.9957819010936868</v>
      </c>
      <c r="J7367" s="1">
        <v>9.0666656282363499E-3</v>
      </c>
      <c r="K7367" s="1">
        <v>1.0092705580206978</v>
      </c>
      <c r="L7367" s="1">
        <v>0.71959856301688241</v>
      </c>
      <c r="M7367" s="1">
        <v>8.4157845256053881E-2</v>
      </c>
      <c r="N7367" s="1">
        <v>0.34618101191270073</v>
      </c>
      <c r="O7367" s="1">
        <v>8.5213333333333321E-2</v>
      </c>
      <c r="P7367" s="1">
        <v>4.9497297617890401E-2</v>
      </c>
      <c r="Q7367" s="1">
        <v>0.35373341564471683</v>
      </c>
      <c r="R7367" s="2">
        <f t="shared" si="459"/>
        <v>11.309049321965633</v>
      </c>
      <c r="S7367" s="2">
        <f t="shared" si="458"/>
        <v>1.0678345212668245</v>
      </c>
      <c r="T7367" s="2">
        <f t="shared" si="460"/>
        <v>1.2351507535189703</v>
      </c>
      <c r="U7367" s="2">
        <f t="shared" si="461"/>
        <v>13.612034596751428</v>
      </c>
    </row>
    <row r="7368" spans="1:21" x14ac:dyDescent="0.25">
      <c r="A7368">
        <v>8526445</v>
      </c>
      <c r="B7368">
        <v>26</v>
      </c>
      <c r="C7368" s="1">
        <f>0.255732445881555*(10.3/7.3)</f>
        <v>0.36082797158630314</v>
      </c>
      <c r="D7368" s="1">
        <f>0.56531507366071*(10.3/7.3)</f>
        <v>0.79763633680894752</v>
      </c>
      <c r="E7368" s="1">
        <f>1.9267662327295*(10.3/7.3)</f>
        <v>2.7185879722073829</v>
      </c>
      <c r="F7368" s="1">
        <f>5.51795635302472*(38.9/42.5)</f>
        <v>5.0505529913567395</v>
      </c>
      <c r="G7368" s="1">
        <v>0.29584103955416663</v>
      </c>
      <c r="H7368" s="1">
        <v>1.0853206876200003</v>
      </c>
      <c r="I7368" s="1">
        <v>3.9167111440442883</v>
      </c>
      <c r="J7368" s="1">
        <v>1.0187279420503275E-2</v>
      </c>
      <c r="K7368" s="1">
        <v>1.1074580100587459</v>
      </c>
      <c r="L7368" s="1">
        <v>0.81079872139022369</v>
      </c>
      <c r="M7368" s="1">
        <v>9.2429140345605773E-2</v>
      </c>
      <c r="N7368" s="1">
        <v>0.38493266123292114</v>
      </c>
      <c r="O7368" s="1">
        <v>9.2730256410256395E-2</v>
      </c>
      <c r="P7368" s="1">
        <v>5.3927616207523135E-2</v>
      </c>
      <c r="Q7368" s="1">
        <v>0.47280531435597439</v>
      </c>
      <c r="R7368" s="2">
        <f t="shared" si="459"/>
        <v>14.698283457533803</v>
      </c>
      <c r="S7368" s="2">
        <f t="shared" si="458"/>
        <v>1.1715729056867723</v>
      </c>
      <c r="T7368" s="2">
        <f t="shared" si="460"/>
        <v>1.3808907793790068</v>
      </c>
      <c r="U7368" s="2">
        <f t="shared" si="461"/>
        <v>17.250747142599582</v>
      </c>
    </row>
    <row r="7369" spans="1:21" x14ac:dyDescent="0.25">
      <c r="A7369">
        <v>8526453</v>
      </c>
      <c r="B7369">
        <v>8</v>
      </c>
      <c r="C7369" s="1">
        <f>0.239731838490634*(10.3/7.3)</f>
        <v>0.33825177211692248</v>
      </c>
      <c r="D7369" s="1">
        <f>0.523920055684331*(10.3/7.3)</f>
        <v>0.73922966760939834</v>
      </c>
      <c r="E7369" s="1">
        <f>1.78647117679117*(10.3/7.3)</f>
        <v>2.5206374138286347</v>
      </c>
      <c r="F7369" s="1">
        <f>5.10295118013188*(38.9/42.5)</f>
        <v>4.6707011978148278</v>
      </c>
      <c r="G7369" s="1">
        <v>0.272985153747826</v>
      </c>
      <c r="H7369" s="1">
        <v>1.0112108526753507</v>
      </c>
      <c r="I7369" s="1">
        <v>3.62602066395517</v>
      </c>
      <c r="J7369" s="1">
        <v>1.0665292643768372E-2</v>
      </c>
      <c r="K7369" s="1">
        <v>1.0555374697854345</v>
      </c>
      <c r="L7369" s="1">
        <v>0.77192767679477459</v>
      </c>
      <c r="M7369" s="1">
        <v>8.2897940711991927E-2</v>
      </c>
      <c r="N7369" s="1">
        <v>0.36764042836215111</v>
      </c>
      <c r="O7369" s="1">
        <v>8.8006666666666664E-2</v>
      </c>
      <c r="P7369" s="1">
        <v>5.1492014495850856E-2</v>
      </c>
      <c r="Q7369" s="1">
        <v>0.43627764297597804</v>
      </c>
      <c r="R7369" s="2">
        <f t="shared" si="459"/>
        <v>13.615314364724108</v>
      </c>
      <c r="S7369" s="2">
        <f t="shared" ref="S7369:S7432" si="462">J7369+K7369+P7369</f>
        <v>1.1176947769250538</v>
      </c>
      <c r="T7369" s="2">
        <f t="shared" si="460"/>
        <v>1.3104727125355842</v>
      </c>
      <c r="U7369" s="2">
        <f t="shared" si="461"/>
        <v>16.043481854184748</v>
      </c>
    </row>
    <row r="7370" spans="1:21" x14ac:dyDescent="0.25">
      <c r="A7370">
        <v>8526653</v>
      </c>
      <c r="B7370">
        <v>37</v>
      </c>
      <c r="C7370" s="1">
        <f>0.322995278926606*(10.3/7.3)</f>
        <v>0.45573306478685444</v>
      </c>
      <c r="D7370" s="1">
        <f>1.27984855762859*(10.3/7.3)</f>
        <v>1.8058137182978731</v>
      </c>
      <c r="E7370" s="1">
        <f>4.31987424814398*(10.3/7.3)</f>
        <v>6.0951650350524655</v>
      </c>
      <c r="F7370" s="1">
        <f>11.9639867651551*(38.9/42.5)</f>
        <v>10.950566709753728</v>
      </c>
      <c r="G7370" s="1">
        <v>0.64795704881998606</v>
      </c>
      <c r="H7370" s="1">
        <v>3.0025054060055827</v>
      </c>
      <c r="I7370" s="1">
        <v>7.8270757188575413</v>
      </c>
      <c r="J7370" s="1">
        <v>1.2274785701354351E-2</v>
      </c>
      <c r="K7370" s="1">
        <v>1.1206077107497741</v>
      </c>
      <c r="L7370" s="1">
        <v>0.8410638366255323</v>
      </c>
      <c r="M7370" s="1">
        <v>8.7527088122777652E-2</v>
      </c>
      <c r="N7370" s="1">
        <v>0.46581199105292281</v>
      </c>
      <c r="O7370" s="1">
        <v>8.2150630630630633E-2</v>
      </c>
      <c r="P7370" s="1">
        <v>5.2313467283278063E-2</v>
      </c>
      <c r="Q7370" s="1">
        <v>1.0355477949177871</v>
      </c>
      <c r="R7370" s="2">
        <f t="shared" ref="R7370:R7433" si="463">C7370+D7370+E7370+F7370+G7370+H7370+I7370+Q7370</f>
        <v>31.820364496491816</v>
      </c>
      <c r="S7370" s="2">
        <f t="shared" si="462"/>
        <v>1.1851959637344065</v>
      </c>
      <c r="T7370" s="2">
        <f t="shared" ref="T7370:T7433" si="464">L7370+M7370+N7370+O7370</f>
        <v>1.4765535464318633</v>
      </c>
      <c r="U7370" s="2">
        <f t="shared" ref="U7370:U7433" si="465">R7370+S7370+T7370</f>
        <v>34.482114006658087</v>
      </c>
    </row>
    <row r="7371" spans="1:21" x14ac:dyDescent="0.25">
      <c r="A7371">
        <v>8526661</v>
      </c>
      <c r="B7371">
        <v>55</v>
      </c>
      <c r="C7371" s="1">
        <f>0.304741027190487*(10.3/7.3)</f>
        <v>0.42997706576192013</v>
      </c>
      <c r="D7371" s="1">
        <f>1.2062752948237*(10.3/7.3)</f>
        <v>1.7020048680389197</v>
      </c>
      <c r="E7371" s="1">
        <f>4.0739656709357*(10.3/7.3)</f>
        <v>5.7481981384435166</v>
      </c>
      <c r="F7371" s="1">
        <f>11.1619155670893*(38.9/42.5)</f>
        <v>10.216435660229974</v>
      </c>
      <c r="G7371" s="1">
        <v>0.60085362065609016</v>
      </c>
      <c r="H7371" s="1">
        <v>4.6201540704620898</v>
      </c>
      <c r="I7371" s="1">
        <v>7.2746445613851192</v>
      </c>
      <c r="J7371" s="1">
        <v>1.2697671519737134E-2</v>
      </c>
      <c r="K7371" s="1">
        <v>1.135103864891593</v>
      </c>
      <c r="L7371" s="1">
        <v>0.8448246063843704</v>
      </c>
      <c r="M7371" s="1">
        <v>8.7380716074500375E-2</v>
      </c>
      <c r="N7371" s="1">
        <v>0.48642287396688666</v>
      </c>
      <c r="O7371" s="1">
        <v>8.1492363636363668E-2</v>
      </c>
      <c r="P7371" s="1">
        <v>5.2268301164870273E-2</v>
      </c>
      <c r="Q7371" s="1">
        <v>0.96026834351430035</v>
      </c>
      <c r="R7371" s="2">
        <f t="shared" si="463"/>
        <v>31.552536328491929</v>
      </c>
      <c r="S7371" s="2">
        <f t="shared" si="462"/>
        <v>1.2000698375762004</v>
      </c>
      <c r="T7371" s="2">
        <f t="shared" si="464"/>
        <v>1.500120560062121</v>
      </c>
      <c r="U7371" s="2">
        <f t="shared" si="465"/>
        <v>34.252726726130248</v>
      </c>
    </row>
    <row r="7372" spans="1:21" x14ac:dyDescent="0.25">
      <c r="A7372">
        <v>8526669</v>
      </c>
      <c r="B7372">
        <v>23</v>
      </c>
      <c r="C7372" s="1">
        <f>0.307907273883902*(10.3/7.3)</f>
        <v>0.4344445097266012</v>
      </c>
      <c r="D7372" s="1">
        <f>1.28033454157623*(10.3/7.3)</f>
        <v>1.8064994216760499</v>
      </c>
      <c r="E7372" s="1">
        <f>4.31892113384332*(10.3/7.3)</f>
        <v>6.0938202299433115</v>
      </c>
      <c r="F7372" s="1">
        <f>11.9411724773166*(38.9/42.5)</f>
        <v>10.929684926296813</v>
      </c>
      <c r="G7372" s="1">
        <v>0.64725439934121887</v>
      </c>
      <c r="H7372" s="1">
        <v>5.1560509676283406</v>
      </c>
      <c r="I7372" s="1">
        <v>7.7718861289649013</v>
      </c>
      <c r="J7372" s="1">
        <v>1.3091206026618068E-2</v>
      </c>
      <c r="K7372" s="1">
        <v>1.1477221363366914</v>
      </c>
      <c r="L7372" s="1">
        <v>0.8575545400017357</v>
      </c>
      <c r="M7372" s="1">
        <v>8.7586065053060075E-2</v>
      </c>
      <c r="N7372" s="1">
        <v>0.49972444565176077</v>
      </c>
      <c r="O7372" s="1">
        <v>8.2084637681159422E-2</v>
      </c>
      <c r="P7372" s="1">
        <v>5.2608578466539324E-2</v>
      </c>
      <c r="Q7372" s="1">
        <v>1.0344248391298034</v>
      </c>
      <c r="R7372" s="2">
        <f t="shared" si="463"/>
        <v>33.874065422707041</v>
      </c>
      <c r="S7372" s="2">
        <f t="shared" si="462"/>
        <v>1.2134219208298489</v>
      </c>
      <c r="T7372" s="2">
        <f t="shared" si="464"/>
        <v>1.5269496883877161</v>
      </c>
      <c r="U7372" s="2">
        <f t="shared" si="465"/>
        <v>36.614437031924609</v>
      </c>
    </row>
    <row r="7373" spans="1:21" x14ac:dyDescent="0.25">
      <c r="A7373">
        <v>8538673</v>
      </c>
      <c r="B7373">
        <v>39</v>
      </c>
      <c r="C7373" s="1">
        <f>0.270150098655853*(10.3/7.3)</f>
        <v>0.38117068714455954</v>
      </c>
      <c r="D7373" s="1">
        <f>0.603618335314984*(10.3/7.3)</f>
        <v>0.85168066489648497</v>
      </c>
      <c r="E7373" s="1">
        <f>2.05635880933093*(10.3/7.3)</f>
        <v>2.9014377720696651</v>
      </c>
      <c r="F7373" s="1">
        <f>5.90891808635976*(38.9/42.5)</f>
        <v>5.4083979661034016</v>
      </c>
      <c r="G7373" s="1">
        <v>0.31762328816199681</v>
      </c>
      <c r="H7373" s="1">
        <v>1.1543800506284934</v>
      </c>
      <c r="I7373" s="1">
        <v>4.1911122725380441</v>
      </c>
      <c r="J7373" s="1">
        <v>1.0529238123296532E-2</v>
      </c>
      <c r="K7373" s="1">
        <v>1.1493885432524227</v>
      </c>
      <c r="L7373" s="1">
        <v>0.84471187016980132</v>
      </c>
      <c r="M7373" s="1">
        <v>9.6391640625265562E-2</v>
      </c>
      <c r="N7373" s="1">
        <v>0.40161389406412812</v>
      </c>
      <c r="O7373" s="1">
        <v>9.6664615384615404E-2</v>
      </c>
      <c r="P7373" s="1">
        <v>5.5946434210218249E-2</v>
      </c>
      <c r="Q7373" s="1">
        <v>0.507617127199539</v>
      </c>
      <c r="R7373" s="2">
        <f t="shared" si="463"/>
        <v>15.713419828742186</v>
      </c>
      <c r="S7373" s="2">
        <f t="shared" si="462"/>
        <v>1.2158642155859374</v>
      </c>
      <c r="T7373" s="2">
        <f t="shared" si="464"/>
        <v>1.4393820202438103</v>
      </c>
      <c r="U7373" s="2">
        <f t="shared" si="465"/>
        <v>18.368666064571933</v>
      </c>
    </row>
    <row r="7374" spans="1:21" x14ac:dyDescent="0.25">
      <c r="A7374">
        <v>8538681</v>
      </c>
      <c r="B7374">
        <v>56</v>
      </c>
      <c r="C7374" s="1">
        <f>0.274314947083568*(10.3/7.3)</f>
        <v>0.38704711711791112</v>
      </c>
      <c r="D7374" s="1">
        <f>0.622453776366953*(10.3/7.3)</f>
        <v>0.87825669816159169</v>
      </c>
      <c r="E7374" s="1">
        <f>2.11897461042267*(10.3/7.3)</f>
        <v>2.9897860941580077</v>
      </c>
      <c r="F7374" s="1">
        <f>6.12557584542205*(38.9/42.5)</f>
        <v>5.606703538515708</v>
      </c>
      <c r="G7374" s="1">
        <v>0.33070216810442499</v>
      </c>
      <c r="H7374" s="1">
        <v>1.1953067607519381</v>
      </c>
      <c r="I7374" s="1">
        <v>4.3416383320608389</v>
      </c>
      <c r="J7374" s="1">
        <v>1.1066578484808168E-2</v>
      </c>
      <c r="K7374" s="1">
        <v>1.157513055705977</v>
      </c>
      <c r="L7374" s="1">
        <v>0.85819634154777302</v>
      </c>
      <c r="M7374" s="1">
        <v>9.5376300377174719E-2</v>
      </c>
      <c r="N7374" s="1">
        <v>0.40744039055730685</v>
      </c>
      <c r="O7374" s="1">
        <v>9.6625714285714301E-2</v>
      </c>
      <c r="P7374" s="1">
        <v>5.6171225932114086E-2</v>
      </c>
      <c r="Q7374" s="1">
        <v>0.52851944674223217</v>
      </c>
      <c r="R7374" s="2">
        <f t="shared" si="463"/>
        <v>16.257960155612654</v>
      </c>
      <c r="S7374" s="2">
        <f t="shared" si="462"/>
        <v>1.2247508601228991</v>
      </c>
      <c r="T7374" s="2">
        <f t="shared" si="464"/>
        <v>1.4576387467679688</v>
      </c>
      <c r="U7374" s="2">
        <f t="shared" si="465"/>
        <v>18.940349762503523</v>
      </c>
    </row>
    <row r="7375" spans="1:21" x14ac:dyDescent="0.25">
      <c r="A7375">
        <v>8538689</v>
      </c>
      <c r="B7375">
        <v>6</v>
      </c>
      <c r="C7375" s="1">
        <f>0.32023988903099*(10.3/7.3)</f>
        <v>0.45184532287934254</v>
      </c>
      <c r="D7375" s="1">
        <f>0.774849864013302*(10.3/7.3)</f>
        <v>1.0932813149776728</v>
      </c>
      <c r="E7375" s="1">
        <f>2.6295813392378*(10.3/7.3)</f>
        <v>3.710231204677986</v>
      </c>
      <c r="F7375" s="1">
        <f>7.80831818828892*(38.9/42.5)</f>
        <v>7.1469077064573892</v>
      </c>
      <c r="G7375" s="1">
        <v>0.42935858907243801</v>
      </c>
      <c r="H7375" s="1">
        <v>1.4916021397018298</v>
      </c>
      <c r="I7375" s="1">
        <v>5.5230604476504697</v>
      </c>
      <c r="J7375" s="1">
        <v>1.874223099563354E-2</v>
      </c>
      <c r="K7375" s="1">
        <v>1.2948182836623165</v>
      </c>
      <c r="L7375" s="1">
        <v>1.0152713810450289</v>
      </c>
      <c r="M7375" s="1">
        <v>0.10048613289151533</v>
      </c>
      <c r="N7375" s="1">
        <v>0.4726940602420211</v>
      </c>
      <c r="O7375" s="1">
        <v>0.11164444444444444</v>
      </c>
      <c r="P7375" s="1">
        <v>6.1879881325483603E-2</v>
      </c>
      <c r="Q7375" s="1">
        <v>0.68618952591485594</v>
      </c>
      <c r="R7375" s="2">
        <f t="shared" si="463"/>
        <v>20.532476251331982</v>
      </c>
      <c r="S7375" s="2">
        <f t="shared" si="462"/>
        <v>1.3754403959834336</v>
      </c>
      <c r="T7375" s="2">
        <f t="shared" si="464"/>
        <v>1.7000960186230099</v>
      </c>
      <c r="U7375" s="2">
        <f t="shared" si="465"/>
        <v>23.608012665938425</v>
      </c>
    </row>
    <row r="7376" spans="1:21" x14ac:dyDescent="0.25">
      <c r="A7376">
        <v>8538889</v>
      </c>
      <c r="B7376">
        <v>44</v>
      </c>
      <c r="C7376" s="1">
        <f>0.335424160691394*(10.3/7.3)</f>
        <v>0.47326970618100833</v>
      </c>
      <c r="D7376" s="1">
        <f>1.35621880810149*(10.3/7.3)</f>
        <v>1.9135690032116859</v>
      </c>
      <c r="E7376" s="1">
        <f>4.57632811881336*(10.3/7.3)</f>
        <v>6.457010907366791</v>
      </c>
      <c r="F7376" s="1">
        <f>12.6729356040477*(38.9/42.5)</f>
        <v>11.599463411704798</v>
      </c>
      <c r="G7376" s="1">
        <v>0.68682661839219861</v>
      </c>
      <c r="H7376" s="1">
        <v>3.4187784882902914</v>
      </c>
      <c r="I7376" s="1">
        <v>8.2745915812739295</v>
      </c>
      <c r="J7376" s="1">
        <v>1.2208854446905582E-2</v>
      </c>
      <c r="K7376" s="1">
        <v>1.1115098795867013</v>
      </c>
      <c r="L7376" s="1">
        <v>0.8353184594517914</v>
      </c>
      <c r="M7376" s="1">
        <v>8.6883155730243841E-2</v>
      </c>
      <c r="N7376" s="1">
        <v>0.46118834962262584</v>
      </c>
      <c r="O7376" s="1">
        <v>8.1338181818181823E-2</v>
      </c>
      <c r="P7376" s="1">
        <v>5.19386240141817E-2</v>
      </c>
      <c r="Q7376" s="1">
        <v>1.0976681115857063</v>
      </c>
      <c r="R7376" s="2">
        <f t="shared" si="463"/>
        <v>33.921177828006407</v>
      </c>
      <c r="S7376" s="2">
        <f t="shared" si="462"/>
        <v>1.1756573580477887</v>
      </c>
      <c r="T7376" s="2">
        <f t="shared" si="464"/>
        <v>1.4647281466228428</v>
      </c>
      <c r="U7376" s="2">
        <f t="shared" si="465"/>
        <v>36.561563332677039</v>
      </c>
    </row>
    <row r="7377" spans="1:21" x14ac:dyDescent="0.25">
      <c r="A7377">
        <v>8538897</v>
      </c>
      <c r="B7377">
        <v>64</v>
      </c>
      <c r="C7377" s="1">
        <f>0.308862849525725*(10.3/7.3)</f>
        <v>0.43579278768698254</v>
      </c>
      <c r="D7377" s="1">
        <f>1.23679690596754*(10.3/7.3)</f>
        <v>1.7450696070500862</v>
      </c>
      <c r="E7377" s="1">
        <f>4.17476575183087*(10.3/7.3)</f>
        <v>5.8904229101175343</v>
      </c>
      <c r="F7377" s="1">
        <f>11.5187816030826*(38.9/42.5)</f>
        <v>10.543073043762684</v>
      </c>
      <c r="G7377" s="1">
        <v>0.62278677934839222</v>
      </c>
      <c r="H7377" s="1">
        <v>4.8440644451462758</v>
      </c>
      <c r="I7377" s="1">
        <v>7.5180042041332769</v>
      </c>
      <c r="J7377" s="1">
        <v>1.2650051201207262E-2</v>
      </c>
      <c r="K7377" s="1">
        <v>1.129789843163945</v>
      </c>
      <c r="L7377" s="1">
        <v>0.84273611751207345</v>
      </c>
      <c r="M7377" s="1">
        <v>8.6927001180095637E-2</v>
      </c>
      <c r="N7377" s="1">
        <v>0.48308159345736734</v>
      </c>
      <c r="O7377" s="1">
        <v>8.1242499999999981E-2</v>
      </c>
      <c r="P7377" s="1">
        <v>5.1976261396113381E-2</v>
      </c>
      <c r="Q7377" s="1">
        <v>0.99532133685816238</v>
      </c>
      <c r="R7377" s="2">
        <f t="shared" si="463"/>
        <v>32.594535114103394</v>
      </c>
      <c r="S7377" s="2">
        <f t="shared" si="462"/>
        <v>1.1944161557612658</v>
      </c>
      <c r="T7377" s="2">
        <f t="shared" si="464"/>
        <v>1.4939872121495363</v>
      </c>
      <c r="U7377" s="2">
        <f t="shared" si="465"/>
        <v>35.282938482014195</v>
      </c>
    </row>
    <row r="7378" spans="1:21" x14ac:dyDescent="0.25">
      <c r="A7378">
        <v>8538905</v>
      </c>
      <c r="B7378">
        <v>32</v>
      </c>
      <c r="C7378" s="1">
        <f>0.328075450554454*(10.3/7.3)</f>
        <v>0.46290097817957254</v>
      </c>
      <c r="D7378" s="1">
        <f>1.49026601028711*(10.3/7.3)</f>
        <v>2.1027040967064692</v>
      </c>
      <c r="E7378" s="1">
        <f>5.02222975926821*(10.3/7.3)</f>
        <v>7.0861597973236439</v>
      </c>
      <c r="F7378" s="1">
        <f>13.8290180273435*(38.9/42.5)</f>
        <v>12.657618853262607</v>
      </c>
      <c r="G7378" s="1">
        <v>0.75015258029986265</v>
      </c>
      <c r="H7378" s="1">
        <v>6.2455905942446961</v>
      </c>
      <c r="I7378" s="1">
        <v>8.9162271502783508</v>
      </c>
      <c r="J7378" s="1">
        <v>1.3751958176909907E-2</v>
      </c>
      <c r="K7378" s="1">
        <v>1.1960355854294464</v>
      </c>
      <c r="L7378" s="1">
        <v>0.9065437803267572</v>
      </c>
      <c r="M7378" s="1">
        <v>9.1317595747660213E-2</v>
      </c>
      <c r="N7378" s="1">
        <v>0.52551052304672208</v>
      </c>
      <c r="O7378" s="1">
        <v>8.5581666666666639E-2</v>
      </c>
      <c r="P7378" s="1">
        <v>5.4616151337598555E-2</v>
      </c>
      <c r="Q7378" s="1">
        <v>1.198873986780604</v>
      </c>
      <c r="R7378" s="2">
        <f t="shared" si="463"/>
        <v>39.420228037075809</v>
      </c>
      <c r="S7378" s="2">
        <f t="shared" si="462"/>
        <v>1.2644036949439548</v>
      </c>
      <c r="T7378" s="2">
        <f t="shared" si="464"/>
        <v>1.608953565787806</v>
      </c>
      <c r="U7378" s="2">
        <f t="shared" si="465"/>
        <v>42.293585297807574</v>
      </c>
    </row>
    <row r="7379" spans="1:21" x14ac:dyDescent="0.25">
      <c r="A7379">
        <v>8538913</v>
      </c>
      <c r="B7379">
        <v>2</v>
      </c>
      <c r="C7379" s="1">
        <f>0.346354555161083*(10.3/7.3)</f>
        <v>0.48869204358344537</v>
      </c>
      <c r="D7379" s="1">
        <f>2.05311026006379*(10.3/7.3)</f>
        <v>2.8968542025557653</v>
      </c>
      <c r="E7379" s="1">
        <f>6.91975509378576*(10.3/7.3)</f>
        <v>9.7634900638347055</v>
      </c>
      <c r="F7379" s="1">
        <f>17.953735535032*(38.9/42.5)</f>
        <v>16.432948525005774</v>
      </c>
      <c r="G7379" s="1">
        <v>0.94880916364037549</v>
      </c>
      <c r="H7379" s="1">
        <v>6.8810876774669474</v>
      </c>
      <c r="I7379" s="1">
        <v>11.060045192363777</v>
      </c>
      <c r="J7379" s="1">
        <v>1.4592377721073973E-2</v>
      </c>
      <c r="K7379" s="1">
        <v>1.2405336182063569</v>
      </c>
      <c r="L7379" s="1">
        <v>0.94932537419388729</v>
      </c>
      <c r="M7379" s="1">
        <v>9.4173977109752199E-2</v>
      </c>
      <c r="N7379" s="1">
        <v>0.55623078752533395</v>
      </c>
      <c r="O7379" s="1">
        <v>8.8586666666666675E-2</v>
      </c>
      <c r="P7379" s="1">
        <v>5.6300028259098925E-2</v>
      </c>
      <c r="Q7379" s="1">
        <v>1.5163616770508299</v>
      </c>
      <c r="R7379" s="2">
        <f t="shared" si="463"/>
        <v>49.988288545501625</v>
      </c>
      <c r="S7379" s="2">
        <f t="shared" si="462"/>
        <v>1.3114260241865296</v>
      </c>
      <c r="T7379" s="2">
        <f t="shared" si="464"/>
        <v>1.6883168054956399</v>
      </c>
      <c r="U7379" s="2">
        <f t="shared" si="465"/>
        <v>52.988031375183795</v>
      </c>
    </row>
    <row r="7380" spans="1:21" x14ac:dyDescent="0.25">
      <c r="A7380">
        <v>8550901</v>
      </c>
      <c r="B7380">
        <v>5</v>
      </c>
      <c r="C7380" s="1">
        <f>0.232913082758852*(10.3/7.3)</f>
        <v>0.32863078800221623</v>
      </c>
      <c r="D7380" s="1">
        <f>0.495687826852881*(10.3/7.3)</f>
        <v>0.69939515295680499</v>
      </c>
      <c r="E7380" s="1">
        <f>1.69251898387866*(10.3/7.3)</f>
        <v>2.3880747306781087</v>
      </c>
      <c r="F7380" s="1">
        <f>4.7771619168905*(38.9/42.5)</f>
        <v>4.3725082015774266</v>
      </c>
      <c r="G7380" s="1">
        <v>0.25334481478996429</v>
      </c>
      <c r="H7380" s="1">
        <v>0.94665761740968279</v>
      </c>
      <c r="I7380" s="1">
        <v>3.3981894250019531</v>
      </c>
      <c r="J7380" s="1">
        <v>9.3791775849554858E-3</v>
      </c>
      <c r="K7380" s="1">
        <v>1.0398998968718252</v>
      </c>
      <c r="L7380" s="1">
        <v>0.74341961644714383</v>
      </c>
      <c r="M7380" s="1">
        <v>8.5681604276685391E-2</v>
      </c>
      <c r="N7380" s="1">
        <v>0.35674482653262146</v>
      </c>
      <c r="O7380" s="1">
        <v>8.7722666666666671E-2</v>
      </c>
      <c r="P7380" s="1">
        <v>5.095592570648131E-2</v>
      </c>
      <c r="Q7380" s="1">
        <v>0.40488897340861918</v>
      </c>
      <c r="R7380" s="2">
        <f t="shared" si="463"/>
        <v>12.791689703824774</v>
      </c>
      <c r="S7380" s="2">
        <f t="shared" si="462"/>
        <v>1.1002350001632619</v>
      </c>
      <c r="T7380" s="2">
        <f t="shared" si="464"/>
        <v>1.2735687139231173</v>
      </c>
      <c r="U7380" s="2">
        <f t="shared" si="465"/>
        <v>15.165493417911152</v>
      </c>
    </row>
    <row r="7381" spans="1:21" x14ac:dyDescent="0.25">
      <c r="A7381">
        <v>8550909</v>
      </c>
      <c r="B7381">
        <v>59</v>
      </c>
      <c r="C7381" s="1">
        <f>0.321879186100068*(10.3/7.3)</f>
        <v>0.45415830367543891</v>
      </c>
      <c r="D7381" s="1">
        <f>0.751617196638228*(10.3/7.3)</f>
        <v>1.0605009760785955</v>
      </c>
      <c r="E7381" s="1">
        <f>2.5555315529607*(10.3/7.3)</f>
        <v>3.6057499993829052</v>
      </c>
      <c r="F7381" s="1">
        <f>7.45493872752912*(38.9/42.5)</f>
        <v>6.8234615647266574</v>
      </c>
      <c r="G7381" s="1">
        <v>0.40519661701017812</v>
      </c>
      <c r="H7381" s="1">
        <v>1.4321548574951128</v>
      </c>
      <c r="I7381" s="1">
        <v>5.2745544433318692</v>
      </c>
      <c r="J7381" s="1">
        <v>1.2009705007082969E-2</v>
      </c>
      <c r="K7381" s="1">
        <v>1.2837324272717676</v>
      </c>
      <c r="L7381" s="1">
        <v>0.96873334794581389</v>
      </c>
      <c r="M7381" s="1">
        <v>0.10751723155262118</v>
      </c>
      <c r="N7381" s="1">
        <v>0.45798870956996818</v>
      </c>
      <c r="O7381" s="1">
        <v>0.10723706214689266</v>
      </c>
      <c r="P7381" s="1">
        <v>6.195509625838793E-2</v>
      </c>
      <c r="Q7381" s="1">
        <v>0.64757450207106171</v>
      </c>
      <c r="R7381" s="2">
        <f t="shared" si="463"/>
        <v>19.703351263771818</v>
      </c>
      <c r="S7381" s="2">
        <f t="shared" si="462"/>
        <v>1.3576972285372384</v>
      </c>
      <c r="T7381" s="2">
        <f t="shared" si="464"/>
        <v>1.6414763512152959</v>
      </c>
      <c r="U7381" s="2">
        <f t="shared" si="465"/>
        <v>22.702524843524351</v>
      </c>
    </row>
    <row r="7382" spans="1:21" x14ac:dyDescent="0.25">
      <c r="A7382">
        <v>8550917</v>
      </c>
      <c r="B7382">
        <v>55</v>
      </c>
      <c r="C7382" s="1">
        <f>0.336109041557296*(10.3/7.3)</f>
        <v>0.47423604493700711</v>
      </c>
      <c r="D7382" s="1">
        <f>0.802172930318656*(10.3/7.3)</f>
        <v>1.1318330386687887</v>
      </c>
      <c r="E7382" s="1">
        <f>2.72427201504164*(10.3/7.3)</f>
        <v>3.8438358568395796</v>
      </c>
      <c r="F7382" s="1">
        <f>8.03445105543274*(38.9/42.5)</f>
        <v>7.3538857895607883</v>
      </c>
      <c r="G7382" s="1">
        <v>0.43984683212745179</v>
      </c>
      <c r="H7382" s="1">
        <v>1.5285856765965873</v>
      </c>
      <c r="I7382" s="1">
        <v>5.6834741168345015</v>
      </c>
      <c r="J7382" s="1">
        <v>1.5520559255675689E-2</v>
      </c>
      <c r="K7382" s="1">
        <v>1.3127741893594889</v>
      </c>
      <c r="L7382" s="1">
        <v>1.006503816377327</v>
      </c>
      <c r="M7382" s="1">
        <v>0.10336734139520497</v>
      </c>
      <c r="N7382" s="1">
        <v>0.47826165541682597</v>
      </c>
      <c r="O7382" s="1">
        <v>0.11040775757575758</v>
      </c>
      <c r="P7382" s="1">
        <v>6.3015749730279444E-2</v>
      </c>
      <c r="Q7382" s="1">
        <v>0.70295155819455868</v>
      </c>
      <c r="R7382" s="2">
        <f t="shared" si="463"/>
        <v>21.158648913759261</v>
      </c>
      <c r="S7382" s="2">
        <f t="shared" si="462"/>
        <v>1.3913104983454441</v>
      </c>
      <c r="T7382" s="2">
        <f t="shared" si="464"/>
        <v>1.6985405707651156</v>
      </c>
      <c r="U7382" s="2">
        <f t="shared" si="465"/>
        <v>24.24849998286982</v>
      </c>
    </row>
    <row r="7383" spans="1:21" x14ac:dyDescent="0.25">
      <c r="A7383">
        <v>8551125</v>
      </c>
      <c r="B7383">
        <v>39</v>
      </c>
      <c r="C7383" s="1">
        <f>0.324903988214289*(10.3/7.3)</f>
        <v>0.45842617515166817</v>
      </c>
      <c r="D7383" s="1">
        <f>1.30883229657705*(10.3/7.3)</f>
        <v>1.8467085828415957</v>
      </c>
      <c r="E7383" s="1">
        <f>4.41558177069918*(10.3/7.3)</f>
        <v>6.2302044161920014</v>
      </c>
      <c r="F7383" s="1">
        <f>12.2833503669818*(38.9/42.5)</f>
        <v>11.242878335896295</v>
      </c>
      <c r="G7383" s="1">
        <v>0.66729199871540601</v>
      </c>
      <c r="H7383" s="1">
        <v>4.0532798843939464</v>
      </c>
      <c r="I7383" s="1">
        <v>8.0361411246030947</v>
      </c>
      <c r="J7383" s="1">
        <v>1.222608442579853E-2</v>
      </c>
      <c r="K7383" s="1">
        <v>1.1128541012882498</v>
      </c>
      <c r="L7383" s="1">
        <v>0.8376981787349087</v>
      </c>
      <c r="M7383" s="1">
        <v>8.7976855694199024E-2</v>
      </c>
      <c r="N7383" s="1">
        <v>0.46203219178312988</v>
      </c>
      <c r="O7383" s="1">
        <v>8.1344273504273507E-2</v>
      </c>
      <c r="P7383" s="1">
        <v>5.1934791157118812E-2</v>
      </c>
      <c r="Q7383" s="1">
        <v>1.0664483997734806</v>
      </c>
      <c r="R7383" s="2">
        <f t="shared" si="463"/>
        <v>33.601378917567487</v>
      </c>
      <c r="S7383" s="2">
        <f t="shared" si="462"/>
        <v>1.1770149768711671</v>
      </c>
      <c r="T7383" s="2">
        <f t="shared" si="464"/>
        <v>1.4690514997165112</v>
      </c>
      <c r="U7383" s="2">
        <f t="shared" si="465"/>
        <v>36.247445394155172</v>
      </c>
    </row>
    <row r="7384" spans="1:21" x14ac:dyDescent="0.25">
      <c r="A7384">
        <v>8551133</v>
      </c>
      <c r="B7384">
        <v>59</v>
      </c>
      <c r="C7384" s="1">
        <f>0.313126892414167*(10.3/7.3)</f>
        <v>0.44180917696793398</v>
      </c>
      <c r="D7384" s="1">
        <f>1.27436934521318*(10.3/7.3)</f>
        <v>1.7980827747528481</v>
      </c>
      <c r="E7384" s="1">
        <f>4.29945167570773*(10.3/7.3)</f>
        <v>6.0663496246287201</v>
      </c>
      <c r="F7384" s="1">
        <f>11.9208575664002*(38.9/42.5)</f>
        <v>10.911090807834491</v>
      </c>
      <c r="G7384" s="1">
        <v>0.64666115398923429</v>
      </c>
      <c r="H7384" s="1">
        <v>5.6073393451681648</v>
      </c>
      <c r="I7384" s="1">
        <v>7.7821972913134321</v>
      </c>
      <c r="J7384" s="1">
        <v>1.2677973639490995E-2</v>
      </c>
      <c r="K7384" s="1">
        <v>1.1276188924360357</v>
      </c>
      <c r="L7384" s="1">
        <v>0.84340085221206318</v>
      </c>
      <c r="M7384" s="1">
        <v>8.6501811815493601E-2</v>
      </c>
      <c r="N7384" s="1">
        <v>0.48363929376182874</v>
      </c>
      <c r="O7384" s="1">
        <v>8.1049491525423706E-2</v>
      </c>
      <c r="P7384" s="1">
        <v>5.1890135235249553E-2</v>
      </c>
      <c r="Q7384" s="1">
        <v>1.033476730119782</v>
      </c>
      <c r="R7384" s="2">
        <f t="shared" si="463"/>
        <v>34.287006904774607</v>
      </c>
      <c r="S7384" s="2">
        <f t="shared" si="462"/>
        <v>1.1921870013107765</v>
      </c>
      <c r="T7384" s="2">
        <f t="shared" si="464"/>
        <v>1.4945914493148091</v>
      </c>
      <c r="U7384" s="2">
        <f t="shared" si="465"/>
        <v>36.973785355400196</v>
      </c>
    </row>
    <row r="7385" spans="1:21" x14ac:dyDescent="0.25">
      <c r="A7385">
        <v>8551141</v>
      </c>
      <c r="B7385">
        <v>32</v>
      </c>
      <c r="C7385" s="1">
        <f>0.335181225319485*(10.3/7.3)</f>
        <v>0.47292693435488986</v>
      </c>
      <c r="D7385" s="1">
        <f>1.62045661970336*(10.3/7.3)</f>
        <v>2.2863976962937795</v>
      </c>
      <c r="E7385" s="1">
        <f>5.46505890642287*(10.3/7.3)</f>
        <v>7.7109735255007585</v>
      </c>
      <c r="F7385" s="1">
        <f>14.6222617244296*(38.9/42.5)</f>
        <v>13.383670143066183</v>
      </c>
      <c r="G7385" s="1">
        <v>0.78201247185572198</v>
      </c>
      <c r="H7385" s="1">
        <v>5.8031359847663717</v>
      </c>
      <c r="I7385" s="1">
        <v>9.2732732145435346</v>
      </c>
      <c r="J7385" s="1">
        <v>1.4006020001873358E-2</v>
      </c>
      <c r="K7385" s="1">
        <v>1.2116160988268718</v>
      </c>
      <c r="L7385" s="1">
        <v>0.92472627400044904</v>
      </c>
      <c r="M7385" s="1">
        <v>9.2652830965774605E-2</v>
      </c>
      <c r="N7385" s="1">
        <v>0.53541262649634036</v>
      </c>
      <c r="O7385" s="1">
        <v>8.6553333333333315E-2</v>
      </c>
      <c r="P7385" s="1">
        <v>5.5220392983716907E-2</v>
      </c>
      <c r="Q7385" s="1">
        <v>1.249791621687228</v>
      </c>
      <c r="R7385" s="2">
        <f t="shared" si="463"/>
        <v>40.962181592068468</v>
      </c>
      <c r="S7385" s="2">
        <f t="shared" si="462"/>
        <v>1.2808425118124622</v>
      </c>
      <c r="T7385" s="2">
        <f t="shared" si="464"/>
        <v>1.6393450647958974</v>
      </c>
      <c r="U7385" s="2">
        <f t="shared" si="465"/>
        <v>43.882369168676824</v>
      </c>
    </row>
    <row r="7386" spans="1:21" x14ac:dyDescent="0.25">
      <c r="A7386">
        <v>8563137</v>
      </c>
      <c r="B7386">
        <v>36</v>
      </c>
      <c r="C7386" s="1">
        <f>0.2648463496393*(10.3/7.3)</f>
        <v>0.37368731524449139</v>
      </c>
      <c r="D7386" s="1">
        <f>0.587541150837512*(10.3/7.3)</f>
        <v>0.82899641830498227</v>
      </c>
      <c r="E7386" s="1">
        <f>2.00221434932374*(10.3/7.3)</f>
        <v>2.8250421641143246</v>
      </c>
      <c r="F7386" s="1">
        <f>5.74022750594768*(38.9/42.5)</f>
        <v>5.2539964701497626</v>
      </c>
      <c r="G7386" s="1">
        <v>0.30801695199825946</v>
      </c>
      <c r="H7386" s="1">
        <v>1.122074686971209</v>
      </c>
      <c r="I7386" s="1">
        <v>4.0734389065711714</v>
      </c>
      <c r="J7386" s="1">
        <v>1.0634411549757507E-2</v>
      </c>
      <c r="K7386" s="1">
        <v>1.163806838045043</v>
      </c>
      <c r="L7386" s="1">
        <v>0.85369724930321089</v>
      </c>
      <c r="M7386" s="1">
        <v>9.7049675856634585E-2</v>
      </c>
      <c r="N7386" s="1">
        <v>0.40755149531032192</v>
      </c>
      <c r="O7386" s="1">
        <v>9.7911111111111115E-2</v>
      </c>
      <c r="P7386" s="1">
        <v>5.6649015703683907E-2</v>
      </c>
      <c r="Q7386" s="1">
        <v>0.492264535157036</v>
      </c>
      <c r="R7386" s="2">
        <f t="shared" si="463"/>
        <v>15.277517448511237</v>
      </c>
      <c r="S7386" s="2">
        <f t="shared" si="462"/>
        <v>1.2310902652984843</v>
      </c>
      <c r="T7386" s="2">
        <f t="shared" si="464"/>
        <v>1.4562095315812784</v>
      </c>
      <c r="U7386" s="2">
        <f t="shared" si="465"/>
        <v>17.964817245391</v>
      </c>
    </row>
    <row r="7387" spans="1:21" x14ac:dyDescent="0.25">
      <c r="A7387">
        <v>8563145</v>
      </c>
      <c r="B7387">
        <v>69</v>
      </c>
      <c r="C7387" s="1">
        <f>0.33484334471113*(10.3/7.3)</f>
        <v>0.4724501987020055</v>
      </c>
      <c r="D7387" s="1">
        <f>0.790908723390644*(10.3/7.3)</f>
        <v>1.1159397056059777</v>
      </c>
      <c r="E7387" s="1">
        <f>2.68758022245364*(10.3/7.3)</f>
        <v>3.7920652453797898</v>
      </c>
      <c r="F7387" s="1">
        <f>7.88063822099416*(38.9/42.5)</f>
        <v>7.213101806980533</v>
      </c>
      <c r="G7387" s="1">
        <v>0.42982819881439288</v>
      </c>
      <c r="H7387" s="1">
        <v>1.5061265354850448</v>
      </c>
      <c r="I7387" s="1">
        <v>5.5742676513835452</v>
      </c>
      <c r="J7387" s="1">
        <v>1.2732686056986426E-2</v>
      </c>
      <c r="K7387" s="1">
        <v>1.3186609947977572</v>
      </c>
      <c r="L7387" s="1">
        <v>1.0022319816242105</v>
      </c>
      <c r="M7387" s="1">
        <v>0.10973878498027829</v>
      </c>
      <c r="N7387" s="1">
        <v>0.47362741570933858</v>
      </c>
      <c r="O7387" s="1">
        <v>0.11039304347826089</v>
      </c>
      <c r="P7387" s="1">
        <v>6.346619294195989E-2</v>
      </c>
      <c r="Q7387" s="1">
        <v>0.68694004376729523</v>
      </c>
      <c r="R7387" s="2">
        <f t="shared" si="463"/>
        <v>20.790719386118582</v>
      </c>
      <c r="S7387" s="2">
        <f t="shared" si="462"/>
        <v>1.3948598737967037</v>
      </c>
      <c r="T7387" s="2">
        <f t="shared" si="464"/>
        <v>1.6959912257920882</v>
      </c>
      <c r="U7387" s="2">
        <f t="shared" si="465"/>
        <v>23.881570485707375</v>
      </c>
    </row>
    <row r="7388" spans="1:21" x14ac:dyDescent="0.25">
      <c r="A7388">
        <v>8563153</v>
      </c>
      <c r="B7388">
        <v>5</v>
      </c>
      <c r="C7388" s="1">
        <f>0.463285063790557*(10.3/7.3)</f>
        <v>0.65367618589626497</v>
      </c>
      <c r="D7388" s="1">
        <f>1.18571770275123*(10.3/7.3)</f>
        <v>1.6729989504572147</v>
      </c>
      <c r="E7388" s="1">
        <f>4.01442744543731*(10.3/7.3)</f>
        <v>5.6641921490416891</v>
      </c>
      <c r="F7388" s="1">
        <f>12.1399697825835*(38.9/42.5)</f>
        <v>11.111642930411744</v>
      </c>
      <c r="G7388" s="1">
        <v>0.67593666958064424</v>
      </c>
      <c r="H7388" s="1">
        <v>2.0266709491446955</v>
      </c>
      <c r="I7388" s="1">
        <v>8.5654203752839457</v>
      </c>
      <c r="J7388" s="1">
        <v>2.513164721325296E-2</v>
      </c>
      <c r="K7388" s="1">
        <v>1.521845208828422</v>
      </c>
      <c r="L7388" s="1">
        <v>1.2479059125141281</v>
      </c>
      <c r="M7388" s="1">
        <v>0.12189024528997279</v>
      </c>
      <c r="N7388" s="1">
        <v>0.58220073490152369</v>
      </c>
      <c r="O7388" s="1">
        <v>0.13647999999999999</v>
      </c>
      <c r="P7388" s="1">
        <v>7.1866069222131082E-2</v>
      </c>
      <c r="Q7388" s="1">
        <v>1.0802640838046838</v>
      </c>
      <c r="R7388" s="2">
        <f t="shared" si="463"/>
        <v>31.450802293620882</v>
      </c>
      <c r="S7388" s="2">
        <f t="shared" si="462"/>
        <v>1.6188429252638061</v>
      </c>
      <c r="T7388" s="2">
        <f t="shared" si="464"/>
        <v>2.0884768927056245</v>
      </c>
      <c r="U7388" s="2">
        <f t="shared" si="465"/>
        <v>35.158122111590309</v>
      </c>
    </row>
    <row r="7389" spans="1:21" x14ac:dyDescent="0.25">
      <c r="A7389">
        <v>8563361</v>
      </c>
      <c r="B7389">
        <v>38</v>
      </c>
      <c r="C7389" s="1">
        <f>0.332236158747669*(10.3/7.3)</f>
        <v>0.46877156645219015</v>
      </c>
      <c r="D7389" s="1">
        <f>1.35900875258534*(10.3/7.3)</f>
        <v>1.9175055002231547</v>
      </c>
      <c r="E7389" s="1">
        <f>4.58219969472623*(10.3/7.3)</f>
        <v>6.4652954596822161</v>
      </c>
      <c r="F7389" s="1">
        <f>12.8316988078589*(38.9/42.5)</f>
        <v>11.744778438252022</v>
      </c>
      <c r="G7389" s="1">
        <v>0.70000348956673231</v>
      </c>
      <c r="H7389" s="1">
        <v>4.1021600255552713</v>
      </c>
      <c r="I7389" s="1">
        <v>8.4028463978857335</v>
      </c>
      <c r="J7389" s="1">
        <v>1.2188044476325922E-2</v>
      </c>
      <c r="K7389" s="1">
        <v>1.1086671078874308</v>
      </c>
      <c r="L7389" s="1">
        <v>0.83523389189667108</v>
      </c>
      <c r="M7389" s="1">
        <v>8.6521727210344013E-2</v>
      </c>
      <c r="N7389" s="1">
        <v>0.45891710072715008</v>
      </c>
      <c r="O7389" s="1">
        <v>8.07340350877193E-2</v>
      </c>
      <c r="P7389" s="1">
        <v>5.1619028843790049E-2</v>
      </c>
      <c r="Q7389" s="1">
        <v>1.1187270381203493</v>
      </c>
      <c r="R7389" s="2">
        <f t="shared" si="463"/>
        <v>34.920087915737668</v>
      </c>
      <c r="S7389" s="2">
        <f t="shared" si="462"/>
        <v>1.1724741812075468</v>
      </c>
      <c r="T7389" s="2">
        <f t="shared" si="464"/>
        <v>1.4614067549218845</v>
      </c>
      <c r="U7389" s="2">
        <f t="shared" si="465"/>
        <v>37.553968851867097</v>
      </c>
    </row>
    <row r="7390" spans="1:21" x14ac:dyDescent="0.25">
      <c r="A7390">
        <v>8563369</v>
      </c>
      <c r="B7390">
        <v>71</v>
      </c>
      <c r="C7390" s="1">
        <f>0.315932914765651*(10.3/7.3)</f>
        <v>0.44576835918989188</v>
      </c>
      <c r="D7390" s="1">
        <f>1.31900743071416*(10.3/7.3)</f>
        <v>1.8610652789528614</v>
      </c>
      <c r="E7390" s="1">
        <f>4.44976140095687*(10.3/7.3)</f>
        <v>6.2784304698432587</v>
      </c>
      <c r="F7390" s="1">
        <f>12.2703224650532*(38.9/42.5)</f>
        <v>11.230953973895751</v>
      </c>
      <c r="G7390" s="1">
        <v>0.66421159931920903</v>
      </c>
      <c r="H7390" s="1">
        <v>5.4341968649099552</v>
      </c>
      <c r="I7390" s="1">
        <v>7.9753688582823186</v>
      </c>
      <c r="J7390" s="1">
        <v>1.2596099761885729E-2</v>
      </c>
      <c r="K7390" s="1">
        <v>1.1197708243347924</v>
      </c>
      <c r="L7390" s="1">
        <v>0.84014694048191574</v>
      </c>
      <c r="M7390" s="1">
        <v>8.5869497100086956E-2</v>
      </c>
      <c r="N7390" s="1">
        <v>0.47959606616579259</v>
      </c>
      <c r="O7390" s="1">
        <v>8.0416901408450731E-2</v>
      </c>
      <c r="P7390" s="1">
        <v>5.1689743125307268E-2</v>
      </c>
      <c r="Q7390" s="1">
        <v>1.0615253870398325</v>
      </c>
      <c r="R7390" s="2">
        <f t="shared" si="463"/>
        <v>34.951520791433076</v>
      </c>
      <c r="S7390" s="2">
        <f t="shared" si="462"/>
        <v>1.1840566672219852</v>
      </c>
      <c r="T7390" s="2">
        <f t="shared" si="464"/>
        <v>1.4860294051562462</v>
      </c>
      <c r="U7390" s="2">
        <f t="shared" si="465"/>
        <v>37.621606863811309</v>
      </c>
    </row>
    <row r="7391" spans="1:21" x14ac:dyDescent="0.25">
      <c r="A7391">
        <v>8563377</v>
      </c>
      <c r="B7391">
        <v>31</v>
      </c>
      <c r="C7391" s="1">
        <f>0.305451271418805*(10.3/7.3)</f>
        <v>0.43097919117995792</v>
      </c>
      <c r="D7391" s="1">
        <f>1.36609172057314*(10.3/7.3)</f>
        <v>1.9274992769730672</v>
      </c>
      <c r="E7391" s="1">
        <f>4.6129986656605*(10.3/7.3)</f>
        <v>6.5087515419593309</v>
      </c>
      <c r="F7391" s="1">
        <f>12.2763183465791*(38.9/42.5)</f>
        <v>11.236441968986529</v>
      </c>
      <c r="G7391" s="1">
        <v>0.65279280468502643</v>
      </c>
      <c r="H7391" s="1">
        <v>5.1151294795169511</v>
      </c>
      <c r="I7391" s="1">
        <v>7.8222566579650836</v>
      </c>
      <c r="J7391" s="1">
        <v>1.2898791911781622E-2</v>
      </c>
      <c r="K7391" s="1">
        <v>1.1264932793477245</v>
      </c>
      <c r="L7391" s="1">
        <v>0.84597501913819506</v>
      </c>
      <c r="M7391" s="1">
        <v>8.5728421294871945E-2</v>
      </c>
      <c r="N7391" s="1">
        <v>0.49337973335252833</v>
      </c>
      <c r="O7391" s="1">
        <v>8.0192688172043017E-2</v>
      </c>
      <c r="P7391" s="1">
        <v>5.1713469465678487E-2</v>
      </c>
      <c r="Q7391" s="1">
        <v>1.0432761718710475</v>
      </c>
      <c r="R7391" s="2">
        <f t="shared" si="463"/>
        <v>34.737127093136998</v>
      </c>
      <c r="S7391" s="2">
        <f t="shared" si="462"/>
        <v>1.1911055407251845</v>
      </c>
      <c r="T7391" s="2">
        <f t="shared" si="464"/>
        <v>1.5052758619576383</v>
      </c>
      <c r="U7391" s="2">
        <f t="shared" si="465"/>
        <v>37.433508495819815</v>
      </c>
    </row>
    <row r="7392" spans="1:21" x14ac:dyDescent="0.25">
      <c r="A7392">
        <v>857193</v>
      </c>
      <c r="B7392">
        <v>38</v>
      </c>
      <c r="C7392" s="1">
        <f>3.11404449117632*(10.3/7.3)</f>
        <v>4.393788802618638</v>
      </c>
      <c r="D7392" s="1">
        <f>3.56420444609803*(10.3/7.3)</f>
        <v>5.0289459992890029</v>
      </c>
      <c r="E7392" s="1">
        <f>12.6164697624008*(10.3/7.3)</f>
        <v>17.801320349688783</v>
      </c>
      <c r="F7392" s="1">
        <f>27.188769232429*(38.9/42.5)</f>
        <v>24.885720544505645</v>
      </c>
      <c r="G7392" s="1">
        <v>1.0733418840268805</v>
      </c>
      <c r="H7392" s="1">
        <v>3.1461729887568199</v>
      </c>
      <c r="I7392" s="1">
        <v>21.138059715944035</v>
      </c>
      <c r="J7392" s="1">
        <v>3.7668036385395169E-2</v>
      </c>
      <c r="K7392" s="1">
        <v>6.8869680902190238</v>
      </c>
      <c r="L7392" s="1">
        <v>4.0059365378528087</v>
      </c>
      <c r="M7392" s="1">
        <v>0.251892968425107</v>
      </c>
      <c r="N7392" s="1">
        <v>1.2749557878118551</v>
      </c>
      <c r="O7392" s="1">
        <v>8.2343859649122789E-2</v>
      </c>
      <c r="P7392" s="1">
        <v>6.8734419587084802E-2</v>
      </c>
      <c r="Q7392" s="1">
        <v>1.7153865726457012</v>
      </c>
      <c r="R7392" s="2">
        <f t="shared" si="463"/>
        <v>79.182736857475504</v>
      </c>
      <c r="S7392" s="2">
        <f t="shared" si="462"/>
        <v>6.9933705461915041</v>
      </c>
      <c r="T7392" s="2">
        <f t="shared" si="464"/>
        <v>5.6151291537388932</v>
      </c>
      <c r="U7392" s="2">
        <f t="shared" si="465"/>
        <v>91.791236557405895</v>
      </c>
    </row>
    <row r="7393" spans="1:21" x14ac:dyDescent="0.25">
      <c r="A7393">
        <v>857249</v>
      </c>
      <c r="B7393">
        <v>7</v>
      </c>
      <c r="C7393" s="1">
        <f>1.66451835929201*(10.3/7.3)</f>
        <v>2.3485670000969434</v>
      </c>
      <c r="D7393" s="1">
        <f>2.05025636516966*(10.3/7.3)</f>
        <v>2.8928274741434885</v>
      </c>
      <c r="E7393" s="1">
        <f>7.23852981625984*(10.3/7.3)</f>
        <v>10.213268096914563</v>
      </c>
      <c r="F7393" s="1">
        <f>15.2806117939139*(38.9/42.5)</f>
        <v>13.986254089017685</v>
      </c>
      <c r="G7393" s="1">
        <v>0.59823060770779501</v>
      </c>
      <c r="H7393" s="1">
        <v>3.0705885024286412</v>
      </c>
      <c r="I7393" s="1">
        <v>11.55604644491639</v>
      </c>
      <c r="J7393" s="1">
        <v>4.475246385541682E-2</v>
      </c>
      <c r="K7393" s="1">
        <v>4.3607706354330356</v>
      </c>
      <c r="L7393" s="1">
        <v>1.4407650173273205</v>
      </c>
      <c r="M7393" s="1">
        <v>9.7214986954093252E-2</v>
      </c>
      <c r="N7393" s="1">
        <v>1.5354062247800566</v>
      </c>
      <c r="O7393" s="1">
        <v>6.7596190476190463E-2</v>
      </c>
      <c r="P7393" s="1">
        <v>5.9058192484823746E-2</v>
      </c>
      <c r="Q7393" s="1">
        <v>0.95607631368825785</v>
      </c>
      <c r="R7393" s="2">
        <f t="shared" si="463"/>
        <v>45.621858528913762</v>
      </c>
      <c r="S7393" s="2">
        <f t="shared" si="462"/>
        <v>4.4645812917732766</v>
      </c>
      <c r="T7393" s="2">
        <f t="shared" si="464"/>
        <v>3.1409824195376608</v>
      </c>
      <c r="U7393" s="2">
        <f t="shared" si="465"/>
        <v>53.227422240224698</v>
      </c>
    </row>
    <row r="7394" spans="1:21" x14ac:dyDescent="0.25">
      <c r="A7394">
        <v>857281</v>
      </c>
      <c r="B7394">
        <v>31</v>
      </c>
      <c r="C7394" s="1">
        <f>1.76858264762399*(10.3/7.3)</f>
        <v>2.4953974343187828</v>
      </c>
      <c r="D7394" s="1">
        <f>2.2638746024775*(10.3/7.3)</f>
        <v>3.194234028153188</v>
      </c>
      <c r="E7394" s="1">
        <f>7.97346107088507*(10.3/7.3)</f>
        <v>11.250225894536472</v>
      </c>
      <c r="F7394" s="1">
        <f>17.1081884450022*(38.9/42.5)</f>
        <v>15.659024247307892</v>
      </c>
      <c r="G7394" s="1">
        <v>0.68719986948842082</v>
      </c>
      <c r="H7394" s="1">
        <v>1.5566546326694184</v>
      </c>
      <c r="I7394" s="1">
        <v>12.819988817822862</v>
      </c>
      <c r="J7394" s="1">
        <v>4.4889810690397013E-2</v>
      </c>
      <c r="K7394" s="1">
        <v>4.1140558928623365</v>
      </c>
      <c r="L7394" s="1">
        <v>1.4821803360073411</v>
      </c>
      <c r="M7394" s="1">
        <v>8.3372828327355555E-2</v>
      </c>
      <c r="N7394" s="1">
        <v>1.2677023781436971</v>
      </c>
      <c r="O7394" s="1">
        <v>7.2218494623655899E-2</v>
      </c>
      <c r="P7394" s="1">
        <v>6.1932087501653112E-2</v>
      </c>
      <c r="Q7394" s="1">
        <v>1.0982646316025</v>
      </c>
      <c r="R7394" s="2">
        <f t="shared" si="463"/>
        <v>48.760989555899535</v>
      </c>
      <c r="S7394" s="2">
        <f t="shared" si="462"/>
        <v>4.2208777910543862</v>
      </c>
      <c r="T7394" s="2">
        <f t="shared" si="464"/>
        <v>2.9054740371020498</v>
      </c>
      <c r="U7394" s="2">
        <f t="shared" si="465"/>
        <v>55.887341384055972</v>
      </c>
    </row>
    <row r="7395" spans="1:21" x14ac:dyDescent="0.25">
      <c r="A7395">
        <v>857289</v>
      </c>
      <c r="B7395">
        <v>33</v>
      </c>
      <c r="C7395" s="1">
        <f>1.72175513339289*(10.3/7.3)</f>
        <v>2.4293257361570917</v>
      </c>
      <c r="D7395" s="1">
        <f>2.1533542893322*(10.3/7.3)</f>
        <v>3.0382944082358385</v>
      </c>
      <c r="E7395" s="1">
        <f>7.62039539123974*(10.3/7.3)</f>
        <v>10.75206473010538</v>
      </c>
      <c r="F7395" s="1">
        <f>14.9163284963187*(38.9/42.5)</f>
        <v>13.652827729571699</v>
      </c>
      <c r="G7395" s="1">
        <v>0.53338916281793591</v>
      </c>
      <c r="H7395" s="1">
        <v>1.5145711626294764</v>
      </c>
      <c r="I7395" s="1">
        <v>11.05658657746711</v>
      </c>
      <c r="J7395" s="1">
        <v>3.6769546449141793E-2</v>
      </c>
      <c r="K7395" s="1">
        <v>3.8390263648641176</v>
      </c>
      <c r="L7395" s="1">
        <v>1.442963785532017</v>
      </c>
      <c r="M7395" s="1">
        <v>7.8883346113499592E-2</v>
      </c>
      <c r="N7395" s="1">
        <v>1.1122517748259775</v>
      </c>
      <c r="O7395" s="1">
        <v>7.109818181818181E-2</v>
      </c>
      <c r="P7395" s="1">
        <v>6.0786070388009872E-2</v>
      </c>
      <c r="Q7395" s="1">
        <v>0.85244843372729551</v>
      </c>
      <c r="R7395" s="2">
        <f t="shared" si="463"/>
        <v>43.829507940711828</v>
      </c>
      <c r="S7395" s="2">
        <f t="shared" si="462"/>
        <v>3.9365819817012695</v>
      </c>
      <c r="T7395" s="2">
        <f t="shared" si="464"/>
        <v>2.7051970882896761</v>
      </c>
      <c r="U7395" s="2">
        <f t="shared" si="465"/>
        <v>50.471287010702767</v>
      </c>
    </row>
    <row r="7396" spans="1:21" x14ac:dyDescent="0.25">
      <c r="A7396">
        <v>8575373</v>
      </c>
      <c r="B7396">
        <v>60</v>
      </c>
      <c r="C7396" s="1">
        <f>0.333043642979064*(10.3/7.3)</f>
        <v>0.46991089351840543</v>
      </c>
      <c r="D7396" s="1">
        <f>0.779810111757754*(10.3/7.3)</f>
        <v>1.1002800206992971</v>
      </c>
      <c r="E7396" s="1">
        <f>2.65101225126639*(10.3/7.3)</f>
        <v>3.7404693408279153</v>
      </c>
      <c r="F7396" s="1">
        <f>7.7436698880584*(38.9/42.5)</f>
        <v>7.0877354975405105</v>
      </c>
      <c r="G7396" s="1">
        <v>0.42126139752175079</v>
      </c>
      <c r="H7396" s="1">
        <v>1.4676854473593517</v>
      </c>
      <c r="I7396" s="1">
        <v>5.4786132356115997</v>
      </c>
      <c r="J7396" s="1">
        <v>1.2574734334516637E-2</v>
      </c>
      <c r="K7396" s="1">
        <v>1.3367831958008238</v>
      </c>
      <c r="L7396" s="1">
        <v>1.0212366295285418</v>
      </c>
      <c r="M7396" s="1">
        <v>0.11257771182452363</v>
      </c>
      <c r="N7396" s="1">
        <v>0.48021888213931835</v>
      </c>
      <c r="O7396" s="1">
        <v>0.11336444444444443</v>
      </c>
      <c r="P7396" s="1">
        <v>6.4408902270201449E-2</v>
      </c>
      <c r="Q7396" s="1">
        <v>0.67324880882471638</v>
      </c>
      <c r="R7396" s="2">
        <f t="shared" si="463"/>
        <v>20.439204641903547</v>
      </c>
      <c r="S7396" s="2">
        <f t="shared" si="462"/>
        <v>1.4137668324055419</v>
      </c>
      <c r="T7396" s="2">
        <f t="shared" si="464"/>
        <v>1.7273976679368281</v>
      </c>
      <c r="U7396" s="2">
        <f t="shared" si="465"/>
        <v>23.580369142245917</v>
      </c>
    </row>
    <row r="7397" spans="1:21" x14ac:dyDescent="0.25">
      <c r="A7397">
        <v>8575381</v>
      </c>
      <c r="B7397">
        <v>59</v>
      </c>
      <c r="C7397" s="1">
        <f>0.400944160167672*(10.3/7.3)</f>
        <v>0.56571573283931842</v>
      </c>
      <c r="D7397" s="1">
        <f>0.987264213240077*(10.3/7.3)</f>
        <v>1.392989232379835</v>
      </c>
      <c r="E7397" s="1">
        <f>3.34833593626394*(10.3/7.3)</f>
        <v>4.7243644032217214</v>
      </c>
      <c r="F7397" s="1">
        <f>9.97977424995544*(38.9/42.5)</f>
        <v>9.1344286664298053</v>
      </c>
      <c r="G7397" s="1">
        <v>0.55037212791588586</v>
      </c>
      <c r="H7397" s="1">
        <v>1.804922309987818</v>
      </c>
      <c r="I7397" s="1">
        <v>7.0494431138235694</v>
      </c>
      <c r="J7397" s="1">
        <v>1.5922658058315806E-2</v>
      </c>
      <c r="K7397" s="1">
        <v>1.4676097492119746</v>
      </c>
      <c r="L7397" s="1">
        <v>1.1571404944469788</v>
      </c>
      <c r="M7397" s="1">
        <v>0.11903912188889118</v>
      </c>
      <c r="N7397" s="1">
        <v>0.5390690039492001</v>
      </c>
      <c r="O7397" s="1">
        <v>0.12643073446327682</v>
      </c>
      <c r="P7397" s="1">
        <v>7.0090198926343453E-2</v>
      </c>
      <c r="Q7397" s="1">
        <v>0.87959015876968127</v>
      </c>
      <c r="R7397" s="2">
        <f t="shared" si="463"/>
        <v>26.101825745367634</v>
      </c>
      <c r="S7397" s="2">
        <f t="shared" si="462"/>
        <v>1.5536226061966338</v>
      </c>
      <c r="T7397" s="2">
        <f t="shared" si="464"/>
        <v>1.9416793547483469</v>
      </c>
      <c r="U7397" s="2">
        <f t="shared" si="465"/>
        <v>29.597127706312612</v>
      </c>
    </row>
    <row r="7398" spans="1:21" x14ac:dyDescent="0.25">
      <c r="A7398">
        <v>8575389</v>
      </c>
      <c r="B7398">
        <v>5</v>
      </c>
      <c r="C7398" s="1">
        <f>0.555617070434349*(10.3/7.3)</f>
        <v>0.78395285280463012</v>
      </c>
      <c r="D7398" s="1">
        <f>1.47169711455921*(10.3/7.3)</f>
        <v>2.0765041479397075</v>
      </c>
      <c r="E7398" s="1">
        <f>4.97198446131982*(10.3/7.3)</f>
        <v>7.0152657467937125</v>
      </c>
      <c r="F7398" s="1">
        <f>15.3898669126424*(38.9/42.5)</f>
        <v>14.086254656512702</v>
      </c>
      <c r="G7398" s="1">
        <v>0.86842379381120338</v>
      </c>
      <c r="H7398" s="1">
        <v>2.6116893674545043</v>
      </c>
      <c r="I7398" s="1">
        <v>10.87912234988087</v>
      </c>
      <c r="J7398" s="1">
        <v>2.1036106946785788E-2</v>
      </c>
      <c r="K7398" s="1">
        <v>1.7763038387632792</v>
      </c>
      <c r="L7398" s="1">
        <v>1.4708221131133048</v>
      </c>
      <c r="M7398" s="1">
        <v>0.14281915656255756</v>
      </c>
      <c r="N7398" s="1">
        <v>0.69378753089754519</v>
      </c>
      <c r="O7398" s="1">
        <v>0.15874133333333335</v>
      </c>
      <c r="P7398" s="1">
        <v>8.3223287320851436E-2</v>
      </c>
      <c r="Q7398" s="1">
        <v>1.3878919079174499</v>
      </c>
      <c r="R7398" s="2">
        <f t="shared" si="463"/>
        <v>39.709104823114785</v>
      </c>
      <c r="S7398" s="2">
        <f t="shared" si="462"/>
        <v>1.8805632330309163</v>
      </c>
      <c r="T7398" s="2">
        <f t="shared" si="464"/>
        <v>2.4661701339067408</v>
      </c>
      <c r="U7398" s="2">
        <f t="shared" si="465"/>
        <v>44.055838190052448</v>
      </c>
    </row>
    <row r="7399" spans="1:21" x14ac:dyDescent="0.25">
      <c r="A7399">
        <v>8575413</v>
      </c>
      <c r="B7399">
        <v>2</v>
      </c>
      <c r="C7399" s="1">
        <f>0.254448720750526*(10.3/7.3)</f>
        <v>0.35901668818224941</v>
      </c>
      <c r="D7399" s="1">
        <f>0.627945143822063*(10.3/7.3)</f>
        <v>0.88600479196811688</v>
      </c>
      <c r="E7399" s="1">
        <f>2.12294808827902*(10.3/7.3)</f>
        <v>2.9953925081197079</v>
      </c>
      <c r="F7399" s="1">
        <f>6.66887526143139*(38.9/42.5)</f>
        <v>6.1039822981101395</v>
      </c>
      <c r="G7399" s="1">
        <v>0.3777318399407375</v>
      </c>
      <c r="H7399" s="1">
        <v>3.9430631048057485</v>
      </c>
      <c r="I7399" s="1">
        <v>4.7724966033350036</v>
      </c>
      <c r="J7399" s="1">
        <v>1.0739548709519695E-2</v>
      </c>
      <c r="K7399" s="1">
        <v>1.1151669045988726</v>
      </c>
      <c r="L7399" s="1">
        <v>0.81318576578546842</v>
      </c>
      <c r="M7399" s="1">
        <v>8.6212640963085299E-2</v>
      </c>
      <c r="N7399" s="1">
        <v>0.40222321013332035</v>
      </c>
      <c r="O7399" s="1">
        <v>9.2240000000000003E-2</v>
      </c>
      <c r="P7399" s="1">
        <v>5.415527077908236E-2</v>
      </c>
      <c r="Q7399" s="1">
        <v>0.60368102273633917</v>
      </c>
      <c r="R7399" s="2">
        <f t="shared" si="463"/>
        <v>20.041368857198044</v>
      </c>
      <c r="S7399" s="2">
        <f t="shared" si="462"/>
        <v>1.1800617240874747</v>
      </c>
      <c r="T7399" s="2">
        <f t="shared" si="464"/>
        <v>1.3938616168818743</v>
      </c>
      <c r="U7399" s="2">
        <f t="shared" si="465"/>
        <v>22.615292198167392</v>
      </c>
    </row>
    <row r="7400" spans="1:21" x14ac:dyDescent="0.25">
      <c r="A7400">
        <v>8575597</v>
      </c>
      <c r="B7400">
        <v>34</v>
      </c>
      <c r="C7400" s="1">
        <f>0.330814146018384*(10.3/7.3)</f>
        <v>0.46676516493004844</v>
      </c>
      <c r="D7400" s="1">
        <f>1.36969111857625*(10.3/7.3)</f>
        <v>1.9325778796349788</v>
      </c>
      <c r="E7400" s="1">
        <f>4.61753482355605*(10.3/7.3)</f>
        <v>6.5151518743325116</v>
      </c>
      <c r="F7400" s="1">
        <f>12.9250697959926*(38.9/42.5)</f>
        <v>11.830240354449693</v>
      </c>
      <c r="G7400" s="1">
        <v>0.7052338688057026</v>
      </c>
      <c r="H7400" s="1">
        <v>3.8296050352167668</v>
      </c>
      <c r="I7400" s="1">
        <v>8.4532592211365536</v>
      </c>
      <c r="J7400" s="1">
        <v>1.2173751579459503E-2</v>
      </c>
      <c r="K7400" s="1">
        <v>1.1040731136327226</v>
      </c>
      <c r="L7400" s="1">
        <v>0.83328480138580385</v>
      </c>
      <c r="M7400" s="1">
        <v>8.6163223627226851E-2</v>
      </c>
      <c r="N7400" s="1">
        <v>0.45840671603802619</v>
      </c>
      <c r="O7400" s="1">
        <v>8.0425098039215701E-2</v>
      </c>
      <c r="P7400" s="1">
        <v>5.1367775716862331E-2</v>
      </c>
      <c r="Q7400" s="1">
        <v>1.127086091698613</v>
      </c>
      <c r="R7400" s="2">
        <f t="shared" si="463"/>
        <v>34.859919490204867</v>
      </c>
      <c r="S7400" s="2">
        <f t="shared" si="462"/>
        <v>1.1676146409290444</v>
      </c>
      <c r="T7400" s="2">
        <f t="shared" si="464"/>
        <v>1.4582798390902725</v>
      </c>
      <c r="U7400" s="2">
        <f t="shared" si="465"/>
        <v>37.485813970224186</v>
      </c>
    </row>
    <row r="7401" spans="1:21" x14ac:dyDescent="0.25">
      <c r="A7401">
        <v>8575605</v>
      </c>
      <c r="B7401">
        <v>63</v>
      </c>
      <c r="C7401" s="1">
        <f>0.316586351965461*(10.3/7.3)</f>
        <v>0.44669033222523996</v>
      </c>
      <c r="D7401" s="1">
        <f>1.34237673285232*(10.3/7.3)</f>
        <v>1.8940384038875229</v>
      </c>
      <c r="E7401" s="1">
        <f>4.53035170476439*(10.3/7.3)</f>
        <v>6.3921400765853784</v>
      </c>
      <c r="F7401" s="1">
        <f>12.3530255922291*(38.9/42.5)</f>
        <v>11.306651659710869</v>
      </c>
      <c r="G7401" s="1">
        <v>0.66485735990669137</v>
      </c>
      <c r="H7401" s="1">
        <v>4.3527196385383684</v>
      </c>
      <c r="I7401" s="1">
        <v>7.9842199952266029</v>
      </c>
      <c r="J7401" s="1">
        <v>1.2649596572233274E-2</v>
      </c>
      <c r="K7401" s="1">
        <v>1.1207001556162033</v>
      </c>
      <c r="L7401" s="1">
        <v>0.84248163558150069</v>
      </c>
      <c r="M7401" s="1">
        <v>8.5943590248344498E-2</v>
      </c>
      <c r="N7401" s="1">
        <v>0.48215108656524469</v>
      </c>
      <c r="O7401" s="1">
        <v>8.0128677248677255E-2</v>
      </c>
      <c r="P7401" s="1">
        <v>5.1704995003306956E-2</v>
      </c>
      <c r="Q7401" s="1">
        <v>1.0625574245084124</v>
      </c>
      <c r="R7401" s="2">
        <f t="shared" si="463"/>
        <v>34.103874890589083</v>
      </c>
      <c r="S7401" s="2">
        <f t="shared" si="462"/>
        <v>1.1850547471917436</v>
      </c>
      <c r="T7401" s="2">
        <f t="shared" si="464"/>
        <v>1.4907049896437672</v>
      </c>
      <c r="U7401" s="2">
        <f t="shared" si="465"/>
        <v>36.779634627424592</v>
      </c>
    </row>
    <row r="7402" spans="1:21" x14ac:dyDescent="0.25">
      <c r="A7402">
        <v>8575613</v>
      </c>
      <c r="B7402">
        <v>34</v>
      </c>
      <c r="C7402" s="1">
        <f>0.313144047155993*(10.3/7.3)</f>
        <v>0.44183338160366203</v>
      </c>
      <c r="D7402" s="1">
        <f>1.41658195128129*(10.3/7.3)</f>
        <v>1.998738917561274</v>
      </c>
      <c r="E7402" s="1">
        <f>4.78150521092364*(10.3/7.3)</f>
        <v>6.7465073523991084</v>
      </c>
      <c r="F7402" s="1">
        <f>12.7902224001207*(38.9/42.5)</f>
        <v>11.706815326228137</v>
      </c>
      <c r="G7402" s="1">
        <v>0.68242422663345381</v>
      </c>
      <c r="H7402" s="1">
        <v>5.4761005583229911</v>
      </c>
      <c r="I7402" s="1">
        <v>8.157763915046905</v>
      </c>
      <c r="J7402" s="1">
        <v>1.3051096356319649E-2</v>
      </c>
      <c r="K7402" s="1">
        <v>1.1376371182452538</v>
      </c>
      <c r="L7402" s="1">
        <v>0.85705449522064203</v>
      </c>
      <c r="M7402" s="1">
        <v>8.5936667692343191E-2</v>
      </c>
      <c r="N7402" s="1">
        <v>0.499312152157108</v>
      </c>
      <c r="O7402" s="1">
        <v>8.0674509803921574E-2</v>
      </c>
      <c r="P7402" s="1">
        <v>5.2207605556807979E-2</v>
      </c>
      <c r="Q7402" s="1">
        <v>1.0906323256699049</v>
      </c>
      <c r="R7402" s="2">
        <f t="shared" si="463"/>
        <v>36.300816003465435</v>
      </c>
      <c r="S7402" s="2">
        <f t="shared" si="462"/>
        <v>1.2028958201583815</v>
      </c>
      <c r="T7402" s="2">
        <f t="shared" si="464"/>
        <v>1.5229778248740149</v>
      </c>
      <c r="U7402" s="2">
        <f t="shared" si="465"/>
        <v>39.026689648497829</v>
      </c>
    </row>
    <row r="7403" spans="1:21" x14ac:dyDescent="0.25">
      <c r="A7403">
        <v>8587601</v>
      </c>
      <c r="B7403">
        <v>26</v>
      </c>
      <c r="C7403" s="1">
        <f>0.280928998334006*(10.3/7.3)</f>
        <v>0.39637927162195397</v>
      </c>
      <c r="D7403" s="1">
        <f>0.633715491833944*(10.3/7.3)</f>
        <v>0.89414651587529081</v>
      </c>
      <c r="E7403" s="1">
        <f>2.15785846230032*(10.3/7.3)</f>
        <v>3.0446496111908616</v>
      </c>
      <c r="F7403" s="1">
        <f>6.22653167127437*(38.9/42.5)</f>
        <v>5.6991078120605385</v>
      </c>
      <c r="G7403" s="1">
        <v>0.33568460323751387</v>
      </c>
      <c r="H7403" s="1">
        <v>1.2046457581013745</v>
      </c>
      <c r="I7403" s="1">
        <v>4.4149129010830155</v>
      </c>
      <c r="J7403" s="1">
        <v>1.1098262627149153E-2</v>
      </c>
      <c r="K7403" s="1">
        <v>1.2090604075888112</v>
      </c>
      <c r="L7403" s="1">
        <v>0.89486268632320898</v>
      </c>
      <c r="M7403" s="1">
        <v>0.10147637855990649</v>
      </c>
      <c r="N7403" s="1">
        <v>0.42744625547760873</v>
      </c>
      <c r="O7403" s="1">
        <v>0.10135999999999996</v>
      </c>
      <c r="P7403" s="1">
        <v>5.8654200007871957E-2</v>
      </c>
      <c r="Q7403" s="1">
        <v>0.53648224261703181</v>
      </c>
      <c r="R7403" s="2">
        <f t="shared" si="463"/>
        <v>16.526008715787579</v>
      </c>
      <c r="S7403" s="2">
        <f t="shared" si="462"/>
        <v>1.2788128702238324</v>
      </c>
      <c r="T7403" s="2">
        <f t="shared" si="464"/>
        <v>1.5251453203607241</v>
      </c>
      <c r="U7403" s="2">
        <f t="shared" si="465"/>
        <v>19.329966906372135</v>
      </c>
    </row>
    <row r="7404" spans="1:21" x14ac:dyDescent="0.25">
      <c r="A7404">
        <v>8587609</v>
      </c>
      <c r="B7404">
        <v>70</v>
      </c>
      <c r="C7404" s="1">
        <f>0.327777087317067*(10.3/7.3)</f>
        <v>0.46247999991312183</v>
      </c>
      <c r="D7404" s="1">
        <f>0.77017341379784*(10.3/7.3)</f>
        <v>1.0866830359065418</v>
      </c>
      <c r="E7404" s="1">
        <f>2.6177401549754*(10.3/7.3)</f>
        <v>3.6935237803077556</v>
      </c>
      <c r="F7404" s="1">
        <f>7.66118998351131*(38.9/42.5)</f>
        <v>7.0122421260844678</v>
      </c>
      <c r="G7404" s="1">
        <v>0.41729761584266001</v>
      </c>
      <c r="H7404" s="1">
        <v>1.4622197345627872</v>
      </c>
      <c r="I7404" s="1">
        <v>5.4203045522539854</v>
      </c>
      <c r="J7404" s="1">
        <v>1.2739067554314056E-2</v>
      </c>
      <c r="K7404" s="1">
        <v>1.3407819022395719</v>
      </c>
      <c r="L7404" s="1">
        <v>1.0240399495293269</v>
      </c>
      <c r="M7404" s="1">
        <v>0.11199888856667344</v>
      </c>
      <c r="N7404" s="1">
        <v>0.48330445950462053</v>
      </c>
      <c r="O7404" s="1">
        <v>0.1129081904761905</v>
      </c>
      <c r="P7404" s="1">
        <v>6.4550408980359908E-2</v>
      </c>
      <c r="Q7404" s="1">
        <v>0.66691399792206008</v>
      </c>
      <c r="R7404" s="2">
        <f t="shared" si="463"/>
        <v>20.221664842793377</v>
      </c>
      <c r="S7404" s="2">
        <f t="shared" si="462"/>
        <v>1.4180713787742458</v>
      </c>
      <c r="T7404" s="2">
        <f t="shared" si="464"/>
        <v>1.7322514880768112</v>
      </c>
      <c r="U7404" s="2">
        <f t="shared" si="465"/>
        <v>23.371987709644436</v>
      </c>
    </row>
    <row r="7405" spans="1:21" x14ac:dyDescent="0.25">
      <c r="A7405">
        <v>8587617</v>
      </c>
      <c r="B7405">
        <v>58</v>
      </c>
      <c r="C7405" s="1">
        <f>0.609696857272622*(10.3/7.3)</f>
        <v>0.86025720957643892</v>
      </c>
      <c r="D7405" s="1">
        <f>1.60715860601177*(10.3/7.3)</f>
        <v>2.2676347454686607</v>
      </c>
      <c r="E7405" s="1">
        <f>5.4341920501625*(10.3/7.3)</f>
        <v>7.6674216598183218</v>
      </c>
      <c r="F7405" s="1">
        <f>16.6147495284036*(38.9/42.5)</f>
        <v>15.207382509527029</v>
      </c>
      <c r="G7405" s="1">
        <v>0.93161052455634541</v>
      </c>
      <c r="H7405" s="1">
        <v>2.697201272345215</v>
      </c>
      <c r="I7405" s="1">
        <v>11.713954277049821</v>
      </c>
      <c r="J7405" s="1">
        <v>2.1989891360985916E-2</v>
      </c>
      <c r="K7405" s="1">
        <v>1.8745731869891871</v>
      </c>
      <c r="L7405" s="1">
        <v>1.5761632760894526</v>
      </c>
      <c r="M7405" s="1">
        <v>0.15312270253673313</v>
      </c>
      <c r="N7405" s="1">
        <v>0.71369050844941473</v>
      </c>
      <c r="O7405" s="1">
        <v>0.1696266666666667</v>
      </c>
      <c r="P7405" s="1">
        <v>8.8066468067098391E-2</v>
      </c>
      <c r="Q7405" s="1">
        <v>1.4888752675558039</v>
      </c>
      <c r="R7405" s="2">
        <f t="shared" si="463"/>
        <v>42.834337465897633</v>
      </c>
      <c r="S7405" s="2">
        <f t="shared" si="462"/>
        <v>1.9846295464172714</v>
      </c>
      <c r="T7405" s="2">
        <f t="shared" si="464"/>
        <v>2.6126031537422674</v>
      </c>
      <c r="U7405" s="2">
        <f t="shared" si="465"/>
        <v>47.431570166057178</v>
      </c>
    </row>
    <row r="7406" spans="1:21" x14ac:dyDescent="0.25">
      <c r="A7406">
        <v>8587625</v>
      </c>
      <c r="B7406">
        <v>31</v>
      </c>
      <c r="C7406" s="1">
        <f>0.551477405268574*(10.3/7.3)</f>
        <v>0.77811195537894728</v>
      </c>
      <c r="D7406" s="1">
        <f>1.55707859253519*(10.3/7.3)</f>
        <v>2.1969739045359535</v>
      </c>
      <c r="E7406" s="1">
        <f>5.22644287958679*(10.3/7.3)</f>
        <v>7.3742961177731496</v>
      </c>
      <c r="F7406" s="1">
        <f>17.5644705071148*(38.9/42.5)</f>
        <v>16.076656534747425</v>
      </c>
      <c r="G7406" s="1">
        <v>1.0323400058056631</v>
      </c>
      <c r="H7406" s="1">
        <v>3.9223722186024319</v>
      </c>
      <c r="I7406" s="1">
        <v>12.587124557917994</v>
      </c>
      <c r="J7406" s="1">
        <v>1.9472472674496769E-2</v>
      </c>
      <c r="K7406" s="1">
        <v>1.7674702816610313</v>
      </c>
      <c r="L7406" s="1">
        <v>1.4674721131851332</v>
      </c>
      <c r="M7406" s="1">
        <v>0.14252086104595063</v>
      </c>
      <c r="N7406" s="1">
        <v>0.7272408944897184</v>
      </c>
      <c r="O7406" s="1">
        <v>0.15924989247311827</v>
      </c>
      <c r="P7406" s="1">
        <v>8.2810543060776717E-2</v>
      </c>
      <c r="Q7406" s="1">
        <v>1.6498584567670438</v>
      </c>
      <c r="R7406" s="2">
        <f t="shared" si="463"/>
        <v>45.617733751528611</v>
      </c>
      <c r="S7406" s="2">
        <f t="shared" si="462"/>
        <v>1.8697532973963047</v>
      </c>
      <c r="T7406" s="2">
        <f t="shared" si="464"/>
        <v>2.4964837611939208</v>
      </c>
      <c r="U7406" s="2">
        <f t="shared" si="465"/>
        <v>49.983970810118841</v>
      </c>
    </row>
    <row r="7407" spans="1:21" x14ac:dyDescent="0.25">
      <c r="A7407">
        <v>8587649</v>
      </c>
      <c r="B7407">
        <v>3</v>
      </c>
      <c r="C7407" s="1">
        <f>0.219073770113195*(10.3/7.3)</f>
        <v>0.30910408659806932</v>
      </c>
      <c r="D7407" s="1">
        <f>0.523324772114009*(10.3/7.3)</f>
        <v>0.73838974695538251</v>
      </c>
      <c r="E7407" s="1">
        <f>1.77363110764732*(10.3/7.3)</f>
        <v>2.5025206039407331</v>
      </c>
      <c r="F7407" s="1">
        <f>5.41600533847582*(38.9/42.5)</f>
        <v>4.9572378274519817</v>
      </c>
      <c r="G7407" s="1">
        <v>0.30196372907443519</v>
      </c>
      <c r="H7407" s="1">
        <v>1.8515282049400934</v>
      </c>
      <c r="I7407" s="1">
        <v>3.864833185574478</v>
      </c>
      <c r="J7407" s="1">
        <v>1.0370389982641696E-2</v>
      </c>
      <c r="K7407" s="1">
        <v>1.0889657900269458</v>
      </c>
      <c r="L7407" s="1">
        <v>0.79244346287035483</v>
      </c>
      <c r="M7407" s="1">
        <v>8.5159211371308927E-2</v>
      </c>
      <c r="N7407" s="1">
        <v>0.39219792613323684</v>
      </c>
      <c r="O7407" s="1">
        <v>8.9724444444444454E-2</v>
      </c>
      <c r="P7407" s="1">
        <v>5.3087898783732747E-2</v>
      </c>
      <c r="Q7407" s="1">
        <v>0.48259043459384671</v>
      </c>
      <c r="R7407" s="2">
        <f t="shared" si="463"/>
        <v>15.008167819129021</v>
      </c>
      <c r="S7407" s="2">
        <f t="shared" si="462"/>
        <v>1.1524240787933202</v>
      </c>
      <c r="T7407" s="2">
        <f t="shared" si="464"/>
        <v>1.359525044819345</v>
      </c>
      <c r="U7407" s="2">
        <f t="shared" si="465"/>
        <v>17.520116942741687</v>
      </c>
    </row>
    <row r="7408" spans="1:21" x14ac:dyDescent="0.25">
      <c r="A7408">
        <v>8587833</v>
      </c>
      <c r="B7408">
        <v>23</v>
      </c>
      <c r="C7408" s="1">
        <f>0.325127333564124*(10.3/7.3)</f>
        <v>0.458741306261709</v>
      </c>
      <c r="D7408" s="1">
        <f>1.34907332099408*(10.3/7.3)</f>
        <v>1.9034870145532861</v>
      </c>
      <c r="E7408" s="1">
        <f>4.54874175796453*(10.3/7.3)</f>
        <v>6.4180876858951574</v>
      </c>
      <c r="F7408" s="1">
        <f>12.6887786865931*(38.9/42.5)</f>
        <v>11.613964491964037</v>
      </c>
      <c r="G7408" s="1">
        <v>0.69109604525074331</v>
      </c>
      <c r="H7408" s="1">
        <v>3.7148570250564945</v>
      </c>
      <c r="I7408" s="1">
        <v>8.2867913632910462</v>
      </c>
      <c r="J7408" s="1">
        <v>1.2219688872309391E-2</v>
      </c>
      <c r="K7408" s="1">
        <v>1.1045543282263794</v>
      </c>
      <c r="L7408" s="1">
        <v>0.83637676496232849</v>
      </c>
      <c r="M7408" s="1">
        <v>8.6139398466406836E-2</v>
      </c>
      <c r="N7408" s="1">
        <v>0.46105901140093131</v>
      </c>
      <c r="O7408" s="1">
        <v>8.0333913043478269E-2</v>
      </c>
      <c r="P7408" s="1">
        <v>5.139095012677513E-2</v>
      </c>
      <c r="Q7408" s="1">
        <v>1.1044913965194538</v>
      </c>
      <c r="R7408" s="2">
        <f t="shared" si="463"/>
        <v>34.191516328791927</v>
      </c>
      <c r="S7408" s="2">
        <f t="shared" si="462"/>
        <v>1.1681649672254639</v>
      </c>
      <c r="T7408" s="2">
        <f t="shared" si="464"/>
        <v>1.4639090878731451</v>
      </c>
      <c r="U7408" s="2">
        <f t="shared" si="465"/>
        <v>36.82359038389054</v>
      </c>
    </row>
    <row r="7409" spans="1:21" x14ac:dyDescent="0.25">
      <c r="A7409">
        <v>8587841</v>
      </c>
      <c r="B7409">
        <v>69</v>
      </c>
      <c r="C7409" s="1">
        <f>0.324438115568073*(10.3/7.3)</f>
        <v>0.45776884799330858</v>
      </c>
      <c r="D7409" s="1">
        <f>1.39815801764818*(10.3/7.3)</f>
        <v>1.9727435043529105</v>
      </c>
      <c r="E7409" s="1">
        <f>4.7172037603451*(10.3/7.3)</f>
        <v>6.6557806481581503</v>
      </c>
      <c r="F7409" s="1">
        <f>12.8809657204312*(38.9/42.5)</f>
        <v>11.789872153524081</v>
      </c>
      <c r="G7409" s="1">
        <v>0.69423092352816385</v>
      </c>
      <c r="H7409" s="1">
        <v>4.1619562403172639</v>
      </c>
      <c r="I7409" s="1">
        <v>8.317523550106829</v>
      </c>
      <c r="J7409" s="1">
        <v>1.2506873822254457E-2</v>
      </c>
      <c r="K7409" s="1">
        <v>1.1088764670022893</v>
      </c>
      <c r="L7409" s="1">
        <v>0.83601117199315866</v>
      </c>
      <c r="M7409" s="1">
        <v>8.48496224140598E-2</v>
      </c>
      <c r="N7409" s="1">
        <v>0.4750103848155835</v>
      </c>
      <c r="O7409" s="1">
        <v>7.9438840579710138E-2</v>
      </c>
      <c r="P7409" s="1">
        <v>5.1255381558291326E-2</v>
      </c>
      <c r="Q7409" s="1">
        <v>1.1095014759582544</v>
      </c>
      <c r="R7409" s="2">
        <f t="shared" si="463"/>
        <v>35.159377343938957</v>
      </c>
      <c r="S7409" s="2">
        <f t="shared" si="462"/>
        <v>1.172638722382835</v>
      </c>
      <c r="T7409" s="2">
        <f t="shared" si="464"/>
        <v>1.4753100198025122</v>
      </c>
      <c r="U7409" s="2">
        <f t="shared" si="465"/>
        <v>37.807326086124306</v>
      </c>
    </row>
    <row r="7410" spans="1:21" x14ac:dyDescent="0.25">
      <c r="A7410">
        <v>8587849</v>
      </c>
      <c r="B7410">
        <v>40</v>
      </c>
      <c r="C7410" s="1">
        <f>0.321263167064532*(10.3/7.3)</f>
        <v>0.45328912613214822</v>
      </c>
      <c r="D7410" s="1">
        <f>1.41378474087869*(10.3/7.3)</f>
        <v>1.9947921686370564</v>
      </c>
      <c r="E7410" s="1">
        <f>4.76688346881896*(10.3/7.3)</f>
        <v>6.7258766751829198</v>
      </c>
      <c r="F7410" s="1">
        <f>13.1039837917341*(38.9/42.5)</f>
        <v>11.99399928231661</v>
      </c>
      <c r="G7410" s="1">
        <v>0.70941269118595884</v>
      </c>
      <c r="H7410" s="1">
        <v>5.9926934067820223</v>
      </c>
      <c r="I7410" s="1">
        <v>8.4668711443127638</v>
      </c>
      <c r="J7410" s="1">
        <v>1.3241553804963502E-2</v>
      </c>
      <c r="K7410" s="1">
        <v>1.1529386379700797</v>
      </c>
      <c r="L7410" s="1">
        <v>0.8723870991284034</v>
      </c>
      <c r="M7410" s="1">
        <v>8.6658246239817563E-2</v>
      </c>
      <c r="N7410" s="1">
        <v>0.50763846116006295</v>
      </c>
      <c r="O7410" s="1">
        <v>8.1569333333333327E-2</v>
      </c>
      <c r="P7410" s="1">
        <v>5.2674417850497354E-2</v>
      </c>
      <c r="Q7410" s="1">
        <v>1.13376457495473</v>
      </c>
      <c r="R7410" s="2">
        <f t="shared" si="463"/>
        <v>37.470699069504214</v>
      </c>
      <c r="S7410" s="2">
        <f t="shared" si="462"/>
        <v>1.2188546096255406</v>
      </c>
      <c r="T7410" s="2">
        <f t="shared" si="464"/>
        <v>1.5482531398616173</v>
      </c>
      <c r="U7410" s="2">
        <f t="shared" si="465"/>
        <v>40.237806818991366</v>
      </c>
    </row>
    <row r="7411" spans="1:21" x14ac:dyDescent="0.25">
      <c r="A7411">
        <v>8599837</v>
      </c>
      <c r="B7411">
        <v>49</v>
      </c>
      <c r="C7411" s="1">
        <f>0.316582649025761*(10.3/7.3)</f>
        <v>0.4466851075294988</v>
      </c>
      <c r="D7411" s="1">
        <f>0.733170855737842*(10.3/7.3)</f>
        <v>1.0344739471369548</v>
      </c>
      <c r="E7411" s="1">
        <f>2.49361906713616*(10.3/7.3)</f>
        <v>3.5183940262332052</v>
      </c>
      <c r="F7411" s="1">
        <f>7.25911045558048*(38.9/42.5)</f>
        <v>6.6442210993430741</v>
      </c>
      <c r="G7411" s="1">
        <v>0.39390600487975225</v>
      </c>
      <c r="H7411" s="1">
        <v>1.3817565997598193</v>
      </c>
      <c r="I7411" s="1">
        <v>5.1392190333475405</v>
      </c>
      <c r="J7411" s="1">
        <v>1.1897423759270036E-2</v>
      </c>
      <c r="K7411" s="1">
        <v>1.2822583165459536</v>
      </c>
      <c r="L7411" s="1">
        <v>0.96642475753014845</v>
      </c>
      <c r="M7411" s="1">
        <v>0.10768485784398787</v>
      </c>
      <c r="N7411" s="1">
        <v>0.45782050730562951</v>
      </c>
      <c r="O7411" s="1">
        <v>0.10777142857142856</v>
      </c>
      <c r="P7411" s="1">
        <v>6.1980115782045431E-2</v>
      </c>
      <c r="Q7411" s="1">
        <v>0.6295301447849927</v>
      </c>
      <c r="R7411" s="2">
        <f t="shared" si="463"/>
        <v>19.188185963014838</v>
      </c>
      <c r="S7411" s="2">
        <f t="shared" si="462"/>
        <v>1.3561358560872689</v>
      </c>
      <c r="T7411" s="2">
        <f t="shared" si="464"/>
        <v>1.6397015512511945</v>
      </c>
      <c r="U7411" s="2">
        <f t="shared" si="465"/>
        <v>22.184023370353302</v>
      </c>
    </row>
    <row r="7412" spans="1:21" x14ac:dyDescent="0.25">
      <c r="A7412">
        <v>8599845</v>
      </c>
      <c r="B7412">
        <v>50</v>
      </c>
      <c r="C7412" s="1">
        <f>0.511660790056374*(10.3/7.3)</f>
        <v>0.72193234761378799</v>
      </c>
      <c r="D7412" s="1">
        <f>1.3038708232532*(10.3/7.3)</f>
        <v>1.8397081478777975</v>
      </c>
      <c r="E7412" s="1">
        <f>4.41599163038519*(10.3/7.3)</f>
        <v>6.2307827113654017</v>
      </c>
      <c r="F7412" s="1">
        <f>13.2973369600054*(38.9/42.5)</f>
        <v>12.170974299863746</v>
      </c>
      <c r="G7412" s="1">
        <v>0.73858833155428327</v>
      </c>
      <c r="H7412" s="1">
        <v>2.2331808384467764</v>
      </c>
      <c r="I7412" s="1">
        <v>9.3765587129679062</v>
      </c>
      <c r="J7412" s="1">
        <v>1.7338918649046277E-2</v>
      </c>
      <c r="K7412" s="1">
        <v>1.706150308551788</v>
      </c>
      <c r="L7412" s="1">
        <v>1.3960172926617422</v>
      </c>
      <c r="M7412" s="1">
        <v>0.1433720508000694</v>
      </c>
      <c r="N7412" s="1">
        <v>0.63347006383094029</v>
      </c>
      <c r="O7412" s="1">
        <v>0.15102079999999998</v>
      </c>
      <c r="P7412" s="1">
        <v>8.0671751313233522E-2</v>
      </c>
      <c r="Q7412" s="1">
        <v>1.1803923107031937</v>
      </c>
      <c r="R7412" s="2">
        <f t="shared" si="463"/>
        <v>34.492117700392889</v>
      </c>
      <c r="S7412" s="2">
        <f t="shared" si="462"/>
        <v>1.8041609785140678</v>
      </c>
      <c r="T7412" s="2">
        <f t="shared" si="464"/>
        <v>2.3238802072927518</v>
      </c>
      <c r="U7412" s="2">
        <f t="shared" si="465"/>
        <v>38.620158886199711</v>
      </c>
    </row>
    <row r="7413" spans="1:21" x14ac:dyDescent="0.25">
      <c r="A7413">
        <v>8599853</v>
      </c>
      <c r="B7413">
        <v>55</v>
      </c>
      <c r="C7413" s="1">
        <f>0.418785006471312*(10.3/7.3)</f>
        <v>0.59088843378828904</v>
      </c>
      <c r="D7413" s="1">
        <f>1.06186904295145*(10.3/7.3)</f>
        <v>1.4982535811506807</v>
      </c>
      <c r="E7413" s="1">
        <f>3.59325377893523*(10.3/7.3)</f>
        <v>5.0699334141140957</v>
      </c>
      <c r="F7413" s="1">
        <f>11.0015045645388*(38.9/42.5)</f>
        <v>10.069612413189626</v>
      </c>
      <c r="G7413" s="1">
        <v>0.61611291208946883</v>
      </c>
      <c r="H7413" s="1">
        <v>2.0074264400611548</v>
      </c>
      <c r="I7413" s="1">
        <v>7.7962564856039895</v>
      </c>
      <c r="J7413" s="1">
        <v>1.5662822305281331E-2</v>
      </c>
      <c r="K7413" s="1">
        <v>1.4951179309365064</v>
      </c>
      <c r="L7413" s="1">
        <v>1.1826185969996001</v>
      </c>
      <c r="M7413" s="1">
        <v>0.11796369964046487</v>
      </c>
      <c r="N7413" s="1">
        <v>0.55958041302284089</v>
      </c>
      <c r="O7413" s="1">
        <v>0.12898133333333336</v>
      </c>
      <c r="P7413" s="1">
        <v>7.1012083433292156E-2</v>
      </c>
      <c r="Q7413" s="1">
        <v>0.98465533895577262</v>
      </c>
      <c r="R7413" s="2">
        <f t="shared" si="463"/>
        <v>28.633139018953081</v>
      </c>
      <c r="S7413" s="2">
        <f t="shared" si="462"/>
        <v>1.5817928366750797</v>
      </c>
      <c r="T7413" s="2">
        <f t="shared" si="464"/>
        <v>1.9891440429962395</v>
      </c>
      <c r="U7413" s="2">
        <f t="shared" si="465"/>
        <v>32.204075898624403</v>
      </c>
    </row>
    <row r="7414" spans="1:21" x14ac:dyDescent="0.25">
      <c r="A7414">
        <v>8599861</v>
      </c>
      <c r="B7414">
        <v>11</v>
      </c>
      <c r="C7414" s="1">
        <f>0.545840816995622*(10.3/7.3)</f>
        <v>0.77015896096642555</v>
      </c>
      <c r="D7414" s="1">
        <f>1.60034342751115*(10.3/7.3)</f>
        <v>2.2580188086801205</v>
      </c>
      <c r="E7414" s="1">
        <f>5.35092283607358*(10.3/7.3)</f>
        <v>7.5499322207613471</v>
      </c>
      <c r="F7414" s="1">
        <f>18.8469772364322*(38.9/42.5)</f>
        <v>17.250527399934374</v>
      </c>
      <c r="G7414" s="1">
        <v>1.1312495797551205</v>
      </c>
      <c r="H7414" s="1">
        <v>5.0820833627580351</v>
      </c>
      <c r="I7414" s="1">
        <v>13.607813527250414</v>
      </c>
      <c r="J7414" s="1">
        <v>1.8407789390405514E-2</v>
      </c>
      <c r="K7414" s="1">
        <v>1.7335813395883173</v>
      </c>
      <c r="L7414" s="1">
        <v>1.4301816427691822</v>
      </c>
      <c r="M7414" s="1">
        <v>0.14028233171399965</v>
      </c>
      <c r="N7414" s="1">
        <v>0.72335809706428111</v>
      </c>
      <c r="O7414" s="1">
        <v>0.15440484848484851</v>
      </c>
      <c r="P7414" s="1">
        <v>8.1293727422108331E-2</v>
      </c>
      <c r="Q7414" s="1">
        <v>1.8079331183301031</v>
      </c>
      <c r="R7414" s="2">
        <f t="shared" si="463"/>
        <v>49.45771697843594</v>
      </c>
      <c r="S7414" s="2">
        <f t="shared" si="462"/>
        <v>1.8332828564008312</v>
      </c>
      <c r="T7414" s="2">
        <f t="shared" si="464"/>
        <v>2.4482269200323117</v>
      </c>
      <c r="U7414" s="2">
        <f t="shared" si="465"/>
        <v>53.73922675486908</v>
      </c>
    </row>
    <row r="7415" spans="1:21" x14ac:dyDescent="0.25">
      <c r="A7415">
        <v>8599877</v>
      </c>
      <c r="B7415">
        <v>10</v>
      </c>
      <c r="C7415" s="1">
        <f>0.276243248416596*(10.3/7.3)</f>
        <v>0.3897678710535537</v>
      </c>
      <c r="D7415" s="1">
        <f>0.707839361907707*(10.3/7.3)</f>
        <v>0.99873225036292901</v>
      </c>
      <c r="E7415" s="1">
        <f>2.38595692054046*(10.3/7.3)</f>
        <v>3.3664871618584602</v>
      </c>
      <c r="F7415" s="1">
        <f>7.75488173223491*(38.9/42.5)</f>
        <v>7.0979976325632501</v>
      </c>
      <c r="G7415" s="1">
        <v>0.44718385527766102</v>
      </c>
      <c r="H7415" s="1">
        <v>7.1072549380595031</v>
      </c>
      <c r="I7415" s="1">
        <v>5.5708065636654007</v>
      </c>
      <c r="J7415" s="1">
        <v>1.1694269554893827E-2</v>
      </c>
      <c r="K7415" s="1">
        <v>1.1685135849251131</v>
      </c>
      <c r="L7415" s="1">
        <v>0.86080805389189385</v>
      </c>
      <c r="M7415" s="1">
        <v>9.0279697628523253E-2</v>
      </c>
      <c r="N7415" s="1">
        <v>0.42741231171606664</v>
      </c>
      <c r="O7415" s="1">
        <v>9.6522666666666673E-2</v>
      </c>
      <c r="P7415" s="1">
        <v>5.6384882847919336E-2</v>
      </c>
      <c r="Q7415" s="1">
        <v>0.71467739427936794</v>
      </c>
      <c r="R7415" s="2">
        <f t="shared" si="463"/>
        <v>25.692907667120121</v>
      </c>
      <c r="S7415" s="2">
        <f t="shared" si="462"/>
        <v>1.2365927373279264</v>
      </c>
      <c r="T7415" s="2">
        <f t="shared" si="464"/>
        <v>1.4750227299031506</v>
      </c>
      <c r="U7415" s="2">
        <f t="shared" si="465"/>
        <v>28.404523134351198</v>
      </c>
    </row>
    <row r="7416" spans="1:21" x14ac:dyDescent="0.25">
      <c r="A7416">
        <v>8599885</v>
      </c>
      <c r="B7416">
        <v>4</v>
      </c>
      <c r="C7416" s="1">
        <f>0.242589582204159*(10.3/7.3)</f>
        <v>0.3422839310551829</v>
      </c>
      <c r="D7416" s="1">
        <f>0.600871641365888*(10.3/7.3)</f>
        <v>0.84780519261214404</v>
      </c>
      <c r="E7416" s="1">
        <f>2.03100158428507*(10.3/7.3)</f>
        <v>2.8656597696077046</v>
      </c>
      <c r="F7416" s="1">
        <f>6.39260970263211*(38.9/42.5)</f>
        <v>5.8511180572326804</v>
      </c>
      <c r="G7416" s="1">
        <v>0.36249595831267767</v>
      </c>
      <c r="H7416" s="1">
        <v>3.3069361929579073</v>
      </c>
      <c r="I7416" s="1">
        <v>4.5749399006274345</v>
      </c>
      <c r="J7416" s="1">
        <v>9.960920820070121E-3</v>
      </c>
      <c r="K7416" s="1">
        <v>1.0512528717386114</v>
      </c>
      <c r="L7416" s="1">
        <v>0.7573444076079946</v>
      </c>
      <c r="M7416" s="1">
        <v>8.217476109889571E-2</v>
      </c>
      <c r="N7416" s="1">
        <v>0.37405756209969665</v>
      </c>
      <c r="O7416" s="1">
        <v>8.637333333333333E-2</v>
      </c>
      <c r="P7416" s="1">
        <v>5.1425657053972423E-2</v>
      </c>
      <c r="Q7416" s="1">
        <v>0.57933144022574123</v>
      </c>
      <c r="R7416" s="2">
        <f t="shared" si="463"/>
        <v>18.730570442631471</v>
      </c>
      <c r="S7416" s="2">
        <f t="shared" si="462"/>
        <v>1.1126394496126539</v>
      </c>
      <c r="T7416" s="2">
        <f t="shared" si="464"/>
        <v>1.2999500641399204</v>
      </c>
      <c r="U7416" s="2">
        <f t="shared" si="465"/>
        <v>21.143159956384046</v>
      </c>
    </row>
    <row r="7417" spans="1:21" x14ac:dyDescent="0.25">
      <c r="A7417">
        <v>8600069</v>
      </c>
      <c r="B7417">
        <v>16</v>
      </c>
      <c r="C7417" s="1">
        <f>0.335996478861453*(10.3/7.3)</f>
        <v>0.47407722359903653</v>
      </c>
      <c r="D7417" s="1">
        <f>1.42972995153068*(10.3/7.3)</f>
        <v>2.0172902055843891</v>
      </c>
      <c r="E7417" s="1">
        <f>4.8204164795067*(10.3/7.3)</f>
        <v>6.8014095532765806</v>
      </c>
      <c r="F7417" s="1">
        <f>13.3747137212365*(38.9/42.5)</f>
        <v>12.241796794261194</v>
      </c>
      <c r="G7417" s="1">
        <v>0.72695675523319925</v>
      </c>
      <c r="H7417" s="1">
        <v>3.672530715826499</v>
      </c>
      <c r="I7417" s="1">
        <v>8.6977716140599952</v>
      </c>
      <c r="J7417" s="1">
        <v>1.2162082769127152E-2</v>
      </c>
      <c r="K7417" s="1">
        <v>1.0973378363348743</v>
      </c>
      <c r="L7417" s="1">
        <v>0.83172093264614799</v>
      </c>
      <c r="M7417" s="1">
        <v>8.4514701490593216E-2</v>
      </c>
      <c r="N7417" s="1">
        <v>0.45767326483138915</v>
      </c>
      <c r="O7417" s="1">
        <v>7.9526666666666662E-2</v>
      </c>
      <c r="P7417" s="1">
        <v>5.1122833457123602E-2</v>
      </c>
      <c r="Q7417" s="1">
        <v>1.1618030334777172</v>
      </c>
      <c r="R7417" s="2">
        <f t="shared" si="463"/>
        <v>35.793635895318616</v>
      </c>
      <c r="S7417" s="2">
        <f t="shared" si="462"/>
        <v>1.160622752561125</v>
      </c>
      <c r="T7417" s="2">
        <f t="shared" si="464"/>
        <v>1.453435565634797</v>
      </c>
      <c r="U7417" s="2">
        <f t="shared" si="465"/>
        <v>38.407694213514539</v>
      </c>
    </row>
    <row r="7418" spans="1:21" x14ac:dyDescent="0.25">
      <c r="A7418">
        <v>8600077</v>
      </c>
      <c r="B7418">
        <v>55</v>
      </c>
      <c r="C7418" s="1">
        <f>0.316663711384206*(10.3/7.3)</f>
        <v>0.44679948318593499</v>
      </c>
      <c r="D7418" s="1">
        <f>1.3249502469938*(10.3/7.3)</f>
        <v>1.8694503484980971</v>
      </c>
      <c r="E7418" s="1">
        <f>4.46935589167567*(10.3/7.3)</f>
        <v>6.3060774909944319</v>
      </c>
      <c r="F7418" s="1">
        <f>12.3406430505116*(38.9/42.5)</f>
        <v>11.295317992115287</v>
      </c>
      <c r="G7418" s="1">
        <v>0.66856063008823785</v>
      </c>
      <c r="H7418" s="1">
        <v>4.7894458975921017</v>
      </c>
      <c r="I7418" s="1">
        <v>8.0233494732733792</v>
      </c>
      <c r="J7418" s="1">
        <v>1.2564049175964372E-2</v>
      </c>
      <c r="K7418" s="1">
        <v>1.1115163199000457</v>
      </c>
      <c r="L7418" s="1">
        <v>0.83877647006433698</v>
      </c>
      <c r="M7418" s="1">
        <v>8.4508695147984897E-2</v>
      </c>
      <c r="N7418" s="1">
        <v>0.47932560410077185</v>
      </c>
      <c r="O7418" s="1">
        <v>7.9304727272727263E-2</v>
      </c>
      <c r="P7418" s="1">
        <v>5.1289388732472817E-2</v>
      </c>
      <c r="Q7418" s="1">
        <v>1.0684758928350844</v>
      </c>
      <c r="R7418" s="2">
        <f t="shared" si="463"/>
        <v>34.467477208582551</v>
      </c>
      <c r="S7418" s="2">
        <f t="shared" si="462"/>
        <v>1.175369757808483</v>
      </c>
      <c r="T7418" s="2">
        <f t="shared" si="464"/>
        <v>1.481915496585821</v>
      </c>
      <c r="U7418" s="2">
        <f t="shared" si="465"/>
        <v>37.124762462976854</v>
      </c>
    </row>
    <row r="7419" spans="1:21" x14ac:dyDescent="0.25">
      <c r="A7419">
        <v>8600085</v>
      </c>
      <c r="B7419">
        <v>36</v>
      </c>
      <c r="C7419" s="1">
        <f>0.329642894768986*(10.3/7.3)</f>
        <v>0.46511257755076135</v>
      </c>
      <c r="D7419" s="1">
        <f>1.3931080597834*(10.3/7.3)</f>
        <v>1.9656182213382196</v>
      </c>
      <c r="E7419" s="1">
        <f>4.6927589620607*(10.3/7.3)</f>
        <v>6.6212900423596155</v>
      </c>
      <c r="F7419" s="1">
        <f>13.2576391657714*(38.9/42.5)</f>
        <v>12.134639142317823</v>
      </c>
      <c r="G7419" s="1">
        <v>0.72751334773985821</v>
      </c>
      <c r="H7419" s="1">
        <v>4.5099555218107428</v>
      </c>
      <c r="I7419" s="1">
        <v>8.6834822191219878</v>
      </c>
      <c r="J7419" s="1">
        <v>1.3318473659740185E-2</v>
      </c>
      <c r="K7419" s="1">
        <v>1.1567387981903074</v>
      </c>
      <c r="L7419" s="1">
        <v>0.87747746698618623</v>
      </c>
      <c r="M7419" s="1">
        <v>8.6603924959807899E-2</v>
      </c>
      <c r="N7419" s="1">
        <v>0.51188739872236666</v>
      </c>
      <c r="O7419" s="1">
        <v>8.1742222222222216E-2</v>
      </c>
      <c r="P7419" s="1">
        <v>5.2699230309230918E-2</v>
      </c>
      <c r="Q7419" s="1">
        <v>1.1626925648810529</v>
      </c>
      <c r="R7419" s="2">
        <f t="shared" si="463"/>
        <v>36.270303637120065</v>
      </c>
      <c r="S7419" s="2">
        <f t="shared" si="462"/>
        <v>1.2227565021592786</v>
      </c>
      <c r="T7419" s="2">
        <f t="shared" si="464"/>
        <v>1.5577110128905829</v>
      </c>
      <c r="U7419" s="2">
        <f t="shared" si="465"/>
        <v>39.050771152169929</v>
      </c>
    </row>
    <row r="7420" spans="1:21" x14ac:dyDescent="0.25">
      <c r="A7420">
        <v>8612073</v>
      </c>
      <c r="B7420">
        <v>66</v>
      </c>
      <c r="C7420" s="1">
        <f>0.336593388533217*(10.3/7.3)</f>
        <v>0.47491943861536168</v>
      </c>
      <c r="D7420" s="1">
        <f>0.791275108090708*(10.3/7.3)</f>
        <v>1.116456659360862</v>
      </c>
      <c r="E7420" s="1">
        <f>2.68945633245737*(10.3/7.3)</f>
        <v>3.7947123594946386</v>
      </c>
      <c r="F7420" s="1">
        <f>7.8697481012111*(38.9/42.5)</f>
        <v>7.2031341444026342</v>
      </c>
      <c r="G7420" s="1">
        <v>0.42863028401808795</v>
      </c>
      <c r="H7420" s="1">
        <v>1.4868637926276802</v>
      </c>
      <c r="I7420" s="1">
        <v>5.5672351892743484</v>
      </c>
      <c r="J7420" s="1">
        <v>1.241522844782484E-2</v>
      </c>
      <c r="K7420" s="1">
        <v>1.3240294356066089</v>
      </c>
      <c r="L7420" s="1">
        <v>1.0089256931306851</v>
      </c>
      <c r="M7420" s="1">
        <v>0.11084677570114997</v>
      </c>
      <c r="N7420" s="1">
        <v>0.47599678544918378</v>
      </c>
      <c r="O7420" s="1">
        <v>0.11133575757575755</v>
      </c>
      <c r="P7420" s="1">
        <v>6.385972564264325E-2</v>
      </c>
      <c r="Q7420" s="1">
        <v>0.68502556806543746</v>
      </c>
      <c r="R7420" s="2">
        <f t="shared" si="463"/>
        <v>20.756977435859049</v>
      </c>
      <c r="S7420" s="2">
        <f t="shared" si="462"/>
        <v>1.400304389697077</v>
      </c>
      <c r="T7420" s="2">
        <f t="shared" si="464"/>
        <v>1.7071050118567765</v>
      </c>
      <c r="U7420" s="2">
        <f t="shared" si="465"/>
        <v>23.864386837412901</v>
      </c>
    </row>
    <row r="7421" spans="1:21" x14ac:dyDescent="0.25">
      <c r="A7421">
        <v>8612081</v>
      </c>
      <c r="B7421">
        <v>64</v>
      </c>
      <c r="C7421" s="1">
        <f>0.568460736540559*(10.3/7.3)</f>
        <v>0.80207473785859729</v>
      </c>
      <c r="D7421" s="1">
        <f>1.48081711468654*(10.3/7.3)</f>
        <v>2.0893720933248408</v>
      </c>
      <c r="E7421" s="1">
        <f>5.00956896600046*(10.3/7.3)</f>
        <v>7.0682959383294124</v>
      </c>
      <c r="F7421" s="1">
        <f>15.2515108589939*(38.9/42.5)</f>
        <v>13.959618174467339</v>
      </c>
      <c r="G7421" s="1">
        <v>0.85284725074533285</v>
      </c>
      <c r="H7421" s="1">
        <v>2.5027710038021409</v>
      </c>
      <c r="I7421" s="1">
        <v>10.756268422960009</v>
      </c>
      <c r="J7421" s="1">
        <v>1.8908776743104365E-2</v>
      </c>
      <c r="K7421" s="1">
        <v>1.8263250594925124</v>
      </c>
      <c r="L7421" s="1">
        <v>1.5182411603675363</v>
      </c>
      <c r="M7421" s="1">
        <v>0.14878678770508769</v>
      </c>
      <c r="N7421" s="1">
        <v>0.6855128268600027</v>
      </c>
      <c r="O7421" s="1">
        <v>0.16292249999999994</v>
      </c>
      <c r="P7421" s="1">
        <v>8.6033519312753229E-2</v>
      </c>
      <c r="Q7421" s="1">
        <v>1.3629978893190267</v>
      </c>
      <c r="R7421" s="2">
        <f t="shared" si="463"/>
        <v>39.394245510806698</v>
      </c>
      <c r="S7421" s="2">
        <f t="shared" si="462"/>
        <v>1.9312673555483701</v>
      </c>
      <c r="T7421" s="2">
        <f t="shared" si="464"/>
        <v>2.5154632749326269</v>
      </c>
      <c r="U7421" s="2">
        <f t="shared" si="465"/>
        <v>43.840976141287697</v>
      </c>
    </row>
    <row r="7422" spans="1:21" x14ac:dyDescent="0.25">
      <c r="A7422">
        <v>8612089</v>
      </c>
      <c r="B7422">
        <v>57</v>
      </c>
      <c r="C7422" s="1">
        <f>0.433587448417731*(10.3/7.3)</f>
        <v>0.61177407105515524</v>
      </c>
      <c r="D7422" s="1">
        <f>1.13065833575592*(10.3/7.3)</f>
        <v>1.5953124463405481</v>
      </c>
      <c r="E7422" s="1">
        <f>3.81756300271506*(10.3/7.3)</f>
        <v>5.3864245106801487</v>
      </c>
      <c r="F7422" s="1">
        <f>12.0005399468141*(38.9/42.5)</f>
        <v>10.984023621907479</v>
      </c>
      <c r="G7422" s="1">
        <v>0.68177652616118456</v>
      </c>
      <c r="H7422" s="1">
        <v>2.2345995513667769</v>
      </c>
      <c r="I7422" s="1">
        <v>8.5326312943494997</v>
      </c>
      <c r="J7422" s="1">
        <v>1.5316178951450011E-2</v>
      </c>
      <c r="K7422" s="1">
        <v>1.5178504972632441</v>
      </c>
      <c r="L7422" s="1">
        <v>1.2030176635492384</v>
      </c>
      <c r="M7422" s="1">
        <v>0.11964417551497145</v>
      </c>
      <c r="N7422" s="1">
        <v>0.57767771894867215</v>
      </c>
      <c r="O7422" s="1">
        <v>0.13104187134502923</v>
      </c>
      <c r="P7422" s="1">
        <v>7.197989557675738E-2</v>
      </c>
      <c r="Q7422" s="1">
        <v>1.0895971879288349</v>
      </c>
      <c r="R7422" s="2">
        <f t="shared" si="463"/>
        <v>31.116139209789626</v>
      </c>
      <c r="S7422" s="2">
        <f t="shared" si="462"/>
        <v>1.6051465717914515</v>
      </c>
      <c r="T7422" s="2">
        <f t="shared" si="464"/>
        <v>2.0313814293579115</v>
      </c>
      <c r="U7422" s="2">
        <f t="shared" si="465"/>
        <v>34.752667210938995</v>
      </c>
    </row>
    <row r="7423" spans="1:21" x14ac:dyDescent="0.25">
      <c r="A7423">
        <v>8612097</v>
      </c>
      <c r="B7423">
        <v>5</v>
      </c>
      <c r="C7423" s="1">
        <f>0.343877180123017*(10.3/7.3)</f>
        <v>0.48519656921466792</v>
      </c>
      <c r="D7423" s="1">
        <f>0.905755627453114*(10.3/7.3)</f>
        <v>1.2779839675023392</v>
      </c>
      <c r="E7423" s="1">
        <f>3.04673919776079*(10.3/7.3)</f>
        <v>4.2988237995802923</v>
      </c>
      <c r="F7423" s="1">
        <f>10.1341404214724*(38.9/42.5)</f>
        <v>9.2757191151829428</v>
      </c>
      <c r="G7423" s="1">
        <v>0.5912380431215567</v>
      </c>
      <c r="H7423" s="1">
        <v>3.0144437792330185</v>
      </c>
      <c r="I7423" s="1">
        <v>7.2976979731223084</v>
      </c>
      <c r="J7423" s="1">
        <v>1.300457087512286E-2</v>
      </c>
      <c r="K7423" s="1">
        <v>1.3029080303662302</v>
      </c>
      <c r="L7423" s="1">
        <v>0.99988760872660554</v>
      </c>
      <c r="M7423" s="1">
        <v>0.10162873577678602</v>
      </c>
      <c r="N7423" s="1">
        <v>0.48622293635892239</v>
      </c>
      <c r="O7423" s="1">
        <v>0.11068800000000001</v>
      </c>
      <c r="P7423" s="1">
        <v>6.2311527583432481E-2</v>
      </c>
      <c r="Q7423" s="1">
        <v>0.94490098215773988</v>
      </c>
      <c r="R7423" s="2">
        <f t="shared" si="463"/>
        <v>27.186004229114864</v>
      </c>
      <c r="S7423" s="2">
        <f t="shared" si="462"/>
        <v>1.3782241288247856</v>
      </c>
      <c r="T7423" s="2">
        <f t="shared" si="464"/>
        <v>1.698427280862314</v>
      </c>
      <c r="U7423" s="2">
        <f t="shared" si="465"/>
        <v>30.262655638801967</v>
      </c>
    </row>
    <row r="7424" spans="1:21" x14ac:dyDescent="0.25">
      <c r="A7424">
        <v>8612113</v>
      </c>
      <c r="B7424">
        <v>3</v>
      </c>
      <c r="C7424" s="1">
        <f>0.25956677046743*(10.3/7.3)</f>
        <v>0.366238046001991</v>
      </c>
      <c r="D7424" s="1">
        <f>0.660986395946015*(10.3/7.3)</f>
        <v>0.93262464085533703</v>
      </c>
      <c r="E7424" s="1">
        <f>2.22894126233687*(10.3/7.3)</f>
        <v>3.1449445208314692</v>
      </c>
      <c r="F7424" s="1">
        <f>7.21343458457222*(38.9/42.5)</f>
        <v>6.6024142432908066</v>
      </c>
      <c r="G7424" s="1">
        <v>0.4150168319530671</v>
      </c>
      <c r="H7424" s="1">
        <v>5.4999434825022613</v>
      </c>
      <c r="I7424" s="1">
        <v>5.1802074006945666</v>
      </c>
      <c r="J7424" s="1">
        <v>1.0780566345839472E-2</v>
      </c>
      <c r="K7424" s="1">
        <v>1.11261328057185</v>
      </c>
      <c r="L7424" s="1">
        <v>0.81013546510042411</v>
      </c>
      <c r="M7424" s="1">
        <v>8.7150665059214427E-2</v>
      </c>
      <c r="N7424" s="1">
        <v>0.40250301345220341</v>
      </c>
      <c r="O7424" s="1">
        <v>9.1591111111111109E-2</v>
      </c>
      <c r="P7424" s="1">
        <v>5.3972834500034365E-2</v>
      </c>
      <c r="Q7424" s="1">
        <v>0.66326890951403483</v>
      </c>
      <c r="R7424" s="2">
        <f t="shared" si="463"/>
        <v>22.804658075643534</v>
      </c>
      <c r="S7424" s="2">
        <f t="shared" si="462"/>
        <v>1.1773666814177239</v>
      </c>
      <c r="T7424" s="2">
        <f t="shared" si="464"/>
        <v>1.3913802547229532</v>
      </c>
      <c r="U7424" s="2">
        <f t="shared" si="465"/>
        <v>25.373405011784211</v>
      </c>
    </row>
    <row r="7425" spans="1:21" x14ac:dyDescent="0.25">
      <c r="A7425">
        <v>8612121</v>
      </c>
      <c r="B7425">
        <v>5</v>
      </c>
      <c r="C7425" s="1">
        <f>0.247681742953623*(10.3/7.3)</f>
        <v>0.34946876060579735</v>
      </c>
      <c r="D7425" s="1">
        <f>0.612488341508558*(10.3/7.3)</f>
        <v>0.86419587911481477</v>
      </c>
      <c r="E7425" s="1">
        <f>2.07277814845047*(10.3/7.3)</f>
        <v>2.9246047847999797</v>
      </c>
      <c r="F7425" s="1">
        <f>6.39852955148966*(38.9/42.5)</f>
        <v>5.856536460069357</v>
      </c>
      <c r="G7425" s="1">
        <v>0.35935221654012728</v>
      </c>
      <c r="H7425" s="1">
        <v>1.62519299004738</v>
      </c>
      <c r="I7425" s="1">
        <v>4.5580669547414807</v>
      </c>
      <c r="J7425" s="1">
        <v>1.0080154845647959E-2</v>
      </c>
      <c r="K7425" s="1">
        <v>1.0760818874130742</v>
      </c>
      <c r="L7425" s="1">
        <v>0.77832474259879558</v>
      </c>
      <c r="M7425" s="1">
        <v>8.3502120681626074E-2</v>
      </c>
      <c r="N7425" s="1">
        <v>0.38328454364164466</v>
      </c>
      <c r="O7425" s="1">
        <v>8.7914666666666669E-2</v>
      </c>
      <c r="P7425" s="1">
        <v>5.2212165095582838E-2</v>
      </c>
      <c r="Q7425" s="1">
        <v>0.57430719538376562</v>
      </c>
      <c r="R7425" s="2">
        <f t="shared" si="463"/>
        <v>17.111725241302704</v>
      </c>
      <c r="S7425" s="2">
        <f t="shared" si="462"/>
        <v>1.1383742073543051</v>
      </c>
      <c r="T7425" s="2">
        <f t="shared" si="464"/>
        <v>1.3330260735887329</v>
      </c>
      <c r="U7425" s="2">
        <f t="shared" si="465"/>
        <v>19.583125522245744</v>
      </c>
    </row>
    <row r="7426" spans="1:21" x14ac:dyDescent="0.25">
      <c r="A7426">
        <v>8612305</v>
      </c>
      <c r="B7426">
        <v>22</v>
      </c>
      <c r="C7426" s="1">
        <f>0.321227773406249*(10.3/7.3)</f>
        <v>0.45323918713484496</v>
      </c>
      <c r="D7426" s="1">
        <f>1.33788147901057*(10.3/7.3)</f>
        <v>1.8876957854532639</v>
      </c>
      <c r="E7426" s="1">
        <f>4.51071749319987*(10.3/7.3)</f>
        <v>6.3644370109532407</v>
      </c>
      <c r="F7426" s="1">
        <f>12.5853808375412*(38.9/42.5)</f>
        <v>11.51932504894943</v>
      </c>
      <c r="G7426" s="1">
        <v>0.68563418143379218</v>
      </c>
      <c r="H7426" s="1">
        <v>3.4940601861928613</v>
      </c>
      <c r="I7426" s="1">
        <v>8.2170846343794466</v>
      </c>
      <c r="J7426" s="1">
        <v>1.2196896327226148E-2</v>
      </c>
      <c r="K7426" s="1">
        <v>1.0984972831102828</v>
      </c>
      <c r="L7426" s="1">
        <v>0.83552474782249253</v>
      </c>
      <c r="M7426" s="1">
        <v>8.4753084777990137E-2</v>
      </c>
      <c r="N7426" s="1">
        <v>0.46102247285378012</v>
      </c>
      <c r="O7426" s="1">
        <v>7.9469090909090906E-2</v>
      </c>
      <c r="P7426" s="1">
        <v>5.1194367621410455E-2</v>
      </c>
      <c r="Q7426" s="1">
        <v>1.0957623904193037</v>
      </c>
      <c r="R7426" s="2">
        <f t="shared" si="463"/>
        <v>33.717238424916182</v>
      </c>
      <c r="S7426" s="2">
        <f t="shared" si="462"/>
        <v>1.1618885470589193</v>
      </c>
      <c r="T7426" s="2">
        <f t="shared" si="464"/>
        <v>1.4607693963633537</v>
      </c>
      <c r="U7426" s="2">
        <f t="shared" si="465"/>
        <v>36.339896368338458</v>
      </c>
    </row>
    <row r="7427" spans="1:21" x14ac:dyDescent="0.25">
      <c r="A7427">
        <v>8612313</v>
      </c>
      <c r="B7427">
        <v>67</v>
      </c>
      <c r="C7427" s="1">
        <f>0.331510754541871*(10.3/7.3)</f>
        <v>0.46774805092894189</v>
      </c>
      <c r="D7427" s="1">
        <f>1.37248777094307*(10.3/7.3)</f>
        <v>1.9365238411936441</v>
      </c>
      <c r="E7427" s="1">
        <f>4.62547269576585*(10.3/7.3)</f>
        <v>6.5263518858066165</v>
      </c>
      <c r="F7427" s="1">
        <f>13.0239097757136*(38.9/42.5)</f>
        <v>11.920708006476701</v>
      </c>
      <c r="G7427" s="1">
        <v>0.71289961662814305</v>
      </c>
      <c r="H7427" s="1">
        <v>4.0207858372892424</v>
      </c>
      <c r="I7427" s="1">
        <v>8.53595702791349</v>
      </c>
      <c r="J7427" s="1">
        <v>1.2446393253710624E-2</v>
      </c>
      <c r="K7427" s="1">
        <v>1.105690754159194</v>
      </c>
      <c r="L7427" s="1">
        <v>0.83640188887695932</v>
      </c>
      <c r="M7427" s="1">
        <v>8.3897527581069373E-2</v>
      </c>
      <c r="N7427" s="1">
        <v>0.47330146712860743</v>
      </c>
      <c r="O7427" s="1">
        <v>7.8961194029850718E-2</v>
      </c>
      <c r="P7427" s="1">
        <v>5.1086983285281697E-2</v>
      </c>
      <c r="Q7427" s="1">
        <v>1.1393372868486311</v>
      </c>
      <c r="R7427" s="2">
        <f t="shared" si="463"/>
        <v>35.260311553085408</v>
      </c>
      <c r="S7427" s="2">
        <f t="shared" si="462"/>
        <v>1.1692241306981863</v>
      </c>
      <c r="T7427" s="2">
        <f t="shared" si="464"/>
        <v>1.4725620776164867</v>
      </c>
      <c r="U7427" s="2">
        <f t="shared" si="465"/>
        <v>37.902097761400086</v>
      </c>
    </row>
    <row r="7428" spans="1:21" x14ac:dyDescent="0.25">
      <c r="A7428">
        <v>8612321</v>
      </c>
      <c r="B7428">
        <v>44</v>
      </c>
      <c r="C7428" s="1">
        <f>0.341788682721736*(10.3/7.3)</f>
        <v>0.48224978521012096</v>
      </c>
      <c r="D7428" s="1">
        <f>1.39519547671266*(10.3/7.3)</f>
        <v>1.9685634808411523</v>
      </c>
      <c r="E7428" s="1">
        <f>4.69236357228267*(10.3/7.3)</f>
        <v>6.6207321636317182</v>
      </c>
      <c r="F7428" s="1">
        <f>13.7547607218217*(38.9/42.5)</f>
        <v>12.589651578326253</v>
      </c>
      <c r="G7428" s="1">
        <v>0.76855366268868164</v>
      </c>
      <c r="H7428" s="1">
        <v>4.4983352897003295</v>
      </c>
      <c r="I7428" s="1">
        <v>9.1528938234348995</v>
      </c>
      <c r="J7428" s="1">
        <v>1.350534606763385E-2</v>
      </c>
      <c r="K7428" s="1">
        <v>1.1688406422475419</v>
      </c>
      <c r="L7428" s="1">
        <v>0.89094553130410992</v>
      </c>
      <c r="M7428" s="1">
        <v>8.7635702717365482E-2</v>
      </c>
      <c r="N7428" s="1">
        <v>0.56350350758864021</v>
      </c>
      <c r="O7428" s="1">
        <v>8.2540606060606078E-2</v>
      </c>
      <c r="P7428" s="1">
        <v>5.3068818561428317E-2</v>
      </c>
      <c r="Q7428" s="1">
        <v>1.2282821093198117</v>
      </c>
      <c r="R7428" s="2">
        <f t="shared" si="463"/>
        <v>37.309261893152971</v>
      </c>
      <c r="S7428" s="2">
        <f t="shared" si="462"/>
        <v>1.235414806876604</v>
      </c>
      <c r="T7428" s="2">
        <f t="shared" si="464"/>
        <v>1.6246253476707215</v>
      </c>
      <c r="U7428" s="2">
        <f t="shared" si="465"/>
        <v>40.169302047700299</v>
      </c>
    </row>
    <row r="7429" spans="1:21" x14ac:dyDescent="0.25">
      <c r="A7429">
        <v>8612329</v>
      </c>
      <c r="B7429">
        <v>3</v>
      </c>
      <c r="C7429" s="1">
        <f>0.409935203914012*(10.3/7.3)</f>
        <v>0.57840172607045548</v>
      </c>
      <c r="D7429" s="1">
        <f>1.70860952121642*(10.3/7.3)</f>
        <v>2.4107778176067263</v>
      </c>
      <c r="E7429" s="1">
        <f>5.71523484456735*(10.3/7.3)</f>
        <v>8.0639614930196899</v>
      </c>
      <c r="F7429" s="1">
        <f>18.270665966353*(38.9/42.5)</f>
        <v>16.723033084497228</v>
      </c>
      <c r="G7429" s="1">
        <v>1.0645804050254217</v>
      </c>
      <c r="H7429" s="1">
        <v>7.0753548179828556</v>
      </c>
      <c r="I7429" s="1">
        <v>12.477121379204972</v>
      </c>
      <c r="J7429" s="1">
        <v>1.499831088051453E-2</v>
      </c>
      <c r="K7429" s="1">
        <v>1.2649507693580604</v>
      </c>
      <c r="L7429" s="1">
        <v>0.98687430059731351</v>
      </c>
      <c r="M7429" s="1">
        <v>9.4887229434208395E-2</v>
      </c>
      <c r="N7429" s="1">
        <v>0.56674814887303449</v>
      </c>
      <c r="O7429" s="1">
        <v>8.9404444444444439E-2</v>
      </c>
      <c r="P7429" s="1">
        <v>5.6909334623937567E-2</v>
      </c>
      <c r="Q7429" s="1">
        <v>1.7013842089447397</v>
      </c>
      <c r="R7429" s="2">
        <f t="shared" si="463"/>
        <v>50.094614932352087</v>
      </c>
      <c r="S7429" s="2">
        <f t="shared" si="462"/>
        <v>1.3368584148625124</v>
      </c>
      <c r="T7429" s="2">
        <f t="shared" si="464"/>
        <v>1.7379141233490008</v>
      </c>
      <c r="U7429" s="2">
        <f t="shared" si="465"/>
        <v>53.169387470563599</v>
      </c>
    </row>
    <row r="7430" spans="1:21" x14ac:dyDescent="0.25">
      <c r="A7430">
        <v>8624301</v>
      </c>
      <c r="B7430">
        <v>10</v>
      </c>
      <c r="C7430" s="1">
        <f>0.276876532389349*(10.3/7.3)</f>
        <v>0.3906614087137395</v>
      </c>
      <c r="D7430" s="1">
        <f>0.624511612404667*(10.3/7.3)</f>
        <v>0.88116022024220164</v>
      </c>
      <c r="E7430" s="1">
        <f>2.12653839368246*(10.3/7.3)</f>
        <v>3.000458281497163</v>
      </c>
      <c r="F7430" s="1">
        <f>6.13540976712883*(38.9/42.5)</f>
        <v>5.6157044692073255</v>
      </c>
      <c r="G7430" s="1">
        <v>0.33074738525815012</v>
      </c>
      <c r="H7430" s="1">
        <v>1.1798117768888043</v>
      </c>
      <c r="I7430" s="1">
        <v>4.3502304164882286</v>
      </c>
      <c r="J7430" s="1">
        <v>1.090248773379688E-2</v>
      </c>
      <c r="K7430" s="1">
        <v>1.1883012515642275</v>
      </c>
      <c r="L7430" s="1">
        <v>0.87822628284738014</v>
      </c>
      <c r="M7430" s="1">
        <v>9.9534216386459734E-2</v>
      </c>
      <c r="N7430" s="1">
        <v>0.41890942855547414</v>
      </c>
      <c r="O7430" s="1">
        <v>9.9392000000000008E-2</v>
      </c>
      <c r="P7430" s="1">
        <v>5.7811467448182094E-2</v>
      </c>
      <c r="Q7430" s="1">
        <v>0.52859171159978391</v>
      </c>
      <c r="R7430" s="2">
        <f t="shared" si="463"/>
        <v>16.277365669895396</v>
      </c>
      <c r="S7430" s="2">
        <f t="shared" si="462"/>
        <v>1.2570152067462064</v>
      </c>
      <c r="T7430" s="2">
        <f t="shared" si="464"/>
        <v>1.4960619277893139</v>
      </c>
      <c r="U7430" s="2">
        <f t="shared" si="465"/>
        <v>19.030442804430916</v>
      </c>
    </row>
    <row r="7431" spans="1:21" x14ac:dyDescent="0.25">
      <c r="A7431">
        <v>8624309</v>
      </c>
      <c r="B7431">
        <v>60</v>
      </c>
      <c r="C7431" s="1">
        <f>0.310740629439693*(10.3/7.3)</f>
        <v>0.43844225797655362</v>
      </c>
      <c r="D7431" s="1">
        <f>0.726571509621173*(10.3/7.3)</f>
        <v>1.0251625409723397</v>
      </c>
      <c r="E7431" s="1">
        <f>2.46998697442716*(10.3/7.3)</f>
        <v>3.485050114602712</v>
      </c>
      <c r="F7431" s="1">
        <f>7.2211825229342*(38.9/42.5)</f>
        <v>6.6095058856974171</v>
      </c>
      <c r="G7431" s="1">
        <v>0.39299275705504066</v>
      </c>
      <c r="H7431" s="1">
        <v>1.374896294998815</v>
      </c>
      <c r="I7431" s="1">
        <v>5.1111173910523942</v>
      </c>
      <c r="J7431" s="1">
        <v>1.215013107854432E-2</v>
      </c>
      <c r="K7431" s="1">
        <v>1.2932456907951613</v>
      </c>
      <c r="L7431" s="1">
        <v>0.97877012743813052</v>
      </c>
      <c r="M7431" s="1">
        <v>0.10707295807889056</v>
      </c>
      <c r="N7431" s="1">
        <v>0.46567087570748394</v>
      </c>
      <c r="O7431" s="1">
        <v>0.10787111111111107</v>
      </c>
      <c r="P7431" s="1">
        <v>6.2395585556297935E-2</v>
      </c>
      <c r="Q7431" s="1">
        <v>0.62807061629801109</v>
      </c>
      <c r="R7431" s="2">
        <f t="shared" si="463"/>
        <v>19.065237858653283</v>
      </c>
      <c r="S7431" s="2">
        <f t="shared" si="462"/>
        <v>1.3677914074300035</v>
      </c>
      <c r="T7431" s="2">
        <f t="shared" si="464"/>
        <v>1.6593850723356161</v>
      </c>
      <c r="U7431" s="2">
        <f t="shared" si="465"/>
        <v>22.092414338418905</v>
      </c>
    </row>
    <row r="7432" spans="1:21" x14ac:dyDescent="0.25">
      <c r="A7432">
        <v>8624317</v>
      </c>
      <c r="B7432">
        <v>59</v>
      </c>
      <c r="C7432" s="1">
        <f>0.454457702225143*(10.3/7.3)</f>
        <v>0.64122114149575005</v>
      </c>
      <c r="D7432" s="1">
        <f>1.15681871940072*(10.3/7.3)</f>
        <v>1.6322236725790991</v>
      </c>
      <c r="E7432" s="1">
        <f>3.91562024944099*(10.3/7.3)</f>
        <v>5.5247792560605742</v>
      </c>
      <c r="F7432" s="1">
        <f>11.9156742217857*(38.9/42.5)</f>
        <v>10.906346522999176</v>
      </c>
      <c r="G7432" s="1">
        <v>0.66538866759698778</v>
      </c>
      <c r="H7432" s="1">
        <v>2.1117378094965074</v>
      </c>
      <c r="I7432" s="1">
        <v>8.4266936845826965</v>
      </c>
      <c r="J7432" s="1">
        <v>1.5695826454074004E-2</v>
      </c>
      <c r="K7432" s="1">
        <v>1.5715862547554886</v>
      </c>
      <c r="L7432" s="1">
        <v>1.2611588046032287</v>
      </c>
      <c r="M7432" s="1">
        <v>0.12517430807902907</v>
      </c>
      <c r="N7432" s="1">
        <v>0.58202616079004099</v>
      </c>
      <c r="O7432" s="1">
        <v>0.13627209039548022</v>
      </c>
      <c r="P7432" s="1">
        <v>7.4557654633963966E-2</v>
      </c>
      <c r="Q7432" s="1">
        <v>1.0634065463878808</v>
      </c>
      <c r="R7432" s="2">
        <f t="shared" si="463"/>
        <v>30.97179730119867</v>
      </c>
      <c r="S7432" s="2">
        <f t="shared" si="462"/>
        <v>1.6618397358435266</v>
      </c>
      <c r="T7432" s="2">
        <f t="shared" si="464"/>
        <v>2.1046313638677789</v>
      </c>
      <c r="U7432" s="2">
        <f t="shared" si="465"/>
        <v>34.73826840090998</v>
      </c>
    </row>
    <row r="7433" spans="1:21" x14ac:dyDescent="0.25">
      <c r="A7433">
        <v>8624325</v>
      </c>
      <c r="B7433">
        <v>58</v>
      </c>
      <c r="C7433" s="1">
        <f>0.460916326276336*(10.3/7.3)</f>
        <v>0.65033399460907659</v>
      </c>
      <c r="D7433" s="1">
        <f>1.23144613005335*(10.3/7.3)</f>
        <v>1.7375198821300686</v>
      </c>
      <c r="E7433" s="1">
        <f>4.15103574468377*(10.3/7.3)</f>
        <v>5.8569408452387508</v>
      </c>
      <c r="F7433" s="1">
        <f>13.2873110162225*(38.9/42.5)</f>
        <v>12.161797612495429</v>
      </c>
      <c r="G7433" s="1">
        <v>0.76225100985881256</v>
      </c>
      <c r="H7433" s="1">
        <v>2.6127144678382255</v>
      </c>
      <c r="I7433" s="1">
        <v>9.4642147514765345</v>
      </c>
      <c r="J7433" s="1">
        <v>1.5913038311165455E-2</v>
      </c>
      <c r="K7433" s="1">
        <v>1.5792944256327242</v>
      </c>
      <c r="L7433" s="1">
        <v>1.2678093777981114</v>
      </c>
      <c r="M7433" s="1">
        <v>0.12652356071960377</v>
      </c>
      <c r="N7433" s="1">
        <v>0.62726222158292322</v>
      </c>
      <c r="O7433" s="1">
        <v>0.13750712643678165</v>
      </c>
      <c r="P7433" s="1">
        <v>7.4732718144840296E-2</v>
      </c>
      <c r="Q7433" s="1">
        <v>1.2182093764866879</v>
      </c>
      <c r="R7433" s="2">
        <f t="shared" si="463"/>
        <v>34.463981940133586</v>
      </c>
      <c r="S7433" s="2">
        <f t="shared" ref="S7433:S7496" si="466">J7433+K7433+P7433</f>
        <v>1.6699401820887299</v>
      </c>
      <c r="T7433" s="2">
        <f t="shared" si="464"/>
        <v>2.1591022865374203</v>
      </c>
      <c r="U7433" s="2">
        <f t="shared" si="465"/>
        <v>38.293024408759734</v>
      </c>
    </row>
    <row r="7434" spans="1:21" x14ac:dyDescent="0.25">
      <c r="A7434">
        <v>8624541</v>
      </c>
      <c r="B7434">
        <v>20</v>
      </c>
      <c r="C7434" s="1">
        <f>0.336393277073941*(10.3/7.3)</f>
        <v>0.47463708957008077</v>
      </c>
      <c r="D7434" s="1">
        <f>1.39279801152124*(10.3/7.3)</f>
        <v>1.9651807559820205</v>
      </c>
      <c r="E7434" s="1">
        <f>4.69292971117507*(10.3/7.3)</f>
        <v>6.6215309623429102</v>
      </c>
      <c r="F7434" s="1">
        <f>13.2644556362419*(38.9/42.5)</f>
        <v>12.140878217642596</v>
      </c>
      <c r="G7434" s="1">
        <v>0.72756163046332745</v>
      </c>
      <c r="H7434" s="1">
        <v>3.5861602169703253</v>
      </c>
      <c r="I7434" s="1">
        <v>8.705380201820736</v>
      </c>
      <c r="J7434" s="1">
        <v>1.2129197940008711E-2</v>
      </c>
      <c r="K7434" s="1">
        <v>1.0909612527897781</v>
      </c>
      <c r="L7434" s="1">
        <v>0.82986998396616818</v>
      </c>
      <c r="M7434" s="1">
        <v>8.3865017217279902E-2</v>
      </c>
      <c r="N7434" s="1">
        <v>0.45740813908216166</v>
      </c>
      <c r="O7434" s="1">
        <v>7.8821333333333327E-2</v>
      </c>
      <c r="P7434" s="1">
        <v>5.076669239080165E-2</v>
      </c>
      <c r="Q7434" s="1">
        <v>1.1627697290509809</v>
      </c>
      <c r="R7434" s="2">
        <f t="shared" ref="R7434:R7497" si="467">C7434+D7434+E7434+F7434+G7434+H7434+I7434+Q7434</f>
        <v>35.384098803842974</v>
      </c>
      <c r="S7434" s="2">
        <f t="shared" si="466"/>
        <v>1.1538571431205884</v>
      </c>
      <c r="T7434" s="2">
        <f t="shared" ref="T7434:T7497" si="468">L7434+M7434+N7434+O7434</f>
        <v>1.4499644735989432</v>
      </c>
      <c r="U7434" s="2">
        <f t="shared" ref="U7434:U7497" si="469">R7434+S7434+T7434</f>
        <v>37.98792042056251</v>
      </c>
    </row>
    <row r="7435" spans="1:21" x14ac:dyDescent="0.25">
      <c r="A7435">
        <v>8624549</v>
      </c>
      <c r="B7435">
        <v>60</v>
      </c>
      <c r="C7435" s="1">
        <f>0.332543122941898*(10.3/7.3)</f>
        <v>0.46920468031528134</v>
      </c>
      <c r="D7435" s="1">
        <f>1.32890623666337*(10.3/7.3)</f>
        <v>1.8750320873469442</v>
      </c>
      <c r="E7435" s="1">
        <f>4.47557264288802*(10.3/7.3)</f>
        <v>6.3148490714721417</v>
      </c>
      <c r="F7435" s="1">
        <f>12.8732675800017*(38.9/42.5)</f>
        <v>11.782826090872158</v>
      </c>
      <c r="G7435" s="1">
        <v>0.71179642712612379</v>
      </c>
      <c r="H7435" s="1">
        <v>3.3454425155074294</v>
      </c>
      <c r="I7435" s="1">
        <v>8.5276449687081648</v>
      </c>
      <c r="J7435" s="1">
        <v>1.2381244243187484E-2</v>
      </c>
      <c r="K7435" s="1">
        <v>1.1003129240495499</v>
      </c>
      <c r="L7435" s="1">
        <v>0.83270522479969322</v>
      </c>
      <c r="M7435" s="1">
        <v>8.3043958415243355E-2</v>
      </c>
      <c r="N7435" s="1">
        <v>0.4734602747310907</v>
      </c>
      <c r="O7435" s="1">
        <v>7.8464888888888903E-2</v>
      </c>
      <c r="P7435" s="1">
        <v>5.0801774059319564E-2</v>
      </c>
      <c r="Q7435" s="1">
        <v>1.1375741986033951</v>
      </c>
      <c r="R7435" s="2">
        <f t="shared" si="467"/>
        <v>34.164370039951642</v>
      </c>
      <c r="S7435" s="2">
        <f t="shared" si="466"/>
        <v>1.163495942352057</v>
      </c>
      <c r="T7435" s="2">
        <f t="shared" si="468"/>
        <v>1.467674346834916</v>
      </c>
      <c r="U7435" s="2">
        <f t="shared" si="469"/>
        <v>36.795540329138618</v>
      </c>
    </row>
    <row r="7436" spans="1:21" x14ac:dyDescent="0.25">
      <c r="A7436">
        <v>8624557</v>
      </c>
      <c r="B7436">
        <v>52</v>
      </c>
      <c r="C7436" s="1">
        <f>0.345413973740496*(10.3/7.3)</f>
        <v>0.48736492185302893</v>
      </c>
      <c r="D7436" s="1">
        <f>1.33939247114096*(10.3/7.3)</f>
        <v>1.8898277332536806</v>
      </c>
      <c r="E7436" s="1">
        <f>4.49976386632783*(10.3/7.3)</f>
        <v>6.3489818935858375</v>
      </c>
      <c r="F7436" s="1">
        <f>13.6172162998122*(38.9/42.5)</f>
        <v>12.463757977945724</v>
      </c>
      <c r="G7436" s="1">
        <v>0.77168584962142717</v>
      </c>
      <c r="H7436" s="1">
        <v>4.012970852356065</v>
      </c>
      <c r="I7436" s="1">
        <v>9.1972698246544056</v>
      </c>
      <c r="J7436" s="1">
        <v>1.3373272641596231E-2</v>
      </c>
      <c r="K7436" s="1">
        <v>1.1547508001014195</v>
      </c>
      <c r="L7436" s="1">
        <v>0.87857557766925498</v>
      </c>
      <c r="M7436" s="1">
        <v>8.6615652403066595E-2</v>
      </c>
      <c r="N7436" s="1">
        <v>0.53036921333237386</v>
      </c>
      <c r="O7436" s="1">
        <v>8.1387692307692314E-2</v>
      </c>
      <c r="P7436" s="1">
        <v>5.2446860695912138E-2</v>
      </c>
      <c r="Q7436" s="1">
        <v>1.2332878875228306</v>
      </c>
      <c r="R7436" s="2">
        <f t="shared" si="467"/>
        <v>36.405146940792996</v>
      </c>
      <c r="S7436" s="2">
        <f t="shared" si="466"/>
        <v>1.2205709334389279</v>
      </c>
      <c r="T7436" s="2">
        <f t="shared" si="468"/>
        <v>1.5769481357123878</v>
      </c>
      <c r="U7436" s="2">
        <f t="shared" si="469"/>
        <v>39.202666009944309</v>
      </c>
    </row>
    <row r="7437" spans="1:21" x14ac:dyDescent="0.25">
      <c r="A7437">
        <v>8624565</v>
      </c>
      <c r="B7437">
        <v>16</v>
      </c>
      <c r="C7437" s="1">
        <f>0.399282557632297*(10.3/7.3)</f>
        <v>0.56337127994694036</v>
      </c>
      <c r="D7437" s="1">
        <f>1.55377696643838*(10.3/7.3)</f>
        <v>2.1923154457966185</v>
      </c>
      <c r="E7437" s="1">
        <f>5.18348371507566*(10.3/7.3)</f>
        <v>7.3136825020930525</v>
      </c>
      <c r="F7437" s="1">
        <f>17.5525772894623*(38.9/42.5)</f>
        <v>16.065770742590175</v>
      </c>
      <c r="G7437" s="1">
        <v>1.046259793842385</v>
      </c>
      <c r="H7437" s="1">
        <v>6.0849842947187573</v>
      </c>
      <c r="I7437" s="1">
        <v>12.250998220824583</v>
      </c>
      <c r="J7437" s="1">
        <v>1.4202002975409883E-2</v>
      </c>
      <c r="K7437" s="1">
        <v>1.2063361709998945</v>
      </c>
      <c r="L7437" s="1">
        <v>0.93208805703028008</v>
      </c>
      <c r="M7437" s="1">
        <v>8.9866606558519788E-2</v>
      </c>
      <c r="N7437" s="1">
        <v>0.53775157736795032</v>
      </c>
      <c r="O7437" s="1">
        <v>8.4903333333333345E-2</v>
      </c>
      <c r="P7437" s="1">
        <v>5.4570120552418028E-2</v>
      </c>
      <c r="Q7437" s="1">
        <v>1.6721046933554118</v>
      </c>
      <c r="R7437" s="2">
        <f t="shared" si="467"/>
        <v>47.189486973167924</v>
      </c>
      <c r="S7437" s="2">
        <f t="shared" si="466"/>
        <v>1.2751082945277226</v>
      </c>
      <c r="T7437" s="2">
        <f t="shared" si="468"/>
        <v>1.6446095742900837</v>
      </c>
      <c r="U7437" s="2">
        <f t="shared" si="469"/>
        <v>50.109204841985729</v>
      </c>
    </row>
    <row r="7438" spans="1:21" x14ac:dyDescent="0.25">
      <c r="A7438">
        <v>8636537</v>
      </c>
      <c r="B7438">
        <v>43</v>
      </c>
      <c r="C7438" s="1">
        <f>0.276745188719119*(10.3/7.3)</f>
        <v>0.39047608819272978</v>
      </c>
      <c r="D7438" s="1">
        <f>0.626331763154099*(10.3/7.3)</f>
        <v>0.88372837814893468</v>
      </c>
      <c r="E7438" s="1">
        <f>2.13252814051071*(10.3/7.3)</f>
        <v>3.0089095681178537</v>
      </c>
      <c r="F7438" s="1">
        <f>6.1539357136711*(38.9/42.5)</f>
        <v>5.6326611591013087</v>
      </c>
      <c r="G7438" s="1">
        <v>0.33185327172024581</v>
      </c>
      <c r="H7438" s="1">
        <v>1.1846090204109876</v>
      </c>
      <c r="I7438" s="1">
        <v>4.3614260146834729</v>
      </c>
      <c r="J7438" s="1">
        <v>1.071260929961922E-2</v>
      </c>
      <c r="K7438" s="1">
        <v>1.1649097011921585</v>
      </c>
      <c r="L7438" s="1">
        <v>0.86092648801140015</v>
      </c>
      <c r="M7438" s="1">
        <v>9.6987925655230525E-2</v>
      </c>
      <c r="N7438" s="1">
        <v>0.41190511631117932</v>
      </c>
      <c r="O7438" s="1">
        <v>9.6966201550387585E-2</v>
      </c>
      <c r="P7438" s="1">
        <v>5.6753115117693119E-2</v>
      </c>
      <c r="Q7438" s="1">
        <v>0.53035911005518777</v>
      </c>
      <c r="R7438" s="2">
        <f t="shared" si="467"/>
        <v>16.32402261043072</v>
      </c>
      <c r="S7438" s="2">
        <f t="shared" si="466"/>
        <v>1.232375425609471</v>
      </c>
      <c r="T7438" s="2">
        <f t="shared" si="468"/>
        <v>1.4667857315281976</v>
      </c>
      <c r="U7438" s="2">
        <f t="shared" si="469"/>
        <v>19.023183767568391</v>
      </c>
    </row>
    <row r="7439" spans="1:21" x14ac:dyDescent="0.25">
      <c r="A7439">
        <v>8636545</v>
      </c>
      <c r="B7439">
        <v>70</v>
      </c>
      <c r="C7439" s="1">
        <f>0.31949716964276*(10.3/7.3)</f>
        <v>0.45079737634526396</v>
      </c>
      <c r="D7439" s="1">
        <f>0.753605224453004*(10.3/7.3)</f>
        <v>1.0633060016254716</v>
      </c>
      <c r="E7439" s="1">
        <f>2.5606028713381*(10.3/7.3)</f>
        <v>3.6129054212030667</v>
      </c>
      <c r="F7439" s="1">
        <f>7.52394302032515*(38.9/42.5)</f>
        <v>6.886620788015251</v>
      </c>
      <c r="G7439" s="1">
        <v>0.41080320633983403</v>
      </c>
      <c r="H7439" s="1">
        <v>1.4404576559566205</v>
      </c>
      <c r="I7439" s="1">
        <v>5.3258753554581437</v>
      </c>
      <c r="J7439" s="1">
        <v>1.2035059433794995E-2</v>
      </c>
      <c r="K7439" s="1">
        <v>1.2812611590818002</v>
      </c>
      <c r="L7439" s="1">
        <v>0.96616228741664445</v>
      </c>
      <c r="M7439" s="1">
        <v>0.10094173848535182</v>
      </c>
      <c r="N7439" s="1">
        <v>0.46078895198449582</v>
      </c>
      <c r="O7439" s="1">
        <v>0.10614476190476188</v>
      </c>
      <c r="P7439" s="1">
        <v>6.1860487750756324E-2</v>
      </c>
      <c r="Q7439" s="1">
        <v>0.65653480465270364</v>
      </c>
      <c r="R7439" s="2">
        <f t="shared" si="467"/>
        <v>19.847300609596356</v>
      </c>
      <c r="S7439" s="2">
        <f t="shared" si="466"/>
        <v>1.3551567062663514</v>
      </c>
      <c r="T7439" s="2">
        <f t="shared" si="468"/>
        <v>1.634037739791254</v>
      </c>
      <c r="U7439" s="2">
        <f t="shared" si="469"/>
        <v>22.836495055653963</v>
      </c>
    </row>
    <row r="7440" spans="1:21" x14ac:dyDescent="0.25">
      <c r="A7440">
        <v>8636553</v>
      </c>
      <c r="B7440">
        <v>65</v>
      </c>
      <c r="C7440" s="1">
        <f>0.40225940591496*(10.3/7.3)</f>
        <v>0.56757149053754585</v>
      </c>
      <c r="D7440" s="1">
        <f>1.01200560999301*(10.3/7.3)</f>
        <v>1.4278983264284963</v>
      </c>
      <c r="E7440" s="1">
        <f>3.42569314678636*(10.3/7.3)</f>
        <v>4.8335122482054143</v>
      </c>
      <c r="F7440" s="1">
        <f>10.4596802960431*(38.9/42.5)</f>
        <v>9.5736838474371364</v>
      </c>
      <c r="G7440" s="1">
        <v>0.58472441485456594</v>
      </c>
      <c r="H7440" s="1">
        <v>1.9644968511385708</v>
      </c>
      <c r="I7440" s="1">
        <v>7.4143099558569698</v>
      </c>
      <c r="J7440" s="1">
        <v>1.4207812900554381E-2</v>
      </c>
      <c r="K7440" s="1">
        <v>1.4579047867710628</v>
      </c>
      <c r="L7440" s="1">
        <v>1.1441299671825669</v>
      </c>
      <c r="M7440" s="1">
        <v>0.11414541508197784</v>
      </c>
      <c r="N7440" s="1">
        <v>0.53779920759440525</v>
      </c>
      <c r="O7440" s="1">
        <v>0.12463753846153847</v>
      </c>
      <c r="P7440" s="1">
        <v>6.9386675010973606E-2</v>
      </c>
      <c r="Q7440" s="1">
        <v>0.9344910739684853</v>
      </c>
      <c r="R7440" s="2">
        <f t="shared" si="467"/>
        <v>27.300688208427186</v>
      </c>
      <c r="S7440" s="2">
        <f t="shared" si="466"/>
        <v>1.5414992746825906</v>
      </c>
      <c r="T7440" s="2">
        <f t="shared" si="468"/>
        <v>1.9207121283204884</v>
      </c>
      <c r="U7440" s="2">
        <f t="shared" si="469"/>
        <v>30.762899611430264</v>
      </c>
    </row>
    <row r="7441" spans="1:21" x14ac:dyDescent="0.25">
      <c r="A7441">
        <v>8636561</v>
      </c>
      <c r="B7441">
        <v>66</v>
      </c>
      <c r="C7441" s="1">
        <f>0.33112411785944*(10.3/7.3)</f>
        <v>0.46720252245921029</v>
      </c>
      <c r="D7441" s="1">
        <f>0.836160414597646*(10.3/7.3)</f>
        <v>1.1797879822405144</v>
      </c>
      <c r="E7441" s="1">
        <f>2.82399525179691*(10.3/7.3)</f>
        <v>3.9845412456860463</v>
      </c>
      <c r="F7441" s="1">
        <f>8.94251365509507*(38.9/42.5)</f>
        <v>8.1850301454870191</v>
      </c>
      <c r="G7441" s="1">
        <v>0.50905109369142243</v>
      </c>
      <c r="H7441" s="1">
        <v>3.7502006729820692</v>
      </c>
      <c r="I7441" s="1">
        <v>6.3943223396961004</v>
      </c>
      <c r="J7441" s="1">
        <v>1.2309791263554562E-2</v>
      </c>
      <c r="K7441" s="1">
        <v>1.2697773156827028</v>
      </c>
      <c r="L7441" s="1">
        <v>0.95829637690136127</v>
      </c>
      <c r="M7441" s="1">
        <v>9.8685606888450919E-2</v>
      </c>
      <c r="N7441" s="1">
        <v>0.46879641689324769</v>
      </c>
      <c r="O7441" s="1">
        <v>0.10504808080808083</v>
      </c>
      <c r="P7441" s="1">
        <v>6.1043371689387782E-2</v>
      </c>
      <c r="Q7441" s="1">
        <v>0.81355197621916908</v>
      </c>
      <c r="R7441" s="2">
        <f t="shared" si="467"/>
        <v>25.28368797846155</v>
      </c>
      <c r="S7441" s="2">
        <f t="shared" si="466"/>
        <v>1.3431304786356453</v>
      </c>
      <c r="T7441" s="2">
        <f t="shared" si="468"/>
        <v>1.6308264814911408</v>
      </c>
      <c r="U7441" s="2">
        <f t="shared" si="469"/>
        <v>28.257644938588335</v>
      </c>
    </row>
    <row r="7442" spans="1:21" x14ac:dyDescent="0.25">
      <c r="A7442">
        <v>8636569</v>
      </c>
      <c r="B7442">
        <v>9</v>
      </c>
      <c r="C7442" s="1">
        <f>0.43147393973085*(10.3/7.3)</f>
        <v>0.60879199715448695</v>
      </c>
      <c r="D7442" s="1">
        <f>1.20053017208073*(10.3/7.3)</f>
        <v>1.6938987359495163</v>
      </c>
      <c r="E7442" s="1">
        <f>4.03197749744203*(10.3/7.3)</f>
        <v>5.6889545511853319</v>
      </c>
      <c r="F7442" s="1">
        <f>13.4934496893438*(38.9/42.5)</f>
        <v>12.35047512742287</v>
      </c>
      <c r="G7442" s="1">
        <v>0.79115713026833834</v>
      </c>
      <c r="H7442" s="1">
        <v>6.2131894105059144</v>
      </c>
      <c r="I7442" s="1">
        <v>9.6744302250786873</v>
      </c>
      <c r="J7442" s="1">
        <v>1.5092604297341605E-2</v>
      </c>
      <c r="K7442" s="1">
        <v>1.4328338008230341</v>
      </c>
      <c r="L7442" s="1">
        <v>1.13966228937516</v>
      </c>
      <c r="M7442" s="1">
        <v>0.11299096356764277</v>
      </c>
      <c r="N7442" s="1">
        <v>0.53240676676222898</v>
      </c>
      <c r="O7442" s="1">
        <v>0.12520296296296296</v>
      </c>
      <c r="P7442" s="1">
        <v>6.7910644669342865E-2</v>
      </c>
      <c r="Q7442" s="1">
        <v>1.2644063725749712</v>
      </c>
      <c r="R7442" s="2">
        <f t="shared" si="467"/>
        <v>38.285303550140121</v>
      </c>
      <c r="S7442" s="2">
        <f t="shared" si="466"/>
        <v>1.5158370497897187</v>
      </c>
      <c r="T7442" s="2">
        <f t="shared" si="468"/>
        <v>1.9102629826679947</v>
      </c>
      <c r="U7442" s="2">
        <f t="shared" si="469"/>
        <v>41.711403582597832</v>
      </c>
    </row>
    <row r="7443" spans="1:21" x14ac:dyDescent="0.25">
      <c r="A7443">
        <v>8636777</v>
      </c>
      <c r="B7443">
        <v>18</v>
      </c>
      <c r="C7443" s="1">
        <f>0.333728704886696*(10.3/7.3)</f>
        <v>0.47087748771684557</v>
      </c>
      <c r="D7443" s="1">
        <f>1.34181778231176*(10.3/7.3)</f>
        <v>1.8932497476453625</v>
      </c>
      <c r="E7443" s="1">
        <f>4.51960103761086*(10.3/7.3)</f>
        <v>6.376971327039981</v>
      </c>
      <c r="F7443" s="1">
        <f>12.9513867666848*(38.9/42.5)</f>
        <v>11.854328122918574</v>
      </c>
      <c r="G7443" s="1">
        <v>0.71486446635693834</v>
      </c>
      <c r="H7443" s="1">
        <v>3.4010372550185672</v>
      </c>
      <c r="I7443" s="1">
        <v>8.5636163234173175</v>
      </c>
      <c r="J7443" s="1">
        <v>1.2123304601457019E-2</v>
      </c>
      <c r="K7443" s="1">
        <v>1.0907254299410054</v>
      </c>
      <c r="L7443" s="1">
        <v>0.83039483128545966</v>
      </c>
      <c r="M7443" s="1">
        <v>8.3374172099293695E-2</v>
      </c>
      <c r="N7443" s="1">
        <v>0.4588670891746412</v>
      </c>
      <c r="O7443" s="1">
        <v>7.877333333333332E-2</v>
      </c>
      <c r="P7443" s="1">
        <v>5.0776685544169989E-2</v>
      </c>
      <c r="Q7443" s="1">
        <v>1.1424774576480763</v>
      </c>
      <c r="R7443" s="2">
        <f t="shared" si="467"/>
        <v>34.417422187761666</v>
      </c>
      <c r="S7443" s="2">
        <f t="shared" si="466"/>
        <v>1.1536254200866325</v>
      </c>
      <c r="T7443" s="2">
        <f t="shared" si="468"/>
        <v>1.4514094258927279</v>
      </c>
      <c r="U7443" s="2">
        <f t="shared" si="469"/>
        <v>37.022457033741027</v>
      </c>
    </row>
    <row r="7444" spans="1:21" x14ac:dyDescent="0.25">
      <c r="A7444">
        <v>8636785</v>
      </c>
      <c r="B7444">
        <v>68</v>
      </c>
      <c r="C7444" s="1">
        <f>0.337642507611388*(10.3/7.3)</f>
        <v>0.47639970252017733</v>
      </c>
      <c r="D7444" s="1">
        <f>1.31891625167476*(10.3/7.3)</f>
        <v>1.8609366290753511</v>
      </c>
      <c r="E7444" s="1">
        <f>4.43744629579706*(10.3/7.3)</f>
        <v>6.261054362562982</v>
      </c>
      <c r="F7444" s="1">
        <f>13.0701925374477*(38.9/42.5)</f>
        <v>11.963070346040341</v>
      </c>
      <c r="G7444" s="1">
        <v>0.7309909661230648</v>
      </c>
      <c r="H7444" s="1">
        <v>3.2835806655712516</v>
      </c>
      <c r="I7444" s="1">
        <v>8.7453468624905515</v>
      </c>
      <c r="J7444" s="1">
        <v>1.2718628861930549E-2</v>
      </c>
      <c r="K7444" s="1">
        <v>1.126622628446881</v>
      </c>
      <c r="L7444" s="1">
        <v>0.85813829484682258</v>
      </c>
      <c r="M7444" s="1">
        <v>8.4926063563126666E-2</v>
      </c>
      <c r="N7444" s="1">
        <v>0.5252148436746723</v>
      </c>
      <c r="O7444" s="1">
        <v>8.018117647058827E-2</v>
      </c>
      <c r="P7444" s="1">
        <v>5.1780793254303778E-2</v>
      </c>
      <c r="Q7444" s="1">
        <v>1.1682504024797853</v>
      </c>
      <c r="R7444" s="2">
        <f t="shared" si="467"/>
        <v>34.489629936863501</v>
      </c>
      <c r="S7444" s="2">
        <f t="shared" si="466"/>
        <v>1.1911220505631153</v>
      </c>
      <c r="T7444" s="2">
        <f t="shared" si="468"/>
        <v>1.5484603785552098</v>
      </c>
      <c r="U7444" s="2">
        <f t="shared" si="469"/>
        <v>37.22921236598183</v>
      </c>
    </row>
    <row r="7445" spans="1:21" x14ac:dyDescent="0.25">
      <c r="A7445">
        <v>8636793</v>
      </c>
      <c r="B7445">
        <v>69</v>
      </c>
      <c r="C7445" s="1">
        <f>0.348584989278955*(10.3/7.3)</f>
        <v>0.49183909446208757</v>
      </c>
      <c r="D7445" s="1">
        <f>1.29803841957382*(10.3/7.3)</f>
        <v>1.8314788659740175</v>
      </c>
      <c r="E7445" s="1">
        <f>4.35577581012536*(10.3/7.3)</f>
        <v>6.1458206636015325</v>
      </c>
      <c r="F7445" s="1">
        <f>13.581128301437*(38.9/42.5)</f>
        <v>12.43072684531532</v>
      </c>
      <c r="G7445" s="1">
        <v>0.77962214660667817</v>
      </c>
      <c r="H7445" s="1">
        <v>3.7294081961629244</v>
      </c>
      <c r="I7445" s="1">
        <v>9.2906494461861051</v>
      </c>
      <c r="J7445" s="1">
        <v>1.285014285664276E-2</v>
      </c>
      <c r="K7445" s="1">
        <v>1.1176792836791098</v>
      </c>
      <c r="L7445" s="1">
        <v>0.85085333684526465</v>
      </c>
      <c r="M7445" s="1">
        <v>8.4042846096542959E-2</v>
      </c>
      <c r="N7445" s="1">
        <v>0.4878560522429532</v>
      </c>
      <c r="O7445" s="1">
        <v>7.9041545893719783E-2</v>
      </c>
      <c r="P7445" s="1">
        <v>5.1235432208731613E-2</v>
      </c>
      <c r="Q7445" s="1">
        <v>1.2459714671796245</v>
      </c>
      <c r="R7445" s="2">
        <f t="shared" si="467"/>
        <v>35.945516725488282</v>
      </c>
      <c r="S7445" s="2">
        <f t="shared" si="466"/>
        <v>1.1817648587444842</v>
      </c>
      <c r="T7445" s="2">
        <f t="shared" si="468"/>
        <v>1.5017937810784805</v>
      </c>
      <c r="U7445" s="2">
        <f t="shared" si="469"/>
        <v>38.629075365311252</v>
      </c>
    </row>
    <row r="7446" spans="1:21" x14ac:dyDescent="0.25">
      <c r="A7446">
        <v>8636801</v>
      </c>
      <c r="B7446">
        <v>38</v>
      </c>
      <c r="C7446" s="1">
        <f>0.423749990169464*(10.3/7.3)</f>
        <v>0.59789382174595584</v>
      </c>
      <c r="D7446" s="1">
        <f>1.48460511907606*(10.3/7.3)</f>
        <v>2.0947168118470429</v>
      </c>
      <c r="E7446" s="1">
        <f>4.96887185893735*(10.3/7.3)</f>
        <v>7.010873992747217</v>
      </c>
      <c r="F7446" s="1">
        <f>16.4134758972841*(38.9/42.5)</f>
        <v>15.023157938925893</v>
      </c>
      <c r="G7446" s="1">
        <v>0.96503893524862017</v>
      </c>
      <c r="H7446" s="1">
        <v>5.8920136435374006</v>
      </c>
      <c r="I7446" s="1">
        <v>11.475713065274711</v>
      </c>
      <c r="J7446" s="1">
        <v>1.3199490256138658E-2</v>
      </c>
      <c r="K7446" s="1">
        <v>1.1414185447674094</v>
      </c>
      <c r="L7446" s="1">
        <v>0.87942893787655319</v>
      </c>
      <c r="M7446" s="1">
        <v>8.5371397830460549E-2</v>
      </c>
      <c r="N7446" s="1">
        <v>0.49698784277090735</v>
      </c>
      <c r="O7446" s="1">
        <v>8.0799999999999997E-2</v>
      </c>
      <c r="P7446" s="1">
        <v>5.2256782925019604E-2</v>
      </c>
      <c r="Q7446" s="1">
        <v>1.542299668205559</v>
      </c>
      <c r="R7446" s="2">
        <f t="shared" si="467"/>
        <v>44.601707877532405</v>
      </c>
      <c r="S7446" s="2">
        <f t="shared" si="466"/>
        <v>1.2068748179485678</v>
      </c>
      <c r="T7446" s="2">
        <f t="shared" si="468"/>
        <v>1.5425881784779212</v>
      </c>
      <c r="U7446" s="2">
        <f t="shared" si="469"/>
        <v>47.351170873958893</v>
      </c>
    </row>
    <row r="7447" spans="1:21" x14ac:dyDescent="0.25">
      <c r="A7447">
        <v>8648773</v>
      </c>
      <c r="B7447">
        <v>54</v>
      </c>
      <c r="C7447" s="1">
        <f>0.257604076952993*(10.3/7.3)</f>
        <v>0.36346876611175721</v>
      </c>
      <c r="D7447" s="1">
        <f>0.576298624040272*(10.3/7.3)</f>
        <v>0.81313367501572587</v>
      </c>
      <c r="E7447" s="1">
        <f>1.96314232487694*(10.3/7.3)</f>
        <v>2.7699131433195148</v>
      </c>
      <c r="F7447" s="1">
        <f>5.64534097352994*(38.9/42.5)</f>
        <v>5.1671473851838714</v>
      </c>
      <c r="G7447" s="1">
        <v>0.30360891817042296</v>
      </c>
      <c r="H7447" s="1">
        <v>1.098427343561948</v>
      </c>
      <c r="I7447" s="1">
        <v>4.0042048056953057</v>
      </c>
      <c r="J7447" s="1">
        <v>1.0552219121423243E-2</v>
      </c>
      <c r="K7447" s="1">
        <v>1.1466329318200439</v>
      </c>
      <c r="L7447" s="1">
        <v>0.84576894821445592</v>
      </c>
      <c r="M7447" s="1">
        <v>9.4882584229465772E-2</v>
      </c>
      <c r="N7447" s="1">
        <v>0.40626335219932408</v>
      </c>
      <c r="O7447" s="1">
        <v>9.5134814814814797E-2</v>
      </c>
      <c r="P7447" s="1">
        <v>5.5931251650206806E-2</v>
      </c>
      <c r="Q7447" s="1">
        <v>0.48521973223583609</v>
      </c>
      <c r="R7447" s="2">
        <f t="shared" si="467"/>
        <v>15.005123769294382</v>
      </c>
      <c r="S7447" s="2">
        <f t="shared" si="466"/>
        <v>1.2131164025916741</v>
      </c>
      <c r="T7447" s="2">
        <f t="shared" si="468"/>
        <v>1.4420496994580605</v>
      </c>
      <c r="U7447" s="2">
        <f t="shared" si="469"/>
        <v>17.660289871344116</v>
      </c>
    </row>
    <row r="7448" spans="1:21" x14ac:dyDescent="0.25">
      <c r="A7448">
        <v>8648781</v>
      </c>
      <c r="B7448">
        <v>63</v>
      </c>
      <c r="C7448" s="1">
        <f>0.332033119766477*(10.3/7.3)</f>
        <v>0.46848508679379625</v>
      </c>
      <c r="D7448" s="1">
        <f>0.790667184676318*(10.3/7.3)</f>
        <v>1.1155989044063124</v>
      </c>
      <c r="E7448" s="1">
        <f>2.6846879008659*(10.3/7.3)</f>
        <v>3.787984298482022</v>
      </c>
      <c r="F7448" s="1">
        <f>7.95139339599722*(38.9/42.5)</f>
        <v>7.2778636024539223</v>
      </c>
      <c r="G7448" s="1">
        <v>0.43623568386498296</v>
      </c>
      <c r="H7448" s="1">
        <v>1.5286773849763569</v>
      </c>
      <c r="I7448" s="1">
        <v>5.6326410359826662</v>
      </c>
      <c r="J7448" s="1">
        <v>1.2216789788997002E-2</v>
      </c>
      <c r="K7448" s="1">
        <v>1.2964175564234619</v>
      </c>
      <c r="L7448" s="1">
        <v>0.98309429642533686</v>
      </c>
      <c r="M7448" s="1">
        <v>0.1009402016032845</v>
      </c>
      <c r="N7448" s="1">
        <v>0.46826374176537056</v>
      </c>
      <c r="O7448" s="1">
        <v>0.10733291005291003</v>
      </c>
      <c r="P7448" s="1">
        <v>6.2519177908643503E-2</v>
      </c>
      <c r="Q7448" s="1">
        <v>0.69718031667919678</v>
      </c>
      <c r="R7448" s="2">
        <f t="shared" si="467"/>
        <v>20.944666313639257</v>
      </c>
      <c r="S7448" s="2">
        <f t="shared" si="466"/>
        <v>1.3711535241211026</v>
      </c>
      <c r="T7448" s="2">
        <f t="shared" si="468"/>
        <v>1.6596311498469021</v>
      </c>
      <c r="U7448" s="2">
        <f t="shared" si="469"/>
        <v>23.97545098760726</v>
      </c>
    </row>
    <row r="7449" spans="1:21" x14ac:dyDescent="0.25">
      <c r="A7449">
        <v>8648789</v>
      </c>
      <c r="B7449">
        <v>63</v>
      </c>
      <c r="C7449" s="1">
        <f>0.321985418679359*(10.3/7.3)</f>
        <v>0.45430819347909629</v>
      </c>
      <c r="D7449" s="1">
        <f>0.785456704210004*(10.3/7.3)</f>
        <v>1.1082471305976767</v>
      </c>
      <c r="E7449" s="1">
        <f>2.661383269857*(10.3/7.3)</f>
        <v>3.7551024218530284</v>
      </c>
      <c r="F7449" s="1">
        <f>8.09195590530024*(38.9/42.5)</f>
        <v>7.4065196403806937</v>
      </c>
      <c r="G7449" s="1">
        <v>0.45067281426528072</v>
      </c>
      <c r="H7449" s="1">
        <v>1.6204764067483437</v>
      </c>
      <c r="I7449" s="1">
        <v>5.7523911506443781</v>
      </c>
      <c r="J7449" s="1">
        <v>1.2358364619118802E-2</v>
      </c>
      <c r="K7449" s="1">
        <v>1.2967535929645455</v>
      </c>
      <c r="L7449" s="1">
        <v>0.98390578624891301</v>
      </c>
      <c r="M7449" s="1">
        <v>0.10118445731014093</v>
      </c>
      <c r="N7449" s="1">
        <v>0.5005095494718792</v>
      </c>
      <c r="O7449" s="1">
        <v>0.10818285714285711</v>
      </c>
      <c r="P7449" s="1">
        <v>6.2341880670928149E-2</v>
      </c>
      <c r="Q7449" s="1">
        <v>0.72025335613172781</v>
      </c>
      <c r="R7449" s="2">
        <f t="shared" si="467"/>
        <v>21.267971114100224</v>
      </c>
      <c r="S7449" s="2">
        <f t="shared" si="466"/>
        <v>1.3714538382545924</v>
      </c>
      <c r="T7449" s="2">
        <f t="shared" si="468"/>
        <v>1.6937826501737903</v>
      </c>
      <c r="U7449" s="2">
        <f t="shared" si="469"/>
        <v>24.333207602528606</v>
      </c>
    </row>
    <row r="7450" spans="1:21" x14ac:dyDescent="0.25">
      <c r="A7450">
        <v>8648797</v>
      </c>
      <c r="B7450">
        <v>60</v>
      </c>
      <c r="C7450" s="1">
        <f>0.337725563167563*(10.3/7.3)</f>
        <v>0.47651689049669832</v>
      </c>
      <c r="D7450" s="1">
        <f>0.864593013837568*(10.3/7.3)</f>
        <v>1.2199052113050619</v>
      </c>
      <c r="E7450" s="1">
        <f>2.91775188015365*(10.3/7.3)</f>
        <v>4.1168279952852904</v>
      </c>
      <c r="F7450" s="1">
        <f>9.30974198568074*(38.9/42.5)</f>
        <v>8.5211520763054303</v>
      </c>
      <c r="G7450" s="1">
        <v>0.5322186725520156</v>
      </c>
      <c r="H7450" s="1">
        <v>3.6618740154814833</v>
      </c>
      <c r="I7450" s="1">
        <v>6.6585009713951315</v>
      </c>
      <c r="J7450" s="1">
        <v>1.2563702004747875E-2</v>
      </c>
      <c r="K7450" s="1">
        <v>1.2763637785494455</v>
      </c>
      <c r="L7450" s="1">
        <v>0.97232658839091479</v>
      </c>
      <c r="M7450" s="1">
        <v>9.9112796637572942E-2</v>
      </c>
      <c r="N7450" s="1">
        <v>0.4690347296221728</v>
      </c>
      <c r="O7450" s="1">
        <v>0.10714133333333328</v>
      </c>
      <c r="P7450" s="1">
        <v>6.1305684875497597E-2</v>
      </c>
      <c r="Q7450" s="1">
        <v>0.85057778718358779</v>
      </c>
      <c r="R7450" s="2">
        <f t="shared" si="467"/>
        <v>26.0375736200047</v>
      </c>
      <c r="S7450" s="2">
        <f t="shared" si="466"/>
        <v>1.3502331654296909</v>
      </c>
      <c r="T7450" s="2">
        <f t="shared" si="468"/>
        <v>1.647615447983994</v>
      </c>
      <c r="U7450" s="2">
        <f t="shared" si="469"/>
        <v>29.035422233418387</v>
      </c>
    </row>
    <row r="7451" spans="1:21" x14ac:dyDescent="0.25">
      <c r="A7451">
        <v>8648805</v>
      </c>
      <c r="B7451">
        <v>39</v>
      </c>
      <c r="C7451" s="1">
        <f>0.36386101195988*(10.3/7.3)</f>
        <v>0.51339293468311809</v>
      </c>
      <c r="D7451" s="1">
        <f>1.01652685576983*(10.3/7.3)</f>
        <v>1.4342776184149659</v>
      </c>
      <c r="E7451" s="1">
        <f>3.40685333575415*(10.3/7.3)</f>
        <v>4.8069300490777689</v>
      </c>
      <c r="F7451" s="1">
        <f>11.7569726988547*(38.9/42.5)</f>
        <v>10.761087952598752</v>
      </c>
      <c r="G7451" s="1">
        <v>0.69854233808216881</v>
      </c>
      <c r="H7451" s="1">
        <v>4.0954665593771837</v>
      </c>
      <c r="I7451" s="1">
        <v>8.4877190285514246</v>
      </c>
      <c r="J7451" s="1">
        <v>1.3993215590535469E-2</v>
      </c>
      <c r="K7451" s="1">
        <v>1.3252635309689729</v>
      </c>
      <c r="L7451" s="1">
        <v>1.026869136566519</v>
      </c>
      <c r="M7451" s="1">
        <v>0.10420244419839629</v>
      </c>
      <c r="N7451" s="1">
        <v>0.49445368009230395</v>
      </c>
      <c r="O7451" s="1">
        <v>0.11323487179487178</v>
      </c>
      <c r="P7451" s="1">
        <v>6.3212664248570513E-2</v>
      </c>
      <c r="Q7451" s="1">
        <v>1.1163918645148827</v>
      </c>
      <c r="R7451" s="2">
        <f t="shared" si="467"/>
        <v>31.913808345300264</v>
      </c>
      <c r="S7451" s="2">
        <f t="shared" si="466"/>
        <v>1.4024694108080789</v>
      </c>
      <c r="T7451" s="2">
        <f t="shared" si="468"/>
        <v>1.7387601326520907</v>
      </c>
      <c r="U7451" s="2">
        <f t="shared" si="469"/>
        <v>35.055037888760431</v>
      </c>
    </row>
    <row r="7452" spans="1:21" x14ac:dyDescent="0.25">
      <c r="A7452">
        <v>8648813</v>
      </c>
      <c r="B7452">
        <v>14</v>
      </c>
      <c r="C7452" s="1">
        <f>0.458522062769967*(10.3/7.3)</f>
        <v>0.64695578719598079</v>
      </c>
      <c r="D7452" s="1">
        <f>1.52403944302751*(10.3/7.3)</f>
        <v>2.1503570223538868</v>
      </c>
      <c r="E7452" s="1">
        <f>5.04199814614466*(10.3/7.3)</f>
        <v>7.1140521788068565</v>
      </c>
      <c r="F7452" s="1">
        <f>19.9390666331783*(38.9/42.5)</f>
        <v>18.25011040072086</v>
      </c>
      <c r="G7452" s="1">
        <v>1.2540862626798666</v>
      </c>
      <c r="H7452" s="1">
        <v>6.9588265249685781</v>
      </c>
      <c r="I7452" s="1">
        <v>14.620897821082902</v>
      </c>
      <c r="J7452" s="1">
        <v>1.6336940637256041E-2</v>
      </c>
      <c r="K7452" s="1">
        <v>1.518246005501491</v>
      </c>
      <c r="L7452" s="1">
        <v>1.2131190862289152</v>
      </c>
      <c r="M7452" s="1">
        <v>0.11905938524667435</v>
      </c>
      <c r="N7452" s="1">
        <v>0.57609295001442862</v>
      </c>
      <c r="O7452" s="1">
        <v>0.13195428571428572</v>
      </c>
      <c r="P7452" s="1">
        <v>7.1374272313276449E-2</v>
      </c>
      <c r="Q7452" s="1">
        <v>2.0042474517714788</v>
      </c>
      <c r="R7452" s="2">
        <f t="shared" si="467"/>
        <v>52.999533449580412</v>
      </c>
      <c r="S7452" s="2">
        <f t="shared" si="466"/>
        <v>1.6059572184520234</v>
      </c>
      <c r="T7452" s="2">
        <f t="shared" si="468"/>
        <v>2.040225707204304</v>
      </c>
      <c r="U7452" s="2">
        <f t="shared" si="469"/>
        <v>56.645716375236745</v>
      </c>
    </row>
    <row r="7453" spans="1:21" x14ac:dyDescent="0.25">
      <c r="A7453">
        <v>8649013</v>
      </c>
      <c r="B7453">
        <v>14</v>
      </c>
      <c r="C7453" s="1">
        <f>0.323603558170486*(10.3/7.3)</f>
        <v>0.45659132180219281</v>
      </c>
      <c r="D7453" s="1">
        <f>1.2541069666916*(10.3/7.3)</f>
        <v>1.7694933913593747</v>
      </c>
      <c r="E7453" s="1">
        <f>4.22220328562633*(10.3/7.3)</f>
        <v>5.9573553208152266</v>
      </c>
      <c r="F7453" s="1">
        <f>12.3176404788029*(38.9/42.5)</f>
        <v>11.274263873539578</v>
      </c>
      <c r="G7453" s="1">
        <v>0.68535409983444706</v>
      </c>
      <c r="H7453" s="1">
        <v>3.1348190255032917</v>
      </c>
      <c r="I7453" s="1">
        <v>8.2216723060607126</v>
      </c>
      <c r="J7453" s="1">
        <v>1.2136775089575169E-2</v>
      </c>
      <c r="K7453" s="1">
        <v>1.0926857863590642</v>
      </c>
      <c r="L7453" s="1">
        <v>0.83269881940916746</v>
      </c>
      <c r="M7453" s="1">
        <v>8.3205270503694445E-2</v>
      </c>
      <c r="N7453" s="1">
        <v>0.4659383628879829</v>
      </c>
      <c r="O7453" s="1">
        <v>7.8651428571428567E-2</v>
      </c>
      <c r="P7453" s="1">
        <v>5.0833252650522943E-2</v>
      </c>
      <c r="Q7453" s="1">
        <v>1.0953147714249165</v>
      </c>
      <c r="R7453" s="2">
        <f t="shared" si="467"/>
        <v>32.594864110339742</v>
      </c>
      <c r="S7453" s="2">
        <f t="shared" si="466"/>
        <v>1.1556558140991622</v>
      </c>
      <c r="T7453" s="2">
        <f t="shared" si="468"/>
        <v>1.4604938813722734</v>
      </c>
      <c r="U7453" s="2">
        <f t="shared" si="469"/>
        <v>35.211013805811177</v>
      </c>
    </row>
    <row r="7454" spans="1:21" x14ac:dyDescent="0.25">
      <c r="A7454">
        <v>8649021</v>
      </c>
      <c r="B7454">
        <v>38</v>
      </c>
      <c r="C7454" s="1">
        <f>0.334844970081966*(10.3/7.3)</f>
        <v>0.47245249203345929</v>
      </c>
      <c r="D7454" s="1">
        <f>1.26683411130756*(10.3/7.3)</f>
        <v>1.787450869379154</v>
      </c>
      <c r="E7454" s="1">
        <f>4.25970978547276*(10.3/7.3)</f>
        <v>6.0102754507355343</v>
      </c>
      <c r="F7454" s="1">
        <f>12.7816592274792*(38.9/42.5)</f>
        <v>11.698977504680983</v>
      </c>
      <c r="G7454" s="1">
        <v>0.72071706029012872</v>
      </c>
      <c r="H7454" s="1">
        <v>3.1875162656956753</v>
      </c>
      <c r="I7454" s="1">
        <v>8.628605847450828</v>
      </c>
      <c r="J7454" s="1">
        <v>1.2342809750207625E-2</v>
      </c>
      <c r="K7454" s="1">
        <v>1.0977227868068773</v>
      </c>
      <c r="L7454" s="1">
        <v>0.83582427649908908</v>
      </c>
      <c r="M7454" s="1">
        <v>8.3154141569601589E-2</v>
      </c>
      <c r="N7454" s="1">
        <v>0.47379816367642047</v>
      </c>
      <c r="O7454" s="1">
        <v>7.8392982456140362E-2</v>
      </c>
      <c r="P7454" s="1">
        <v>5.0663453881312562E-2</v>
      </c>
      <c r="Q7454" s="1">
        <v>1.1518309182718964</v>
      </c>
      <c r="R7454" s="2">
        <f t="shared" si="467"/>
        <v>33.657826408537659</v>
      </c>
      <c r="S7454" s="2">
        <f t="shared" si="466"/>
        <v>1.1607290504383976</v>
      </c>
      <c r="T7454" s="2">
        <f t="shared" si="468"/>
        <v>1.4711695642012517</v>
      </c>
      <c r="U7454" s="2">
        <f t="shared" si="469"/>
        <v>36.289725023177311</v>
      </c>
    </row>
    <row r="7455" spans="1:21" x14ac:dyDescent="0.25">
      <c r="A7455">
        <v>8649029</v>
      </c>
      <c r="B7455">
        <v>28</v>
      </c>
      <c r="C7455" s="1">
        <f>0.366654635069348*(10.3/7.3)</f>
        <v>0.51733462208414904</v>
      </c>
      <c r="D7455" s="1">
        <f>1.33853907086187*(10.3/7.3)</f>
        <v>1.8886236205311384</v>
      </c>
      <c r="E7455" s="1">
        <f>4.48397369252524*(10.3/7.3)</f>
        <v>6.3267026072616419</v>
      </c>
      <c r="F7455" s="1">
        <f>14.4509165168756*(38.9/42.5)</f>
        <v>13.22683888250493</v>
      </c>
      <c r="G7455" s="1">
        <v>0.84162534950092305</v>
      </c>
      <c r="H7455" s="1">
        <v>4.0698925948963733</v>
      </c>
      <c r="I7455" s="1">
        <v>9.9989432479947986</v>
      </c>
      <c r="J7455" s="1">
        <v>1.2561095465297007E-2</v>
      </c>
      <c r="K7455" s="1">
        <v>1.0985263562672825</v>
      </c>
      <c r="L7455" s="1">
        <v>0.83937610443143418</v>
      </c>
      <c r="M7455" s="1">
        <v>8.2595967196089901E-2</v>
      </c>
      <c r="N7455" s="1">
        <v>0.47278361540976432</v>
      </c>
      <c r="O7455" s="1">
        <v>7.7918095238095231E-2</v>
      </c>
      <c r="P7455" s="1">
        <v>5.0634628228989294E-2</v>
      </c>
      <c r="Q7455" s="1">
        <v>1.3450633439512489</v>
      </c>
      <c r="R7455" s="2">
        <f t="shared" si="467"/>
        <v>38.215024268725195</v>
      </c>
      <c r="S7455" s="2">
        <f t="shared" si="466"/>
        <v>1.1617220799615688</v>
      </c>
      <c r="T7455" s="2">
        <f t="shared" si="468"/>
        <v>1.4726737822753835</v>
      </c>
      <c r="U7455" s="2">
        <f t="shared" si="469"/>
        <v>40.849420130962152</v>
      </c>
    </row>
    <row r="7456" spans="1:21" x14ac:dyDescent="0.25">
      <c r="A7456">
        <v>8649037</v>
      </c>
      <c r="B7456">
        <v>11</v>
      </c>
      <c r="C7456" s="1">
        <f>0.494606007307476*(10.3/7.3)</f>
        <v>0.69786875003657534</v>
      </c>
      <c r="D7456" s="1">
        <f>1.57605939364739*(10.3/7.3)</f>
        <v>2.2237550348723434</v>
      </c>
      <c r="E7456" s="1">
        <f>5.28416129113316*(10.3/7.3)</f>
        <v>7.4557344244755539</v>
      </c>
      <c r="F7456" s="1">
        <f>17.4290674100809*(38.9/42.5)</f>
        <v>15.95272287652112</v>
      </c>
      <c r="G7456" s="1">
        <v>1.0207455445667142</v>
      </c>
      <c r="H7456" s="1">
        <v>5.6481504285809416</v>
      </c>
      <c r="I7456" s="1">
        <v>12.285165236720898</v>
      </c>
      <c r="J7456" s="1">
        <v>1.3312087423782358E-2</v>
      </c>
      <c r="K7456" s="1">
        <v>1.1492681505017031</v>
      </c>
      <c r="L7456" s="1">
        <v>0.89060973731792004</v>
      </c>
      <c r="M7456" s="1">
        <v>8.6088285380911428E-2</v>
      </c>
      <c r="N7456" s="1">
        <v>0.50030407600531956</v>
      </c>
      <c r="O7456" s="1">
        <v>8.1818181818181818E-2</v>
      </c>
      <c r="P7456" s="1">
        <v>5.2695142592980318E-2</v>
      </c>
      <c r="Q7456" s="1">
        <v>1.6313284958828789</v>
      </c>
      <c r="R7456" s="2">
        <f t="shared" si="467"/>
        <v>46.915470791657022</v>
      </c>
      <c r="S7456" s="2">
        <f t="shared" si="466"/>
        <v>1.2152753805184657</v>
      </c>
      <c r="T7456" s="2">
        <f t="shared" si="468"/>
        <v>1.5588202805223328</v>
      </c>
      <c r="U7456" s="2">
        <f t="shared" si="469"/>
        <v>49.689566452697818</v>
      </c>
    </row>
    <row r="7457" spans="1:21" x14ac:dyDescent="0.25">
      <c r="A7457">
        <v>8661001</v>
      </c>
      <c r="B7457">
        <v>1</v>
      </c>
      <c r="C7457" s="1">
        <f>0.129046545391204*(10.3/7.3)</f>
        <v>0.18207937226430118</v>
      </c>
      <c r="D7457" s="1">
        <f>0.222270470876546*(10.3/7.3)</f>
        <v>0.31361450000389363</v>
      </c>
      <c r="E7457" s="1">
        <f>0.767388441262186*(10.3/7.3)</f>
        <v>1.0827535541096602</v>
      </c>
      <c r="F7457" s="1">
        <f>1.98019095434372*(38.9/42.5)</f>
        <v>1.81245713232872</v>
      </c>
      <c r="G7457" s="1">
        <v>9.7413076972644688E-2</v>
      </c>
      <c r="H7457" s="1">
        <v>0.46120250823344494</v>
      </c>
      <c r="I7457" s="1">
        <v>1.4317676987616494</v>
      </c>
      <c r="J7457" s="1">
        <v>8.8004045924708982E-3</v>
      </c>
      <c r="K7457" s="1">
        <v>0.97540651857144944</v>
      </c>
      <c r="L7457" s="1">
        <v>0.69644914607785091</v>
      </c>
      <c r="M7457" s="1">
        <v>8.0627587960942368E-2</v>
      </c>
      <c r="N7457" s="1">
        <v>0.34415127658698325</v>
      </c>
      <c r="O7457" s="1">
        <v>8.1386666666666677E-2</v>
      </c>
      <c r="P7457" s="1">
        <v>4.8320294295272161E-2</v>
      </c>
      <c r="Q7457" s="1">
        <v>0.15568299972797112</v>
      </c>
      <c r="R7457" s="2">
        <f t="shared" si="467"/>
        <v>5.536970842402285</v>
      </c>
      <c r="S7457" s="2">
        <f t="shared" si="466"/>
        <v>1.0325272174591924</v>
      </c>
      <c r="T7457" s="2">
        <f t="shared" si="468"/>
        <v>1.2026146772924433</v>
      </c>
      <c r="U7457" s="2">
        <f t="shared" si="469"/>
        <v>7.77211273715392</v>
      </c>
    </row>
    <row r="7458" spans="1:21" x14ac:dyDescent="0.25">
      <c r="A7458">
        <v>8661009</v>
      </c>
      <c r="B7458">
        <v>44</v>
      </c>
      <c r="C7458" s="1">
        <f>0.270339658631717*(10.3/7.3)</f>
        <v>0.38143814848036822</v>
      </c>
      <c r="D7458" s="1">
        <f>0.616087644911529*(10.3/7.3)</f>
        <v>0.8692743482998283</v>
      </c>
      <c r="E7458" s="1">
        <f>2.09675063572955*(10.3/7.3)</f>
        <v>2.9584289791800438</v>
      </c>
      <c r="F7458" s="1">
        <f>6.07792225833304*(38.9/42.5)</f>
        <v>5.5630864905683577</v>
      </c>
      <c r="G7458" s="1">
        <v>0.32871682849891742</v>
      </c>
      <c r="H7458" s="1">
        <v>1.1817417244833455</v>
      </c>
      <c r="I7458" s="1">
        <v>4.3081951350343166</v>
      </c>
      <c r="J7458" s="1">
        <v>1.1124330141140178E-2</v>
      </c>
      <c r="K7458" s="1">
        <v>1.2024409688503448</v>
      </c>
      <c r="L7458" s="1">
        <v>0.89563921999446083</v>
      </c>
      <c r="M7458" s="1">
        <v>9.5287892243752781E-2</v>
      </c>
      <c r="N7458" s="1">
        <v>0.42925292179486957</v>
      </c>
      <c r="O7458" s="1">
        <v>9.9490909090909074E-2</v>
      </c>
      <c r="P7458" s="1">
        <v>5.8337542810811424E-2</v>
      </c>
      <c r="Q7458" s="1">
        <v>0.5253465295644808</v>
      </c>
      <c r="R7458" s="2">
        <f t="shared" si="467"/>
        <v>16.116228184109659</v>
      </c>
      <c r="S7458" s="2">
        <f t="shared" si="466"/>
        <v>1.2719028418022964</v>
      </c>
      <c r="T7458" s="2">
        <f t="shared" si="468"/>
        <v>1.5196709431239923</v>
      </c>
      <c r="U7458" s="2">
        <f t="shared" si="469"/>
        <v>18.907801969035948</v>
      </c>
    </row>
    <row r="7459" spans="1:21" x14ac:dyDescent="0.25">
      <c r="A7459">
        <v>8661017</v>
      </c>
      <c r="B7459">
        <v>69</v>
      </c>
      <c r="C7459" s="1">
        <f>0.317523423461966*(10.3/7.3)</f>
        <v>0.44801250159702083</v>
      </c>
      <c r="D7459" s="1">
        <f>0.756120157682291*(10.3/7.3)</f>
        <v>1.0668544690585751</v>
      </c>
      <c r="E7459" s="1">
        <f>2.56692239772281*(10.3/7.3)</f>
        <v>3.6218220132253309</v>
      </c>
      <c r="F7459" s="1">
        <f>7.62634586726586*(38.9/42.5)</f>
        <v>6.9803495114504024</v>
      </c>
      <c r="G7459" s="1">
        <v>0.41909870471012556</v>
      </c>
      <c r="H7459" s="1">
        <v>1.4840928786005694</v>
      </c>
      <c r="I7459" s="1">
        <v>5.4067235637162785</v>
      </c>
      <c r="J7459" s="1">
        <v>1.1982684418971424E-2</v>
      </c>
      <c r="K7459" s="1">
        <v>1.2755595525571164</v>
      </c>
      <c r="L7459" s="1">
        <v>0.96365606210050447</v>
      </c>
      <c r="M7459" s="1">
        <v>9.8633947986576945E-2</v>
      </c>
      <c r="N7459" s="1">
        <v>0.46204583868300625</v>
      </c>
      <c r="O7459" s="1">
        <v>0.10543149758454105</v>
      </c>
      <c r="P7459" s="1">
        <v>6.1520367982202277E-2</v>
      </c>
      <c r="Q7459" s="1">
        <v>0.6697924504499726</v>
      </c>
      <c r="R7459" s="2">
        <f t="shared" si="467"/>
        <v>20.096746092808271</v>
      </c>
      <c r="S7459" s="2">
        <f t="shared" si="466"/>
        <v>1.3490626049582901</v>
      </c>
      <c r="T7459" s="2">
        <f t="shared" si="468"/>
        <v>1.6297673463546285</v>
      </c>
      <c r="U7459" s="2">
        <f t="shared" si="469"/>
        <v>23.075576044121192</v>
      </c>
    </row>
    <row r="7460" spans="1:21" x14ac:dyDescent="0.25">
      <c r="A7460">
        <v>8661025</v>
      </c>
      <c r="B7460">
        <v>64</v>
      </c>
      <c r="C7460" s="1">
        <f>0.278003947134868*(10.3/7.3)</f>
        <v>0.39225214458755348</v>
      </c>
      <c r="D7460" s="1">
        <f>0.66551764701021*(10.3/7.3)</f>
        <v>0.93901804989111859</v>
      </c>
      <c r="E7460" s="1">
        <f>2.25670184069258*(10.3/7.3)</f>
        <v>3.1841135560456983</v>
      </c>
      <c r="F7460" s="1">
        <f>6.82555536980959*(38.9/42.5)</f>
        <v>6.2473906796610157</v>
      </c>
      <c r="G7460" s="1">
        <v>0.37873270056265129</v>
      </c>
      <c r="H7460" s="1">
        <v>1.4411003810731173</v>
      </c>
      <c r="I7460" s="1">
        <v>4.8576488462803891</v>
      </c>
      <c r="J7460" s="1">
        <v>1.1744790199628208E-2</v>
      </c>
      <c r="K7460" s="1">
        <v>1.2409470045240496</v>
      </c>
      <c r="L7460" s="1">
        <v>0.93384375651437335</v>
      </c>
      <c r="M7460" s="1">
        <v>9.6780512950365716E-2</v>
      </c>
      <c r="N7460" s="1">
        <v>0.46585454204597332</v>
      </c>
      <c r="O7460" s="1">
        <v>0.10280750000000002</v>
      </c>
      <c r="P7460" s="1">
        <v>5.985560417147312E-2</v>
      </c>
      <c r="Q7460" s="1">
        <v>0.60528057167547067</v>
      </c>
      <c r="R7460" s="2">
        <f t="shared" si="467"/>
        <v>18.045536929777015</v>
      </c>
      <c r="S7460" s="2">
        <f t="shared" si="466"/>
        <v>1.3125473988951508</v>
      </c>
      <c r="T7460" s="2">
        <f t="shared" si="468"/>
        <v>1.5992863115107121</v>
      </c>
      <c r="U7460" s="2">
        <f t="shared" si="469"/>
        <v>20.95737064018288</v>
      </c>
    </row>
    <row r="7461" spans="1:21" x14ac:dyDescent="0.25">
      <c r="A7461">
        <v>8661033</v>
      </c>
      <c r="B7461">
        <v>67</v>
      </c>
      <c r="C7461" s="1">
        <f>0.334367160708284*(10.3/7.3)</f>
        <v>0.47177832264319464</v>
      </c>
      <c r="D7461" s="1">
        <f>0.858977469526239*(10.3/7.3)</f>
        <v>1.2119819090575701</v>
      </c>
      <c r="E7461" s="1">
        <f>2.89880896866*(10.3/7.3)</f>
        <v>4.0901003256435624</v>
      </c>
      <c r="F7461" s="1">
        <f>9.2371683806528*(38.9/42.5)</f>
        <v>8.4547258825269171</v>
      </c>
      <c r="G7461" s="1">
        <v>0.52782865466577222</v>
      </c>
      <c r="H7461" s="1">
        <v>2.1651866206557697</v>
      </c>
      <c r="I7461" s="1">
        <v>6.6017634775508487</v>
      </c>
      <c r="J7461" s="1">
        <v>1.242397393833666E-2</v>
      </c>
      <c r="K7461" s="1">
        <v>1.2657879030016663</v>
      </c>
      <c r="L7461" s="1">
        <v>0.95670917873043815</v>
      </c>
      <c r="M7461" s="1">
        <v>9.8264631695748728E-2</v>
      </c>
      <c r="N7461" s="1">
        <v>0.46596515356490603</v>
      </c>
      <c r="O7461" s="1">
        <v>0.10497671641791045</v>
      </c>
      <c r="P7461" s="1">
        <v>6.0779184297892565E-2</v>
      </c>
      <c r="Q7461" s="1">
        <v>0.84356177686310696</v>
      </c>
      <c r="R7461" s="2">
        <f t="shared" si="467"/>
        <v>24.366926969606741</v>
      </c>
      <c r="S7461" s="2">
        <f t="shared" si="466"/>
        <v>1.3389910612378957</v>
      </c>
      <c r="T7461" s="2">
        <f t="shared" si="468"/>
        <v>1.6259156804090036</v>
      </c>
      <c r="U7461" s="2">
        <f t="shared" si="469"/>
        <v>27.33183371125364</v>
      </c>
    </row>
    <row r="7462" spans="1:21" x14ac:dyDescent="0.25">
      <c r="A7462">
        <v>8661041</v>
      </c>
      <c r="B7462">
        <v>56</v>
      </c>
      <c r="C7462" s="1">
        <f>0.598371562184247*(10.3/7.3)</f>
        <v>0.84427768362982825</v>
      </c>
      <c r="D7462" s="1">
        <f>1.83937600234576*(10.3/7.3)</f>
        <v>2.5952839485152555</v>
      </c>
      <c r="E7462" s="1">
        <f>6.1394068737375*(10.3/7.3)</f>
        <v>8.6624507944515425</v>
      </c>
      <c r="F7462" s="1">
        <f>21.891165795318*(38.9/42.5)</f>
        <v>20.036855280891047</v>
      </c>
      <c r="G7462" s="1">
        <v>1.3225883345923444</v>
      </c>
      <c r="H7462" s="1">
        <v>5.4065568927025902</v>
      </c>
      <c r="I7462" s="1">
        <v>15.783333011807851</v>
      </c>
      <c r="J7462" s="1">
        <v>1.9610875421932673E-2</v>
      </c>
      <c r="K7462" s="1">
        <v>1.7989523385782455</v>
      </c>
      <c r="L7462" s="1">
        <v>1.495132834542962</v>
      </c>
      <c r="M7462" s="1">
        <v>0.14523503205457772</v>
      </c>
      <c r="N7462" s="1">
        <v>0.6909204402531941</v>
      </c>
      <c r="O7462" s="1">
        <v>0.16084476190476193</v>
      </c>
      <c r="P7462" s="1">
        <v>8.4087029848529699E-2</v>
      </c>
      <c r="Q7462" s="1">
        <v>2.1137256488918768</v>
      </c>
      <c r="R7462" s="2">
        <f t="shared" si="467"/>
        <v>56.765071595482347</v>
      </c>
      <c r="S7462" s="2">
        <f t="shared" si="466"/>
        <v>1.9026502438487078</v>
      </c>
      <c r="T7462" s="2">
        <f t="shared" si="468"/>
        <v>2.4921330687554959</v>
      </c>
      <c r="U7462" s="2">
        <f t="shared" si="469"/>
        <v>61.159854908086544</v>
      </c>
    </row>
    <row r="7463" spans="1:21" x14ac:dyDescent="0.25">
      <c r="A7463">
        <v>8661049</v>
      </c>
      <c r="B7463">
        <v>38</v>
      </c>
      <c r="C7463" s="1">
        <f>0.374923607205657*(10.3/7.3)</f>
        <v>0.52900180194770818</v>
      </c>
      <c r="D7463" s="1">
        <f>1.33565291748404*(10.3/7.3)</f>
        <v>1.884551376724054</v>
      </c>
      <c r="E7463" s="1">
        <f>4.37949993276201*(10.3/7.3)</f>
        <v>6.179294425677905</v>
      </c>
      <c r="F7463" s="1">
        <f>19.1063555032051*(38.9/42.5)</f>
        <v>17.487934801757106</v>
      </c>
      <c r="G7463" s="1">
        <v>1.2418344711790008</v>
      </c>
      <c r="H7463" s="1">
        <v>4.1271852162787885</v>
      </c>
      <c r="I7463" s="1">
        <v>14.227342237757087</v>
      </c>
      <c r="J7463" s="1">
        <v>1.4048131007582329E-2</v>
      </c>
      <c r="K7463" s="1">
        <v>1.3097407949518955</v>
      </c>
      <c r="L7463" s="1">
        <v>1.0026217538745841</v>
      </c>
      <c r="M7463" s="1">
        <v>0.10295589186271843</v>
      </c>
      <c r="N7463" s="1">
        <v>0.48639075477300264</v>
      </c>
      <c r="O7463" s="1">
        <v>0.10963789473684213</v>
      </c>
      <c r="P7463" s="1">
        <v>6.2396916760966835E-2</v>
      </c>
      <c r="Q7463" s="1">
        <v>1.9846669630714648</v>
      </c>
      <c r="R7463" s="2">
        <f t="shared" si="467"/>
        <v>47.661811294393111</v>
      </c>
      <c r="S7463" s="2">
        <f t="shared" si="466"/>
        <v>1.3861858427204448</v>
      </c>
      <c r="T7463" s="2">
        <f t="shared" si="468"/>
        <v>1.7016062952471473</v>
      </c>
      <c r="U7463" s="2">
        <f t="shared" si="469"/>
        <v>50.749603432360701</v>
      </c>
    </row>
    <row r="7464" spans="1:21" x14ac:dyDescent="0.25">
      <c r="A7464">
        <v>8661057</v>
      </c>
      <c r="B7464">
        <v>2</v>
      </c>
      <c r="C7464" s="1">
        <f>0.531918707931953*(10.3/7.3)</f>
        <v>0.75051543721905634</v>
      </c>
      <c r="D7464" s="1">
        <f>1.93540736104736*(10.3/7.3)</f>
        <v>2.7307802491490079</v>
      </c>
      <c r="E7464" s="1">
        <f>6.32736121600366*(10.3/7.3)</f>
        <v>8.9276466472380385</v>
      </c>
      <c r="F7464" s="1">
        <f>28.477216796223*(38.9/42.5)</f>
        <v>26.065029020542926</v>
      </c>
      <c r="G7464" s="1">
        <v>1.868541398258186</v>
      </c>
      <c r="H7464" s="1">
        <v>6.3789043199949882</v>
      </c>
      <c r="I7464" s="1">
        <v>21.305260411890053</v>
      </c>
      <c r="J7464" s="1">
        <v>2.0036408141585142E-2</v>
      </c>
      <c r="K7464" s="1">
        <v>1.5280606125185261</v>
      </c>
      <c r="L7464" s="1">
        <v>1.2391716264186032</v>
      </c>
      <c r="M7464" s="1">
        <v>0.12015965846469157</v>
      </c>
      <c r="N7464" s="1">
        <v>0.58547555545835062</v>
      </c>
      <c r="O7464" s="1">
        <v>0.13352</v>
      </c>
      <c r="P7464" s="1">
        <v>7.1609654309885779E-2</v>
      </c>
      <c r="Q7464" s="1">
        <v>2.9862533762117156</v>
      </c>
      <c r="R7464" s="2">
        <f t="shared" si="467"/>
        <v>71.012930860503985</v>
      </c>
      <c r="S7464" s="2">
        <f t="shared" si="466"/>
        <v>1.6197066749699971</v>
      </c>
      <c r="T7464" s="2">
        <f t="shared" si="468"/>
        <v>2.0783268403416453</v>
      </c>
      <c r="U7464" s="2">
        <f t="shared" si="469"/>
        <v>74.710964375815621</v>
      </c>
    </row>
    <row r="7465" spans="1:21" x14ac:dyDescent="0.25">
      <c r="A7465">
        <v>8661249</v>
      </c>
      <c r="B7465">
        <v>17</v>
      </c>
      <c r="C7465" s="1">
        <f>0.346717703573131*(10.3/7.3)</f>
        <v>0.48920443106893857</v>
      </c>
      <c r="D7465" s="1">
        <f>1.36707690582392*(10.3/7.3)</f>
        <v>1.9288893328748518</v>
      </c>
      <c r="E7465" s="1">
        <f>4.59621719399243*(10.3/7.3)</f>
        <v>6.4850735750852166</v>
      </c>
      <c r="F7465" s="1">
        <f>13.6729179391532*(38.9/42.5)</f>
        <v>12.514741360777887</v>
      </c>
      <c r="G7465" s="1">
        <v>0.76876825257076675</v>
      </c>
      <c r="H7465" s="1">
        <v>3.397636454875502</v>
      </c>
      <c r="I7465" s="1">
        <v>9.1707663924824683</v>
      </c>
      <c r="J7465" s="1">
        <v>1.2587838346119814E-2</v>
      </c>
      <c r="K7465" s="1">
        <v>1.1301607597288181</v>
      </c>
      <c r="L7465" s="1">
        <v>0.87009989184142544</v>
      </c>
      <c r="M7465" s="1">
        <v>8.6011775970163323E-2</v>
      </c>
      <c r="N7465" s="1">
        <v>0.48796756458709667</v>
      </c>
      <c r="O7465" s="1">
        <v>8.1361568627450975E-2</v>
      </c>
      <c r="P7465" s="1">
        <v>5.2258097468594777E-2</v>
      </c>
      <c r="Q7465" s="1">
        <v>1.2286250611861584</v>
      </c>
      <c r="R7465" s="2">
        <f t="shared" si="467"/>
        <v>35.98370486092179</v>
      </c>
      <c r="S7465" s="2">
        <f t="shared" si="466"/>
        <v>1.1950066955435328</v>
      </c>
      <c r="T7465" s="2">
        <f t="shared" si="468"/>
        <v>1.5254408010261364</v>
      </c>
      <c r="U7465" s="2">
        <f t="shared" si="469"/>
        <v>38.704152357491459</v>
      </c>
    </row>
    <row r="7466" spans="1:21" x14ac:dyDescent="0.25">
      <c r="A7466">
        <v>8661257</v>
      </c>
      <c r="B7466">
        <v>3</v>
      </c>
      <c r="C7466" s="1">
        <f>0.351452690287649*(10.3/7.3)</f>
        <v>0.49588530273462766</v>
      </c>
      <c r="D7466" s="1">
        <f>1.30741184254045*(10.3/7.3)</f>
        <v>1.8447043805707717</v>
      </c>
      <c r="E7466" s="1">
        <f>4.3891994514386*(10.3/7.3)</f>
        <v>6.1929800479202157</v>
      </c>
      <c r="F7466" s="1">
        <f>13.5872558797839*(38.9/42.5)</f>
        <v>12.436335381731613</v>
      </c>
      <c r="G7466" s="1">
        <v>0.77731608287383314</v>
      </c>
      <c r="H7466" s="1">
        <v>3.3697231088335822</v>
      </c>
      <c r="I7466" s="1">
        <v>9.2755231190034326</v>
      </c>
      <c r="J7466" s="1">
        <v>1.2265687660865901E-2</v>
      </c>
      <c r="K7466" s="1">
        <v>1.0883785574199425</v>
      </c>
      <c r="L7466" s="1">
        <v>0.83210555458688573</v>
      </c>
      <c r="M7466" s="1">
        <v>8.2585227242781847E-2</v>
      </c>
      <c r="N7466" s="1">
        <v>0.46214607000595231</v>
      </c>
      <c r="O7466" s="1">
        <v>7.7884444444444451E-2</v>
      </c>
      <c r="P7466" s="1">
        <v>5.0362233191500773E-2</v>
      </c>
      <c r="Q7466" s="1">
        <v>1.2422859771956249</v>
      </c>
      <c r="R7466" s="2">
        <f t="shared" si="467"/>
        <v>35.634753400863708</v>
      </c>
      <c r="S7466" s="2">
        <f t="shared" si="466"/>
        <v>1.1510064782723093</v>
      </c>
      <c r="T7466" s="2">
        <f t="shared" si="468"/>
        <v>1.4547212962800642</v>
      </c>
      <c r="U7466" s="2">
        <f t="shared" si="469"/>
        <v>38.240481175416079</v>
      </c>
    </row>
    <row r="7467" spans="1:21" x14ac:dyDescent="0.25">
      <c r="A7467">
        <v>8661265</v>
      </c>
      <c r="B7467">
        <v>4</v>
      </c>
      <c r="C7467" s="1">
        <f>0.403270454347512*(10.3/7.3)</f>
        <v>0.5689980383259412</v>
      </c>
      <c r="D7467" s="1">
        <f>1.38524630632336*(10.3/7.3)</f>
        <v>1.9545256102918576</v>
      </c>
      <c r="E7467" s="1">
        <f>4.64339513041883*(10.3/7.3)</f>
        <v>6.5516397045635522</v>
      </c>
      <c r="F7467" s="1">
        <f>15.0515688610606*(38.9/42.5)</f>
        <v>13.776612439888364</v>
      </c>
      <c r="G7467" s="1">
        <v>0.87708249555334727</v>
      </c>
      <c r="H7467" s="1">
        <v>3.8293580435988872</v>
      </c>
      <c r="I7467" s="1">
        <v>10.487273673775396</v>
      </c>
      <c r="J7467" s="1">
        <v>1.2411370989863731E-2</v>
      </c>
      <c r="K7467" s="1">
        <v>1.0896873709086807</v>
      </c>
      <c r="L7467" s="1">
        <v>0.83471827840343649</v>
      </c>
      <c r="M7467" s="1">
        <v>8.1876951010016824E-2</v>
      </c>
      <c r="N7467" s="1">
        <v>0.46515208935518471</v>
      </c>
      <c r="O7467" s="1">
        <v>7.7453333333333332E-2</v>
      </c>
      <c r="P7467" s="1">
        <v>5.0352413017248521E-2</v>
      </c>
      <c r="Q7467" s="1">
        <v>1.4017300157245289</v>
      </c>
      <c r="R7467" s="2">
        <f t="shared" si="467"/>
        <v>39.447220021721876</v>
      </c>
      <c r="S7467" s="2">
        <f t="shared" si="466"/>
        <v>1.152451154915793</v>
      </c>
      <c r="T7467" s="2">
        <f t="shared" si="468"/>
        <v>1.4592006521019714</v>
      </c>
      <c r="U7467" s="2">
        <f t="shared" si="469"/>
        <v>42.05887182873964</v>
      </c>
    </row>
    <row r="7468" spans="1:21" x14ac:dyDescent="0.25">
      <c r="A7468">
        <v>8661281</v>
      </c>
      <c r="B7468">
        <v>27</v>
      </c>
      <c r="C7468" s="1">
        <f>0.382516500905481*(10.3/7.3)</f>
        <v>0.53971506292143212</v>
      </c>
      <c r="D7468" s="1">
        <f>1.42430514990312*(10.3/7.3)</f>
        <v>2.0096360334249561</v>
      </c>
      <c r="E7468" s="1">
        <f>4.74501403130027*(10.3/7.3)</f>
        <v>6.6950197975880581</v>
      </c>
      <c r="F7468" s="1">
        <f>16.5733016468728*(38.9/42.5)</f>
        <v>15.169445507373013</v>
      </c>
      <c r="G7468" s="1">
        <v>0.99910267378245321</v>
      </c>
      <c r="H7468" s="1">
        <v>5.3871030749147328</v>
      </c>
      <c r="I7468" s="1">
        <v>11.702719179558786</v>
      </c>
      <c r="J7468" s="1">
        <v>1.3422353573944687E-2</v>
      </c>
      <c r="K7468" s="1">
        <v>1.1292300410468976</v>
      </c>
      <c r="L7468" s="1">
        <v>0.87106248512265627</v>
      </c>
      <c r="M7468" s="1">
        <v>8.3424006838865611E-2</v>
      </c>
      <c r="N7468" s="1">
        <v>0.49964487082194392</v>
      </c>
      <c r="O7468" s="1">
        <v>7.893728395061729E-2</v>
      </c>
      <c r="P7468" s="1">
        <v>5.1378698437107684E-2</v>
      </c>
      <c r="Q7468" s="1">
        <v>1.596739432985657</v>
      </c>
      <c r="R7468" s="2">
        <f t="shared" si="467"/>
        <v>44.099480762549085</v>
      </c>
      <c r="S7468" s="2">
        <f t="shared" si="466"/>
        <v>1.1940310930579499</v>
      </c>
      <c r="T7468" s="2">
        <f t="shared" si="468"/>
        <v>1.5330686467340831</v>
      </c>
      <c r="U7468" s="2">
        <f t="shared" si="469"/>
        <v>46.826580502341116</v>
      </c>
    </row>
    <row r="7469" spans="1:21" x14ac:dyDescent="0.25">
      <c r="A7469">
        <v>8661401</v>
      </c>
      <c r="B7469">
        <v>26</v>
      </c>
      <c r="C7469" s="1">
        <f>0.477475281730583*(10.3/7.3)</f>
        <v>0.67369800025000059</v>
      </c>
      <c r="D7469" s="1">
        <f>1.44193781798581*(10.3/7.3)</f>
        <v>2.0345150034594344</v>
      </c>
      <c r="E7469" s="1">
        <f>4.86543589182501*(10.3/7.3)</f>
        <v>6.8649300939448823</v>
      </c>
      <c r="F7469" s="1">
        <f>14.6966762362987*(38.9/42.5)</f>
        <v>13.451781308047494</v>
      </c>
      <c r="G7469" s="1">
        <v>0.82419846980481326</v>
      </c>
      <c r="H7469" s="1">
        <v>5.8180661530832891</v>
      </c>
      <c r="I7469" s="1">
        <v>10.167136086680129</v>
      </c>
      <c r="J7469" s="1">
        <v>1.443374718061181E-2</v>
      </c>
      <c r="K7469" s="1">
        <v>1.1785065962553589</v>
      </c>
      <c r="L7469" s="1">
        <v>0.96463428982515675</v>
      </c>
      <c r="M7469" s="1">
        <v>7.9741644481976834E-2</v>
      </c>
      <c r="N7469" s="1">
        <v>0.56278148886340995</v>
      </c>
      <c r="O7469" s="1">
        <v>7.6180512820512802E-2</v>
      </c>
      <c r="P7469" s="1">
        <v>5.1775993895080176E-2</v>
      </c>
      <c r="Q7469" s="1">
        <v>1.317212166354726</v>
      </c>
      <c r="R7469" s="2">
        <f t="shared" si="467"/>
        <v>41.151537281624769</v>
      </c>
      <c r="S7469" s="2">
        <f t="shared" si="466"/>
        <v>1.2447163373310508</v>
      </c>
      <c r="T7469" s="2">
        <f t="shared" si="468"/>
        <v>1.6833379359910563</v>
      </c>
      <c r="U7469" s="2">
        <f t="shared" si="469"/>
        <v>44.079591554946873</v>
      </c>
    </row>
    <row r="7470" spans="1:21" x14ac:dyDescent="0.25">
      <c r="A7470">
        <v>8673245</v>
      </c>
      <c r="B7470">
        <v>21</v>
      </c>
      <c r="C7470" s="1">
        <f>0.28320823414029*(10.3/7.3)</f>
        <v>0.39959517967739544</v>
      </c>
      <c r="D7470" s="1">
        <f>0.653458834086784*(10.3/7.3)</f>
        <v>0.92200356042381904</v>
      </c>
      <c r="E7470" s="1">
        <f>2.22220806374084*(10.3/7.3)</f>
        <v>3.1354442543192662</v>
      </c>
      <c r="F7470" s="1">
        <f>6.49489447291388*(38.9/42.5)</f>
        <v>5.9447387057964676</v>
      </c>
      <c r="G7470" s="1">
        <v>0.35313319738597754</v>
      </c>
      <c r="H7470" s="1">
        <v>1.265319710446309</v>
      </c>
      <c r="I7470" s="1">
        <v>4.6053457180192527</v>
      </c>
      <c r="J7470" s="1">
        <v>1.1364916120404973E-2</v>
      </c>
      <c r="K7470" s="1">
        <v>1.2233061826047977</v>
      </c>
      <c r="L7470" s="1">
        <v>0.91545403181546958</v>
      </c>
      <c r="M7470" s="1">
        <v>9.5019797260271349E-2</v>
      </c>
      <c r="N7470" s="1">
        <v>0.43918445099275255</v>
      </c>
      <c r="O7470" s="1">
        <v>0.1008863492063492</v>
      </c>
      <c r="P7470" s="1">
        <v>5.9402737584237988E-2</v>
      </c>
      <c r="Q7470" s="1">
        <v>0.56436812367622036</v>
      </c>
      <c r="R7470" s="2">
        <f t="shared" si="467"/>
        <v>17.189948449744708</v>
      </c>
      <c r="S7470" s="2">
        <f t="shared" si="466"/>
        <v>1.2940738363094408</v>
      </c>
      <c r="T7470" s="2">
        <f t="shared" si="468"/>
        <v>1.5505446292748426</v>
      </c>
      <c r="U7470" s="2">
        <f t="shared" si="469"/>
        <v>20.034566915328991</v>
      </c>
    </row>
    <row r="7471" spans="1:21" x14ac:dyDescent="0.25">
      <c r="A7471">
        <v>8673253</v>
      </c>
      <c r="B7471">
        <v>42</v>
      </c>
      <c r="C7471" s="1">
        <f>0.314411552258692*(10.3/7.3)</f>
        <v>0.443621779214319</v>
      </c>
      <c r="D7471" s="1">
        <f>0.753355886368363*(10.3/7.3)</f>
        <v>1.0629541958348139</v>
      </c>
      <c r="E7471" s="1">
        <f>2.5561670744782*(10.3/7.3)</f>
        <v>3.6066466941267787</v>
      </c>
      <c r="F7471" s="1">
        <f>7.6452869986074*(38.9/42.5)</f>
        <v>6.9976862175488943</v>
      </c>
      <c r="G7471" s="1">
        <v>0.42177130395584889</v>
      </c>
      <c r="H7471" s="1">
        <v>1.5008476240343283</v>
      </c>
      <c r="I7471" s="1">
        <v>5.4249247727070502</v>
      </c>
      <c r="J7471" s="1">
        <v>1.1752462063564251E-2</v>
      </c>
      <c r="K7471" s="1">
        <v>1.2504981788868907</v>
      </c>
      <c r="L7471" s="1">
        <v>0.93946229789979385</v>
      </c>
      <c r="M7471" s="1">
        <v>9.6807595398336416E-2</v>
      </c>
      <c r="N7471" s="1">
        <v>0.46993620651052492</v>
      </c>
      <c r="O7471" s="1">
        <v>0.1035034920634921</v>
      </c>
      <c r="P7471" s="1">
        <v>6.028166390589592E-2</v>
      </c>
      <c r="Q7471" s="1">
        <v>0.67406372778332091</v>
      </c>
      <c r="R7471" s="2">
        <f t="shared" si="467"/>
        <v>20.132516315205354</v>
      </c>
      <c r="S7471" s="2">
        <f t="shared" si="466"/>
        <v>1.3225323048563509</v>
      </c>
      <c r="T7471" s="2">
        <f t="shared" si="468"/>
        <v>1.6097095918721473</v>
      </c>
      <c r="U7471" s="2">
        <f t="shared" si="469"/>
        <v>23.064758211933853</v>
      </c>
    </row>
    <row r="7472" spans="1:21" x14ac:dyDescent="0.25">
      <c r="A7472">
        <v>8673261</v>
      </c>
      <c r="B7472">
        <v>55</v>
      </c>
      <c r="C7472" s="1">
        <f>0.307187263050933*(10.3/7.3)</f>
        <v>0.4334286040307686</v>
      </c>
      <c r="D7472" s="1">
        <f>0.75037269333639*(10.3/7.3)</f>
        <v>1.058745033063673</v>
      </c>
      <c r="E7472" s="1">
        <f>2.54190922522527*(10.3/7.3)</f>
        <v>3.5865294547699005</v>
      </c>
      <c r="F7472" s="1">
        <f>7.7553113524461*(38.9/42.5)</f>
        <v>7.0983908614153686</v>
      </c>
      <c r="G7472" s="1">
        <v>0.43271269395666889</v>
      </c>
      <c r="H7472" s="1">
        <v>1.6283199937448649</v>
      </c>
      <c r="I7472" s="1">
        <v>5.5169166091516013</v>
      </c>
      <c r="J7472" s="1">
        <v>1.1813696453369717E-2</v>
      </c>
      <c r="K7472" s="1">
        <v>1.2441398667804777</v>
      </c>
      <c r="L7472" s="1">
        <v>0.93532759556200873</v>
      </c>
      <c r="M7472" s="1">
        <v>9.6316701328640536E-2</v>
      </c>
      <c r="N7472" s="1">
        <v>0.45612237880079631</v>
      </c>
      <c r="O7472" s="1">
        <v>0.10235345454545455</v>
      </c>
      <c r="P7472" s="1">
        <v>5.9908580014846342E-2</v>
      </c>
      <c r="Q7472" s="1">
        <v>0.69154996751065922</v>
      </c>
      <c r="R7472" s="2">
        <f t="shared" si="467"/>
        <v>20.446593217643507</v>
      </c>
      <c r="S7472" s="2">
        <f t="shared" si="466"/>
        <v>1.3158621432486939</v>
      </c>
      <c r="T7472" s="2">
        <f t="shared" si="468"/>
        <v>1.5901201302369001</v>
      </c>
      <c r="U7472" s="2">
        <f t="shared" si="469"/>
        <v>23.352575491129102</v>
      </c>
    </row>
    <row r="7473" spans="1:21" x14ac:dyDescent="0.25">
      <c r="A7473">
        <v>8673269</v>
      </c>
      <c r="B7473">
        <v>50</v>
      </c>
      <c r="C7473" s="1">
        <f>0.361692772639525*(10.3/7.3)</f>
        <v>0.51033363810782251</v>
      </c>
      <c r="D7473" s="1">
        <f>0.956232670772741*(10.3/7.3)</f>
        <v>1.349205001227292</v>
      </c>
      <c r="E7473" s="1">
        <f>3.22231462451475*(10.3/7.3)</f>
        <v>4.546553511301636</v>
      </c>
      <c r="F7473" s="1">
        <f>10.4050206649749*(38.9/42.5)</f>
        <v>9.523654208647601</v>
      </c>
      <c r="G7473" s="1">
        <v>0.59904911482946344</v>
      </c>
      <c r="H7473" s="1">
        <v>2.2495798963141889</v>
      </c>
      <c r="I7473" s="1">
        <v>7.4361693383061027</v>
      </c>
      <c r="J7473" s="1">
        <v>1.3009492991481233E-2</v>
      </c>
      <c r="K7473" s="1">
        <v>1.3194516928960969</v>
      </c>
      <c r="L7473" s="1">
        <v>1.0109931420627596</v>
      </c>
      <c r="M7473" s="1">
        <v>0.10355014290783374</v>
      </c>
      <c r="N7473" s="1">
        <v>0.48530896052345973</v>
      </c>
      <c r="O7473" s="1">
        <v>0.1104373333333333</v>
      </c>
      <c r="P7473" s="1">
        <v>6.3100417328259079E-2</v>
      </c>
      <c r="Q7473" s="1">
        <v>0.95738443009275076</v>
      </c>
      <c r="R7473" s="2">
        <f t="shared" si="467"/>
        <v>27.171929138826854</v>
      </c>
      <c r="S7473" s="2">
        <f t="shared" si="466"/>
        <v>1.3955616032158371</v>
      </c>
      <c r="T7473" s="2">
        <f t="shared" si="468"/>
        <v>1.7102895788273864</v>
      </c>
      <c r="U7473" s="2">
        <f t="shared" si="469"/>
        <v>30.277780320870079</v>
      </c>
    </row>
    <row r="7474" spans="1:21" x14ac:dyDescent="0.25">
      <c r="A7474">
        <v>8673277</v>
      </c>
      <c r="B7474">
        <v>51</v>
      </c>
      <c r="C7474" s="1">
        <f>0.564309984358033*(10.3/7.3)</f>
        <v>0.79621819710790998</v>
      </c>
      <c r="D7474" s="1">
        <f>1.7343093787288*(10.3/7.3)</f>
        <v>2.4470392603981663</v>
      </c>
      <c r="E7474" s="1">
        <f>5.78750849679104*(10.3/7.3)</f>
        <v>8.1659366461572223</v>
      </c>
      <c r="F7474" s="1">
        <f>20.7005898593418*(38.9/42.5)</f>
        <v>18.947128130079946</v>
      </c>
      <c r="G7474" s="1">
        <v>1.2521761422378588</v>
      </c>
      <c r="H7474" s="1">
        <v>6.8693967408873302</v>
      </c>
      <c r="I7474" s="1">
        <v>14.936068632526815</v>
      </c>
      <c r="J7474" s="1">
        <v>1.779416615615308E-2</v>
      </c>
      <c r="K7474" s="1">
        <v>1.6911685120751485</v>
      </c>
      <c r="L7474" s="1">
        <v>1.3831039809839758</v>
      </c>
      <c r="M7474" s="1">
        <v>0.13575677397841962</v>
      </c>
      <c r="N7474" s="1">
        <v>0.63750907534998802</v>
      </c>
      <c r="O7474" s="1">
        <v>0.14895372549019609</v>
      </c>
      <c r="P7474" s="1">
        <v>7.9268237392453492E-2</v>
      </c>
      <c r="Q7474" s="1">
        <v>2.0011947478687264</v>
      </c>
      <c r="R7474" s="2">
        <f t="shared" si="467"/>
        <v>55.415158497263974</v>
      </c>
      <c r="S7474" s="2">
        <f t="shared" si="466"/>
        <v>1.7882309156237552</v>
      </c>
      <c r="T7474" s="2">
        <f t="shared" si="468"/>
        <v>2.3053235558025795</v>
      </c>
      <c r="U7474" s="2">
        <f t="shared" si="469"/>
        <v>59.508712968690311</v>
      </c>
    </row>
    <row r="7475" spans="1:21" x14ac:dyDescent="0.25">
      <c r="A7475">
        <v>8673285</v>
      </c>
      <c r="B7475">
        <v>45</v>
      </c>
      <c r="C7475" s="1">
        <f>0.525163678889252*(10.3/7.3)</f>
        <v>0.74098436884373975</v>
      </c>
      <c r="D7475" s="1">
        <f>1.8604447612972*(10.3/7.3)</f>
        <v>2.6250111015563236</v>
      </c>
      <c r="E7475" s="1">
        <f>6.12181982298074*(10.3/7.3)</f>
        <v>8.6376361885892585</v>
      </c>
      <c r="F7475" s="1">
        <f>25.5974112887225*(38.9/42.5)</f>
        <v>23.429159979560161</v>
      </c>
      <c r="G7475" s="1">
        <v>1.6421562256542115</v>
      </c>
      <c r="H7475" s="1">
        <v>5.0867684394783987</v>
      </c>
      <c r="I7475" s="1">
        <v>18.90681036058626</v>
      </c>
      <c r="J7475" s="1">
        <v>2.0066582034969808E-2</v>
      </c>
      <c r="K7475" s="1">
        <v>1.5911215939984926</v>
      </c>
      <c r="L7475" s="1">
        <v>1.2928042275356824</v>
      </c>
      <c r="M7475" s="1">
        <v>0.12747544662668964</v>
      </c>
      <c r="N7475" s="1">
        <v>0.60392696918396072</v>
      </c>
      <c r="O7475" s="1">
        <v>0.13889896296296295</v>
      </c>
      <c r="P7475" s="1">
        <v>7.4687287588531909E-2</v>
      </c>
      <c r="Q7475" s="1">
        <v>2.6244505889450886</v>
      </c>
      <c r="R7475" s="2">
        <f t="shared" si="467"/>
        <v>63.692977253213435</v>
      </c>
      <c r="S7475" s="2">
        <f t="shared" si="466"/>
        <v>1.6858754636219944</v>
      </c>
      <c r="T7475" s="2">
        <f t="shared" si="468"/>
        <v>2.1631056063092955</v>
      </c>
      <c r="U7475" s="2">
        <f t="shared" si="469"/>
        <v>67.541958323144726</v>
      </c>
    </row>
    <row r="7476" spans="1:21" x14ac:dyDescent="0.25">
      <c r="A7476">
        <v>8673293</v>
      </c>
      <c r="B7476">
        <v>7</v>
      </c>
      <c r="C7476" s="1">
        <f>0.324795588649298*(10.3/7.3)</f>
        <v>0.45827322782024271</v>
      </c>
      <c r="D7476" s="1">
        <f>1.01290711562644*(10.3/7.3)</f>
        <v>1.4291703138290877</v>
      </c>
      <c r="E7476" s="1">
        <f>3.36563034901228*(10.3/7.3)</f>
        <v>4.7487661088803357</v>
      </c>
      <c r="F7476" s="1">
        <f>12.7451552346338*(38.9/42.5)</f>
        <v>11.665565614758957</v>
      </c>
      <c r="G7476" s="1">
        <v>0.78808134195844826</v>
      </c>
      <c r="H7476" s="1">
        <v>5.9772536079032266</v>
      </c>
      <c r="I7476" s="1">
        <v>9.3040857256475569</v>
      </c>
      <c r="J7476" s="1">
        <v>1.243743638437236E-2</v>
      </c>
      <c r="K7476" s="1">
        <v>1.2323837970710485</v>
      </c>
      <c r="L7476" s="1">
        <v>0.93316467345025278</v>
      </c>
      <c r="M7476" s="1">
        <v>9.6331554754122778E-2</v>
      </c>
      <c r="N7476" s="1">
        <v>0.45991396631687681</v>
      </c>
      <c r="O7476" s="1">
        <v>0.10223238095238096</v>
      </c>
      <c r="P7476" s="1">
        <v>5.8759061077125481E-2</v>
      </c>
      <c r="Q7476" s="1">
        <v>1.2594907291573387</v>
      </c>
      <c r="R7476" s="2">
        <f t="shared" si="467"/>
        <v>35.630686669955203</v>
      </c>
      <c r="S7476" s="2">
        <f t="shared" si="466"/>
        <v>1.3035802945325465</v>
      </c>
      <c r="T7476" s="2">
        <f t="shared" si="468"/>
        <v>1.5916425754736334</v>
      </c>
      <c r="U7476" s="2">
        <f t="shared" si="469"/>
        <v>38.525909539961383</v>
      </c>
    </row>
    <row r="7477" spans="1:21" x14ac:dyDescent="0.25">
      <c r="A7477">
        <v>8673301</v>
      </c>
      <c r="B7477">
        <v>9</v>
      </c>
      <c r="C7477" s="1">
        <f>0.229832074360315*(10.3/7.3)</f>
        <v>0.32428361176866322</v>
      </c>
      <c r="D7477" s="1">
        <f>0.561918893917434*(10.3/7.3)</f>
        <v>0.79284446676021503</v>
      </c>
      <c r="E7477" s="1">
        <f>1.90669609534392*(10.3/7.3)</f>
        <v>2.6902698331564858</v>
      </c>
      <c r="F7477" s="1">
        <f>5.65139424858266*(38.9/42.5)</f>
        <v>5.1726879122321314</v>
      </c>
      <c r="G7477" s="1">
        <v>0.31063077597866012</v>
      </c>
      <c r="H7477" s="1">
        <v>1.5143879397565772</v>
      </c>
      <c r="I7477" s="1">
        <v>3.9899287342905247</v>
      </c>
      <c r="J7477" s="1">
        <v>1.0365675311800342E-2</v>
      </c>
      <c r="K7477" s="1">
        <v>1.0818792874987284</v>
      </c>
      <c r="L7477" s="1">
        <v>0.78539756437091646</v>
      </c>
      <c r="M7477" s="1">
        <v>8.322560816723884E-2</v>
      </c>
      <c r="N7477" s="1">
        <v>0.39265969723292976</v>
      </c>
      <c r="O7477" s="1">
        <v>8.7312592592592581E-2</v>
      </c>
      <c r="P7477" s="1">
        <v>5.2396533960483327E-2</v>
      </c>
      <c r="Q7477" s="1">
        <v>0.49644187941795054</v>
      </c>
      <c r="R7477" s="2">
        <f t="shared" si="467"/>
        <v>15.291475153361208</v>
      </c>
      <c r="S7477" s="2">
        <f t="shared" si="466"/>
        <v>1.1446414967710121</v>
      </c>
      <c r="T7477" s="2">
        <f t="shared" si="468"/>
        <v>1.3485954623636776</v>
      </c>
      <c r="U7477" s="2">
        <f t="shared" si="469"/>
        <v>17.784712112495896</v>
      </c>
    </row>
    <row r="7478" spans="1:21" x14ac:dyDescent="0.25">
      <c r="A7478">
        <v>8673309</v>
      </c>
      <c r="B7478">
        <v>4</v>
      </c>
      <c r="C7478" s="1">
        <f>0.161606900594077*(10.3/7.3)</f>
        <v>0.2280206953587661</v>
      </c>
      <c r="D7478" s="1">
        <f>0.35102144833146*(10.3/7.3)</f>
        <v>0.49527683805671729</v>
      </c>
      <c r="E7478" s="1">
        <f>1.19978977453262*(10.3/7.3)</f>
        <v>1.6928540654364312</v>
      </c>
      <c r="F7478" s="1">
        <f>3.28971123074775*(38.9/42.5)</f>
        <v>3.0110533382608851</v>
      </c>
      <c r="G7478" s="1">
        <v>0.17169872940354075</v>
      </c>
      <c r="H7478" s="1">
        <v>0.80223371470395111</v>
      </c>
      <c r="I7478" s="1">
        <v>2.3149462450495486</v>
      </c>
      <c r="J7478" s="1">
        <v>9.7042069927584119E-3</v>
      </c>
      <c r="K7478" s="1">
        <v>1.0511994394111961</v>
      </c>
      <c r="L7478" s="1">
        <v>0.76187987795459167</v>
      </c>
      <c r="M7478" s="1">
        <v>8.1705271561511153E-2</v>
      </c>
      <c r="N7478" s="1">
        <v>0.38340188027088795</v>
      </c>
      <c r="O7478" s="1">
        <v>8.4586666666666671E-2</v>
      </c>
      <c r="P7478" s="1">
        <v>5.1034311307018798E-2</v>
      </c>
      <c r="Q7478" s="1">
        <v>0.27440436206045349</v>
      </c>
      <c r="R7478" s="2">
        <f t="shared" si="467"/>
        <v>8.9904879883302922</v>
      </c>
      <c r="S7478" s="2">
        <f t="shared" si="466"/>
        <v>1.1119379577109734</v>
      </c>
      <c r="T7478" s="2">
        <f t="shared" si="468"/>
        <v>1.3115736964536575</v>
      </c>
      <c r="U7478" s="2">
        <f t="shared" si="469"/>
        <v>11.413999642494922</v>
      </c>
    </row>
    <row r="7479" spans="1:21" x14ac:dyDescent="0.25">
      <c r="A7479">
        <v>8673317</v>
      </c>
      <c r="B7479">
        <v>4</v>
      </c>
      <c r="C7479" s="1">
        <f>0.173595483977642*(10.3/7.3)</f>
        <v>0.24493609383146814</v>
      </c>
      <c r="D7479" s="1">
        <f>0.388749490962566*(10.3/7.3)</f>
        <v>0.54850955574170224</v>
      </c>
      <c r="E7479" s="1">
        <f>1.32747554363012*(10.3/7.3)</f>
        <v>1.8730134382726411</v>
      </c>
      <c r="F7479" s="1">
        <f>3.65062904022107*(38.9/42.5)</f>
        <v>3.3413992862258755</v>
      </c>
      <c r="G7479" s="1">
        <v>0.19128005614382892</v>
      </c>
      <c r="H7479" s="1">
        <v>0.84548194699459644</v>
      </c>
      <c r="I7479" s="1">
        <v>2.5585403139568994</v>
      </c>
      <c r="J7479" s="1">
        <v>9.6745045664578828E-3</v>
      </c>
      <c r="K7479" s="1">
        <v>1.0498226383326346</v>
      </c>
      <c r="L7479" s="1">
        <v>0.75861710489864487</v>
      </c>
      <c r="M7479" s="1">
        <v>8.1280419929556286E-2</v>
      </c>
      <c r="N7479" s="1">
        <v>0.38407377966991263</v>
      </c>
      <c r="O7479" s="1">
        <v>8.3786666666666676E-2</v>
      </c>
      <c r="P7479" s="1">
        <v>5.0750113900694234E-2</v>
      </c>
      <c r="Q7479" s="1">
        <v>0.30569871986456709</v>
      </c>
      <c r="R7479" s="2">
        <f t="shared" si="467"/>
        <v>9.90885941103158</v>
      </c>
      <c r="S7479" s="2">
        <f t="shared" si="466"/>
        <v>1.1102472567997868</v>
      </c>
      <c r="T7479" s="2">
        <f t="shared" si="468"/>
        <v>1.3077579711647804</v>
      </c>
      <c r="U7479" s="2">
        <f t="shared" si="469"/>
        <v>12.326864638996147</v>
      </c>
    </row>
    <row r="7480" spans="1:21" x14ac:dyDescent="0.25">
      <c r="A7480">
        <v>8673517</v>
      </c>
      <c r="B7480">
        <v>7</v>
      </c>
      <c r="C7480" s="1">
        <f>0.409131033789881*(10.3/7.3)</f>
        <v>0.57726707507339403</v>
      </c>
      <c r="D7480" s="1">
        <f>1.58227694014256*(10.3/7.3)</f>
        <v>2.2325277374614219</v>
      </c>
      <c r="E7480" s="1">
        <f>5.26927273510638*(10.3/7.3)</f>
        <v>7.4347272837802372</v>
      </c>
      <c r="F7480" s="1">
        <f>18.350170555609*(38.9/42.5)</f>
        <v>16.795803167369147</v>
      </c>
      <c r="G7480" s="1">
        <v>1.1061035472089371</v>
      </c>
      <c r="H7480" s="1">
        <v>7.1078259826800396</v>
      </c>
      <c r="I7480" s="1">
        <v>12.910566069874491</v>
      </c>
      <c r="J7480" s="1">
        <v>1.4177149924831892E-2</v>
      </c>
      <c r="K7480" s="1">
        <v>1.1866059256229831</v>
      </c>
      <c r="L7480" s="1">
        <v>0.92812382329516097</v>
      </c>
      <c r="M7480" s="1">
        <v>8.756374754140632E-2</v>
      </c>
      <c r="N7480" s="1">
        <v>0.52572023987134586</v>
      </c>
      <c r="O7480" s="1">
        <v>8.3085714285714304E-2</v>
      </c>
      <c r="P7480" s="1">
        <v>5.3692378625925588E-2</v>
      </c>
      <c r="Q7480" s="1">
        <v>1.7677453950827784</v>
      </c>
      <c r="R7480" s="2">
        <f t="shared" si="467"/>
        <v>49.93256625853045</v>
      </c>
      <c r="S7480" s="2">
        <f t="shared" si="466"/>
        <v>1.2544754541737406</v>
      </c>
      <c r="T7480" s="2">
        <f t="shared" si="468"/>
        <v>1.6244935249936274</v>
      </c>
      <c r="U7480" s="2">
        <f t="shared" si="469"/>
        <v>52.811535237697818</v>
      </c>
    </row>
    <row r="7481" spans="1:21" x14ac:dyDescent="0.25">
      <c r="A7481">
        <v>8673557</v>
      </c>
      <c r="B7481">
        <v>6</v>
      </c>
      <c r="C7481" s="1">
        <f>0.396121116416116*(10.3/7.3)</f>
        <v>0.55891061631315042</v>
      </c>
      <c r="D7481" s="1">
        <f>1.40644789741628*(10.3/7.3)</f>
        <v>1.9844401840257111</v>
      </c>
      <c r="E7481" s="1">
        <f>4.7243947764776*(10.3/7.3)</f>
        <v>6.6659268763999018</v>
      </c>
      <c r="F7481" s="1">
        <f>14.6664952781606*(38.9/42.5)</f>
        <v>13.42415685459877</v>
      </c>
      <c r="G7481" s="1">
        <v>0.83883184907163344</v>
      </c>
      <c r="H7481" s="1">
        <v>6.7646393626908408</v>
      </c>
      <c r="I7481" s="1">
        <v>10.06298663722866</v>
      </c>
      <c r="J7481" s="1">
        <v>1.4579648109802319E-2</v>
      </c>
      <c r="K7481" s="1">
        <v>1.1695350924571442</v>
      </c>
      <c r="L7481" s="1">
        <v>0.93426368250785863</v>
      </c>
      <c r="M7481" s="1">
        <v>8.2279729575851099E-2</v>
      </c>
      <c r="N7481" s="1">
        <v>0.54489331731567969</v>
      </c>
      <c r="O7481" s="1">
        <v>7.9795555555555564E-2</v>
      </c>
      <c r="P7481" s="1">
        <v>5.279936979139066E-2</v>
      </c>
      <c r="Q7481" s="1">
        <v>1.340598845548274</v>
      </c>
      <c r="R7481" s="2">
        <f t="shared" si="467"/>
        <v>41.640491225876943</v>
      </c>
      <c r="S7481" s="2">
        <f t="shared" si="466"/>
        <v>1.2369141103583372</v>
      </c>
      <c r="T7481" s="2">
        <f t="shared" si="468"/>
        <v>1.641232284954945</v>
      </c>
      <c r="U7481" s="2">
        <f t="shared" si="469"/>
        <v>44.518637621190223</v>
      </c>
    </row>
    <row r="7482" spans="1:21" x14ac:dyDescent="0.25">
      <c r="A7482">
        <v>8673565</v>
      </c>
      <c r="B7482">
        <v>5</v>
      </c>
      <c r="C7482" s="1">
        <f>0.437643037271156*(10.3/7.3)</f>
        <v>0.617496340259303</v>
      </c>
      <c r="D7482" s="1">
        <f>1.59224398080577*(10.3/7.3)</f>
        <v>2.2465908222328039</v>
      </c>
      <c r="E7482" s="1">
        <f>5.33808677846617*(10.3/7.3)</f>
        <v>7.5318210709865134</v>
      </c>
      <c r="F7482" s="1">
        <f>17.0000728089364*(38.9/42.5)</f>
        <v>15.560066641591209</v>
      </c>
      <c r="G7482" s="1">
        <v>0.9846885919250461</v>
      </c>
      <c r="H7482" s="1">
        <v>9.2623437451048876</v>
      </c>
      <c r="I7482" s="1">
        <v>11.726059576741099</v>
      </c>
      <c r="J7482" s="1">
        <v>1.4985298388992397E-2</v>
      </c>
      <c r="K7482" s="1">
        <v>1.2207077051621309</v>
      </c>
      <c r="L7482" s="1">
        <v>0.99670515494285383</v>
      </c>
      <c r="M7482" s="1">
        <v>8.5949459624023811E-2</v>
      </c>
      <c r="N7482" s="1">
        <v>0.56965097921837127</v>
      </c>
      <c r="O7482" s="1">
        <v>8.2431999999999991E-2</v>
      </c>
      <c r="P7482" s="1">
        <v>5.4901862648543576E-2</v>
      </c>
      <c r="Q7482" s="1">
        <v>1.5737032291039565</v>
      </c>
      <c r="R7482" s="2">
        <f t="shared" si="467"/>
        <v>49.502770017944819</v>
      </c>
      <c r="S7482" s="2">
        <f t="shared" si="466"/>
        <v>1.2905948661996669</v>
      </c>
      <c r="T7482" s="2">
        <f t="shared" si="468"/>
        <v>1.7347375937852489</v>
      </c>
      <c r="U7482" s="2">
        <f t="shared" si="469"/>
        <v>52.528102477929735</v>
      </c>
    </row>
    <row r="7483" spans="1:21" x14ac:dyDescent="0.25">
      <c r="A7483">
        <v>8673629</v>
      </c>
      <c r="B7483">
        <v>19</v>
      </c>
      <c r="C7483" s="1">
        <f>0.501470347441257*(10.3/7.3)</f>
        <v>0.70755405186917053</v>
      </c>
      <c r="D7483" s="1">
        <f>1.54332106295318*(10.3/7.3)</f>
        <v>2.1775625956736699</v>
      </c>
      <c r="E7483" s="1">
        <f>5.20450034483098*(10.3/7.3)</f>
        <v>7.3433361029806958</v>
      </c>
      <c r="F7483" s="1">
        <f>15.7803305438493*(38.9/42.5)</f>
        <v>14.443643721311435</v>
      </c>
      <c r="G7483" s="1">
        <v>0.88735739793372337</v>
      </c>
      <c r="H7483" s="1">
        <v>5.5483261072143986</v>
      </c>
      <c r="I7483" s="1">
        <v>10.906341827542288</v>
      </c>
      <c r="J7483" s="1">
        <v>1.4623866759482807E-2</v>
      </c>
      <c r="K7483" s="1">
        <v>1.2020360675719162</v>
      </c>
      <c r="L7483" s="1">
        <v>0.99214618053000636</v>
      </c>
      <c r="M7483" s="1">
        <v>8.2026211529467555E-2</v>
      </c>
      <c r="N7483" s="1">
        <v>0.56906023019058971</v>
      </c>
      <c r="O7483" s="1">
        <v>7.8377543859649124E-2</v>
      </c>
      <c r="P7483" s="1">
        <v>5.2951708016364979E-2</v>
      </c>
      <c r="Q7483" s="1">
        <v>1.418151092588144</v>
      </c>
      <c r="R7483" s="2">
        <f t="shared" si="467"/>
        <v>43.432272897113535</v>
      </c>
      <c r="S7483" s="2">
        <f t="shared" si="466"/>
        <v>1.2696116423477641</v>
      </c>
      <c r="T7483" s="2">
        <f t="shared" si="468"/>
        <v>1.7216101661097127</v>
      </c>
      <c r="U7483" s="2">
        <f t="shared" si="469"/>
        <v>46.423494705571009</v>
      </c>
    </row>
    <row r="7484" spans="1:21" x14ac:dyDescent="0.25">
      <c r="A7484">
        <v>8673637</v>
      </c>
      <c r="B7484">
        <v>36</v>
      </c>
      <c r="C7484" s="1">
        <f>0.463954636572371*(10.3/7.3)</f>
        <v>0.65462092557471474</v>
      </c>
      <c r="D7484" s="1">
        <f>1.38724001989843*(10.3/7.3)</f>
        <v>1.9573386582128469</v>
      </c>
      <c r="E7484" s="1">
        <f>4.68113212905212*(10.3/7.3)</f>
        <v>6.6048850587995682</v>
      </c>
      <c r="F7484" s="1">
        <f>14.172811794155*(38.9/42.5)</f>
        <v>12.972291265708895</v>
      </c>
      <c r="G7484" s="1">
        <v>0.795401241269582</v>
      </c>
      <c r="H7484" s="1">
        <v>4.3367386535812873</v>
      </c>
      <c r="I7484" s="1">
        <v>9.8219201601882329</v>
      </c>
      <c r="J7484" s="1">
        <v>1.4259050492590263E-2</v>
      </c>
      <c r="K7484" s="1">
        <v>1.1636086151551146</v>
      </c>
      <c r="L7484" s="1">
        <v>0.94898553840564681</v>
      </c>
      <c r="M7484" s="1">
        <v>7.888225444256608E-2</v>
      </c>
      <c r="N7484" s="1">
        <v>0.55548703948494282</v>
      </c>
      <c r="O7484" s="1">
        <v>7.4905185185185214E-2</v>
      </c>
      <c r="P7484" s="1">
        <v>5.1078981271192404E-2</v>
      </c>
      <c r="Q7484" s="1">
        <v>1.2711891983760455</v>
      </c>
      <c r="R7484" s="2">
        <f t="shared" si="467"/>
        <v>38.414385161711166</v>
      </c>
      <c r="S7484" s="2">
        <f t="shared" si="466"/>
        <v>1.2289466469188974</v>
      </c>
      <c r="T7484" s="2">
        <f t="shared" si="468"/>
        <v>1.6582600175183408</v>
      </c>
      <c r="U7484" s="2">
        <f t="shared" si="469"/>
        <v>41.30159182614841</v>
      </c>
    </row>
    <row r="7485" spans="1:21" x14ac:dyDescent="0.25">
      <c r="A7485">
        <v>8685481</v>
      </c>
      <c r="B7485">
        <v>4</v>
      </c>
      <c r="C7485" s="1">
        <f>0.231268137596921*(10.3/7.3)</f>
        <v>0.32630983797921753</v>
      </c>
      <c r="D7485" s="1">
        <f>0.511846560116557*(10.3/7.3)</f>
        <v>0.72219446153431976</v>
      </c>
      <c r="E7485" s="1">
        <f>1.74376929526975*(10.3/7.3)</f>
        <v>2.4603868138737552</v>
      </c>
      <c r="F7485" s="1">
        <f>5.03010948149957*(38.9/42.5)</f>
        <v>4.6040296195372488</v>
      </c>
      <c r="G7485" s="1">
        <v>0.27081243119171183</v>
      </c>
      <c r="H7485" s="1">
        <v>1.0052064864447079</v>
      </c>
      <c r="I7485" s="1">
        <v>3.5763867968716387</v>
      </c>
      <c r="J7485" s="1">
        <v>1.0580428568624005E-2</v>
      </c>
      <c r="K7485" s="1">
        <v>1.143423094796161</v>
      </c>
      <c r="L7485" s="1">
        <v>0.84206650755608448</v>
      </c>
      <c r="M7485" s="1">
        <v>8.8498950427743708E-2</v>
      </c>
      <c r="N7485" s="1">
        <v>0.40928046776061899</v>
      </c>
      <c r="O7485" s="1">
        <v>9.4079999999999997E-2</v>
      </c>
      <c r="P7485" s="1">
        <v>5.5859293016100646E-2</v>
      </c>
      <c r="Q7485" s="1">
        <v>0.43280525532922032</v>
      </c>
      <c r="R7485" s="2">
        <f t="shared" si="467"/>
        <v>13.39813170276182</v>
      </c>
      <c r="S7485" s="2">
        <f t="shared" si="466"/>
        <v>1.2098628163808856</v>
      </c>
      <c r="T7485" s="2">
        <f t="shared" si="468"/>
        <v>1.4339259257444472</v>
      </c>
      <c r="U7485" s="2">
        <f t="shared" si="469"/>
        <v>16.041920444887154</v>
      </c>
    </row>
    <row r="7486" spans="1:21" x14ac:dyDescent="0.25">
      <c r="A7486">
        <v>8685489</v>
      </c>
      <c r="B7486">
        <v>21</v>
      </c>
      <c r="C7486" s="1">
        <f>0.304050275399901*(10.3/7.3)</f>
        <v>0.42900244337246307</v>
      </c>
      <c r="D7486" s="1">
        <f>0.730451141893941*(10.3/7.3)</f>
        <v>1.0306365426722734</v>
      </c>
      <c r="E7486" s="1">
        <f>2.47757588967907*(10.3/7.3)</f>
        <v>3.4957577621499265</v>
      </c>
      <c r="F7486" s="1">
        <f>7.44715856187601*(38.9/42.5)</f>
        <v>6.8163404248700443</v>
      </c>
      <c r="G7486" s="1">
        <v>0.41197169934061778</v>
      </c>
      <c r="H7486" s="1">
        <v>1.4899785814669706</v>
      </c>
      <c r="I7486" s="1">
        <v>5.2891954920959092</v>
      </c>
      <c r="J7486" s="1">
        <v>1.1538281302485609E-2</v>
      </c>
      <c r="K7486" s="1">
        <v>1.2287090946479029</v>
      </c>
      <c r="L7486" s="1">
        <v>0.92016060882953776</v>
      </c>
      <c r="M7486" s="1">
        <v>9.5673296956013718E-2</v>
      </c>
      <c r="N7486" s="1">
        <v>0.44818189403828723</v>
      </c>
      <c r="O7486" s="1">
        <v>0.10143492063492061</v>
      </c>
      <c r="P7486" s="1">
        <v>5.9278491340292332E-2</v>
      </c>
      <c r="Q7486" s="1">
        <v>0.65840225922016615</v>
      </c>
      <c r="R7486" s="2">
        <f t="shared" si="467"/>
        <v>19.621285205188375</v>
      </c>
      <c r="S7486" s="2">
        <f t="shared" si="466"/>
        <v>1.2995258672906809</v>
      </c>
      <c r="T7486" s="2">
        <f t="shared" si="468"/>
        <v>1.5654507204587591</v>
      </c>
      <c r="U7486" s="2">
        <f t="shared" si="469"/>
        <v>22.486261792937814</v>
      </c>
    </row>
    <row r="7487" spans="1:21" x14ac:dyDescent="0.25">
      <c r="A7487">
        <v>8685497</v>
      </c>
      <c r="B7487">
        <v>35</v>
      </c>
      <c r="C7487" s="1">
        <f>0.29243267238492*(10.3/7.3)</f>
        <v>0.41261048295406583</v>
      </c>
      <c r="D7487" s="1">
        <f>0.715393183383801*(10.3/7.3)</f>
        <v>1.0093903820346783</v>
      </c>
      <c r="E7487" s="1">
        <f>2.42359234997969*(10.3/7.3)</f>
        <v>3.41958920613573</v>
      </c>
      <c r="F7487" s="1">
        <f>7.38082332953544*(38.9/42.5)</f>
        <v>6.7556241769159646</v>
      </c>
      <c r="G7487" s="1">
        <v>0.41146690218942661</v>
      </c>
      <c r="H7487" s="1">
        <v>1.5399489846758381</v>
      </c>
      <c r="I7487" s="1">
        <v>5.2470805685947042</v>
      </c>
      <c r="J7487" s="1">
        <v>1.1714636932928478E-2</v>
      </c>
      <c r="K7487" s="1">
        <v>1.2365335835707096</v>
      </c>
      <c r="L7487" s="1">
        <v>0.92935651253523388</v>
      </c>
      <c r="M7487" s="1">
        <v>9.5632168556274932E-2</v>
      </c>
      <c r="N7487" s="1">
        <v>0.4493404414738687</v>
      </c>
      <c r="O7487" s="1">
        <v>0.10202514285714284</v>
      </c>
      <c r="P7487" s="1">
        <v>5.9620247278504922E-2</v>
      </c>
      <c r="Q7487" s="1">
        <v>0.65759550578218928</v>
      </c>
      <c r="R7487" s="2">
        <f t="shared" si="467"/>
        <v>19.453306209282598</v>
      </c>
      <c r="S7487" s="2">
        <f t="shared" si="466"/>
        <v>1.3078684677821431</v>
      </c>
      <c r="T7487" s="2">
        <f t="shared" si="468"/>
        <v>1.5763542654225202</v>
      </c>
      <c r="U7487" s="2">
        <f t="shared" si="469"/>
        <v>22.337528942487261</v>
      </c>
    </row>
    <row r="7488" spans="1:21" x14ac:dyDescent="0.25">
      <c r="A7488">
        <v>8685505</v>
      </c>
      <c r="B7488">
        <v>65</v>
      </c>
      <c r="C7488" s="1">
        <f>0.349614420410281*(10.3/7.3)</f>
        <v>0.4932915794829994</v>
      </c>
      <c r="D7488" s="1">
        <f>0.913972177117779*(10.3/7.3)</f>
        <v>1.2895771814127572</v>
      </c>
      <c r="E7488" s="1">
        <f>3.08195342724833*(10.3/7.3)</f>
        <v>4.3485096302271007</v>
      </c>
      <c r="F7488" s="1">
        <f>9.8852004692555*(38.9/42.5)</f>
        <v>9.0478658412715003</v>
      </c>
      <c r="G7488" s="1">
        <v>0.56705871548473952</v>
      </c>
      <c r="H7488" s="1">
        <v>2.5470140423321825</v>
      </c>
      <c r="I7488" s="1">
        <v>7.0619955421793623</v>
      </c>
      <c r="J7488" s="1">
        <v>1.2452171025990836E-2</v>
      </c>
      <c r="K7488" s="1">
        <v>1.281674923956051</v>
      </c>
      <c r="L7488" s="1">
        <v>0.97294352672090589</v>
      </c>
      <c r="M7488" s="1">
        <v>9.9785784846213352E-2</v>
      </c>
      <c r="N7488" s="1">
        <v>0.47362410122629062</v>
      </c>
      <c r="O7488" s="1">
        <v>0.10632943589743585</v>
      </c>
      <c r="P7488" s="1">
        <v>6.1509444449768268E-2</v>
      </c>
      <c r="Q7488" s="1">
        <v>0.90625822109433374</v>
      </c>
      <c r="R7488" s="2">
        <f t="shared" si="467"/>
        <v>26.261570753484975</v>
      </c>
      <c r="S7488" s="2">
        <f t="shared" si="466"/>
        <v>1.3556365394318102</v>
      </c>
      <c r="T7488" s="2">
        <f t="shared" si="468"/>
        <v>1.6526828486908458</v>
      </c>
      <c r="U7488" s="2">
        <f t="shared" si="469"/>
        <v>29.269890141607629</v>
      </c>
    </row>
    <row r="7489" spans="1:21" x14ac:dyDescent="0.25">
      <c r="A7489">
        <v>8685513</v>
      </c>
      <c r="B7489">
        <v>64</v>
      </c>
      <c r="C7489" s="1">
        <f>0.341909245199039*(10.3/7.3)</f>
        <v>0.48241989391097306</v>
      </c>
      <c r="D7489" s="1">
        <f>0.962785523977932*(10.3/7.3)</f>
        <v>1.358450807804479</v>
      </c>
      <c r="E7489" s="1">
        <f>3.22276314066881*(10.3/7.3)</f>
        <v>4.5471863491628479</v>
      </c>
      <c r="F7489" s="1">
        <f>11.3009098867253*(38.9/42.5)</f>
        <v>10.343656343379122</v>
      </c>
      <c r="G7489" s="1">
        <v>0.67608889427824859</v>
      </c>
      <c r="H7489" s="1">
        <v>2.7073550871100371</v>
      </c>
      <c r="I7489" s="1">
        <v>8.1823958006948789</v>
      </c>
      <c r="J7489" s="1">
        <v>1.2356607141372131E-2</v>
      </c>
      <c r="K7489" s="1">
        <v>1.2520882111191409</v>
      </c>
      <c r="L7489" s="1">
        <v>0.94310474623775065</v>
      </c>
      <c r="M7489" s="1">
        <v>9.7859538265315418E-2</v>
      </c>
      <c r="N7489" s="1">
        <v>0.45767007160531398</v>
      </c>
      <c r="O7489" s="1">
        <v>0.10274999999999997</v>
      </c>
      <c r="P7489" s="1">
        <v>5.9947358070149642E-2</v>
      </c>
      <c r="Q7489" s="1">
        <v>1.0805073652848733</v>
      </c>
      <c r="R7489" s="2">
        <f t="shared" si="467"/>
        <v>29.378060541625459</v>
      </c>
      <c r="S7489" s="2">
        <f t="shared" si="466"/>
        <v>1.3243921763306628</v>
      </c>
      <c r="T7489" s="2">
        <f t="shared" si="468"/>
        <v>1.6013843561083798</v>
      </c>
      <c r="U7489" s="2">
        <f t="shared" si="469"/>
        <v>32.303837074064504</v>
      </c>
    </row>
    <row r="7490" spans="1:21" x14ac:dyDescent="0.25">
      <c r="A7490">
        <v>8685521</v>
      </c>
      <c r="B7490">
        <v>46</v>
      </c>
      <c r="C7490" s="1">
        <f>0.532201841455456*(10.3/7.3)</f>
        <v>0.75091492698509532</v>
      </c>
      <c r="D7490" s="1">
        <f>1.7359681709378*(10.3/7.3)</f>
        <v>2.4493797480355322</v>
      </c>
      <c r="E7490" s="1">
        <f>5.75924586164033*(10.3/7.3)</f>
        <v>8.1260592294377307</v>
      </c>
      <c r="F7490" s="1">
        <f>22.0301177490348*(38.9/42.5)</f>
        <v>20.164037186763657</v>
      </c>
      <c r="G7490" s="1">
        <v>1.368969155267336</v>
      </c>
      <c r="H7490" s="1">
        <v>4.6483543276946788</v>
      </c>
      <c r="I7490" s="1">
        <v>16.060649070884079</v>
      </c>
      <c r="J7490" s="1">
        <v>1.8062949420238842E-2</v>
      </c>
      <c r="K7490" s="1">
        <v>1.6483275451692647</v>
      </c>
      <c r="L7490" s="1">
        <v>1.3437073852772985</v>
      </c>
      <c r="M7490" s="1">
        <v>0.13165814989711011</v>
      </c>
      <c r="N7490" s="1">
        <v>0.62538204916416174</v>
      </c>
      <c r="O7490" s="1">
        <v>0.14378434782608693</v>
      </c>
      <c r="P7490" s="1">
        <v>7.716004853200284E-2</v>
      </c>
      <c r="Q7490" s="1">
        <v>2.1878502481441466</v>
      </c>
      <c r="R7490" s="2">
        <f t="shared" si="467"/>
        <v>55.756213893212248</v>
      </c>
      <c r="S7490" s="2">
        <f t="shared" si="466"/>
        <v>1.7435505431215064</v>
      </c>
      <c r="T7490" s="2">
        <f t="shared" si="468"/>
        <v>2.2445319321646573</v>
      </c>
      <c r="U7490" s="2">
        <f t="shared" si="469"/>
        <v>59.744296368498411</v>
      </c>
    </row>
    <row r="7491" spans="1:21" x14ac:dyDescent="0.25">
      <c r="A7491">
        <v>8685529</v>
      </c>
      <c r="B7491">
        <v>30</v>
      </c>
      <c r="C7491" s="1">
        <f>0.359966841476885*(10.3/7.3)</f>
        <v>0.50789842016601616</v>
      </c>
      <c r="D7491" s="1">
        <f>1.0231283058344*(10.3/7.3)</f>
        <v>1.4435919931636019</v>
      </c>
      <c r="E7491" s="1">
        <f>3.4351554664579*(10.3/7.3)</f>
        <v>4.8468631923995025</v>
      </c>
      <c r="F7491" s="1">
        <f>11.470914826698*(38.9/42.5)</f>
        <v>10.49926086490709</v>
      </c>
      <c r="G7491" s="1">
        <v>0.67250323146727875</v>
      </c>
      <c r="H7491" s="1">
        <v>5.2480120322654917</v>
      </c>
      <c r="I7491" s="1">
        <v>8.2019683293847105</v>
      </c>
      <c r="J7491" s="1">
        <v>1.2903299745450585E-2</v>
      </c>
      <c r="K7491" s="1">
        <v>1.2847959054337721</v>
      </c>
      <c r="L7491" s="1">
        <v>0.97659990421234333</v>
      </c>
      <c r="M7491" s="1">
        <v>0.10037161299571798</v>
      </c>
      <c r="N7491" s="1">
        <v>0.47642412414841678</v>
      </c>
      <c r="O7491" s="1">
        <v>0.10549155555555556</v>
      </c>
      <c r="P7491" s="1">
        <v>6.1211848096648529E-2</v>
      </c>
      <c r="Q7491" s="1">
        <v>1.0747768539431408</v>
      </c>
      <c r="R7491" s="2">
        <f t="shared" si="467"/>
        <v>32.494874917696833</v>
      </c>
      <c r="S7491" s="2">
        <f t="shared" si="466"/>
        <v>1.3589110532758713</v>
      </c>
      <c r="T7491" s="2">
        <f t="shared" si="468"/>
        <v>1.6588871969120338</v>
      </c>
      <c r="U7491" s="2">
        <f t="shared" si="469"/>
        <v>35.512673167884735</v>
      </c>
    </row>
    <row r="7492" spans="1:21" x14ac:dyDescent="0.25">
      <c r="A7492">
        <v>8685537</v>
      </c>
      <c r="B7492">
        <v>22</v>
      </c>
      <c r="C7492" s="1">
        <f>0.272811783459603*(10.3/7.3)</f>
        <v>0.38492621501834384</v>
      </c>
      <c r="D7492" s="1">
        <f>0.693001959128391*(10.3/7.3)</f>
        <v>0.97779728479759276</v>
      </c>
      <c r="E7492" s="1">
        <f>2.348722305488*(10.3/7.3)</f>
        <v>3.3139506502091018</v>
      </c>
      <c r="F7492" s="1">
        <f>6.99665402378005*(38.9/42.5)</f>
        <v>6.4039962711775082</v>
      </c>
      <c r="G7492" s="1">
        <v>0.38638859086577143</v>
      </c>
      <c r="H7492" s="1">
        <v>3.2500683937817354</v>
      </c>
      <c r="I7492" s="1">
        <v>4.9215824565009658</v>
      </c>
      <c r="J7492" s="1">
        <v>1.109404909614548E-2</v>
      </c>
      <c r="K7492" s="1">
        <v>1.1688631409254704</v>
      </c>
      <c r="L7492" s="1">
        <v>0.86308183554746942</v>
      </c>
      <c r="M7492" s="1">
        <v>9.0763668248303023E-2</v>
      </c>
      <c r="N7492" s="1">
        <v>0.42715087090706572</v>
      </c>
      <c r="O7492" s="1">
        <v>9.4E-2</v>
      </c>
      <c r="P7492" s="1">
        <v>5.6051724203884531E-2</v>
      </c>
      <c r="Q7492" s="1">
        <v>0.61751601279917889</v>
      </c>
      <c r="R7492" s="2">
        <f t="shared" si="467"/>
        <v>20.256225875150196</v>
      </c>
      <c r="S7492" s="2">
        <f t="shared" si="466"/>
        <v>1.2360089142255004</v>
      </c>
      <c r="T7492" s="2">
        <f t="shared" si="468"/>
        <v>1.4749963747028383</v>
      </c>
      <c r="U7492" s="2">
        <f t="shared" si="469"/>
        <v>22.967231164078534</v>
      </c>
    </row>
    <row r="7493" spans="1:21" x14ac:dyDescent="0.25">
      <c r="A7493">
        <v>8685545</v>
      </c>
      <c r="B7493">
        <v>33</v>
      </c>
      <c r="C7493" s="1">
        <f>0.280821069610146*(10.3/7.3)</f>
        <v>0.39622698862801364</v>
      </c>
      <c r="D7493" s="1">
        <f>0.72675740204862*(10.3/7.3)</f>
        <v>1.0254248275480526</v>
      </c>
      <c r="E7493" s="1">
        <f>2.46430514975956*(10.3/7.3)</f>
        <v>3.4770332934963624</v>
      </c>
      <c r="F7493" s="1">
        <f>7.22718582817883*(38.9/42.5)</f>
        <v>6.6150006756742723</v>
      </c>
      <c r="G7493" s="1">
        <v>0.39621745773765049</v>
      </c>
      <c r="H7493" s="1">
        <v>2.8507341422973433</v>
      </c>
      <c r="I7493" s="1">
        <v>5.0501658623564278</v>
      </c>
      <c r="J7493" s="1">
        <v>1.1486738316586234E-2</v>
      </c>
      <c r="K7493" s="1">
        <v>1.22382892061681</v>
      </c>
      <c r="L7493" s="1">
        <v>0.91452487254695758</v>
      </c>
      <c r="M7493" s="1">
        <v>9.4764310401099811E-2</v>
      </c>
      <c r="N7493" s="1">
        <v>0.44999532768339079</v>
      </c>
      <c r="O7493" s="1">
        <v>9.8878383838383849E-2</v>
      </c>
      <c r="P7493" s="1">
        <v>5.8380764652194245E-2</v>
      </c>
      <c r="Q7493" s="1">
        <v>0.63322424752592621</v>
      </c>
      <c r="R7493" s="2">
        <f t="shared" si="467"/>
        <v>20.444027495264049</v>
      </c>
      <c r="S7493" s="2">
        <f t="shared" si="466"/>
        <v>1.2936964235855906</v>
      </c>
      <c r="T7493" s="2">
        <f t="shared" si="468"/>
        <v>1.558162894469832</v>
      </c>
      <c r="U7493" s="2">
        <f t="shared" si="469"/>
        <v>23.29588681331947</v>
      </c>
    </row>
    <row r="7494" spans="1:21" x14ac:dyDescent="0.25">
      <c r="A7494">
        <v>8685553</v>
      </c>
      <c r="B7494">
        <v>33</v>
      </c>
      <c r="C7494" s="1">
        <f>0.287296328832216*(10.3/7.3)</f>
        <v>0.4053633132838122</v>
      </c>
      <c r="D7494" s="1">
        <f>0.740536609065165*(10.3/7.3)</f>
        <v>1.044866722379616</v>
      </c>
      <c r="E7494" s="1">
        <f>2.51313724884507*(10.3/7.3)</f>
        <v>3.5459333785074296</v>
      </c>
      <c r="F7494" s="1">
        <f>7.27355383087236*(38.9/42.5)</f>
        <v>6.6574410357867055</v>
      </c>
      <c r="G7494" s="1">
        <v>0.3958305456775269</v>
      </c>
      <c r="H7494" s="1">
        <v>1.5138280920893847</v>
      </c>
      <c r="I7494" s="1">
        <v>5.0666224733915621</v>
      </c>
      <c r="J7494" s="1">
        <v>1.1312895544472323E-2</v>
      </c>
      <c r="K7494" s="1">
        <v>1.2068374439058864</v>
      </c>
      <c r="L7494" s="1">
        <v>0.89515753196286585</v>
      </c>
      <c r="M7494" s="1">
        <v>9.4029931530144731E-2</v>
      </c>
      <c r="N7494" s="1">
        <v>0.44549777699290882</v>
      </c>
      <c r="O7494" s="1">
        <v>9.6004848484848485E-2</v>
      </c>
      <c r="P7494" s="1">
        <v>5.7548305521591223E-2</v>
      </c>
      <c r="Q7494" s="1">
        <v>0.63260589491842267</v>
      </c>
      <c r="R7494" s="2">
        <f t="shared" si="467"/>
        <v>19.262491456034461</v>
      </c>
      <c r="S7494" s="2">
        <f t="shared" si="466"/>
        <v>1.2756986449719501</v>
      </c>
      <c r="T7494" s="2">
        <f t="shared" si="468"/>
        <v>1.530690088970768</v>
      </c>
      <c r="U7494" s="2">
        <f t="shared" si="469"/>
        <v>22.068880189977179</v>
      </c>
    </row>
    <row r="7495" spans="1:21" x14ac:dyDescent="0.25">
      <c r="A7495">
        <v>8685561</v>
      </c>
      <c r="B7495">
        <v>28</v>
      </c>
      <c r="C7495" s="1">
        <f>0.228423196120043*(10.3/7.3)</f>
        <v>0.32229574247074533</v>
      </c>
      <c r="D7495" s="1">
        <f>0.551918641796161*(10.3/7.3)</f>
        <v>0.77873452198636373</v>
      </c>
      <c r="E7495" s="1">
        <f>1.87953142245975*(10.3/7.3)</f>
        <v>2.6519415960733395</v>
      </c>
      <c r="F7495" s="1">
        <f>5.24973885262182*(38.9/42.5)</f>
        <v>4.8050550909879721</v>
      </c>
      <c r="G7495" s="1">
        <v>0.27897451063531531</v>
      </c>
      <c r="H7495" s="1">
        <v>1.082273516745708</v>
      </c>
      <c r="I7495" s="1">
        <v>3.6530734107792795</v>
      </c>
      <c r="J7495" s="1">
        <v>9.6723829645792691E-3</v>
      </c>
      <c r="K7495" s="1">
        <v>1.041512087266113</v>
      </c>
      <c r="L7495" s="1">
        <v>0.74704803257577346</v>
      </c>
      <c r="M7495" s="1">
        <v>7.9535877543159147E-2</v>
      </c>
      <c r="N7495" s="1">
        <v>0.38161529218970708</v>
      </c>
      <c r="O7495" s="1">
        <v>8.2184761904761913E-2</v>
      </c>
      <c r="P7495" s="1">
        <v>5.0053136355063942E-2</v>
      </c>
      <c r="Q7495" s="1">
        <v>0.44584967453132629</v>
      </c>
      <c r="R7495" s="2">
        <f t="shared" si="467"/>
        <v>14.018198064210051</v>
      </c>
      <c r="S7495" s="2">
        <f t="shared" si="466"/>
        <v>1.1012376065857563</v>
      </c>
      <c r="T7495" s="2">
        <f t="shared" si="468"/>
        <v>1.2903839642134016</v>
      </c>
      <c r="U7495" s="2">
        <f t="shared" si="469"/>
        <v>16.40981963500921</v>
      </c>
    </row>
    <row r="7496" spans="1:21" x14ac:dyDescent="0.25">
      <c r="A7496">
        <v>8685761</v>
      </c>
      <c r="B7496">
        <v>13</v>
      </c>
      <c r="C7496" s="1">
        <f>0.377629653341363*(10.3/7.3)</f>
        <v>0.53281992183781368</v>
      </c>
      <c r="D7496" s="1">
        <f>1.41009881308582*(10.3/7.3)</f>
        <v>1.9895914759978033</v>
      </c>
      <c r="E7496" s="1">
        <f>4.71726847218157*(10.3/7.3)</f>
        <v>6.6558719539000286</v>
      </c>
      <c r="F7496" s="1">
        <f>15.4480166611786*(38.9/42.5)</f>
        <v>14.139478779290572</v>
      </c>
      <c r="G7496" s="1">
        <v>0.90671653292363363</v>
      </c>
      <c r="H7496" s="1">
        <v>5.1151128091149491</v>
      </c>
      <c r="I7496" s="1">
        <v>10.71717896648383</v>
      </c>
      <c r="J7496" s="1">
        <v>1.4526118462403561E-2</v>
      </c>
      <c r="K7496" s="1">
        <v>1.1724227811951513</v>
      </c>
      <c r="L7496" s="1">
        <v>0.918537297492661</v>
      </c>
      <c r="M7496" s="1">
        <v>8.5856698009277393E-2</v>
      </c>
      <c r="N7496" s="1">
        <v>0.52615908440592052</v>
      </c>
      <c r="O7496" s="1">
        <v>8.1489230769230758E-2</v>
      </c>
      <c r="P7496" s="1">
        <v>5.3118083141958823E-2</v>
      </c>
      <c r="Q7496" s="1">
        <v>1.4490903494213339</v>
      </c>
      <c r="R7496" s="2">
        <f t="shared" si="467"/>
        <v>41.505860788969962</v>
      </c>
      <c r="S7496" s="2">
        <f t="shared" si="466"/>
        <v>1.2400669827995137</v>
      </c>
      <c r="T7496" s="2">
        <f t="shared" si="468"/>
        <v>1.6120423106770896</v>
      </c>
      <c r="U7496" s="2">
        <f t="shared" si="469"/>
        <v>44.357970082446563</v>
      </c>
    </row>
    <row r="7497" spans="1:21" x14ac:dyDescent="0.25">
      <c r="A7497">
        <v>8685769</v>
      </c>
      <c r="B7497">
        <v>3</v>
      </c>
      <c r="C7497" s="1">
        <f>0.395689633625457*(10.3/7.3)</f>
        <v>0.55830181182769889</v>
      </c>
      <c r="D7497" s="1">
        <f>1.50141141353902*(10.3/7.3)</f>
        <v>2.1184298026646471</v>
      </c>
      <c r="E7497" s="1">
        <f>5.02417094860259*(10.3/7.3)</f>
        <v>7.0888987356995443</v>
      </c>
      <c r="F7497" s="1">
        <f>16.3147018207245*(38.9/42.5)</f>
        <v>14.932750607674899</v>
      </c>
      <c r="G7497" s="1">
        <v>0.95453156049598498</v>
      </c>
      <c r="H7497" s="1">
        <v>5.9590185696003743</v>
      </c>
      <c r="I7497" s="1">
        <v>11.276466298779736</v>
      </c>
      <c r="J7497" s="1">
        <v>1.4155327734080481E-2</v>
      </c>
      <c r="K7497" s="1">
        <v>1.1842868134295088</v>
      </c>
      <c r="L7497" s="1">
        <v>0.93867438604093689</v>
      </c>
      <c r="M7497" s="1">
        <v>8.6651304279703842E-2</v>
      </c>
      <c r="N7497" s="1">
        <v>0.52378916681784904</v>
      </c>
      <c r="O7497" s="1">
        <v>8.2595555555555547E-2</v>
      </c>
      <c r="P7497" s="1">
        <v>5.3533447841414394E-2</v>
      </c>
      <c r="Q7497" s="1">
        <v>1.5255070601534022</v>
      </c>
      <c r="R7497" s="2">
        <f t="shared" si="467"/>
        <v>44.413904446896289</v>
      </c>
      <c r="S7497" s="2">
        <f t="shared" ref="S7497:S7560" si="470">J7497+K7497+P7497</f>
        <v>1.2519755890050037</v>
      </c>
      <c r="T7497" s="2">
        <f t="shared" si="468"/>
        <v>1.6317104126940454</v>
      </c>
      <c r="U7497" s="2">
        <f t="shared" si="469"/>
        <v>47.297590448595344</v>
      </c>
    </row>
    <row r="7498" spans="1:21" x14ac:dyDescent="0.25">
      <c r="A7498">
        <v>8685785</v>
      </c>
      <c r="B7498">
        <v>26</v>
      </c>
      <c r="C7498" s="1">
        <f>0.422676456686255*(10.3/7.3)</f>
        <v>0.59637911011896316</v>
      </c>
      <c r="D7498" s="1">
        <f>1.562577322182*(10.3/7.3)</f>
        <v>2.2047323860924064</v>
      </c>
      <c r="E7498" s="1">
        <f>5.24304672268014*(10.3/7.3)</f>
        <v>7.3977234580281435</v>
      </c>
      <c r="F7498" s="1">
        <f>16.4005707374422*(38.9/42.5)</f>
        <v>15.011345922035375</v>
      </c>
      <c r="G7498" s="1">
        <v>0.94266446490143163</v>
      </c>
      <c r="H7498" s="1">
        <v>5.1165339608855174</v>
      </c>
      <c r="I7498" s="1">
        <v>11.237379249692308</v>
      </c>
      <c r="J7498" s="1">
        <v>1.5775252368470848E-2</v>
      </c>
      <c r="K7498" s="1">
        <v>1.1703391181705813</v>
      </c>
      <c r="L7498" s="1">
        <v>0.92782323698209501</v>
      </c>
      <c r="M7498" s="1">
        <v>8.1337399285769107E-2</v>
      </c>
      <c r="N7498" s="1">
        <v>0.53984795823145881</v>
      </c>
      <c r="O7498" s="1">
        <v>7.9854358974358969E-2</v>
      </c>
      <c r="P7498" s="1">
        <v>5.2396862039688623E-2</v>
      </c>
      <c r="Q7498" s="1">
        <v>1.5065413822625631</v>
      </c>
      <c r="R7498" s="2">
        <f t="shared" ref="R7498:R7561" si="471">C7498+D7498+E7498+F7498+G7498+H7498+I7498+Q7498</f>
        <v>44.013299934016707</v>
      </c>
      <c r="S7498" s="2">
        <f t="shared" si="470"/>
        <v>1.2385112325787409</v>
      </c>
      <c r="T7498" s="2">
        <f t="shared" ref="T7498:T7561" si="472">L7498+M7498+N7498+O7498</f>
        <v>1.628862953473682</v>
      </c>
      <c r="U7498" s="2">
        <f t="shared" ref="U7498:U7561" si="473">R7498+S7498+T7498</f>
        <v>46.880674120069131</v>
      </c>
    </row>
    <row r="7499" spans="1:21" x14ac:dyDescent="0.25">
      <c r="A7499">
        <v>8685793</v>
      </c>
      <c r="B7499">
        <v>41</v>
      </c>
      <c r="C7499" s="1">
        <f>0.381918127731292*(10.3/7.3)</f>
        <v>0.53887078296332946</v>
      </c>
      <c r="D7499" s="1">
        <f>1.31572916616962*(10.3/7.3)</f>
        <v>1.8564397824037158</v>
      </c>
      <c r="E7499" s="1">
        <f>4.42265806548685*(10.3/7.3)</f>
        <v>6.2401887773307676</v>
      </c>
      <c r="F7499" s="1">
        <f>13.6894328792752*(38.9/42.5)</f>
        <v>12.529857388324857</v>
      </c>
      <c r="G7499" s="1">
        <v>0.78101034364875788</v>
      </c>
      <c r="H7499" s="1">
        <v>5.2255416585793339</v>
      </c>
      <c r="I7499" s="1">
        <v>9.4108535525481773</v>
      </c>
      <c r="J7499" s="1">
        <v>1.3726246690728592E-2</v>
      </c>
      <c r="K7499" s="1">
        <v>1.1253219918152209</v>
      </c>
      <c r="L7499" s="1">
        <v>0.89399121310524798</v>
      </c>
      <c r="M7499" s="1">
        <v>7.9138256547378938E-2</v>
      </c>
      <c r="N7499" s="1">
        <v>0.52078439349464167</v>
      </c>
      <c r="O7499" s="1">
        <v>7.6029918699186974E-2</v>
      </c>
      <c r="P7499" s="1">
        <v>5.0968551602539672E-2</v>
      </c>
      <c r="Q7499" s="1">
        <v>1.2481900469272398</v>
      </c>
      <c r="R7499" s="2">
        <f t="shared" si="471"/>
        <v>37.830952332726184</v>
      </c>
      <c r="S7499" s="2">
        <f t="shared" si="470"/>
        <v>1.1900167901084893</v>
      </c>
      <c r="T7499" s="2">
        <f t="shared" si="472"/>
        <v>1.5699437818464557</v>
      </c>
      <c r="U7499" s="2">
        <f t="shared" si="473"/>
        <v>40.590912904681126</v>
      </c>
    </row>
    <row r="7500" spans="1:21" x14ac:dyDescent="0.25">
      <c r="A7500">
        <v>8685801</v>
      </c>
      <c r="B7500">
        <v>27</v>
      </c>
      <c r="C7500" s="1">
        <f>0.398800735182727*(10.3/7.3)</f>
        <v>0.5626914482715194</v>
      </c>
      <c r="D7500" s="1">
        <f>1.3507950070289*(10.3/7.3)</f>
        <v>1.9059162427942036</v>
      </c>
      <c r="E7500" s="1">
        <f>4.54082053957158*(10.3/7.3)</f>
        <v>6.4069111722722338</v>
      </c>
      <c r="F7500" s="1">
        <f>14.10753195457*(38.9/42.5)</f>
        <v>12.912541012535861</v>
      </c>
      <c r="G7500" s="1">
        <v>0.80578500723048951</v>
      </c>
      <c r="H7500" s="1">
        <v>4.9262862395186851</v>
      </c>
      <c r="I7500" s="1">
        <v>9.7244861336811965</v>
      </c>
      <c r="J7500" s="1">
        <v>1.3473900641810152E-2</v>
      </c>
      <c r="K7500" s="1">
        <v>1.1206735077438335</v>
      </c>
      <c r="L7500" s="1">
        <v>0.90083890140310152</v>
      </c>
      <c r="M7500" s="1">
        <v>7.8808262597779802E-2</v>
      </c>
      <c r="N7500" s="1">
        <v>0.5153853604965043</v>
      </c>
      <c r="O7500" s="1">
        <v>7.5529876543209862E-2</v>
      </c>
      <c r="P7500" s="1">
        <v>5.1041274521653301E-2</v>
      </c>
      <c r="Q7500" s="1">
        <v>1.2877842581309209</v>
      </c>
      <c r="R7500" s="2">
        <f t="shared" si="471"/>
        <v>38.532401514435115</v>
      </c>
      <c r="S7500" s="2">
        <f t="shared" si="470"/>
        <v>1.1851886829072968</v>
      </c>
      <c r="T7500" s="2">
        <f t="shared" si="472"/>
        <v>1.5705624010405956</v>
      </c>
      <c r="U7500" s="2">
        <f t="shared" si="473"/>
        <v>41.288152598383007</v>
      </c>
    </row>
    <row r="7501" spans="1:21" x14ac:dyDescent="0.25">
      <c r="A7501">
        <v>8685865</v>
      </c>
      <c r="B7501">
        <v>7</v>
      </c>
      <c r="C7501" s="1">
        <f>0.443355679756728*(10.3/7.3)</f>
        <v>0.62555664404031519</v>
      </c>
      <c r="D7501" s="1">
        <f>1.31683921732306*(10.3/7.3)</f>
        <v>1.858006018962667</v>
      </c>
      <c r="E7501" s="1">
        <f>4.44663307845124*(10.3/7.3)</f>
        <v>6.2740165353490109</v>
      </c>
      <c r="F7501" s="1">
        <f>13.3347403469589*(38.9/42.5)</f>
        <v>12.205209399922385</v>
      </c>
      <c r="G7501" s="1">
        <v>0.74455025159256294</v>
      </c>
      <c r="H7501" s="1">
        <v>3.6263732751224045</v>
      </c>
      <c r="I7501" s="1">
        <v>9.2227095655124209</v>
      </c>
      <c r="J7501" s="1">
        <v>1.3430346063561457E-2</v>
      </c>
      <c r="K7501" s="1">
        <v>1.1090694236496963</v>
      </c>
      <c r="L7501" s="1">
        <v>0.89946337152766065</v>
      </c>
      <c r="M7501" s="1">
        <v>7.6615386178088538E-2</v>
      </c>
      <c r="N7501" s="1">
        <v>0.52113723610812379</v>
      </c>
      <c r="O7501" s="1">
        <v>7.2137142857142872E-2</v>
      </c>
      <c r="P7501" s="1">
        <v>4.9247397919141421E-2</v>
      </c>
      <c r="Q7501" s="1">
        <v>1.189920493412773</v>
      </c>
      <c r="R7501" s="2">
        <f t="shared" si="471"/>
        <v>35.746342183914535</v>
      </c>
      <c r="S7501" s="2">
        <f t="shared" si="470"/>
        <v>1.1717471676323992</v>
      </c>
      <c r="T7501" s="2">
        <f t="shared" si="472"/>
        <v>1.5693531366710158</v>
      </c>
      <c r="U7501" s="2">
        <f t="shared" si="473"/>
        <v>38.487442488217951</v>
      </c>
    </row>
    <row r="7502" spans="1:21" x14ac:dyDescent="0.25">
      <c r="A7502">
        <v>8685873</v>
      </c>
      <c r="B7502">
        <v>36</v>
      </c>
      <c r="C7502" s="1">
        <f>0.473922995402744*(10.3/7.3)</f>
        <v>0.6686858702257894</v>
      </c>
      <c r="D7502" s="1">
        <f>1.40788722000952*(10.3/7.3)</f>
        <v>1.9864710090545243</v>
      </c>
      <c r="E7502" s="1">
        <f>4.74989197558756*(10.3/7.3)</f>
        <v>6.7019023765139485</v>
      </c>
      <c r="F7502" s="1">
        <f>14.4588098457809*(38.9/42.5)</f>
        <v>13.234063600020633</v>
      </c>
      <c r="G7502" s="1">
        <v>0.81340890887457773</v>
      </c>
      <c r="H7502" s="1">
        <v>4.2039987716898688</v>
      </c>
      <c r="I7502" s="1">
        <v>10.042589000106235</v>
      </c>
      <c r="J7502" s="1">
        <v>1.4262350762179216E-2</v>
      </c>
      <c r="K7502" s="1">
        <v>1.1618272757933958</v>
      </c>
      <c r="L7502" s="1">
        <v>0.94762172956197233</v>
      </c>
      <c r="M7502" s="1">
        <v>7.8419078103005468E-2</v>
      </c>
      <c r="N7502" s="1">
        <v>0.55370312528901211</v>
      </c>
      <c r="O7502" s="1">
        <v>7.4561481481481479E-2</v>
      </c>
      <c r="P7502" s="1">
        <v>5.0914387597188838E-2</v>
      </c>
      <c r="Q7502" s="1">
        <v>1.2999685758269517</v>
      </c>
      <c r="R7502" s="2">
        <f t="shared" si="471"/>
        <v>38.951088112312526</v>
      </c>
      <c r="S7502" s="2">
        <f t="shared" si="470"/>
        <v>1.2270040141527641</v>
      </c>
      <c r="T7502" s="2">
        <f t="shared" si="472"/>
        <v>1.6543054144354714</v>
      </c>
      <c r="U7502" s="2">
        <f t="shared" si="473"/>
        <v>41.832397540900757</v>
      </c>
    </row>
    <row r="7503" spans="1:21" x14ac:dyDescent="0.25">
      <c r="A7503">
        <v>869421</v>
      </c>
      <c r="B7503">
        <v>2</v>
      </c>
      <c r="C7503" s="1">
        <f>1.87137405407584*(10.3/7.3)</f>
        <v>2.6404318845179606</v>
      </c>
      <c r="D7503" s="1">
        <f>2.1189717810145*(10.3/7.3)</f>
        <v>2.9897821019793649</v>
      </c>
      <c r="E7503" s="1">
        <f>7.54726144055133*(10.3/7.3)</f>
        <v>10.648875731188864</v>
      </c>
      <c r="F7503" s="1">
        <f>14.1075863497572*(38.9/42.5)</f>
        <v>12.912590800130738</v>
      </c>
      <c r="G7503" s="1">
        <v>0.45949058501525591</v>
      </c>
      <c r="H7503" s="1">
        <v>2.2117901787786729</v>
      </c>
      <c r="I7503" s="1">
        <v>10.754772871036465</v>
      </c>
      <c r="J7503" s="1">
        <v>2.7780254998508665E-2</v>
      </c>
      <c r="K7503" s="1">
        <v>5.6319723506953379</v>
      </c>
      <c r="L7503" s="1">
        <v>5.454027439279983</v>
      </c>
      <c r="M7503" s="1">
        <v>0.18653089922056532</v>
      </c>
      <c r="N7503" s="1">
        <v>1.2265254264501575</v>
      </c>
      <c r="O7503" s="1">
        <v>7.1306666666666657E-2</v>
      </c>
      <c r="P7503" s="1">
        <v>6.1648058727381543E-2</v>
      </c>
      <c r="Q7503" s="1">
        <v>0.73434568381433674</v>
      </c>
      <c r="R7503" s="2">
        <f t="shared" si="471"/>
        <v>43.352079836461662</v>
      </c>
      <c r="S7503" s="2">
        <f t="shared" si="470"/>
        <v>5.7214006644212274</v>
      </c>
      <c r="T7503" s="2">
        <f t="shared" si="472"/>
        <v>6.9383904316173721</v>
      </c>
      <c r="U7503" s="2">
        <f t="shared" si="473"/>
        <v>56.011870932500258</v>
      </c>
    </row>
    <row r="7504" spans="1:21" x14ac:dyDescent="0.25">
      <c r="A7504">
        <v>869477</v>
      </c>
      <c r="B7504">
        <v>4</v>
      </c>
      <c r="C7504" s="1">
        <f>1.67421960972816*(10.3/7.3)</f>
        <v>2.3622550657808334</v>
      </c>
      <c r="D7504" s="1">
        <f>2.08275662033038*(10.3/7.3)</f>
        <v>2.9386839985483411</v>
      </c>
      <c r="E7504" s="1">
        <f>7.3442616536945*(10.3/7.3)</f>
        <v>10.362451374390869</v>
      </c>
      <c r="F7504" s="1">
        <f>15.7917654527128*(38.9/42.5)</f>
        <v>14.454110026130033</v>
      </c>
      <c r="G7504" s="1">
        <v>0.63236955877026613</v>
      </c>
      <c r="H7504" s="1">
        <v>3.973546810284398</v>
      </c>
      <c r="I7504" s="1">
        <v>11.945247332125504</v>
      </c>
      <c r="J7504" s="1">
        <v>3.8661951033895178E-2</v>
      </c>
      <c r="K7504" s="1">
        <v>4.9422075110984984</v>
      </c>
      <c r="L7504" s="1">
        <v>1.5431448069900868</v>
      </c>
      <c r="M7504" s="1">
        <v>0.10626822206560818</v>
      </c>
      <c r="N7504" s="1">
        <v>1.6566805859807154</v>
      </c>
      <c r="O7504" s="1">
        <v>7.1240000000000012E-2</v>
      </c>
      <c r="P7504" s="1">
        <v>6.2107279723478188E-2</v>
      </c>
      <c r="Q7504" s="1">
        <v>1.0106362811396956</v>
      </c>
      <c r="R7504" s="2">
        <f t="shared" si="471"/>
        <v>47.679300447169936</v>
      </c>
      <c r="S7504" s="2">
        <f t="shared" si="470"/>
        <v>5.0429767418558722</v>
      </c>
      <c r="T7504" s="2">
        <f t="shared" si="472"/>
        <v>3.3773336150364104</v>
      </c>
      <c r="U7504" s="2">
        <f t="shared" si="473"/>
        <v>56.099610804062223</v>
      </c>
    </row>
    <row r="7505" spans="1:21" x14ac:dyDescent="0.25">
      <c r="A7505">
        <v>869517</v>
      </c>
      <c r="B7505">
        <v>32</v>
      </c>
      <c r="C7505" s="1">
        <f>2.33682781675422*(10.3/7.3)</f>
        <v>3.297168015420334</v>
      </c>
      <c r="D7505" s="1">
        <f>2.94465254562329*(10.3/7.3)</f>
        <v>4.1547837287561507</v>
      </c>
      <c r="E7505" s="1">
        <f>10.4077019197053*(10.3/7.3)</f>
        <v>14.684839694926705</v>
      </c>
      <c r="F7505" s="1">
        <f>20.8493979802766*(38.9/42.5)</f>
        <v>19.083331327829612</v>
      </c>
      <c r="G7505" s="1">
        <v>0.76985126088191591</v>
      </c>
      <c r="H7505" s="1">
        <v>1.8562834110633124</v>
      </c>
      <c r="I7505" s="1">
        <v>15.488517614720303</v>
      </c>
      <c r="J7505" s="1">
        <v>5.1270630998469562E-2</v>
      </c>
      <c r="K7505" s="1">
        <v>5.1634176149092417</v>
      </c>
      <c r="L7505" s="1">
        <v>1.8209812851698968</v>
      </c>
      <c r="M7505" s="1">
        <v>9.953422814004298E-2</v>
      </c>
      <c r="N7505" s="1">
        <v>1.5309487440944956</v>
      </c>
      <c r="O7505" s="1">
        <v>8.5791666666666669E-2</v>
      </c>
      <c r="P7505" s="1">
        <v>7.1663341841001663E-2</v>
      </c>
      <c r="Q7505" s="1">
        <v>1.2303558963866252</v>
      </c>
      <c r="R7505" s="2">
        <f t="shared" si="471"/>
        <v>60.565130949984955</v>
      </c>
      <c r="S7505" s="2">
        <f t="shared" si="470"/>
        <v>5.2863515877487126</v>
      </c>
      <c r="T7505" s="2">
        <f t="shared" si="472"/>
        <v>3.5372559240711019</v>
      </c>
      <c r="U7505" s="2">
        <f t="shared" si="473"/>
        <v>69.388738461804778</v>
      </c>
    </row>
    <row r="7506" spans="1:21" x14ac:dyDescent="0.25">
      <c r="A7506">
        <v>869525</v>
      </c>
      <c r="B7506">
        <v>11</v>
      </c>
      <c r="C7506" s="1">
        <f>1.39898186708191*(10.3/7.3)</f>
        <v>1.9739059220470832</v>
      </c>
      <c r="D7506" s="1">
        <f>1.74178452455658*(10.3/7.3)</f>
        <v>2.4575863839633887</v>
      </c>
      <c r="E7506" s="1">
        <f>6.16881781685336*(10.3/7.3)</f>
        <v>8.703948426519128</v>
      </c>
      <c r="F7506" s="1">
        <f>11.8910397343569*(38.9/42.5)</f>
        <v>10.88379872156429</v>
      </c>
      <c r="G7506" s="1">
        <v>0.41587519148140845</v>
      </c>
      <c r="H7506" s="1">
        <v>1.256878370944869</v>
      </c>
      <c r="I7506" s="1">
        <v>8.7998666990051504</v>
      </c>
      <c r="J7506" s="1">
        <v>3.0966901020179658E-2</v>
      </c>
      <c r="K7506" s="1">
        <v>3.4290357639972977</v>
      </c>
      <c r="L7506" s="1">
        <v>1.2788147252860678</v>
      </c>
      <c r="M7506" s="1">
        <v>7.1185276059320984E-2</v>
      </c>
      <c r="N7506" s="1">
        <v>1.1065148535626017</v>
      </c>
      <c r="O7506" s="1">
        <v>6.3898181818181812E-2</v>
      </c>
      <c r="P7506" s="1">
        <v>5.5645121839099754E-2</v>
      </c>
      <c r="Q7506" s="1">
        <v>0.66464071697942062</v>
      </c>
      <c r="R7506" s="2">
        <f t="shared" si="471"/>
        <v>35.156500432504735</v>
      </c>
      <c r="S7506" s="2">
        <f t="shared" si="470"/>
        <v>3.5156477868565772</v>
      </c>
      <c r="T7506" s="2">
        <f t="shared" si="472"/>
        <v>2.5204130367261723</v>
      </c>
      <c r="U7506" s="2">
        <f t="shared" si="473"/>
        <v>41.192561256087487</v>
      </c>
    </row>
    <row r="7507" spans="1:21" x14ac:dyDescent="0.25">
      <c r="A7507">
        <v>8697725</v>
      </c>
      <c r="B7507">
        <v>5</v>
      </c>
      <c r="C7507" s="1">
        <f>0.276956190750702*(10.3/7.3)</f>
        <v>0.39077380338797679</v>
      </c>
      <c r="D7507" s="1">
        <f>0.655851957840277*(10.3/7.3)</f>
        <v>0.92538015969244547</v>
      </c>
      <c r="E7507" s="1">
        <f>2.22599934495885*(10.3/7.3)</f>
        <v>3.1407935963117963</v>
      </c>
      <c r="F7507" s="1">
        <f>6.65603525380915*(38.9/42.5)</f>
        <v>6.092229914662961</v>
      </c>
      <c r="G7507" s="1">
        <v>0.36690578038953164</v>
      </c>
      <c r="H7507" s="1">
        <v>1.3496135743483868</v>
      </c>
      <c r="I7507" s="1">
        <v>4.7301459915347408</v>
      </c>
      <c r="J7507" s="1">
        <v>1.093049287859452E-2</v>
      </c>
      <c r="K7507" s="1">
        <v>1.1663767415697568</v>
      </c>
      <c r="L7507" s="1">
        <v>0.86195778374529364</v>
      </c>
      <c r="M7507" s="1">
        <v>9.0546078390895013E-2</v>
      </c>
      <c r="N7507" s="1">
        <v>0.41900633664195663</v>
      </c>
      <c r="O7507" s="1">
        <v>9.5605333333333334E-2</v>
      </c>
      <c r="P7507" s="1">
        <v>5.6382571442840888E-2</v>
      </c>
      <c r="Q7507" s="1">
        <v>0.5863791010791608</v>
      </c>
      <c r="R7507" s="2">
        <f t="shared" si="471"/>
        <v>17.582221921406997</v>
      </c>
      <c r="S7507" s="2">
        <f t="shared" si="470"/>
        <v>1.2336898058911923</v>
      </c>
      <c r="T7507" s="2">
        <f t="shared" si="472"/>
        <v>1.4671155321114786</v>
      </c>
      <c r="U7507" s="2">
        <f t="shared" si="473"/>
        <v>20.283027259409668</v>
      </c>
    </row>
    <row r="7508" spans="1:21" x14ac:dyDescent="0.25">
      <c r="A7508">
        <v>8697733</v>
      </c>
      <c r="B7508">
        <v>28</v>
      </c>
      <c r="C7508" s="1">
        <f>0.319156914642125*(10.3/7.3)</f>
        <v>0.45031729052245079</v>
      </c>
      <c r="D7508" s="1">
        <f>0.800122796357831*(10.3/7.3)</f>
        <v>1.1289403839021457</v>
      </c>
      <c r="E7508" s="1">
        <f>2.70699985342568*(10.3/7.3)</f>
        <v>3.8194655466143139</v>
      </c>
      <c r="F7508" s="1">
        <f>8.3517014630559*(38.9/42.5)</f>
        <v>7.6442632214793997</v>
      </c>
      <c r="G7508" s="1">
        <v>0.46924292876359919</v>
      </c>
      <c r="H7508" s="1">
        <v>1.7139616363750922</v>
      </c>
      <c r="I7508" s="1">
        <v>5.9384142205657531</v>
      </c>
      <c r="J7508" s="1">
        <v>1.1832779848968742E-2</v>
      </c>
      <c r="K7508" s="1">
        <v>1.2416916647008218</v>
      </c>
      <c r="L7508" s="1">
        <v>0.93423689964226686</v>
      </c>
      <c r="M7508" s="1">
        <v>9.7096752203046671E-2</v>
      </c>
      <c r="N7508" s="1">
        <v>0.4516351388412953</v>
      </c>
      <c r="O7508" s="1">
        <v>0.10223047619047619</v>
      </c>
      <c r="P7508" s="1">
        <v>5.9664379044881997E-2</v>
      </c>
      <c r="Q7508" s="1">
        <v>0.74993162131168867</v>
      </c>
      <c r="R7508" s="2">
        <f t="shared" si="471"/>
        <v>21.914536849534443</v>
      </c>
      <c r="S7508" s="2">
        <f t="shared" si="470"/>
        <v>1.3131888235946727</v>
      </c>
      <c r="T7508" s="2">
        <f t="shared" si="472"/>
        <v>1.5851992668770851</v>
      </c>
      <c r="U7508" s="2">
        <f t="shared" si="473"/>
        <v>24.812924940006198</v>
      </c>
    </row>
    <row r="7509" spans="1:21" x14ac:dyDescent="0.25">
      <c r="A7509">
        <v>8697741</v>
      </c>
      <c r="B7509">
        <v>61</v>
      </c>
      <c r="C7509" s="1">
        <f>0.340734070124008*(10.3/7.3)</f>
        <v>0.48076177017497002</v>
      </c>
      <c r="D7509" s="1">
        <f>0.889051004074005*(10.3/7.3)</f>
        <v>1.2544144304057876</v>
      </c>
      <c r="E7509" s="1">
        <f>2.99879200147953*(10.3/7.3)</f>
        <v>4.2311722760601658</v>
      </c>
      <c r="F7509" s="1">
        <f>9.57987159413305*(38.9/42.5)</f>
        <v>8.7684001179241342</v>
      </c>
      <c r="G7509" s="1">
        <v>0.54846007780788009</v>
      </c>
      <c r="H7509" s="1">
        <v>2.5510220715581431</v>
      </c>
      <c r="I7509" s="1">
        <v>6.8385692628800889</v>
      </c>
      <c r="J7509" s="1">
        <v>1.2169508375702284E-2</v>
      </c>
      <c r="K7509" s="1">
        <v>1.2660824749699029</v>
      </c>
      <c r="L7509" s="1">
        <v>0.95580499665788632</v>
      </c>
      <c r="M7509" s="1">
        <v>9.7977123264375854E-2</v>
      </c>
      <c r="N7509" s="1">
        <v>0.46166858456100091</v>
      </c>
      <c r="O7509" s="1">
        <v>0.10407606557377048</v>
      </c>
      <c r="P7509" s="1">
        <v>6.0800886104022317E-2</v>
      </c>
      <c r="Q7509" s="1">
        <v>0.87653437092583697</v>
      </c>
      <c r="R7509" s="2">
        <f t="shared" si="471"/>
        <v>25.549334377737004</v>
      </c>
      <c r="S7509" s="2">
        <f t="shared" si="470"/>
        <v>1.3390528694496275</v>
      </c>
      <c r="T7509" s="2">
        <f t="shared" si="472"/>
        <v>1.6195267700570335</v>
      </c>
      <c r="U7509" s="2">
        <f t="shared" si="473"/>
        <v>28.507914017243664</v>
      </c>
    </row>
    <row r="7510" spans="1:21" x14ac:dyDescent="0.25">
      <c r="A7510">
        <v>8697749</v>
      </c>
      <c r="B7510">
        <v>55</v>
      </c>
      <c r="C7510" s="1">
        <f>0.541954937295458*(10.3/7.3)</f>
        <v>0.76467614440318066</v>
      </c>
      <c r="D7510" s="1">
        <f>1.61435886142323*(10.3/7.3)</f>
        <v>2.2777940099533271</v>
      </c>
      <c r="E7510" s="1">
        <f>5.4067216396548*(10.3/7.3)</f>
        <v>7.6286620395129301</v>
      </c>
      <c r="F7510" s="1">
        <f>18.4916443720108*(38.9/42.5)</f>
        <v>16.925293319322783</v>
      </c>
      <c r="G7510" s="1">
        <v>1.0972234277248236</v>
      </c>
      <c r="H7510" s="1">
        <v>3.4225849434747784</v>
      </c>
      <c r="I7510" s="1">
        <v>13.238225123549098</v>
      </c>
      <c r="J7510" s="1">
        <v>1.722771585094347E-2</v>
      </c>
      <c r="K7510" s="1">
        <v>1.6710596689469346</v>
      </c>
      <c r="L7510" s="1">
        <v>1.3623241132239532</v>
      </c>
      <c r="M7510" s="1">
        <v>0.13457136310863177</v>
      </c>
      <c r="N7510" s="1">
        <v>0.62735321913158704</v>
      </c>
      <c r="O7510" s="1">
        <v>0.14493381818181819</v>
      </c>
      <c r="P7510" s="1">
        <v>7.8528665623440158E-2</v>
      </c>
      <c r="Q7510" s="1">
        <v>1.7535534233045142</v>
      </c>
      <c r="R7510" s="2">
        <f t="shared" si="471"/>
        <v>47.108012431245442</v>
      </c>
      <c r="S7510" s="2">
        <f t="shared" si="470"/>
        <v>1.7668160504213182</v>
      </c>
      <c r="T7510" s="2">
        <f t="shared" si="472"/>
        <v>2.2691825136459904</v>
      </c>
      <c r="U7510" s="2">
        <f t="shared" si="473"/>
        <v>51.144010995312755</v>
      </c>
    </row>
    <row r="7511" spans="1:21" x14ac:dyDescent="0.25">
      <c r="A7511">
        <v>8697757</v>
      </c>
      <c r="B7511">
        <v>64</v>
      </c>
      <c r="C7511" s="1">
        <f>0.348143756636776*(10.3/7.3)</f>
        <v>0.49121653333682064</v>
      </c>
      <c r="D7511" s="1">
        <f>0.98720099790874*(10.3/7.3)</f>
        <v>1.3929000381452081</v>
      </c>
      <c r="E7511" s="1">
        <f>3.30887387186734*(10.3/7.3)</f>
        <v>4.6686850520867997</v>
      </c>
      <c r="F7511" s="1">
        <f>11.3504742095696*(38.9/42.5)</f>
        <v>10.389022276523695</v>
      </c>
      <c r="G7511" s="1">
        <v>0.67308463592905365</v>
      </c>
      <c r="H7511" s="1">
        <v>2.8484576935301482</v>
      </c>
      <c r="I7511" s="1">
        <v>8.1706073797553724</v>
      </c>
      <c r="J7511" s="1">
        <v>1.2412829591155278E-2</v>
      </c>
      <c r="K7511" s="1">
        <v>1.2716553724960924</v>
      </c>
      <c r="L7511" s="1">
        <v>0.95986714511107274</v>
      </c>
      <c r="M7511" s="1">
        <v>9.8968583272596389E-2</v>
      </c>
      <c r="N7511" s="1">
        <v>0.46627348378082906</v>
      </c>
      <c r="O7511" s="1">
        <v>0.10423416666666666</v>
      </c>
      <c r="P7511" s="1">
        <v>6.0754367333261422E-2</v>
      </c>
      <c r="Q7511" s="1">
        <v>1.0757060391560229</v>
      </c>
      <c r="R7511" s="2">
        <f t="shared" si="471"/>
        <v>29.709679648463123</v>
      </c>
      <c r="S7511" s="2">
        <f t="shared" si="470"/>
        <v>1.3448225694205089</v>
      </c>
      <c r="T7511" s="2">
        <f t="shared" si="472"/>
        <v>1.6293433788311649</v>
      </c>
      <c r="U7511" s="2">
        <f t="shared" si="473"/>
        <v>32.683845596714796</v>
      </c>
    </row>
    <row r="7512" spans="1:21" x14ac:dyDescent="0.25">
      <c r="A7512">
        <v>8697765</v>
      </c>
      <c r="B7512">
        <v>54</v>
      </c>
      <c r="C7512" s="1">
        <f>0.365927647153803*(10.3/7.3)</f>
        <v>0.51630887201153053</v>
      </c>
      <c r="D7512" s="1">
        <f>0.993144572110853*(10.3/7.3)</f>
        <v>1.4012861770879157</v>
      </c>
      <c r="E7512" s="1">
        <f>3.35150658813319*(10.3/7.3)</f>
        <v>4.7288380627084727</v>
      </c>
      <c r="F7512" s="1">
        <f>10.4758186729888*(38.9/42.5)</f>
        <v>9.5884552089239037</v>
      </c>
      <c r="G7512" s="1">
        <v>0.59463055020185773</v>
      </c>
      <c r="H7512" s="1">
        <v>4.438030647900554</v>
      </c>
      <c r="I7512" s="1">
        <v>7.403194132683641</v>
      </c>
      <c r="J7512" s="1">
        <v>1.3203435691211155E-2</v>
      </c>
      <c r="K7512" s="1">
        <v>1.2831365597122475</v>
      </c>
      <c r="L7512" s="1">
        <v>0.97216726951388299</v>
      </c>
      <c r="M7512" s="1">
        <v>9.9380698319060198E-2</v>
      </c>
      <c r="N7512" s="1">
        <v>0.47181500385601088</v>
      </c>
      <c r="O7512" s="1">
        <v>0.10418666666666665</v>
      </c>
      <c r="P7512" s="1">
        <v>6.0885538406834354E-2</v>
      </c>
      <c r="Q7512" s="1">
        <v>0.95032279712625756</v>
      </c>
      <c r="R7512" s="2">
        <f t="shared" si="471"/>
        <v>29.621066448644132</v>
      </c>
      <c r="S7512" s="2">
        <f t="shared" si="470"/>
        <v>1.357225533810293</v>
      </c>
      <c r="T7512" s="2">
        <f t="shared" si="472"/>
        <v>1.6475496383556207</v>
      </c>
      <c r="U7512" s="2">
        <f t="shared" si="473"/>
        <v>32.62584162081005</v>
      </c>
    </row>
    <row r="7513" spans="1:21" x14ac:dyDescent="0.25">
      <c r="A7513">
        <v>8697773</v>
      </c>
      <c r="B7513">
        <v>52</v>
      </c>
      <c r="C7513" s="1">
        <f>0.392027136210062*(10.3/7.3)</f>
        <v>0.55313417848817026</v>
      </c>
      <c r="D7513" s="1">
        <f>1.07937942046599*(10.3/7.3)</f>
        <v>1.5229600042191396</v>
      </c>
      <c r="E7513" s="1">
        <f>3.64948878791198*(10.3/7.3)</f>
        <v>5.1492787007525234</v>
      </c>
      <c r="F7513" s="1">
        <f>10.9904590664948*(38.9/42.5)</f>
        <v>10.059502533803489</v>
      </c>
      <c r="G7513" s="1">
        <v>0.61283362604349612</v>
      </c>
      <c r="H7513" s="1">
        <v>5.3005795749546412</v>
      </c>
      <c r="I7513" s="1">
        <v>7.6770320467539417</v>
      </c>
      <c r="J7513" s="1">
        <v>1.3169272460960736E-2</v>
      </c>
      <c r="K7513" s="1">
        <v>1.3674458180994218</v>
      </c>
      <c r="L7513" s="1">
        <v>1.0582691721915407</v>
      </c>
      <c r="M7513" s="1">
        <v>0.10732917894217756</v>
      </c>
      <c r="N7513" s="1">
        <v>0.50553761464294322</v>
      </c>
      <c r="O7513" s="1">
        <v>0.112854358974359</v>
      </c>
      <c r="P7513" s="1">
        <v>6.4646870875130422E-2</v>
      </c>
      <c r="Q7513" s="1">
        <v>0.97941447084577071</v>
      </c>
      <c r="R7513" s="2">
        <f t="shared" si="471"/>
        <v>31.854735135861173</v>
      </c>
      <c r="S7513" s="2">
        <f t="shared" si="470"/>
        <v>1.4452619614355129</v>
      </c>
      <c r="T7513" s="2">
        <f t="shared" si="472"/>
        <v>1.7839903247510203</v>
      </c>
      <c r="U7513" s="2">
        <f t="shared" si="473"/>
        <v>35.083987422047706</v>
      </c>
    </row>
    <row r="7514" spans="1:21" x14ac:dyDescent="0.25">
      <c r="A7514">
        <v>8697781</v>
      </c>
      <c r="B7514">
        <v>68</v>
      </c>
      <c r="C7514" s="1">
        <f>0.322650335426233*(10.3/7.3)</f>
        <v>0.45524636368358951</v>
      </c>
      <c r="D7514" s="1">
        <f>0.845651414491441*(10.3/7.3)</f>
        <v>1.1931793930495675</v>
      </c>
      <c r="E7514" s="1">
        <f>2.86689583440461*(10.3/7.3)</f>
        <v>4.0450722047078687</v>
      </c>
      <c r="F7514" s="1">
        <f>8.3951782747818*(38.9/42.5)</f>
        <v>7.6840572915061669</v>
      </c>
      <c r="G7514" s="1">
        <v>0.460183268531693</v>
      </c>
      <c r="H7514" s="1">
        <v>2.1402910452350064</v>
      </c>
      <c r="I7514" s="1">
        <v>5.8543579482909083</v>
      </c>
      <c r="J7514" s="1">
        <v>1.1546880624385742E-2</v>
      </c>
      <c r="K7514" s="1">
        <v>1.2300241391345108</v>
      </c>
      <c r="L7514" s="1">
        <v>0.91507825762680006</v>
      </c>
      <c r="M7514" s="1">
        <v>9.4915094188910878E-2</v>
      </c>
      <c r="N7514" s="1">
        <v>0.45284817573812297</v>
      </c>
      <c r="O7514" s="1">
        <v>9.8309803921568614E-2</v>
      </c>
      <c r="P7514" s="1">
        <v>5.8495914713971565E-2</v>
      </c>
      <c r="Q7514" s="1">
        <v>0.73545271226526376</v>
      </c>
      <c r="R7514" s="2">
        <f t="shared" si="471"/>
        <v>22.567840227270064</v>
      </c>
      <c r="S7514" s="2">
        <f t="shared" si="470"/>
        <v>1.3000669344728681</v>
      </c>
      <c r="T7514" s="2">
        <f t="shared" si="472"/>
        <v>1.5611513314754026</v>
      </c>
      <c r="U7514" s="2">
        <f t="shared" si="473"/>
        <v>25.429058493218339</v>
      </c>
    </row>
    <row r="7515" spans="1:21" x14ac:dyDescent="0.25">
      <c r="A7515">
        <v>8697789</v>
      </c>
      <c r="B7515">
        <v>68</v>
      </c>
      <c r="C7515" s="1">
        <f>0.264493288683141*(10.3/7.3)</f>
        <v>0.37318916074470626</v>
      </c>
      <c r="D7515" s="1">
        <f>0.655448578841713*(10.3/7.3)</f>
        <v>0.92481100850269171</v>
      </c>
      <c r="E7515" s="1">
        <f>2.22919806662862*(10.3/7.3)</f>
        <v>3.1453068611335264</v>
      </c>
      <c r="F7515" s="1">
        <f>6.30682691909932*(38.9/42.5)</f>
        <v>5.7726015800697335</v>
      </c>
      <c r="G7515" s="1">
        <v>0.33814789602989076</v>
      </c>
      <c r="H7515" s="1">
        <v>1.2638906875142935</v>
      </c>
      <c r="I7515" s="1">
        <v>4.3886950182856461</v>
      </c>
      <c r="J7515" s="1">
        <v>9.9575512170864498E-3</v>
      </c>
      <c r="K7515" s="1">
        <v>1.0688807672974072</v>
      </c>
      <c r="L7515" s="1">
        <v>0.77041745960750863</v>
      </c>
      <c r="M7515" s="1">
        <v>8.2224247069342712E-2</v>
      </c>
      <c r="N7515" s="1">
        <v>0.39190541078012092</v>
      </c>
      <c r="O7515" s="1">
        <v>8.4079215686274481E-2</v>
      </c>
      <c r="P7515" s="1">
        <v>5.1308704189026166E-2</v>
      </c>
      <c r="Q7515" s="1">
        <v>0.54041901191991715</v>
      </c>
      <c r="R7515" s="2">
        <f t="shared" si="471"/>
        <v>16.747061224200404</v>
      </c>
      <c r="S7515" s="2">
        <f t="shared" si="470"/>
        <v>1.1301470227035197</v>
      </c>
      <c r="T7515" s="2">
        <f t="shared" si="472"/>
        <v>1.3286263331432466</v>
      </c>
      <c r="U7515" s="2">
        <f t="shared" si="473"/>
        <v>19.205834580047171</v>
      </c>
    </row>
    <row r="7516" spans="1:21" x14ac:dyDescent="0.25">
      <c r="A7516">
        <v>8697797</v>
      </c>
      <c r="B7516">
        <v>47</v>
      </c>
      <c r="C7516" s="1">
        <f>0.226722950138255*(10.3/7.3)</f>
        <v>0.31989676526356503</v>
      </c>
      <c r="D7516" s="1">
        <f>0.549001559372161*(10.3/7.3)</f>
        <v>0.77461863856620017</v>
      </c>
      <c r="E7516" s="1">
        <f>1.86969365100583*(10.3/7.3)</f>
        <v>2.6380609048438433</v>
      </c>
      <c r="F7516" s="1">
        <f>5.21236811734213*(38.9/42.5)</f>
        <v>4.7708498768143253</v>
      </c>
      <c r="G7516" s="1">
        <v>0.27671821869123098</v>
      </c>
      <c r="H7516" s="1">
        <v>1.0731922430511551</v>
      </c>
      <c r="I7516" s="1">
        <v>3.6239945044811233</v>
      </c>
      <c r="J7516" s="1">
        <v>9.6801019841801662E-3</v>
      </c>
      <c r="K7516" s="1">
        <v>1.0392210836939053</v>
      </c>
      <c r="L7516" s="1">
        <v>0.74735387340091763</v>
      </c>
      <c r="M7516" s="1">
        <v>8.0442524874936472E-2</v>
      </c>
      <c r="N7516" s="1">
        <v>0.38196252812350023</v>
      </c>
      <c r="O7516" s="1">
        <v>8.2160567375886534E-2</v>
      </c>
      <c r="P7516" s="1">
        <v>4.9954754583805029E-2</v>
      </c>
      <c r="Q7516" s="1">
        <v>0.4422437285019678</v>
      </c>
      <c r="R7516" s="2">
        <f t="shared" si="471"/>
        <v>13.91957488021341</v>
      </c>
      <c r="S7516" s="2">
        <f t="shared" si="470"/>
        <v>1.0988559402618905</v>
      </c>
      <c r="T7516" s="2">
        <f t="shared" si="472"/>
        <v>1.2919194937752407</v>
      </c>
      <c r="U7516" s="2">
        <f t="shared" si="473"/>
        <v>16.310350314250542</v>
      </c>
    </row>
    <row r="7517" spans="1:21" x14ac:dyDescent="0.25">
      <c r="A7517">
        <v>8697997</v>
      </c>
      <c r="B7517">
        <v>12</v>
      </c>
      <c r="C7517" s="1">
        <f>0.383720964832229*(10.3/7.3)</f>
        <v>0.54141451202355606</v>
      </c>
      <c r="D7517" s="1">
        <f>1.43535603660781*(10.3/7.3)</f>
        <v>2.0252283804192364</v>
      </c>
      <c r="E7517" s="1">
        <f>4.80442688854435*(10.3/7.3)</f>
        <v>6.7788488975351813</v>
      </c>
      <c r="F7517" s="1">
        <f>15.5888044656372*(38.9/42.5)</f>
        <v>14.268341028547907</v>
      </c>
      <c r="G7517" s="1">
        <v>0.91133640548122141</v>
      </c>
      <c r="H7517" s="1">
        <v>5.1906276463782284</v>
      </c>
      <c r="I7517" s="1">
        <v>10.784990139532143</v>
      </c>
      <c r="J7517" s="1">
        <v>1.399054998817517E-2</v>
      </c>
      <c r="K7517" s="1">
        <v>1.169542935672047</v>
      </c>
      <c r="L7517" s="1">
        <v>0.92028428687404162</v>
      </c>
      <c r="M7517" s="1">
        <v>8.5561669978487756E-2</v>
      </c>
      <c r="N7517" s="1">
        <v>0.5198993353955893</v>
      </c>
      <c r="O7517" s="1">
        <v>8.135555555555557E-2</v>
      </c>
      <c r="P7517" s="1">
        <v>5.2964187780185863E-2</v>
      </c>
      <c r="Q7517" s="1">
        <v>1.4564737073900809</v>
      </c>
      <c r="R7517" s="2">
        <f t="shared" si="471"/>
        <v>41.957260717307555</v>
      </c>
      <c r="S7517" s="2">
        <f t="shared" si="470"/>
        <v>1.2364976734404081</v>
      </c>
      <c r="T7517" s="2">
        <f t="shared" si="472"/>
        <v>1.6071008478036743</v>
      </c>
      <c r="U7517" s="2">
        <f t="shared" si="473"/>
        <v>44.800859238551638</v>
      </c>
    </row>
    <row r="7518" spans="1:21" x14ac:dyDescent="0.25">
      <c r="A7518">
        <v>8698013</v>
      </c>
      <c r="B7518">
        <v>11</v>
      </c>
      <c r="C7518" s="1">
        <f>0.450033533296092*(10.3/7.3)</f>
        <v>0.63497882095202007</v>
      </c>
      <c r="D7518" s="1">
        <f>1.73593803509414*(10.3/7.3)</f>
        <v>2.4493372275985763</v>
      </c>
      <c r="E7518" s="1">
        <f>5.81422104913054*(10.3/7.3)</f>
        <v>8.2036269597321354</v>
      </c>
      <c r="F7518" s="1">
        <f>18.5333364315593*(38.9/42.5)</f>
        <v>16.963453816180149</v>
      </c>
      <c r="G7518" s="1">
        <v>1.0759731769470442</v>
      </c>
      <c r="H7518" s="1">
        <v>6.82963258732768</v>
      </c>
      <c r="I7518" s="1">
        <v>12.723811462358112</v>
      </c>
      <c r="J7518" s="1">
        <v>1.6705878937964835E-2</v>
      </c>
      <c r="K7518" s="1">
        <v>1.2058417737611171</v>
      </c>
      <c r="L7518" s="1">
        <v>0.96583880410779843</v>
      </c>
      <c r="M7518" s="1">
        <v>8.4242976370573458E-2</v>
      </c>
      <c r="N7518" s="1">
        <v>0.54972609473281941</v>
      </c>
      <c r="O7518" s="1">
        <v>8.3369696969696969E-2</v>
      </c>
      <c r="P7518" s="1">
        <v>5.3906283460837541E-2</v>
      </c>
      <c r="Q7518" s="1">
        <v>1.7195918353034969</v>
      </c>
      <c r="R7518" s="2">
        <f t="shared" si="471"/>
        <v>50.600405886399216</v>
      </c>
      <c r="S7518" s="2">
        <f t="shared" si="470"/>
        <v>1.2764539361599194</v>
      </c>
      <c r="T7518" s="2">
        <f t="shared" si="472"/>
        <v>1.6831775721808881</v>
      </c>
      <c r="U7518" s="2">
        <f t="shared" si="473"/>
        <v>53.560037394740021</v>
      </c>
    </row>
    <row r="7519" spans="1:21" x14ac:dyDescent="0.25">
      <c r="A7519">
        <v>8698021</v>
      </c>
      <c r="B7519">
        <v>61</v>
      </c>
      <c r="C7519" s="1">
        <f>0.367147346286274*(10.3/7.3)</f>
        <v>0.5180298173628255</v>
      </c>
      <c r="D7519" s="1">
        <f>1.24214248619088*(10.3/7.3)</f>
        <v>1.7526120010638493</v>
      </c>
      <c r="E7519" s="1">
        <f>4.17913512648719*(10.3/7.3)</f>
        <v>5.8965879181942524</v>
      </c>
      <c r="F7519" s="1">
        <f>12.8044928458765*(38.9/42.5)</f>
        <v>11.719876981284633</v>
      </c>
      <c r="G7519" s="1">
        <v>0.72646590286459711</v>
      </c>
      <c r="H7519" s="1">
        <v>3.6119480854175126</v>
      </c>
      <c r="I7519" s="1">
        <v>8.7913303910073655</v>
      </c>
      <c r="J7519" s="1">
        <v>1.3399063615252975E-2</v>
      </c>
      <c r="K7519" s="1">
        <v>1.0983786771986623</v>
      </c>
      <c r="L7519" s="1">
        <v>0.8574202733102364</v>
      </c>
      <c r="M7519" s="1">
        <v>7.6547084899202505E-2</v>
      </c>
      <c r="N7519" s="1">
        <v>0.50255187130103196</v>
      </c>
      <c r="O7519" s="1">
        <v>7.4369398907103826E-2</v>
      </c>
      <c r="P7519" s="1">
        <v>4.9701172488020348E-2</v>
      </c>
      <c r="Q7519" s="1">
        <v>1.1610185662219603</v>
      </c>
      <c r="R7519" s="2">
        <f t="shared" si="471"/>
        <v>34.177869663416999</v>
      </c>
      <c r="S7519" s="2">
        <f t="shared" si="470"/>
        <v>1.1614789133019356</v>
      </c>
      <c r="T7519" s="2">
        <f t="shared" si="472"/>
        <v>1.5108886284175747</v>
      </c>
      <c r="U7519" s="2">
        <f t="shared" si="473"/>
        <v>36.850237205136509</v>
      </c>
    </row>
    <row r="7520" spans="1:21" x14ac:dyDescent="0.25">
      <c r="A7520">
        <v>8698029</v>
      </c>
      <c r="B7520">
        <v>44</v>
      </c>
      <c r="C7520" s="1">
        <f>0.382643464800448*(10.3/7.3)</f>
        <v>0.53989420375953645</v>
      </c>
      <c r="D7520" s="1">
        <f>1.29021165362128*(10.3/7.3)</f>
        <v>1.8204356208629011</v>
      </c>
      <c r="E7520" s="1">
        <f>4.33902495534373*(10.3/7.3)</f>
        <v>6.1221858958959476</v>
      </c>
      <c r="F7520" s="1">
        <f>13.4020053615379*(38.9/42.5)</f>
        <v>12.266776672089962</v>
      </c>
      <c r="G7520" s="1">
        <v>0.76322793197874494</v>
      </c>
      <c r="H7520" s="1">
        <v>4.5232383318419158</v>
      </c>
      <c r="I7520" s="1">
        <v>9.2264367213835055</v>
      </c>
      <c r="J7520" s="1">
        <v>1.3126736568751136E-2</v>
      </c>
      <c r="K7520" s="1">
        <v>1.0935376299454445</v>
      </c>
      <c r="L7520" s="1">
        <v>0.86910700589559942</v>
      </c>
      <c r="M7520" s="1">
        <v>7.7057550129029026E-2</v>
      </c>
      <c r="N7520" s="1">
        <v>0.5009160987018686</v>
      </c>
      <c r="O7520" s="1">
        <v>7.3741818181818186E-2</v>
      </c>
      <c r="P7520" s="1">
        <v>4.9877019602956832E-2</v>
      </c>
      <c r="Q7520" s="1">
        <v>1.2197706675459405</v>
      </c>
      <c r="R7520" s="2">
        <f t="shared" si="471"/>
        <v>36.481966045358448</v>
      </c>
      <c r="S7520" s="2">
        <f t="shared" si="470"/>
        <v>1.1565413861171523</v>
      </c>
      <c r="T7520" s="2">
        <f t="shared" si="472"/>
        <v>1.5208224729083153</v>
      </c>
      <c r="U7520" s="2">
        <f t="shared" si="473"/>
        <v>39.159329904383917</v>
      </c>
    </row>
    <row r="7521" spans="1:21" x14ac:dyDescent="0.25">
      <c r="A7521">
        <v>8698037</v>
      </c>
      <c r="B7521">
        <v>10</v>
      </c>
      <c r="C7521" s="1">
        <f>0.400725369702296*(10.3/7.3)</f>
        <v>0.56540702848406177</v>
      </c>
      <c r="D7521" s="1">
        <f>1.35168932172878*(10.3/7.3)</f>
        <v>1.907178084083073</v>
      </c>
      <c r="E7521" s="1">
        <f>4.54494528594561*(10.3/7.3)</f>
        <v>6.4127310198958591</v>
      </c>
      <c r="F7521" s="1">
        <f>14.0793704449513*(38.9/42.5)</f>
        <v>12.88676494843777</v>
      </c>
      <c r="G7521" s="1">
        <v>0.80294169129285875</v>
      </c>
      <c r="H7521" s="1">
        <v>4.5945578351180334</v>
      </c>
      <c r="I7521" s="1">
        <v>9.7007302130044426</v>
      </c>
      <c r="J7521" s="1">
        <v>1.3011360001134408E-2</v>
      </c>
      <c r="K7521" s="1">
        <v>1.0957441007736111</v>
      </c>
      <c r="L7521" s="1">
        <v>0.88466510519884733</v>
      </c>
      <c r="M7521" s="1">
        <v>7.7494408825405481E-2</v>
      </c>
      <c r="N7521" s="1">
        <v>0.4959050902784729</v>
      </c>
      <c r="O7521" s="1">
        <v>7.4415999999999996E-2</v>
      </c>
      <c r="P7521" s="1">
        <v>5.0275009973261932E-2</v>
      </c>
      <c r="Q7521" s="1">
        <v>1.2832401459018308</v>
      </c>
      <c r="R7521" s="2">
        <f t="shared" si="471"/>
        <v>38.153550966217921</v>
      </c>
      <c r="S7521" s="2">
        <f t="shared" si="470"/>
        <v>1.1590304707480072</v>
      </c>
      <c r="T7521" s="2">
        <f t="shared" si="472"/>
        <v>1.5324806043027257</v>
      </c>
      <c r="U7521" s="2">
        <f t="shared" si="473"/>
        <v>40.845062041268655</v>
      </c>
    </row>
    <row r="7522" spans="1:21" x14ac:dyDescent="0.25">
      <c r="A7522">
        <v>8698101</v>
      </c>
      <c r="B7522">
        <v>19</v>
      </c>
      <c r="C7522" s="1">
        <f>0.441789464606826*(10.3/7.3)</f>
        <v>0.62334677882880896</v>
      </c>
      <c r="D7522" s="1">
        <f>1.29699780641573*(10.3/7.3)</f>
        <v>1.8300106035728811</v>
      </c>
      <c r="E7522" s="1">
        <f>4.38053721313083*(10.3/7.3)</f>
        <v>6.1807579856503496</v>
      </c>
      <c r="F7522" s="1">
        <f>13.141485572814*(38.9/42.5)</f>
        <v>12.028324441940317</v>
      </c>
      <c r="G7522" s="1">
        <v>0.73351904088716779</v>
      </c>
      <c r="H7522" s="1">
        <v>3.3765532503733349</v>
      </c>
      <c r="I7522" s="1">
        <v>9.1019187371154029</v>
      </c>
      <c r="J7522" s="1">
        <v>1.3483114928331678E-2</v>
      </c>
      <c r="K7522" s="1">
        <v>1.1119713907739401</v>
      </c>
      <c r="L7522" s="1">
        <v>0.89999725300731404</v>
      </c>
      <c r="M7522" s="1">
        <v>7.5938530457870579E-2</v>
      </c>
      <c r="N7522" s="1">
        <v>0.52339256840708936</v>
      </c>
      <c r="O7522" s="1">
        <v>7.1884912280701749E-2</v>
      </c>
      <c r="P7522" s="1">
        <v>4.9267523835445429E-2</v>
      </c>
      <c r="Q7522" s="1">
        <v>1.1722907046141966</v>
      </c>
      <c r="R7522" s="2">
        <f t="shared" si="471"/>
        <v>35.046721542982461</v>
      </c>
      <c r="S7522" s="2">
        <f t="shared" si="470"/>
        <v>1.1747220295377172</v>
      </c>
      <c r="T7522" s="2">
        <f t="shared" si="472"/>
        <v>1.5712132641529757</v>
      </c>
      <c r="U7522" s="2">
        <f t="shared" si="473"/>
        <v>37.792656836673153</v>
      </c>
    </row>
    <row r="7523" spans="1:21" x14ac:dyDescent="0.25">
      <c r="A7523">
        <v>8698109</v>
      </c>
      <c r="B7523">
        <v>49</v>
      </c>
      <c r="C7523" s="1">
        <f>0.470260697723778*(10.3/7.3)</f>
        <v>0.66351851870615297</v>
      </c>
      <c r="D7523" s="1">
        <f>1.38440356786519*(10.3/7.3)</f>
        <v>1.9533365409604697</v>
      </c>
      <c r="E7523" s="1">
        <f>4.67130351667124*(10.3/7.3)</f>
        <v>6.5910172906457243</v>
      </c>
      <c r="F7523" s="1">
        <f>14.2293069349119*(38.9/42.5)</f>
        <v>13.024000935719384</v>
      </c>
      <c r="G7523" s="1">
        <v>0.80045310556847094</v>
      </c>
      <c r="H7523" s="1">
        <v>4.1504181127251139</v>
      </c>
      <c r="I7523" s="1">
        <v>9.89494775805416</v>
      </c>
      <c r="J7523" s="1">
        <v>1.4138008535071429E-2</v>
      </c>
      <c r="K7523" s="1">
        <v>1.1502180937664082</v>
      </c>
      <c r="L7523" s="1">
        <v>0.93692641808838495</v>
      </c>
      <c r="M7523" s="1">
        <v>7.7659745521666532E-2</v>
      </c>
      <c r="N7523" s="1">
        <v>0.54769579426630777</v>
      </c>
      <c r="O7523" s="1">
        <v>7.3737142857142848E-2</v>
      </c>
      <c r="P7523" s="1">
        <v>5.043701909467236E-2</v>
      </c>
      <c r="Q7523" s="1">
        <v>1.2792629541048632</v>
      </c>
      <c r="R7523" s="2">
        <f t="shared" si="471"/>
        <v>38.356955216484337</v>
      </c>
      <c r="S7523" s="2">
        <f t="shared" si="470"/>
        <v>1.214793121396152</v>
      </c>
      <c r="T7523" s="2">
        <f t="shared" si="472"/>
        <v>1.6360191007335021</v>
      </c>
      <c r="U7523" s="2">
        <f t="shared" si="473"/>
        <v>41.207767438613992</v>
      </c>
    </row>
    <row r="7524" spans="1:21" x14ac:dyDescent="0.25">
      <c r="A7524">
        <v>8698117</v>
      </c>
      <c r="B7524">
        <v>1</v>
      </c>
      <c r="C7524" s="1">
        <f>0.527736643960941*(10.3/7.3)</f>
        <v>0.74461471682160207</v>
      </c>
      <c r="D7524" s="1">
        <f>1.57361269374553*(10.3/7.3)</f>
        <v>2.2203028418601369</v>
      </c>
      <c r="E7524" s="1">
        <f>5.3013185132768*(10.3/7.3)</f>
        <v>7.479942559828916</v>
      </c>
      <c r="F7524" s="1">
        <f>16.5138605245415*(38.9/42.5)</f>
        <v>15.115039397756844</v>
      </c>
      <c r="G7524" s="1">
        <v>0.93968909365174813</v>
      </c>
      <c r="H7524" s="1">
        <v>6.2546181378781815</v>
      </c>
      <c r="I7524" s="1">
        <v>11.53905883975467</v>
      </c>
      <c r="J7524" s="1">
        <v>1.5267047118471693E-2</v>
      </c>
      <c r="K7524" s="1">
        <v>1.2268224485824337</v>
      </c>
      <c r="L7524" s="1">
        <v>1.0162798563524422</v>
      </c>
      <c r="M7524" s="1">
        <v>8.2195511070678323E-2</v>
      </c>
      <c r="N7524" s="1">
        <v>0.58750219924379754</v>
      </c>
      <c r="O7524" s="1">
        <v>7.8986666666666677E-2</v>
      </c>
      <c r="P7524" s="1">
        <v>5.3505142973060645E-2</v>
      </c>
      <c r="Q7524" s="1">
        <v>1.5017862227311058</v>
      </c>
      <c r="R7524" s="2">
        <f t="shared" si="471"/>
        <v>45.795051810283205</v>
      </c>
      <c r="S7524" s="2">
        <f t="shared" si="470"/>
        <v>1.2955946386739661</v>
      </c>
      <c r="T7524" s="2">
        <f t="shared" si="472"/>
        <v>1.7649642333335849</v>
      </c>
      <c r="U7524" s="2">
        <f t="shared" si="473"/>
        <v>48.855610682290759</v>
      </c>
    </row>
    <row r="7525" spans="1:21" x14ac:dyDescent="0.25">
      <c r="A7525">
        <v>8709969</v>
      </c>
      <c r="B7525">
        <v>17</v>
      </c>
      <c r="C7525" s="1">
        <f>0.315491625922914*(10.3/7.3)</f>
        <v>0.44514571876794728</v>
      </c>
      <c r="D7525" s="1">
        <f>0.792105415314096*(10.3/7.3)</f>
        <v>1.1176281887308477</v>
      </c>
      <c r="E7525" s="1">
        <f>2.67936546985837*(10.3/7.3)</f>
        <v>3.7804745670604412</v>
      </c>
      <c r="F7525" s="1">
        <f>8.28802155603072*(38.9/42.5)</f>
        <v>7.5859773771669374</v>
      </c>
      <c r="G7525" s="1">
        <v>0.46630381377146563</v>
      </c>
      <c r="H7525" s="1">
        <v>1.8034735157655193</v>
      </c>
      <c r="I7525" s="1">
        <v>5.8959387276236592</v>
      </c>
      <c r="J7525" s="1">
        <v>1.170325516285029E-2</v>
      </c>
      <c r="K7525" s="1">
        <v>1.2297111342530547</v>
      </c>
      <c r="L7525" s="1">
        <v>0.92270947459186936</v>
      </c>
      <c r="M7525" s="1">
        <v>9.5365834096271945E-2</v>
      </c>
      <c r="N7525" s="1">
        <v>0.44737207899215564</v>
      </c>
      <c r="O7525" s="1">
        <v>0.10125176470588235</v>
      </c>
      <c r="P7525" s="1">
        <v>5.9316895009909915E-2</v>
      </c>
      <c r="Q7525" s="1">
        <v>0.74523440557083653</v>
      </c>
      <c r="R7525" s="2">
        <f t="shared" si="471"/>
        <v>21.840176314457654</v>
      </c>
      <c r="S7525" s="2">
        <f t="shared" si="470"/>
        <v>1.3007312844258148</v>
      </c>
      <c r="T7525" s="2">
        <f t="shared" si="472"/>
        <v>1.5666991523861793</v>
      </c>
      <c r="U7525" s="2">
        <f t="shared" si="473"/>
        <v>24.707606751269648</v>
      </c>
    </row>
    <row r="7526" spans="1:21" x14ac:dyDescent="0.25">
      <c r="A7526">
        <v>8709977</v>
      </c>
      <c r="B7526">
        <v>54</v>
      </c>
      <c r="C7526" s="1">
        <f>0.335650831643038*(10.3/7.3)</f>
        <v>0.47358952957853279</v>
      </c>
      <c r="D7526" s="1">
        <f>0.877081873158864*(10.3/7.3)</f>
        <v>1.237526478566616</v>
      </c>
      <c r="E7526" s="1">
        <f>2.95860959887565*(10.3/7.3)</f>
        <v>4.174476557317699</v>
      </c>
      <c r="F7526" s="1">
        <f>9.43670890090933*(38.9/42.5)</f>
        <v>8.6373641469499542</v>
      </c>
      <c r="G7526" s="1">
        <v>0.53990218249668276</v>
      </c>
      <c r="H7526" s="1">
        <v>1.9376576582728915</v>
      </c>
      <c r="I7526" s="1">
        <v>6.7326032928033062</v>
      </c>
      <c r="J7526" s="1">
        <v>1.2021782022673202E-2</v>
      </c>
      <c r="K7526" s="1">
        <v>1.2576655046668364</v>
      </c>
      <c r="L7526" s="1">
        <v>0.94756865669537915</v>
      </c>
      <c r="M7526" s="1">
        <v>9.8060504921437808E-2</v>
      </c>
      <c r="N7526" s="1">
        <v>0.45685916348964489</v>
      </c>
      <c r="O7526" s="1">
        <v>0.10312987654320988</v>
      </c>
      <c r="P7526" s="1">
        <v>6.0284476717722024E-2</v>
      </c>
      <c r="Q7526" s="1">
        <v>0.86285736928693713</v>
      </c>
      <c r="R7526" s="2">
        <f t="shared" si="471"/>
        <v>24.595977215272622</v>
      </c>
      <c r="S7526" s="2">
        <f t="shared" si="470"/>
        <v>1.3299717634072314</v>
      </c>
      <c r="T7526" s="2">
        <f t="shared" si="472"/>
        <v>1.6056182016496716</v>
      </c>
      <c r="U7526" s="2">
        <f t="shared" si="473"/>
        <v>27.531567180329528</v>
      </c>
    </row>
    <row r="7527" spans="1:21" x14ac:dyDescent="0.25">
      <c r="A7527">
        <v>8709985</v>
      </c>
      <c r="B7527">
        <v>61</v>
      </c>
      <c r="C7527" s="1">
        <f>0.480778692880975*(10.3/7.3)</f>
        <v>0.67835897762658093</v>
      </c>
      <c r="D7527" s="1">
        <f>1.38334187534615*(10.3/7.3)</f>
        <v>1.9518385364473008</v>
      </c>
      <c r="E7527" s="1">
        <f>4.64604286744013*(10.3/7.3)</f>
        <v>6.555375552689501</v>
      </c>
      <c r="F7527" s="1">
        <f>15.378661332304*(38.9/42.5)</f>
        <v>14.075998254744132</v>
      </c>
      <c r="G7527" s="1">
        <v>0.89857226509742683</v>
      </c>
      <c r="H7527" s="1">
        <v>3.7543733319513661</v>
      </c>
      <c r="I7527" s="1">
        <v>10.958528983551512</v>
      </c>
      <c r="J7527" s="1">
        <v>1.541201165339043E-2</v>
      </c>
      <c r="K7527" s="1">
        <v>1.5359855859351059</v>
      </c>
      <c r="L7527" s="1">
        <v>1.2270806824714333</v>
      </c>
      <c r="M7527" s="1">
        <v>0.12174708778588313</v>
      </c>
      <c r="N7527" s="1">
        <v>0.57150552386566889</v>
      </c>
      <c r="O7527" s="1">
        <v>0.1308537704918033</v>
      </c>
      <c r="P7527" s="1">
        <v>7.2407129567397768E-2</v>
      </c>
      <c r="Q7527" s="1">
        <v>1.4360743962744285</v>
      </c>
      <c r="R7527" s="2">
        <f t="shared" si="471"/>
        <v>40.309120298382247</v>
      </c>
      <c r="S7527" s="2">
        <f t="shared" si="470"/>
        <v>1.6238047271558942</v>
      </c>
      <c r="T7527" s="2">
        <f t="shared" si="472"/>
        <v>2.0511870646147887</v>
      </c>
      <c r="U7527" s="2">
        <f t="shared" si="473"/>
        <v>43.984112090152927</v>
      </c>
    </row>
    <row r="7528" spans="1:21" x14ac:dyDescent="0.25">
      <c r="A7528">
        <v>8709993</v>
      </c>
      <c r="B7528">
        <v>69</v>
      </c>
      <c r="C7528" s="1">
        <f>0.351525421834971*(10.3/7.3)</f>
        <v>0.49598792395893132</v>
      </c>
      <c r="D7528" s="1">
        <f>0.943729697059533*(10.3/7.3)</f>
        <v>1.3315638191387935</v>
      </c>
      <c r="E7528" s="1">
        <f>3.18299229771726*(10.3/7.3)</f>
        <v>4.4910713241764144</v>
      </c>
      <c r="F7528" s="1">
        <f>10.078030034105*(38.9/42.5)</f>
        <v>9.2243616076867276</v>
      </c>
      <c r="G7528" s="1">
        <v>0.57530458887680458</v>
      </c>
      <c r="H7528" s="1">
        <v>2.687405113261895</v>
      </c>
      <c r="I7528" s="1">
        <v>7.1546329081001634</v>
      </c>
      <c r="J7528" s="1">
        <v>1.2241581343868373E-2</v>
      </c>
      <c r="K7528" s="1">
        <v>1.2699204786557325</v>
      </c>
      <c r="L7528" s="1">
        <v>0.95677820750088471</v>
      </c>
      <c r="M7528" s="1">
        <v>9.8747020438532271E-2</v>
      </c>
      <c r="N7528" s="1">
        <v>0.46370030486823466</v>
      </c>
      <c r="O7528" s="1">
        <v>0.10319381642512078</v>
      </c>
      <c r="P7528" s="1">
        <v>6.0549841300885629E-2</v>
      </c>
      <c r="Q7528" s="1">
        <v>0.91943655756567066</v>
      </c>
      <c r="R7528" s="2">
        <f t="shared" si="471"/>
        <v>26.879763842765403</v>
      </c>
      <c r="S7528" s="2">
        <f t="shared" si="470"/>
        <v>1.3427119013004865</v>
      </c>
      <c r="T7528" s="2">
        <f t="shared" si="472"/>
        <v>1.6224193492327723</v>
      </c>
      <c r="U7528" s="2">
        <f t="shared" si="473"/>
        <v>29.844895093298661</v>
      </c>
    </row>
    <row r="7529" spans="1:21" x14ac:dyDescent="0.25">
      <c r="A7529">
        <v>8710001</v>
      </c>
      <c r="B7529">
        <v>64</v>
      </c>
      <c r="C7529" s="1">
        <f>0.353163478063885*(10.3/7.3)</f>
        <v>0.49829915398055052</v>
      </c>
      <c r="D7529" s="1">
        <f>0.935959486120646*(10.3/7.3)</f>
        <v>1.3206003708277612</v>
      </c>
      <c r="E7529" s="1">
        <f>3.16608487573671*(10.3/7.3)</f>
        <v>4.4672156465874124</v>
      </c>
      <c r="F7529" s="1">
        <f>9.5898809903703*(38.9/42.5)</f>
        <v>8.7775616594212842</v>
      </c>
      <c r="G7529" s="1">
        <v>0.53532128459716666</v>
      </c>
      <c r="H7529" s="1">
        <v>4.0532726171405757</v>
      </c>
      <c r="I7529" s="1">
        <v>6.7399989834507616</v>
      </c>
      <c r="J7529" s="1">
        <v>1.1988376615316026E-2</v>
      </c>
      <c r="K7529" s="1">
        <v>1.2524243773745583</v>
      </c>
      <c r="L7529" s="1">
        <v>0.94156809868617186</v>
      </c>
      <c r="M7529" s="1">
        <v>9.6625845283216355E-2</v>
      </c>
      <c r="N7529" s="1">
        <v>0.45778130198099676</v>
      </c>
      <c r="O7529" s="1">
        <v>0.10109083333333334</v>
      </c>
      <c r="P7529" s="1">
        <v>5.9555062818178121E-2</v>
      </c>
      <c r="Q7529" s="1">
        <v>0.8555362995845136</v>
      </c>
      <c r="R7529" s="2">
        <f t="shared" si="471"/>
        <v>27.247806015590026</v>
      </c>
      <c r="S7529" s="2">
        <f t="shared" si="470"/>
        <v>1.3239678168080522</v>
      </c>
      <c r="T7529" s="2">
        <f t="shared" si="472"/>
        <v>1.5970660792837184</v>
      </c>
      <c r="U7529" s="2">
        <f t="shared" si="473"/>
        <v>30.168839911681797</v>
      </c>
    </row>
    <row r="7530" spans="1:21" x14ac:dyDescent="0.25">
      <c r="A7530">
        <v>8710009</v>
      </c>
      <c r="B7530">
        <v>65</v>
      </c>
      <c r="C7530" s="1">
        <f>0.395379374520599*(10.3/7.3)</f>
        <v>0.55786404898111852</v>
      </c>
      <c r="D7530" s="1">
        <f>1.08277623839379*(10.3/7.3)</f>
        <v>1.5277527747200115</v>
      </c>
      <c r="E7530" s="1">
        <f>3.66350404877196*(10.3/7.3)</f>
        <v>5.1690536578563302</v>
      </c>
      <c r="F7530" s="1">
        <f>10.9237168624807*(38.9/42.5)</f>
        <v>9.9984137870706071</v>
      </c>
      <c r="G7530" s="1">
        <v>0.60585656616577077</v>
      </c>
      <c r="H7530" s="1">
        <v>3.1139192353480456</v>
      </c>
      <c r="I7530" s="1">
        <v>7.6143956907543329</v>
      </c>
      <c r="J7530" s="1">
        <v>1.3040213786683491E-2</v>
      </c>
      <c r="K7530" s="1">
        <v>1.3675457362961536</v>
      </c>
      <c r="L7530" s="1">
        <v>1.0518664348865372</v>
      </c>
      <c r="M7530" s="1">
        <v>0.10656852798268651</v>
      </c>
      <c r="N7530" s="1">
        <v>0.50473647778389807</v>
      </c>
      <c r="O7530" s="1">
        <v>0.11189169230769233</v>
      </c>
      <c r="P7530" s="1">
        <v>6.4603859432121991E-2</v>
      </c>
      <c r="Q7530" s="1">
        <v>0.96826391852977178</v>
      </c>
      <c r="R7530" s="2">
        <f t="shared" si="471"/>
        <v>29.555519679425984</v>
      </c>
      <c r="S7530" s="2">
        <f t="shared" si="470"/>
        <v>1.4451898095149591</v>
      </c>
      <c r="T7530" s="2">
        <f t="shared" si="472"/>
        <v>1.775063132960814</v>
      </c>
      <c r="U7530" s="2">
        <f t="shared" si="473"/>
        <v>32.775772621901758</v>
      </c>
    </row>
    <row r="7531" spans="1:21" x14ac:dyDescent="0.25">
      <c r="A7531">
        <v>8710017</v>
      </c>
      <c r="B7531">
        <v>65</v>
      </c>
      <c r="C7531" s="1">
        <f>0.285085632905047*(10.3/7.3)</f>
        <v>0.40224411218109407</v>
      </c>
      <c r="D7531" s="1">
        <f>0.713493722087378*(10.3/7.3)</f>
        <v>1.0067103202054781</v>
      </c>
      <c r="E7531" s="1">
        <f>2.42448149985509*(10.3/7.3)</f>
        <v>3.4208437600695123</v>
      </c>
      <c r="F7531" s="1">
        <f>6.94008966495509*(38.9/42.5)</f>
        <v>6.3522232462765418</v>
      </c>
      <c r="G7531" s="1">
        <v>0.37477957837066334</v>
      </c>
      <c r="H7531" s="1">
        <v>1.4078187830461657</v>
      </c>
      <c r="I7531" s="1">
        <v>4.8385819315494061</v>
      </c>
      <c r="J7531" s="1">
        <v>1.0481235520791799E-2</v>
      </c>
      <c r="K7531" s="1">
        <v>1.1236001242548539</v>
      </c>
      <c r="L7531" s="1">
        <v>0.81709693424391738</v>
      </c>
      <c r="M7531" s="1">
        <v>8.7016008927085192E-2</v>
      </c>
      <c r="N7531" s="1">
        <v>0.4130109184279393</v>
      </c>
      <c r="O7531" s="1">
        <v>8.8713846153846157E-2</v>
      </c>
      <c r="P7531" s="1">
        <v>5.379564871858343E-2</v>
      </c>
      <c r="Q7531" s="1">
        <v>0.59896279648279593</v>
      </c>
      <c r="R7531" s="2">
        <f t="shared" si="471"/>
        <v>18.402164528181657</v>
      </c>
      <c r="S7531" s="2">
        <f t="shared" si="470"/>
        <v>1.1878770084942289</v>
      </c>
      <c r="T7531" s="2">
        <f t="shared" si="472"/>
        <v>1.4058377077527879</v>
      </c>
      <c r="U7531" s="2">
        <f t="shared" si="473"/>
        <v>20.995879244428675</v>
      </c>
    </row>
    <row r="7532" spans="1:21" x14ac:dyDescent="0.25">
      <c r="A7532">
        <v>8710025</v>
      </c>
      <c r="B7532">
        <v>63</v>
      </c>
      <c r="C7532" s="1">
        <f>0.235874097847987*(10.3/7.3)</f>
        <v>0.33280865860743408</v>
      </c>
      <c r="D7532" s="1">
        <f>0.572066534548389*(10.3/7.3)</f>
        <v>0.80716237066416563</v>
      </c>
      <c r="E7532" s="1">
        <f>1.94778453550239*(10.3/7.3)</f>
        <v>2.7482439336540581</v>
      </c>
      <c r="F7532" s="1">
        <f>5.44987543131527*(38.9/42.5)</f>
        <v>4.9882389241920899</v>
      </c>
      <c r="G7532" s="1">
        <v>0.28997053899788722</v>
      </c>
      <c r="H7532" s="1">
        <v>1.1084343984512468</v>
      </c>
      <c r="I7532" s="1">
        <v>3.7921425704215475</v>
      </c>
      <c r="J7532" s="1">
        <v>9.680431581229873E-3</v>
      </c>
      <c r="K7532" s="1">
        <v>1.0417428986312172</v>
      </c>
      <c r="L7532" s="1">
        <v>0.74797479347948681</v>
      </c>
      <c r="M7532" s="1">
        <v>7.9678240157976712E-2</v>
      </c>
      <c r="N7532" s="1">
        <v>0.38219290917903675</v>
      </c>
      <c r="O7532" s="1">
        <v>8.1819259259259244E-2</v>
      </c>
      <c r="P7532" s="1">
        <v>5.0055242871754356E-2</v>
      </c>
      <c r="Q7532" s="1">
        <v>0.46342323584137274</v>
      </c>
      <c r="R7532" s="2">
        <f t="shared" si="471"/>
        <v>14.530424630829799</v>
      </c>
      <c r="S7532" s="2">
        <f t="shared" si="470"/>
        <v>1.1014785730842014</v>
      </c>
      <c r="T7532" s="2">
        <f t="shared" si="472"/>
        <v>1.2916652020757595</v>
      </c>
      <c r="U7532" s="2">
        <f t="shared" si="473"/>
        <v>16.923568405989759</v>
      </c>
    </row>
    <row r="7533" spans="1:21" x14ac:dyDescent="0.25">
      <c r="A7533">
        <v>8710033</v>
      </c>
      <c r="B7533">
        <v>7</v>
      </c>
      <c r="C7533" s="1">
        <f>0.145046496257168*(10.3/7.3)</f>
        <v>0.20465464540394912</v>
      </c>
      <c r="D7533" s="1">
        <f>0.303894789808111*(10.3/7.3)</f>
        <v>0.4287830595922657</v>
      </c>
      <c r="E7533" s="1">
        <f>1.04114564987078*(10.3/7.3)</f>
        <v>1.4690137251601367</v>
      </c>
      <c r="F7533" s="1">
        <f>2.78172576911836*(38.9/42.5)</f>
        <v>2.5460972333812726</v>
      </c>
      <c r="G7533" s="1">
        <v>0.14247235385595208</v>
      </c>
      <c r="H7533" s="1">
        <v>0.68621328350205613</v>
      </c>
      <c r="I7533" s="1">
        <v>1.9555917047234779</v>
      </c>
      <c r="J7533" s="1">
        <v>9.5544825173251337E-3</v>
      </c>
      <c r="K7533" s="1">
        <v>1.0298474929631547</v>
      </c>
      <c r="L7533" s="1">
        <v>0.74550117377315439</v>
      </c>
      <c r="M7533" s="1">
        <v>8.0108465070337517E-2</v>
      </c>
      <c r="N7533" s="1">
        <v>0.38164981372801454</v>
      </c>
      <c r="O7533" s="1">
        <v>8.1927619047619041E-2</v>
      </c>
      <c r="P7533" s="1">
        <v>4.9725596400467691E-2</v>
      </c>
      <c r="Q7533" s="1">
        <v>0.22769554269216111</v>
      </c>
      <c r="R7533" s="2">
        <f t="shared" si="471"/>
        <v>7.6605215483112721</v>
      </c>
      <c r="S7533" s="2">
        <f t="shared" si="470"/>
        <v>1.0891275718809474</v>
      </c>
      <c r="T7533" s="2">
        <f t="shared" si="472"/>
        <v>1.2891870716191256</v>
      </c>
      <c r="U7533" s="2">
        <f t="shared" si="473"/>
        <v>10.038836191811345</v>
      </c>
    </row>
    <row r="7534" spans="1:21" x14ac:dyDescent="0.25">
      <c r="A7534">
        <v>8710249</v>
      </c>
      <c r="B7534">
        <v>13</v>
      </c>
      <c r="C7534" s="1">
        <f>0.375393091657232*(10.3/7.3)</f>
        <v>0.52966422521499912</v>
      </c>
      <c r="D7534" s="1">
        <f>1.28687709719605*(10.3/7.3)</f>
        <v>1.8157306987834712</v>
      </c>
      <c r="E7534" s="1">
        <f>4.32718370023911*(10.3/7.3)</f>
        <v>6.1054783715702499</v>
      </c>
      <c r="F7534" s="1">
        <f>13.3347513606585*(38.9/42.5)</f>
        <v>12.205219480696854</v>
      </c>
      <c r="G7534" s="1">
        <v>0.75902917330689312</v>
      </c>
      <c r="H7534" s="1">
        <v>3.647967399428413</v>
      </c>
      <c r="I7534" s="1">
        <v>9.1593743404344412</v>
      </c>
      <c r="J7534" s="1">
        <v>1.3451608710960265E-2</v>
      </c>
      <c r="K7534" s="1">
        <v>1.0950007882424633</v>
      </c>
      <c r="L7534" s="1">
        <v>0.85227841796574544</v>
      </c>
      <c r="M7534" s="1">
        <v>7.6371440288415623E-2</v>
      </c>
      <c r="N7534" s="1">
        <v>0.49088739465658271</v>
      </c>
      <c r="O7534" s="1">
        <v>7.4350769230769234E-2</v>
      </c>
      <c r="P7534" s="1">
        <v>4.9634457883543558E-2</v>
      </c>
      <c r="Q7534" s="1">
        <v>1.2130603226365884</v>
      </c>
      <c r="R7534" s="2">
        <f t="shared" si="471"/>
        <v>35.435524012071909</v>
      </c>
      <c r="S7534" s="2">
        <f t="shared" si="470"/>
        <v>1.1580868548369669</v>
      </c>
      <c r="T7534" s="2">
        <f t="shared" si="472"/>
        <v>1.493888022141513</v>
      </c>
      <c r="U7534" s="2">
        <f t="shared" si="473"/>
        <v>38.087498889050387</v>
      </c>
    </row>
    <row r="7535" spans="1:21" x14ac:dyDescent="0.25">
      <c r="A7535">
        <v>8710257</v>
      </c>
      <c r="B7535">
        <v>24</v>
      </c>
      <c r="C7535" s="1">
        <f>0.38386866471057*(10.3/7.3)</f>
        <v>0.54162291048203759</v>
      </c>
      <c r="D7535" s="1">
        <f>1.31254962512129*(10.3/7.3)</f>
        <v>1.8519535806505827</v>
      </c>
      <c r="E7535" s="1">
        <f>4.41382544257015*(10.3/7.3)</f>
        <v>6.2277263093797979</v>
      </c>
      <c r="F7535" s="1">
        <f>13.5953515978869*(38.9/42.5)</f>
        <v>12.443745344889425</v>
      </c>
      <c r="G7535" s="1">
        <v>0.77361440740786092</v>
      </c>
      <c r="H7535" s="1">
        <v>3.7973067646520975</v>
      </c>
      <c r="I7535" s="1">
        <v>9.3393771999465169</v>
      </c>
      <c r="J7535" s="1">
        <v>1.2843824172786907E-2</v>
      </c>
      <c r="K7535" s="1">
        <v>1.0780715602683286</v>
      </c>
      <c r="L7535" s="1">
        <v>0.85423493080473578</v>
      </c>
      <c r="M7535" s="1">
        <v>7.6330662386557141E-2</v>
      </c>
      <c r="N7535" s="1">
        <v>0.48727014686550474</v>
      </c>
      <c r="O7535" s="1">
        <v>7.4111111111111086E-2</v>
      </c>
      <c r="P7535" s="1">
        <v>4.9373178106300743E-2</v>
      </c>
      <c r="Q7535" s="1">
        <v>1.2363700575011489</v>
      </c>
      <c r="R7535" s="2">
        <f t="shared" si="471"/>
        <v>36.211716574909467</v>
      </c>
      <c r="S7535" s="2">
        <f t="shared" si="470"/>
        <v>1.1402885625474162</v>
      </c>
      <c r="T7535" s="2">
        <f t="shared" si="472"/>
        <v>1.4919468511679088</v>
      </c>
      <c r="U7535" s="2">
        <f t="shared" si="473"/>
        <v>38.843951988624795</v>
      </c>
    </row>
    <row r="7536" spans="1:21" x14ac:dyDescent="0.25">
      <c r="A7536">
        <v>8710265</v>
      </c>
      <c r="B7536">
        <v>1</v>
      </c>
      <c r="C7536" s="1">
        <f>0.381324575794872*(10.3/7.3)</f>
        <v>0.53803330557358631</v>
      </c>
      <c r="D7536" s="1">
        <f>1.27351565602625*(10.3/7.3)</f>
        <v>1.7968782543931952</v>
      </c>
      <c r="E7536" s="1">
        <f>4.28360908512228*(10.3/7.3)</f>
        <v>6.0439963803780161</v>
      </c>
      <c r="F7536" s="1">
        <f>13.2295872361813*(38.9/42.5)</f>
        <v>12.108963376175369</v>
      </c>
      <c r="G7536" s="1">
        <v>0.75310319117853619</v>
      </c>
      <c r="H7536" s="1">
        <v>4.3701708901071505</v>
      </c>
      <c r="I7536" s="1">
        <v>9.1159475688298706</v>
      </c>
      <c r="J7536" s="1">
        <v>1.2712638456626235E-2</v>
      </c>
      <c r="K7536" s="1">
        <v>1.0740029053143474</v>
      </c>
      <c r="L7536" s="1">
        <v>0.86327743254549105</v>
      </c>
      <c r="M7536" s="1">
        <v>7.6191844406030163E-2</v>
      </c>
      <c r="N7536" s="1">
        <v>0.48421154311653536</v>
      </c>
      <c r="O7536" s="1">
        <v>7.3120000000000004E-2</v>
      </c>
      <c r="P7536" s="1">
        <v>4.9451880587583617E-2</v>
      </c>
      <c r="Q7536" s="1">
        <v>1.2035895749428673</v>
      </c>
      <c r="R7536" s="2">
        <f t="shared" si="471"/>
        <v>35.930682541578591</v>
      </c>
      <c r="S7536" s="2">
        <f t="shared" si="470"/>
        <v>1.1361674243585573</v>
      </c>
      <c r="T7536" s="2">
        <f t="shared" si="472"/>
        <v>1.4968008200680567</v>
      </c>
      <c r="U7536" s="2">
        <f t="shared" si="473"/>
        <v>38.563650786005205</v>
      </c>
    </row>
    <row r="7537" spans="1:21" x14ac:dyDescent="0.25">
      <c r="A7537">
        <v>8710337</v>
      </c>
      <c r="B7537">
        <v>24</v>
      </c>
      <c r="C7537" s="1">
        <f>0.437108662430416*(10.3/7.3)</f>
        <v>0.61674235931962818</v>
      </c>
      <c r="D7537" s="1">
        <f>1.27226777280841*(10.3/7.3)</f>
        <v>1.7951175424557086</v>
      </c>
      <c r="E7537" s="1">
        <f>4.29731110454631*(10.3/7.3)</f>
        <v>6.063329366688623</v>
      </c>
      <c r="F7537" s="1">
        <f>12.9141262579295*(38.9/42.5)</f>
        <v>11.82022379843432</v>
      </c>
      <c r="G7537" s="1">
        <v>0.72118294621834034</v>
      </c>
      <c r="H7537" s="1">
        <v>3.2809872535835196</v>
      </c>
      <c r="I7537" s="1">
        <v>8.9575569379503612</v>
      </c>
      <c r="J7537" s="1">
        <v>1.3377407045257113E-2</v>
      </c>
      <c r="K7537" s="1">
        <v>1.104507984064073</v>
      </c>
      <c r="L7537" s="1">
        <v>0.89412404025971259</v>
      </c>
      <c r="M7537" s="1">
        <v>7.5170755941306816E-2</v>
      </c>
      <c r="N7537" s="1">
        <v>0.51838353720439423</v>
      </c>
      <c r="O7537" s="1">
        <v>7.1335555555555555E-2</v>
      </c>
      <c r="P7537" s="1">
        <v>4.8959446729932715E-2</v>
      </c>
      <c r="Q7537" s="1">
        <v>1.152575484823833</v>
      </c>
      <c r="R7537" s="2">
        <f t="shared" si="471"/>
        <v>34.407715689474337</v>
      </c>
      <c r="S7537" s="2">
        <f t="shared" si="470"/>
        <v>1.1668448378392628</v>
      </c>
      <c r="T7537" s="2">
        <f t="shared" si="472"/>
        <v>1.5590138889609693</v>
      </c>
      <c r="U7537" s="2">
        <f t="shared" si="473"/>
        <v>37.13357441627457</v>
      </c>
    </row>
    <row r="7538" spans="1:21" x14ac:dyDescent="0.25">
      <c r="A7538">
        <v>8710345</v>
      </c>
      <c r="B7538">
        <v>56</v>
      </c>
      <c r="C7538" s="1">
        <f>0.461485069318136*(10.3/7.3)</f>
        <v>0.65113646766805444</v>
      </c>
      <c r="D7538" s="1">
        <f>1.33892089246327*(10.3/7.3)</f>
        <v>1.8891623551194141</v>
      </c>
      <c r="E7538" s="1">
        <f>4.51975206169691*(10.3/7.3)</f>
        <v>6.3771844158189248</v>
      </c>
      <c r="F7538" s="1">
        <f>13.7360258969771*(38.9/42.5)</f>
        <v>12.572503703350831</v>
      </c>
      <c r="G7538" s="1">
        <v>0.77132225536380006</v>
      </c>
      <c r="H7538" s="1">
        <v>3.8399031743016545</v>
      </c>
      <c r="I7538" s="1">
        <v>9.561265096154786</v>
      </c>
      <c r="J7538" s="1">
        <v>1.3936954283575062E-2</v>
      </c>
      <c r="K7538" s="1">
        <v>1.1350249493193922</v>
      </c>
      <c r="L7538" s="1">
        <v>0.92024242177552273</v>
      </c>
      <c r="M7538" s="1">
        <v>7.6937416781545642E-2</v>
      </c>
      <c r="N7538" s="1">
        <v>0.53885464374866265</v>
      </c>
      <c r="O7538" s="1">
        <v>7.2582857142857143E-2</v>
      </c>
      <c r="P7538" s="1">
        <v>4.9809611793407031E-2</v>
      </c>
      <c r="Q7538" s="1">
        <v>1.2327068008097279</v>
      </c>
      <c r="R7538" s="2">
        <f t="shared" si="471"/>
        <v>36.895184268587194</v>
      </c>
      <c r="S7538" s="2">
        <f t="shared" si="470"/>
        <v>1.1987715153963743</v>
      </c>
      <c r="T7538" s="2">
        <f t="shared" si="472"/>
        <v>1.6086173394485881</v>
      </c>
      <c r="U7538" s="2">
        <f t="shared" si="473"/>
        <v>39.702573123432153</v>
      </c>
    </row>
    <row r="7539" spans="1:21" x14ac:dyDescent="0.25">
      <c r="A7539">
        <v>8710353</v>
      </c>
      <c r="B7539">
        <v>6</v>
      </c>
      <c r="C7539" s="1">
        <f>0.516584473371578*(10.3/7.3)</f>
        <v>0.72887946242839086</v>
      </c>
      <c r="D7539" s="1">
        <f>1.54070538025999*(10.3/7.3)</f>
        <v>2.1738719748873803</v>
      </c>
      <c r="E7539" s="1">
        <f>5.18782285288647*(10.3/7.3)</f>
        <v>7.3198048472233728</v>
      </c>
      <c r="F7539" s="1">
        <f>16.2950661940248*(38.9/42.5)</f>
        <v>14.914778234060391</v>
      </c>
      <c r="G7539" s="1">
        <v>0.9309266734665963</v>
      </c>
      <c r="H7539" s="1">
        <v>6.7192917016482232</v>
      </c>
      <c r="I7539" s="1">
        <v>11.411713764429811</v>
      </c>
      <c r="J7539" s="1">
        <v>1.5298163946024628E-2</v>
      </c>
      <c r="K7539" s="1">
        <v>1.2255365122728716</v>
      </c>
      <c r="L7539" s="1">
        <v>1.0152110450954706</v>
      </c>
      <c r="M7539" s="1">
        <v>8.2724788800694338E-2</v>
      </c>
      <c r="N7539" s="1">
        <v>0.58901475417021376</v>
      </c>
      <c r="O7539" s="1">
        <v>7.8302222222222231E-2</v>
      </c>
      <c r="P7539" s="1">
        <v>5.333733933513405E-2</v>
      </c>
      <c r="Q7539" s="1">
        <v>1.4877823548552926</v>
      </c>
      <c r="R7539" s="2">
        <f t="shared" si="471"/>
        <v>45.687049012999459</v>
      </c>
      <c r="S7539" s="2">
        <f t="shared" si="470"/>
        <v>1.2941720155540302</v>
      </c>
      <c r="T7539" s="2">
        <f t="shared" si="472"/>
        <v>1.7652528102886009</v>
      </c>
      <c r="U7539" s="2">
        <f t="shared" si="473"/>
        <v>48.746473838842093</v>
      </c>
    </row>
    <row r="7540" spans="1:21" x14ac:dyDescent="0.25">
      <c r="A7540">
        <v>8722205</v>
      </c>
      <c r="B7540">
        <v>2</v>
      </c>
      <c r="C7540" s="1">
        <f>0.284937958558232*(10.3/7.3)</f>
        <v>0.40203574974654654</v>
      </c>
      <c r="D7540" s="1">
        <f>0.703630431428217*(10.3/7.3)</f>
        <v>0.99279362242611491</v>
      </c>
      <c r="E7540" s="1">
        <f>2.38196622838193*(10.3/7.3)</f>
        <v>3.360856459223815</v>
      </c>
      <c r="F7540" s="1">
        <f>7.31854415857578*(38.9/42.5)</f>
        <v>6.6986204180846558</v>
      </c>
      <c r="G7540" s="1">
        <v>0.41002761719458269</v>
      </c>
      <c r="H7540" s="1">
        <v>1.5152836960240859</v>
      </c>
      <c r="I7540" s="1">
        <v>5.2082183799217265</v>
      </c>
      <c r="J7540" s="1">
        <v>1.111295064015491E-2</v>
      </c>
      <c r="K7540" s="1">
        <v>1.1761290556265696</v>
      </c>
      <c r="L7540" s="1">
        <v>0.87164733231455593</v>
      </c>
      <c r="M7540" s="1">
        <v>9.1220999505184391E-2</v>
      </c>
      <c r="N7540" s="1">
        <v>0.42343384216675006</v>
      </c>
      <c r="O7540" s="1">
        <v>9.6133333333333321E-2</v>
      </c>
      <c r="P7540" s="1">
        <v>5.689730249404025E-2</v>
      </c>
      <c r="Q7540" s="1">
        <v>0.65529527862147985</v>
      </c>
      <c r="R7540" s="2">
        <f t="shared" si="471"/>
        <v>19.243131221243008</v>
      </c>
      <c r="S7540" s="2">
        <f t="shared" si="470"/>
        <v>1.2441393087607646</v>
      </c>
      <c r="T7540" s="2">
        <f t="shared" si="472"/>
        <v>1.4824355073198237</v>
      </c>
      <c r="U7540" s="2">
        <f t="shared" si="473"/>
        <v>21.969706037323597</v>
      </c>
    </row>
    <row r="7541" spans="1:21" x14ac:dyDescent="0.25">
      <c r="A7541">
        <v>8722213</v>
      </c>
      <c r="B7541">
        <v>23</v>
      </c>
      <c r="C7541" s="1">
        <f>0.352974857670886*(10.3/7.3)</f>
        <v>0.49803301835755215</v>
      </c>
      <c r="D7541" s="1">
        <f>0.933329066944264*(10.3/7.3)</f>
        <v>1.3168889574693046</v>
      </c>
      <c r="E7541" s="1">
        <f>3.148682912929*(10.3/7.3)</f>
        <v>4.4426621922148932</v>
      </c>
      <c r="F7541" s="1">
        <f>9.9832274058733*(38.9/42.5)</f>
        <v>9.1375893197287397</v>
      </c>
      <c r="G7541" s="1">
        <v>0.56987142186226702</v>
      </c>
      <c r="H7541" s="1">
        <v>2.1725691985113778</v>
      </c>
      <c r="I7541" s="1">
        <v>7.1021777131819404</v>
      </c>
      <c r="J7541" s="1">
        <v>1.2516344161074918E-2</v>
      </c>
      <c r="K7541" s="1">
        <v>1.2984769548370989</v>
      </c>
      <c r="L7541" s="1">
        <v>0.99146177884356956</v>
      </c>
      <c r="M7541" s="1">
        <v>0.10190622889205696</v>
      </c>
      <c r="N7541" s="1">
        <v>0.4736174691996789</v>
      </c>
      <c r="O7541" s="1">
        <v>0.10738550724637684</v>
      </c>
      <c r="P7541" s="1">
        <v>6.2211679213791886E-2</v>
      </c>
      <c r="Q7541" s="1">
        <v>0.91075341393513098</v>
      </c>
      <c r="R7541" s="2">
        <f t="shared" si="471"/>
        <v>26.150545235261205</v>
      </c>
      <c r="S7541" s="2">
        <f t="shared" si="470"/>
        <v>1.3732049782119657</v>
      </c>
      <c r="T7541" s="2">
        <f t="shared" si="472"/>
        <v>1.6743709841816821</v>
      </c>
      <c r="U7541" s="2">
        <f t="shared" si="473"/>
        <v>29.198121197654853</v>
      </c>
    </row>
    <row r="7542" spans="1:21" x14ac:dyDescent="0.25">
      <c r="A7542">
        <v>8722221</v>
      </c>
      <c r="B7542">
        <v>60</v>
      </c>
      <c r="C7542" s="1">
        <f>0.327390554601742*(10.3/7.3)</f>
        <v>0.46193461813670383</v>
      </c>
      <c r="D7542" s="1">
        <f>0.854366683026275*(10.3/7.3)</f>
        <v>1.2054762787904973</v>
      </c>
      <c r="E7542" s="1">
        <f>2.8850657270851*(10.3/7.3)</f>
        <v>4.0707091765721231</v>
      </c>
      <c r="F7542" s="1">
        <f>9.0473719879784*(38.9/42.5)</f>
        <v>8.2810063607614097</v>
      </c>
      <c r="G7542" s="1">
        <v>0.51342059888133895</v>
      </c>
      <c r="H7542" s="1">
        <v>2.582269372543522</v>
      </c>
      <c r="I7542" s="1">
        <v>6.4283710062354569</v>
      </c>
      <c r="J7542" s="1">
        <v>1.1668103131724313E-2</v>
      </c>
      <c r="K7542" s="1">
        <v>1.2322762757647832</v>
      </c>
      <c r="L7542" s="1">
        <v>0.92022102904340175</v>
      </c>
      <c r="M7542" s="1">
        <v>9.4986791426107803E-2</v>
      </c>
      <c r="N7542" s="1">
        <v>0.44662103023142002</v>
      </c>
      <c r="O7542" s="1">
        <v>9.9877333333333304E-2</v>
      </c>
      <c r="P7542" s="1">
        <v>5.890730773435706E-2</v>
      </c>
      <c r="Q7542" s="1">
        <v>0.82053520369163879</v>
      </c>
      <c r="R7542" s="2">
        <f t="shared" si="471"/>
        <v>24.363722615612691</v>
      </c>
      <c r="S7542" s="2">
        <f t="shared" si="470"/>
        <v>1.3028516866308646</v>
      </c>
      <c r="T7542" s="2">
        <f t="shared" si="472"/>
        <v>1.561706184034263</v>
      </c>
      <c r="U7542" s="2">
        <f t="shared" si="473"/>
        <v>27.228280486277818</v>
      </c>
    </row>
    <row r="7543" spans="1:21" x14ac:dyDescent="0.25">
      <c r="A7543">
        <v>8722229</v>
      </c>
      <c r="B7543">
        <v>66</v>
      </c>
      <c r="C7543" s="1">
        <f>0.340552167703467*(10.3/7.3)</f>
        <v>0.48050511333502921</v>
      </c>
      <c r="D7543" s="1">
        <f>0.890629737234461*(10.3/7.3)</f>
        <v>1.2566419580157464</v>
      </c>
      <c r="E7543" s="1">
        <f>3.0123052806494*(10.3/7.3)</f>
        <v>4.250238957628599</v>
      </c>
      <c r="F7543" s="1">
        <f>9.19206484548581*(38.9/42.5)</f>
        <v>8.413442882103487</v>
      </c>
      <c r="G7543" s="1">
        <v>0.51470846331003617</v>
      </c>
      <c r="H7543" s="1">
        <v>2.328182508788061</v>
      </c>
      <c r="I7543" s="1">
        <v>6.4836008874122051</v>
      </c>
      <c r="J7543" s="1">
        <v>1.1856411371192381E-2</v>
      </c>
      <c r="K7543" s="1">
        <v>1.243811699198045</v>
      </c>
      <c r="L7543" s="1">
        <v>0.9334798702115884</v>
      </c>
      <c r="M7543" s="1">
        <v>9.6241151551174839E-2</v>
      </c>
      <c r="N7543" s="1">
        <v>0.45413616999084777</v>
      </c>
      <c r="O7543" s="1">
        <v>0.10028444444444444</v>
      </c>
      <c r="P7543" s="1">
        <v>5.9389988232143809E-2</v>
      </c>
      <c r="Q7543" s="1">
        <v>0.82259343451375722</v>
      </c>
      <c r="R7543" s="2">
        <f t="shared" si="471"/>
        <v>24.549914205106919</v>
      </c>
      <c r="S7543" s="2">
        <f t="shared" si="470"/>
        <v>1.3150580988013811</v>
      </c>
      <c r="T7543" s="2">
        <f t="shared" si="472"/>
        <v>1.5841416361980554</v>
      </c>
      <c r="U7543" s="2">
        <f t="shared" si="473"/>
        <v>27.449113940106354</v>
      </c>
    </row>
    <row r="7544" spans="1:21" x14ac:dyDescent="0.25">
      <c r="A7544">
        <v>8722237</v>
      </c>
      <c r="B7544">
        <v>71</v>
      </c>
      <c r="C7544" s="1">
        <f>0.348881744723712*(10.3/7.3)</f>
        <v>0.49225780419921072</v>
      </c>
      <c r="D7544" s="1">
        <f>0.919952936746025*(10.3/7.3)</f>
        <v>1.2980157874635696</v>
      </c>
      <c r="E7544" s="1">
        <f>3.11506805495528*(10.3/7.3)</f>
        <v>4.3952330090464971</v>
      </c>
      <c r="F7544" s="1">
        <f>9.29190893385631*(38.9/42.5)</f>
        <v>8.5048295888708374</v>
      </c>
      <c r="G7544" s="1">
        <v>0.51448830947774316</v>
      </c>
      <c r="H7544" s="1">
        <v>2.984547913804922</v>
      </c>
      <c r="I7544" s="1">
        <v>6.5076845326868371</v>
      </c>
      <c r="J7544" s="1">
        <v>1.1969539928214215E-2</v>
      </c>
      <c r="K7544" s="1">
        <v>1.2680429148681156</v>
      </c>
      <c r="L7544" s="1">
        <v>0.95511216507026642</v>
      </c>
      <c r="M7544" s="1">
        <v>9.873906736546223E-2</v>
      </c>
      <c r="N7544" s="1">
        <v>0.46524061581441323</v>
      </c>
      <c r="O7544" s="1">
        <v>0.10173746478873237</v>
      </c>
      <c r="P7544" s="1">
        <v>6.0322809758673233E-2</v>
      </c>
      <c r="Q7544" s="1">
        <v>0.82224159048954459</v>
      </c>
      <c r="R7544" s="2">
        <f t="shared" si="471"/>
        <v>25.519298536039162</v>
      </c>
      <c r="S7544" s="2">
        <f t="shared" si="470"/>
        <v>1.3403352645550031</v>
      </c>
      <c r="T7544" s="2">
        <f t="shared" si="472"/>
        <v>1.6208293130388745</v>
      </c>
      <c r="U7544" s="2">
        <f t="shared" si="473"/>
        <v>28.480463113633039</v>
      </c>
    </row>
    <row r="7545" spans="1:21" x14ac:dyDescent="0.25">
      <c r="A7545">
        <v>8722245</v>
      </c>
      <c r="B7545">
        <v>71</v>
      </c>
      <c r="C7545" s="1">
        <f>0.398671025440963*(10.3/7.3)</f>
        <v>0.56250843315642718</v>
      </c>
      <c r="D7545" s="1">
        <f>1.09797152916756*(10.3/7.3)</f>
        <v>1.5491927055377948</v>
      </c>
      <c r="E7545" s="1">
        <f>3.71602615048784*(10.3/7.3)</f>
        <v>5.2431601849349034</v>
      </c>
      <c r="F7545" s="1">
        <f>11.0005092225331*(38.9/42.5)</f>
        <v>10.068701382506809</v>
      </c>
      <c r="G7545" s="1">
        <v>0.60799056140919971</v>
      </c>
      <c r="H7545" s="1">
        <v>2.2259101677595488</v>
      </c>
      <c r="I7545" s="1">
        <v>7.6472334205908794</v>
      </c>
      <c r="J7545" s="1">
        <v>1.3333221946977719E-2</v>
      </c>
      <c r="K7545" s="1">
        <v>1.3905434941176482</v>
      </c>
      <c r="L7545" s="1">
        <v>1.0754418624452611</v>
      </c>
      <c r="M7545" s="1">
        <v>0.10833528497162484</v>
      </c>
      <c r="N7545" s="1">
        <v>0.51685394709599375</v>
      </c>
      <c r="O7545" s="1">
        <v>0.1138471361502347</v>
      </c>
      <c r="P7545" s="1">
        <v>6.5530601572473451E-2</v>
      </c>
      <c r="Q7545" s="1">
        <v>0.97167441321105097</v>
      </c>
      <c r="R7545" s="2">
        <f t="shared" si="471"/>
        <v>28.87637126910661</v>
      </c>
      <c r="S7545" s="2">
        <f t="shared" si="470"/>
        <v>1.4694073176370994</v>
      </c>
      <c r="T7545" s="2">
        <f t="shared" si="472"/>
        <v>1.8144782306631144</v>
      </c>
      <c r="U7545" s="2">
        <f t="shared" si="473"/>
        <v>32.160256817406825</v>
      </c>
    </row>
    <row r="7546" spans="1:21" x14ac:dyDescent="0.25">
      <c r="A7546">
        <v>8722253</v>
      </c>
      <c r="B7546">
        <v>71</v>
      </c>
      <c r="C7546" s="1">
        <f>0.226478257889815*(10.3/7.3)</f>
        <v>0.31955151455686182</v>
      </c>
      <c r="D7546" s="1">
        <f>0.540382051565688*(10.3/7.3)</f>
        <v>0.76245686727761475</v>
      </c>
      <c r="E7546" s="1">
        <f>1.84051310651838*(10.3/7.3)</f>
        <v>2.59688835577251</v>
      </c>
      <c r="F7546" s="1">
        <f>5.15544377845106*(38.9/42.5)</f>
        <v>4.7187473642763855</v>
      </c>
      <c r="G7546" s="1">
        <v>0.27420929835334185</v>
      </c>
      <c r="H7546" s="1">
        <v>1.0686151486381028</v>
      </c>
      <c r="I7546" s="1">
        <v>3.5968754455407508</v>
      </c>
      <c r="J7546" s="1">
        <v>9.8380173196937933E-3</v>
      </c>
      <c r="K7546" s="1">
        <v>1.0593467471123463</v>
      </c>
      <c r="L7546" s="1">
        <v>0.76565967743227004</v>
      </c>
      <c r="M7546" s="1">
        <v>8.1803500788577441E-2</v>
      </c>
      <c r="N7546" s="1">
        <v>0.38943751729596238</v>
      </c>
      <c r="O7546" s="1">
        <v>8.3595117370892008E-2</v>
      </c>
      <c r="P7546" s="1">
        <v>5.1012836331183115E-2</v>
      </c>
      <c r="Q7546" s="1">
        <v>0.43823403846424541</v>
      </c>
      <c r="R7546" s="2">
        <f t="shared" si="471"/>
        <v>13.77557803287981</v>
      </c>
      <c r="S7546" s="2">
        <f t="shared" si="470"/>
        <v>1.1201976007632231</v>
      </c>
      <c r="T7546" s="2">
        <f t="shared" si="472"/>
        <v>1.3204958128877018</v>
      </c>
      <c r="U7546" s="2">
        <f t="shared" si="473"/>
        <v>16.216271446530737</v>
      </c>
    </row>
    <row r="7547" spans="1:21" x14ac:dyDescent="0.25">
      <c r="A7547">
        <v>8722261</v>
      </c>
      <c r="B7547">
        <v>62</v>
      </c>
      <c r="C7547" s="1">
        <f>0.206251557695367*(10.3/7.3)</f>
        <v>0.29101247181675022</v>
      </c>
      <c r="D7547" s="1">
        <f>0.486896525055718*(10.3/7.3)</f>
        <v>0.68699098740738274</v>
      </c>
      <c r="E7547" s="1">
        <f>1.65962823036803*(10.3/7.3)</f>
        <v>2.3416672291494192</v>
      </c>
      <c r="F7547" s="1">
        <f>4.60496520886949*(38.9/42.5)</f>
        <v>4.2148975676476006</v>
      </c>
      <c r="G7547" s="1">
        <v>0.24341068770026478</v>
      </c>
      <c r="H7547" s="1">
        <v>0.9750559806260497</v>
      </c>
      <c r="I7547" s="1">
        <v>3.2093944596023514</v>
      </c>
      <c r="J7547" s="1">
        <v>9.7107771147050739E-3</v>
      </c>
      <c r="K7547" s="1">
        <v>1.0448187366862827</v>
      </c>
      <c r="L7547" s="1">
        <v>0.75374355130159931</v>
      </c>
      <c r="M7547" s="1">
        <v>8.0295885806513076E-2</v>
      </c>
      <c r="N7547" s="1">
        <v>0.38543847320717145</v>
      </c>
      <c r="O7547" s="1">
        <v>8.2560860215053739E-2</v>
      </c>
      <c r="P7547" s="1">
        <v>5.0294202117645202E-2</v>
      </c>
      <c r="Q7547" s="1">
        <v>0.38901251458946473</v>
      </c>
      <c r="R7547" s="2">
        <f t="shared" si="471"/>
        <v>12.351441898539283</v>
      </c>
      <c r="S7547" s="2">
        <f t="shared" si="470"/>
        <v>1.1048237159186329</v>
      </c>
      <c r="T7547" s="2">
        <f t="shared" si="472"/>
        <v>1.3020387705303376</v>
      </c>
      <c r="U7547" s="2">
        <f t="shared" si="473"/>
        <v>14.758304384988254</v>
      </c>
    </row>
    <row r="7548" spans="1:21" x14ac:dyDescent="0.25">
      <c r="A7548">
        <v>8722485</v>
      </c>
      <c r="B7548">
        <v>1</v>
      </c>
      <c r="C7548" s="1">
        <f>0.394707180502108*(10.3/7.3)</f>
        <v>0.55691561084543983</v>
      </c>
      <c r="D7548" s="1">
        <f>1.3601009416726*(10.3/7.3)</f>
        <v>1.9190465341407981</v>
      </c>
      <c r="E7548" s="1">
        <f>4.57288779840513*(10.3/7.3)</f>
        <v>6.4521567566538094</v>
      </c>
      <c r="F7548" s="1">
        <f>14.0978527588743*(38.9/42.5)</f>
        <v>12.903681701651985</v>
      </c>
      <c r="G7548" s="1">
        <v>0.80278074888129469</v>
      </c>
      <c r="H7548" s="1">
        <v>3.7588172375325919</v>
      </c>
      <c r="I7548" s="1">
        <v>9.6799695207657557</v>
      </c>
      <c r="J7548" s="1">
        <v>1.2661720011539614E-2</v>
      </c>
      <c r="K7548" s="1">
        <v>1.0794055856725642</v>
      </c>
      <c r="L7548" s="1">
        <v>0.84464715103423227</v>
      </c>
      <c r="M7548" s="1">
        <v>7.5415623075472393E-2</v>
      </c>
      <c r="N7548" s="1">
        <v>0.47195083287341411</v>
      </c>
      <c r="O7548" s="1">
        <v>7.3760000000000006E-2</v>
      </c>
      <c r="P7548" s="1">
        <v>4.9139959605914746E-2</v>
      </c>
      <c r="Q7548" s="1">
        <v>1.2829829320020705</v>
      </c>
      <c r="R7548" s="2">
        <f t="shared" si="471"/>
        <v>37.356351042473747</v>
      </c>
      <c r="S7548" s="2">
        <f t="shared" si="470"/>
        <v>1.1412072652900185</v>
      </c>
      <c r="T7548" s="2">
        <f t="shared" si="472"/>
        <v>1.4657736069831189</v>
      </c>
      <c r="U7548" s="2">
        <f t="shared" si="473"/>
        <v>39.963331914746888</v>
      </c>
    </row>
    <row r="7549" spans="1:21" x14ac:dyDescent="0.25">
      <c r="A7549">
        <v>8722573</v>
      </c>
      <c r="B7549">
        <v>53</v>
      </c>
      <c r="C7549" s="1">
        <f>0.42055857324295*(10.3/7.3)</f>
        <v>0.59339086361676485</v>
      </c>
      <c r="D7549" s="1">
        <f>1.21630386165695*(10.3/7.3)</f>
        <v>1.716154763707753</v>
      </c>
      <c r="E7549" s="1">
        <f>4.10937446873988*(10.3/7.3)</f>
        <v>5.7981584969891422</v>
      </c>
      <c r="F7549" s="1">
        <f>12.3201025739905*(38.9/42.5)</f>
        <v>11.276517414781866</v>
      </c>
      <c r="G7549" s="1">
        <v>0.68698116543635024</v>
      </c>
      <c r="H7549" s="1">
        <v>3.1836339695241014</v>
      </c>
      <c r="I7549" s="1">
        <v>8.5459933299239168</v>
      </c>
      <c r="J7549" s="1">
        <v>1.3190118969985676E-2</v>
      </c>
      <c r="K7549" s="1">
        <v>1.0941459613496509</v>
      </c>
      <c r="L7549" s="1">
        <v>0.8881577209121565</v>
      </c>
      <c r="M7549" s="1">
        <v>7.4754147395136819E-2</v>
      </c>
      <c r="N7549" s="1">
        <v>0.50967995503654551</v>
      </c>
      <c r="O7549" s="1">
        <v>7.1085283018867906E-2</v>
      </c>
      <c r="P7549" s="1">
        <v>4.8709510978970402E-2</v>
      </c>
      <c r="Q7549" s="1">
        <v>1.0979151045786433</v>
      </c>
      <c r="R7549" s="2">
        <f t="shared" si="471"/>
        <v>32.898745108558543</v>
      </c>
      <c r="S7549" s="2">
        <f t="shared" si="470"/>
        <v>1.156045591298607</v>
      </c>
      <c r="T7549" s="2">
        <f t="shared" si="472"/>
        <v>1.5436771063627068</v>
      </c>
      <c r="U7549" s="2">
        <f t="shared" si="473"/>
        <v>35.598467806219858</v>
      </c>
    </row>
    <row r="7550" spans="1:21" x14ac:dyDescent="0.25">
      <c r="A7550">
        <v>8722581</v>
      </c>
      <c r="B7550">
        <v>68</v>
      </c>
      <c r="C7550" s="1">
        <f>0.449999454852733*(10.3/7.3)</f>
        <v>0.63493073766892405</v>
      </c>
      <c r="D7550" s="1">
        <f>1.29446107963534*(10.3/7.3)</f>
        <v>1.8264313863347936</v>
      </c>
      <c r="E7550" s="1">
        <f>4.37031477574106*(10.3/7.3)</f>
        <v>6.1663345465935464</v>
      </c>
      <c r="F7550" s="1">
        <f>13.2873080857089*(38.9/42.5)</f>
        <v>12.161794930213595</v>
      </c>
      <c r="G7550" s="1">
        <v>0.74599174560089887</v>
      </c>
      <c r="H7550" s="1">
        <v>3.8288146620395529</v>
      </c>
      <c r="I7550" s="1">
        <v>9.2588984434195218</v>
      </c>
      <c r="J7550" s="1">
        <v>1.3778805800682598E-2</v>
      </c>
      <c r="K7550" s="1">
        <v>1.1221753352988388</v>
      </c>
      <c r="L7550" s="1">
        <v>0.90650869223409603</v>
      </c>
      <c r="M7550" s="1">
        <v>7.5678187682702402E-2</v>
      </c>
      <c r="N7550" s="1">
        <v>0.53218061883561507</v>
      </c>
      <c r="O7550" s="1">
        <v>7.1532549019607844E-2</v>
      </c>
      <c r="P7550" s="1">
        <v>4.9218193305526813E-2</v>
      </c>
      <c r="Q7550" s="1">
        <v>1.192224250960342</v>
      </c>
      <c r="R7550" s="2">
        <f t="shared" si="471"/>
        <v>35.815420702831176</v>
      </c>
      <c r="S7550" s="2">
        <f t="shared" si="470"/>
        <v>1.1851723344050484</v>
      </c>
      <c r="T7550" s="2">
        <f t="shared" si="472"/>
        <v>1.5859000477720215</v>
      </c>
      <c r="U7550" s="2">
        <f t="shared" si="473"/>
        <v>38.586493085008243</v>
      </c>
    </row>
    <row r="7551" spans="1:21" x14ac:dyDescent="0.25">
      <c r="A7551">
        <v>8722589</v>
      </c>
      <c r="B7551">
        <v>15</v>
      </c>
      <c r="C7551" s="1">
        <f>0.492421437094624*(10.3/7.3)</f>
        <v>0.69478641124309981</v>
      </c>
      <c r="D7551" s="1">
        <f>1.43731415140001*(10.3/7.3)</f>
        <v>2.027991199920566</v>
      </c>
      <c r="E7551" s="1">
        <f>4.84531946228538*(10.3/7.3)</f>
        <v>6.8365466385670404</v>
      </c>
      <c r="F7551" s="1">
        <f>15.0342205906029*(38.9/42.5)</f>
        <v>13.760733669987117</v>
      </c>
      <c r="G7551" s="1">
        <v>0.85310207623030931</v>
      </c>
      <c r="H7551" s="1">
        <v>4.6365911979708709</v>
      </c>
      <c r="I7551" s="1">
        <v>10.517986222790466</v>
      </c>
      <c r="J7551" s="1">
        <v>1.4749942020592018E-2</v>
      </c>
      <c r="K7551" s="1">
        <v>1.1843875690989698</v>
      </c>
      <c r="L7551" s="1">
        <v>0.97266954291087815</v>
      </c>
      <c r="M7551" s="1">
        <v>8.0038657694235044E-2</v>
      </c>
      <c r="N7551" s="1">
        <v>0.56746009000528574</v>
      </c>
      <c r="O7551" s="1">
        <v>7.5402666666666673E-2</v>
      </c>
      <c r="P7551" s="1">
        <v>5.1699957383617455E-2</v>
      </c>
      <c r="Q7551" s="1">
        <v>1.363405144660313</v>
      </c>
      <c r="R7551" s="2">
        <f t="shared" si="471"/>
        <v>40.69114256136978</v>
      </c>
      <c r="S7551" s="2">
        <f t="shared" si="470"/>
        <v>1.2508374685031793</v>
      </c>
      <c r="T7551" s="2">
        <f t="shared" si="472"/>
        <v>1.6955709572770656</v>
      </c>
      <c r="U7551" s="2">
        <f t="shared" si="473"/>
        <v>43.637550987150021</v>
      </c>
    </row>
    <row r="7552" spans="1:21" x14ac:dyDescent="0.25">
      <c r="A7552">
        <v>8734449</v>
      </c>
      <c r="B7552">
        <v>5</v>
      </c>
      <c r="C7552" s="1">
        <f>0.299993388853872*(10.3/7.3)</f>
        <v>0.42327834317738161</v>
      </c>
      <c r="D7552" s="1">
        <f>0.761133350707736*(10.3/7.3)</f>
        <v>1.0739278783958466</v>
      </c>
      <c r="E7552" s="1">
        <f>2.57398409847735*(10.3/7.3)</f>
        <v>3.631785782783107</v>
      </c>
      <c r="F7552" s="1">
        <f>7.96197293011245*(38.9/42.5)</f>
        <v>7.2875469877970378</v>
      </c>
      <c r="G7552" s="1">
        <v>0.44819242772346224</v>
      </c>
      <c r="H7552" s="1">
        <v>2.9794421030801232</v>
      </c>
      <c r="I7552" s="1">
        <v>5.6566574360389961</v>
      </c>
      <c r="J7552" s="1">
        <v>1.1251279082640227E-2</v>
      </c>
      <c r="K7552" s="1">
        <v>1.1928116738940315</v>
      </c>
      <c r="L7552" s="1">
        <v>0.88611503754300214</v>
      </c>
      <c r="M7552" s="1">
        <v>9.2289867428574549E-2</v>
      </c>
      <c r="N7552" s="1">
        <v>0.43005027500977089</v>
      </c>
      <c r="O7552" s="1">
        <v>9.6479999999999996E-2</v>
      </c>
      <c r="P7552" s="1">
        <v>5.7326773861234512E-2</v>
      </c>
      <c r="Q7552" s="1">
        <v>0.71628926805119619</v>
      </c>
      <c r="R7552" s="2">
        <f t="shared" si="471"/>
        <v>22.21712022704715</v>
      </c>
      <c r="S7552" s="2">
        <f t="shared" si="470"/>
        <v>1.2613897268379062</v>
      </c>
      <c r="T7552" s="2">
        <f t="shared" si="472"/>
        <v>1.5049351799813475</v>
      </c>
      <c r="U7552" s="2">
        <f t="shared" si="473"/>
        <v>24.983445133866404</v>
      </c>
    </row>
    <row r="7553" spans="1:21" x14ac:dyDescent="0.25">
      <c r="A7553">
        <v>8734457</v>
      </c>
      <c r="B7553">
        <v>43</v>
      </c>
      <c r="C7553" s="1">
        <f>0.278518050389222*(10.3/7.3)</f>
        <v>0.39297752315191642</v>
      </c>
      <c r="D7553" s="1">
        <f>0.691174966419345*(10.3/7.3)</f>
        <v>0.97521947316702084</v>
      </c>
      <c r="E7553" s="1">
        <f>2.34253841619546*(10.3/7.3)</f>
        <v>3.3052254365497538</v>
      </c>
      <c r="F7553" s="1">
        <f>7.04247418069123*(38.9/42.5)</f>
        <v>6.4459351912679761</v>
      </c>
      <c r="G7553" s="1">
        <v>0.39030156704544622</v>
      </c>
      <c r="H7553" s="1">
        <v>1.7897913289332346</v>
      </c>
      <c r="I7553" s="1">
        <v>4.9807510654079437</v>
      </c>
      <c r="J7553" s="1">
        <v>1.053419738350176E-2</v>
      </c>
      <c r="K7553" s="1">
        <v>1.1275593356434357</v>
      </c>
      <c r="L7553" s="1">
        <v>0.82549885489489483</v>
      </c>
      <c r="M7553" s="1">
        <v>8.7736114344309626E-2</v>
      </c>
      <c r="N7553" s="1">
        <v>0.40448742692973333</v>
      </c>
      <c r="O7553" s="1">
        <v>9.0970542635658902E-2</v>
      </c>
      <c r="P7553" s="1">
        <v>5.427530434882976E-2</v>
      </c>
      <c r="Q7553" s="1">
        <v>0.62376962769820232</v>
      </c>
      <c r="R7553" s="2">
        <f t="shared" si="471"/>
        <v>18.903971213221492</v>
      </c>
      <c r="S7553" s="2">
        <f t="shared" si="470"/>
        <v>1.1923688373757673</v>
      </c>
      <c r="T7553" s="2">
        <f t="shared" si="472"/>
        <v>1.4086929388045966</v>
      </c>
      <c r="U7553" s="2">
        <f t="shared" si="473"/>
        <v>21.505032989401855</v>
      </c>
    </row>
    <row r="7554" spans="1:21" x14ac:dyDescent="0.25">
      <c r="A7554">
        <v>8734465</v>
      </c>
      <c r="B7554">
        <v>61</v>
      </c>
      <c r="C7554" s="1">
        <f>0.332485512099685*(10.3/7.3)</f>
        <v>0.46912339378448764</v>
      </c>
      <c r="D7554" s="1">
        <f>0.8605546143224*(10.3/7.3)</f>
        <v>1.214207195550784</v>
      </c>
      <c r="E7554" s="1">
        <f>2.91478969492939*(10.3/7.3)</f>
        <v>4.1126484736674946</v>
      </c>
      <c r="F7554" s="1">
        <f>8.71238341737627*(38.9/42.5)</f>
        <v>7.974393292610281</v>
      </c>
      <c r="G7554" s="1">
        <v>0.48245961759895711</v>
      </c>
      <c r="H7554" s="1">
        <v>3.6666736537771421</v>
      </c>
      <c r="I7554" s="1">
        <v>6.1194259079996742</v>
      </c>
      <c r="J7554" s="1">
        <v>1.1546383469847168E-2</v>
      </c>
      <c r="K7554" s="1">
        <v>1.2251490475033935</v>
      </c>
      <c r="L7554" s="1">
        <v>0.91624818773487748</v>
      </c>
      <c r="M7554" s="1">
        <v>9.4202525110352861E-2</v>
      </c>
      <c r="N7554" s="1">
        <v>0.44731053786538122</v>
      </c>
      <c r="O7554" s="1">
        <v>9.8395628415300571E-2</v>
      </c>
      <c r="P7554" s="1">
        <v>5.8440453384496646E-2</v>
      </c>
      <c r="Q7554" s="1">
        <v>0.77105418337732978</v>
      </c>
      <c r="R7554" s="2">
        <f t="shared" si="471"/>
        <v>24.809985718366153</v>
      </c>
      <c r="S7554" s="2">
        <f t="shared" si="470"/>
        <v>1.2951358843577374</v>
      </c>
      <c r="T7554" s="2">
        <f t="shared" si="472"/>
        <v>1.5561568791259119</v>
      </c>
      <c r="U7554" s="2">
        <f t="shared" si="473"/>
        <v>27.661278481849802</v>
      </c>
    </row>
    <row r="7555" spans="1:21" x14ac:dyDescent="0.25">
      <c r="A7555">
        <v>8734473</v>
      </c>
      <c r="B7555">
        <v>59</v>
      </c>
      <c r="C7555" s="1">
        <f>0.397312278946681*(10.3/7.3)</f>
        <v>0.56059129769189286</v>
      </c>
      <c r="D7555" s="1">
        <f>1.08706128933232*(10.3/7.3)</f>
        <v>1.5337988054962837</v>
      </c>
      <c r="E7555" s="1">
        <f>3.67827547744974*(10.3/7.3)</f>
        <v>5.1898955366756674</v>
      </c>
      <c r="F7555" s="1">
        <f>10.9574081913683*(38.9/42.5)</f>
        <v>10.029251262217098</v>
      </c>
      <c r="G7555" s="1">
        <v>0.60740029835922893</v>
      </c>
      <c r="H7555" s="1">
        <v>2.3059043672111903</v>
      </c>
      <c r="I7555" s="1">
        <v>7.6367299816270675</v>
      </c>
      <c r="J7555" s="1">
        <v>1.3167020852187346E-2</v>
      </c>
      <c r="K7555" s="1">
        <v>1.3786689957039155</v>
      </c>
      <c r="L7555" s="1">
        <v>1.0645386422096768</v>
      </c>
      <c r="M7555" s="1">
        <v>0.10783289644259789</v>
      </c>
      <c r="N7555" s="1">
        <v>0.51063656346092279</v>
      </c>
      <c r="O7555" s="1">
        <v>0.1121690395480226</v>
      </c>
      <c r="P7555" s="1">
        <v>6.5182145139479536E-2</v>
      </c>
      <c r="Q7555" s="1">
        <v>0.97073107043712492</v>
      </c>
      <c r="R7555" s="2">
        <f t="shared" si="471"/>
        <v>28.834302619715551</v>
      </c>
      <c r="S7555" s="2">
        <f t="shared" si="470"/>
        <v>1.4570181616955824</v>
      </c>
      <c r="T7555" s="2">
        <f t="shared" si="472"/>
        <v>1.7951771416612201</v>
      </c>
      <c r="U7555" s="2">
        <f t="shared" si="473"/>
        <v>32.086497923072351</v>
      </c>
    </row>
    <row r="7556" spans="1:21" x14ac:dyDescent="0.25">
      <c r="A7556">
        <v>8734481</v>
      </c>
      <c r="B7556">
        <v>58</v>
      </c>
      <c r="C7556" s="1">
        <f>0.279558959036897*(10.3/7.3)</f>
        <v>0.3944462024767173</v>
      </c>
      <c r="D7556" s="1">
        <f>0.694551250234018*(10.3/7.3)</f>
        <v>0.97998327087813453</v>
      </c>
      <c r="E7556" s="1">
        <f>2.3609375657738*(10.3/7.3)</f>
        <v>3.3311858804753607</v>
      </c>
      <c r="F7556" s="1">
        <f>6.73647641950835*(38.9/42.5)</f>
        <v>6.1658572404441099</v>
      </c>
      <c r="G7556" s="1">
        <v>0.3629769356345931</v>
      </c>
      <c r="H7556" s="1">
        <v>1.3584433373146165</v>
      </c>
      <c r="I7556" s="1">
        <v>4.6971409290060242</v>
      </c>
      <c r="J7556" s="1">
        <v>1.0283770099046068E-2</v>
      </c>
      <c r="K7556" s="1">
        <v>1.1054811930627562</v>
      </c>
      <c r="L7556" s="1">
        <v>0.80249400345071709</v>
      </c>
      <c r="M7556" s="1">
        <v>8.5006416899828074E-2</v>
      </c>
      <c r="N7556" s="1">
        <v>0.40575722203193321</v>
      </c>
      <c r="O7556" s="1">
        <v>8.7356321839080486E-2</v>
      </c>
      <c r="P7556" s="1">
        <v>5.303687082034509E-2</v>
      </c>
      <c r="Q7556" s="1">
        <v>0.58010012544341416</v>
      </c>
      <c r="R7556" s="2">
        <f t="shared" si="471"/>
        <v>17.870133921672974</v>
      </c>
      <c r="S7556" s="2">
        <f t="shared" si="470"/>
        <v>1.1688018339821473</v>
      </c>
      <c r="T7556" s="2">
        <f t="shared" si="472"/>
        <v>1.3806139642215589</v>
      </c>
      <c r="U7556" s="2">
        <f t="shared" si="473"/>
        <v>20.419549719876681</v>
      </c>
    </row>
    <row r="7557" spans="1:21" x14ac:dyDescent="0.25">
      <c r="A7557">
        <v>8734489</v>
      </c>
      <c r="B7557">
        <v>58</v>
      </c>
      <c r="C7557" s="1">
        <f>0.317130237194855*(10.3/7.3)</f>
        <v>0.44745773193246691</v>
      </c>
      <c r="D7557" s="1">
        <f>0.836792701266055*(10.3/7.3)</f>
        <v>1.1806801127452557</v>
      </c>
      <c r="E7557" s="1">
        <f>2.83837310435749*(10.3/7.3)</f>
        <v>4.0048278047783725</v>
      </c>
      <c r="F7557" s="1">
        <f>8.21251614970281*(38.9/42.5)</f>
        <v>7.5168677229044523</v>
      </c>
      <c r="G7557" s="1">
        <v>0.44741805423517844</v>
      </c>
      <c r="H7557" s="1">
        <v>1.6432648727443646</v>
      </c>
      <c r="I7557" s="1">
        <v>5.7028307816328923</v>
      </c>
      <c r="J7557" s="1">
        <v>1.145269957547426E-2</v>
      </c>
      <c r="K7557" s="1">
        <v>1.2181804680701251</v>
      </c>
      <c r="L7557" s="1">
        <v>0.90822344678394817</v>
      </c>
      <c r="M7557" s="1">
        <v>9.3953507245247814E-2</v>
      </c>
      <c r="N7557" s="1">
        <v>0.45112314702933548</v>
      </c>
      <c r="O7557" s="1">
        <v>9.6206896551724139E-2</v>
      </c>
      <c r="P7557" s="1">
        <v>5.789281624678537E-2</v>
      </c>
      <c r="Q7557" s="1">
        <v>0.71505168485074255</v>
      </c>
      <c r="R7557" s="2">
        <f t="shared" si="471"/>
        <v>21.658398765823726</v>
      </c>
      <c r="S7557" s="2">
        <f t="shared" si="470"/>
        <v>1.2875259838923847</v>
      </c>
      <c r="T7557" s="2">
        <f t="shared" si="472"/>
        <v>1.5495069976102558</v>
      </c>
      <c r="U7557" s="2">
        <f t="shared" si="473"/>
        <v>24.495431747326364</v>
      </c>
    </row>
    <row r="7558" spans="1:21" x14ac:dyDescent="0.25">
      <c r="A7558">
        <v>8734497</v>
      </c>
      <c r="B7558">
        <v>48</v>
      </c>
      <c r="C7558" s="1">
        <f>0.260495288241947*(10.3/7.3)</f>
        <v>0.36754814642356853</v>
      </c>
      <c r="D7558" s="1">
        <f>0.661297730870993*(10.3/7.3)</f>
        <v>0.9330639216398946</v>
      </c>
      <c r="E7558" s="1">
        <f>2.24751732380682*(10.3/7.3)</f>
        <v>3.1711545801657826</v>
      </c>
      <c r="F7558" s="1">
        <f>6.37541212568492*(38.9/42.5)</f>
        <v>5.8353772162151349</v>
      </c>
      <c r="G7558" s="1">
        <v>0.34280957194261846</v>
      </c>
      <c r="H7558" s="1">
        <v>1.2967471591353694</v>
      </c>
      <c r="I7558" s="1">
        <v>4.424973513094014</v>
      </c>
      <c r="J7558" s="1">
        <v>1.0565400555317189E-2</v>
      </c>
      <c r="K7558" s="1">
        <v>1.1260159046972675</v>
      </c>
      <c r="L7558" s="1">
        <v>0.82648049225768305</v>
      </c>
      <c r="M7558" s="1">
        <v>8.7246542159922724E-2</v>
      </c>
      <c r="N7558" s="1">
        <v>0.41808105097599602</v>
      </c>
      <c r="O7558" s="1">
        <v>8.9084444444444424E-2</v>
      </c>
      <c r="P7558" s="1">
        <v>5.3798340697514858E-2</v>
      </c>
      <c r="Q7558" s="1">
        <v>0.54786917890372888</v>
      </c>
      <c r="R7558" s="2">
        <f t="shared" si="471"/>
        <v>16.91954328752011</v>
      </c>
      <c r="S7558" s="2">
        <f t="shared" si="470"/>
        <v>1.1903796459500997</v>
      </c>
      <c r="T7558" s="2">
        <f t="shared" si="472"/>
        <v>1.4208925298380464</v>
      </c>
      <c r="U7558" s="2">
        <f t="shared" si="473"/>
        <v>19.530815463308254</v>
      </c>
    </row>
    <row r="7559" spans="1:21" x14ac:dyDescent="0.25">
      <c r="A7559">
        <v>8734809</v>
      </c>
      <c r="B7559">
        <v>36</v>
      </c>
      <c r="C7559" s="1">
        <f>0.416403020309391*(10.3/7.3)</f>
        <v>0.58752754920366124</v>
      </c>
      <c r="D7559" s="1">
        <f>1.20031426060904*(10.3/7.3)</f>
        <v>1.6935940937360472</v>
      </c>
      <c r="E7559" s="1">
        <f>4.05529687720647*(10.3/7.3)</f>
        <v>5.7218572377022792</v>
      </c>
      <c r="F7559" s="1">
        <f>12.1746509336174*(38.9/42.5)</f>
        <v>11.143386383946309</v>
      </c>
      <c r="G7559" s="1">
        <v>0.67924254593077027</v>
      </c>
      <c r="H7559" s="1">
        <v>3.1740470183552385</v>
      </c>
      <c r="I7559" s="1">
        <v>8.4515694611043823</v>
      </c>
      <c r="J7559" s="1">
        <v>1.3090990791644875E-2</v>
      </c>
      <c r="K7559" s="1">
        <v>1.0888858445440279</v>
      </c>
      <c r="L7559" s="1">
        <v>0.88360187816062108</v>
      </c>
      <c r="M7559" s="1">
        <v>7.4874916074029463E-2</v>
      </c>
      <c r="N7559" s="1">
        <v>0.5041365965079766</v>
      </c>
      <c r="O7559" s="1">
        <v>7.072296296296296E-2</v>
      </c>
      <c r="P7559" s="1">
        <v>4.8501478952337126E-2</v>
      </c>
      <c r="Q7559" s="1">
        <v>1.0855474478345657</v>
      </c>
      <c r="R7559" s="2">
        <f t="shared" si="471"/>
        <v>32.536771737813254</v>
      </c>
      <c r="S7559" s="2">
        <f t="shared" si="470"/>
        <v>1.1504783142880097</v>
      </c>
      <c r="T7559" s="2">
        <f t="shared" si="472"/>
        <v>1.5333363537055902</v>
      </c>
      <c r="U7559" s="2">
        <f t="shared" si="473"/>
        <v>35.220586405806856</v>
      </c>
    </row>
    <row r="7560" spans="1:21" x14ac:dyDescent="0.25">
      <c r="A7560">
        <v>8734817</v>
      </c>
      <c r="B7560">
        <v>59</v>
      </c>
      <c r="C7560" s="1">
        <f>0.442778976365822*(10.3/7.3)</f>
        <v>0.6247429392558862</v>
      </c>
      <c r="D7560" s="1">
        <f>1.26375161690076*(10.3/7.3)</f>
        <v>1.7831015964490127</v>
      </c>
      <c r="E7560" s="1">
        <f>4.26769036264073*(10.3/7.3)</f>
        <v>6.0215357171506145</v>
      </c>
      <c r="F7560" s="1">
        <f>12.9556760456015*(38.9/42.5)</f>
        <v>11.858254074679916</v>
      </c>
      <c r="G7560" s="1">
        <v>0.72656496957454031</v>
      </c>
      <c r="H7560" s="1">
        <v>3.6688791331395922</v>
      </c>
      <c r="I7560" s="1">
        <v>9.0320366122182296</v>
      </c>
      <c r="J7560" s="1">
        <v>1.3598101586437636E-2</v>
      </c>
      <c r="K7560" s="1">
        <v>1.1085674624167718</v>
      </c>
      <c r="L7560" s="1">
        <v>0.89463708028736744</v>
      </c>
      <c r="M7560" s="1">
        <v>7.4853564648777002E-2</v>
      </c>
      <c r="N7560" s="1">
        <v>0.52433718676269081</v>
      </c>
      <c r="O7560" s="1">
        <v>7.0665762711864435E-2</v>
      </c>
      <c r="P7560" s="1">
        <v>4.8782137796766718E-2</v>
      </c>
      <c r="Q7560" s="1">
        <v>1.1611768920141063</v>
      </c>
      <c r="R7560" s="2">
        <f t="shared" si="471"/>
        <v>34.876291934481891</v>
      </c>
      <c r="S7560" s="2">
        <f t="shared" si="470"/>
        <v>1.1709477017999763</v>
      </c>
      <c r="T7560" s="2">
        <f t="shared" si="472"/>
        <v>1.5644935944106997</v>
      </c>
      <c r="U7560" s="2">
        <f t="shared" si="473"/>
        <v>37.611733230692565</v>
      </c>
    </row>
    <row r="7561" spans="1:21" x14ac:dyDescent="0.25">
      <c r="A7561">
        <v>8734825</v>
      </c>
      <c r="B7561">
        <v>32</v>
      </c>
      <c r="C7561" s="1">
        <f>0.478497819349869*(10.3/7.3)</f>
        <v>0.67514075880871882</v>
      </c>
      <c r="D7561" s="1">
        <f>1.36593815878824*(10.3/7.3)</f>
        <v>1.9272826076053184</v>
      </c>
      <c r="E7561" s="1">
        <f>4.60941755283722*(10.3/7.3)</f>
        <v>6.5036987389347045</v>
      </c>
      <c r="F7561" s="1">
        <f>14.1651354695441*(38.9/42.5)</f>
        <v>12.965265170947397</v>
      </c>
      <c r="G7561" s="1">
        <v>0.79923666285997896</v>
      </c>
      <c r="H7561" s="1">
        <v>4.5765447364261043</v>
      </c>
      <c r="I7561" s="1">
        <v>9.90827739196083</v>
      </c>
      <c r="J7561" s="1">
        <v>1.422215819325667E-2</v>
      </c>
      <c r="K7561" s="1">
        <v>1.1446338653303232</v>
      </c>
      <c r="L7561" s="1">
        <v>0.93135215735779975</v>
      </c>
      <c r="M7561" s="1">
        <v>7.6504578790904873E-2</v>
      </c>
      <c r="N7561" s="1">
        <v>0.5458581471978764</v>
      </c>
      <c r="O7561" s="1">
        <v>7.2616666666666649E-2</v>
      </c>
      <c r="P7561" s="1">
        <v>5.0069715042186026E-2</v>
      </c>
      <c r="Q7561" s="1">
        <v>1.2773188675844425</v>
      </c>
      <c r="R7561" s="2">
        <f t="shared" si="471"/>
        <v>38.632764935127497</v>
      </c>
      <c r="S7561" s="2">
        <f t="shared" ref="S7561:S7624" si="474">J7561+K7561+P7561</f>
        <v>1.2089257385657659</v>
      </c>
      <c r="T7561" s="2">
        <f t="shared" si="472"/>
        <v>1.6263315500132476</v>
      </c>
      <c r="U7561" s="2">
        <f t="shared" si="473"/>
        <v>41.468022223706512</v>
      </c>
    </row>
    <row r="7562" spans="1:21" x14ac:dyDescent="0.25">
      <c r="A7562">
        <v>8734833</v>
      </c>
      <c r="B7562">
        <v>19</v>
      </c>
      <c r="C7562" s="1">
        <f>0.510589133543462*(10.3/7.3)</f>
        <v>0.72042028431474725</v>
      </c>
      <c r="D7562" s="1">
        <f>1.453160626914*(10.3/7.3)</f>
        <v>2.0503499256457802</v>
      </c>
      <c r="E7562" s="1">
        <f>4.90182112193275*(10.3/7.3)</f>
        <v>6.9162681583434749</v>
      </c>
      <c r="F7562" s="1">
        <f>15.1787882964024*(38.9/42.5)</f>
        <v>13.893055640707152</v>
      </c>
      <c r="G7562" s="1">
        <v>0.85951153718206919</v>
      </c>
      <c r="H7562" s="1">
        <v>5.250428216934429</v>
      </c>
      <c r="I7562" s="1">
        <v>10.642856442978177</v>
      </c>
      <c r="J7562" s="1">
        <v>1.483022045799174E-2</v>
      </c>
      <c r="K7562" s="1">
        <v>1.1832704577301683</v>
      </c>
      <c r="L7562" s="1">
        <v>0.97054180219199271</v>
      </c>
      <c r="M7562" s="1">
        <v>7.8531120903923154E-2</v>
      </c>
      <c r="N7562" s="1">
        <v>0.56699223164335066</v>
      </c>
      <c r="O7562" s="1">
        <v>7.4764912280701742E-2</v>
      </c>
      <c r="P7562" s="1">
        <v>5.1352541700836418E-2</v>
      </c>
      <c r="Q7562" s="1">
        <v>1.3736485754051346</v>
      </c>
      <c r="R7562" s="2">
        <f t="shared" ref="R7562:R7625" si="475">C7562+D7562+E7562+F7562+G7562+H7562+I7562+Q7562</f>
        <v>41.706538781510964</v>
      </c>
      <c r="S7562" s="2">
        <f t="shared" si="474"/>
        <v>1.2494532198889965</v>
      </c>
      <c r="T7562" s="2">
        <f t="shared" ref="T7562:T7625" si="476">L7562+M7562+N7562+O7562</f>
        <v>1.6908300670199683</v>
      </c>
      <c r="U7562" s="2">
        <f t="shared" ref="U7562:U7625" si="477">R7562+S7562+T7562</f>
        <v>44.64682206841993</v>
      </c>
    </row>
    <row r="7563" spans="1:21" x14ac:dyDescent="0.25">
      <c r="A7563">
        <v>8746693</v>
      </c>
      <c r="B7563">
        <v>25</v>
      </c>
      <c r="C7563" s="1">
        <f>0.289100904522519*(10.3/7.3)</f>
        <v>0.40790949542218385</v>
      </c>
      <c r="D7563" s="1">
        <f>0.723871393841533*(10.3/7.3)</f>
        <v>1.0213527885709299</v>
      </c>
      <c r="E7563" s="1">
        <f>2.45455298202995*(10.3/7.3)</f>
        <v>3.4632733856039004</v>
      </c>
      <c r="F7563" s="1">
        <f>7.29139281002107*(38.9/42.5)</f>
        <v>6.6737689484663463</v>
      </c>
      <c r="G7563" s="1">
        <v>0.40176376083547582</v>
      </c>
      <c r="H7563" s="1">
        <v>1.9674838537690709</v>
      </c>
      <c r="I7563" s="1">
        <v>5.1346396796388101</v>
      </c>
      <c r="J7563" s="1">
        <v>1.0814398823797026E-2</v>
      </c>
      <c r="K7563" s="1">
        <v>1.1569368051135769</v>
      </c>
      <c r="L7563" s="1">
        <v>0.85324584051331431</v>
      </c>
      <c r="M7563" s="1">
        <v>8.9737193656560951E-2</v>
      </c>
      <c r="N7563" s="1">
        <v>0.41734658896962368</v>
      </c>
      <c r="O7563" s="1">
        <v>9.3102933333333318E-2</v>
      </c>
      <c r="P7563" s="1">
        <v>5.5637862315779468E-2</v>
      </c>
      <c r="Q7563" s="1">
        <v>0.64208820224847796</v>
      </c>
      <c r="R7563" s="2">
        <f t="shared" si="475"/>
        <v>19.712280114555192</v>
      </c>
      <c r="S7563" s="2">
        <f t="shared" si="474"/>
        <v>1.2233890662531532</v>
      </c>
      <c r="T7563" s="2">
        <f t="shared" si="476"/>
        <v>1.4534325564728323</v>
      </c>
      <c r="U7563" s="2">
        <f t="shared" si="477"/>
        <v>22.38910173728118</v>
      </c>
    </row>
    <row r="7564" spans="1:21" x14ac:dyDescent="0.25">
      <c r="A7564">
        <v>8746701</v>
      </c>
      <c r="B7564">
        <v>60</v>
      </c>
      <c r="C7564" s="1">
        <f>0.321608021387221*(10.3/7.3)</f>
        <v>0.45377570140936674</v>
      </c>
      <c r="D7564" s="1">
        <f>0.833102327650149*(10.3/7.3)</f>
        <v>1.1754731472324016</v>
      </c>
      <c r="E7564" s="1">
        <f>2.82380745391889*(10.3/7.3)</f>
        <v>3.9842762705978885</v>
      </c>
      <c r="F7564" s="1">
        <f>8.33470526448122*(38.9/42.5)</f>
        <v>7.6287067009016312</v>
      </c>
      <c r="G7564" s="1">
        <v>0.45851956579881958</v>
      </c>
      <c r="H7564" s="1">
        <v>2.4153004042799342</v>
      </c>
      <c r="I7564" s="1">
        <v>5.8335861226957961</v>
      </c>
      <c r="J7564" s="1">
        <v>1.1459337506869168E-2</v>
      </c>
      <c r="K7564" s="1">
        <v>1.2237203190996639</v>
      </c>
      <c r="L7564" s="1">
        <v>0.91491514072933144</v>
      </c>
      <c r="M7564" s="1">
        <v>9.4986010792286177E-2</v>
      </c>
      <c r="N7564" s="1">
        <v>0.44630354791135984</v>
      </c>
      <c r="O7564" s="1">
        <v>9.7918222222222184E-2</v>
      </c>
      <c r="P7564" s="1">
        <v>5.8392173003177922E-2</v>
      </c>
      <c r="Q7564" s="1">
        <v>0.73279382661911907</v>
      </c>
      <c r="R7564" s="2">
        <f t="shared" si="475"/>
        <v>22.682431739534955</v>
      </c>
      <c r="S7564" s="2">
        <f t="shared" si="474"/>
        <v>1.2935718296097112</v>
      </c>
      <c r="T7564" s="2">
        <f t="shared" si="476"/>
        <v>1.5541229216551995</v>
      </c>
      <c r="U7564" s="2">
        <f t="shared" si="477"/>
        <v>25.530126490799866</v>
      </c>
    </row>
    <row r="7565" spans="1:21" x14ac:dyDescent="0.25">
      <c r="A7565">
        <v>8746709</v>
      </c>
      <c r="B7565">
        <v>65</v>
      </c>
      <c r="C7565" s="1">
        <f>0.335921760850396*(10.3/7.3)</f>
        <v>0.4739717995560378</v>
      </c>
      <c r="D7565" s="1">
        <f>0.881619985117357*(10.3/7.3)</f>
        <v>1.2439295680422977</v>
      </c>
      <c r="E7565" s="1">
        <f>2.98903048787592*(10.3/7.3)</f>
        <v>4.217399181523553</v>
      </c>
      <c r="F7565" s="1">
        <f>8.73823713696213*(38.9/42.5)</f>
        <v>7.9980570500665147</v>
      </c>
      <c r="G7565" s="1">
        <v>0.47859321124935361</v>
      </c>
      <c r="H7565" s="1">
        <v>1.7811424336124053</v>
      </c>
      <c r="I7565" s="1">
        <v>6.0897176313393118</v>
      </c>
      <c r="J7565" s="1">
        <v>1.1862300423679676E-2</v>
      </c>
      <c r="K7565" s="1">
        <v>1.2577359750794044</v>
      </c>
      <c r="L7565" s="1">
        <v>0.94829384865622401</v>
      </c>
      <c r="M7565" s="1">
        <v>9.7297858294479317E-2</v>
      </c>
      <c r="N7565" s="1">
        <v>0.46447399770732067</v>
      </c>
      <c r="O7565" s="1">
        <v>0.10131446153846158</v>
      </c>
      <c r="P7565" s="1">
        <v>5.9871006069633789E-2</v>
      </c>
      <c r="Q7565" s="1">
        <v>0.76487499514736956</v>
      </c>
      <c r="R7565" s="2">
        <f t="shared" si="475"/>
        <v>23.047685870536842</v>
      </c>
      <c r="S7565" s="2">
        <f t="shared" si="474"/>
        <v>1.3294692815727178</v>
      </c>
      <c r="T7565" s="2">
        <f t="shared" si="476"/>
        <v>1.6113801661964855</v>
      </c>
      <c r="U7565" s="2">
        <f t="shared" si="477"/>
        <v>25.988535318306045</v>
      </c>
    </row>
    <row r="7566" spans="1:21" x14ac:dyDescent="0.25">
      <c r="A7566">
        <v>8746717</v>
      </c>
      <c r="B7566">
        <v>67</v>
      </c>
      <c r="C7566" s="1">
        <f>0.287897207235943*(10.3/7.3)</f>
        <v>0.40621112801783682</v>
      </c>
      <c r="D7566" s="1">
        <f>0.729986805619858*(10.3/7.3)</f>
        <v>1.0299813832718547</v>
      </c>
      <c r="E7566" s="1">
        <f>2.47960881409869*(10.3/7.3)</f>
        <v>3.4986261349611687</v>
      </c>
      <c r="F7566" s="1">
        <f>7.10693599339904*(38.9/42.5)</f>
        <v>6.5049367092522941</v>
      </c>
      <c r="G7566" s="1">
        <v>0.38434329015110602</v>
      </c>
      <c r="H7566" s="1">
        <v>1.4202466299407388</v>
      </c>
      <c r="I7566" s="1">
        <v>4.9479103896917351</v>
      </c>
      <c r="J7566" s="1">
        <v>1.0521118713121995E-2</v>
      </c>
      <c r="K7566" s="1">
        <v>1.1268252475071152</v>
      </c>
      <c r="L7566" s="1">
        <v>0.82620512403308266</v>
      </c>
      <c r="M7566" s="1">
        <v>8.7176361403713959E-2</v>
      </c>
      <c r="N7566" s="1">
        <v>0.41430731724188608</v>
      </c>
      <c r="O7566" s="1">
        <v>8.8913034825870665E-2</v>
      </c>
      <c r="P7566" s="1">
        <v>5.3928514699330722E-2</v>
      </c>
      <c r="Q7566" s="1">
        <v>0.61424726736478186</v>
      </c>
      <c r="R7566" s="2">
        <f t="shared" si="475"/>
        <v>18.806502932651519</v>
      </c>
      <c r="S7566" s="2">
        <f t="shared" si="474"/>
        <v>1.1912748809195679</v>
      </c>
      <c r="T7566" s="2">
        <f t="shared" si="476"/>
        <v>1.4166018375045535</v>
      </c>
      <c r="U7566" s="2">
        <f t="shared" si="477"/>
        <v>21.414379651075642</v>
      </c>
    </row>
    <row r="7567" spans="1:21" x14ac:dyDescent="0.25">
      <c r="A7567">
        <v>8746725</v>
      </c>
      <c r="B7567">
        <v>67</v>
      </c>
      <c r="C7567" s="1">
        <f>0.316983209506538*(10.3/7.3)</f>
        <v>0.44725028190648497</v>
      </c>
      <c r="D7567" s="1">
        <f>0.837138590954399*(10.3/7.3)</f>
        <v>1.1811681488808645</v>
      </c>
      <c r="E7567" s="1">
        <f>2.83999261600172*(10.3/7.3)</f>
        <v>4.0071128691531186</v>
      </c>
      <c r="F7567" s="1">
        <f>8.1914806200019*(38.9/42.5)</f>
        <v>7.4976140263076241</v>
      </c>
      <c r="G7567" s="1">
        <v>0.44552863063494885</v>
      </c>
      <c r="H7567" s="1">
        <v>1.6271613141740069</v>
      </c>
      <c r="I7567" s="1">
        <v>5.6825259237216699</v>
      </c>
      <c r="J7567" s="1">
        <v>1.1337840439287483E-2</v>
      </c>
      <c r="K7567" s="1">
        <v>1.2057561761619371</v>
      </c>
      <c r="L7567" s="1">
        <v>0.89660563809724347</v>
      </c>
      <c r="M7567" s="1">
        <v>9.2550028549923294E-2</v>
      </c>
      <c r="N7567" s="1">
        <v>0.44702663385535646</v>
      </c>
      <c r="O7567" s="1">
        <v>9.4977114427860693E-2</v>
      </c>
      <c r="P7567" s="1">
        <v>5.7284502979512555E-2</v>
      </c>
      <c r="Q7567" s="1">
        <v>0.71203205809238512</v>
      </c>
      <c r="R7567" s="2">
        <f t="shared" si="475"/>
        <v>21.600393252871104</v>
      </c>
      <c r="S7567" s="2">
        <f t="shared" si="474"/>
        <v>1.2743785195807371</v>
      </c>
      <c r="T7567" s="2">
        <f t="shared" si="476"/>
        <v>1.531159414930384</v>
      </c>
      <c r="U7567" s="2">
        <f t="shared" si="477"/>
        <v>24.405931187382222</v>
      </c>
    </row>
    <row r="7568" spans="1:21" x14ac:dyDescent="0.25">
      <c r="A7568">
        <v>8746733</v>
      </c>
      <c r="B7568">
        <v>45</v>
      </c>
      <c r="C7568" s="1">
        <f>0.256404333521733*(10.3/7.3)</f>
        <v>0.3617759774347733</v>
      </c>
      <c r="D7568" s="1">
        <f>0.646385887953449*(10.3/7.3)</f>
        <v>0.91202392409870203</v>
      </c>
      <c r="E7568" s="1">
        <f>2.19796557768607*(10.3/7.3)</f>
        <v>3.101239102762531</v>
      </c>
      <c r="F7568" s="1">
        <f>6.19490071355085*(38.9/42.5)</f>
        <v>5.6701561825206612</v>
      </c>
      <c r="G7568" s="1">
        <v>0.33175595770395133</v>
      </c>
      <c r="H7568" s="1">
        <v>1.2474376427679161</v>
      </c>
      <c r="I7568" s="1">
        <v>4.2959469022487342</v>
      </c>
      <c r="J7568" s="1">
        <v>1.0226875402230886E-2</v>
      </c>
      <c r="K7568" s="1">
        <v>1.0888561362949127</v>
      </c>
      <c r="L7568" s="1">
        <v>0.7943178094069937</v>
      </c>
      <c r="M7568" s="1">
        <v>8.3884901804287523E-2</v>
      </c>
      <c r="N7568" s="1">
        <v>0.40432581197038175</v>
      </c>
      <c r="O7568" s="1">
        <v>8.5706666666666667E-2</v>
      </c>
      <c r="P7568" s="1">
        <v>5.2156096114768236E-2</v>
      </c>
      <c r="Q7568" s="1">
        <v>0.53020358537161205</v>
      </c>
      <c r="R7568" s="2">
        <f t="shared" si="475"/>
        <v>16.450539274908881</v>
      </c>
      <c r="S7568" s="2">
        <f t="shared" si="474"/>
        <v>1.151239107811912</v>
      </c>
      <c r="T7568" s="2">
        <f t="shared" si="476"/>
        <v>1.3682351898483296</v>
      </c>
      <c r="U7568" s="2">
        <f t="shared" si="477"/>
        <v>18.970013572569123</v>
      </c>
    </row>
    <row r="7569" spans="1:21" x14ac:dyDescent="0.25">
      <c r="A7569">
        <v>8746789</v>
      </c>
      <c r="B7569">
        <v>8</v>
      </c>
      <c r="C7569" s="1">
        <f>0.305011865619086*(10.3/7.3)</f>
        <v>0.43035920765432667</v>
      </c>
      <c r="D7569" s="1">
        <f>0.924803060883597*(10.3/7.3)</f>
        <v>1.3048591133015133</v>
      </c>
      <c r="E7569" s="1">
        <f>3.11791768451406*(10.3/7.3)</f>
        <v>4.3992537192458645</v>
      </c>
      <c r="F7569" s="1">
        <f>9.53885165415427*(38.9/42.5)</f>
        <v>8.7308548081553212</v>
      </c>
      <c r="G7569" s="1">
        <v>0.53843283788740415</v>
      </c>
      <c r="H7569" s="1">
        <v>3.2090188359658831</v>
      </c>
      <c r="I7569" s="1">
        <v>6.6200845912817323</v>
      </c>
      <c r="J7569" s="1">
        <v>1.1554243830905621E-2</v>
      </c>
      <c r="K7569" s="1">
        <v>1.1395299377381047</v>
      </c>
      <c r="L7569" s="1">
        <v>0.8519314142553609</v>
      </c>
      <c r="M7569" s="1">
        <v>8.8309946075077667E-2</v>
      </c>
      <c r="N7569" s="1">
        <v>0.4433808776505524</v>
      </c>
      <c r="O7569" s="1">
        <v>8.6653333333333332E-2</v>
      </c>
      <c r="P7569" s="1">
        <v>5.3864143128760714E-2</v>
      </c>
      <c r="Q7569" s="1">
        <v>0.86050910164653716</v>
      </c>
      <c r="R7569" s="2">
        <f t="shared" si="475"/>
        <v>26.093372215138583</v>
      </c>
      <c r="S7569" s="2">
        <f t="shared" si="474"/>
        <v>1.204948324697771</v>
      </c>
      <c r="T7569" s="2">
        <f t="shared" si="476"/>
        <v>1.4702755713143243</v>
      </c>
      <c r="U7569" s="2">
        <f t="shared" si="477"/>
        <v>28.768596111150678</v>
      </c>
    </row>
    <row r="7570" spans="1:21" x14ac:dyDescent="0.25">
      <c r="A7570">
        <v>8746797</v>
      </c>
      <c r="B7570">
        <v>5</v>
      </c>
      <c r="C7570" s="1">
        <f>0.314642561506615*(10.3/7.3)</f>
        <v>0.44394772376960706</v>
      </c>
      <c r="D7570" s="1">
        <f>0.987028049466059*(10.3/7.3)</f>
        <v>1.3926560150000558</v>
      </c>
      <c r="E7570" s="1">
        <f>3.32113519794931*(10.3/7.3)</f>
        <v>4.6859852792983361</v>
      </c>
      <c r="F7570" s="1">
        <f>10.3895379450862*(38.9/42.5)</f>
        <v>9.50948296620831</v>
      </c>
      <c r="G7570" s="1">
        <v>0.593619990812704</v>
      </c>
      <c r="H7570" s="1">
        <v>2.7337585528092267</v>
      </c>
      <c r="I7570" s="1">
        <v>7.2300680205883427</v>
      </c>
      <c r="J7570" s="1">
        <v>1.1843630327147914E-2</v>
      </c>
      <c r="K7570" s="1">
        <v>1.1653031315134279</v>
      </c>
      <c r="L7570" s="1">
        <v>0.8752307845386198</v>
      </c>
      <c r="M7570" s="1">
        <v>8.887623016604726E-2</v>
      </c>
      <c r="N7570" s="1">
        <v>0.45756366362834477</v>
      </c>
      <c r="O7570" s="1">
        <v>8.8394666666666649E-2</v>
      </c>
      <c r="P7570" s="1">
        <v>5.5047196452363688E-2</v>
      </c>
      <c r="Q7570" s="1">
        <v>0.94870774787418544</v>
      </c>
      <c r="R7570" s="2">
        <f t="shared" si="475"/>
        <v>27.538226296360765</v>
      </c>
      <c r="S7570" s="2">
        <f t="shared" si="474"/>
        <v>1.2321939582929395</v>
      </c>
      <c r="T7570" s="2">
        <f t="shared" si="476"/>
        <v>1.5100653449996784</v>
      </c>
      <c r="U7570" s="2">
        <f t="shared" si="477"/>
        <v>30.280485599653382</v>
      </c>
    </row>
    <row r="7571" spans="1:21" x14ac:dyDescent="0.25">
      <c r="A7571">
        <v>8747045</v>
      </c>
      <c r="B7571">
        <v>19</v>
      </c>
      <c r="C7571" s="1">
        <f>0.435731236598694*(10.3/7.3)</f>
        <v>0.61479886807760953</v>
      </c>
      <c r="D7571" s="1">
        <f>1.25553001399888*(10.3/7.3)</f>
        <v>1.7715012526285523</v>
      </c>
      <c r="E7571" s="1">
        <f>4.24040748243801*(10.3/7.3)</f>
        <v>5.9830406943988299</v>
      </c>
      <c r="F7571" s="1">
        <f>12.8061168978521*(38.9/42.5)</f>
        <v>11.721363466504632</v>
      </c>
      <c r="G7571" s="1">
        <v>0.71661161701970644</v>
      </c>
      <c r="H7571" s="1">
        <v>3.2871838832893436</v>
      </c>
      <c r="I7571" s="1">
        <v>8.9051931122269021</v>
      </c>
      <c r="J7571" s="1">
        <v>1.3113732874940142E-2</v>
      </c>
      <c r="K7571" s="1">
        <v>1.0863606189813904</v>
      </c>
      <c r="L7571" s="1">
        <v>0.87837337243862379</v>
      </c>
      <c r="M7571" s="1">
        <v>7.4458750201203974E-2</v>
      </c>
      <c r="N7571" s="1">
        <v>0.50375541306503924</v>
      </c>
      <c r="O7571" s="1">
        <v>7.000421052631578E-2</v>
      </c>
      <c r="P7571" s="1">
        <v>4.8286883177089686E-2</v>
      </c>
      <c r="Q7571" s="1">
        <v>1.1452697075657421</v>
      </c>
      <c r="R7571" s="2">
        <f t="shared" si="475"/>
        <v>34.14496260171132</v>
      </c>
      <c r="S7571" s="2">
        <f t="shared" si="474"/>
        <v>1.1477612350334203</v>
      </c>
      <c r="T7571" s="2">
        <f t="shared" si="476"/>
        <v>1.5265917462311829</v>
      </c>
      <c r="U7571" s="2">
        <f t="shared" si="477"/>
        <v>36.819315582975925</v>
      </c>
    </row>
    <row r="7572" spans="1:21" x14ac:dyDescent="0.25">
      <c r="A7572">
        <v>8747053</v>
      </c>
      <c r="B7572">
        <v>50</v>
      </c>
      <c r="C7572" s="1">
        <f>0.440136343981493*(10.3/7.3)</f>
        <v>0.62101429356292803</v>
      </c>
      <c r="D7572" s="1">
        <f>1.24325827281269*(10.3/7.3)</f>
        <v>1.754186330132973</v>
      </c>
      <c r="E7572" s="1">
        <f>4.20031242515519*(10.3/7.3)</f>
        <v>5.9264682163148521</v>
      </c>
      <c r="F7572" s="1">
        <f>12.7026336763077*(38.9/42.5)</f>
        <v>11.626645882549827</v>
      </c>
      <c r="G7572" s="1">
        <v>0.71067233379380013</v>
      </c>
      <c r="H7572" s="1">
        <v>3.2766002872633977</v>
      </c>
      <c r="I7572" s="1">
        <v>8.8567898053902852</v>
      </c>
      <c r="J7572" s="1">
        <v>1.3440602493214618E-2</v>
      </c>
      <c r="K7572" s="1">
        <v>1.0975385058229044</v>
      </c>
      <c r="L7572" s="1">
        <v>0.8856817787564818</v>
      </c>
      <c r="M7572" s="1">
        <v>7.4195336383482691E-2</v>
      </c>
      <c r="N7572" s="1">
        <v>0.51694045075937123</v>
      </c>
      <c r="O7572" s="1">
        <v>7.000533333333335E-2</v>
      </c>
      <c r="P7572" s="1">
        <v>4.8420305809533722E-2</v>
      </c>
      <c r="Q7572" s="1">
        <v>1.1357777024101836</v>
      </c>
      <c r="R7572" s="2">
        <f t="shared" si="475"/>
        <v>33.908154851418246</v>
      </c>
      <c r="S7572" s="2">
        <f t="shared" si="474"/>
        <v>1.1593994141256527</v>
      </c>
      <c r="T7572" s="2">
        <f t="shared" si="476"/>
        <v>1.5468228992326691</v>
      </c>
      <c r="U7572" s="2">
        <f t="shared" si="477"/>
        <v>36.614377164776563</v>
      </c>
    </row>
    <row r="7573" spans="1:21" x14ac:dyDescent="0.25">
      <c r="A7573">
        <v>8747061</v>
      </c>
      <c r="B7573">
        <v>49</v>
      </c>
      <c r="C7573" s="1">
        <f>0.467375114225802*(10.3/7.3)</f>
        <v>0.6594470789761312</v>
      </c>
      <c r="D7573" s="1">
        <f>1.31129974314514*(10.3/7.3)</f>
        <v>1.8501900485472591</v>
      </c>
      <c r="E7573" s="1">
        <f>4.42874272437459*(10.3/7.3)</f>
        <v>6.2487739809668845</v>
      </c>
      <c r="F7573" s="1">
        <f>13.4996192267361*(38.9/42.5)</f>
        <v>12.35612206870667</v>
      </c>
      <c r="G7573" s="1">
        <v>0.75802562031045317</v>
      </c>
      <c r="H7573" s="1">
        <v>3.9882291009930948</v>
      </c>
      <c r="I7573" s="1">
        <v>9.4403151537340655</v>
      </c>
      <c r="J7573" s="1">
        <v>1.3901774660587922E-2</v>
      </c>
      <c r="K7573" s="1">
        <v>1.1214545263878477</v>
      </c>
      <c r="L7573" s="1">
        <v>0.90802515287146135</v>
      </c>
      <c r="M7573" s="1">
        <v>7.5062536239321756E-2</v>
      </c>
      <c r="N7573" s="1">
        <v>0.53324717742072125</v>
      </c>
      <c r="O7573" s="1">
        <v>7.0969251700680275E-2</v>
      </c>
      <c r="P7573" s="1">
        <v>4.912937160981283E-2</v>
      </c>
      <c r="Q7573" s="1">
        <v>1.211456470815794</v>
      </c>
      <c r="R7573" s="2">
        <f t="shared" si="475"/>
        <v>36.512559523050356</v>
      </c>
      <c r="S7573" s="2">
        <f t="shared" si="474"/>
        <v>1.1844856726582484</v>
      </c>
      <c r="T7573" s="2">
        <f t="shared" si="476"/>
        <v>1.5873041182321848</v>
      </c>
      <c r="U7573" s="2">
        <f t="shared" si="477"/>
        <v>39.284349313940787</v>
      </c>
    </row>
    <row r="7574" spans="1:21" x14ac:dyDescent="0.25">
      <c r="A7574">
        <v>8747069</v>
      </c>
      <c r="B7574">
        <v>38</v>
      </c>
      <c r="C7574" s="1">
        <f>0.493965691292775*(10.3/7.3)</f>
        <v>0.69696529045418987</v>
      </c>
      <c r="D7574" s="1">
        <f>1.37655928832904*(10.3/7.3)</f>
        <v>1.9422685849026173</v>
      </c>
      <c r="E7574" s="1">
        <f>4.64775208999431*(10.3/7.3)</f>
        <v>6.5577871954714206</v>
      </c>
      <c r="F7574" s="1">
        <f>14.2726490554858*(38.9/42.5)</f>
        <v>13.063671723726998</v>
      </c>
      <c r="G7574" s="1">
        <v>0.80414170050188905</v>
      </c>
      <c r="H7574" s="1">
        <v>5.1283519598197005</v>
      </c>
      <c r="I7574" s="1">
        <v>10.008795802458559</v>
      </c>
      <c r="J7574" s="1">
        <v>1.429557678458223E-2</v>
      </c>
      <c r="K7574" s="1">
        <v>1.1454516796215799</v>
      </c>
      <c r="L7574" s="1">
        <v>0.92932057601854257</v>
      </c>
      <c r="M7574" s="1">
        <v>7.5834599526759222E-2</v>
      </c>
      <c r="N7574" s="1">
        <v>0.54594066851134804</v>
      </c>
      <c r="O7574" s="1">
        <v>7.2110877192982467E-2</v>
      </c>
      <c r="P7574" s="1">
        <v>4.9794433109467302E-2</v>
      </c>
      <c r="Q7574" s="1">
        <v>1.2851579688386365</v>
      </c>
      <c r="R7574" s="2">
        <f t="shared" si="475"/>
        <v>39.487140226174013</v>
      </c>
      <c r="S7574" s="2">
        <f t="shared" si="474"/>
        <v>1.2095416895156295</v>
      </c>
      <c r="T7574" s="2">
        <f t="shared" si="476"/>
        <v>1.6232067212496324</v>
      </c>
      <c r="U7574" s="2">
        <f t="shared" si="477"/>
        <v>42.319888636939275</v>
      </c>
    </row>
    <row r="7575" spans="1:21" x14ac:dyDescent="0.25">
      <c r="A7575">
        <v>8747077</v>
      </c>
      <c r="B7575">
        <v>4</v>
      </c>
      <c r="C7575" s="1">
        <f>0.571050877946415*(10.3/7.3)</f>
        <v>0.80572932093809213</v>
      </c>
      <c r="D7575" s="1">
        <f>1.61389470792512*(10.3/7.3)</f>
        <v>2.277139108442289</v>
      </c>
      <c r="E7575" s="1">
        <f>5.44461690460262*(10.3/7.3)</f>
        <v>7.6821307010146569</v>
      </c>
      <c r="F7575" s="1">
        <f>16.8684754618754*(38.9/42.5)</f>
        <v>15.439616363928321</v>
      </c>
      <c r="G7575" s="1">
        <v>0.95513956516189336</v>
      </c>
      <c r="H7575" s="1">
        <v>5.9615378841027411</v>
      </c>
      <c r="I7575" s="1">
        <v>11.838545518920427</v>
      </c>
      <c r="J7575" s="1">
        <v>1.5825028412545912E-2</v>
      </c>
      <c r="K7575" s="1">
        <v>1.2515802191093979</v>
      </c>
      <c r="L7575" s="1">
        <v>1.0416183129471954</v>
      </c>
      <c r="M7575" s="1">
        <v>8.2728110004186728E-2</v>
      </c>
      <c r="N7575" s="1">
        <v>0.60159875361102566</v>
      </c>
      <c r="O7575" s="1">
        <v>7.9080000000000011E-2</v>
      </c>
      <c r="P7575" s="1">
        <v>5.3777930939647729E-2</v>
      </c>
      <c r="Q7575" s="1">
        <v>1.5264787571080503</v>
      </c>
      <c r="R7575" s="2">
        <f t="shared" si="475"/>
        <v>46.486317219616474</v>
      </c>
      <c r="S7575" s="2">
        <f t="shared" si="474"/>
        <v>1.3211831784615915</v>
      </c>
      <c r="T7575" s="2">
        <f t="shared" si="476"/>
        <v>1.8050251765624079</v>
      </c>
      <c r="U7575" s="2">
        <f t="shared" si="477"/>
        <v>49.612525574640472</v>
      </c>
    </row>
    <row r="7576" spans="1:21" x14ac:dyDescent="0.25">
      <c r="A7576">
        <v>8758929</v>
      </c>
      <c r="B7576">
        <v>9</v>
      </c>
      <c r="C7576" s="1">
        <f>0.254849225289549*(10.3/7.3)</f>
        <v>0.35958178362772003</v>
      </c>
      <c r="D7576" s="1">
        <f>0.6189106533187*(10.3/7.3)</f>
        <v>0.87325749714830325</v>
      </c>
      <c r="E7576" s="1">
        <f>2.10335396529707*(10.3/7.3)</f>
        <v>2.9677460058301133</v>
      </c>
      <c r="F7576" s="1">
        <f>6.0830485457388*(38.9/42.5)</f>
        <v>5.5677785512762208</v>
      </c>
      <c r="G7576" s="1">
        <v>0.32981272710506732</v>
      </c>
      <c r="H7576" s="1">
        <v>1.3951403866445067</v>
      </c>
      <c r="I7576" s="1">
        <v>4.2706150612334657</v>
      </c>
      <c r="J7576" s="1">
        <v>9.9743576319679811E-3</v>
      </c>
      <c r="K7576" s="1">
        <v>1.0781087204233832</v>
      </c>
      <c r="L7576" s="1">
        <v>0.78220023040978204</v>
      </c>
      <c r="M7576" s="1">
        <v>8.3191736081551254E-2</v>
      </c>
      <c r="N7576" s="1">
        <v>0.38568358194907959</v>
      </c>
      <c r="O7576" s="1">
        <v>8.5813333333333339E-2</v>
      </c>
      <c r="P7576" s="1">
        <v>5.1988788074540687E-2</v>
      </c>
      <c r="Q7576" s="1">
        <v>0.52709796569303036</v>
      </c>
      <c r="R7576" s="2">
        <f t="shared" si="475"/>
        <v>16.291029978558427</v>
      </c>
      <c r="S7576" s="2">
        <f t="shared" si="474"/>
        <v>1.1400718661298919</v>
      </c>
      <c r="T7576" s="2">
        <f t="shared" si="476"/>
        <v>1.3368888817737461</v>
      </c>
      <c r="U7576" s="2">
        <f t="shared" si="477"/>
        <v>18.767990726462063</v>
      </c>
    </row>
    <row r="7577" spans="1:21" x14ac:dyDescent="0.25">
      <c r="A7577">
        <v>8758937</v>
      </c>
      <c r="B7577">
        <v>45</v>
      </c>
      <c r="C7577" s="1">
        <f>0.329967060045046*(10.3/7.3)</f>
        <v>0.46556996143342111</v>
      </c>
      <c r="D7577" s="1">
        <f>0.862840105108509*(10.3/7.3)</f>
        <v>1.2174319291257052</v>
      </c>
      <c r="E7577" s="1">
        <f>2.92458737874479*(10.3/7.3)</f>
        <v>4.1264726028864827</v>
      </c>
      <c r="F7577" s="1">
        <f>8.60160994361288*(38.9/42.5)</f>
        <v>7.8730029836833202</v>
      </c>
      <c r="G7577" s="1">
        <v>0.47254361067610312</v>
      </c>
      <c r="H7577" s="1">
        <v>1.8295075300305095</v>
      </c>
      <c r="I7577" s="1">
        <v>6.0073272142155094</v>
      </c>
      <c r="J7577" s="1">
        <v>1.1704830417578457E-2</v>
      </c>
      <c r="K7577" s="1">
        <v>1.2490641806176999</v>
      </c>
      <c r="L7577" s="1">
        <v>0.93975930232372384</v>
      </c>
      <c r="M7577" s="1">
        <v>9.7102457308407553E-2</v>
      </c>
      <c r="N7577" s="1">
        <v>0.45782279078792631</v>
      </c>
      <c r="O7577" s="1">
        <v>9.9646814814814813E-2</v>
      </c>
      <c r="P7577" s="1">
        <v>5.9515521519288142E-2</v>
      </c>
      <c r="Q7577" s="1">
        <v>0.75520668372893263</v>
      </c>
      <c r="R7577" s="2">
        <f t="shared" si="475"/>
        <v>22.747062515779984</v>
      </c>
      <c r="S7577" s="2">
        <f t="shared" si="474"/>
        <v>1.3202845325545665</v>
      </c>
      <c r="T7577" s="2">
        <f t="shared" si="476"/>
        <v>1.5943313652348727</v>
      </c>
      <c r="U7577" s="2">
        <f t="shared" si="477"/>
        <v>25.661678413569422</v>
      </c>
    </row>
    <row r="7578" spans="1:21" x14ac:dyDescent="0.25">
      <c r="A7578">
        <v>8758945</v>
      </c>
      <c r="B7578">
        <v>55</v>
      </c>
      <c r="C7578" s="1">
        <f>0.266860579699643*(10.3/7.3)</f>
        <v>0.37652931108305732</v>
      </c>
      <c r="D7578" s="1">
        <f>0.653976577479713*(10.3/7.3)</f>
        <v>0.92273407507411542</v>
      </c>
      <c r="E7578" s="1">
        <f>2.2242073664026*(10.3/7.3)</f>
        <v>3.138265188211883</v>
      </c>
      <c r="F7578" s="1">
        <f>6.32170620828477*(38.9/42.5)</f>
        <v>5.7862205059359395</v>
      </c>
      <c r="G7578" s="1">
        <v>0.33961189820538495</v>
      </c>
      <c r="H7578" s="1">
        <v>1.2677740244532911</v>
      </c>
      <c r="I7578" s="1">
        <v>4.4115686541082599</v>
      </c>
      <c r="J7578" s="1">
        <v>9.9395890775451981E-3</v>
      </c>
      <c r="K7578" s="1">
        <v>1.0716060081850876</v>
      </c>
      <c r="L7578" s="1">
        <v>0.77551033845824313</v>
      </c>
      <c r="M7578" s="1">
        <v>8.1808124809010216E-2</v>
      </c>
      <c r="N7578" s="1">
        <v>0.39236768872353295</v>
      </c>
      <c r="O7578" s="1">
        <v>8.4596363636363636E-2</v>
      </c>
      <c r="P7578" s="1">
        <v>5.154817982364647E-2</v>
      </c>
      <c r="Q7578" s="1">
        <v>0.54275874142413183</v>
      </c>
      <c r="R7578" s="2">
        <f t="shared" si="475"/>
        <v>16.785462398496058</v>
      </c>
      <c r="S7578" s="2">
        <f t="shared" si="474"/>
        <v>1.1330937770862792</v>
      </c>
      <c r="T7578" s="2">
        <f t="shared" si="476"/>
        <v>1.3342825156271498</v>
      </c>
      <c r="U7578" s="2">
        <f t="shared" si="477"/>
        <v>19.25283869120949</v>
      </c>
    </row>
    <row r="7579" spans="1:21" x14ac:dyDescent="0.25">
      <c r="A7579">
        <v>8758953</v>
      </c>
      <c r="B7579">
        <v>55</v>
      </c>
      <c r="C7579" s="1">
        <f>0.260879685095906*(10.3/7.3)</f>
        <v>0.36809051458737374</v>
      </c>
      <c r="D7579" s="1">
        <f>0.641200271202867*(10.3/7.3)</f>
        <v>0.90470723197116831</v>
      </c>
      <c r="E7579" s="1">
        <f>2.18110657435253*(10.3/7.3)</f>
        <v>3.0774517418946625</v>
      </c>
      <c r="F7579" s="1">
        <f>6.17341490869456*(38.9/42.5)</f>
        <v>5.6504903517227838</v>
      </c>
      <c r="G7579" s="1">
        <v>0.33091710634670857</v>
      </c>
      <c r="H7579" s="1">
        <v>1.2305981035419884</v>
      </c>
      <c r="I7579" s="1">
        <v>4.3013207240167191</v>
      </c>
      <c r="J7579" s="1">
        <v>9.9273995103880963E-3</v>
      </c>
      <c r="K7579" s="1">
        <v>1.0656227048056608</v>
      </c>
      <c r="L7579" s="1">
        <v>0.77207347900206691</v>
      </c>
      <c r="M7579" s="1">
        <v>8.1856750807639142E-2</v>
      </c>
      <c r="N7579" s="1">
        <v>0.39192537078032585</v>
      </c>
      <c r="O7579" s="1">
        <v>8.3791515151515145E-2</v>
      </c>
      <c r="P7579" s="1">
        <v>5.1234072463294957E-2</v>
      </c>
      <c r="Q7579" s="1">
        <v>0.52886295534862149</v>
      </c>
      <c r="R7579" s="2">
        <f t="shared" si="475"/>
        <v>16.392438729430026</v>
      </c>
      <c r="S7579" s="2">
        <f t="shared" si="474"/>
        <v>1.1267841767793438</v>
      </c>
      <c r="T7579" s="2">
        <f t="shared" si="476"/>
        <v>1.329647115741547</v>
      </c>
      <c r="U7579" s="2">
        <f t="shared" si="477"/>
        <v>18.848870021950919</v>
      </c>
    </row>
    <row r="7580" spans="1:21" x14ac:dyDescent="0.25">
      <c r="A7580">
        <v>8758961</v>
      </c>
      <c r="B7580">
        <v>55</v>
      </c>
      <c r="C7580" s="1">
        <f>0.287103941820101*(10.3/7.3)</f>
        <v>0.40509186311603318</v>
      </c>
      <c r="D7580" s="1">
        <f>0.741124501616583*(10.3/7.3)</f>
        <v>1.0456962146097</v>
      </c>
      <c r="E7580" s="1">
        <f>2.51709106933101*(10.3/7.3)</f>
        <v>3.5515120567273195</v>
      </c>
      <c r="F7580" s="1">
        <f>7.18015402553858*(38.9/42.5)</f>
        <v>6.5719527433753155</v>
      </c>
      <c r="G7580" s="1">
        <v>0.38765857280429478</v>
      </c>
      <c r="H7580" s="1">
        <v>1.4294010280670084</v>
      </c>
      <c r="I7580" s="1">
        <v>4.9802071107829162</v>
      </c>
      <c r="J7580" s="1">
        <v>1.0705371631984279E-2</v>
      </c>
      <c r="K7580" s="1">
        <v>1.1403053592608969</v>
      </c>
      <c r="L7580" s="1">
        <v>0.83909126763770947</v>
      </c>
      <c r="M7580" s="1">
        <v>8.8012490764102613E-2</v>
      </c>
      <c r="N7580" s="1">
        <v>0.42270886531103341</v>
      </c>
      <c r="O7580" s="1">
        <v>8.9996606060606041E-2</v>
      </c>
      <c r="P7580" s="1">
        <v>5.4454133583664611E-2</v>
      </c>
      <c r="Q7580" s="1">
        <v>0.61954566429910196</v>
      </c>
      <c r="R7580" s="2">
        <f t="shared" si="475"/>
        <v>18.991065253781692</v>
      </c>
      <c r="S7580" s="2">
        <f t="shared" si="474"/>
        <v>1.2054648644765458</v>
      </c>
      <c r="T7580" s="2">
        <f t="shared" si="476"/>
        <v>1.4398092297734515</v>
      </c>
      <c r="U7580" s="2">
        <f t="shared" si="477"/>
        <v>21.63633934803169</v>
      </c>
    </row>
    <row r="7581" spans="1:21" x14ac:dyDescent="0.25">
      <c r="A7581">
        <v>8758969</v>
      </c>
      <c r="B7581">
        <v>41</v>
      </c>
      <c r="C7581" s="1">
        <f>0.253641936980973*(10.3/7.3)</f>
        <v>0.35787834943890778</v>
      </c>
      <c r="D7581" s="1">
        <f>0.638867559390282*(10.3/7.3)</f>
        <v>0.90141587146848068</v>
      </c>
      <c r="E7581" s="1">
        <f>2.17268634505958*(10.3/7.3)</f>
        <v>3.0655711443991267</v>
      </c>
      <c r="F7581" s="1">
        <f>6.11119425203992*(38.9/42.5)</f>
        <v>5.5935401506906564</v>
      </c>
      <c r="G7581" s="1">
        <v>0.32687534636140031</v>
      </c>
      <c r="H7581" s="1">
        <v>1.2343494056624988</v>
      </c>
      <c r="I7581" s="1">
        <v>4.2359468362190595</v>
      </c>
      <c r="J7581" s="1">
        <v>1.0141877936399302E-2</v>
      </c>
      <c r="K7581" s="1">
        <v>1.0783812650638345</v>
      </c>
      <c r="L7581" s="1">
        <v>0.78541921956750205</v>
      </c>
      <c r="M7581" s="1">
        <v>8.2618000907273142E-2</v>
      </c>
      <c r="N7581" s="1">
        <v>0.40049150598702182</v>
      </c>
      <c r="O7581" s="1">
        <v>8.443447154471545E-2</v>
      </c>
      <c r="P7581" s="1">
        <v>5.1693201577185703E-2</v>
      </c>
      <c r="Q7581" s="1">
        <v>0.52240352158214709</v>
      </c>
      <c r="R7581" s="2">
        <f t="shared" si="475"/>
        <v>16.237980625822281</v>
      </c>
      <c r="S7581" s="2">
        <f t="shared" si="474"/>
        <v>1.1402163445774194</v>
      </c>
      <c r="T7581" s="2">
        <f t="shared" si="476"/>
        <v>1.3529631980065124</v>
      </c>
      <c r="U7581" s="2">
        <f t="shared" si="477"/>
        <v>18.731160168406213</v>
      </c>
    </row>
    <row r="7582" spans="1:21" x14ac:dyDescent="0.25">
      <c r="A7582">
        <v>8758977</v>
      </c>
      <c r="B7582">
        <v>7</v>
      </c>
      <c r="C7582" s="1">
        <f>0.215458797809908*(10.3/7.3)</f>
        <v>0.30400350923863728</v>
      </c>
      <c r="D7582" s="1">
        <f>0.530127098971754*(10.3/7.3)</f>
        <v>0.74798755060398125</v>
      </c>
      <c r="E7582" s="1">
        <f>1.80514101021536*(10.3/7.3)</f>
        <v>2.5469797815367436</v>
      </c>
      <c r="F7582" s="1">
        <f>5.01150201645064*(38.9/42.5)</f>
        <v>4.5869983162336467</v>
      </c>
      <c r="G7582" s="1">
        <v>0.26566227402166348</v>
      </c>
      <c r="H7582" s="1">
        <v>1.061231242283075</v>
      </c>
      <c r="I7582" s="1">
        <v>3.4722125676557924</v>
      </c>
      <c r="J7582" s="1">
        <v>9.8296845895790123E-3</v>
      </c>
      <c r="K7582" s="1">
        <v>1.044676875586271</v>
      </c>
      <c r="L7582" s="1">
        <v>0.75752999911406871</v>
      </c>
      <c r="M7582" s="1">
        <v>8.0771754055059278E-2</v>
      </c>
      <c r="N7582" s="1">
        <v>0.38929769075305742</v>
      </c>
      <c r="O7582" s="1">
        <v>8.1432380952380951E-2</v>
      </c>
      <c r="P7582" s="1">
        <v>5.020610641065127E-2</v>
      </c>
      <c r="Q7582" s="1">
        <v>0.42457441053690548</v>
      </c>
      <c r="R7582" s="2">
        <f t="shared" si="475"/>
        <v>13.409649652110446</v>
      </c>
      <c r="S7582" s="2">
        <f t="shared" si="474"/>
        <v>1.1047126665865015</v>
      </c>
      <c r="T7582" s="2">
        <f t="shared" si="476"/>
        <v>1.3090318248745663</v>
      </c>
      <c r="U7582" s="2">
        <f t="shared" si="477"/>
        <v>15.823394143571512</v>
      </c>
    </row>
    <row r="7583" spans="1:21" x14ac:dyDescent="0.25">
      <c r="A7583">
        <v>8759017</v>
      </c>
      <c r="B7583">
        <v>17</v>
      </c>
      <c r="C7583" s="1">
        <f>0.280064741157838*(10.3/7.3)</f>
        <v>0.3951598402637988</v>
      </c>
      <c r="D7583" s="1">
        <f>0.816922120894622*(10.3/7.3)</f>
        <v>1.1526435404403572</v>
      </c>
      <c r="E7583" s="1">
        <f>2.76170246854464*(10.3/7.3)</f>
        <v>3.8966486884944889</v>
      </c>
      <c r="F7583" s="1">
        <f>8.16963665552155*(38.9/42.5)</f>
        <v>7.4776203741126661</v>
      </c>
      <c r="G7583" s="1">
        <v>0.452595307186484</v>
      </c>
      <c r="H7583" s="1">
        <v>2.2990177385488861</v>
      </c>
      <c r="I7583" s="1">
        <v>5.6397365828551766</v>
      </c>
      <c r="J7583" s="1">
        <v>1.1199062716404345E-2</v>
      </c>
      <c r="K7583" s="1">
        <v>1.1081474477224496</v>
      </c>
      <c r="L7583" s="1">
        <v>0.82492022506738305</v>
      </c>
      <c r="M7583" s="1">
        <v>8.628563590054257E-2</v>
      </c>
      <c r="N7583" s="1">
        <v>0.42841869921763265</v>
      </c>
      <c r="O7583" s="1">
        <v>8.4702745098039212E-2</v>
      </c>
      <c r="P7583" s="1">
        <v>5.2628259755700332E-2</v>
      </c>
      <c r="Q7583" s="1">
        <v>0.72332583340305745</v>
      </c>
      <c r="R7583" s="2">
        <f t="shared" si="475"/>
        <v>22.036747905304917</v>
      </c>
      <c r="S7583" s="2">
        <f t="shared" si="474"/>
        <v>1.1719747701945542</v>
      </c>
      <c r="T7583" s="2">
        <f t="shared" si="476"/>
        <v>1.4243273052835974</v>
      </c>
      <c r="U7583" s="2">
        <f t="shared" si="477"/>
        <v>24.633049980783071</v>
      </c>
    </row>
    <row r="7584" spans="1:21" x14ac:dyDescent="0.25">
      <c r="A7584">
        <v>8759025</v>
      </c>
      <c r="B7584">
        <v>14</v>
      </c>
      <c r="C7584" s="1">
        <f>0.310767182226811*(10.3/7.3)</f>
        <v>0.43847972286796599</v>
      </c>
      <c r="D7584" s="1">
        <f>0.960897869166164*(10.3/7.3)</f>
        <v>1.3557874044399301</v>
      </c>
      <c r="E7584" s="1">
        <f>3.23510734767531*(10.3/7.3)</f>
        <v>4.5646035179528299</v>
      </c>
      <c r="F7584" s="1">
        <f>10.0674820759145*(38.9/42.5)</f>
        <v>9.214707123601741</v>
      </c>
      <c r="G7584" s="1">
        <v>0.57345314025129723</v>
      </c>
      <c r="H7584" s="1">
        <v>2.6781512833741092</v>
      </c>
      <c r="I7584" s="1">
        <v>7.0060355566687562</v>
      </c>
      <c r="J7584" s="1">
        <v>1.1708211510096116E-2</v>
      </c>
      <c r="K7584" s="1">
        <v>1.1523534477189099</v>
      </c>
      <c r="L7584" s="1">
        <v>0.8633338349911559</v>
      </c>
      <c r="M7584" s="1">
        <v>8.8597964572067769E-2</v>
      </c>
      <c r="N7584" s="1">
        <v>0.45105264418846208</v>
      </c>
      <c r="O7584" s="1">
        <v>8.7508571428571408E-2</v>
      </c>
      <c r="P7584" s="1">
        <v>5.4341640062481621E-2</v>
      </c>
      <c r="Q7584" s="1">
        <v>0.91647762140618361</v>
      </c>
      <c r="R7584" s="2">
        <f t="shared" si="475"/>
        <v>26.747695370562813</v>
      </c>
      <c r="S7584" s="2">
        <f t="shared" si="474"/>
        <v>1.2184032992914877</v>
      </c>
      <c r="T7584" s="2">
        <f t="shared" si="476"/>
        <v>1.4904930151802573</v>
      </c>
      <c r="U7584" s="2">
        <f t="shared" si="477"/>
        <v>29.456591685034557</v>
      </c>
    </row>
    <row r="7585" spans="1:21" x14ac:dyDescent="0.25">
      <c r="A7585">
        <v>8759281</v>
      </c>
      <c r="B7585">
        <v>6</v>
      </c>
      <c r="C7585" s="1">
        <f>0.410041415062482*(10.3/7.3)</f>
        <v>0.5785515856361052</v>
      </c>
      <c r="D7585" s="1">
        <f>1.16739546194578*(10.3/7.3)</f>
        <v>1.647147021649521</v>
      </c>
      <c r="E7585" s="1">
        <f>3.94460144357865*(10.3/7.3)</f>
        <v>5.565670529980836</v>
      </c>
      <c r="F7585" s="1">
        <f>11.8663745432144*(38.9/42.5)</f>
        <v>10.861222817200945</v>
      </c>
      <c r="G7585" s="1">
        <v>0.66234955354660696</v>
      </c>
      <c r="H7585" s="1">
        <v>3.1427608645536131</v>
      </c>
      <c r="I7585" s="1">
        <v>8.2540340069000901</v>
      </c>
      <c r="J7585" s="1">
        <v>1.3050680355951298E-2</v>
      </c>
      <c r="K7585" s="1">
        <v>1.0819431484854027</v>
      </c>
      <c r="L7585" s="1">
        <v>0.87883422991030791</v>
      </c>
      <c r="M7585" s="1">
        <v>7.4482741172020098E-2</v>
      </c>
      <c r="N7585" s="1">
        <v>0.50085652772666311</v>
      </c>
      <c r="O7585" s="1">
        <v>7.0088888888888895E-2</v>
      </c>
      <c r="P7585" s="1">
        <v>4.8266861934265826E-2</v>
      </c>
      <c r="Q7585" s="1">
        <v>1.0585495148005144</v>
      </c>
      <c r="R7585" s="2">
        <f t="shared" si="475"/>
        <v>31.77028589426823</v>
      </c>
      <c r="S7585" s="2">
        <f t="shared" si="474"/>
        <v>1.14326069077562</v>
      </c>
      <c r="T7585" s="2">
        <f t="shared" si="476"/>
        <v>1.52426238769788</v>
      </c>
      <c r="U7585" s="2">
        <f t="shared" si="477"/>
        <v>34.437808972741735</v>
      </c>
    </row>
    <row r="7586" spans="1:21" x14ac:dyDescent="0.25">
      <c r="A7586">
        <v>8759289</v>
      </c>
      <c r="B7586">
        <v>26</v>
      </c>
      <c r="C7586" s="1">
        <f>0.430691313351578*(10.3/7.3)</f>
        <v>0.60768774349606225</v>
      </c>
      <c r="D7586" s="1">
        <f>1.21020355259445*(10.3/7.3)</f>
        <v>1.7075474783182034</v>
      </c>
      <c r="E7586" s="1">
        <f>4.0889807437147*(10.3/7.3)</f>
        <v>5.7693837890769029</v>
      </c>
      <c r="F7586" s="1">
        <f>12.3710052049757*(38.9/42.5)</f>
        <v>11.323108293495414</v>
      </c>
      <c r="G7586" s="1">
        <v>0.6920936370102706</v>
      </c>
      <c r="H7586" s="1">
        <v>3.2511172272785243</v>
      </c>
      <c r="I7586" s="1">
        <v>8.6317835127153604</v>
      </c>
      <c r="J7586" s="1">
        <v>1.3287755765873831E-2</v>
      </c>
      <c r="K7586" s="1">
        <v>1.0887957537615554</v>
      </c>
      <c r="L7586" s="1">
        <v>0.88144980594230127</v>
      </c>
      <c r="M7586" s="1">
        <v>7.4167377087704517E-2</v>
      </c>
      <c r="N7586" s="1">
        <v>0.50935905586995589</v>
      </c>
      <c r="O7586" s="1">
        <v>6.9745641025641014E-2</v>
      </c>
      <c r="P7586" s="1">
        <v>4.8204167512574697E-2</v>
      </c>
      <c r="Q7586" s="1">
        <v>1.1060857212492918</v>
      </c>
      <c r="R7586" s="2">
        <f t="shared" si="475"/>
        <v>33.088807402640029</v>
      </c>
      <c r="S7586" s="2">
        <f t="shared" si="474"/>
        <v>1.1502876770400039</v>
      </c>
      <c r="T7586" s="2">
        <f t="shared" si="476"/>
        <v>1.5347218799256026</v>
      </c>
      <c r="U7586" s="2">
        <f t="shared" si="477"/>
        <v>35.773816959605639</v>
      </c>
    </row>
    <row r="7587" spans="1:21" x14ac:dyDescent="0.25">
      <c r="A7587">
        <v>8759297</v>
      </c>
      <c r="B7587">
        <v>41</v>
      </c>
      <c r="C7587" s="1">
        <f>0.454285806133262*(10.3/7.3)</f>
        <v>0.64097860317432853</v>
      </c>
      <c r="D7587" s="1">
        <f>1.2531036908244*(10.3/7.3)</f>
        <v>1.7680778103412715</v>
      </c>
      <c r="E7587" s="1">
        <f>4.23568884365986*(10.3/7.3)</f>
        <v>5.9763828889995239</v>
      </c>
      <c r="F7587" s="1">
        <f>12.8080722517286*(38.9/42.5)</f>
        <v>11.723153190405741</v>
      </c>
      <c r="G7587" s="1">
        <v>0.71573314829830703</v>
      </c>
      <c r="H7587" s="1">
        <v>3.6601911953228279</v>
      </c>
      <c r="I7587" s="1">
        <v>8.9547660173571408</v>
      </c>
      <c r="J7587" s="1">
        <v>1.3483452641596057E-2</v>
      </c>
      <c r="K7587" s="1">
        <v>1.0928466929031122</v>
      </c>
      <c r="L7587" s="1">
        <v>0.88207527254176021</v>
      </c>
      <c r="M7587" s="1">
        <v>7.3047654098018514E-2</v>
      </c>
      <c r="N7587" s="1">
        <v>0.51535175551191603</v>
      </c>
      <c r="O7587" s="1">
        <v>6.9325528455284544E-2</v>
      </c>
      <c r="P7587" s="1">
        <v>4.8102385143226178E-2</v>
      </c>
      <c r="Q7587" s="1">
        <v>1.143865762120583</v>
      </c>
      <c r="R7587" s="2">
        <f t="shared" si="475"/>
        <v>34.58314861601972</v>
      </c>
      <c r="S7587" s="2">
        <f t="shared" si="474"/>
        <v>1.1544325306879344</v>
      </c>
      <c r="T7587" s="2">
        <f t="shared" si="476"/>
        <v>1.5398002106069792</v>
      </c>
      <c r="U7587" s="2">
        <f t="shared" si="477"/>
        <v>37.277381357314631</v>
      </c>
    </row>
    <row r="7588" spans="1:21" x14ac:dyDescent="0.25">
      <c r="A7588">
        <v>8759305</v>
      </c>
      <c r="B7588">
        <v>41</v>
      </c>
      <c r="C7588" s="1">
        <f>0.48216623260667*(10.3/7.3)</f>
        <v>0.68031673915735669</v>
      </c>
      <c r="D7588" s="1">
        <f>1.33476325579653*(10.3/7.3)</f>
        <v>1.8832961006444227</v>
      </c>
      <c r="E7588" s="1">
        <f>4.50986636308165*(10.3/7.3)</f>
        <v>6.3632361013343779</v>
      </c>
      <c r="F7588" s="1">
        <f>13.7147957886123*(38.9/42.5)</f>
        <v>12.553071910047537</v>
      </c>
      <c r="G7588" s="1">
        <v>0.76872899832404384</v>
      </c>
      <c r="H7588" s="1">
        <v>4.9585844431479549</v>
      </c>
      <c r="I7588" s="1">
        <v>9.5995716010792975</v>
      </c>
      <c r="J7588" s="1">
        <v>1.403817391327143E-2</v>
      </c>
      <c r="K7588" s="1">
        <v>1.128985683294137</v>
      </c>
      <c r="L7588" s="1">
        <v>0.91672016425149971</v>
      </c>
      <c r="M7588" s="1">
        <v>7.4801546367755281E-2</v>
      </c>
      <c r="N7588" s="1">
        <v>0.53466462491620281</v>
      </c>
      <c r="O7588" s="1">
        <v>7.127414634146341E-2</v>
      </c>
      <c r="P7588" s="1">
        <v>4.9223250057296719E-2</v>
      </c>
      <c r="Q7588" s="1">
        <v>1.2285623260886556</v>
      </c>
      <c r="R7588" s="2">
        <f t="shared" si="475"/>
        <v>38.035368219823646</v>
      </c>
      <c r="S7588" s="2">
        <f t="shared" si="474"/>
        <v>1.192247107264705</v>
      </c>
      <c r="T7588" s="2">
        <f t="shared" si="476"/>
        <v>1.5974604818769211</v>
      </c>
      <c r="U7588" s="2">
        <f t="shared" si="477"/>
        <v>40.825075808965273</v>
      </c>
    </row>
    <row r="7589" spans="1:21" x14ac:dyDescent="0.25">
      <c r="A7589">
        <v>8759313</v>
      </c>
      <c r="B7589">
        <v>28</v>
      </c>
      <c r="C7589" s="1">
        <f>0.49278653791749*(10.3/7.3)</f>
        <v>0.69530155350002054</v>
      </c>
      <c r="D7589" s="1">
        <f>1.34907787318411*(10.3/7.3)</f>
        <v>1.9034934375063464</v>
      </c>
      <c r="E7589" s="1">
        <f>4.56101716567714*(10.3/7.3)</f>
        <v>6.4354077817088466</v>
      </c>
      <c r="F7589" s="1">
        <f>13.7817263602549*(38.9/42.5)</f>
        <v>12.614333068562688</v>
      </c>
      <c r="G7589" s="1">
        <v>0.76958062855294695</v>
      </c>
      <c r="H7589" s="1">
        <v>4.2175724116780229</v>
      </c>
      <c r="I7589" s="1">
        <v>9.642167975443602</v>
      </c>
      <c r="J7589" s="1">
        <v>1.443628844000487E-2</v>
      </c>
      <c r="K7589" s="1">
        <v>1.1520917932218988</v>
      </c>
      <c r="L7589" s="1">
        <v>0.93618245994349514</v>
      </c>
      <c r="M7589" s="1">
        <v>7.6022272207094926E-2</v>
      </c>
      <c r="N7589" s="1">
        <v>0.54969560773177584</v>
      </c>
      <c r="O7589" s="1">
        <v>7.2264761904761873E-2</v>
      </c>
      <c r="P7589" s="1">
        <v>4.9781049636950014E-2</v>
      </c>
      <c r="Q7589" s="1">
        <v>1.2299233789658981</v>
      </c>
      <c r="R7589" s="2">
        <f t="shared" si="475"/>
        <v>37.507780235918375</v>
      </c>
      <c r="S7589" s="2">
        <f t="shared" si="474"/>
        <v>1.2163091312988537</v>
      </c>
      <c r="T7589" s="2">
        <f t="shared" si="476"/>
        <v>1.6341651017871277</v>
      </c>
      <c r="U7589" s="2">
        <f t="shared" si="477"/>
        <v>40.358254469004358</v>
      </c>
    </row>
    <row r="7590" spans="1:21" x14ac:dyDescent="0.25">
      <c r="A7590">
        <v>8759321</v>
      </c>
      <c r="B7590">
        <v>15</v>
      </c>
      <c r="C7590" s="1">
        <f>0.507397209028912*(10.3/7.3)</f>
        <v>0.71591660999969786</v>
      </c>
      <c r="D7590" s="1">
        <f>1.38345450393628*(10.3/7.3)</f>
        <v>1.9519974507594118</v>
      </c>
      <c r="E7590" s="1">
        <f>4.67764589284576*(10.3/7.3)</f>
        <v>6.5999661227823783</v>
      </c>
      <c r="F7590" s="1">
        <f>14.1338537168195*(38.9/42.5)</f>
        <v>12.936633166688873</v>
      </c>
      <c r="G7590" s="1">
        <v>0.7890827614081799</v>
      </c>
      <c r="H7590" s="1">
        <v>5.2594329246762248</v>
      </c>
      <c r="I7590" s="1">
        <v>9.8932395365551393</v>
      </c>
      <c r="J7590" s="1">
        <v>1.4778230045640137E-2</v>
      </c>
      <c r="K7590" s="1">
        <v>1.1719192601124233</v>
      </c>
      <c r="L7590" s="1">
        <v>0.95484042034917327</v>
      </c>
      <c r="M7590" s="1">
        <v>7.6792736229124844E-2</v>
      </c>
      <c r="N7590" s="1">
        <v>0.56102695295304705</v>
      </c>
      <c r="O7590" s="1">
        <v>7.2938666666666666E-2</v>
      </c>
      <c r="P7590" s="1">
        <v>5.0328114006729437E-2</v>
      </c>
      <c r="Q7590" s="1">
        <v>1.2610911712002888</v>
      </c>
      <c r="R7590" s="2">
        <f t="shared" si="475"/>
        <v>39.407359744070199</v>
      </c>
      <c r="S7590" s="2">
        <f t="shared" si="474"/>
        <v>1.2370256041647929</v>
      </c>
      <c r="T7590" s="2">
        <f t="shared" si="476"/>
        <v>1.665598776198012</v>
      </c>
      <c r="U7590" s="2">
        <f t="shared" si="477"/>
        <v>42.309984124433001</v>
      </c>
    </row>
    <row r="7591" spans="1:21" x14ac:dyDescent="0.25">
      <c r="A7591">
        <v>8759329</v>
      </c>
      <c r="B7591">
        <v>1</v>
      </c>
      <c r="C7591" s="1">
        <f>0.599030877371514*(10.3/7.3)</f>
        <v>0.84520795026391671</v>
      </c>
      <c r="D7591" s="1">
        <f>1.74454203660462*(10.3/7.3)</f>
        <v>2.4614771201407639</v>
      </c>
      <c r="E7591" s="1">
        <f>5.88516646161224*(10.3/7.3)</f>
        <v>8.3037280211789142</v>
      </c>
      <c r="F7591" s="1">
        <f>18.0601100422823*(38.9/42.5)</f>
        <v>16.53031248575958</v>
      </c>
      <c r="G7591" s="1">
        <v>1.0191946449643703</v>
      </c>
      <c r="H7591" s="1">
        <v>7.5680207651125375</v>
      </c>
      <c r="I7591" s="1">
        <v>12.599788548007108</v>
      </c>
      <c r="J7591" s="1">
        <v>1.6523035430608332E-2</v>
      </c>
      <c r="K7591" s="1">
        <v>1.298934635890939</v>
      </c>
      <c r="L7591" s="1">
        <v>1.0906515653922957</v>
      </c>
      <c r="M7591" s="1">
        <v>8.4558662034570908E-2</v>
      </c>
      <c r="N7591" s="1">
        <v>0.62303353102822645</v>
      </c>
      <c r="O7591" s="1">
        <v>8.0213333333333331E-2</v>
      </c>
      <c r="P7591" s="1">
        <v>5.4209857254132611E-2</v>
      </c>
      <c r="Q7591" s="1">
        <v>1.6288498892124657</v>
      </c>
      <c r="R7591" s="2">
        <f t="shared" si="475"/>
        <v>50.956579424639664</v>
      </c>
      <c r="S7591" s="2">
        <f t="shared" si="474"/>
        <v>1.3696675285756799</v>
      </c>
      <c r="T7591" s="2">
        <f t="shared" si="476"/>
        <v>1.8784570917884262</v>
      </c>
      <c r="U7591" s="2">
        <f t="shared" si="477"/>
        <v>54.204704045003773</v>
      </c>
    </row>
    <row r="7592" spans="1:21" x14ac:dyDescent="0.25">
      <c r="A7592">
        <v>8759337</v>
      </c>
      <c r="B7592">
        <v>3</v>
      </c>
      <c r="C7592" s="1">
        <f>0.518443168469805*(10.3/7.3)</f>
        <v>0.73150200482725947</v>
      </c>
      <c r="D7592" s="1">
        <f>1.72885308034529*(10.3/7.3)</f>
        <v>2.4393406476104844</v>
      </c>
      <c r="E7592" s="1">
        <f>5.85983484153719*(10.3/7.3)</f>
        <v>8.2679861462785063</v>
      </c>
      <c r="F7592" s="1">
        <f>15.8033600551959*(38.9/42.5)</f>
        <v>14.464722497579293</v>
      </c>
      <c r="G7592" s="1">
        <v>0.83693630511321293</v>
      </c>
      <c r="H7592" s="1">
        <v>5.5906388045874982</v>
      </c>
      <c r="I7592" s="1">
        <v>10.430704840616078</v>
      </c>
      <c r="J7592" s="1">
        <v>1.5547098566448106E-2</v>
      </c>
      <c r="K7592" s="1">
        <v>1.2266081536890743</v>
      </c>
      <c r="L7592" s="1">
        <v>0.99635337126812018</v>
      </c>
      <c r="M7592" s="1">
        <v>7.9188265376506597E-2</v>
      </c>
      <c r="N7592" s="1">
        <v>0.58748692663399071</v>
      </c>
      <c r="O7592" s="1">
        <v>7.2355555555555548E-2</v>
      </c>
      <c r="P7592" s="1">
        <v>5.0921576276535846E-2</v>
      </c>
      <c r="Q7592" s="1">
        <v>1.3375694373955473</v>
      </c>
      <c r="R7592" s="2">
        <f t="shared" si="475"/>
        <v>44.099400684007875</v>
      </c>
      <c r="S7592" s="2">
        <f t="shared" si="474"/>
        <v>1.2930768285320582</v>
      </c>
      <c r="T7592" s="2">
        <f t="shared" si="476"/>
        <v>1.7353841188341732</v>
      </c>
      <c r="U7592" s="2">
        <f t="shared" si="477"/>
        <v>47.12786163137411</v>
      </c>
    </row>
    <row r="7593" spans="1:21" x14ac:dyDescent="0.25">
      <c r="A7593">
        <v>8771165</v>
      </c>
      <c r="B7593">
        <v>2</v>
      </c>
      <c r="C7593" s="1">
        <f>0.237441660601747*(10.3/7.3)</f>
        <v>0.33502042523260234</v>
      </c>
      <c r="D7593" s="1">
        <f>0.566950756770268*(10.3/7.3)</f>
        <v>0.79994421845667996</v>
      </c>
      <c r="E7593" s="1">
        <f>1.92957749503556*(10.3/7.3)</f>
        <v>2.7225545477899047</v>
      </c>
      <c r="F7593" s="1">
        <f>5.47637204482151*(38.9/42.5)</f>
        <v>5.0124911186719254</v>
      </c>
      <c r="G7593" s="1">
        <v>0.29350531122223761</v>
      </c>
      <c r="H7593" s="1">
        <v>1.208767098236017</v>
      </c>
      <c r="I7593" s="1">
        <v>3.834225065135084</v>
      </c>
      <c r="J7593" s="1">
        <v>9.2756434132793553E-3</v>
      </c>
      <c r="K7593" s="1">
        <v>1.0088014216749221</v>
      </c>
      <c r="L7593" s="1">
        <v>0.72236604880722011</v>
      </c>
      <c r="M7593" s="1">
        <v>7.8623861573181464E-2</v>
      </c>
      <c r="N7593" s="1">
        <v>0.35886554544150884</v>
      </c>
      <c r="O7593" s="1">
        <v>7.9866666666666669E-2</v>
      </c>
      <c r="P7593" s="1">
        <v>4.8791355357742802E-2</v>
      </c>
      <c r="Q7593" s="1">
        <v>0.46907241519535736</v>
      </c>
      <c r="R7593" s="2">
        <f t="shared" si="475"/>
        <v>14.675580199939807</v>
      </c>
      <c r="S7593" s="2">
        <f t="shared" si="474"/>
        <v>1.0668684204459442</v>
      </c>
      <c r="T7593" s="2">
        <f t="shared" si="476"/>
        <v>1.239722122488577</v>
      </c>
      <c r="U7593" s="2">
        <f t="shared" si="477"/>
        <v>16.982170742874327</v>
      </c>
    </row>
    <row r="7594" spans="1:21" x14ac:dyDescent="0.25">
      <c r="A7594">
        <v>8771173</v>
      </c>
      <c r="B7594">
        <v>48</v>
      </c>
      <c r="C7594" s="1">
        <f>0.291466625090755*(10.3/7.3)</f>
        <v>0.41124742992257229</v>
      </c>
      <c r="D7594" s="1">
        <f>0.739207775468785*(10.3/7.3)</f>
        <v>1.0429917927847243</v>
      </c>
      <c r="E7594" s="1">
        <f>2.50945055982382*(10.3/7.3)</f>
        <v>3.5407316118062155</v>
      </c>
      <c r="F7594" s="1">
        <f>7.26776697586937*(38.9/42.5)</f>
        <v>6.6521443614427884</v>
      </c>
      <c r="G7594" s="1">
        <v>0.39531256309283408</v>
      </c>
      <c r="H7594" s="1">
        <v>1.486535518313735</v>
      </c>
      <c r="I7594" s="1">
        <v>5.0743987397908565</v>
      </c>
      <c r="J7594" s="1">
        <v>1.0984770526655604E-2</v>
      </c>
      <c r="K7594" s="1">
        <v>1.17766933168855</v>
      </c>
      <c r="L7594" s="1">
        <v>0.87413308483603458</v>
      </c>
      <c r="M7594" s="1">
        <v>9.0872061125063422E-2</v>
      </c>
      <c r="N7594" s="1">
        <v>0.4322352500376121</v>
      </c>
      <c r="O7594" s="1">
        <v>9.3690000000000009E-2</v>
      </c>
      <c r="P7594" s="1">
        <v>5.6448360566828365E-2</v>
      </c>
      <c r="Q7594" s="1">
        <v>0.63177806886982713</v>
      </c>
      <c r="R7594" s="2">
        <f t="shared" si="475"/>
        <v>19.235140086023552</v>
      </c>
      <c r="S7594" s="2">
        <f t="shared" si="474"/>
        <v>1.2451024627820342</v>
      </c>
      <c r="T7594" s="2">
        <f t="shared" si="476"/>
        <v>1.4909303959987101</v>
      </c>
      <c r="U7594" s="2">
        <f t="shared" si="477"/>
        <v>21.971172944804295</v>
      </c>
    </row>
    <row r="7595" spans="1:21" x14ac:dyDescent="0.25">
      <c r="A7595">
        <v>8771181</v>
      </c>
      <c r="B7595">
        <v>71</v>
      </c>
      <c r="C7595" s="1">
        <f>0.305963278160311*(10.3/7.3)</f>
        <v>0.4317016116508503</v>
      </c>
      <c r="D7595" s="1">
        <f>0.784055784644486*(10.3/7.3)</f>
        <v>1.1062704906627685</v>
      </c>
      <c r="E7595" s="1">
        <f>2.66155594610385*(10.3/7.3)</f>
        <v>3.7553460609410432</v>
      </c>
      <c r="F7595" s="1">
        <f>7.68361184820692*(38.9/42.5)</f>
        <v>7.0327647269470415</v>
      </c>
      <c r="G7595" s="1">
        <v>0.41743323492105644</v>
      </c>
      <c r="H7595" s="1">
        <v>1.5293161595245977</v>
      </c>
      <c r="I7595" s="1">
        <v>5.3526036529466374</v>
      </c>
      <c r="J7595" s="1">
        <v>1.0909695203840828E-2</v>
      </c>
      <c r="K7595" s="1">
        <v>1.1681704025765629</v>
      </c>
      <c r="L7595" s="1">
        <v>0.86411713982332117</v>
      </c>
      <c r="M7595" s="1">
        <v>9.0387744601615264E-2</v>
      </c>
      <c r="N7595" s="1">
        <v>0.42936254270554053</v>
      </c>
      <c r="O7595" s="1">
        <v>9.246873239436619E-2</v>
      </c>
      <c r="P7595" s="1">
        <v>5.5819903783438006E-2</v>
      </c>
      <c r="Q7595" s="1">
        <v>0.66713074074141487</v>
      </c>
      <c r="R7595" s="2">
        <f t="shared" si="475"/>
        <v>20.292566678335408</v>
      </c>
      <c r="S7595" s="2">
        <f t="shared" si="474"/>
        <v>1.2349000015638416</v>
      </c>
      <c r="T7595" s="2">
        <f t="shared" si="476"/>
        <v>1.4763361595248432</v>
      </c>
      <c r="U7595" s="2">
        <f t="shared" si="477"/>
        <v>23.003802839424093</v>
      </c>
    </row>
    <row r="7596" spans="1:21" x14ac:dyDescent="0.25">
      <c r="A7596">
        <v>8771189</v>
      </c>
      <c r="B7596">
        <v>71</v>
      </c>
      <c r="C7596" s="1">
        <f>0.289632192134278*(10.3/7.3)</f>
        <v>0.40865912040863867</v>
      </c>
      <c r="D7596" s="1">
        <f>0.736540867130899*(10.3/7.3)</f>
        <v>1.0392288947189399</v>
      </c>
      <c r="E7596" s="1">
        <f>2.50232213868717*(10.3/7.3)</f>
        <v>3.5306737025312174</v>
      </c>
      <c r="F7596" s="1">
        <f>7.14035149333957*(38.9/42.5)</f>
        <v>6.5355217197861037</v>
      </c>
      <c r="G7596" s="1">
        <v>0.38525986457178096</v>
      </c>
      <c r="H7596" s="1">
        <v>1.41040924611989</v>
      </c>
      <c r="I7596" s="1">
        <v>4.9630323447449998</v>
      </c>
      <c r="J7596" s="1">
        <v>1.050509676107508E-2</v>
      </c>
      <c r="K7596" s="1">
        <v>1.1221308599934463</v>
      </c>
      <c r="L7596" s="1">
        <v>0.8227715673506002</v>
      </c>
      <c r="M7596" s="1">
        <v>8.5821604421212713E-2</v>
      </c>
      <c r="N7596" s="1">
        <v>0.41475885987176558</v>
      </c>
      <c r="O7596" s="1">
        <v>8.8114929577464779E-2</v>
      </c>
      <c r="P7596" s="1">
        <v>5.3670403678819638E-2</v>
      </c>
      <c r="Q7596" s="1">
        <v>0.6157121123293311</v>
      </c>
      <c r="R7596" s="2">
        <f t="shared" si="475"/>
        <v>18.888497005210901</v>
      </c>
      <c r="S7596" s="2">
        <f t="shared" si="474"/>
        <v>1.186306360433341</v>
      </c>
      <c r="T7596" s="2">
        <f t="shared" si="476"/>
        <v>1.4114669612210433</v>
      </c>
      <c r="U7596" s="2">
        <f t="shared" si="477"/>
        <v>21.486270326865288</v>
      </c>
    </row>
    <row r="7597" spans="1:21" x14ac:dyDescent="0.25">
      <c r="A7597">
        <v>8771197</v>
      </c>
      <c r="B7597">
        <v>71</v>
      </c>
      <c r="C7597" s="1">
        <f>0.313644700287079*(10.3/7.3)</f>
        <v>0.44253978259683813</v>
      </c>
      <c r="D7597" s="1">
        <f>0.827323898841554*(10.3/7.3)</f>
        <v>1.1673200216531512</v>
      </c>
      <c r="E7597" s="1">
        <f>2.80777825234651*(10.3/7.3)</f>
        <v>3.9616597259135751</v>
      </c>
      <c r="F7597" s="1">
        <f>8.04679921184729*(38.9/42.5)</f>
        <v>7.3651879844908104</v>
      </c>
      <c r="G7597" s="1">
        <v>0.43608895389530739</v>
      </c>
      <c r="H7597" s="1">
        <v>1.5867281435363005</v>
      </c>
      <c r="I7597" s="1">
        <v>5.5728300508016684</v>
      </c>
      <c r="J7597" s="1">
        <v>1.1078228085465557E-2</v>
      </c>
      <c r="K7597" s="1">
        <v>1.1734590133501959</v>
      </c>
      <c r="L7597" s="1">
        <v>0.8704699671042242</v>
      </c>
      <c r="M7597" s="1">
        <v>9.0582754205886309E-2</v>
      </c>
      <c r="N7597" s="1">
        <v>0.43643053231611811</v>
      </c>
      <c r="O7597" s="1">
        <v>9.2646009389671394E-2</v>
      </c>
      <c r="P7597" s="1">
        <v>5.5902522136160884E-2</v>
      </c>
      <c r="Q7597" s="1">
        <v>0.69694581672766098</v>
      </c>
      <c r="R7597" s="2">
        <f t="shared" si="475"/>
        <v>21.229300479615311</v>
      </c>
      <c r="S7597" s="2">
        <f t="shared" si="474"/>
        <v>1.2404397635718223</v>
      </c>
      <c r="T7597" s="2">
        <f t="shared" si="476"/>
        <v>1.4901292630159002</v>
      </c>
      <c r="U7597" s="2">
        <f t="shared" si="477"/>
        <v>23.959869506203034</v>
      </c>
    </row>
    <row r="7598" spans="1:21" x14ac:dyDescent="0.25">
      <c r="A7598">
        <v>8771205</v>
      </c>
      <c r="B7598">
        <v>65</v>
      </c>
      <c r="C7598" s="1">
        <f>0.301609840832704*(10.3/7.3)</f>
        <v>0.42555909048997992</v>
      </c>
      <c r="D7598" s="1">
        <f>0.809430061615092*(10.3/7.3)</f>
        <v>1.1420725526897868</v>
      </c>
      <c r="E7598" s="1">
        <f>2.74597610385394*(10.3/7.3)</f>
        <v>3.874459434204871</v>
      </c>
      <c r="F7598" s="1">
        <f>7.87196938926785*(38.9/42.5)</f>
        <v>7.2051672762945769</v>
      </c>
      <c r="G7598" s="1">
        <v>0.42707348194346245</v>
      </c>
      <c r="H7598" s="1">
        <v>1.5858761803365835</v>
      </c>
      <c r="I7598" s="1">
        <v>5.4400308147994654</v>
      </c>
      <c r="J7598" s="1">
        <v>1.1252454123680693E-2</v>
      </c>
      <c r="K7598" s="1">
        <v>1.1873538225495965</v>
      </c>
      <c r="L7598" s="1">
        <v>0.88428938623524467</v>
      </c>
      <c r="M7598" s="1">
        <v>9.1155204980361462E-2</v>
      </c>
      <c r="N7598" s="1">
        <v>0.44353440558704049</v>
      </c>
      <c r="O7598" s="1">
        <v>9.3120820512820515E-2</v>
      </c>
      <c r="P7598" s="1">
        <v>5.6365945082372151E-2</v>
      </c>
      <c r="Q7598" s="1">
        <v>0.68253752822014602</v>
      </c>
      <c r="R7598" s="2">
        <f t="shared" si="475"/>
        <v>20.782776358978872</v>
      </c>
      <c r="S7598" s="2">
        <f t="shared" si="474"/>
        <v>1.2549722217556494</v>
      </c>
      <c r="T7598" s="2">
        <f t="shared" si="476"/>
        <v>1.5120998173154672</v>
      </c>
      <c r="U7598" s="2">
        <f t="shared" si="477"/>
        <v>23.549848398049988</v>
      </c>
    </row>
    <row r="7599" spans="1:21" x14ac:dyDescent="0.25">
      <c r="A7599">
        <v>8771213</v>
      </c>
      <c r="B7599">
        <v>28</v>
      </c>
      <c r="C7599" s="1">
        <f>0.220825779906039*(10.3/7.3)</f>
        <v>0.31157610041537021</v>
      </c>
      <c r="D7599" s="1">
        <f>0.550590122053017*(10.3/7.3)</f>
        <v>0.77686003522549052</v>
      </c>
      <c r="E7599" s="1">
        <f>1.8739426607665*(10.3/7.3)</f>
        <v>2.6440560829993141</v>
      </c>
      <c r="F7599" s="1">
        <f>5.21778232221886*(38.9/42.5)</f>
        <v>4.7758054666897305</v>
      </c>
      <c r="G7599" s="1">
        <v>0.27729227923825339</v>
      </c>
      <c r="H7599" s="1">
        <v>1.1085103777775085</v>
      </c>
      <c r="I7599" s="1">
        <v>3.6113348354319812</v>
      </c>
      <c r="J7599" s="1">
        <v>1.030219563654354E-2</v>
      </c>
      <c r="K7599" s="1">
        <v>1.0883297159577972</v>
      </c>
      <c r="L7599" s="1">
        <v>0.79727156144444244</v>
      </c>
      <c r="M7599" s="1">
        <v>8.3964976125820392E-2</v>
      </c>
      <c r="N7599" s="1">
        <v>0.40904451744996273</v>
      </c>
      <c r="O7599" s="1">
        <v>8.473904761904763E-2</v>
      </c>
      <c r="P7599" s="1">
        <v>5.2314452360011074E-2</v>
      </c>
      <c r="Q7599" s="1">
        <v>0.44316117686478901</v>
      </c>
      <c r="R7599" s="2">
        <f t="shared" si="475"/>
        <v>13.948596354642437</v>
      </c>
      <c r="S7599" s="2">
        <f t="shared" si="474"/>
        <v>1.1509463639543516</v>
      </c>
      <c r="T7599" s="2">
        <f t="shared" si="476"/>
        <v>1.3750201026392732</v>
      </c>
      <c r="U7599" s="2">
        <f t="shared" si="477"/>
        <v>16.474562821236063</v>
      </c>
    </row>
    <row r="7600" spans="1:21" x14ac:dyDescent="0.25">
      <c r="A7600">
        <v>8771245</v>
      </c>
      <c r="B7600">
        <v>20</v>
      </c>
      <c r="C7600" s="1">
        <f>0.325880364834432*(10.3/7.3)</f>
        <v>0.45980380243762325</v>
      </c>
      <c r="D7600" s="1">
        <f>0.970167326678517*(10.3/7.3)</f>
        <v>1.3688662280532506</v>
      </c>
      <c r="E7600" s="1">
        <f>3.27692883398634*(10.3/7.3)</f>
        <v>4.6236119164464826</v>
      </c>
      <c r="F7600" s="1">
        <f>9.77205873616453*(38.9/42.5)</f>
        <v>8.9443078785129426</v>
      </c>
      <c r="G7600" s="1">
        <v>0.54412483450971805</v>
      </c>
      <c r="H7600" s="1">
        <v>3.0652835458907988</v>
      </c>
      <c r="I7600" s="1">
        <v>6.7459799009172912</v>
      </c>
      <c r="J7600" s="1">
        <v>1.2470775842464787E-2</v>
      </c>
      <c r="K7600" s="1">
        <v>1.1927959380608315</v>
      </c>
      <c r="L7600" s="1">
        <v>0.90140813856140922</v>
      </c>
      <c r="M7600" s="1">
        <v>9.1780951230738775E-2</v>
      </c>
      <c r="N7600" s="1">
        <v>0.4650935286358015</v>
      </c>
      <c r="O7600" s="1">
        <v>9.1522666666666669E-2</v>
      </c>
      <c r="P7600" s="1">
        <v>5.6265313109397884E-2</v>
      </c>
      <c r="Q7600" s="1">
        <v>0.86960589990137671</v>
      </c>
      <c r="R7600" s="2">
        <f t="shared" si="475"/>
        <v>26.621584006669483</v>
      </c>
      <c r="S7600" s="2">
        <f t="shared" si="474"/>
        <v>1.2615320270126942</v>
      </c>
      <c r="T7600" s="2">
        <f t="shared" si="476"/>
        <v>1.5498052850946162</v>
      </c>
      <c r="U7600" s="2">
        <f t="shared" si="477"/>
        <v>29.432921318776796</v>
      </c>
    </row>
    <row r="7601" spans="1:21" x14ac:dyDescent="0.25">
      <c r="A7601">
        <v>8771253</v>
      </c>
      <c r="B7601">
        <v>1</v>
      </c>
      <c r="C7601" s="1">
        <f>0.314292064716663*(10.3/7.3)</f>
        <v>0.44345318720296317</v>
      </c>
      <c r="D7601" s="1">
        <f>0.963575609655312*(10.3/7.3)</f>
        <v>1.3595655862259879</v>
      </c>
      <c r="E7601" s="1">
        <f>3.24779695652311*(10.3/7.3)</f>
        <v>4.5825080345463016</v>
      </c>
      <c r="F7601" s="1">
        <f>9.94419174365121*(38.9/42.5)</f>
        <v>9.1018602077183974</v>
      </c>
      <c r="G7601" s="1">
        <v>0.56179631129944652</v>
      </c>
      <c r="H7601" s="1">
        <v>4.6825658884007444</v>
      </c>
      <c r="I7601" s="1">
        <v>6.894808710564317</v>
      </c>
      <c r="J7601" s="1">
        <v>1.1991293817899113E-2</v>
      </c>
      <c r="K7601" s="1">
        <v>1.1762639064530813</v>
      </c>
      <c r="L7601" s="1">
        <v>0.88495626729760224</v>
      </c>
      <c r="M7601" s="1">
        <v>9.1362889741780529E-2</v>
      </c>
      <c r="N7601" s="1">
        <v>0.46005026851277286</v>
      </c>
      <c r="O7601" s="1">
        <v>8.9706666666666657E-2</v>
      </c>
      <c r="P7601" s="1">
        <v>5.5583472467566328E-2</v>
      </c>
      <c r="Q7601" s="1">
        <v>0.89784798609500682</v>
      </c>
      <c r="R7601" s="2">
        <f t="shared" si="475"/>
        <v>28.524405912053162</v>
      </c>
      <c r="S7601" s="2">
        <f t="shared" si="474"/>
        <v>1.2438386727385469</v>
      </c>
      <c r="T7601" s="2">
        <f t="shared" si="476"/>
        <v>1.5260760922188223</v>
      </c>
      <c r="U7601" s="2">
        <f t="shared" si="477"/>
        <v>31.294320677010532</v>
      </c>
    </row>
    <row r="7602" spans="1:21" x14ac:dyDescent="0.25">
      <c r="A7602">
        <v>8771525</v>
      </c>
      <c r="B7602">
        <v>5</v>
      </c>
      <c r="C7602" s="1">
        <f>0.433261827396764*(10.3/7.3)</f>
        <v>0.61131463317625567</v>
      </c>
      <c r="D7602" s="1">
        <f>1.21249491721813*(10.3/7.3)</f>
        <v>1.7107804996365346</v>
      </c>
      <c r="E7602" s="1">
        <f>4.09725930943021*(10.3/7.3)</f>
        <v>5.7810645050864595</v>
      </c>
      <c r="F7602" s="1">
        <f>12.3860790475336*(38.9/42.5)</f>
        <v>11.33690529291898</v>
      </c>
      <c r="G7602" s="1">
        <v>0.69252446746584195</v>
      </c>
      <c r="H7602" s="1">
        <v>3.2859251100081606</v>
      </c>
      <c r="I7602" s="1">
        <v>8.6444528307341546</v>
      </c>
      <c r="J7602" s="1">
        <v>1.3179390869920257E-2</v>
      </c>
      <c r="K7602" s="1">
        <v>1.0805497887515731</v>
      </c>
      <c r="L7602" s="1">
        <v>0.87580093136600168</v>
      </c>
      <c r="M7602" s="1">
        <v>7.4094653524175116E-2</v>
      </c>
      <c r="N7602" s="1">
        <v>0.50344550403232402</v>
      </c>
      <c r="O7602" s="1">
        <v>6.9311999999999999E-2</v>
      </c>
      <c r="P7602" s="1">
        <v>4.799855179153685E-2</v>
      </c>
      <c r="Q7602" s="1">
        <v>1.1067742630732644</v>
      </c>
      <c r="R7602" s="2">
        <f t="shared" si="475"/>
        <v>33.169741602099649</v>
      </c>
      <c r="S7602" s="2">
        <f t="shared" si="474"/>
        <v>1.1417277314130303</v>
      </c>
      <c r="T7602" s="2">
        <f t="shared" si="476"/>
        <v>1.522653088922501</v>
      </c>
      <c r="U7602" s="2">
        <f t="shared" si="477"/>
        <v>35.834122422435179</v>
      </c>
    </row>
    <row r="7603" spans="1:21" x14ac:dyDescent="0.25">
      <c r="A7603">
        <v>8771533</v>
      </c>
      <c r="B7603">
        <v>13</v>
      </c>
      <c r="C7603" s="1">
        <f>0.44789445562061*(10.3/7.3)</f>
        <v>0.63196067025921632</v>
      </c>
      <c r="D7603" s="1">
        <f>1.2335521894512*(10.3/7.3)</f>
        <v>1.7404914453900451</v>
      </c>
      <c r="E7603" s="1">
        <f>4.16992532098195*(10.3/7.3)</f>
        <v>5.8835932611115185</v>
      </c>
      <c r="F7603" s="1">
        <f>12.5995572028337*(38.9/42.5)</f>
        <v>11.532300592711344</v>
      </c>
      <c r="G7603" s="1">
        <v>0.70375577175590887</v>
      </c>
      <c r="H7603" s="1">
        <v>3.5319497367039934</v>
      </c>
      <c r="I7603" s="1">
        <v>8.8087502709190186</v>
      </c>
      <c r="J7603" s="1">
        <v>1.3348466219630957E-2</v>
      </c>
      <c r="K7603" s="1">
        <v>1.0860508618030575</v>
      </c>
      <c r="L7603" s="1">
        <v>0.87857640037699336</v>
      </c>
      <c r="M7603" s="1">
        <v>7.2690279415903142E-2</v>
      </c>
      <c r="N7603" s="1">
        <v>0.50787165585957283</v>
      </c>
      <c r="O7603" s="1">
        <v>6.9197948717948723E-2</v>
      </c>
      <c r="P7603" s="1">
        <v>4.7895821556229068E-2</v>
      </c>
      <c r="Q7603" s="1">
        <v>1.1247238361395817</v>
      </c>
      <c r="R7603" s="2">
        <f t="shared" si="475"/>
        <v>33.957525584990627</v>
      </c>
      <c r="S7603" s="2">
        <f t="shared" si="474"/>
        <v>1.1472951495789177</v>
      </c>
      <c r="T7603" s="2">
        <f t="shared" si="476"/>
        <v>1.528336284370418</v>
      </c>
      <c r="U7603" s="2">
        <f t="shared" si="477"/>
        <v>36.633157018939961</v>
      </c>
    </row>
    <row r="7604" spans="1:21" x14ac:dyDescent="0.25">
      <c r="A7604">
        <v>8771541</v>
      </c>
      <c r="B7604">
        <v>34</v>
      </c>
      <c r="C7604" s="1">
        <f>0.468414593683068*(10.3/7.3)</f>
        <v>0.66091374177199957</v>
      </c>
      <c r="D7604" s="1">
        <f>1.27576917055413*(10.3/7.3)</f>
        <v>1.800057870781852</v>
      </c>
      <c r="E7604" s="1">
        <f>4.31501702902178*(10.3/7.3)</f>
        <v>6.0883116984827828</v>
      </c>
      <c r="F7604" s="1">
        <f>12.9676151487668*(38.9/42.5)</f>
        <v>11.869181865577165</v>
      </c>
      <c r="G7604" s="1">
        <v>0.72193401080563913</v>
      </c>
      <c r="H7604" s="1">
        <v>3.7577008354197781</v>
      </c>
      <c r="I7604" s="1">
        <v>9.0646472184417384</v>
      </c>
      <c r="J7604" s="1">
        <v>1.3704799335152295E-2</v>
      </c>
      <c r="K7604" s="1">
        <v>1.103960666294008</v>
      </c>
      <c r="L7604" s="1">
        <v>0.8918006489063387</v>
      </c>
      <c r="M7604" s="1">
        <v>7.3114387280267146E-2</v>
      </c>
      <c r="N7604" s="1">
        <v>0.52118089849820326</v>
      </c>
      <c r="O7604" s="1">
        <v>6.9689411764705875E-2</v>
      </c>
      <c r="P7604" s="1">
        <v>4.8247410630860431E-2</v>
      </c>
      <c r="Q7604" s="1">
        <v>1.1537758163560456</v>
      </c>
      <c r="R7604" s="2">
        <f t="shared" si="475"/>
        <v>35.116523057637004</v>
      </c>
      <c r="S7604" s="2">
        <f t="shared" si="474"/>
        <v>1.1659128762600206</v>
      </c>
      <c r="T7604" s="2">
        <f t="shared" si="476"/>
        <v>1.555785346449515</v>
      </c>
      <c r="U7604" s="2">
        <f t="shared" si="477"/>
        <v>37.838221280346545</v>
      </c>
    </row>
    <row r="7605" spans="1:21" x14ac:dyDescent="0.25">
      <c r="A7605">
        <v>8771549</v>
      </c>
      <c r="B7605">
        <v>44</v>
      </c>
      <c r="C7605" s="1">
        <f>0.477959220202087*(10.3/7.3)</f>
        <v>0.67438081754541002</v>
      </c>
      <c r="D7605" s="1">
        <f>1.29371809697978*(10.3/7.3)</f>
        <v>1.8253830683413288</v>
      </c>
      <c r="E7605" s="1">
        <f>4.37656381691113*(10.3/7.3)</f>
        <v>6.1751516868746092</v>
      </c>
      <c r="F7605" s="1">
        <f>13.139151271537*(38.9/42.5)</f>
        <v>12.026187869712725</v>
      </c>
      <c r="G7605" s="1">
        <v>0.73088094577576579</v>
      </c>
      <c r="H7605" s="1">
        <v>4.1577850432711836</v>
      </c>
      <c r="I7605" s="1">
        <v>9.1888356174701364</v>
      </c>
      <c r="J7605" s="1">
        <v>1.4078564320654442E-2</v>
      </c>
      <c r="K7605" s="1">
        <v>1.1257155922203923</v>
      </c>
      <c r="L7605" s="1">
        <v>0.90999088775121884</v>
      </c>
      <c r="M7605" s="1">
        <v>7.4241923273431307E-2</v>
      </c>
      <c r="N7605" s="1">
        <v>0.5350191775035974</v>
      </c>
      <c r="O7605" s="1">
        <v>7.0373333333333343E-2</v>
      </c>
      <c r="P7605" s="1">
        <v>4.877890994337674E-2</v>
      </c>
      <c r="Q7605" s="1">
        <v>1.1680745708745126</v>
      </c>
      <c r="R7605" s="2">
        <f t="shared" si="475"/>
        <v>35.946679619865662</v>
      </c>
      <c r="S7605" s="2">
        <f t="shared" si="474"/>
        <v>1.1885730664844234</v>
      </c>
      <c r="T7605" s="2">
        <f t="shared" si="476"/>
        <v>1.5896253218615808</v>
      </c>
      <c r="U7605" s="2">
        <f t="shared" si="477"/>
        <v>38.724878008211668</v>
      </c>
    </row>
    <row r="7606" spans="1:21" x14ac:dyDescent="0.25">
      <c r="A7606">
        <v>8771557</v>
      </c>
      <c r="B7606">
        <v>43</v>
      </c>
      <c r="C7606" s="1">
        <f>0.482905659199713*(10.3/7.3)</f>
        <v>0.68136003969274628</v>
      </c>
      <c r="D7606" s="1">
        <f>1.30947199080093*(10.3/7.3)</f>
        <v>1.8476111651026872</v>
      </c>
      <c r="E7606" s="1">
        <f>4.43064471163651*(10.3/7.3)</f>
        <v>6.2514576068295913</v>
      </c>
      <c r="F7606" s="1">
        <f>13.2522332040268*(38.9/42.5)</f>
        <v>12.129691097332753</v>
      </c>
      <c r="G7606" s="1">
        <v>0.73582870567066561</v>
      </c>
      <c r="H7606" s="1">
        <v>4.3040828259520172</v>
      </c>
      <c r="I7606" s="1">
        <v>9.2564616673130065</v>
      </c>
      <c r="J7606" s="1">
        <v>1.4196575621766931E-2</v>
      </c>
      <c r="K7606" s="1">
        <v>1.1307146694135704</v>
      </c>
      <c r="L7606" s="1">
        <v>0.91247673405110419</v>
      </c>
      <c r="M7606" s="1">
        <v>7.4013330846042086E-2</v>
      </c>
      <c r="N7606" s="1">
        <v>0.5389010424666737</v>
      </c>
      <c r="O7606" s="1">
        <v>6.9869147286821712E-2</v>
      </c>
      <c r="P7606" s="1">
        <v>4.8314625308151941E-2</v>
      </c>
      <c r="Q7606" s="1">
        <v>1.1759819497019779</v>
      </c>
      <c r="R7606" s="2">
        <f t="shared" si="475"/>
        <v>36.382475057595443</v>
      </c>
      <c r="S7606" s="2">
        <f t="shared" si="474"/>
        <v>1.1932258703434893</v>
      </c>
      <c r="T7606" s="2">
        <f t="shared" si="476"/>
        <v>1.5952602546506418</v>
      </c>
      <c r="U7606" s="2">
        <f t="shared" si="477"/>
        <v>39.170961182589572</v>
      </c>
    </row>
    <row r="7607" spans="1:21" x14ac:dyDescent="0.25">
      <c r="A7607">
        <v>8771565</v>
      </c>
      <c r="B7607">
        <v>36</v>
      </c>
      <c r="C7607" s="1">
        <f>0.480981611311488*(10.3/7.3)</f>
        <v>0.67864528719292094</v>
      </c>
      <c r="D7607" s="1">
        <f>1.37185062709021*(10.3/7.3)</f>
        <v>1.935624857401254</v>
      </c>
      <c r="E7607" s="1">
        <f>4.64624450009117*(10.3/7.3)</f>
        <v>6.5556600480738503</v>
      </c>
      <c r="F7607" s="1">
        <f>13.4126295348785*(38.9/42.5)</f>
        <v>12.276500915453473</v>
      </c>
      <c r="G7607" s="1">
        <v>0.73270225030528335</v>
      </c>
      <c r="H7607" s="1">
        <v>4.1552826938496397</v>
      </c>
      <c r="I7607" s="1">
        <v>9.2175368482605151</v>
      </c>
      <c r="J7607" s="1">
        <v>1.4278380643039811E-2</v>
      </c>
      <c r="K7607" s="1">
        <v>1.1371235838129727</v>
      </c>
      <c r="L7607" s="1">
        <v>0.91019239196976387</v>
      </c>
      <c r="M7607" s="1">
        <v>7.3658756217484078E-2</v>
      </c>
      <c r="N7607" s="1">
        <v>0.54089956032633191</v>
      </c>
      <c r="O7607" s="1">
        <v>6.7560000000000023E-2</v>
      </c>
      <c r="P7607" s="1">
        <v>4.7797743409009157E-2</v>
      </c>
      <c r="Q7607" s="1">
        <v>1.1709853315381251</v>
      </c>
      <c r="R7607" s="2">
        <f t="shared" si="475"/>
        <v>36.722938232075066</v>
      </c>
      <c r="S7607" s="2">
        <f t="shared" si="474"/>
        <v>1.1991997078650216</v>
      </c>
      <c r="T7607" s="2">
        <f t="shared" si="476"/>
        <v>1.5923107085135799</v>
      </c>
      <c r="U7607" s="2">
        <f t="shared" si="477"/>
        <v>39.514448648453666</v>
      </c>
    </row>
    <row r="7608" spans="1:21" x14ac:dyDescent="0.25">
      <c r="A7608">
        <v>8771573</v>
      </c>
      <c r="B7608">
        <v>21</v>
      </c>
      <c r="C7608" s="1">
        <f>0.479410571407034*(10.3/7.3)</f>
        <v>0.67642861445102032</v>
      </c>
      <c r="D7608" s="1">
        <f>1.38193759151841*(10.3/7.3)</f>
        <v>1.9498571496766539</v>
      </c>
      <c r="E7608" s="1">
        <f>4.67585446598922*(10.3/7.3)</f>
        <v>6.597438493108073</v>
      </c>
      <c r="F7608" s="1">
        <f>13.6805458529059*(38.9/42.5)</f>
        <v>12.521723145365607</v>
      </c>
      <c r="G7608" s="1">
        <v>0.7531134097443497</v>
      </c>
      <c r="H7608" s="1">
        <v>4.3322612052143805</v>
      </c>
      <c r="I7608" s="1">
        <v>9.4268756174103281</v>
      </c>
      <c r="J7608" s="1">
        <v>1.4732807559705722E-2</v>
      </c>
      <c r="K7608" s="1">
        <v>1.1667563792599289</v>
      </c>
      <c r="L7608" s="1">
        <v>0.9349405840394156</v>
      </c>
      <c r="M7608" s="1">
        <v>7.495400435776764E-2</v>
      </c>
      <c r="N7608" s="1">
        <v>0.55622868733471009</v>
      </c>
      <c r="O7608" s="1">
        <v>6.8556190476190465E-2</v>
      </c>
      <c r="P7608" s="1">
        <v>4.8540345290460231E-2</v>
      </c>
      <c r="Q7608" s="1">
        <v>1.2036059059841218</v>
      </c>
      <c r="R7608" s="2">
        <f t="shared" si="475"/>
        <v>37.461303540954532</v>
      </c>
      <c r="S7608" s="2">
        <f t="shared" si="474"/>
        <v>1.2300295321100949</v>
      </c>
      <c r="T7608" s="2">
        <f t="shared" si="476"/>
        <v>1.6346794662080839</v>
      </c>
      <c r="U7608" s="2">
        <f t="shared" si="477"/>
        <v>40.32601253927271</v>
      </c>
    </row>
    <row r="7609" spans="1:21" x14ac:dyDescent="0.25">
      <c r="A7609">
        <v>8783409</v>
      </c>
      <c r="B7609">
        <v>24</v>
      </c>
      <c r="C7609" s="1">
        <f>0.309467755207247*(10.3/7.3)</f>
        <v>0.43664628474447126</v>
      </c>
      <c r="D7609" s="1">
        <f>0.805255915058894*(10.3/7.3)</f>
        <v>1.1361830034392613</v>
      </c>
      <c r="E7609" s="1">
        <f>2.73154009613991*(10.3/7.3)</f>
        <v>3.8540908205809736</v>
      </c>
      <c r="F7609" s="1">
        <f>7.93944638904456*(38.9/42.5)</f>
        <v>7.266928577266663</v>
      </c>
      <c r="G7609" s="1">
        <v>0.43329273691066944</v>
      </c>
      <c r="H7609" s="1">
        <v>1.6048873151582965</v>
      </c>
      <c r="I7609" s="1">
        <v>5.5302336197428872</v>
      </c>
      <c r="J7609" s="1">
        <v>1.135941005838668E-2</v>
      </c>
      <c r="K7609" s="1">
        <v>1.2157486204460779</v>
      </c>
      <c r="L7609" s="1">
        <v>0.91005350553815711</v>
      </c>
      <c r="M7609" s="1">
        <v>9.3576670619284819E-2</v>
      </c>
      <c r="N7609" s="1">
        <v>0.44603347356222556</v>
      </c>
      <c r="O7609" s="1">
        <v>9.6722222222222209E-2</v>
      </c>
      <c r="P7609" s="1">
        <v>5.7955384896637818E-2</v>
      </c>
      <c r="Q7609" s="1">
        <v>0.69247697679787423</v>
      </c>
      <c r="R7609" s="2">
        <f t="shared" si="475"/>
        <v>20.954739334641097</v>
      </c>
      <c r="S7609" s="2">
        <f t="shared" si="474"/>
        <v>1.2850634154011025</v>
      </c>
      <c r="T7609" s="2">
        <f t="shared" si="476"/>
        <v>1.5463858719418897</v>
      </c>
      <c r="U7609" s="2">
        <f t="shared" si="477"/>
        <v>23.786188621984088</v>
      </c>
    </row>
    <row r="7610" spans="1:21" x14ac:dyDescent="0.25">
      <c r="A7610">
        <v>8783417</v>
      </c>
      <c r="B7610">
        <v>53</v>
      </c>
      <c r="C7610" s="1">
        <f>0.313336164380432*(10.3/7.3)</f>
        <v>0.44210445111211666</v>
      </c>
      <c r="D7610" s="1">
        <f>0.8126239481212*(10.3/7.3)</f>
        <v>1.1465789952942957</v>
      </c>
      <c r="E7610" s="1">
        <f>2.75753039697532*(10.3/7.3)</f>
        <v>3.8907620669651712</v>
      </c>
      <c r="F7610" s="1">
        <f>7.97420296296189*(38.9/42.5)</f>
        <v>7.2987410649227629</v>
      </c>
      <c r="G7610" s="1">
        <v>0.43390479044227759</v>
      </c>
      <c r="H7610" s="1">
        <v>1.5816731788223288</v>
      </c>
      <c r="I7610" s="1">
        <v>5.5489186275599778</v>
      </c>
      <c r="J7610" s="1">
        <v>1.1196773929472034E-2</v>
      </c>
      <c r="K7610" s="1">
        <v>1.19513768351231</v>
      </c>
      <c r="L7610" s="1">
        <v>0.88971483708960619</v>
      </c>
      <c r="M7610" s="1">
        <v>9.2461676614647659E-2</v>
      </c>
      <c r="N7610" s="1">
        <v>0.44056841445106809</v>
      </c>
      <c r="O7610" s="1">
        <v>9.4503647798742124E-2</v>
      </c>
      <c r="P7610" s="1">
        <v>5.6940794165860592E-2</v>
      </c>
      <c r="Q7610" s="1">
        <v>0.69345514454245383</v>
      </c>
      <c r="R7610" s="2">
        <f t="shared" si="475"/>
        <v>21.036138319661383</v>
      </c>
      <c r="S7610" s="2">
        <f t="shared" si="474"/>
        <v>1.2632752516076426</v>
      </c>
      <c r="T7610" s="2">
        <f t="shared" si="476"/>
        <v>1.5172485759540641</v>
      </c>
      <c r="U7610" s="2">
        <f t="shared" si="477"/>
        <v>23.816662147223088</v>
      </c>
    </row>
    <row r="7611" spans="1:21" x14ac:dyDescent="0.25">
      <c r="A7611">
        <v>8783425</v>
      </c>
      <c r="B7611">
        <v>65</v>
      </c>
      <c r="C7611" s="1">
        <f>0.281026120259194*(10.3/7.3)</f>
        <v>0.39651630666708171</v>
      </c>
      <c r="D7611" s="1">
        <f>0.710545422697897*(10.3/7.3)</f>
        <v>1.0025503909299092</v>
      </c>
      <c r="E7611" s="1">
        <f>2.41503781136665*(10.3/7.3)</f>
        <v>3.4075191037091148</v>
      </c>
      <c r="F7611" s="1">
        <f>6.85455518783948*(38.9/42.5)</f>
        <v>6.2739340425166068</v>
      </c>
      <c r="G7611" s="1">
        <v>0.36860929391500913</v>
      </c>
      <c r="H7611" s="1">
        <v>1.350698817518637</v>
      </c>
      <c r="I7611" s="1">
        <v>4.7609299189464886</v>
      </c>
      <c r="J7611" s="1">
        <v>1.0276256139289251E-2</v>
      </c>
      <c r="K7611" s="1">
        <v>1.0985140832620226</v>
      </c>
      <c r="L7611" s="1">
        <v>0.80189624824486061</v>
      </c>
      <c r="M7611" s="1">
        <v>8.404183686186012E-2</v>
      </c>
      <c r="N7611" s="1">
        <v>0.4057619726699242</v>
      </c>
      <c r="O7611" s="1">
        <v>8.6011897435897447E-2</v>
      </c>
      <c r="P7611" s="1">
        <v>5.2657015265687897E-2</v>
      </c>
      <c r="Q7611" s="1">
        <v>0.58910161127969563</v>
      </c>
      <c r="R7611" s="2">
        <f t="shared" si="475"/>
        <v>18.149859485482544</v>
      </c>
      <c r="S7611" s="2">
        <f t="shared" si="474"/>
        <v>1.1614473546669999</v>
      </c>
      <c r="T7611" s="2">
        <f t="shared" si="476"/>
        <v>1.3777119552125423</v>
      </c>
      <c r="U7611" s="2">
        <f t="shared" si="477"/>
        <v>20.689018795362088</v>
      </c>
    </row>
    <row r="7612" spans="1:21" x14ac:dyDescent="0.25">
      <c r="A7612">
        <v>8783433</v>
      </c>
      <c r="B7612">
        <v>63</v>
      </c>
      <c r="C7612" s="1">
        <f>0.261028438177329*(10.3/7.3)</f>
        <v>0.36830039907212164</v>
      </c>
      <c r="D7612" s="1">
        <f>0.654103076520639*(10.3/7.3)</f>
        <v>0.92291256002227162</v>
      </c>
      <c r="E7612" s="1">
        <f>2.22481355800587*(10.3/7.3)</f>
        <v>3.1391204996521114</v>
      </c>
      <c r="F7612" s="1">
        <f>6.25519028937936*(38.9/42.5)</f>
        <v>5.7253388766319331</v>
      </c>
      <c r="G7612" s="1">
        <v>0.33439745696676371</v>
      </c>
      <c r="H7612" s="1">
        <v>1.2438268919086497</v>
      </c>
      <c r="I7612" s="1">
        <v>4.3383357831647054</v>
      </c>
      <c r="J7612" s="1">
        <v>9.9471472459693074E-3</v>
      </c>
      <c r="K7612" s="1">
        <v>1.059355900882021</v>
      </c>
      <c r="L7612" s="1">
        <v>0.76831242053501536</v>
      </c>
      <c r="M7612" s="1">
        <v>8.1114012258537607E-2</v>
      </c>
      <c r="N7612" s="1">
        <v>0.39260048322876723</v>
      </c>
      <c r="O7612" s="1">
        <v>8.2915555555555548E-2</v>
      </c>
      <c r="P7612" s="1">
        <v>5.0899130475698606E-2</v>
      </c>
      <c r="Q7612" s="1">
        <v>0.53442515953592418</v>
      </c>
      <c r="R7612" s="2">
        <f t="shared" si="475"/>
        <v>16.606657626954483</v>
      </c>
      <c r="S7612" s="2">
        <f t="shared" si="474"/>
        <v>1.1202021786036891</v>
      </c>
      <c r="T7612" s="2">
        <f t="shared" si="476"/>
        <v>1.3249424715778759</v>
      </c>
      <c r="U7612" s="2">
        <f t="shared" si="477"/>
        <v>19.051802277136048</v>
      </c>
    </row>
    <row r="7613" spans="1:21" x14ac:dyDescent="0.25">
      <c r="A7613">
        <v>8783441</v>
      </c>
      <c r="B7613">
        <v>62</v>
      </c>
      <c r="C7613" s="1">
        <f>0.322422356823747*(10.3/7.3)</f>
        <v>0.45492469524446555</v>
      </c>
      <c r="D7613" s="1">
        <f>0.869643505115226*(10.3/7.3)</f>
        <v>1.2270312469434015</v>
      </c>
      <c r="E7613" s="1">
        <f>2.94953541504599*(10.3/7.3)</f>
        <v>4.1616732568457131</v>
      </c>
      <c r="F7613" s="1">
        <f>8.4758120736566*(38.9/42.5)</f>
        <v>7.7578609332998054</v>
      </c>
      <c r="G7613" s="1">
        <v>0.46056180386211742</v>
      </c>
      <c r="H7613" s="1">
        <v>1.6856218636680429</v>
      </c>
      <c r="I7613" s="1">
        <v>5.8576101370660831</v>
      </c>
      <c r="J7613" s="1">
        <v>1.1304168564310846E-2</v>
      </c>
      <c r="K7613" s="1">
        <v>1.1882590322688518</v>
      </c>
      <c r="L7613" s="1">
        <v>0.88361236963610379</v>
      </c>
      <c r="M7613" s="1">
        <v>9.1868306144323023E-2</v>
      </c>
      <c r="N7613" s="1">
        <v>0.44534794926983634</v>
      </c>
      <c r="O7613" s="1">
        <v>9.2800860215053765E-2</v>
      </c>
      <c r="P7613" s="1">
        <v>5.6422021027801222E-2</v>
      </c>
      <c r="Q7613" s="1">
        <v>0.73605767740521122</v>
      </c>
      <c r="R7613" s="2">
        <f t="shared" si="475"/>
        <v>22.341341614334837</v>
      </c>
      <c r="S7613" s="2">
        <f t="shared" si="474"/>
        <v>1.255985221860964</v>
      </c>
      <c r="T7613" s="2">
        <f t="shared" si="476"/>
        <v>1.5136294852653172</v>
      </c>
      <c r="U7613" s="2">
        <f t="shared" si="477"/>
        <v>25.110956321461117</v>
      </c>
    </row>
    <row r="7614" spans="1:21" x14ac:dyDescent="0.25">
      <c r="A7614">
        <v>8783449</v>
      </c>
      <c r="B7614">
        <v>8</v>
      </c>
      <c r="C7614" s="1">
        <f>0.142603402763898*(10.3/7.3)</f>
        <v>0.20120754088604856</v>
      </c>
      <c r="D7614" s="1">
        <f>0.305682003046788*(10.3/7.3)</f>
        <v>0.43130474402492069</v>
      </c>
      <c r="E7614" s="1">
        <f>1.04714442900793*(10.3/7.3)</f>
        <v>1.4774777559974921</v>
      </c>
      <c r="F7614" s="1">
        <f>2.77093719672706*(38.9/42.5)</f>
        <v>2.5362225165337131</v>
      </c>
      <c r="G7614" s="1">
        <v>0.14128061361794239</v>
      </c>
      <c r="H7614" s="1">
        <v>0.69705233423009993</v>
      </c>
      <c r="I7614" s="1">
        <v>1.9353366118345203</v>
      </c>
      <c r="J7614" s="1">
        <v>9.6617749551862284E-3</v>
      </c>
      <c r="K7614" s="1">
        <v>1.0259043711849667</v>
      </c>
      <c r="L7614" s="1">
        <v>0.74740688723380344</v>
      </c>
      <c r="M7614" s="1">
        <v>7.9145046063278879E-2</v>
      </c>
      <c r="N7614" s="1">
        <v>0.38624587095409574</v>
      </c>
      <c r="O7614" s="1">
        <v>8.0166666666666664E-2</v>
      </c>
      <c r="P7614" s="1">
        <v>4.9643221850974792E-2</v>
      </c>
      <c r="Q7614" s="1">
        <v>0.22579093500584421</v>
      </c>
      <c r="R7614" s="2">
        <f t="shared" si="475"/>
        <v>7.6456730521305811</v>
      </c>
      <c r="S7614" s="2">
        <f t="shared" si="474"/>
        <v>1.0852093679911277</v>
      </c>
      <c r="T7614" s="2">
        <f t="shared" si="476"/>
        <v>1.2929644709178447</v>
      </c>
      <c r="U7614" s="2">
        <f t="shared" si="477"/>
        <v>10.023846891039554</v>
      </c>
    </row>
    <row r="7615" spans="1:21" x14ac:dyDescent="0.25">
      <c r="A7615">
        <v>8783473</v>
      </c>
      <c r="B7615">
        <v>10</v>
      </c>
      <c r="C7615" s="1">
        <f>0.349975027684558*(10.3/7.3)</f>
        <v>0.4938003815275272</v>
      </c>
      <c r="D7615" s="1">
        <f>1.04542150565518*(10.3/7.3)</f>
        <v>1.4750467819518274</v>
      </c>
      <c r="E7615" s="1">
        <f>3.53148653342634*(10.3/7.3)</f>
        <v>4.982782369081006</v>
      </c>
      <c r="F7615" s="1">
        <f>10.5001171185801*(38.9/42.5)</f>
        <v>9.6106954332415278</v>
      </c>
      <c r="G7615" s="1">
        <v>0.58386688067192494</v>
      </c>
      <c r="H7615" s="1">
        <v>3.3461199311847323</v>
      </c>
      <c r="I7615" s="1">
        <v>7.2396239904854438</v>
      </c>
      <c r="J7615" s="1">
        <v>1.2690573797088701E-2</v>
      </c>
      <c r="K7615" s="1">
        <v>1.2301037934814496</v>
      </c>
      <c r="L7615" s="1">
        <v>0.93746024707890618</v>
      </c>
      <c r="M7615" s="1">
        <v>9.5215091884666508E-2</v>
      </c>
      <c r="N7615" s="1">
        <v>0.47594925522826947</v>
      </c>
      <c r="O7615" s="1">
        <v>9.5061333333333345E-2</v>
      </c>
      <c r="P7615" s="1">
        <v>5.8061236500412616E-2</v>
      </c>
      <c r="Q7615" s="1">
        <v>0.93312058554873922</v>
      </c>
      <c r="R7615" s="2">
        <f t="shared" si="475"/>
        <v>28.665056353692727</v>
      </c>
      <c r="S7615" s="2">
        <f t="shared" si="474"/>
        <v>1.3008556037789507</v>
      </c>
      <c r="T7615" s="2">
        <f t="shared" si="476"/>
        <v>1.6036859275251756</v>
      </c>
      <c r="U7615" s="2">
        <f t="shared" si="477"/>
        <v>31.569597884996853</v>
      </c>
    </row>
    <row r="7616" spans="1:21" x14ac:dyDescent="0.25">
      <c r="A7616">
        <v>8783777</v>
      </c>
      <c r="B7616">
        <v>10</v>
      </c>
      <c r="C7616" s="1">
        <f>0.442741172397722*(10.3/7.3)</f>
        <v>0.62468959941048507</v>
      </c>
      <c r="D7616" s="1">
        <f>1.1981155240568*(10.3/7.3)</f>
        <v>1.6904917668198667</v>
      </c>
      <c r="E7616" s="1">
        <f>4.05439132833884*(10.3/7.3)</f>
        <v>5.7205795454643971</v>
      </c>
      <c r="F7616" s="1">
        <f>12.1088896516645*(38.9/42.5)</f>
        <v>11.083195469405881</v>
      </c>
      <c r="G7616" s="1">
        <v>0.67176289637408415</v>
      </c>
      <c r="H7616" s="1">
        <v>3.4603624461520992</v>
      </c>
      <c r="I7616" s="1">
        <v>8.456495048144351</v>
      </c>
      <c r="J7616" s="1">
        <v>1.3338935331191668E-2</v>
      </c>
      <c r="K7616" s="1">
        <v>1.0816771265335501</v>
      </c>
      <c r="L7616" s="1">
        <v>0.8737686390333117</v>
      </c>
      <c r="M7616" s="1">
        <v>7.217729589434696E-2</v>
      </c>
      <c r="N7616" s="1">
        <v>0.50555078627344052</v>
      </c>
      <c r="O7616" s="1">
        <v>6.8687999999999999E-2</v>
      </c>
      <c r="P7616" s="1">
        <v>4.7485843328087619E-2</v>
      </c>
      <c r="Q7616" s="1">
        <v>1.0735936700042452</v>
      </c>
      <c r="R7616" s="2">
        <f t="shared" si="475"/>
        <v>32.781170441775409</v>
      </c>
      <c r="S7616" s="2">
        <f t="shared" si="474"/>
        <v>1.1425019051928293</v>
      </c>
      <c r="T7616" s="2">
        <f t="shared" si="476"/>
        <v>1.5201847212010993</v>
      </c>
      <c r="U7616" s="2">
        <f t="shared" si="477"/>
        <v>35.443857068169336</v>
      </c>
    </row>
    <row r="7617" spans="1:21" x14ac:dyDescent="0.25">
      <c r="A7617">
        <v>8783785</v>
      </c>
      <c r="B7617">
        <v>39</v>
      </c>
      <c r="C7617" s="1">
        <f>0.459608319783613*(10.3/7.3)</f>
        <v>0.64848845120153598</v>
      </c>
      <c r="D7617" s="1">
        <f>1.23310009955045*(10.3/7.3)</f>
        <v>1.7398535651191351</v>
      </c>
      <c r="E7617" s="1">
        <f>4.17420603497101*(10.3/7.3)</f>
        <v>5.8896331726303233</v>
      </c>
      <c r="F7617" s="1">
        <f>12.4328967932929*(38.9/42.5)</f>
        <v>11.379757300213972</v>
      </c>
      <c r="G7617" s="1">
        <v>0.68847312053816367</v>
      </c>
      <c r="H7617" s="1">
        <v>3.4175254865708147</v>
      </c>
      <c r="I7617" s="1">
        <v>8.6854020246141417</v>
      </c>
      <c r="J7617" s="1">
        <v>1.3593701636778911E-2</v>
      </c>
      <c r="K7617" s="1">
        <v>1.0927265877228249</v>
      </c>
      <c r="L7617" s="1">
        <v>0.87720822985071489</v>
      </c>
      <c r="M7617" s="1">
        <v>7.2046514815649568E-2</v>
      </c>
      <c r="N7617" s="1">
        <v>0.51567395239582481</v>
      </c>
      <c r="O7617" s="1">
        <v>6.8199658119658127E-2</v>
      </c>
      <c r="P7617" s="1">
        <v>4.7490618042829183E-2</v>
      </c>
      <c r="Q7617" s="1">
        <v>1.1002995077093953</v>
      </c>
      <c r="R7617" s="2">
        <f t="shared" si="475"/>
        <v>33.549432628597479</v>
      </c>
      <c r="S7617" s="2">
        <f t="shared" si="474"/>
        <v>1.153810907402433</v>
      </c>
      <c r="T7617" s="2">
        <f t="shared" si="476"/>
        <v>1.5331283551818475</v>
      </c>
      <c r="U7617" s="2">
        <f t="shared" si="477"/>
        <v>36.236371891181754</v>
      </c>
    </row>
    <row r="7618" spans="1:21" x14ac:dyDescent="0.25">
      <c r="A7618">
        <v>8783793</v>
      </c>
      <c r="B7618">
        <v>66</v>
      </c>
      <c r="C7618" s="1">
        <f>0.467498025550214*(10.3/7.3)</f>
        <v>0.65962050180372656</v>
      </c>
      <c r="D7618" s="1">
        <f>1.27548517062333*(10.3/7.3)</f>
        <v>1.7996571585507264</v>
      </c>
      <c r="E7618" s="1">
        <f>4.31722068661397*(10.3/7.3)</f>
        <v>6.0914209687841012</v>
      </c>
      <c r="F7618" s="1">
        <f>12.8031770377902*(38.9/42.5)</f>
        <v>11.718672629883276</v>
      </c>
      <c r="G7618" s="1">
        <v>0.70796128325621832</v>
      </c>
      <c r="H7618" s="1">
        <v>3.9463916536634205</v>
      </c>
      <c r="I7618" s="1">
        <v>8.9150291034009435</v>
      </c>
      <c r="J7618" s="1">
        <v>1.3787969154250998E-2</v>
      </c>
      <c r="K7618" s="1">
        <v>1.1058021818912671</v>
      </c>
      <c r="L7618" s="1">
        <v>0.88941053635608758</v>
      </c>
      <c r="M7618" s="1">
        <v>7.2545493911927508E-2</v>
      </c>
      <c r="N7618" s="1">
        <v>0.52202329126668068</v>
      </c>
      <c r="O7618" s="1">
        <v>6.8059797979797942E-2</v>
      </c>
      <c r="P7618" s="1">
        <v>4.7204120407108342E-2</v>
      </c>
      <c r="Q7618" s="1">
        <v>1.1314449732405325</v>
      </c>
      <c r="R7618" s="2">
        <f t="shared" si="475"/>
        <v>34.970198272582948</v>
      </c>
      <c r="S7618" s="2">
        <f t="shared" si="474"/>
        <v>1.1667942714526265</v>
      </c>
      <c r="T7618" s="2">
        <f t="shared" si="476"/>
        <v>1.5520391195144938</v>
      </c>
      <c r="U7618" s="2">
        <f t="shared" si="477"/>
        <v>37.689031663550068</v>
      </c>
    </row>
    <row r="7619" spans="1:21" x14ac:dyDescent="0.25">
      <c r="A7619">
        <v>8783801</v>
      </c>
      <c r="B7619">
        <v>70</v>
      </c>
      <c r="C7619" s="1">
        <f>0.459958758215791*(10.3/7.3)</f>
        <v>0.64898290542775938</v>
      </c>
      <c r="D7619" s="1">
        <f>1.30919727627537*(10.3/7.3)</f>
        <v>1.8472235541967514</v>
      </c>
      <c r="E7619" s="1">
        <f>4.43497315576377*(10.3/7.3)</f>
        <v>6.2575648636118961</v>
      </c>
      <c r="F7619" s="1">
        <f>12.7646886983992*(38.9/42.5)</f>
        <v>11.683444479240638</v>
      </c>
      <c r="G7619" s="1">
        <v>0.69611118406641104</v>
      </c>
      <c r="H7619" s="1">
        <v>3.4447906831803228</v>
      </c>
      <c r="I7619" s="1">
        <v>8.7667121818679714</v>
      </c>
      <c r="J7619" s="1">
        <v>1.3853090392173468E-2</v>
      </c>
      <c r="K7619" s="1">
        <v>1.1077112915058198</v>
      </c>
      <c r="L7619" s="1">
        <v>0.88103645853390533</v>
      </c>
      <c r="M7619" s="1">
        <v>7.1842178008246924E-2</v>
      </c>
      <c r="N7619" s="1">
        <v>0.52346611444738189</v>
      </c>
      <c r="O7619" s="1">
        <v>6.5587809523809534E-2</v>
      </c>
      <c r="P7619" s="1">
        <v>4.6674910186564486E-2</v>
      </c>
      <c r="Q7619" s="1">
        <v>1.1125064585536264</v>
      </c>
      <c r="R7619" s="2">
        <f t="shared" si="475"/>
        <v>34.457336310145372</v>
      </c>
      <c r="S7619" s="2">
        <f t="shared" si="474"/>
        <v>1.1682392920845577</v>
      </c>
      <c r="T7619" s="2">
        <f t="shared" si="476"/>
        <v>1.5419325605133438</v>
      </c>
      <c r="U7619" s="2">
        <f t="shared" si="477"/>
        <v>37.167508162743275</v>
      </c>
    </row>
    <row r="7620" spans="1:21" x14ac:dyDescent="0.25">
      <c r="A7620">
        <v>8783809</v>
      </c>
      <c r="B7620">
        <v>44</v>
      </c>
      <c r="C7620" s="1">
        <f>0.451853002686077*(10.3/7.3)</f>
        <v>0.63754601748857487</v>
      </c>
      <c r="D7620" s="1">
        <f>1.25881673125758*(10.3/7.3)</f>
        <v>1.7761386756100059</v>
      </c>
      <c r="E7620" s="1">
        <f>4.25934931748747*(10.3/7.3)</f>
        <v>6.0097668452220416</v>
      </c>
      <c r="F7620" s="1">
        <f>12.6103120246744*(38.9/42.5)</f>
        <v>11.542144417878433</v>
      </c>
      <c r="G7620" s="1">
        <v>0.69739273156351445</v>
      </c>
      <c r="H7620" s="1">
        <v>3.9512699626543695</v>
      </c>
      <c r="I7620" s="1">
        <v>8.7544824289637901</v>
      </c>
      <c r="J7620" s="1">
        <v>1.4263336556991494E-2</v>
      </c>
      <c r="K7620" s="1">
        <v>1.1312289298345322</v>
      </c>
      <c r="L7620" s="1">
        <v>0.90082911058338266</v>
      </c>
      <c r="M7620" s="1">
        <v>7.2660408302203494E-2</v>
      </c>
      <c r="N7620" s="1">
        <v>0.53971344904816165</v>
      </c>
      <c r="O7620" s="1">
        <v>6.6286060606060584E-2</v>
      </c>
      <c r="P7620" s="1">
        <v>4.7209883669374335E-2</v>
      </c>
      <c r="Q7620" s="1">
        <v>1.1145545938229697</v>
      </c>
      <c r="R7620" s="2">
        <f t="shared" si="475"/>
        <v>34.483295673203699</v>
      </c>
      <c r="S7620" s="2">
        <f t="shared" si="474"/>
        <v>1.1927021500608981</v>
      </c>
      <c r="T7620" s="2">
        <f t="shared" si="476"/>
        <v>1.5794890285398084</v>
      </c>
      <c r="U7620" s="2">
        <f t="shared" si="477"/>
        <v>37.255486851804406</v>
      </c>
    </row>
    <row r="7621" spans="1:21" x14ac:dyDescent="0.25">
      <c r="A7621">
        <v>8783817</v>
      </c>
      <c r="B7621">
        <v>3</v>
      </c>
      <c r="C7621" s="1">
        <f>0.547783998234678*(10.3/7.3)</f>
        <v>0.77290070983796977</v>
      </c>
      <c r="D7621" s="1">
        <f>1.62902727972554*(10.3/7.3)</f>
        <v>2.298490545366171</v>
      </c>
      <c r="E7621" s="1">
        <f>5.50262899327686*(10.3/7.3)</f>
        <v>7.7639833740755666</v>
      </c>
      <c r="F7621" s="1">
        <f>16.4012037760166*(38.9/42.5)</f>
        <v>15.011925338518727</v>
      </c>
      <c r="G7621" s="1">
        <v>0.91297265333212207</v>
      </c>
      <c r="H7621" s="1">
        <v>5.9041534982154777</v>
      </c>
      <c r="I7621" s="1">
        <v>11.322063468428309</v>
      </c>
      <c r="J7621" s="1">
        <v>1.5875239657006327E-2</v>
      </c>
      <c r="K7621" s="1">
        <v>1.2373265167298675</v>
      </c>
      <c r="L7621" s="1">
        <v>1.0167606070228183</v>
      </c>
      <c r="M7621" s="1">
        <v>7.9219510318676328E-2</v>
      </c>
      <c r="N7621" s="1">
        <v>0.59402611353094414</v>
      </c>
      <c r="O7621" s="1">
        <v>7.299555555555555E-2</v>
      </c>
      <c r="P7621" s="1">
        <v>5.1270852121268549E-2</v>
      </c>
      <c r="Q7621" s="1">
        <v>1.4590887153709728</v>
      </c>
      <c r="R7621" s="2">
        <f t="shared" si="475"/>
        <v>45.445578303145318</v>
      </c>
      <c r="S7621" s="2">
        <f t="shared" si="474"/>
        <v>1.3044726085081424</v>
      </c>
      <c r="T7621" s="2">
        <f t="shared" si="476"/>
        <v>1.7630017864279943</v>
      </c>
      <c r="U7621" s="2">
        <f t="shared" si="477"/>
        <v>48.513052698081452</v>
      </c>
    </row>
    <row r="7622" spans="1:21" x14ac:dyDescent="0.25">
      <c r="A7622">
        <v>8795645</v>
      </c>
      <c r="B7622">
        <v>5</v>
      </c>
      <c r="C7622" s="1">
        <f>0.254460669504729*(10.3/7.3)</f>
        <v>0.359033547383385</v>
      </c>
      <c r="D7622" s="1">
        <f>0.630315115132233*(10.3/7.3)</f>
        <v>0.88934872409068533</v>
      </c>
      <c r="E7622" s="1">
        <f>2.14289738966451*(10.3/7.3)</f>
        <v>3.0235401525403338</v>
      </c>
      <c r="F7622" s="1">
        <f>6.10589114498021*(38.9/42.5)</f>
        <v>5.588686247993655</v>
      </c>
      <c r="G7622" s="1">
        <v>0.32868732239013077</v>
      </c>
      <c r="H7622" s="1">
        <v>1.2361436491617459</v>
      </c>
      <c r="I7622" s="1">
        <v>4.2575670329786828</v>
      </c>
      <c r="J7622" s="1">
        <v>1.0102219505185495E-2</v>
      </c>
      <c r="K7622" s="1">
        <v>1.0916083619712285</v>
      </c>
      <c r="L7622" s="1">
        <v>0.79654906545466231</v>
      </c>
      <c r="M7622" s="1">
        <v>8.4972395021626873E-2</v>
      </c>
      <c r="N7622" s="1">
        <v>0.39465472298705173</v>
      </c>
      <c r="O7622" s="1">
        <v>8.6304000000000006E-2</v>
      </c>
      <c r="P7622" s="1">
        <v>5.238037369391272E-2</v>
      </c>
      <c r="Q7622" s="1">
        <v>0.52529937368285795</v>
      </c>
      <c r="R7622" s="2">
        <f t="shared" si="475"/>
        <v>16.208306050221477</v>
      </c>
      <c r="S7622" s="2">
        <f t="shared" si="474"/>
        <v>1.1540909551703267</v>
      </c>
      <c r="T7622" s="2">
        <f t="shared" si="476"/>
        <v>1.3624801834633409</v>
      </c>
      <c r="U7622" s="2">
        <f t="shared" si="477"/>
        <v>18.724877188855142</v>
      </c>
    </row>
    <row r="7623" spans="1:21" x14ac:dyDescent="0.25">
      <c r="A7623">
        <v>8795653</v>
      </c>
      <c r="B7623">
        <v>45</v>
      </c>
      <c r="C7623" s="1">
        <f>0.300327068878649*(10.3/7.3)</f>
        <v>0.42374915197946433</v>
      </c>
      <c r="D7623" s="1">
        <f>0.77935464954467*(10.3/7.3)</f>
        <v>1.0996373822342607</v>
      </c>
      <c r="E7623" s="1">
        <f>2.64523898845958*(10.3/7.3)</f>
        <v>3.7323235042648926</v>
      </c>
      <c r="F7623" s="1">
        <f>7.61666096760524*(38.9/42.5)</f>
        <v>6.9714849797610281</v>
      </c>
      <c r="G7623" s="1">
        <v>0.41348609079419157</v>
      </c>
      <c r="H7623" s="1">
        <v>1.5126412150349355</v>
      </c>
      <c r="I7623" s="1">
        <v>5.2932982834478892</v>
      </c>
      <c r="J7623" s="1">
        <v>1.0945202651619546E-2</v>
      </c>
      <c r="K7623" s="1">
        <v>1.1683406317015479</v>
      </c>
      <c r="L7623" s="1">
        <v>0.86877194307349026</v>
      </c>
      <c r="M7623" s="1">
        <v>9.014792945811935E-2</v>
      </c>
      <c r="N7623" s="1">
        <v>0.42972540760320421</v>
      </c>
      <c r="O7623" s="1">
        <v>9.2201481481481468E-2</v>
      </c>
      <c r="P7623" s="1">
        <v>5.5736314892942514E-2</v>
      </c>
      <c r="Q7623" s="1">
        <v>0.66082251953409676</v>
      </c>
      <c r="R7623" s="2">
        <f t="shared" si="475"/>
        <v>20.107443127050761</v>
      </c>
      <c r="S7623" s="2">
        <f t="shared" si="474"/>
        <v>1.23502214924611</v>
      </c>
      <c r="T7623" s="2">
        <f t="shared" si="476"/>
        <v>1.4808467616162955</v>
      </c>
      <c r="U7623" s="2">
        <f t="shared" si="477"/>
        <v>22.823312037913166</v>
      </c>
    </row>
    <row r="7624" spans="1:21" x14ac:dyDescent="0.25">
      <c r="A7624">
        <v>8795661</v>
      </c>
      <c r="B7624">
        <v>68</v>
      </c>
      <c r="C7624" s="1">
        <f>0.31219458977546*(10.3/7.3)</f>
        <v>0.44049373625852567</v>
      </c>
      <c r="D7624" s="1">
        <f>0.818173145891856*(10.3/7.3)</f>
        <v>1.1544086852994675</v>
      </c>
      <c r="E7624" s="1">
        <f>2.7767536891203*(10.3/7.3)</f>
        <v>3.9178853421834394</v>
      </c>
      <c r="F7624" s="1">
        <f>7.97659516683997*(38.9/42.5)</f>
        <v>7.3009306350605812</v>
      </c>
      <c r="G7624" s="1">
        <v>0.43269525135662773</v>
      </c>
      <c r="H7624" s="1">
        <v>1.5729759981283062</v>
      </c>
      <c r="I7624" s="1">
        <v>5.5326009774584932</v>
      </c>
      <c r="J7624" s="1">
        <v>1.104743058213903E-2</v>
      </c>
      <c r="K7624" s="1">
        <v>1.1738150124132878</v>
      </c>
      <c r="L7624" s="1">
        <v>0.87222822004111</v>
      </c>
      <c r="M7624" s="1">
        <v>9.0826110796185786E-2</v>
      </c>
      <c r="N7624" s="1">
        <v>0.4349936928786991</v>
      </c>
      <c r="O7624" s="1">
        <v>9.2454117647058812E-2</v>
      </c>
      <c r="P7624" s="1">
        <v>5.5955121110578883E-2</v>
      </c>
      <c r="Q7624" s="1">
        <v>0.69152209120922337</v>
      </c>
      <c r="R7624" s="2">
        <f t="shared" si="475"/>
        <v>21.043512716954663</v>
      </c>
      <c r="S7624" s="2">
        <f t="shared" si="474"/>
        <v>1.2408175641060057</v>
      </c>
      <c r="T7624" s="2">
        <f t="shared" si="476"/>
        <v>1.4905021413630537</v>
      </c>
      <c r="U7624" s="2">
        <f t="shared" si="477"/>
        <v>23.774832422423721</v>
      </c>
    </row>
    <row r="7625" spans="1:21" x14ac:dyDescent="0.25">
      <c r="A7625">
        <v>8795669</v>
      </c>
      <c r="B7625">
        <v>69</v>
      </c>
      <c r="C7625" s="1">
        <f>0.295220813986747*(10.3/7.3)</f>
        <v>0.41654443617308196</v>
      </c>
      <c r="D7625" s="1">
        <f>0.767012928992231*(10.3/7.3)</f>
        <v>1.0822237217287647</v>
      </c>
      <c r="E7625" s="1">
        <f>2.60484547764301*(10.3/7.3)</f>
        <v>3.6753299205100038</v>
      </c>
      <c r="F7625" s="1">
        <f>7.42000405579829*(38.9/42.5)</f>
        <v>6.7914860651894973</v>
      </c>
      <c r="G7625" s="1">
        <v>0.40043404996613646</v>
      </c>
      <c r="H7625" s="1">
        <v>1.4690500151951273</v>
      </c>
      <c r="I7625" s="1">
        <v>5.1400708496682279</v>
      </c>
      <c r="J7625" s="1">
        <v>1.0635313486788023E-2</v>
      </c>
      <c r="K7625" s="1">
        <v>1.1266297885102909</v>
      </c>
      <c r="L7625" s="1">
        <v>0.82798903894356524</v>
      </c>
      <c r="M7625" s="1">
        <v>8.6061722327907222E-2</v>
      </c>
      <c r="N7625" s="1">
        <v>0.41969030642193383</v>
      </c>
      <c r="O7625" s="1">
        <v>8.7805990338164233E-2</v>
      </c>
      <c r="P7625" s="1">
        <v>5.3824273588680596E-2</v>
      </c>
      <c r="Q7625" s="1">
        <v>0.63996309355318703</v>
      </c>
      <c r="R7625" s="2">
        <f t="shared" si="475"/>
        <v>19.615102151984029</v>
      </c>
      <c r="S7625" s="2">
        <f t="shared" ref="S7625:S7688" si="478">J7625+K7625+P7625</f>
        <v>1.1910893755857597</v>
      </c>
      <c r="T7625" s="2">
        <f t="shared" si="476"/>
        <v>1.4215470580315706</v>
      </c>
      <c r="U7625" s="2">
        <f t="shared" si="477"/>
        <v>22.227738585601358</v>
      </c>
    </row>
    <row r="7626" spans="1:21" x14ac:dyDescent="0.25">
      <c r="A7626">
        <v>8795677</v>
      </c>
      <c r="B7626">
        <v>68</v>
      </c>
      <c r="C7626" s="1">
        <f>0.276419785402711*(10.3/7.3)</f>
        <v>0.39001695748601756</v>
      </c>
      <c r="D7626" s="1">
        <f>0.722960634069426*(10.3/7.3)</f>
        <v>1.0200677439609709</v>
      </c>
      <c r="E7626" s="1">
        <f>2.45528891383855*(10.3/7.3)</f>
        <v>3.4643117551420604</v>
      </c>
      <c r="F7626" s="1">
        <f>6.97289927063336*(38.9/42.5)</f>
        <v>6.382253685356182</v>
      </c>
      <c r="G7626" s="1">
        <v>0.37580526460230934</v>
      </c>
      <c r="H7626" s="1">
        <v>1.4112557664057312</v>
      </c>
      <c r="I7626" s="1">
        <v>4.8218907825060882</v>
      </c>
      <c r="J7626" s="1">
        <v>1.0644201425092786E-2</v>
      </c>
      <c r="K7626" s="1">
        <v>1.1212347504682592</v>
      </c>
      <c r="L7626" s="1">
        <v>0.82558628645618959</v>
      </c>
      <c r="M7626" s="1">
        <v>8.6604760738164491E-2</v>
      </c>
      <c r="N7626" s="1">
        <v>0.419445880331416</v>
      </c>
      <c r="O7626" s="1">
        <v>8.7135686274509808E-2</v>
      </c>
      <c r="P7626" s="1">
        <v>5.3602814197792656E-2</v>
      </c>
      <c r="Q7626" s="1">
        <v>0.60060202105391991</v>
      </c>
      <c r="R7626" s="2">
        <f t="shared" ref="R7626:R7689" si="479">C7626+D7626+E7626+F7626+G7626+H7626+I7626+Q7626</f>
        <v>18.466203976513277</v>
      </c>
      <c r="S7626" s="2">
        <f t="shared" si="478"/>
        <v>1.1854817660911445</v>
      </c>
      <c r="T7626" s="2">
        <f t="shared" ref="T7626:T7689" si="480">L7626+M7626+N7626+O7626</f>
        <v>1.4187726138002799</v>
      </c>
      <c r="U7626" s="2">
        <f t="shared" ref="U7626:U7689" si="481">R7626+S7626+T7626</f>
        <v>21.0704583564047</v>
      </c>
    </row>
    <row r="7627" spans="1:21" x14ac:dyDescent="0.25">
      <c r="A7627">
        <v>8795709</v>
      </c>
      <c r="B7627">
        <v>7</v>
      </c>
      <c r="C7627" s="1">
        <f>0.404840862042749*(10.3/7.3)</f>
        <v>0.57121381904661783</v>
      </c>
      <c r="D7627" s="1">
        <f>1.24455631216904*(10.3/7.3)</f>
        <v>1.756017810320698</v>
      </c>
      <c r="E7627" s="1">
        <f>4.19903446294936*(10.3/7.3)</f>
        <v>5.9246650641614211</v>
      </c>
      <c r="F7627" s="1">
        <f>12.6306013718848*(38.9/42.5)</f>
        <v>11.560715138031014</v>
      </c>
      <c r="G7627" s="1">
        <v>0.70738021844563626</v>
      </c>
      <c r="H7627" s="1">
        <v>4.7147171401452468</v>
      </c>
      <c r="I7627" s="1">
        <v>8.710376165722538</v>
      </c>
      <c r="J7627" s="1">
        <v>1.3852241751422025E-2</v>
      </c>
      <c r="K7627" s="1">
        <v>1.3040114232229385</v>
      </c>
      <c r="L7627" s="1">
        <v>1.0063314670859127</v>
      </c>
      <c r="M7627" s="1">
        <v>0.10065112953009378</v>
      </c>
      <c r="N7627" s="1">
        <v>0.5096259926834299</v>
      </c>
      <c r="O7627" s="1">
        <v>0.10141714285714286</v>
      </c>
      <c r="P7627" s="1">
        <v>6.1251799702557973E-2</v>
      </c>
      <c r="Q7627" s="1">
        <v>1.1305163308491915</v>
      </c>
      <c r="R7627" s="2">
        <f t="shared" si="479"/>
        <v>35.075601686722358</v>
      </c>
      <c r="S7627" s="2">
        <f t="shared" si="478"/>
        <v>1.3791154646769184</v>
      </c>
      <c r="T7627" s="2">
        <f t="shared" si="480"/>
        <v>1.7180257321565793</v>
      </c>
      <c r="U7627" s="2">
        <f t="shared" si="481"/>
        <v>38.172742883555856</v>
      </c>
    </row>
    <row r="7628" spans="1:21" x14ac:dyDescent="0.25">
      <c r="A7628">
        <v>8796021</v>
      </c>
      <c r="B7628">
        <v>14</v>
      </c>
      <c r="C7628" s="1">
        <f>0.442303051410283*(10.3/7.3)</f>
        <v>0.62407142870218035</v>
      </c>
      <c r="D7628" s="1">
        <f>1.19705119579596*(10.3/7.3)</f>
        <v>1.6889900433833342</v>
      </c>
      <c r="E7628" s="1">
        <f>4.05202426490154*(10.3/7.3)</f>
        <v>5.7172397162309396</v>
      </c>
      <c r="F7628" s="1">
        <f>12.037838302804*(38.9/42.5)</f>
        <v>11.018162587742985</v>
      </c>
      <c r="G7628" s="1">
        <v>0.66598736297624428</v>
      </c>
      <c r="H7628" s="1">
        <v>3.3712506931826369</v>
      </c>
      <c r="I7628" s="1">
        <v>8.3944636035485001</v>
      </c>
      <c r="J7628" s="1">
        <v>1.3286683307781348E-2</v>
      </c>
      <c r="K7628" s="1">
        <v>1.075834133425295</v>
      </c>
      <c r="L7628" s="1">
        <v>0.86882534829646063</v>
      </c>
      <c r="M7628" s="1">
        <v>7.1430113820128691E-2</v>
      </c>
      <c r="N7628" s="1">
        <v>0.50176272970335267</v>
      </c>
      <c r="O7628" s="1">
        <v>6.7847619047619045E-2</v>
      </c>
      <c r="P7628" s="1">
        <v>4.7100577664506461E-2</v>
      </c>
      <c r="Q7628" s="1">
        <v>1.0643633654871494</v>
      </c>
      <c r="R7628" s="2">
        <f t="shared" si="479"/>
        <v>32.544528801253968</v>
      </c>
      <c r="S7628" s="2">
        <f t="shared" si="478"/>
        <v>1.1362213943975827</v>
      </c>
      <c r="T7628" s="2">
        <f t="shared" si="480"/>
        <v>1.5098658108675611</v>
      </c>
      <c r="U7628" s="2">
        <f t="shared" si="481"/>
        <v>35.190616006519107</v>
      </c>
    </row>
    <row r="7629" spans="1:21" x14ac:dyDescent="0.25">
      <c r="A7629">
        <v>8796029</v>
      </c>
      <c r="B7629">
        <v>32</v>
      </c>
      <c r="C7629" s="1">
        <f>0.454911476418124*(10.3/7.3)</f>
        <v>0.64186139823379096</v>
      </c>
      <c r="D7629" s="1">
        <f>1.25880371838502*(10.3/7.3)</f>
        <v>1.7761203149815987</v>
      </c>
      <c r="E7629" s="1">
        <f>4.26138995494728*(10.3/7.3)</f>
        <v>6.0126461008160206</v>
      </c>
      <c r="F7629" s="1">
        <f>12.5399582163817*(38.9/42.5)</f>
        <v>11.477749990994081</v>
      </c>
      <c r="G7629" s="1">
        <v>0.69106659745442434</v>
      </c>
      <c r="H7629" s="1">
        <v>3.465736983757151</v>
      </c>
      <c r="I7629" s="1">
        <v>8.6977498948157344</v>
      </c>
      <c r="J7629" s="1">
        <v>1.3350179821148297E-2</v>
      </c>
      <c r="K7629" s="1">
        <v>1.0786782147980727</v>
      </c>
      <c r="L7629" s="1">
        <v>0.86584273917440757</v>
      </c>
      <c r="M7629" s="1">
        <v>7.0800907034857447E-2</v>
      </c>
      <c r="N7629" s="1">
        <v>0.50265583801444702</v>
      </c>
      <c r="O7629" s="1">
        <v>6.6273333333333323E-2</v>
      </c>
      <c r="P7629" s="1">
        <v>4.6287327100189547E-2</v>
      </c>
      <c r="Q7629" s="1">
        <v>1.1044443338312728</v>
      </c>
      <c r="R7629" s="2">
        <f t="shared" si="479"/>
        <v>33.867375614884075</v>
      </c>
      <c r="S7629" s="2">
        <f t="shared" si="478"/>
        <v>1.1383157217194106</v>
      </c>
      <c r="T7629" s="2">
        <f t="shared" si="480"/>
        <v>1.5055728175570453</v>
      </c>
      <c r="U7629" s="2">
        <f t="shared" si="481"/>
        <v>36.511264154160529</v>
      </c>
    </row>
    <row r="7630" spans="1:21" x14ac:dyDescent="0.25">
      <c r="A7630">
        <v>8796037</v>
      </c>
      <c r="B7630">
        <v>50</v>
      </c>
      <c r="C7630" s="1">
        <f>0.444167057065934*(10.3/7.3)</f>
        <v>0.62670146407933147</v>
      </c>
      <c r="D7630" s="1">
        <f>1.23129198274018*(10.3/7.3)</f>
        <v>1.7373023866060013</v>
      </c>
      <c r="E7630" s="1">
        <f>4.1693772297679*(10.3/7.3)</f>
        <v>5.8828199269327879</v>
      </c>
      <c r="F7630" s="1">
        <f>12.2034379491558*(38.9/42.5)</f>
        <v>11.169734969933199</v>
      </c>
      <c r="G7630" s="1">
        <v>0.67066848797544909</v>
      </c>
      <c r="H7630" s="1">
        <v>3.2630295798106421</v>
      </c>
      <c r="I7630" s="1">
        <v>8.4495221883480802</v>
      </c>
      <c r="J7630" s="1">
        <v>1.3538365907780932E-2</v>
      </c>
      <c r="K7630" s="1">
        <v>1.0877867588489274</v>
      </c>
      <c r="L7630" s="1">
        <v>0.86485349920105692</v>
      </c>
      <c r="M7630" s="1">
        <v>7.076552952056972E-2</v>
      </c>
      <c r="N7630" s="1">
        <v>0.51100419354927196</v>
      </c>
      <c r="O7630" s="1">
        <v>6.4647466666666653E-2</v>
      </c>
      <c r="P7630" s="1">
        <v>4.6072752365824962E-2</v>
      </c>
      <c r="Q7630" s="1">
        <v>1.0718446154858783</v>
      </c>
      <c r="R7630" s="2">
        <f t="shared" si="479"/>
        <v>32.871623619171366</v>
      </c>
      <c r="S7630" s="2">
        <f t="shared" si="478"/>
        <v>1.1473978771225333</v>
      </c>
      <c r="T7630" s="2">
        <f t="shared" si="480"/>
        <v>1.5112706889375653</v>
      </c>
      <c r="U7630" s="2">
        <f t="shared" si="481"/>
        <v>35.530292185231467</v>
      </c>
    </row>
    <row r="7631" spans="1:21" x14ac:dyDescent="0.25">
      <c r="A7631">
        <v>8796045</v>
      </c>
      <c r="B7631">
        <v>55</v>
      </c>
      <c r="C7631" s="1">
        <f>0.45534167682986*(10.3/7.3)</f>
        <v>0.64246839333528205</v>
      </c>
      <c r="D7631" s="1">
        <f>1.26871020633095*(10.3/7.3)</f>
        <v>1.7900979623573663</v>
      </c>
      <c r="E7631" s="1">
        <f>4.2932095530316*(10.3/7.3)</f>
        <v>6.0575422460582846</v>
      </c>
      <c r="F7631" s="1">
        <f>12.6901514341499*(38.9/42.5)</f>
        <v>11.615220959727793</v>
      </c>
      <c r="G7631" s="1">
        <v>0.70122316095873793</v>
      </c>
      <c r="H7631" s="1">
        <v>3.7697495356155941</v>
      </c>
      <c r="I7631" s="1">
        <v>8.8057570563368106</v>
      </c>
      <c r="J7631" s="1">
        <v>1.4104409288993864E-2</v>
      </c>
      <c r="K7631" s="1">
        <v>1.1191870435447013</v>
      </c>
      <c r="L7631" s="1">
        <v>0.89215443932161864</v>
      </c>
      <c r="M7631" s="1">
        <v>7.1952188106724296E-2</v>
      </c>
      <c r="N7631" s="1">
        <v>0.53233598073519206</v>
      </c>
      <c r="O7631" s="1">
        <v>6.5738666666666667E-2</v>
      </c>
      <c r="P7631" s="1">
        <v>4.6884399605416689E-2</v>
      </c>
      <c r="Q7631" s="1">
        <v>1.1206762846372538</v>
      </c>
      <c r="R7631" s="2">
        <f t="shared" si="479"/>
        <v>34.502735599027126</v>
      </c>
      <c r="S7631" s="2">
        <f t="shared" si="478"/>
        <v>1.1801758524391119</v>
      </c>
      <c r="T7631" s="2">
        <f t="shared" si="480"/>
        <v>1.5621812748302017</v>
      </c>
      <c r="U7631" s="2">
        <f t="shared" si="481"/>
        <v>37.245092726296441</v>
      </c>
    </row>
    <row r="7632" spans="1:21" x14ac:dyDescent="0.25">
      <c r="A7632">
        <v>8796053</v>
      </c>
      <c r="B7632">
        <v>13</v>
      </c>
      <c r="C7632" s="1">
        <f>0.506719091696372*(10.3/7.3)</f>
        <v>0.71495981431131939</v>
      </c>
      <c r="D7632" s="1">
        <f>1.47731467255905*(10.3/7.3)</f>
        <v>2.0844302914189323</v>
      </c>
      <c r="E7632" s="1">
        <f>4.99852954695062*(10.3/7.3)</f>
        <v>7.0527197717248429</v>
      </c>
      <c r="F7632" s="1">
        <f>14.5684229663291*(38.9/42.5)</f>
        <v>13.334391844475341</v>
      </c>
      <c r="G7632" s="1">
        <v>0.8007834122865003</v>
      </c>
      <c r="H7632" s="1">
        <v>5.1254484583554341</v>
      </c>
      <c r="I7632" s="1">
        <v>10.013947512125045</v>
      </c>
      <c r="J7632" s="1">
        <v>1.5169779832344689E-2</v>
      </c>
      <c r="K7632" s="1">
        <v>1.1881065702119509</v>
      </c>
      <c r="L7632" s="1">
        <v>0.96426399279705932</v>
      </c>
      <c r="M7632" s="1">
        <v>7.5959183355524221E-2</v>
      </c>
      <c r="N7632" s="1">
        <v>0.56990484351724768</v>
      </c>
      <c r="O7632" s="1">
        <v>6.9702564102564091E-2</v>
      </c>
      <c r="P7632" s="1">
        <v>4.9312004578146544E-2</v>
      </c>
      <c r="Q7632" s="1">
        <v>1.2797908415537691</v>
      </c>
      <c r="R7632" s="2">
        <f t="shared" si="479"/>
        <v>40.40647194625118</v>
      </c>
      <c r="S7632" s="2">
        <f t="shared" si="478"/>
        <v>1.2525883546224421</v>
      </c>
      <c r="T7632" s="2">
        <f t="shared" si="480"/>
        <v>1.6798305837723952</v>
      </c>
      <c r="U7632" s="2">
        <f t="shared" si="481"/>
        <v>43.338890884646013</v>
      </c>
    </row>
    <row r="7633" spans="1:21" x14ac:dyDescent="0.25">
      <c r="A7633">
        <v>8807889</v>
      </c>
      <c r="B7633">
        <v>24</v>
      </c>
      <c r="C7633" s="1">
        <f>0.30373235318986*(10.3/7.3)</f>
        <v>0.42855386819939134</v>
      </c>
      <c r="D7633" s="1">
        <f>0.800494823975241*(10.3/7.3)</f>
        <v>1.1294652995815047</v>
      </c>
      <c r="E7633" s="1">
        <f>2.71590034311993*(10.3/7.3)</f>
        <v>3.8320237717993559</v>
      </c>
      <c r="F7633" s="1">
        <f>7.82845420010148*(38.9/42.5)</f>
        <v>7.165338079622293</v>
      </c>
      <c r="G7633" s="1">
        <v>0.42558538364577053</v>
      </c>
      <c r="H7633" s="1">
        <v>1.5574122329803453</v>
      </c>
      <c r="I7633" s="1">
        <v>5.4311317264370551</v>
      </c>
      <c r="J7633" s="1">
        <v>1.1181902701209709E-2</v>
      </c>
      <c r="K7633" s="1">
        <v>1.1918772890793379</v>
      </c>
      <c r="L7633" s="1">
        <v>0.89091354227748143</v>
      </c>
      <c r="M7633" s="1">
        <v>9.1495440368899728E-2</v>
      </c>
      <c r="N7633" s="1">
        <v>0.43850694125153727</v>
      </c>
      <c r="O7633" s="1">
        <v>9.352888888888887E-2</v>
      </c>
      <c r="P7633" s="1">
        <v>5.6819706832963786E-2</v>
      </c>
      <c r="Q7633" s="1">
        <v>0.68015928893159749</v>
      </c>
      <c r="R7633" s="2">
        <f t="shared" si="479"/>
        <v>20.649669651197314</v>
      </c>
      <c r="S7633" s="2">
        <f t="shared" si="478"/>
        <v>1.2598788986135114</v>
      </c>
      <c r="T7633" s="2">
        <f t="shared" si="480"/>
        <v>1.5144448127868071</v>
      </c>
      <c r="U7633" s="2">
        <f t="shared" si="481"/>
        <v>23.423993362597631</v>
      </c>
    </row>
    <row r="7634" spans="1:21" x14ac:dyDescent="0.25">
      <c r="A7634">
        <v>8807897</v>
      </c>
      <c r="B7634">
        <v>55</v>
      </c>
      <c r="C7634" s="1">
        <f>0.299709515420689*(10.3/7.3)</f>
        <v>0.42287780942919084</v>
      </c>
      <c r="D7634" s="1">
        <f>0.783746082755997*(10.3/7.3)</f>
        <v>1.1058335140255842</v>
      </c>
      <c r="E7634" s="1">
        <f>2.66033966160595*(10.3/7.3)</f>
        <v>3.7536299334988001</v>
      </c>
      <c r="F7634" s="1">
        <f>7.62685662862395*(38.9/42.5)</f>
        <v>6.9808170083169765</v>
      </c>
      <c r="G7634" s="1">
        <v>0.41321622776065997</v>
      </c>
      <c r="H7634" s="1">
        <v>1.5181236505540279</v>
      </c>
      <c r="I7634" s="1">
        <v>5.2885077813617007</v>
      </c>
      <c r="J7634" s="1">
        <v>1.1130772095935226E-2</v>
      </c>
      <c r="K7634" s="1">
        <v>1.1805573683982471</v>
      </c>
      <c r="L7634" s="1">
        <v>0.87942779982670294</v>
      </c>
      <c r="M7634" s="1">
        <v>9.1069340260052117E-2</v>
      </c>
      <c r="N7634" s="1">
        <v>0.43949804527628922</v>
      </c>
      <c r="O7634" s="1">
        <v>9.3004606060606093E-2</v>
      </c>
      <c r="P7634" s="1">
        <v>5.6326194678443263E-2</v>
      </c>
      <c r="Q7634" s="1">
        <v>0.66039123158096424</v>
      </c>
      <c r="R7634" s="2">
        <f t="shared" si="479"/>
        <v>20.143397156527904</v>
      </c>
      <c r="S7634" s="2">
        <f t="shared" si="478"/>
        <v>1.2480143351726256</v>
      </c>
      <c r="T7634" s="2">
        <f t="shared" si="480"/>
        <v>1.5029997914236504</v>
      </c>
      <c r="U7634" s="2">
        <f t="shared" si="481"/>
        <v>22.894411283124182</v>
      </c>
    </row>
    <row r="7635" spans="1:21" x14ac:dyDescent="0.25">
      <c r="A7635">
        <v>8807905</v>
      </c>
      <c r="B7635">
        <v>55</v>
      </c>
      <c r="C7635" s="1">
        <f>0.261272183567297*(10.3/7.3)</f>
        <v>0.36864431380043339</v>
      </c>
      <c r="D7635" s="1">
        <f>0.669165605396751*(10.3/7.3)</f>
        <v>0.94416516925842919</v>
      </c>
      <c r="E7635" s="1">
        <f>2.27413566250559*(10.3/7.3)</f>
        <v>3.208711962165419</v>
      </c>
      <c r="F7635" s="1">
        <f>6.43379710097744*(38.9/42.5)</f>
        <v>5.8888166406593516</v>
      </c>
      <c r="G7635" s="1">
        <v>0.34560090673267607</v>
      </c>
      <c r="H7635" s="1">
        <v>1.302287106278454</v>
      </c>
      <c r="I7635" s="1">
        <v>4.4567444006377128</v>
      </c>
      <c r="J7635" s="1">
        <v>1.0338913125679057E-2</v>
      </c>
      <c r="K7635" s="1">
        <v>1.096638674783639</v>
      </c>
      <c r="L7635" s="1">
        <v>0.80344693125136801</v>
      </c>
      <c r="M7635" s="1">
        <v>8.4332986023527151E-2</v>
      </c>
      <c r="N7635" s="1">
        <v>0.40715008169814387</v>
      </c>
      <c r="O7635" s="1">
        <v>8.5435151515151506E-2</v>
      </c>
      <c r="P7635" s="1">
        <v>5.2410808696837619E-2</v>
      </c>
      <c r="Q7635" s="1">
        <v>0.55233021623943734</v>
      </c>
      <c r="R7635" s="2">
        <f t="shared" si="479"/>
        <v>17.067300715771914</v>
      </c>
      <c r="S7635" s="2">
        <f t="shared" si="478"/>
        <v>1.1593883966061556</v>
      </c>
      <c r="T7635" s="2">
        <f t="shared" si="480"/>
        <v>1.3803651504881904</v>
      </c>
      <c r="U7635" s="2">
        <f t="shared" si="481"/>
        <v>19.60705426286626</v>
      </c>
    </row>
    <row r="7636" spans="1:21" x14ac:dyDescent="0.25">
      <c r="A7636">
        <v>8807913</v>
      </c>
      <c r="B7636">
        <v>13</v>
      </c>
      <c r="C7636" s="1">
        <f>0.15396735736205*(10.3/7.3)</f>
        <v>0.21724161381220777</v>
      </c>
      <c r="D7636" s="1">
        <f>0.341978389100079*(10.3/7.3)</f>
        <v>0.48251745311381083</v>
      </c>
      <c r="E7636" s="1">
        <f>1.16963102672041*(10.3/7.3)</f>
        <v>1.650301311673998</v>
      </c>
      <c r="F7636" s="1">
        <f>3.1336064904163*(38.9/42.5)</f>
        <v>2.8681715876986864</v>
      </c>
      <c r="G7636" s="1">
        <v>0.16146237935521934</v>
      </c>
      <c r="H7636" s="1">
        <v>0.75395977297012073</v>
      </c>
      <c r="I7636" s="1">
        <v>2.1832559292564753</v>
      </c>
      <c r="J7636" s="1">
        <v>9.774383054897022E-3</v>
      </c>
      <c r="K7636" s="1">
        <v>1.038709108146987</v>
      </c>
      <c r="L7636" s="1">
        <v>0.75895226437075536</v>
      </c>
      <c r="M7636" s="1">
        <v>8.0232279921144276E-2</v>
      </c>
      <c r="N7636" s="1">
        <v>0.39038405510448848</v>
      </c>
      <c r="O7636" s="1">
        <v>8.1017435897435902E-2</v>
      </c>
      <c r="P7636" s="1">
        <v>5.0231776107585654E-2</v>
      </c>
      <c r="Q7636" s="1">
        <v>0.25804489851290802</v>
      </c>
      <c r="R7636" s="2">
        <f t="shared" si="479"/>
        <v>8.5749549463934276</v>
      </c>
      <c r="S7636" s="2">
        <f t="shared" si="478"/>
        <v>1.0987152673094698</v>
      </c>
      <c r="T7636" s="2">
        <f t="shared" si="480"/>
        <v>1.3105860352938239</v>
      </c>
      <c r="U7636" s="2">
        <f t="shared" si="481"/>
        <v>10.98425624899672</v>
      </c>
    </row>
    <row r="7637" spans="1:21" x14ac:dyDescent="0.25">
      <c r="A7637">
        <v>8807937</v>
      </c>
      <c r="B7637">
        <v>28</v>
      </c>
      <c r="C7637" s="1">
        <f>0.498944413744194*(10.3/7.3)</f>
        <v>0.70399006322810875</v>
      </c>
      <c r="D7637" s="1">
        <f>1.59879382813554*(10.3/7.3)</f>
        <v>2.2558323876432951</v>
      </c>
      <c r="E7637" s="1">
        <f>5.3877661711201*(10.3/7.3)</f>
        <v>7.6019166524023287</v>
      </c>
      <c r="F7637" s="1">
        <f>16.3250934420493*(38.9/42.5)</f>
        <v>14.942261997546266</v>
      </c>
      <c r="G7637" s="1">
        <v>0.91921875168567779</v>
      </c>
      <c r="H7637" s="1">
        <v>4.5556764146314928</v>
      </c>
      <c r="I7637" s="1">
        <v>11.232881712568826</v>
      </c>
      <c r="J7637" s="1">
        <v>1.5633174985523111E-2</v>
      </c>
      <c r="K7637" s="1">
        <v>1.4764787681267031</v>
      </c>
      <c r="L7637" s="1">
        <v>1.1853954780913809</v>
      </c>
      <c r="M7637" s="1">
        <v>0.11603745381168694</v>
      </c>
      <c r="N7637" s="1">
        <v>0.57951890269885442</v>
      </c>
      <c r="O7637" s="1">
        <v>0.11787619047619048</v>
      </c>
      <c r="P7637" s="1">
        <v>6.8438917336326774E-2</v>
      </c>
      <c r="Q7637" s="1">
        <v>1.4690710643378426</v>
      </c>
      <c r="R7637" s="2">
        <f t="shared" si="479"/>
        <v>43.680849044043832</v>
      </c>
      <c r="S7637" s="2">
        <f t="shared" si="478"/>
        <v>1.560550860448553</v>
      </c>
      <c r="T7637" s="2">
        <f t="shared" si="480"/>
        <v>1.9988280250781127</v>
      </c>
      <c r="U7637" s="2">
        <f t="shared" si="481"/>
        <v>47.240227929570494</v>
      </c>
    </row>
    <row r="7638" spans="1:21" x14ac:dyDescent="0.25">
      <c r="A7638">
        <v>8807953</v>
      </c>
      <c r="B7638">
        <v>19</v>
      </c>
      <c r="C7638" s="1">
        <f>0.346048499351675*(10.3/7.3)</f>
        <v>0.48826021141400766</v>
      </c>
      <c r="D7638" s="1">
        <f>1.23816247638219*(10.3/7.3)</f>
        <v>1.746996370785836</v>
      </c>
      <c r="E7638" s="1">
        <f>4.10788181003452*(10.3/7.3)</f>
        <v>5.7960524168980161</v>
      </c>
      <c r="F7638" s="1">
        <f>15.3677175023608*(38.9/42.5)</f>
        <v>14.065981431572569</v>
      </c>
      <c r="G7638" s="1">
        <v>0.94983693623352095</v>
      </c>
      <c r="H7638" s="1">
        <v>8.8077002942776055</v>
      </c>
      <c r="I7638" s="1">
        <v>11.069866956686994</v>
      </c>
      <c r="J7638" s="1">
        <v>1.3462568889086198E-2</v>
      </c>
      <c r="K7638" s="1">
        <v>1.2557310858411326</v>
      </c>
      <c r="L7638" s="1">
        <v>0.96607668115619783</v>
      </c>
      <c r="M7638" s="1">
        <v>9.6113608707775022E-2</v>
      </c>
      <c r="N7638" s="1">
        <v>0.54951139622583745</v>
      </c>
      <c r="O7638" s="1">
        <v>9.7114385964912259E-2</v>
      </c>
      <c r="P7638" s="1">
        <v>5.8779038289421909E-2</v>
      </c>
      <c r="Q7638" s="1">
        <v>1.5180042359896471</v>
      </c>
      <c r="R7638" s="2">
        <f t="shared" si="479"/>
        <v>44.442698853858197</v>
      </c>
      <c r="S7638" s="2">
        <f t="shared" si="478"/>
        <v>1.3279726930196407</v>
      </c>
      <c r="T7638" s="2">
        <f t="shared" si="480"/>
        <v>1.7088160720547225</v>
      </c>
      <c r="U7638" s="2">
        <f t="shared" si="481"/>
        <v>47.479487618932559</v>
      </c>
    </row>
    <row r="7639" spans="1:21" x14ac:dyDescent="0.25">
      <c r="A7639">
        <v>8808265</v>
      </c>
      <c r="B7639">
        <v>10</v>
      </c>
      <c r="C7639" s="1">
        <f>0.450029912461485*(10.3/7.3)</f>
        <v>0.63497371210319109</v>
      </c>
      <c r="D7639" s="1">
        <f>1.26161961420879*(10.3/7.3)</f>
        <v>1.7800934282671912</v>
      </c>
      <c r="E7639" s="1">
        <f>4.2705164611435*(10.3/7.3)</f>
        <v>6.0255232259969933</v>
      </c>
      <c r="F7639" s="1">
        <f>12.528327602868*(38.9/42.5)</f>
        <v>11.467104558860376</v>
      </c>
      <c r="G7639" s="1">
        <v>0.68974552849283655</v>
      </c>
      <c r="H7639" s="1">
        <v>3.37752738531425</v>
      </c>
      <c r="I7639" s="1">
        <v>8.6684096796722514</v>
      </c>
      <c r="J7639" s="1">
        <v>1.3236249800266983E-2</v>
      </c>
      <c r="K7639" s="1">
        <v>1.0721637947578209</v>
      </c>
      <c r="L7639" s="1">
        <v>0.86075880544064398</v>
      </c>
      <c r="M7639" s="1">
        <v>7.0537609812810986E-2</v>
      </c>
      <c r="N7639" s="1">
        <v>0.49711606129178687</v>
      </c>
      <c r="O7639" s="1">
        <v>6.4986666666666665E-2</v>
      </c>
      <c r="P7639" s="1">
        <v>4.6027488821710955E-2</v>
      </c>
      <c r="Q7639" s="1">
        <v>1.1023330364040778</v>
      </c>
      <c r="R7639" s="2">
        <f t="shared" si="479"/>
        <v>33.74571055511116</v>
      </c>
      <c r="S7639" s="2">
        <f t="shared" si="478"/>
        <v>1.1314275333797987</v>
      </c>
      <c r="T7639" s="2">
        <f t="shared" si="480"/>
        <v>1.4933991432119085</v>
      </c>
      <c r="U7639" s="2">
        <f t="shared" si="481"/>
        <v>36.370537231702869</v>
      </c>
    </row>
    <row r="7640" spans="1:21" x14ac:dyDescent="0.25">
      <c r="A7640">
        <v>8808273</v>
      </c>
      <c r="B7640">
        <v>41</v>
      </c>
      <c r="C7640" s="1">
        <f>0.439889014483927*(10.3/7.3)</f>
        <v>0.62066532180608913</v>
      </c>
      <c r="D7640" s="1">
        <f>1.22153652164001*(10.3/7.3)</f>
        <v>1.7235378319030337</v>
      </c>
      <c r="E7640" s="1">
        <f>4.13442667546053*(10.3/7.3)</f>
        <v>5.8335061311292344</v>
      </c>
      <c r="F7640" s="1">
        <f>12.1920250214423*(38.9/42.5)</f>
        <v>11.159288784331885</v>
      </c>
      <c r="G7640" s="1">
        <v>0.6727549820362615</v>
      </c>
      <c r="H7640" s="1">
        <v>3.3304928076666318</v>
      </c>
      <c r="I7640" s="1">
        <v>8.4578738594712615</v>
      </c>
      <c r="J7640" s="1">
        <v>1.3399002537549946E-2</v>
      </c>
      <c r="K7640" s="1">
        <v>1.0792273445378109</v>
      </c>
      <c r="L7640" s="1">
        <v>0.86288793478357673</v>
      </c>
      <c r="M7640" s="1">
        <v>7.0534734771676169E-2</v>
      </c>
      <c r="N7640" s="1">
        <v>0.5041997638188217</v>
      </c>
      <c r="O7640" s="1">
        <v>6.4630894308943102E-2</v>
      </c>
      <c r="P7640" s="1">
        <v>4.5974351243167413E-2</v>
      </c>
      <c r="Q7640" s="1">
        <v>1.0751791950351224</v>
      </c>
      <c r="R7640" s="2">
        <f t="shared" si="479"/>
        <v>32.873298913379514</v>
      </c>
      <c r="S7640" s="2">
        <f t="shared" si="478"/>
        <v>1.1386006983185282</v>
      </c>
      <c r="T7640" s="2">
        <f t="shared" si="480"/>
        <v>1.5022533276830177</v>
      </c>
      <c r="U7640" s="2">
        <f t="shared" si="481"/>
        <v>35.514152939381056</v>
      </c>
    </row>
    <row r="7641" spans="1:21" x14ac:dyDescent="0.25">
      <c r="A7641">
        <v>8808281</v>
      </c>
      <c r="B7641">
        <v>66</v>
      </c>
      <c r="C7641" s="1">
        <f>0.459031307294328*(10.3/7.3)</f>
        <v>0.64767431029199718</v>
      </c>
      <c r="D7641" s="1">
        <f>1.27593039020613*(10.3/7.3)</f>
        <v>1.8002853450853549</v>
      </c>
      <c r="E7641" s="1">
        <f>4.32046919434637*(10.3/7.3)</f>
        <v>6.0960044796941988</v>
      </c>
      <c r="F7641" s="1">
        <f>12.6363852026381*(38.9/42.5)</f>
        <v>11.566009044296958</v>
      </c>
      <c r="G7641" s="1">
        <v>0.69428280395420183</v>
      </c>
      <c r="H7641" s="1">
        <v>3.554467749482964</v>
      </c>
      <c r="I7641" s="1">
        <v>8.7445752288882073</v>
      </c>
      <c r="J7641" s="1">
        <v>1.3814199868386534E-2</v>
      </c>
      <c r="K7641" s="1">
        <v>1.0989718007092812</v>
      </c>
      <c r="L7641" s="1">
        <v>0.87624699045237198</v>
      </c>
      <c r="M7641" s="1">
        <v>7.0821835527171181E-2</v>
      </c>
      <c r="N7641" s="1">
        <v>0.51962885377500334</v>
      </c>
      <c r="O7641" s="1">
        <v>6.478949494949493E-2</v>
      </c>
      <c r="P7641" s="1">
        <v>4.6299063198889372E-2</v>
      </c>
      <c r="Q7641" s="1">
        <v>1.1095843898811455</v>
      </c>
      <c r="R7641" s="2">
        <f t="shared" si="479"/>
        <v>34.212883351575023</v>
      </c>
      <c r="S7641" s="2">
        <f t="shared" si="478"/>
        <v>1.1590850637765571</v>
      </c>
      <c r="T7641" s="2">
        <f t="shared" si="480"/>
        <v>1.5314871747040413</v>
      </c>
      <c r="U7641" s="2">
        <f t="shared" si="481"/>
        <v>36.903455590055621</v>
      </c>
    </row>
    <row r="7642" spans="1:21" x14ac:dyDescent="0.25">
      <c r="A7642">
        <v>8808289</v>
      </c>
      <c r="B7642">
        <v>24</v>
      </c>
      <c r="C7642" s="1">
        <f>0.477070607042301*(10.3/7.3)</f>
        <v>0.67312702089530185</v>
      </c>
      <c r="D7642" s="1">
        <f>1.37510085789846*(10.3/7.3)</f>
        <v>1.9402107995005724</v>
      </c>
      <c r="E7642" s="1">
        <f>4.65854748933829*(10.3/7.3)</f>
        <v>6.5730190602992273</v>
      </c>
      <c r="F7642" s="1">
        <f>13.3308125860767*(38.9/42.5)</f>
        <v>12.201614343491382</v>
      </c>
      <c r="G7642" s="1">
        <v>0.72513944716928902</v>
      </c>
      <c r="H7642" s="1">
        <v>4.7809871082932425</v>
      </c>
      <c r="I7642" s="1">
        <v>9.1257339917164035</v>
      </c>
      <c r="J7642" s="1">
        <v>1.4632334556454447E-2</v>
      </c>
      <c r="K7642" s="1">
        <v>1.1510542481795791</v>
      </c>
      <c r="L7642" s="1">
        <v>0.92649640886924634</v>
      </c>
      <c r="M7642" s="1">
        <v>7.3506279797797405E-2</v>
      </c>
      <c r="N7642" s="1">
        <v>0.55179997771817957</v>
      </c>
      <c r="O7642" s="1">
        <v>6.7295555555555553E-2</v>
      </c>
      <c r="P7642" s="1">
        <v>4.7837319542076907E-2</v>
      </c>
      <c r="Q7642" s="1">
        <v>1.1588986598595954</v>
      </c>
      <c r="R7642" s="2">
        <f t="shared" si="479"/>
        <v>37.178730431225013</v>
      </c>
      <c r="S7642" s="2">
        <f t="shared" si="478"/>
        <v>1.2135239022781106</v>
      </c>
      <c r="T7642" s="2">
        <f t="shared" si="480"/>
        <v>1.6190982219407788</v>
      </c>
      <c r="U7642" s="2">
        <f t="shared" si="481"/>
        <v>40.011352555443906</v>
      </c>
    </row>
    <row r="7643" spans="1:21" x14ac:dyDescent="0.25">
      <c r="A7643">
        <v>881657</v>
      </c>
      <c r="B7643">
        <v>37</v>
      </c>
      <c r="C7643" s="1">
        <f>2.86769024404999*(10.3/7.3)</f>
        <v>4.0461930840705351</v>
      </c>
      <c r="D7643" s="1">
        <f>3.090145192428*(10.3/7.3)</f>
        <v>4.3600678742477195</v>
      </c>
      <c r="E7643" s="1">
        <f>11.0328526609083*(10.3/7.3)</f>
        <v>15.56690169963772</v>
      </c>
      <c r="F7643" s="1">
        <f>20.6834992862068*(38.9/42.5)</f>
        <v>18.931485229022261</v>
      </c>
      <c r="G7643" s="1">
        <v>0.66676266213516822</v>
      </c>
      <c r="H7643" s="1">
        <v>3.198803129141417</v>
      </c>
      <c r="I7643" s="1">
        <v>16.088315852972418</v>
      </c>
      <c r="J7643" s="1">
        <v>3.5665618434794551E-2</v>
      </c>
      <c r="K7643" s="1">
        <v>7.5952606776120257</v>
      </c>
      <c r="L7643" s="1">
        <v>5.1709638253960089</v>
      </c>
      <c r="M7643" s="1">
        <v>0.21256798747939354</v>
      </c>
      <c r="N7643" s="1">
        <v>1.327866666453096</v>
      </c>
      <c r="O7643" s="1">
        <v>8.2624864864864853E-2</v>
      </c>
      <c r="P7643" s="1">
        <v>6.9266045865152837E-2</v>
      </c>
      <c r="Q7643" s="1">
        <v>1.0656024280699046</v>
      </c>
      <c r="R7643" s="2">
        <f t="shared" si="479"/>
        <v>63.924131959297149</v>
      </c>
      <c r="S7643" s="2">
        <f t="shared" si="478"/>
        <v>7.7001923419119738</v>
      </c>
      <c r="T7643" s="2">
        <f t="shared" si="480"/>
        <v>6.7940233441933628</v>
      </c>
      <c r="U7643" s="2">
        <f t="shared" si="481"/>
        <v>78.418347645402491</v>
      </c>
    </row>
    <row r="7644" spans="1:21" x14ac:dyDescent="0.25">
      <c r="A7644">
        <v>8820125</v>
      </c>
      <c r="B7644">
        <v>23</v>
      </c>
      <c r="C7644" s="1">
        <f>0.196569128562082*(10.3/7.3)</f>
        <v>0.27735096221773148</v>
      </c>
      <c r="D7644" s="1">
        <f>0.463623148369542*(10.3/7.3)</f>
        <v>0.65415320934332688</v>
      </c>
      <c r="E7644" s="1">
        <f>1.58043644994709*(10.3/7.3)</f>
        <v>2.2299308814321908</v>
      </c>
      <c r="F7644" s="1">
        <f>4.37995928462689*(38.9/42.5)</f>
        <v>4.0089509687526119</v>
      </c>
      <c r="G7644" s="1">
        <v>0.23133908888185531</v>
      </c>
      <c r="H7644" s="1">
        <v>0.93489205356558169</v>
      </c>
      <c r="I7644" s="1">
        <v>3.0519604130230946</v>
      </c>
      <c r="J7644" s="1">
        <v>9.6431417560784438E-3</v>
      </c>
      <c r="K7644" s="1">
        <v>1.0394890113066015</v>
      </c>
      <c r="L7644" s="1">
        <v>0.75575670810019102</v>
      </c>
      <c r="M7644" s="1">
        <v>8.0522040357401084E-2</v>
      </c>
      <c r="N7644" s="1">
        <v>0.38074842666896874</v>
      </c>
      <c r="O7644" s="1">
        <v>8.1620869565217358E-2</v>
      </c>
      <c r="P7644" s="1">
        <v>5.0167369186530829E-2</v>
      </c>
      <c r="Q7644" s="1">
        <v>0.36972000506232622</v>
      </c>
      <c r="R7644" s="2">
        <f t="shared" si="479"/>
        <v>11.758297582278718</v>
      </c>
      <c r="S7644" s="2">
        <f t="shared" si="478"/>
        <v>1.0992995222492108</v>
      </c>
      <c r="T7644" s="2">
        <f t="shared" si="480"/>
        <v>1.2986480446917783</v>
      </c>
      <c r="U7644" s="2">
        <f t="shared" si="481"/>
        <v>14.156245149219707</v>
      </c>
    </row>
    <row r="7645" spans="1:21" x14ac:dyDescent="0.25">
      <c r="A7645">
        <v>8820133</v>
      </c>
      <c r="B7645">
        <v>54</v>
      </c>
      <c r="C7645" s="1">
        <f>0.196890391631337*(10.3/7.3)</f>
        <v>0.277804251205859</v>
      </c>
      <c r="D7645" s="1">
        <f>0.467314964638293*(10.3/7.3)</f>
        <v>0.65936221038005716</v>
      </c>
      <c r="E7645" s="1">
        <f>1.59271908962375*(10.3/7.3)</f>
        <v>2.2472611812499528</v>
      </c>
      <c r="F7645" s="1">
        <f>4.41697240190104*(38.9/42.5)</f>
        <v>4.0428288572694244</v>
      </c>
      <c r="G7645" s="1">
        <v>0.23347955384458349</v>
      </c>
      <c r="H7645" s="1">
        <v>0.95477665268990553</v>
      </c>
      <c r="I7645" s="1">
        <v>3.0754533327086579</v>
      </c>
      <c r="J7645" s="1">
        <v>1.0015846735371895E-2</v>
      </c>
      <c r="K7645" s="1">
        <v>1.0712345116670863</v>
      </c>
      <c r="L7645" s="1">
        <v>0.78508452779539806</v>
      </c>
      <c r="M7645" s="1">
        <v>8.2338496131789368E-2</v>
      </c>
      <c r="N7645" s="1">
        <v>0.39804494930516254</v>
      </c>
      <c r="O7645" s="1">
        <v>8.4134320987654318E-2</v>
      </c>
      <c r="P7645" s="1">
        <v>5.1594049729491637E-2</v>
      </c>
      <c r="Q7645" s="1">
        <v>0.37314083947764526</v>
      </c>
      <c r="R7645" s="2">
        <f t="shared" si="479"/>
        <v>11.864106878826085</v>
      </c>
      <c r="S7645" s="2">
        <f t="shared" si="478"/>
        <v>1.1328444081319498</v>
      </c>
      <c r="T7645" s="2">
        <f t="shared" si="480"/>
        <v>1.3496022942200043</v>
      </c>
      <c r="U7645" s="2">
        <f t="shared" si="481"/>
        <v>14.346553581178039</v>
      </c>
    </row>
    <row r="7646" spans="1:21" x14ac:dyDescent="0.25">
      <c r="A7646">
        <v>8820141</v>
      </c>
      <c r="B7646">
        <v>40</v>
      </c>
      <c r="C7646" s="1">
        <f>0.149452030381188*(10.3/7.3)</f>
        <v>0.21087067300359383</v>
      </c>
      <c r="D7646" s="1">
        <f>0.325141628914068*(10.3/7.3)</f>
        <v>0.45876147641300064</v>
      </c>
      <c r="E7646" s="1">
        <f>1.11267206933868*(10.3/7.3)</f>
        <v>1.5699345635874533</v>
      </c>
      <c r="F7646" s="1">
        <f>2.97983054090902*(38.9/42.5)</f>
        <v>2.727421365679076</v>
      </c>
      <c r="G7646" s="1">
        <v>0.15327350565298739</v>
      </c>
      <c r="H7646" s="1">
        <v>0.71839092806515459</v>
      </c>
      <c r="I7646" s="1">
        <v>2.0829643179107888</v>
      </c>
      <c r="J7646" s="1">
        <v>9.6265563640013201E-3</v>
      </c>
      <c r="K7646" s="1">
        <v>1.0277740150840962</v>
      </c>
      <c r="L7646" s="1">
        <v>0.74882325917537806</v>
      </c>
      <c r="M7646" s="1">
        <v>7.9555308682443746E-2</v>
      </c>
      <c r="N7646" s="1">
        <v>0.38477383198383175</v>
      </c>
      <c r="O7646" s="1">
        <v>8.0522666666666617E-2</v>
      </c>
      <c r="P7646" s="1">
        <v>4.9625705051131147E-2</v>
      </c>
      <c r="Q7646" s="1">
        <v>0.24495765743628142</v>
      </c>
      <c r="R7646" s="2">
        <f t="shared" si="479"/>
        <v>8.1665744877483366</v>
      </c>
      <c r="S7646" s="2">
        <f t="shared" si="478"/>
        <v>1.0870262764992284</v>
      </c>
      <c r="T7646" s="2">
        <f t="shared" si="480"/>
        <v>1.2936750665083201</v>
      </c>
      <c r="U7646" s="2">
        <f t="shared" si="481"/>
        <v>10.547275830755886</v>
      </c>
    </row>
    <row r="7647" spans="1:21" x14ac:dyDescent="0.25">
      <c r="A7647">
        <v>8820165</v>
      </c>
      <c r="B7647">
        <v>1</v>
      </c>
      <c r="C7647" s="1">
        <f>0.266855510531193*(10.3/7.3)</f>
        <v>0.37652215869469691</v>
      </c>
      <c r="D7647" s="1">
        <f>0.733543210833505*(10.3/7.3)</f>
        <v>1.0349993248746721</v>
      </c>
      <c r="E7647" s="1">
        <f>2.48700032207837*(10.3/7.3)</f>
        <v>3.5090552489598861</v>
      </c>
      <c r="F7647" s="1">
        <f>7.14297708431779*(38.9/42.5)</f>
        <v>6.5379249077638111</v>
      </c>
      <c r="G7647" s="1">
        <v>0.38840768657448371</v>
      </c>
      <c r="H7647" s="1">
        <v>1.5552568194616532</v>
      </c>
      <c r="I7647" s="1">
        <v>4.9239083685004426</v>
      </c>
      <c r="J7647" s="1">
        <v>1.0938979286108956E-2</v>
      </c>
      <c r="K7647" s="1">
        <v>1.1066011735571621</v>
      </c>
      <c r="L7647" s="1">
        <v>0.82203991813114141</v>
      </c>
      <c r="M7647" s="1">
        <v>8.6098890763747354E-2</v>
      </c>
      <c r="N7647" s="1">
        <v>0.42120979747747822</v>
      </c>
      <c r="O7647" s="1">
        <v>8.501333333333333E-2</v>
      </c>
      <c r="P7647" s="1">
        <v>5.2675081971502932E-2</v>
      </c>
      <c r="Q7647" s="1">
        <v>0.62074287808707507</v>
      </c>
      <c r="R7647" s="2">
        <f t="shared" si="479"/>
        <v>18.946817392916721</v>
      </c>
      <c r="S7647" s="2">
        <f t="shared" si="478"/>
        <v>1.1702152348147741</v>
      </c>
      <c r="T7647" s="2">
        <f t="shared" si="480"/>
        <v>1.4143619397057003</v>
      </c>
      <c r="U7647" s="2">
        <f t="shared" si="481"/>
        <v>21.531394567437193</v>
      </c>
    </row>
    <row r="7648" spans="1:21" x14ac:dyDescent="0.25">
      <c r="A7648">
        <v>8820173</v>
      </c>
      <c r="B7648">
        <v>11</v>
      </c>
      <c r="C7648" s="1">
        <f>0.572345326318394*(10.3/7.3)</f>
        <v>0.80755573439444694</v>
      </c>
      <c r="D7648" s="1">
        <f>1.87008582050274*(10.3/7.3)</f>
        <v>2.6386142398874237</v>
      </c>
      <c r="E7648" s="1">
        <f>6.29592621195579*(10.3/7.3)</f>
        <v>8.8832931483759783</v>
      </c>
      <c r="F7648" s="1">
        <f>19.2758832646599*(38.9/42.5)</f>
        <v>17.643102564594603</v>
      </c>
      <c r="G7648" s="1">
        <v>1.091765041451416</v>
      </c>
      <c r="H7648" s="1">
        <v>6.1162848688390845</v>
      </c>
      <c r="I7648" s="1">
        <v>13.277214945174252</v>
      </c>
      <c r="J7648" s="1">
        <v>1.7657128071173967E-2</v>
      </c>
      <c r="K7648" s="1">
        <v>1.6033307416728901</v>
      </c>
      <c r="L7648" s="1">
        <v>1.3145000276592604</v>
      </c>
      <c r="M7648" s="1">
        <v>0.12662497961236729</v>
      </c>
      <c r="N7648" s="1">
        <v>0.64862436437752546</v>
      </c>
      <c r="O7648" s="1">
        <v>0.12968242424242424</v>
      </c>
      <c r="P7648" s="1">
        <v>7.3869810328795124E-2</v>
      </c>
      <c r="Q7648" s="1">
        <v>1.7448299749223564</v>
      </c>
      <c r="R7648" s="2">
        <f t="shared" si="479"/>
        <v>52.202660517639558</v>
      </c>
      <c r="S7648" s="2">
        <f t="shared" si="478"/>
        <v>1.6948576800728592</v>
      </c>
      <c r="T7648" s="2">
        <f t="shared" si="480"/>
        <v>2.2194317958915772</v>
      </c>
      <c r="U7648" s="2">
        <f t="shared" si="481"/>
        <v>56.116949993603995</v>
      </c>
    </row>
    <row r="7649" spans="1:21" x14ac:dyDescent="0.25">
      <c r="A7649">
        <v>8820181</v>
      </c>
      <c r="B7649">
        <v>45</v>
      </c>
      <c r="C7649" s="1">
        <f>0.340573128312692*(10.3/7.3)</f>
        <v>0.48053468789325054</v>
      </c>
      <c r="D7649" s="1">
        <f>1.05044790923252*(10.3/7.3)</f>
        <v>1.4821388308349306</v>
      </c>
      <c r="E7649" s="1">
        <f>3.53195182134618*(10.3/7.3)</f>
        <v>4.983438871214469</v>
      </c>
      <c r="F7649" s="1">
        <f>11.2395333233062*(38.9/42.5)</f>
        <v>10.287478735920239</v>
      </c>
      <c r="G7649" s="1">
        <v>0.64691696452663539</v>
      </c>
      <c r="H7649" s="1">
        <v>5.7286599161394358</v>
      </c>
      <c r="I7649" s="1">
        <v>7.8718565714152877</v>
      </c>
      <c r="J7649" s="1">
        <v>1.334685597820514E-2</v>
      </c>
      <c r="K7649" s="1">
        <v>1.2255173775996424</v>
      </c>
      <c r="L7649" s="1">
        <v>0.93325094713268342</v>
      </c>
      <c r="M7649" s="1">
        <v>9.3969910472118334E-2</v>
      </c>
      <c r="N7649" s="1">
        <v>0.5254041896842786</v>
      </c>
      <c r="O7649" s="1">
        <v>9.4026666666666647E-2</v>
      </c>
      <c r="P7649" s="1">
        <v>5.7418528238264731E-2</v>
      </c>
      <c r="Q7649" s="1">
        <v>1.0338855597457655</v>
      </c>
      <c r="R7649" s="2">
        <f t="shared" si="479"/>
        <v>32.514910137690009</v>
      </c>
      <c r="S7649" s="2">
        <f t="shared" si="478"/>
        <v>1.2962827618161121</v>
      </c>
      <c r="T7649" s="2">
        <f t="shared" si="480"/>
        <v>1.6466517139557468</v>
      </c>
      <c r="U7649" s="2">
        <f t="shared" si="481"/>
        <v>35.457844613461873</v>
      </c>
    </row>
    <row r="7650" spans="1:21" x14ac:dyDescent="0.25">
      <c r="A7650">
        <v>8820189</v>
      </c>
      <c r="B7650">
        <v>11</v>
      </c>
      <c r="C7650" s="1">
        <f>0.340148444644794*(10.3/7.3)</f>
        <v>0.47993547669059999</v>
      </c>
      <c r="D7650" s="1">
        <f>1.25092037067455*(10.3/7.3)</f>
        <v>1.7649972353353223</v>
      </c>
      <c r="E7650" s="1">
        <f>4.13825077825311*(10.3/7.3)</f>
        <v>5.8389017830146637</v>
      </c>
      <c r="F7650" s="1">
        <f>16.0104505115091*(38.9/42.5)</f>
        <v>14.654271174063609</v>
      </c>
      <c r="G7650" s="1">
        <v>1.002134749338585</v>
      </c>
      <c r="H7650" s="1">
        <v>8.9412761974940516</v>
      </c>
      <c r="I7650" s="1">
        <v>11.600297549001914</v>
      </c>
      <c r="J7650" s="1">
        <v>1.3155474630561392E-2</v>
      </c>
      <c r="K7650" s="1">
        <v>1.2378948608236731</v>
      </c>
      <c r="L7650" s="1">
        <v>0.94912364104462876</v>
      </c>
      <c r="M7650" s="1">
        <v>9.4532404189546865E-2</v>
      </c>
      <c r="N7650" s="1">
        <v>0.53665372140639467</v>
      </c>
      <c r="O7650" s="1">
        <v>9.5233939393939385E-2</v>
      </c>
      <c r="P7650" s="1">
        <v>5.8039102627374481E-2</v>
      </c>
      <c r="Q7650" s="1">
        <v>1.6015852158379227</v>
      </c>
      <c r="R7650" s="2">
        <f t="shared" si="479"/>
        <v>45.883399380776666</v>
      </c>
      <c r="S7650" s="2">
        <f t="shared" si="478"/>
        <v>1.3090894380816089</v>
      </c>
      <c r="T7650" s="2">
        <f t="shared" si="480"/>
        <v>1.6755437060345097</v>
      </c>
      <c r="U7650" s="2">
        <f t="shared" si="481"/>
        <v>48.868032524892783</v>
      </c>
    </row>
    <row r="7651" spans="1:21" x14ac:dyDescent="0.25">
      <c r="A7651">
        <v>8820197</v>
      </c>
      <c r="B7651">
        <v>11</v>
      </c>
      <c r="C7651" s="1">
        <f>0.534797271444467*(10.3/7.3)</f>
        <v>0.75457697203808327</v>
      </c>
      <c r="D7651" s="1">
        <f>2.11635403625457*(10.3/7.3)</f>
        <v>2.9860885717016492</v>
      </c>
      <c r="E7651" s="1">
        <f>7.03101706615083*(10.3/7.3)</f>
        <v>9.9204761344320005</v>
      </c>
      <c r="F7651" s="1">
        <f>25.2347508550335*(38.9/42.5)</f>
        <v>23.097219017901271</v>
      </c>
      <c r="G7651" s="1">
        <v>1.5399750265288672</v>
      </c>
      <c r="H7651" s="1">
        <v>12.218828022210705</v>
      </c>
      <c r="I7651" s="1">
        <v>17.86443527249445</v>
      </c>
      <c r="J7651" s="1">
        <v>1.7137914229608885E-2</v>
      </c>
      <c r="K7651" s="1">
        <v>1.5081979628617288</v>
      </c>
      <c r="L7651" s="1">
        <v>1.2488298710467642</v>
      </c>
      <c r="M7651" s="1">
        <v>0.11909757262597011</v>
      </c>
      <c r="N7651" s="1">
        <v>0.67977972853676427</v>
      </c>
      <c r="O7651" s="1">
        <v>0.11997575757575757</v>
      </c>
      <c r="P7651" s="1">
        <v>6.8929248598513848E-2</v>
      </c>
      <c r="Q7651" s="1">
        <v>2.4611473026717081</v>
      </c>
      <c r="R7651" s="2">
        <f t="shared" si="479"/>
        <v>70.84274631997873</v>
      </c>
      <c r="S7651" s="2">
        <f t="shared" si="478"/>
        <v>1.5942651256898515</v>
      </c>
      <c r="T7651" s="2">
        <f t="shared" si="480"/>
        <v>2.167682929785256</v>
      </c>
      <c r="U7651" s="2">
        <f t="shared" si="481"/>
        <v>74.604694375453846</v>
      </c>
    </row>
    <row r="7652" spans="1:21" x14ac:dyDescent="0.25">
      <c r="A7652">
        <v>8820213</v>
      </c>
      <c r="B7652">
        <v>18</v>
      </c>
      <c r="C7652" s="1">
        <f>0.379151672715754*(10.3/7.3)</f>
        <v>0.53496742862633762</v>
      </c>
      <c r="D7652" s="1">
        <f>1.43335439695226*(10.3/7.3)</f>
        <v>2.0224041491244167</v>
      </c>
      <c r="E7652" s="1">
        <f>4.74465502499369*(10.3/7.3)</f>
        <v>6.6945132544431507</v>
      </c>
      <c r="F7652" s="1">
        <f>18.0989850574583*(38.9/42.5)</f>
        <v>16.565894558473637</v>
      </c>
      <c r="G7652" s="1">
        <v>1.1280811276325116</v>
      </c>
      <c r="H7652" s="1">
        <v>8.4327987950363799</v>
      </c>
      <c r="I7652" s="1">
        <v>13.046330276707742</v>
      </c>
      <c r="J7652" s="1">
        <v>1.3011077120883927E-2</v>
      </c>
      <c r="K7652" s="1">
        <v>1.2432590638352634</v>
      </c>
      <c r="L7652" s="1">
        <v>0.95852717202316184</v>
      </c>
      <c r="M7652" s="1">
        <v>9.5034597058263268E-2</v>
      </c>
      <c r="N7652" s="1">
        <v>0.54162685533877364</v>
      </c>
      <c r="O7652" s="1">
        <v>9.3205925925925928E-2</v>
      </c>
      <c r="P7652" s="1">
        <v>5.7973660206199013E-2</v>
      </c>
      <c r="Q7652" s="1">
        <v>1.8028693820610937</v>
      </c>
      <c r="R7652" s="2">
        <f t="shared" si="479"/>
        <v>50.227858972105274</v>
      </c>
      <c r="S7652" s="2">
        <f t="shared" si="478"/>
        <v>1.3142438011623465</v>
      </c>
      <c r="T7652" s="2">
        <f t="shared" si="480"/>
        <v>1.6883945503461248</v>
      </c>
      <c r="U7652" s="2">
        <f t="shared" si="481"/>
        <v>53.230497323613747</v>
      </c>
    </row>
    <row r="7653" spans="1:21" x14ac:dyDescent="0.25">
      <c r="A7653">
        <v>8820221</v>
      </c>
      <c r="B7653">
        <v>8</v>
      </c>
      <c r="C7653" s="1">
        <f>0.511605825787041*(10.3/7.3)</f>
        <v>0.72185479528856455</v>
      </c>
      <c r="D7653" s="1">
        <f>1.84615216768663*(10.3/7.3)</f>
        <v>2.6048448393386727</v>
      </c>
      <c r="E7653" s="1">
        <f>6.18738245380894*(10.3/7.3)</f>
        <v>8.7301423663331672</v>
      </c>
      <c r="F7653" s="1">
        <f>19.8473133220038*(38.9/42.5)</f>
        <v>18.166129134728212</v>
      </c>
      <c r="G7653" s="1">
        <v>1.1530450839151074</v>
      </c>
      <c r="H7653" s="1">
        <v>11.936512112218109</v>
      </c>
      <c r="I7653" s="1">
        <v>13.728180438701331</v>
      </c>
      <c r="J7653" s="1">
        <v>1.8806939852931116E-2</v>
      </c>
      <c r="K7653" s="1">
        <v>1.4672048099653563</v>
      </c>
      <c r="L7653" s="1">
        <v>1.2037682307667668</v>
      </c>
      <c r="M7653" s="1">
        <v>0.11296847769772116</v>
      </c>
      <c r="N7653" s="1">
        <v>0.66836650294022437</v>
      </c>
      <c r="O7653" s="1">
        <v>0.11293333333333334</v>
      </c>
      <c r="P7653" s="1">
        <v>6.6762796998723214E-2</v>
      </c>
      <c r="Q7653" s="1">
        <v>1.842766115846064</v>
      </c>
      <c r="R7653" s="2">
        <f t="shared" si="479"/>
        <v>58.883474886369221</v>
      </c>
      <c r="S7653" s="2">
        <f t="shared" si="478"/>
        <v>1.5527745468170107</v>
      </c>
      <c r="T7653" s="2">
        <f t="shared" si="480"/>
        <v>2.0980365447380458</v>
      </c>
      <c r="U7653" s="2">
        <f t="shared" si="481"/>
        <v>62.534285977924277</v>
      </c>
    </row>
    <row r="7654" spans="1:21" x14ac:dyDescent="0.25">
      <c r="A7654">
        <v>8820253</v>
      </c>
      <c r="B7654">
        <v>27</v>
      </c>
      <c r="C7654" s="1">
        <f>0.354597720406236*(10.3/7.3)</f>
        <v>0.50032281098414177</v>
      </c>
      <c r="D7654" s="1">
        <f>1.18278468976477*(10.3/7.3)</f>
        <v>1.6688605896680935</v>
      </c>
      <c r="E7654" s="1">
        <f>3.97705685458325*(10.3/7.3)</f>
        <v>5.611463781124316</v>
      </c>
      <c r="F7654" s="1">
        <f>12.3578285383857*(38.9/42.5)</f>
        <v>11.311047768075396</v>
      </c>
      <c r="G7654" s="1">
        <v>0.70549205456252573</v>
      </c>
      <c r="H7654" s="1">
        <v>3.1325218727736197</v>
      </c>
      <c r="I7654" s="1">
        <v>8.5313369807727693</v>
      </c>
      <c r="J7654" s="1">
        <v>1.2696922887155059E-2</v>
      </c>
      <c r="K7654" s="1">
        <v>1.1849212431254368</v>
      </c>
      <c r="L7654" s="1">
        <v>0.92062057319063517</v>
      </c>
      <c r="M7654" s="1">
        <v>9.0099112546209045E-2</v>
      </c>
      <c r="N7654" s="1">
        <v>0.48974641121301327</v>
      </c>
      <c r="O7654" s="1">
        <v>8.6500740740740739E-2</v>
      </c>
      <c r="P7654" s="1">
        <v>5.5232121095936899E-2</v>
      </c>
      <c r="Q7654" s="1">
        <v>1.1274987173373707</v>
      </c>
      <c r="R7654" s="2">
        <f t="shared" si="479"/>
        <v>32.588544575298229</v>
      </c>
      <c r="S7654" s="2">
        <f t="shared" si="478"/>
        <v>1.2528502871085287</v>
      </c>
      <c r="T7654" s="2">
        <f t="shared" si="480"/>
        <v>1.5869668376905981</v>
      </c>
      <c r="U7654" s="2">
        <f t="shared" si="481"/>
        <v>35.428361700097355</v>
      </c>
    </row>
    <row r="7655" spans="1:21" x14ac:dyDescent="0.25">
      <c r="A7655">
        <v>8820261</v>
      </c>
      <c r="B7655">
        <v>3</v>
      </c>
      <c r="C7655" s="1">
        <f>0.297537256045501*(10.3/7.3)</f>
        <v>0.41981284072173397</v>
      </c>
      <c r="D7655" s="1">
        <f>0.914575538069329*(10.3/7.3)</f>
        <v>1.2904284989197379</v>
      </c>
      <c r="E7655" s="1">
        <f>3.08771628876575*(10.3/7.3)</f>
        <v>4.3566407909982452</v>
      </c>
      <c r="F7655" s="1">
        <f>9.18462157895512*(38.9/42.5)</f>
        <v>8.4066301040318603</v>
      </c>
      <c r="G7655" s="1">
        <v>0.51147498395043201</v>
      </c>
      <c r="H7655" s="1">
        <v>2.1528382194232689</v>
      </c>
      <c r="I7655" s="1">
        <v>6.313341136272844</v>
      </c>
      <c r="J7655" s="1">
        <v>1.1097392226378443E-2</v>
      </c>
      <c r="K7655" s="1">
        <v>1.0508354317871524</v>
      </c>
      <c r="L7655" s="1">
        <v>0.79468848653254431</v>
      </c>
      <c r="M7655" s="1">
        <v>8.0112082328868614E-2</v>
      </c>
      <c r="N7655" s="1">
        <v>0.42857634315995369</v>
      </c>
      <c r="O7655" s="1">
        <v>7.5822222222222221E-2</v>
      </c>
      <c r="P7655" s="1">
        <v>4.9630177921772073E-2</v>
      </c>
      <c r="Q7655" s="1">
        <v>0.81742577343676437</v>
      </c>
      <c r="R7655" s="2">
        <f t="shared" si="479"/>
        <v>24.268592347754886</v>
      </c>
      <c r="S7655" s="2">
        <f t="shared" si="478"/>
        <v>1.1115630019353029</v>
      </c>
      <c r="T7655" s="2">
        <f t="shared" si="480"/>
        <v>1.3791991342435888</v>
      </c>
      <c r="U7655" s="2">
        <f t="shared" si="481"/>
        <v>26.759354483933777</v>
      </c>
    </row>
    <row r="7656" spans="1:21" x14ac:dyDescent="0.25">
      <c r="A7656">
        <v>8820509</v>
      </c>
      <c r="B7656">
        <v>21</v>
      </c>
      <c r="C7656" s="1">
        <f>0.44291945539694*(10.3/7.3)</f>
        <v>0.62494114939568268</v>
      </c>
      <c r="D7656" s="1">
        <f>1.23223446435555*(10.3/7.3)</f>
        <v>1.7386321894331782</v>
      </c>
      <c r="E7656" s="1">
        <f>4.17077472942201*(10.3/7.3)</f>
        <v>5.8847917415132507</v>
      </c>
      <c r="F7656" s="1">
        <f>12.2837577448693*(38.9/42.5)</f>
        <v>11.243251206480371</v>
      </c>
      <c r="G7656" s="1">
        <v>0.67742960204600955</v>
      </c>
      <c r="H7656" s="1">
        <v>3.3496965579957134</v>
      </c>
      <c r="I7656" s="1">
        <v>8.5165604115019118</v>
      </c>
      <c r="J7656" s="1">
        <v>1.3250919161827654E-2</v>
      </c>
      <c r="K7656" s="1">
        <v>1.0693743425766362</v>
      </c>
      <c r="L7656" s="1">
        <v>0.85744490595727929</v>
      </c>
      <c r="M7656" s="1">
        <v>6.9993510184646196E-2</v>
      </c>
      <c r="N7656" s="1">
        <v>0.49718142791692893</v>
      </c>
      <c r="O7656" s="1">
        <v>6.4286984126984123E-2</v>
      </c>
      <c r="P7656" s="1">
        <v>4.573859759467571E-2</v>
      </c>
      <c r="Q7656" s="1">
        <v>1.0826500489319799</v>
      </c>
      <c r="R7656" s="2">
        <f t="shared" si="479"/>
        <v>33.117952907298104</v>
      </c>
      <c r="S7656" s="2">
        <f t="shared" si="478"/>
        <v>1.1283638593331398</v>
      </c>
      <c r="T7656" s="2">
        <f t="shared" si="480"/>
        <v>1.4889068281858386</v>
      </c>
      <c r="U7656" s="2">
        <f t="shared" si="481"/>
        <v>35.735223594817086</v>
      </c>
    </row>
    <row r="7657" spans="1:21" x14ac:dyDescent="0.25">
      <c r="A7657">
        <v>8820517</v>
      </c>
      <c r="B7657">
        <v>46</v>
      </c>
      <c r="C7657" s="1">
        <f>0.449074012125254*(10.3/7.3)</f>
        <v>0.63362497601234424</v>
      </c>
      <c r="D7657" s="1">
        <f>1.24371555085895*(10.3/7.3)</f>
        <v>1.7548315306639939</v>
      </c>
      <c r="E7657" s="1">
        <f>4.21454153364452*(10.3/7.3)</f>
        <v>5.9465449036354228</v>
      </c>
      <c r="F7657" s="1">
        <f>12.1807865148268*(38.9/42.5)</f>
        <v>11.149002245335598</v>
      </c>
      <c r="G7657" s="1">
        <v>0.6648647646645276</v>
      </c>
      <c r="H7657" s="1">
        <v>3.4515850083786335</v>
      </c>
      <c r="I7657" s="1">
        <v>8.4041325454709437</v>
      </c>
      <c r="J7657" s="1">
        <v>1.3549472032397649E-2</v>
      </c>
      <c r="K7657" s="1">
        <v>1.0812573032941577</v>
      </c>
      <c r="L7657" s="1">
        <v>0.86020810082929344</v>
      </c>
      <c r="M7657" s="1">
        <v>6.9616253915993423E-2</v>
      </c>
      <c r="N7657" s="1">
        <v>0.50969881285952356</v>
      </c>
      <c r="O7657" s="1">
        <v>6.3698550724637676E-2</v>
      </c>
      <c r="P7657" s="1">
        <v>4.5639705164348475E-2</v>
      </c>
      <c r="Q7657" s="1">
        <v>1.062569258596278</v>
      </c>
      <c r="R7657" s="2">
        <f t="shared" si="479"/>
        <v>33.067155232757742</v>
      </c>
      <c r="S7657" s="2">
        <f t="shared" si="478"/>
        <v>1.1404464804909038</v>
      </c>
      <c r="T7657" s="2">
        <f t="shared" si="480"/>
        <v>1.5032217183294481</v>
      </c>
      <c r="U7657" s="2">
        <f t="shared" si="481"/>
        <v>35.710823431578092</v>
      </c>
    </row>
    <row r="7658" spans="1:21" x14ac:dyDescent="0.25">
      <c r="A7658">
        <v>8820525</v>
      </c>
      <c r="B7658">
        <v>9</v>
      </c>
      <c r="C7658" s="1">
        <f>0.517602330211083*(10.3/7.3)</f>
        <v>0.73031561659919986</v>
      </c>
      <c r="D7658" s="1">
        <f>1.5042321652192*(10.3/7.3)</f>
        <v>2.1224097673640734</v>
      </c>
      <c r="E7658" s="1">
        <f>5.09302562467178*(10.3/7.3)</f>
        <v>7.186049853988953</v>
      </c>
      <c r="F7658" s="1">
        <f>14.6846976737227*(38.9/42.5)</f>
        <v>13.440817400183825</v>
      </c>
      <c r="G7658" s="1">
        <v>0.80239925575758742</v>
      </c>
      <c r="H7658" s="1">
        <v>5.5290555611962882</v>
      </c>
      <c r="I7658" s="1">
        <v>10.065401323952509</v>
      </c>
      <c r="J7658" s="1">
        <v>1.5232158554245676E-2</v>
      </c>
      <c r="K7658" s="1">
        <v>1.1976478719798584</v>
      </c>
      <c r="L7658" s="1">
        <v>0.97775235886225553</v>
      </c>
      <c r="M7658" s="1">
        <v>7.6515724187449022E-2</v>
      </c>
      <c r="N7658" s="1">
        <v>0.57502498201185892</v>
      </c>
      <c r="O7658" s="1">
        <v>7.0405925925925927E-2</v>
      </c>
      <c r="P7658" s="1">
        <v>4.9660534805152631E-2</v>
      </c>
      <c r="Q7658" s="1">
        <v>1.2823732397952323</v>
      </c>
      <c r="R7658" s="2">
        <f t="shared" si="479"/>
        <v>41.158822018837668</v>
      </c>
      <c r="S7658" s="2">
        <f t="shared" si="478"/>
        <v>1.2625405653392567</v>
      </c>
      <c r="T7658" s="2">
        <f t="shared" si="480"/>
        <v>1.6996989909874896</v>
      </c>
      <c r="U7658" s="2">
        <f t="shared" si="481"/>
        <v>44.121061575164418</v>
      </c>
    </row>
    <row r="7659" spans="1:21" x14ac:dyDescent="0.25">
      <c r="A7659">
        <v>8832361</v>
      </c>
      <c r="B7659">
        <v>6</v>
      </c>
      <c r="C7659" s="1">
        <f>0.122454815989277*(10.3/7.3)</f>
        <v>0.17277871297117101</v>
      </c>
      <c r="D7659" s="1">
        <f>0.234576324674026*(10.3/7.3)</f>
        <v>0.33097755399211892</v>
      </c>
      <c r="E7659" s="1">
        <f>0.807042964988689*(10.3/7.3)</f>
        <v>1.1387044574497946</v>
      </c>
      <c r="F7659" s="1">
        <f>2.08883675795911*(38.9/42.5)</f>
        <v>1.9118999972849289</v>
      </c>
      <c r="G7659" s="1">
        <v>0.10398846860954329</v>
      </c>
      <c r="H7659" s="1">
        <v>0.54932253104959472</v>
      </c>
      <c r="I7659" s="1">
        <v>1.4799210456293812</v>
      </c>
      <c r="J7659" s="1">
        <v>9.4566867735873406E-3</v>
      </c>
      <c r="K7659" s="1">
        <v>1.0210556408773781</v>
      </c>
      <c r="L7659" s="1">
        <v>0.74339749759331208</v>
      </c>
      <c r="M7659" s="1">
        <v>7.8821935570208904E-2</v>
      </c>
      <c r="N7659" s="1">
        <v>0.3800646740523197</v>
      </c>
      <c r="O7659" s="1">
        <v>8.0871111111111116E-2</v>
      </c>
      <c r="P7659" s="1">
        <v>4.9522736816644562E-2</v>
      </c>
      <c r="Q7659" s="1">
        <v>0.16619161649927025</v>
      </c>
      <c r="R7659" s="2">
        <f t="shared" si="479"/>
        <v>5.8537843834858023</v>
      </c>
      <c r="S7659" s="2">
        <f t="shared" si="478"/>
        <v>1.08003506446761</v>
      </c>
      <c r="T7659" s="2">
        <f t="shared" si="480"/>
        <v>1.2831552183269519</v>
      </c>
      <c r="U7659" s="2">
        <f t="shared" si="481"/>
        <v>8.2169746662803647</v>
      </c>
    </row>
    <row r="7660" spans="1:21" x14ac:dyDescent="0.25">
      <c r="A7660">
        <v>8832369</v>
      </c>
      <c r="B7660">
        <v>15</v>
      </c>
      <c r="C7660" s="1">
        <f>0.127185195014265*(10.3/7.3)</f>
        <v>0.17945308337629143</v>
      </c>
      <c r="D7660" s="1">
        <f>0.251401315802355*(10.3/7.3)</f>
        <v>0.35471692503619917</v>
      </c>
      <c r="E7660" s="1">
        <f>0.863811623237361*(10.3/7.3)</f>
        <v>1.2188027012801121</v>
      </c>
      <c r="F7660" s="1">
        <f>2.25199539759818*(38.9/42.5)</f>
        <v>2.0612381403898592</v>
      </c>
      <c r="G7660" s="1">
        <v>0.1129672669257978</v>
      </c>
      <c r="H7660" s="1">
        <v>0.58600375020406825</v>
      </c>
      <c r="I7660" s="1">
        <v>1.5891883351673959</v>
      </c>
      <c r="J7660" s="1">
        <v>9.3961503999843588E-3</v>
      </c>
      <c r="K7660" s="1">
        <v>1.0090407085534916</v>
      </c>
      <c r="L7660" s="1">
        <v>0.73257351527250048</v>
      </c>
      <c r="M7660" s="1">
        <v>7.7037418734086704E-2</v>
      </c>
      <c r="N7660" s="1">
        <v>0.37721845604705528</v>
      </c>
      <c r="O7660" s="1">
        <v>7.9146666666666685E-2</v>
      </c>
      <c r="P7660" s="1">
        <v>4.884882965949533E-2</v>
      </c>
      <c r="Q7660" s="1">
        <v>0.18054129417364964</v>
      </c>
      <c r="R7660" s="2">
        <f t="shared" si="479"/>
        <v>6.2829114965533739</v>
      </c>
      <c r="S7660" s="2">
        <f t="shared" si="478"/>
        <v>1.0672856886129714</v>
      </c>
      <c r="T7660" s="2">
        <f t="shared" si="480"/>
        <v>1.2659760567203091</v>
      </c>
      <c r="U7660" s="2">
        <f t="shared" si="481"/>
        <v>8.6161732418866546</v>
      </c>
    </row>
    <row r="7661" spans="1:21" x14ac:dyDescent="0.25">
      <c r="A7661">
        <v>8832401</v>
      </c>
      <c r="B7661">
        <v>48</v>
      </c>
      <c r="C7661" s="1">
        <f>0.426625290166576*(10.3/7.3)</f>
        <v>0.60195075187886682</v>
      </c>
      <c r="D7661" s="1">
        <f>1.30825083560025*(10.3/7.3)</f>
        <v>1.8458881652989776</v>
      </c>
      <c r="E7661" s="1">
        <f>4.41475728450188*(10.3/7.3)</f>
        <v>6.2290411000505976</v>
      </c>
      <c r="F7661" s="1">
        <f>13.2478662640278*(38.9/42.5)</f>
        <v>12.125694062839592</v>
      </c>
      <c r="G7661" s="1">
        <v>0.74097886284071401</v>
      </c>
      <c r="H7661" s="1">
        <v>2.952160726257818</v>
      </c>
      <c r="I7661" s="1">
        <v>9.132193727131666</v>
      </c>
      <c r="J7661" s="1">
        <v>1.3749394574639919E-2</v>
      </c>
      <c r="K7661" s="1">
        <v>1.3427559369124253</v>
      </c>
      <c r="L7661" s="1">
        <v>1.0487160422028377</v>
      </c>
      <c r="M7661" s="1">
        <v>0.10482177774837025</v>
      </c>
      <c r="N7661" s="1">
        <v>0.52489659147583057</v>
      </c>
      <c r="O7661" s="1">
        <v>0.10517111111111109</v>
      </c>
      <c r="P7661" s="1">
        <v>6.2806432152986508E-2</v>
      </c>
      <c r="Q7661" s="1">
        <v>1.1842127944942926</v>
      </c>
      <c r="R7661" s="2">
        <f t="shared" si="479"/>
        <v>34.812120190792527</v>
      </c>
      <c r="S7661" s="2">
        <f t="shared" si="478"/>
        <v>1.4193117636400516</v>
      </c>
      <c r="T7661" s="2">
        <f t="shared" si="480"/>
        <v>1.7836055225381495</v>
      </c>
      <c r="U7661" s="2">
        <f t="shared" si="481"/>
        <v>38.015037476970733</v>
      </c>
    </row>
    <row r="7662" spans="1:21" x14ac:dyDescent="0.25">
      <c r="A7662">
        <v>8832409</v>
      </c>
      <c r="B7662">
        <v>34</v>
      </c>
      <c r="C7662" s="1">
        <f>0.40199474911938*(10.3/7.3)</f>
        <v>0.56719807067528927</v>
      </c>
      <c r="D7662" s="1">
        <f>1.26195015653107*(10.3/7.3)</f>
        <v>1.7805598099000064</v>
      </c>
      <c r="E7662" s="1">
        <f>4.24994044969872*(10.3/7.3)</f>
        <v>5.9964913194379195</v>
      </c>
      <c r="F7662" s="1">
        <f>13.0986350413285*(38.9/42.5)</f>
        <v>11.98910360253365</v>
      </c>
      <c r="G7662" s="1">
        <v>0.74310898299376704</v>
      </c>
      <c r="H7662" s="1">
        <v>4.0222683768272463</v>
      </c>
      <c r="I7662" s="1">
        <v>9.0765092610782023</v>
      </c>
      <c r="J7662" s="1">
        <v>1.39983291950634E-2</v>
      </c>
      <c r="K7662" s="1">
        <v>1.2983358456952967</v>
      </c>
      <c r="L7662" s="1">
        <v>1.0129041706605564</v>
      </c>
      <c r="M7662" s="1">
        <v>0.10035382667459056</v>
      </c>
      <c r="N7662" s="1">
        <v>0.54024430731151329</v>
      </c>
      <c r="O7662" s="1">
        <v>0.1017772549019608</v>
      </c>
      <c r="P7662" s="1">
        <v>6.0682865228663327E-2</v>
      </c>
      <c r="Q7662" s="1">
        <v>1.1876170961087615</v>
      </c>
      <c r="R7662" s="2">
        <f t="shared" si="479"/>
        <v>35.362856519554839</v>
      </c>
      <c r="S7662" s="2">
        <f t="shared" si="478"/>
        <v>1.3730170401190234</v>
      </c>
      <c r="T7662" s="2">
        <f t="shared" si="480"/>
        <v>1.755279559548621</v>
      </c>
      <c r="U7662" s="2">
        <f t="shared" si="481"/>
        <v>38.491153119222481</v>
      </c>
    </row>
    <row r="7663" spans="1:21" x14ac:dyDescent="0.25">
      <c r="A7663">
        <v>8832417</v>
      </c>
      <c r="B7663">
        <v>14</v>
      </c>
      <c r="C7663" s="1">
        <f>0.334659000749636*(10.3/7.3)</f>
        <v>0.47219009694811603</v>
      </c>
      <c r="D7663" s="1">
        <f>1.04586918334742*(10.3/7.3)</f>
        <v>1.4756784367778606</v>
      </c>
      <c r="E7663" s="1">
        <f>3.51073892721472*(10.3/7.3)</f>
        <v>4.9535083493577545</v>
      </c>
      <c r="F7663" s="1">
        <f>11.4279631870394*(38.9/42.5)</f>
        <v>10.459947481784265</v>
      </c>
      <c r="G7663" s="1">
        <v>0.66491441356581737</v>
      </c>
      <c r="H7663" s="1">
        <v>6.4201730908909171</v>
      </c>
      <c r="I7663" s="1">
        <v>8.0420887461323609</v>
      </c>
      <c r="J7663" s="1">
        <v>1.2591404063562853E-2</v>
      </c>
      <c r="K7663" s="1">
        <v>1.2055284457462387</v>
      </c>
      <c r="L7663" s="1">
        <v>0.9162788224664089</v>
      </c>
      <c r="M7663" s="1">
        <v>9.2194805216736717E-2</v>
      </c>
      <c r="N7663" s="1">
        <v>0.50164032250244406</v>
      </c>
      <c r="O7663" s="1">
        <v>9.2392380952380934E-2</v>
      </c>
      <c r="P7663" s="1">
        <v>5.6644298019326862E-2</v>
      </c>
      <c r="Q7663" s="1">
        <v>1.062648606155417</v>
      </c>
      <c r="R7663" s="2">
        <f t="shared" si="479"/>
        <v>33.551149221612512</v>
      </c>
      <c r="S7663" s="2">
        <f t="shared" si="478"/>
        <v>1.2747641478291285</v>
      </c>
      <c r="T7663" s="2">
        <f t="shared" si="480"/>
        <v>1.6025063311379708</v>
      </c>
      <c r="U7663" s="2">
        <f t="shared" si="481"/>
        <v>36.428419700579617</v>
      </c>
    </row>
    <row r="7664" spans="1:21" x14ac:dyDescent="0.25">
      <c r="A7664">
        <v>8832425</v>
      </c>
      <c r="B7664">
        <v>3</v>
      </c>
      <c r="C7664" s="1">
        <f>0.371539873742061*(10.3/7.3)</f>
        <v>0.52422749308811412</v>
      </c>
      <c r="D7664" s="1">
        <f>1.18754189473029*(10.3/7.3)</f>
        <v>1.6755728103728715</v>
      </c>
      <c r="E7664" s="1">
        <f>3.98427496427023*(10.3/7.3)</f>
        <v>5.6216482372579977</v>
      </c>
      <c r="F7664" s="1">
        <f>12.9891500210197*(38.9/42.5)</f>
        <v>11.888892607474512</v>
      </c>
      <c r="G7664" s="1">
        <v>0.75689427909537743</v>
      </c>
      <c r="H7664" s="1">
        <v>4.3421785067475094</v>
      </c>
      <c r="I7664" s="1">
        <v>9.1247476444428628</v>
      </c>
      <c r="J7664" s="1">
        <v>1.2953086669535277E-2</v>
      </c>
      <c r="K7664" s="1">
        <v>1.2352696864321882</v>
      </c>
      <c r="L7664" s="1">
        <v>0.94750422856058236</v>
      </c>
      <c r="M7664" s="1">
        <v>9.4859657486807844E-2</v>
      </c>
      <c r="N7664" s="1">
        <v>0.49590998220809812</v>
      </c>
      <c r="O7664" s="1">
        <v>9.4471111111111103E-2</v>
      </c>
      <c r="P7664" s="1">
        <v>5.8068456760329928E-2</v>
      </c>
      <c r="Q7664" s="1">
        <v>1.2096483912483214</v>
      </c>
      <c r="R7664" s="2">
        <f t="shared" si="479"/>
        <v>35.14380996972757</v>
      </c>
      <c r="S7664" s="2">
        <f t="shared" si="478"/>
        <v>1.3062912298620535</v>
      </c>
      <c r="T7664" s="2">
        <f t="shared" si="480"/>
        <v>1.6327449793665996</v>
      </c>
      <c r="U7664" s="2">
        <f t="shared" si="481"/>
        <v>38.082846178956224</v>
      </c>
    </row>
    <row r="7665" spans="1:21" x14ac:dyDescent="0.25">
      <c r="A7665">
        <v>8832433</v>
      </c>
      <c r="B7665">
        <v>54</v>
      </c>
      <c r="C7665" s="1">
        <f>0.460400988563141*(10.3/7.3)</f>
        <v>0.64960687427402075</v>
      </c>
      <c r="D7665" s="1">
        <f>1.66430243904346*(10.3/7.3)</f>
        <v>2.3482623454996725</v>
      </c>
      <c r="E7665" s="1">
        <f>5.54813382644095*(10.3/7.3)</f>
        <v>7.8281888236084693</v>
      </c>
      <c r="F7665" s="1">
        <f>19.3276057080274*(38.9/42.5)</f>
        <v>17.690443812759217</v>
      </c>
      <c r="G7665" s="1">
        <v>1.1629201923777388</v>
      </c>
      <c r="H7665" s="1">
        <v>8.7877048928588106</v>
      </c>
      <c r="I7665" s="1">
        <v>13.669608135040242</v>
      </c>
      <c r="J7665" s="1">
        <v>1.5135664957692641E-2</v>
      </c>
      <c r="K7665" s="1">
        <v>1.4081425335126125</v>
      </c>
      <c r="L7665" s="1">
        <v>1.127660703867577</v>
      </c>
      <c r="M7665" s="1">
        <v>0.10896660893987045</v>
      </c>
      <c r="N7665" s="1">
        <v>0.60187804207191942</v>
      </c>
      <c r="O7665" s="1">
        <v>0.10980148148148149</v>
      </c>
      <c r="P7665" s="1">
        <v>6.5085166889165755E-2</v>
      </c>
      <c r="Q7665" s="1">
        <v>1.8585482526584884</v>
      </c>
      <c r="R7665" s="2">
        <f t="shared" si="479"/>
        <v>53.995283329076656</v>
      </c>
      <c r="S7665" s="2">
        <f t="shared" si="478"/>
        <v>1.4883633653594708</v>
      </c>
      <c r="T7665" s="2">
        <f t="shared" si="480"/>
        <v>1.9483068363608482</v>
      </c>
      <c r="U7665" s="2">
        <f t="shared" si="481"/>
        <v>57.431953530796974</v>
      </c>
    </row>
    <row r="7666" spans="1:21" x14ac:dyDescent="0.25">
      <c r="A7666">
        <v>8832441</v>
      </c>
      <c r="B7666">
        <v>45</v>
      </c>
      <c r="C7666" s="1">
        <f>0.40479281414225*(10.3/7.3)</f>
        <v>0.57114602543358606</v>
      </c>
      <c r="D7666" s="1">
        <f>1.5136064599567*(10.3/7.3)</f>
        <v>2.1356365119937015</v>
      </c>
      <c r="E7666" s="1">
        <f>5.01646786308803*(10.3/7.3)</f>
        <v>7.0780299986036601</v>
      </c>
      <c r="F7666" s="1">
        <f>18.8579337849857*(38.9/42.5)</f>
        <v>17.260555864375171</v>
      </c>
      <c r="G7666" s="1">
        <v>1.1689664609998289</v>
      </c>
      <c r="H7666" s="1">
        <v>8.0805426428386546</v>
      </c>
      <c r="I7666" s="1">
        <v>13.55687945548844</v>
      </c>
      <c r="J7666" s="1">
        <v>1.317561913324717E-2</v>
      </c>
      <c r="K7666" s="1">
        <v>1.2664180715512035</v>
      </c>
      <c r="L7666" s="1">
        <v>0.98141958173623955</v>
      </c>
      <c r="M7666" s="1">
        <v>9.5250417007084767E-2</v>
      </c>
      <c r="N7666" s="1">
        <v>0.51999153614341131</v>
      </c>
      <c r="O7666" s="1">
        <v>9.5709629629629644E-2</v>
      </c>
      <c r="P7666" s="1">
        <v>5.9147298461966216E-2</v>
      </c>
      <c r="Q7666" s="1">
        <v>1.8682112390408245</v>
      </c>
      <c r="R7666" s="2">
        <f t="shared" si="479"/>
        <v>51.71996819877387</v>
      </c>
      <c r="S7666" s="2">
        <f t="shared" si="478"/>
        <v>1.338740989146417</v>
      </c>
      <c r="T7666" s="2">
        <f t="shared" si="480"/>
        <v>1.6923711645163653</v>
      </c>
      <c r="U7666" s="2">
        <f t="shared" si="481"/>
        <v>54.751080352436652</v>
      </c>
    </row>
    <row r="7667" spans="1:21" x14ac:dyDescent="0.25">
      <c r="A7667">
        <v>8832449</v>
      </c>
      <c r="B7667">
        <v>44</v>
      </c>
      <c r="C7667" s="1">
        <f>0.457252572293671*(10.3/7.3)</f>
        <v>0.64516458830476853</v>
      </c>
      <c r="D7667" s="1">
        <f>1.61970028755385*(10.3/7.3)</f>
        <v>2.2853305427129733</v>
      </c>
      <c r="E7667" s="1">
        <f>5.41259731744839*(10.3/7.3)</f>
        <v>7.6369523794134802</v>
      </c>
      <c r="F7667" s="1">
        <f>18.2647283638287*(38.9/42.5)</f>
        <v>16.717598431833753</v>
      </c>
      <c r="G7667" s="1">
        <v>1.0840666294316041</v>
      </c>
      <c r="H7667" s="1">
        <v>7.3047142281832604</v>
      </c>
      <c r="I7667" s="1">
        <v>12.831668834830863</v>
      </c>
      <c r="J7667" s="1">
        <v>1.4837904920298472E-2</v>
      </c>
      <c r="K7667" s="1">
        <v>1.3599926408110878</v>
      </c>
      <c r="L7667" s="1">
        <v>1.0790649309271882</v>
      </c>
      <c r="M7667" s="1">
        <v>0.10503143067590273</v>
      </c>
      <c r="N7667" s="1">
        <v>0.56428103260056683</v>
      </c>
      <c r="O7667" s="1">
        <v>0.10345454545454547</v>
      </c>
      <c r="P7667" s="1">
        <v>6.3019547195034081E-2</v>
      </c>
      <c r="Q7667" s="1">
        <v>1.7325265767171771</v>
      </c>
      <c r="R7667" s="2">
        <f t="shared" si="479"/>
        <v>50.238022211427882</v>
      </c>
      <c r="S7667" s="2">
        <f t="shared" si="478"/>
        <v>1.4378500929264204</v>
      </c>
      <c r="T7667" s="2">
        <f t="shared" si="480"/>
        <v>1.8518319396582033</v>
      </c>
      <c r="U7667" s="2">
        <f t="shared" si="481"/>
        <v>53.527704244012504</v>
      </c>
    </row>
    <row r="7668" spans="1:21" x14ac:dyDescent="0.25">
      <c r="A7668">
        <v>8832457</v>
      </c>
      <c r="B7668">
        <v>7</v>
      </c>
      <c r="C7668" s="1">
        <f>0.454109558539329*(10.3/7.3)</f>
        <v>0.64072992506234028</v>
      </c>
      <c r="D7668" s="1">
        <f>1.5396319544361*(10.3/7.3)</f>
        <v>2.1723574151632614</v>
      </c>
      <c r="E7668" s="1">
        <f>5.17241572652549*(10.3/7.3)</f>
        <v>7.2980660250976079</v>
      </c>
      <c r="F7668" s="1">
        <f>16.2302565995485*(38.9/42.5)</f>
        <v>14.855458393469098</v>
      </c>
      <c r="G7668" s="1">
        <v>0.93141205534274185</v>
      </c>
      <c r="H7668" s="1">
        <v>4.3826474952617342</v>
      </c>
      <c r="I7668" s="1">
        <v>11.218836037435038</v>
      </c>
      <c r="J7668" s="1">
        <v>1.688188923407594E-2</v>
      </c>
      <c r="K7668" s="1">
        <v>1.3295464612627526</v>
      </c>
      <c r="L7668" s="1">
        <v>1.0486668185772254</v>
      </c>
      <c r="M7668" s="1">
        <v>0.10108864967081653</v>
      </c>
      <c r="N7668" s="1">
        <v>0.55979205307704338</v>
      </c>
      <c r="O7668" s="1">
        <v>9.9977142857142876E-2</v>
      </c>
      <c r="P7668" s="1">
        <v>6.1187188790638336E-2</v>
      </c>
      <c r="Q7668" s="1">
        <v>1.4885580793148858</v>
      </c>
      <c r="R7668" s="2">
        <f t="shared" si="479"/>
        <v>42.988065426146711</v>
      </c>
      <c r="S7668" s="2">
        <f t="shared" si="478"/>
        <v>1.4076155392874667</v>
      </c>
      <c r="T7668" s="2">
        <f t="shared" si="480"/>
        <v>1.8095246641822285</v>
      </c>
      <c r="U7668" s="2">
        <f t="shared" si="481"/>
        <v>46.205205629616408</v>
      </c>
    </row>
    <row r="7669" spans="1:21" x14ac:dyDescent="0.25">
      <c r="A7669">
        <v>8832473</v>
      </c>
      <c r="B7669">
        <v>12</v>
      </c>
      <c r="C7669" s="1">
        <f>0.378742317247692*(10.3/7.3)</f>
        <v>0.53438984488372965</v>
      </c>
      <c r="D7669" s="1">
        <f>1.44629981094478*(10.3/7.3)</f>
        <v>2.040669596264546</v>
      </c>
      <c r="E7669" s="1">
        <f>4.7927621994638*(10.3/7.3)</f>
        <v>6.7623905006133009</v>
      </c>
      <c r="F7669" s="1">
        <f>17.9691182811196*(38.9/42.5)</f>
        <v>16.447028262012964</v>
      </c>
      <c r="G7669" s="1">
        <v>1.113408544444926</v>
      </c>
      <c r="H7669" s="1">
        <v>9.7368706278175221</v>
      </c>
      <c r="I7669" s="1">
        <v>12.890970963213201</v>
      </c>
      <c r="J7669" s="1">
        <v>1.3660994496364541E-2</v>
      </c>
      <c r="K7669" s="1">
        <v>1.2343189828242285</v>
      </c>
      <c r="L7669" s="1">
        <v>0.96514607598431168</v>
      </c>
      <c r="M7669" s="1">
        <v>9.2944312739735316E-2</v>
      </c>
      <c r="N7669" s="1">
        <v>0.51162465847100769</v>
      </c>
      <c r="O7669" s="1">
        <v>9.1475555555555546E-2</v>
      </c>
      <c r="P7669" s="1">
        <v>5.7622908039601843E-2</v>
      </c>
      <c r="Q7669" s="1">
        <v>1.7794200481996549</v>
      </c>
      <c r="R7669" s="2">
        <f t="shared" si="479"/>
        <v>51.30514838744984</v>
      </c>
      <c r="S7669" s="2">
        <f t="shared" si="478"/>
        <v>1.3056028853601949</v>
      </c>
      <c r="T7669" s="2">
        <f t="shared" si="480"/>
        <v>1.66119060275061</v>
      </c>
      <c r="U7669" s="2">
        <f t="shared" si="481"/>
        <v>54.271941875560643</v>
      </c>
    </row>
    <row r="7670" spans="1:21" x14ac:dyDescent="0.25">
      <c r="A7670">
        <v>8832481</v>
      </c>
      <c r="B7670">
        <v>47</v>
      </c>
      <c r="C7670" s="1">
        <f>0.410506653789957*(10.3/7.3)</f>
        <v>0.57920801836117164</v>
      </c>
      <c r="D7670" s="1">
        <f>1.55508312819457*(10.3/7.3)</f>
        <v>2.1941583863567224</v>
      </c>
      <c r="E7670" s="1">
        <f>5.17279719182127*(10.3/7.3)</f>
        <v>7.2986042569532996</v>
      </c>
      <c r="F7670" s="1">
        <f>18.4061188825199*(38.9/42.5)</f>
        <v>16.847012341882916</v>
      </c>
      <c r="G7670" s="1">
        <v>1.1182370070311034</v>
      </c>
      <c r="H7670" s="1">
        <v>7.5257820453707138</v>
      </c>
      <c r="I7670" s="1">
        <v>13.042326544718005</v>
      </c>
      <c r="J7670" s="1">
        <v>1.3972057444141048E-2</v>
      </c>
      <c r="K7670" s="1">
        <v>1.2841014616594959</v>
      </c>
      <c r="L7670" s="1">
        <v>1.0183032860835961</v>
      </c>
      <c r="M7670" s="1">
        <v>9.8013613255033105E-2</v>
      </c>
      <c r="N7670" s="1">
        <v>0.53381817205594606</v>
      </c>
      <c r="O7670" s="1">
        <v>9.5401985815602844E-2</v>
      </c>
      <c r="P7670" s="1">
        <v>5.9364140357195956E-2</v>
      </c>
      <c r="Q7670" s="1">
        <v>1.7871367692277933</v>
      </c>
      <c r="R7670" s="2">
        <f t="shared" si="479"/>
        <v>50.392465369901721</v>
      </c>
      <c r="S7670" s="2">
        <f t="shared" si="478"/>
        <v>1.3574376594608331</v>
      </c>
      <c r="T7670" s="2">
        <f t="shared" si="480"/>
        <v>1.745537057210178</v>
      </c>
      <c r="U7670" s="2">
        <f t="shared" si="481"/>
        <v>53.495440086572735</v>
      </c>
    </row>
    <row r="7671" spans="1:21" x14ac:dyDescent="0.25">
      <c r="A7671">
        <v>8832489</v>
      </c>
      <c r="B7671">
        <v>56</v>
      </c>
      <c r="C7671" s="1">
        <f>0.315008278733467*(10.3/7.3)</f>
        <v>0.44446373574722103</v>
      </c>
      <c r="D7671" s="1">
        <f>0.985357990689017*(10.3/7.3)</f>
        <v>1.3902996306982018</v>
      </c>
      <c r="E7671" s="1">
        <f>3.32315626072867*(10.3/7.3)</f>
        <v>4.6888369158226499</v>
      </c>
      <c r="F7671" s="1">
        <f>10.0106469767919*(38.9/42.5)</f>
        <v>9.1626862916989591</v>
      </c>
      <c r="G7671" s="1">
        <v>0.56147442647631862</v>
      </c>
      <c r="H7671" s="1">
        <v>2.3563748377431266</v>
      </c>
      <c r="I7671" s="1">
        <v>6.8936985016194594</v>
      </c>
      <c r="J7671" s="1">
        <v>1.1590311062841975E-2</v>
      </c>
      <c r="K7671" s="1">
        <v>1.0907942673665751</v>
      </c>
      <c r="L7671" s="1">
        <v>0.8290868951234599</v>
      </c>
      <c r="M7671" s="1">
        <v>8.2393498169313656E-2</v>
      </c>
      <c r="N7671" s="1">
        <v>0.44922360445388171</v>
      </c>
      <c r="O7671" s="1">
        <v>7.8543809523809544E-2</v>
      </c>
      <c r="P7671" s="1">
        <v>5.1175191696171053E-2</v>
      </c>
      <c r="Q7671" s="1">
        <v>0.89733355829548689</v>
      </c>
      <c r="R7671" s="2">
        <f t="shared" si="479"/>
        <v>26.39516789810142</v>
      </c>
      <c r="S7671" s="2">
        <f t="shared" si="478"/>
        <v>1.1535597701255882</v>
      </c>
      <c r="T7671" s="2">
        <f t="shared" si="480"/>
        <v>1.4392478072704649</v>
      </c>
      <c r="U7671" s="2">
        <f t="shared" si="481"/>
        <v>28.987975475497475</v>
      </c>
    </row>
    <row r="7672" spans="1:21" x14ac:dyDescent="0.25">
      <c r="A7672">
        <v>8832497</v>
      </c>
      <c r="B7672">
        <v>22</v>
      </c>
      <c r="C7672" s="1">
        <f>0.299790622115884*(10.3/7.3)</f>
        <v>0.42299224764295962</v>
      </c>
      <c r="D7672" s="1">
        <f>0.914994437568351*(10.3/7.3)</f>
        <v>1.2910195488978105</v>
      </c>
      <c r="E7672" s="1">
        <f>3.09018925263128*(10.3/7.3)</f>
        <v>4.3601300413838544</v>
      </c>
      <c r="F7672" s="1">
        <f>9.15881505585686*(38.9/42.5)</f>
        <v>8.3830095452431017</v>
      </c>
      <c r="G7672" s="1">
        <v>0.5089340446648305</v>
      </c>
      <c r="H7672" s="1">
        <v>2.0771366357703056</v>
      </c>
      <c r="I7672" s="1">
        <v>6.2938018745891675</v>
      </c>
      <c r="J7672" s="1">
        <v>1.1066661144621619E-2</v>
      </c>
      <c r="K7672" s="1">
        <v>1.0442208684859546</v>
      </c>
      <c r="L7672" s="1">
        <v>0.78818681003620272</v>
      </c>
      <c r="M7672" s="1">
        <v>7.9386422257072584E-2</v>
      </c>
      <c r="N7672" s="1">
        <v>0.42730086795411582</v>
      </c>
      <c r="O7672" s="1">
        <v>7.4955151515151516E-2</v>
      </c>
      <c r="P7672" s="1">
        <v>4.9103304538485354E-2</v>
      </c>
      <c r="Q7672" s="1">
        <v>0.81336491156479829</v>
      </c>
      <c r="R7672" s="2">
        <f t="shared" si="479"/>
        <v>24.150388849756826</v>
      </c>
      <c r="S7672" s="2">
        <f t="shared" si="478"/>
        <v>1.1043908341690616</v>
      </c>
      <c r="T7672" s="2">
        <f t="shared" si="480"/>
        <v>1.3698292517625426</v>
      </c>
      <c r="U7672" s="2">
        <f t="shared" si="481"/>
        <v>26.624608935688432</v>
      </c>
    </row>
    <row r="7673" spans="1:21" x14ac:dyDescent="0.25">
      <c r="A7673">
        <v>8832745</v>
      </c>
      <c r="B7673">
        <v>13</v>
      </c>
      <c r="C7673" s="1">
        <f>0.443023040445586*(10.3/7.3)</f>
        <v>0.62508730364240161</v>
      </c>
      <c r="D7673" s="1">
        <f>1.22758145038924*(10.3/7.3)</f>
        <v>1.7320669779464619</v>
      </c>
      <c r="E7673" s="1">
        <f>4.1565778383771*(10.3/7.3)</f>
        <v>5.8647605116827561</v>
      </c>
      <c r="F7673" s="1">
        <f>12.1800038694875*(38.9/42.5)</f>
        <v>11.148285894660278</v>
      </c>
      <c r="G7673" s="1">
        <v>0.66977628927339405</v>
      </c>
      <c r="H7673" s="1">
        <v>3.3097332780336135</v>
      </c>
      <c r="I7673" s="1">
        <v>8.4365288738703548</v>
      </c>
      <c r="J7673" s="1">
        <v>1.3208766895931768E-2</v>
      </c>
      <c r="K7673" s="1">
        <v>1.0665448539587448</v>
      </c>
      <c r="L7673" s="1">
        <v>0.85514234781653353</v>
      </c>
      <c r="M7673" s="1">
        <v>6.9702347521166177E-2</v>
      </c>
      <c r="N7673" s="1">
        <v>0.4954391774331221</v>
      </c>
      <c r="O7673" s="1">
        <v>6.3991794871794863E-2</v>
      </c>
      <c r="P7673" s="1">
        <v>4.5670328924492506E-2</v>
      </c>
      <c r="Q7673" s="1">
        <v>1.0704187271492611</v>
      </c>
      <c r="R7673" s="2">
        <f t="shared" si="479"/>
        <v>32.856657856258522</v>
      </c>
      <c r="S7673" s="2">
        <f t="shared" si="478"/>
        <v>1.1254239497791689</v>
      </c>
      <c r="T7673" s="2">
        <f t="shared" si="480"/>
        <v>1.4842756676426168</v>
      </c>
      <c r="U7673" s="2">
        <f t="shared" si="481"/>
        <v>35.466357473680304</v>
      </c>
    </row>
    <row r="7674" spans="1:21" x14ac:dyDescent="0.25">
      <c r="A7674">
        <v>8832753</v>
      </c>
      <c r="B7674">
        <v>58</v>
      </c>
      <c r="C7674" s="1">
        <f>0.439027444654664*(10.3/7.3)</f>
        <v>0.61944968218397778</v>
      </c>
      <c r="D7674" s="1">
        <f>1.21533574367119*(10.3/7.3)</f>
        <v>1.7147887890155207</v>
      </c>
      <c r="E7674" s="1">
        <f>4.11970236546413*(10.3/7.3)</f>
        <v>5.8127307348329538</v>
      </c>
      <c r="F7674" s="1">
        <f>11.8403589855023*(38.9/42.5)</f>
        <v>10.837410930259722</v>
      </c>
      <c r="G7674" s="1">
        <v>0.64430427104848698</v>
      </c>
      <c r="H7674" s="1">
        <v>3.4098024102769964</v>
      </c>
      <c r="I7674" s="1">
        <v>8.1564112002327729</v>
      </c>
      <c r="J7674" s="1">
        <v>1.3421107166710765E-2</v>
      </c>
      <c r="K7674" s="1">
        <v>1.0742920318419793</v>
      </c>
      <c r="L7674" s="1">
        <v>0.85838637037355447</v>
      </c>
      <c r="M7674" s="1">
        <v>6.9460110638797951E-2</v>
      </c>
      <c r="N7674" s="1">
        <v>0.50488897932387566</v>
      </c>
      <c r="O7674" s="1">
        <v>6.3660689655172409E-2</v>
      </c>
      <c r="P7674" s="1">
        <v>4.5504155908087832E-2</v>
      </c>
      <c r="Q7674" s="1">
        <v>1.0297100222236111</v>
      </c>
      <c r="R7674" s="2">
        <f t="shared" si="479"/>
        <v>32.224608040074038</v>
      </c>
      <c r="S7674" s="2">
        <f t="shared" si="478"/>
        <v>1.1332172949167778</v>
      </c>
      <c r="T7674" s="2">
        <f t="shared" si="480"/>
        <v>1.4963961499914005</v>
      </c>
      <c r="U7674" s="2">
        <f t="shared" si="481"/>
        <v>34.854221484982212</v>
      </c>
    </row>
    <row r="7675" spans="1:21" x14ac:dyDescent="0.25">
      <c r="A7675">
        <v>8832761</v>
      </c>
      <c r="B7675">
        <v>16</v>
      </c>
      <c r="C7675" s="1">
        <f>0.498511982639708*(10.3/7.3)</f>
        <v>0.70337992071082078</v>
      </c>
      <c r="D7675" s="1">
        <f>1.41447095972703*(10.3/7.3)</f>
        <v>1.995760395231289</v>
      </c>
      <c r="E7675" s="1">
        <f>4.7913871264045*(10.3/7.3)</f>
        <v>6.7604503290364839</v>
      </c>
      <c r="F7675" s="1">
        <f>13.8168705606412*(38.9/42.5)</f>
        <v>12.646500348445722</v>
      </c>
      <c r="G7675" s="1">
        <v>0.75415602278751748</v>
      </c>
      <c r="H7675" s="1">
        <v>5.3012675416072108</v>
      </c>
      <c r="I7675" s="1">
        <v>9.498352745660112</v>
      </c>
      <c r="J7675" s="1">
        <v>1.4681484999975559E-2</v>
      </c>
      <c r="K7675" s="1">
        <v>1.1613589421108306</v>
      </c>
      <c r="L7675" s="1">
        <v>0.94351353402897464</v>
      </c>
      <c r="M7675" s="1">
        <v>7.303006806781949E-2</v>
      </c>
      <c r="N7675" s="1">
        <v>0.5532446787379488</v>
      </c>
      <c r="O7675" s="1">
        <v>6.8419999999999995E-2</v>
      </c>
      <c r="P7675" s="1">
        <v>4.8507881222212647E-2</v>
      </c>
      <c r="Q7675" s="1">
        <v>1.2052721825371295</v>
      </c>
      <c r="R7675" s="2">
        <f t="shared" si="479"/>
        <v>38.865139486016282</v>
      </c>
      <c r="S7675" s="2">
        <f t="shared" si="478"/>
        <v>1.2245483083330186</v>
      </c>
      <c r="T7675" s="2">
        <f t="shared" si="480"/>
        <v>1.6382082808347429</v>
      </c>
      <c r="U7675" s="2">
        <f t="shared" si="481"/>
        <v>41.727896075184049</v>
      </c>
    </row>
    <row r="7676" spans="1:21" x14ac:dyDescent="0.25">
      <c r="A7676">
        <v>8844637</v>
      </c>
      <c r="B7676">
        <v>71</v>
      </c>
      <c r="C7676" s="1">
        <f>0.408365784602199*(10.3/7.3)</f>
        <v>0.5761873399181715</v>
      </c>
      <c r="D7676" s="1">
        <f>1.23100656315337*(10.3/7.3)</f>
        <v>1.736899671298596</v>
      </c>
      <c r="E7676" s="1">
        <f>4.15486741830833*(10.3/7.3)</f>
        <v>5.8623471792569584</v>
      </c>
      <c r="F7676" s="1">
        <f>12.4978451157937*(38.9/42.5)</f>
        <v>11.439204117750043</v>
      </c>
      <c r="G7676" s="1">
        <v>0.69935598169791946</v>
      </c>
      <c r="H7676" s="1">
        <v>2.851140157302078</v>
      </c>
      <c r="I7676" s="1">
        <v>8.6372916647364395</v>
      </c>
      <c r="J7676" s="1">
        <v>1.3406013808615641E-2</v>
      </c>
      <c r="K7676" s="1">
        <v>1.3187738262356292</v>
      </c>
      <c r="L7676" s="1">
        <v>1.0201780084786853</v>
      </c>
      <c r="M7676" s="1">
        <v>0.10219991940653338</v>
      </c>
      <c r="N7676" s="1">
        <v>0.51314866091267319</v>
      </c>
      <c r="O7676" s="1">
        <v>0.1028093896713615</v>
      </c>
      <c r="P7676" s="1">
        <v>6.1938242853187067E-2</v>
      </c>
      <c r="Q7676" s="1">
        <v>1.1176922081930232</v>
      </c>
      <c r="R7676" s="2">
        <f t="shared" si="479"/>
        <v>32.920118320153222</v>
      </c>
      <c r="S7676" s="2">
        <f t="shared" si="478"/>
        <v>1.394118082897432</v>
      </c>
      <c r="T7676" s="2">
        <f t="shared" si="480"/>
        <v>1.7383359784692534</v>
      </c>
      <c r="U7676" s="2">
        <f t="shared" si="481"/>
        <v>36.052572381519909</v>
      </c>
    </row>
    <row r="7677" spans="1:21" x14ac:dyDescent="0.25">
      <c r="A7677">
        <v>8844645</v>
      </c>
      <c r="B7677">
        <v>65</v>
      </c>
      <c r="C7677" s="1">
        <f>0.382132189027662*(10.3/7.3)</f>
        <v>0.53917281465546829</v>
      </c>
      <c r="D7677" s="1">
        <f>1.1624167792818*(10.3/7.3)</f>
        <v>1.6401223050140443</v>
      </c>
      <c r="E7677" s="1">
        <f>3.9163793582444*(10.3/7.3)</f>
        <v>5.5258503273859292</v>
      </c>
      <c r="F7677" s="1">
        <f>12.1050550927299*(38.9/42.5)</f>
        <v>11.079685720169286</v>
      </c>
      <c r="G7677" s="1">
        <v>0.6868048217625673</v>
      </c>
      <c r="H7677" s="1">
        <v>3.4642253950557302</v>
      </c>
      <c r="I7677" s="1">
        <v>8.4223739029476814</v>
      </c>
      <c r="J7677" s="1">
        <v>1.3015537924833828E-2</v>
      </c>
      <c r="K7677" s="1">
        <v>1.2553740337102912</v>
      </c>
      <c r="L7677" s="1">
        <v>0.96277561279387402</v>
      </c>
      <c r="M7677" s="1">
        <v>9.6014008292021363E-2</v>
      </c>
      <c r="N7677" s="1">
        <v>0.49451383205008992</v>
      </c>
      <c r="O7677" s="1">
        <v>9.651774358974359E-2</v>
      </c>
      <c r="P7677" s="1">
        <v>5.8992272487733734E-2</v>
      </c>
      <c r="Q7677" s="1">
        <v>1.0976332767894914</v>
      </c>
      <c r="R7677" s="2">
        <f t="shared" si="479"/>
        <v>32.4558685637802</v>
      </c>
      <c r="S7677" s="2">
        <f t="shared" si="478"/>
        <v>1.3273818441228586</v>
      </c>
      <c r="T7677" s="2">
        <f t="shared" si="480"/>
        <v>1.6498211967257288</v>
      </c>
      <c r="U7677" s="2">
        <f t="shared" si="481"/>
        <v>35.433071604628793</v>
      </c>
    </row>
    <row r="7678" spans="1:21" x14ac:dyDescent="0.25">
      <c r="A7678">
        <v>8844653</v>
      </c>
      <c r="B7678">
        <v>36</v>
      </c>
      <c r="C7678" s="1">
        <f>0.352201700157589*(10.3/7.3)</f>
        <v>0.49694212487988604</v>
      </c>
      <c r="D7678" s="1">
        <f>1.09959851129766*(10.3/7.3)</f>
        <v>1.5514883104610815</v>
      </c>
      <c r="E7678" s="1">
        <f>3.69565822783869*(10.3/7.3)</f>
        <v>5.2144218831148583</v>
      </c>
      <c r="F7678" s="1">
        <f>11.7974224276233*(38.9/42.5)</f>
        <v>10.79811135140111</v>
      </c>
      <c r="G7678" s="1">
        <v>0.68033337783137093</v>
      </c>
      <c r="H7678" s="1">
        <v>3.9024181641675515</v>
      </c>
      <c r="I7678" s="1">
        <v>8.2595782232112285</v>
      </c>
      <c r="J7678" s="1">
        <v>1.2734090208954397E-2</v>
      </c>
      <c r="K7678" s="1">
        <v>1.2367002287513496</v>
      </c>
      <c r="L7678" s="1">
        <v>0.9507132051318149</v>
      </c>
      <c r="M7678" s="1">
        <v>9.5086877377512855E-2</v>
      </c>
      <c r="N7678" s="1">
        <v>0.49195342090877747</v>
      </c>
      <c r="O7678" s="1">
        <v>9.5222222222222236E-2</v>
      </c>
      <c r="P7678" s="1">
        <v>5.8107030127656473E-2</v>
      </c>
      <c r="Q7678" s="1">
        <v>1.0872907864884931</v>
      </c>
      <c r="R7678" s="2">
        <f t="shared" si="479"/>
        <v>31.990584221555576</v>
      </c>
      <c r="S7678" s="2">
        <f t="shared" si="478"/>
        <v>1.3075413490879604</v>
      </c>
      <c r="T7678" s="2">
        <f t="shared" si="480"/>
        <v>1.6329757256403274</v>
      </c>
      <c r="U7678" s="2">
        <f t="shared" si="481"/>
        <v>34.931101296283863</v>
      </c>
    </row>
    <row r="7679" spans="1:21" x14ac:dyDescent="0.25">
      <c r="A7679">
        <v>8844661</v>
      </c>
      <c r="B7679">
        <v>62</v>
      </c>
      <c r="C7679" s="1">
        <f>0.425200915152793*(10.3/7.3)</f>
        <v>0.59994101727037918</v>
      </c>
      <c r="D7679" s="1">
        <f>1.41635063129741*(10.3/7.3)</f>
        <v>1.9984125345703232</v>
      </c>
      <c r="E7679" s="1">
        <f>4.74593751529003*(10.3/7.3)</f>
        <v>6.6963227955462115</v>
      </c>
      <c r="F7679" s="1">
        <f>15.6024976003143*(38.9/42.5)</f>
        <v>14.280874274169996</v>
      </c>
      <c r="G7679" s="1">
        <v>0.91389504371237607</v>
      </c>
      <c r="H7679" s="1">
        <v>4.1531522627806128</v>
      </c>
      <c r="I7679" s="1">
        <v>10.94329998177772</v>
      </c>
      <c r="J7679" s="1">
        <v>1.3685837769975352E-2</v>
      </c>
      <c r="K7679" s="1">
        <v>1.3008516708460891</v>
      </c>
      <c r="L7679" s="1">
        <v>1.0152454532654274</v>
      </c>
      <c r="M7679" s="1">
        <v>0.1005183442920793</v>
      </c>
      <c r="N7679" s="1">
        <v>0.51960196786172097</v>
      </c>
      <c r="O7679" s="1">
        <v>0.10063569892473118</v>
      </c>
      <c r="P7679" s="1">
        <v>6.0823373454805575E-2</v>
      </c>
      <c r="Q7679" s="1">
        <v>1.4605628552480912</v>
      </c>
      <c r="R7679" s="2">
        <f t="shared" si="479"/>
        <v>41.046460765075715</v>
      </c>
      <c r="S7679" s="2">
        <f t="shared" si="478"/>
        <v>1.37536088207087</v>
      </c>
      <c r="T7679" s="2">
        <f t="shared" si="480"/>
        <v>1.736001464343959</v>
      </c>
      <c r="U7679" s="2">
        <f t="shared" si="481"/>
        <v>44.157823111490544</v>
      </c>
    </row>
    <row r="7680" spans="1:21" x14ac:dyDescent="0.25">
      <c r="A7680">
        <v>8844669</v>
      </c>
      <c r="B7680">
        <v>61</v>
      </c>
      <c r="C7680" s="1">
        <f>0.420677765115218*(10.3/7.3)</f>
        <v>0.59355903845023916</v>
      </c>
      <c r="D7680" s="1">
        <f>1.4137166086537*(10.3/7.3)</f>
        <v>1.9946960368675439</v>
      </c>
      <c r="E7680" s="1">
        <f>4.73448618562447*(10.3/7.3)</f>
        <v>6.680165439990696</v>
      </c>
      <c r="F7680" s="1">
        <f>15.6631702718538*(38.9/42.5)</f>
        <v>14.33640761353203</v>
      </c>
      <c r="G7680" s="1">
        <v>0.92024936105496691</v>
      </c>
      <c r="H7680" s="1">
        <v>6.507304005791072</v>
      </c>
      <c r="I7680" s="1">
        <v>10.995687086233932</v>
      </c>
      <c r="J7680" s="1">
        <v>1.3390298964869205E-2</v>
      </c>
      <c r="K7680" s="1">
        <v>1.2916853447532319</v>
      </c>
      <c r="L7680" s="1">
        <v>1.0061300878621113</v>
      </c>
      <c r="M7680" s="1">
        <v>9.9048094758033597E-2</v>
      </c>
      <c r="N7680" s="1">
        <v>0.5177115188026824</v>
      </c>
      <c r="O7680" s="1">
        <v>9.8691147540983626E-2</v>
      </c>
      <c r="P7680" s="1">
        <v>6.0156767024148301E-2</v>
      </c>
      <c r="Q7680" s="1">
        <v>1.4707181569371635</v>
      </c>
      <c r="R7680" s="2">
        <f t="shared" si="479"/>
        <v>43.498786738857646</v>
      </c>
      <c r="S7680" s="2">
        <f t="shared" si="478"/>
        <v>1.3652324107422493</v>
      </c>
      <c r="T7680" s="2">
        <f t="shared" si="480"/>
        <v>1.7215808489638111</v>
      </c>
      <c r="U7680" s="2">
        <f t="shared" si="481"/>
        <v>46.585599998563708</v>
      </c>
    </row>
    <row r="7681" spans="1:21" x14ac:dyDescent="0.25">
      <c r="A7681">
        <v>8844677</v>
      </c>
      <c r="B7681">
        <v>67</v>
      </c>
      <c r="C7681" s="1">
        <f>0.41303335933627*(10.3/7.3)</f>
        <v>0.58277309604980632</v>
      </c>
      <c r="D7681" s="1">
        <f>1.41850643475929*(10.3/7.3)</f>
        <v>2.0014542846603671</v>
      </c>
      <c r="E7681" s="1">
        <f>4.74205440403338*(10.3/7.3)</f>
        <v>6.6908438851429892</v>
      </c>
      <c r="F7681" s="1">
        <f>16.0356609178062*(38.9/42.5)</f>
        <v>14.677346110650859</v>
      </c>
      <c r="G7681" s="1">
        <v>0.9516612873716741</v>
      </c>
      <c r="H7681" s="1">
        <v>4.2992490533897501</v>
      </c>
      <c r="I7681" s="1">
        <v>11.301288263544926</v>
      </c>
      <c r="J7681" s="1">
        <v>1.3329232960809494E-2</v>
      </c>
      <c r="K7681" s="1">
        <v>1.2790635197315978</v>
      </c>
      <c r="L7681" s="1">
        <v>0.99464001590703022</v>
      </c>
      <c r="M7681" s="1">
        <v>9.8280153881284887E-2</v>
      </c>
      <c r="N7681" s="1">
        <v>0.51651353607653427</v>
      </c>
      <c r="O7681" s="1">
        <v>9.6511840796019918E-2</v>
      </c>
      <c r="P7681" s="1">
        <v>5.9691920559389267E-2</v>
      </c>
      <c r="Q7681" s="1">
        <v>1.5209198656624943</v>
      </c>
      <c r="R7681" s="2">
        <f t="shared" si="479"/>
        <v>42.025535846472863</v>
      </c>
      <c r="S7681" s="2">
        <f t="shared" si="478"/>
        <v>1.3520846732517966</v>
      </c>
      <c r="T7681" s="2">
        <f t="shared" si="480"/>
        <v>1.7059455466608693</v>
      </c>
      <c r="U7681" s="2">
        <f t="shared" si="481"/>
        <v>45.083566066385529</v>
      </c>
    </row>
    <row r="7682" spans="1:21" x14ac:dyDescent="0.25">
      <c r="A7682">
        <v>8844685</v>
      </c>
      <c r="B7682">
        <v>49</v>
      </c>
      <c r="C7682" s="1">
        <f>0.600740280778907*(10.3/7.3)</f>
        <v>0.84761984822229275</v>
      </c>
      <c r="D7682" s="1">
        <f>2.14320544915882*(10.3/7.3)</f>
        <v>3.0239748118268341</v>
      </c>
      <c r="E7682" s="1">
        <f>7.18743734559334*(10.3/7.3)</f>
        <v>10.141178720494707</v>
      </c>
      <c r="F7682" s="1">
        <f>22.8922383191521*(38.9/42.5)</f>
        <v>20.953131073294529</v>
      </c>
      <c r="G7682" s="1">
        <v>1.3251735405059877</v>
      </c>
      <c r="H7682" s="1">
        <v>5.5483737333532162</v>
      </c>
      <c r="I7682" s="1">
        <v>15.81798381067585</v>
      </c>
      <c r="J7682" s="1">
        <v>1.8487378982215304E-2</v>
      </c>
      <c r="K7682" s="1">
        <v>1.5827650193036753</v>
      </c>
      <c r="L7682" s="1">
        <v>1.309818599943873</v>
      </c>
      <c r="M7682" s="1">
        <v>0.12377514712868082</v>
      </c>
      <c r="N7682" s="1">
        <v>0.65487027476644033</v>
      </c>
      <c r="O7682" s="1">
        <v>0.12266557823129252</v>
      </c>
      <c r="P7682" s="1">
        <v>7.2217264256045646E-2</v>
      </c>
      <c r="Q7682" s="1">
        <v>2.1178572565164204</v>
      </c>
      <c r="R7682" s="2">
        <f t="shared" si="479"/>
        <v>59.775292794889836</v>
      </c>
      <c r="S7682" s="2">
        <f t="shared" si="478"/>
        <v>1.6734696625419363</v>
      </c>
      <c r="T7682" s="2">
        <f t="shared" si="480"/>
        <v>2.2111296000702865</v>
      </c>
      <c r="U7682" s="2">
        <f t="shared" si="481"/>
        <v>63.659892057502056</v>
      </c>
    </row>
    <row r="7683" spans="1:21" x14ac:dyDescent="0.25">
      <c r="A7683">
        <v>8844693</v>
      </c>
      <c r="B7683">
        <v>6</v>
      </c>
      <c r="C7683" s="1">
        <f>0.701458253677392*(10.3/7.3)</f>
        <v>0.98972876888727923</v>
      </c>
      <c r="D7683" s="1">
        <f>2.60968459938614*(10.3/7.3)</f>
        <v>3.6821577224215334</v>
      </c>
      <c r="E7683" s="1">
        <f>8.75125483567203*(10.3/7.3)</f>
        <v>12.347660932523551</v>
      </c>
      <c r="F7683" s="1">
        <f>27.5998964351607*(38.9/42.5)</f>
        <v>25.262022854770581</v>
      </c>
      <c r="G7683" s="1">
        <v>1.5927397523079898</v>
      </c>
      <c r="H7683" s="1">
        <v>6.4208928950344486</v>
      </c>
      <c r="I7683" s="1">
        <v>18.946590154856327</v>
      </c>
      <c r="J7683" s="1">
        <v>2.1232991601120726E-2</v>
      </c>
      <c r="K7683" s="1">
        <v>1.7646381645945777</v>
      </c>
      <c r="L7683" s="1">
        <v>1.5131733214325356</v>
      </c>
      <c r="M7683" s="1">
        <v>0.1392263032743688</v>
      </c>
      <c r="N7683" s="1">
        <v>0.73942043140847746</v>
      </c>
      <c r="O7683" s="1">
        <v>0.13819555555555557</v>
      </c>
      <c r="P7683" s="1">
        <v>7.942245667157255E-2</v>
      </c>
      <c r="Q7683" s="1">
        <v>2.5454744899899406</v>
      </c>
      <c r="R7683" s="2">
        <f t="shared" si="479"/>
        <v>71.787267570791656</v>
      </c>
      <c r="S7683" s="2">
        <f t="shared" si="478"/>
        <v>1.865293612867271</v>
      </c>
      <c r="T7683" s="2">
        <f t="shared" si="480"/>
        <v>2.5300156116709371</v>
      </c>
      <c r="U7683" s="2">
        <f t="shared" si="481"/>
        <v>76.182576795329865</v>
      </c>
    </row>
    <row r="7684" spans="1:21" x14ac:dyDescent="0.25">
      <c r="A7684">
        <v>8844701</v>
      </c>
      <c r="B7684">
        <v>12</v>
      </c>
      <c r="C7684" s="1">
        <f>0.395135344194378*(10.3/7.3)</f>
        <v>0.55751973221946483</v>
      </c>
      <c r="D7684" s="1">
        <f>1.37138572076018*(10.3/7.3)</f>
        <v>1.9349688936753271</v>
      </c>
      <c r="E7684" s="1">
        <f>4.59306729036396*(10.3/7.3)</f>
        <v>6.4806291905135289</v>
      </c>
      <c r="F7684" s="1">
        <f>15.0471310735867*(38.9/42.5)</f>
        <v>13.772550559118184</v>
      </c>
      <c r="G7684" s="1">
        <v>0.88124911576383769</v>
      </c>
      <c r="H7684" s="1">
        <v>4.3329410202388283</v>
      </c>
      <c r="I7684" s="1">
        <v>10.505244163680112</v>
      </c>
      <c r="J7684" s="1">
        <v>1.4374559928203431E-2</v>
      </c>
      <c r="K7684" s="1">
        <v>1.2613445327398705</v>
      </c>
      <c r="L7684" s="1">
        <v>0.99420346401097204</v>
      </c>
      <c r="M7684" s="1">
        <v>9.6634328574773901E-2</v>
      </c>
      <c r="N7684" s="1">
        <v>0.52192689686502458</v>
      </c>
      <c r="O7684" s="1">
        <v>9.444000000000001E-2</v>
      </c>
      <c r="P7684" s="1">
        <v>5.8675405990679802E-2</v>
      </c>
      <c r="Q7684" s="1">
        <v>1.4083889977960891</v>
      </c>
      <c r="R7684" s="2">
        <f t="shared" si="479"/>
        <v>39.873491673005368</v>
      </c>
      <c r="S7684" s="2">
        <f t="shared" si="478"/>
        <v>1.3343944986587537</v>
      </c>
      <c r="T7684" s="2">
        <f t="shared" si="480"/>
        <v>1.7072046894507706</v>
      </c>
      <c r="U7684" s="2">
        <f t="shared" si="481"/>
        <v>42.915090861114891</v>
      </c>
    </row>
    <row r="7685" spans="1:21" x14ac:dyDescent="0.25">
      <c r="A7685">
        <v>8844709</v>
      </c>
      <c r="B7685">
        <v>59</v>
      </c>
      <c r="C7685" s="1">
        <f>0.392845335073206*(10.3/7.3)</f>
        <v>0.55428862345945451</v>
      </c>
      <c r="D7685" s="1">
        <f>1.64129977168286*(10.3/7.3)</f>
        <v>2.3158065271689714</v>
      </c>
      <c r="E7685" s="1">
        <f>5.40007015419975*(10.3/7.3)</f>
        <v>7.6192770668845746</v>
      </c>
      <c r="F7685" s="1">
        <f>21.9047169474929*(38.9/42.5)</f>
        <v>20.049258570764071</v>
      </c>
      <c r="G7685" s="1">
        <v>1.3969819509339518</v>
      </c>
      <c r="H7685" s="1">
        <v>6.9467037218506515</v>
      </c>
      <c r="I7685" s="1">
        <v>15.913182215466104</v>
      </c>
      <c r="J7685" s="1">
        <v>1.3598245423853133E-2</v>
      </c>
      <c r="K7685" s="1">
        <v>1.249862756441803</v>
      </c>
      <c r="L7685" s="1">
        <v>0.98264424230426461</v>
      </c>
      <c r="M7685" s="1">
        <v>9.6729285671568757E-2</v>
      </c>
      <c r="N7685" s="1">
        <v>0.51648390433533764</v>
      </c>
      <c r="O7685" s="1">
        <v>9.2570395480226011E-2</v>
      </c>
      <c r="P7685" s="1">
        <v>5.8080498866663097E-2</v>
      </c>
      <c r="Q7685" s="1">
        <v>2.2326195562871405</v>
      </c>
      <c r="R7685" s="2">
        <f t="shared" si="479"/>
        <v>57.028118232814926</v>
      </c>
      <c r="S7685" s="2">
        <f t="shared" si="478"/>
        <v>1.3215415007323192</v>
      </c>
      <c r="T7685" s="2">
        <f t="shared" si="480"/>
        <v>1.6884278277913969</v>
      </c>
      <c r="U7685" s="2">
        <f t="shared" si="481"/>
        <v>60.038087561338635</v>
      </c>
    </row>
    <row r="7686" spans="1:21" x14ac:dyDescent="0.25">
      <c r="A7686">
        <v>8844717</v>
      </c>
      <c r="B7686">
        <v>63</v>
      </c>
      <c r="C7686" s="1">
        <f>0.325865286644605*(10.3/7.3)</f>
        <v>0.4597825277314283</v>
      </c>
      <c r="D7686" s="1">
        <f>1.03115077056431*(10.3/7.3)</f>
        <v>1.4549113612071702</v>
      </c>
      <c r="E7686" s="1">
        <f>3.47266095839805*(10.3/7.3)</f>
        <v>4.8997819002054692</v>
      </c>
      <c r="F7686" s="1">
        <f>10.6769311996742*(38.9/42.5)</f>
        <v>9.7725323215841797</v>
      </c>
      <c r="G7686" s="1">
        <v>0.60519966959266214</v>
      </c>
      <c r="H7686" s="1">
        <v>3.3927301820139344</v>
      </c>
      <c r="I7686" s="1">
        <v>7.3872178886208753</v>
      </c>
      <c r="J7686" s="1">
        <v>1.1843387858361785E-2</v>
      </c>
      <c r="K7686" s="1">
        <v>1.1105876359038362</v>
      </c>
      <c r="L7686" s="1">
        <v>0.84755598259422793</v>
      </c>
      <c r="M7686" s="1">
        <v>8.4059557470737734E-2</v>
      </c>
      <c r="N7686" s="1">
        <v>0.45839696963545679</v>
      </c>
      <c r="O7686" s="1">
        <v>8.0623915343915331E-2</v>
      </c>
      <c r="P7686" s="1">
        <v>5.2018889221638047E-2</v>
      </c>
      <c r="Q7686" s="1">
        <v>0.96721408382389029</v>
      </c>
      <c r="R7686" s="2">
        <f t="shared" si="479"/>
        <v>28.939369934779609</v>
      </c>
      <c r="S7686" s="2">
        <f t="shared" si="478"/>
        <v>1.1744499129838359</v>
      </c>
      <c r="T7686" s="2">
        <f t="shared" si="480"/>
        <v>1.4706364250443378</v>
      </c>
      <c r="U7686" s="2">
        <f t="shared" si="481"/>
        <v>31.584456272807781</v>
      </c>
    </row>
    <row r="7687" spans="1:21" x14ac:dyDescent="0.25">
      <c r="A7687">
        <v>8844725</v>
      </c>
      <c r="B7687">
        <v>62</v>
      </c>
      <c r="C7687" s="1">
        <f>0.29463764886519*(10.3/7.3)</f>
        <v>0.41572161415225495</v>
      </c>
      <c r="D7687" s="1">
        <f>0.88552787496952*(10.3/7.3)</f>
        <v>1.2494434400254872</v>
      </c>
      <c r="E7687" s="1">
        <f>2.99155600319015*(10.3/7.3)</f>
        <v>4.2209625798436425</v>
      </c>
      <c r="F7687" s="1">
        <f>8.86633906187055*(38.9/42.5)</f>
        <v>8.1153079883944521</v>
      </c>
      <c r="G7687" s="1">
        <v>0.4923418731735319</v>
      </c>
      <c r="H7687" s="1">
        <v>2.01713656277638</v>
      </c>
      <c r="I7687" s="1">
        <v>6.1032550249234001</v>
      </c>
      <c r="J7687" s="1">
        <v>1.0987981445627805E-2</v>
      </c>
      <c r="K7687" s="1">
        <v>1.0382469565755812</v>
      </c>
      <c r="L7687" s="1">
        <v>0.77933294135771514</v>
      </c>
      <c r="M7687" s="1">
        <v>7.8690245542878456E-2</v>
      </c>
      <c r="N7687" s="1">
        <v>0.42595272025165931</v>
      </c>
      <c r="O7687" s="1">
        <v>7.4165161290322565E-2</v>
      </c>
      <c r="P7687" s="1">
        <v>4.8887615275777931E-2</v>
      </c>
      <c r="Q7687" s="1">
        <v>0.78684774251477752</v>
      </c>
      <c r="R7687" s="2">
        <f t="shared" si="479"/>
        <v>23.401016825803925</v>
      </c>
      <c r="S7687" s="2">
        <f t="shared" si="478"/>
        <v>1.0981225532969869</v>
      </c>
      <c r="T7687" s="2">
        <f t="shared" si="480"/>
        <v>1.3581410684425754</v>
      </c>
      <c r="U7687" s="2">
        <f t="shared" si="481"/>
        <v>25.857280447543484</v>
      </c>
    </row>
    <row r="7688" spans="1:21" x14ac:dyDescent="0.25">
      <c r="A7688">
        <v>8844733</v>
      </c>
      <c r="B7688">
        <v>28</v>
      </c>
      <c r="C7688" s="1">
        <f>0.401691511827844*(10.3/7.3)</f>
        <v>0.56677021531873906</v>
      </c>
      <c r="D7688" s="1">
        <f>1.35619301487372*(10.3/7.3)</f>
        <v>1.9135326100273033</v>
      </c>
      <c r="E7688" s="1">
        <f>4.5638930230697*(10.3/7.3)</f>
        <v>6.4394654983038198</v>
      </c>
      <c r="F7688" s="1">
        <f>13.9381583758701*(38.9/42.5)</f>
        <v>12.757514372267016</v>
      </c>
      <c r="G7688" s="1">
        <v>0.78948000815418329</v>
      </c>
      <c r="H7688" s="1">
        <v>3.1102137205301674</v>
      </c>
      <c r="I7688" s="1">
        <v>9.5624441088453143</v>
      </c>
      <c r="J7688" s="1">
        <v>1.3406705356914097E-2</v>
      </c>
      <c r="K7688" s="1">
        <v>1.2447764582157881</v>
      </c>
      <c r="L7688" s="1">
        <v>0.98484068033736893</v>
      </c>
      <c r="M7688" s="1">
        <v>9.4591507238800512E-2</v>
      </c>
      <c r="N7688" s="1">
        <v>0.51584776129506227</v>
      </c>
      <c r="O7688" s="1">
        <v>9.1013333333333321E-2</v>
      </c>
      <c r="P7688" s="1">
        <v>5.7615632985536069E-2</v>
      </c>
      <c r="Q7688" s="1">
        <v>1.2617260404290609</v>
      </c>
      <c r="R7688" s="2">
        <f t="shared" si="479"/>
        <v>36.401146573875607</v>
      </c>
      <c r="S7688" s="2">
        <f t="shared" si="478"/>
        <v>1.3157987965582381</v>
      </c>
      <c r="T7688" s="2">
        <f t="shared" si="480"/>
        <v>1.6862932822045651</v>
      </c>
      <c r="U7688" s="2">
        <f t="shared" si="481"/>
        <v>39.403238652638414</v>
      </c>
    </row>
    <row r="7689" spans="1:21" x14ac:dyDescent="0.25">
      <c r="A7689">
        <v>8844981</v>
      </c>
      <c r="B7689">
        <v>2</v>
      </c>
      <c r="C7689" s="1">
        <f>0.423583336492423*(10.3/7.3)</f>
        <v>0.59765868025643309</v>
      </c>
      <c r="D7689" s="1">
        <f>1.16480060599987*(10.3/7.3)</f>
        <v>1.6434857865477606</v>
      </c>
      <c r="E7689" s="1">
        <f>3.94688176373492*(10.3/7.3)</f>
        <v>5.5688879680095473</v>
      </c>
      <c r="F7689" s="1">
        <f>11.4499107280731*(38.9/42.5)</f>
        <v>10.480035936989278</v>
      </c>
      <c r="G7689" s="1">
        <v>0.62601233351348762</v>
      </c>
      <c r="H7689" s="1">
        <v>3.1372183726484035</v>
      </c>
      <c r="I7689" s="1">
        <v>7.9154056449432675</v>
      </c>
      <c r="J7689" s="1">
        <v>1.3200606888706348E-2</v>
      </c>
      <c r="K7689" s="1">
        <v>1.0677036248803371</v>
      </c>
      <c r="L7689" s="1">
        <v>0.85544235596687779</v>
      </c>
      <c r="M7689" s="1">
        <v>6.9616877686322451E-2</v>
      </c>
      <c r="N7689" s="1">
        <v>0.496520776787304</v>
      </c>
      <c r="O7689" s="1">
        <v>6.389333333333333E-2</v>
      </c>
      <c r="P7689" s="1">
        <v>4.5570175695121645E-2</v>
      </c>
      <c r="Q7689" s="1">
        <v>1.0004763320991821</v>
      </c>
      <c r="R7689" s="2">
        <f t="shared" si="479"/>
        <v>30.969181055007358</v>
      </c>
      <c r="S7689" s="2">
        <f t="shared" ref="S7689:S7752" si="482">J7689+K7689+P7689</f>
        <v>1.1264744074641651</v>
      </c>
      <c r="T7689" s="2">
        <f t="shared" si="480"/>
        <v>1.4854733437738374</v>
      </c>
      <c r="U7689" s="2">
        <f t="shared" si="481"/>
        <v>33.58112880624536</v>
      </c>
    </row>
    <row r="7690" spans="1:21" x14ac:dyDescent="0.25">
      <c r="A7690">
        <v>8844989</v>
      </c>
      <c r="B7690">
        <v>48</v>
      </c>
      <c r="C7690" s="1">
        <f>0.441348810623247*(10.3/7.3)</f>
        <v>0.62272503416704705</v>
      </c>
      <c r="D7690" s="1">
        <f>1.21841622092063*(10.3/7.3)</f>
        <v>1.7191352158195226</v>
      </c>
      <c r="E7690" s="1">
        <f>4.13022739582123*(10.3/7.3)</f>
        <v>5.8275811201313257</v>
      </c>
      <c r="F7690" s="1">
        <f>11.8785124109886*(38.9/42.5)</f>
        <v>10.872332536175442</v>
      </c>
      <c r="G7690" s="1">
        <v>0.64652578505408387</v>
      </c>
      <c r="H7690" s="1">
        <v>3.6536288589629016</v>
      </c>
      <c r="I7690" s="1">
        <v>8.1870931802402307</v>
      </c>
      <c r="J7690" s="1">
        <v>1.33749318430654E-2</v>
      </c>
      <c r="K7690" s="1">
        <v>1.072920362783427</v>
      </c>
      <c r="L7690" s="1">
        <v>0.86100241986365045</v>
      </c>
      <c r="M7690" s="1">
        <v>6.9443508456167716E-2</v>
      </c>
      <c r="N7690" s="1">
        <v>0.50273872118463336</v>
      </c>
      <c r="O7690" s="1">
        <v>6.3867777777777773E-2</v>
      </c>
      <c r="P7690" s="1">
        <v>4.5534446608866963E-2</v>
      </c>
      <c r="Q7690" s="1">
        <v>1.0332603870727379</v>
      </c>
      <c r="R7690" s="2">
        <f t="shared" ref="R7690:R7753" si="483">C7690+D7690+E7690+F7690+G7690+H7690+I7690+Q7690</f>
        <v>32.56228211762329</v>
      </c>
      <c r="S7690" s="2">
        <f t="shared" si="482"/>
        <v>1.1318297412353593</v>
      </c>
      <c r="T7690" s="2">
        <f t="shared" ref="T7690:T7753" si="484">L7690+M7690+N7690+O7690</f>
        <v>1.4970524272822294</v>
      </c>
      <c r="U7690" s="2">
        <f t="shared" ref="U7690:U7753" si="485">R7690+S7690+T7690</f>
        <v>35.191164286140875</v>
      </c>
    </row>
    <row r="7691" spans="1:21" x14ac:dyDescent="0.25">
      <c r="A7691">
        <v>8844997</v>
      </c>
      <c r="B7691">
        <v>25</v>
      </c>
      <c r="C7691" s="1">
        <f>0.478794546745907*(10.3/7.3)</f>
        <v>0.67555942897025234</v>
      </c>
      <c r="D7691" s="1">
        <f>1.32099813117963*(10.3/7.3)</f>
        <v>1.8638740755000212</v>
      </c>
      <c r="E7691" s="1">
        <f>4.47812147039318*(10.3/7.3)</f>
        <v>6.3184453623355843</v>
      </c>
      <c r="F7691" s="1">
        <f>12.8738046770024*(38.9/42.5)</f>
        <v>11.783317692597478</v>
      </c>
      <c r="G7691" s="1">
        <v>0.70052008647234187</v>
      </c>
      <c r="H7691" s="1">
        <v>4.6229085209846774</v>
      </c>
      <c r="I7691" s="1">
        <v>8.8726936273627395</v>
      </c>
      <c r="J7691" s="1">
        <v>1.4355267495120611E-2</v>
      </c>
      <c r="K7691" s="1">
        <v>1.1372014450177474</v>
      </c>
      <c r="L7691" s="1">
        <v>0.91674441366241299</v>
      </c>
      <c r="M7691" s="1">
        <v>6.9981300375789493E-2</v>
      </c>
      <c r="N7691" s="1">
        <v>0.54250882714908077</v>
      </c>
      <c r="O7691" s="1">
        <v>6.6534399999999994E-2</v>
      </c>
      <c r="P7691" s="1">
        <v>4.7481036795451834E-2</v>
      </c>
      <c r="Q7691" s="1">
        <v>1.1195526496133332</v>
      </c>
      <c r="R7691" s="2">
        <f t="shared" si="483"/>
        <v>35.956871443836427</v>
      </c>
      <c r="S7691" s="2">
        <f t="shared" si="482"/>
        <v>1.19903774930832</v>
      </c>
      <c r="T7691" s="2">
        <f t="shared" si="484"/>
        <v>1.5957689411872833</v>
      </c>
      <c r="U7691" s="2">
        <f t="shared" si="485"/>
        <v>38.751678134332025</v>
      </c>
    </row>
    <row r="7692" spans="1:21" x14ac:dyDescent="0.25">
      <c r="A7692">
        <v>8856865</v>
      </c>
      <c r="B7692">
        <v>11</v>
      </c>
      <c r="C7692" s="1">
        <f>0.348729822663233*(10.3/7.3)</f>
        <v>0.49204344841524628</v>
      </c>
      <c r="D7692" s="1">
        <f>1.01072864130542*(10.3/7.3)</f>
        <v>1.4260965760884681</v>
      </c>
      <c r="E7692" s="1">
        <f>3.41753399944952*(10.3/7.3)</f>
        <v>4.822000026620552</v>
      </c>
      <c r="F7692" s="1">
        <f>10.0988766208472*(38.9/42.5)</f>
        <v>9.2434423659048655</v>
      </c>
      <c r="G7692" s="1">
        <v>0.55899688874678766</v>
      </c>
      <c r="H7692" s="1">
        <v>2.1361344008439338</v>
      </c>
      <c r="I7692" s="1">
        <v>6.9745431953245403</v>
      </c>
      <c r="J7692" s="1">
        <v>1.2323806694146592E-2</v>
      </c>
      <c r="K7692" s="1">
        <v>1.2424525461273619</v>
      </c>
      <c r="L7692" s="1">
        <v>0.94708412677199416</v>
      </c>
      <c r="M7692" s="1">
        <v>9.655641129618292E-2</v>
      </c>
      <c r="N7692" s="1">
        <v>0.47733172693483045</v>
      </c>
      <c r="O7692" s="1">
        <v>9.5544242424242407E-2</v>
      </c>
      <c r="P7692" s="1">
        <v>5.8646143299040915E-2</v>
      </c>
      <c r="Q7692" s="1">
        <v>0.89337402311130532</v>
      </c>
      <c r="R7692" s="2">
        <f t="shared" si="483"/>
        <v>26.546630925055698</v>
      </c>
      <c r="S7692" s="2">
        <f t="shared" si="482"/>
        <v>1.3134224961205494</v>
      </c>
      <c r="T7692" s="2">
        <f t="shared" si="484"/>
        <v>1.6165165074272498</v>
      </c>
      <c r="U7692" s="2">
        <f t="shared" si="485"/>
        <v>29.476569928603496</v>
      </c>
    </row>
    <row r="7693" spans="1:21" x14ac:dyDescent="0.25">
      <c r="A7693">
        <v>8856873</v>
      </c>
      <c r="B7693">
        <v>64</v>
      </c>
      <c r="C7693" s="1">
        <f>0.379990920573164*(10.3/7.3)</f>
        <v>0.53615157286350534</v>
      </c>
      <c r="D7693" s="1">
        <f>1.13477219492467*(10.3/7.3)</f>
        <v>1.6011169325649504</v>
      </c>
      <c r="E7693" s="1">
        <f>3.8301337374468*(10.3/7.3)</f>
        <v>5.4041613007810971</v>
      </c>
      <c r="F7693" s="1">
        <f>11.5529260583387*(38.9/42.5)</f>
        <v>10.574325262808825</v>
      </c>
      <c r="G7693" s="1">
        <v>0.6471159072298186</v>
      </c>
      <c r="H7693" s="1">
        <v>2.5494518021022627</v>
      </c>
      <c r="I7693" s="1">
        <v>7.9988549211504241</v>
      </c>
      <c r="J7693" s="1">
        <v>1.2907428029106043E-2</v>
      </c>
      <c r="K7693" s="1">
        <v>1.2754888442900916</v>
      </c>
      <c r="L7693" s="1">
        <v>0.98031007100982159</v>
      </c>
      <c r="M7693" s="1">
        <v>9.8257298500018658E-2</v>
      </c>
      <c r="N7693" s="1">
        <v>0.49522714352724811</v>
      </c>
      <c r="O7693" s="1">
        <v>9.8573333333333304E-2</v>
      </c>
      <c r="P7693" s="1">
        <v>6.010391527563546E-2</v>
      </c>
      <c r="Q7693" s="1">
        <v>1.0342035047051907</v>
      </c>
      <c r="R7693" s="2">
        <f t="shared" si="483"/>
        <v>30.34538120420607</v>
      </c>
      <c r="S7693" s="2">
        <f t="shared" si="482"/>
        <v>1.348500187594833</v>
      </c>
      <c r="T7693" s="2">
        <f t="shared" si="484"/>
        <v>1.6723678463704219</v>
      </c>
      <c r="U7693" s="2">
        <f t="shared" si="485"/>
        <v>33.366249238171328</v>
      </c>
    </row>
    <row r="7694" spans="1:21" x14ac:dyDescent="0.25">
      <c r="A7694">
        <v>8856881</v>
      </c>
      <c r="B7694">
        <v>65</v>
      </c>
      <c r="C7694" s="1">
        <f>0.372472080822095*(10.3/7.3)</f>
        <v>0.52554279896816203</v>
      </c>
      <c r="D7694" s="1">
        <f>1.14263997550019*(10.3/7.3)</f>
        <v>1.6122180476235539</v>
      </c>
      <c r="E7694" s="1">
        <f>3.84740636175654*(10.3/7.3)</f>
        <v>5.4285322638482683</v>
      </c>
      <c r="F7694" s="1">
        <f>11.9808209219665*(38.9/42.5)</f>
        <v>10.965974914458728</v>
      </c>
      <c r="G7694" s="1">
        <v>0.68243544162502878</v>
      </c>
      <c r="H7694" s="1">
        <v>3.7745119209042652</v>
      </c>
      <c r="I7694" s="1">
        <v>8.3458838844047509</v>
      </c>
      <c r="J7694" s="1">
        <v>1.2992298224255823E-2</v>
      </c>
      <c r="K7694" s="1">
        <v>1.2696684062490968</v>
      </c>
      <c r="L7694" s="1">
        <v>0.97850883330114691</v>
      </c>
      <c r="M7694" s="1">
        <v>9.7751414681929133E-2</v>
      </c>
      <c r="N7694" s="1">
        <v>0.50026634354226707</v>
      </c>
      <c r="O7694" s="1">
        <v>9.7957743589743559E-2</v>
      </c>
      <c r="P7694" s="1">
        <v>5.9516924538574101E-2</v>
      </c>
      <c r="Q7694" s="1">
        <v>1.0906502491724219</v>
      </c>
      <c r="R7694" s="2">
        <f t="shared" si="483"/>
        <v>32.425749521005173</v>
      </c>
      <c r="S7694" s="2">
        <f t="shared" si="482"/>
        <v>1.3421776290119267</v>
      </c>
      <c r="T7694" s="2">
        <f t="shared" si="484"/>
        <v>1.6744843351150869</v>
      </c>
      <c r="U7694" s="2">
        <f t="shared" si="485"/>
        <v>35.44241148513219</v>
      </c>
    </row>
    <row r="7695" spans="1:21" x14ac:dyDescent="0.25">
      <c r="A7695">
        <v>8856889</v>
      </c>
      <c r="B7695">
        <v>57</v>
      </c>
      <c r="C7695" s="1">
        <f>0.370084361753487*(10.3/7.3)</f>
        <v>0.52217382548779723</v>
      </c>
      <c r="D7695" s="1">
        <f>1.16625405242991*(10.3/7.3)</f>
        <v>1.6455365397298796</v>
      </c>
      <c r="E7695" s="1">
        <f>3.91908320363049*(10.3/7.3)</f>
        <v>5.5296653421087729</v>
      </c>
      <c r="F7695" s="1">
        <f>12.5066892954283*(38.9/42.5)</f>
        <v>11.447299143344974</v>
      </c>
      <c r="G7695" s="1">
        <v>0.72138906544718573</v>
      </c>
      <c r="H7695" s="1">
        <v>3.2030947636769831</v>
      </c>
      <c r="I7695" s="1">
        <v>8.7473305879274417</v>
      </c>
      <c r="J7695" s="1">
        <v>1.2777998682921638E-2</v>
      </c>
      <c r="K7695" s="1">
        <v>1.2412251615547369</v>
      </c>
      <c r="L7695" s="1">
        <v>0.95643327575118264</v>
      </c>
      <c r="M7695" s="1">
        <v>9.549941739591529E-2</v>
      </c>
      <c r="N7695" s="1">
        <v>0.4915372261146968</v>
      </c>
      <c r="O7695" s="1">
        <v>9.5367485380116995E-2</v>
      </c>
      <c r="P7695" s="1">
        <v>5.8337441955293681E-2</v>
      </c>
      <c r="Q7695" s="1">
        <v>1.1529048991165076</v>
      </c>
      <c r="R7695" s="2">
        <f t="shared" si="483"/>
        <v>32.969394166839542</v>
      </c>
      <c r="S7695" s="2">
        <f t="shared" si="482"/>
        <v>1.3123406021929525</v>
      </c>
      <c r="T7695" s="2">
        <f t="shared" si="484"/>
        <v>1.6388374046419119</v>
      </c>
      <c r="U7695" s="2">
        <f t="shared" si="485"/>
        <v>35.920572173674408</v>
      </c>
    </row>
    <row r="7696" spans="1:21" x14ac:dyDescent="0.25">
      <c r="A7696">
        <v>8856897</v>
      </c>
      <c r="B7696">
        <v>52</v>
      </c>
      <c r="C7696" s="1">
        <f>0.39052281869375*(10.3/7.3)</f>
        <v>0.55101164829392113</v>
      </c>
      <c r="D7696" s="1">
        <f>1.25425538789455*(10.3/7.3)</f>
        <v>1.7697028075772399</v>
      </c>
      <c r="E7696" s="1">
        <f>4.21207985899384*(10.3/7.3)</f>
        <v>5.9430715818680273</v>
      </c>
      <c r="F7696" s="1">
        <f>13.5070608492235*(38.9/42.5)</f>
        <v>12.362933341995161</v>
      </c>
      <c r="G7696" s="1">
        <v>0.78138366160028438</v>
      </c>
      <c r="H7696" s="1">
        <v>3.240607163957109</v>
      </c>
      <c r="I7696" s="1">
        <v>9.4420404490233096</v>
      </c>
      <c r="J7696" s="1">
        <v>1.2871432197232906E-2</v>
      </c>
      <c r="K7696" s="1">
        <v>1.2518789970848871</v>
      </c>
      <c r="L7696" s="1">
        <v>0.96513124821585938</v>
      </c>
      <c r="M7696" s="1">
        <v>9.6422749321304541E-2</v>
      </c>
      <c r="N7696" s="1">
        <v>0.4963549929544574</v>
      </c>
      <c r="O7696" s="1">
        <v>9.5453333333333307E-2</v>
      </c>
      <c r="P7696" s="1">
        <v>5.8716152057945774E-2</v>
      </c>
      <c r="Q7696" s="1">
        <v>1.2487866737904103</v>
      </c>
      <c r="R7696" s="2">
        <f t="shared" si="483"/>
        <v>35.339537328105457</v>
      </c>
      <c r="S7696" s="2">
        <f t="shared" si="482"/>
        <v>1.3234665813400659</v>
      </c>
      <c r="T7696" s="2">
        <f t="shared" si="484"/>
        <v>1.6533623238249548</v>
      </c>
      <c r="U7696" s="2">
        <f t="shared" si="485"/>
        <v>38.316366233270479</v>
      </c>
    </row>
    <row r="7697" spans="1:21" x14ac:dyDescent="0.25">
      <c r="A7697">
        <v>8856905</v>
      </c>
      <c r="B7697">
        <v>47</v>
      </c>
      <c r="C7697" s="1">
        <f>0.396974054083153*(10.3/7.3)</f>
        <v>0.56011407630910559</v>
      </c>
      <c r="D7697" s="1">
        <f>1.31332998558311*(10.3/7.3)</f>
        <v>1.8530546371926067</v>
      </c>
      <c r="E7697" s="1">
        <f>4.40219546715136*(10.3/7.3)</f>
        <v>6.2113168920080772</v>
      </c>
      <c r="F7697" s="1">
        <f>14.4239509408874*(38.9/42.5)</f>
        <v>13.202157449423959</v>
      </c>
      <c r="G7697" s="1">
        <v>0.84341813708343649</v>
      </c>
      <c r="H7697" s="1">
        <v>3.5625465570672827</v>
      </c>
      <c r="I7697" s="1">
        <v>10.113845501108878</v>
      </c>
      <c r="J7697" s="1">
        <v>1.2961633264337049E-2</v>
      </c>
      <c r="K7697" s="1">
        <v>1.2560294959622869</v>
      </c>
      <c r="L7697" s="1">
        <v>0.97319132819370124</v>
      </c>
      <c r="M7697" s="1">
        <v>9.6313651557961719E-2</v>
      </c>
      <c r="N7697" s="1">
        <v>0.50204682845428661</v>
      </c>
      <c r="O7697" s="1">
        <v>9.5153475177304964E-2</v>
      </c>
      <c r="P7697" s="1">
        <v>5.8734530822422783E-2</v>
      </c>
      <c r="Q7697" s="1">
        <v>1.3479285295854024</v>
      </c>
      <c r="R7697" s="2">
        <f t="shared" si="483"/>
        <v>37.694381779778745</v>
      </c>
      <c r="S7697" s="2">
        <f t="shared" si="482"/>
        <v>1.3277256600490466</v>
      </c>
      <c r="T7697" s="2">
        <f t="shared" si="484"/>
        <v>1.6667052833832545</v>
      </c>
      <c r="U7697" s="2">
        <f t="shared" si="485"/>
        <v>40.688812723211043</v>
      </c>
    </row>
    <row r="7698" spans="1:21" x14ac:dyDescent="0.25">
      <c r="A7698">
        <v>8856913</v>
      </c>
      <c r="B7698">
        <v>54</v>
      </c>
      <c r="C7698" s="1">
        <f>0.42211555742676*(10.3/7.3)</f>
        <v>0.59558770431446928</v>
      </c>
      <c r="D7698" s="1">
        <f>1.41402629051574*(10.3/7.3)</f>
        <v>1.9951329852482342</v>
      </c>
      <c r="E7698" s="1">
        <f>4.74566724326881*(10.3/7.3)</f>
        <v>6.6959414528313346</v>
      </c>
      <c r="F7698" s="1">
        <f>15.1884433040546*(38.9/42.5)</f>
        <v>13.901892812417053</v>
      </c>
      <c r="G7698" s="1">
        <v>0.87922442048749538</v>
      </c>
      <c r="H7698" s="1">
        <v>3.4745452537209851</v>
      </c>
      <c r="I7698" s="1">
        <v>10.569481372315343</v>
      </c>
      <c r="J7698" s="1">
        <v>1.4032431980815859E-2</v>
      </c>
      <c r="K7698" s="1">
        <v>1.3176514249168423</v>
      </c>
      <c r="L7698" s="1">
        <v>1.0400987819516474</v>
      </c>
      <c r="M7698" s="1">
        <v>0.10239524456646462</v>
      </c>
      <c r="N7698" s="1">
        <v>0.53180077251035918</v>
      </c>
      <c r="O7698" s="1">
        <v>0.10017777777777777</v>
      </c>
      <c r="P7698" s="1">
        <v>6.1359637656447814E-2</v>
      </c>
      <c r="Q7698" s="1">
        <v>1.4051531834275053</v>
      </c>
      <c r="R7698" s="2">
        <f t="shared" si="483"/>
        <v>39.51695918476242</v>
      </c>
      <c r="S7698" s="2">
        <f t="shared" si="482"/>
        <v>1.3930434945541059</v>
      </c>
      <c r="T7698" s="2">
        <f t="shared" si="484"/>
        <v>1.7744725768062488</v>
      </c>
      <c r="U7698" s="2">
        <f t="shared" si="485"/>
        <v>42.684475256122774</v>
      </c>
    </row>
    <row r="7699" spans="1:21" x14ac:dyDescent="0.25">
      <c r="A7699">
        <v>8856921</v>
      </c>
      <c r="B7699">
        <v>49</v>
      </c>
      <c r="C7699" s="1">
        <f>0.520830751735925*(10.3/7.3)</f>
        <v>0.73487078669589367</v>
      </c>
      <c r="D7699" s="1">
        <f>1.81525590415666*(10.3/7.3)</f>
        <v>2.5612514812073379</v>
      </c>
      <c r="E7699" s="1">
        <f>6.09719370530903*(10.3/7.3)</f>
        <v>8.602889748586712</v>
      </c>
      <c r="F7699" s="1">
        <f>19.0465564177566*(38.9/42.5)</f>
        <v>17.433201050605479</v>
      </c>
      <c r="G7699" s="1">
        <v>1.0918267509722381</v>
      </c>
      <c r="H7699" s="1">
        <v>4.0700948255843201</v>
      </c>
      <c r="I7699" s="1">
        <v>13.114620438406771</v>
      </c>
      <c r="J7699" s="1">
        <v>1.679529323903067E-2</v>
      </c>
      <c r="K7699" s="1">
        <v>1.4623148568527979</v>
      </c>
      <c r="L7699" s="1">
        <v>1.1956734176303434</v>
      </c>
      <c r="M7699" s="1">
        <v>0.1139633388767741</v>
      </c>
      <c r="N7699" s="1">
        <v>0.60998430615817145</v>
      </c>
      <c r="O7699" s="1">
        <v>0.11211210884353741</v>
      </c>
      <c r="P7699" s="1">
        <v>6.7065281728853149E-2</v>
      </c>
      <c r="Q7699" s="1">
        <v>1.7449285974442188</v>
      </c>
      <c r="R7699" s="2">
        <f t="shared" si="483"/>
        <v>49.353683679502971</v>
      </c>
      <c r="S7699" s="2">
        <f t="shared" si="482"/>
        <v>1.5461754318206817</v>
      </c>
      <c r="T7699" s="2">
        <f t="shared" si="484"/>
        <v>2.0317331715088263</v>
      </c>
      <c r="U7699" s="2">
        <f t="shared" si="485"/>
        <v>52.931592282832476</v>
      </c>
    </row>
    <row r="7700" spans="1:21" x14ac:dyDescent="0.25">
      <c r="A7700">
        <v>8856929</v>
      </c>
      <c r="B7700">
        <v>27</v>
      </c>
      <c r="C7700" s="1">
        <f>0.425611674397235*(10.3/7.3)</f>
        <v>0.60052058168376976</v>
      </c>
      <c r="D7700" s="1">
        <f>1.43115603498596*(10.3/7.3)</f>
        <v>2.0193023507336174</v>
      </c>
      <c r="E7700" s="1">
        <f>4.80897119196408*(10.3/7.3)</f>
        <v>6.7852607229082178</v>
      </c>
      <c r="F7700" s="1">
        <f>15.0743363149921*(38.9/42.5)</f>
        <v>13.797451356545716</v>
      </c>
      <c r="G7700" s="1">
        <v>0.86439983613343241</v>
      </c>
      <c r="H7700" s="1">
        <v>3.7291453111713735</v>
      </c>
      <c r="I7700" s="1">
        <v>10.424901940594031</v>
      </c>
      <c r="J7700" s="1">
        <v>1.4118238990128503E-2</v>
      </c>
      <c r="K7700" s="1">
        <v>1.2836104287518693</v>
      </c>
      <c r="L7700" s="1">
        <v>1.0151724313353701</v>
      </c>
      <c r="M7700" s="1">
        <v>9.9686313975279744E-2</v>
      </c>
      <c r="N7700" s="1">
        <v>0.52071164153323068</v>
      </c>
      <c r="O7700" s="1">
        <v>9.6549135802469141E-2</v>
      </c>
      <c r="P7700" s="1">
        <v>5.9676847857410911E-2</v>
      </c>
      <c r="Q7700" s="1">
        <v>1.3814609253274053</v>
      </c>
      <c r="R7700" s="2">
        <f t="shared" si="483"/>
        <v>39.602443025097557</v>
      </c>
      <c r="S7700" s="2">
        <f t="shared" si="482"/>
        <v>1.3574055155994087</v>
      </c>
      <c r="T7700" s="2">
        <f t="shared" si="484"/>
        <v>1.7321195226463495</v>
      </c>
      <c r="U7700" s="2">
        <f t="shared" si="485"/>
        <v>42.691968063343317</v>
      </c>
    </row>
    <row r="7701" spans="1:21" x14ac:dyDescent="0.25">
      <c r="A7701">
        <v>8856937</v>
      </c>
      <c r="B7701">
        <v>69</v>
      </c>
      <c r="C7701" s="1">
        <f>0.441155509219204*(10.3/7.3)</f>
        <v>0.62245229382983547</v>
      </c>
      <c r="D7701" s="1">
        <f>1.57853092194154*(10.3/7.3)</f>
        <v>2.2272422597257298</v>
      </c>
      <c r="E7701" s="1">
        <f>5.27626978344402*(10.3/7.3)</f>
        <v>7.4445998314347186</v>
      </c>
      <c r="F7701" s="1">
        <f>17.6948928569034*(38.9/42.5)</f>
        <v>16.196031344318683</v>
      </c>
      <c r="G7701" s="1">
        <v>1.0478486142193466</v>
      </c>
      <c r="H7701" s="1">
        <v>5.6902430069419783</v>
      </c>
      <c r="I7701" s="1">
        <v>12.400370341456101</v>
      </c>
      <c r="J7701" s="1">
        <v>1.4498719759882039E-2</v>
      </c>
      <c r="K7701" s="1">
        <v>1.3158105326548031</v>
      </c>
      <c r="L7701" s="1">
        <v>1.0492437955405851</v>
      </c>
      <c r="M7701" s="1">
        <v>0.10053071115957588</v>
      </c>
      <c r="N7701" s="1">
        <v>0.54109152282119022</v>
      </c>
      <c r="O7701" s="1">
        <v>9.8696811594202932E-2</v>
      </c>
      <c r="P7701" s="1">
        <v>6.1141130068772087E-2</v>
      </c>
      <c r="Q7701" s="1">
        <v>1.6746439040035235</v>
      </c>
      <c r="R7701" s="2">
        <f t="shared" si="483"/>
        <v>47.303431595929922</v>
      </c>
      <c r="S7701" s="2">
        <f t="shared" si="482"/>
        <v>1.3914503824834572</v>
      </c>
      <c r="T7701" s="2">
        <f t="shared" si="484"/>
        <v>1.7895628411155542</v>
      </c>
      <c r="U7701" s="2">
        <f t="shared" si="485"/>
        <v>50.484444819528932</v>
      </c>
    </row>
    <row r="7702" spans="1:21" x14ac:dyDescent="0.25">
      <c r="A7702">
        <v>8856945</v>
      </c>
      <c r="B7702">
        <v>70</v>
      </c>
      <c r="C7702" s="1">
        <f>0.320138419451648*(10.3/7.3)</f>
        <v>0.45170215347287357</v>
      </c>
      <c r="D7702" s="1">
        <f>1.01620820957677*(10.3/7.3)</f>
        <v>1.4338280217316044</v>
      </c>
      <c r="E7702" s="1">
        <f>3.41504087700063*(10.3/7.3)</f>
        <v>4.8184823333022582</v>
      </c>
      <c r="F7702" s="1">
        <f>10.8658125416671*(38.9/42.5)</f>
        <v>9.945414302843508</v>
      </c>
      <c r="G7702" s="1">
        <v>0.62605831705964876</v>
      </c>
      <c r="H7702" s="1">
        <v>2.7417147879424189</v>
      </c>
      <c r="I7702" s="1">
        <v>7.5880860486605926</v>
      </c>
      <c r="J7702" s="1">
        <v>1.1756826501714529E-2</v>
      </c>
      <c r="K7702" s="1">
        <v>1.104108116145903</v>
      </c>
      <c r="L7702" s="1">
        <v>0.84037881828601757</v>
      </c>
      <c r="M7702" s="1">
        <v>8.4371018596428649E-2</v>
      </c>
      <c r="N7702" s="1">
        <v>0.45363155583519532</v>
      </c>
      <c r="O7702" s="1">
        <v>8.032761904761905E-2</v>
      </c>
      <c r="P7702" s="1">
        <v>5.1848206270243766E-2</v>
      </c>
      <c r="Q7702" s="1">
        <v>1.0005498217848281</v>
      </c>
      <c r="R7702" s="2">
        <f t="shared" si="483"/>
        <v>28.605835786797734</v>
      </c>
      <c r="S7702" s="2">
        <f t="shared" si="482"/>
        <v>1.1677131489178612</v>
      </c>
      <c r="T7702" s="2">
        <f t="shared" si="484"/>
        <v>1.4587090117652606</v>
      </c>
      <c r="U7702" s="2">
        <f t="shared" si="485"/>
        <v>31.232257947480857</v>
      </c>
    </row>
    <row r="7703" spans="1:21" x14ac:dyDescent="0.25">
      <c r="A7703">
        <v>8856953</v>
      </c>
      <c r="B7703">
        <v>70</v>
      </c>
      <c r="C7703" s="1">
        <f>0.307020394301762*(10.3/7.3)</f>
        <v>0.43319315908330819</v>
      </c>
      <c r="D7703" s="1">
        <f>0.925469790005718*(10.3/7.3)</f>
        <v>1.3057998406929994</v>
      </c>
      <c r="E7703" s="1">
        <f>3.12465849715711*(10.3/7.3)</f>
        <v>4.4087647288655143</v>
      </c>
      <c r="F7703" s="1">
        <f>9.34594346723955*(38.9/42.5)</f>
        <v>8.5542870794263148</v>
      </c>
      <c r="G7703" s="1">
        <v>0.52148253637996922</v>
      </c>
      <c r="H7703" s="1">
        <v>2.717754907351329</v>
      </c>
      <c r="I7703" s="1">
        <v>6.4484711709503069</v>
      </c>
      <c r="J7703" s="1">
        <v>1.1199511996802157E-2</v>
      </c>
      <c r="K7703" s="1">
        <v>1.05878333652437</v>
      </c>
      <c r="L7703" s="1">
        <v>0.79796103855888278</v>
      </c>
      <c r="M7703" s="1">
        <v>7.9753135708468967E-2</v>
      </c>
      <c r="N7703" s="1">
        <v>0.43500332640245826</v>
      </c>
      <c r="O7703" s="1">
        <v>7.6139428571428566E-2</v>
      </c>
      <c r="P7703" s="1">
        <v>4.9831320747889318E-2</v>
      </c>
      <c r="Q7703" s="1">
        <v>0.83341957868944938</v>
      </c>
      <c r="R7703" s="2">
        <f t="shared" si="483"/>
        <v>25.223173001439193</v>
      </c>
      <c r="S7703" s="2">
        <f t="shared" si="482"/>
        <v>1.1198141692690615</v>
      </c>
      <c r="T7703" s="2">
        <f t="shared" si="484"/>
        <v>1.3888569292412385</v>
      </c>
      <c r="U7703" s="2">
        <f t="shared" si="485"/>
        <v>27.731844099949495</v>
      </c>
    </row>
    <row r="7704" spans="1:21" x14ac:dyDescent="0.25">
      <c r="A7704">
        <v>8856961</v>
      </c>
      <c r="B7704">
        <v>69</v>
      </c>
      <c r="C7704" s="1">
        <f>0.387804610320555*(10.3/7.3)</f>
        <v>0.54717636798653602</v>
      </c>
      <c r="D7704" s="1">
        <f>1.27304384766871*(10.3/7.3)</f>
        <v>1.7962125521901005</v>
      </c>
      <c r="E7704" s="1">
        <f>4.28684355154416*(10.3/7.3)</f>
        <v>6.0485600795760108</v>
      </c>
      <c r="F7704" s="1">
        <f>13.0576113403258*(38.9/42.5)</f>
        <v>11.951554850321743</v>
      </c>
      <c r="G7704" s="1">
        <v>0.73785175955902083</v>
      </c>
      <c r="H7704" s="1">
        <v>2.907279199251144</v>
      </c>
      <c r="I7704" s="1">
        <v>8.9763418567583155</v>
      </c>
      <c r="J7704" s="1">
        <v>1.2853217641974078E-2</v>
      </c>
      <c r="K7704" s="1">
        <v>1.2034476090806621</v>
      </c>
      <c r="L7704" s="1">
        <v>0.9388015878952054</v>
      </c>
      <c r="M7704" s="1">
        <v>9.1421584553070534E-2</v>
      </c>
      <c r="N7704" s="1">
        <v>0.49676836409468977</v>
      </c>
      <c r="O7704" s="1">
        <v>8.7322125603864723E-2</v>
      </c>
      <c r="P7704" s="1">
        <v>5.5992161427196319E-2</v>
      </c>
      <c r="Q7704" s="1">
        <v>1.1792151408477516</v>
      </c>
      <c r="R7704" s="2">
        <f t="shared" si="483"/>
        <v>34.144191806490625</v>
      </c>
      <c r="S7704" s="2">
        <f t="shared" si="482"/>
        <v>1.2722929881498324</v>
      </c>
      <c r="T7704" s="2">
        <f t="shared" si="484"/>
        <v>1.6143136621468306</v>
      </c>
      <c r="U7704" s="2">
        <f t="shared" si="485"/>
        <v>37.030798456787281</v>
      </c>
    </row>
    <row r="7705" spans="1:21" x14ac:dyDescent="0.25">
      <c r="A7705">
        <v>8856969</v>
      </c>
      <c r="B7705">
        <v>38</v>
      </c>
      <c r="C7705" s="1">
        <f>0.478746751729095*(10.3/7.3)</f>
        <v>0.67549199216570988</v>
      </c>
      <c r="D7705" s="1">
        <f>1.68677299798944*(10.3/7.3)</f>
        <v>2.3799673807248287</v>
      </c>
      <c r="E7705" s="1">
        <f>5.66864452600715*(10.3/7.3)</f>
        <v>7.9982244682018742</v>
      </c>
      <c r="F7705" s="1">
        <f>17.5001591459368*(38.9/42.5)</f>
        <v>16.017792724163325</v>
      </c>
      <c r="G7705" s="1">
        <v>0.99798412925088165</v>
      </c>
      <c r="H7705" s="1">
        <v>3.805906319476847</v>
      </c>
      <c r="I7705" s="1">
        <v>11.995914620837201</v>
      </c>
      <c r="J7705" s="1">
        <v>1.4765902422092855E-2</v>
      </c>
      <c r="K7705" s="1">
        <v>1.3588886472460278</v>
      </c>
      <c r="L7705" s="1">
        <v>1.0994762577347923</v>
      </c>
      <c r="M7705" s="1">
        <v>0.10353872370370606</v>
      </c>
      <c r="N7705" s="1">
        <v>0.5651052916775382</v>
      </c>
      <c r="O7705" s="1">
        <v>0.10047017543859649</v>
      </c>
      <c r="P7705" s="1">
        <v>6.2418365232620843E-2</v>
      </c>
      <c r="Q7705" s="1">
        <v>1.5949518047388536</v>
      </c>
      <c r="R7705" s="2">
        <f t="shared" si="483"/>
        <v>45.466233439559517</v>
      </c>
      <c r="S7705" s="2">
        <f t="shared" si="482"/>
        <v>1.4360729149007414</v>
      </c>
      <c r="T7705" s="2">
        <f t="shared" si="484"/>
        <v>1.8685904485546332</v>
      </c>
      <c r="U7705" s="2">
        <f t="shared" si="485"/>
        <v>48.770896803014892</v>
      </c>
    </row>
    <row r="7706" spans="1:21" x14ac:dyDescent="0.25">
      <c r="A7706">
        <v>8856977</v>
      </c>
      <c r="B7706">
        <v>32</v>
      </c>
      <c r="C7706" s="1">
        <f>0.332618466475345*(10.3/7.3)</f>
        <v>0.46931098694466439</v>
      </c>
      <c r="D7706" s="1">
        <f>1.02884995776417*(10.3/7.3)</f>
        <v>1.4516650089001311</v>
      </c>
      <c r="E7706" s="1">
        <f>3.47222165996602*(10.3/7.3)</f>
        <v>4.8991620681712273</v>
      </c>
      <c r="F7706" s="1">
        <f>10.3740867257636*(38.9/42.5)</f>
        <v>9.4953405560518753</v>
      </c>
      <c r="G7706" s="1">
        <v>0.57917473878145243</v>
      </c>
      <c r="H7706" s="1">
        <v>2.3171710049839609</v>
      </c>
      <c r="I7706" s="1">
        <v>7.1353559941720759</v>
      </c>
      <c r="J7706" s="1">
        <v>1.1614444284211156E-2</v>
      </c>
      <c r="K7706" s="1">
        <v>1.0852251736180656</v>
      </c>
      <c r="L7706" s="1">
        <v>0.82850606100935853</v>
      </c>
      <c r="M7706" s="1">
        <v>7.8853480830714806E-2</v>
      </c>
      <c r="N7706" s="1">
        <v>0.45026174022152621</v>
      </c>
      <c r="O7706" s="1">
        <v>7.7146666666666655E-2</v>
      </c>
      <c r="P7706" s="1">
        <v>5.0621266100452568E-2</v>
      </c>
      <c r="Q7706" s="1">
        <v>0.92562172864615766</v>
      </c>
      <c r="R7706" s="2">
        <f t="shared" si="483"/>
        <v>27.272802086651549</v>
      </c>
      <c r="S7706" s="2">
        <f t="shared" si="482"/>
        <v>1.1474608840027294</v>
      </c>
      <c r="T7706" s="2">
        <f t="shared" si="484"/>
        <v>1.4347679487282661</v>
      </c>
      <c r="U7706" s="2">
        <f t="shared" si="485"/>
        <v>29.855030919382543</v>
      </c>
    </row>
    <row r="7707" spans="1:21" x14ac:dyDescent="0.25">
      <c r="A7707">
        <v>8856985</v>
      </c>
      <c r="B7707">
        <v>11</v>
      </c>
      <c r="C7707" s="1">
        <f>0.326642731560922*(10.3/7.3)</f>
        <v>0.46087947055856177</v>
      </c>
      <c r="D7707" s="1">
        <f>1.01069608698955*(10.3/7.3)</f>
        <v>1.4260506432866289</v>
      </c>
      <c r="E7707" s="1">
        <f>3.4108226531476*(10.3/7.3)</f>
        <v>4.8125305927973017</v>
      </c>
      <c r="F7707" s="1">
        <f>10.1963758651874*(38.9/42.5)</f>
        <v>9.3326828507244581</v>
      </c>
      <c r="G7707" s="1">
        <v>0.56942400619902578</v>
      </c>
      <c r="H7707" s="1">
        <v>2.284209019292188</v>
      </c>
      <c r="I7707" s="1">
        <v>7.0140370368124305</v>
      </c>
      <c r="J7707" s="1">
        <v>1.1214401784532039E-2</v>
      </c>
      <c r="K7707" s="1">
        <v>1.0498388466729169</v>
      </c>
      <c r="L7707" s="1">
        <v>0.80044274433619622</v>
      </c>
      <c r="M7707" s="1">
        <v>7.6050507567312575E-2</v>
      </c>
      <c r="N7707" s="1">
        <v>0.4302573051355173</v>
      </c>
      <c r="O7707" s="1">
        <v>7.4409696969696973E-2</v>
      </c>
      <c r="P7707" s="1">
        <v>4.8842633141479956E-2</v>
      </c>
      <c r="Q7707" s="1">
        <v>0.91003836607150346</v>
      </c>
      <c r="R7707" s="2">
        <f t="shared" si="483"/>
        <v>26.8098519857421</v>
      </c>
      <c r="S7707" s="2">
        <f t="shared" si="482"/>
        <v>1.109895881598929</v>
      </c>
      <c r="T7707" s="2">
        <f t="shared" si="484"/>
        <v>1.3811602540087231</v>
      </c>
      <c r="U7707" s="2">
        <f t="shared" si="485"/>
        <v>29.300908121349753</v>
      </c>
    </row>
    <row r="7708" spans="1:21" x14ac:dyDescent="0.25">
      <c r="A7708">
        <v>8857225</v>
      </c>
      <c r="B7708">
        <v>45</v>
      </c>
      <c r="C7708" s="1">
        <f>0.437359807541903*(10.3/7.3)</f>
        <v>0.61709671475090411</v>
      </c>
      <c r="D7708" s="1">
        <f>1.19193054933843*(10.3/7.3)</f>
        <v>1.6817650216692928</v>
      </c>
      <c r="E7708" s="1">
        <f>4.04215882580393*(10.3/7.3)</f>
        <v>5.7033199870932174</v>
      </c>
      <c r="F7708" s="1">
        <f>11.5936497042471*(38.9/42.5)</f>
        <v>10.611599376357905</v>
      </c>
      <c r="G7708" s="1">
        <v>0.62966393800697318</v>
      </c>
      <c r="H7708" s="1">
        <v>3.3564285928966435</v>
      </c>
      <c r="I7708" s="1">
        <v>7.9974031953408753</v>
      </c>
      <c r="J7708" s="1">
        <v>1.3221634320658784E-2</v>
      </c>
      <c r="K7708" s="1">
        <v>1.0623027130501028</v>
      </c>
      <c r="L7708" s="1">
        <v>0.84974309410452187</v>
      </c>
      <c r="M7708" s="1">
        <v>6.8087744502988934E-2</v>
      </c>
      <c r="N7708" s="1">
        <v>0.49733827760726523</v>
      </c>
      <c r="O7708" s="1">
        <v>6.2947555555555548E-2</v>
      </c>
      <c r="P7708" s="1">
        <v>4.5072382945866379E-2</v>
      </c>
      <c r="Q7708" s="1">
        <v>1.0063122296915106</v>
      </c>
      <c r="R7708" s="2">
        <f t="shared" si="483"/>
        <v>31.603589055807323</v>
      </c>
      <c r="S7708" s="2">
        <f t="shared" si="482"/>
        <v>1.120596730316628</v>
      </c>
      <c r="T7708" s="2">
        <f t="shared" si="484"/>
        <v>1.4781166717703318</v>
      </c>
      <c r="U7708" s="2">
        <f t="shared" si="485"/>
        <v>34.202302457894284</v>
      </c>
    </row>
    <row r="7709" spans="1:21" x14ac:dyDescent="0.25">
      <c r="A7709">
        <v>8857233</v>
      </c>
      <c r="B7709">
        <v>37</v>
      </c>
      <c r="C7709" s="1">
        <f>0.467088642898709*(10.3/7.3)</f>
        <v>0.65904287970639752</v>
      </c>
      <c r="D7709" s="1">
        <f>1.26837060553189*(10.3/7.3)</f>
        <v>1.789618799586097</v>
      </c>
      <c r="E7709" s="1">
        <f>4.30159633930973*(10.3/7.3)</f>
        <v>6.0693756568342785</v>
      </c>
      <c r="F7709" s="1">
        <f>12.3439637050149*(38.9/42.5)</f>
        <v>11.298357367648967</v>
      </c>
      <c r="G7709" s="1">
        <v>0.67047448712259095</v>
      </c>
      <c r="H7709" s="1">
        <v>4.0157510023308181</v>
      </c>
      <c r="I7709" s="1">
        <v>8.5201204678324558</v>
      </c>
      <c r="J7709" s="1">
        <v>1.3964727608553534E-2</v>
      </c>
      <c r="K7709" s="1">
        <v>1.112244446148601</v>
      </c>
      <c r="L7709" s="1">
        <v>0.89177483777961253</v>
      </c>
      <c r="M7709" s="1">
        <v>6.8426720367913169E-2</v>
      </c>
      <c r="N7709" s="1">
        <v>0.5281570862594912</v>
      </c>
      <c r="O7709" s="1">
        <v>6.4938378378378361E-2</v>
      </c>
      <c r="P7709" s="1">
        <v>4.6552233060400537E-2</v>
      </c>
      <c r="Q7709" s="1">
        <v>1.0715345684607629</v>
      </c>
      <c r="R7709" s="2">
        <f t="shared" si="483"/>
        <v>34.094275229522367</v>
      </c>
      <c r="S7709" s="2">
        <f t="shared" si="482"/>
        <v>1.1727614068175549</v>
      </c>
      <c r="T7709" s="2">
        <f t="shared" si="484"/>
        <v>1.5532970227853953</v>
      </c>
      <c r="U7709" s="2">
        <f t="shared" si="485"/>
        <v>36.820333659125318</v>
      </c>
    </row>
    <row r="7710" spans="1:21" x14ac:dyDescent="0.25">
      <c r="A7710">
        <v>8869101</v>
      </c>
      <c r="B7710">
        <v>24</v>
      </c>
      <c r="C7710" s="1">
        <f>0.342808098531697*(10.3/7.3)</f>
        <v>0.4836881390241759</v>
      </c>
      <c r="D7710" s="1">
        <f>0.990091735341249*(10.3/7.3)</f>
        <v>1.3969787498650494</v>
      </c>
      <c r="E7710" s="1">
        <f>3.34769844078421*(10.3/7.3)</f>
        <v>4.7234649232982671</v>
      </c>
      <c r="F7710" s="1">
        <f>9.90749711730278*(38.9/42.5)</f>
        <v>9.0682738320724265</v>
      </c>
      <c r="G7710" s="1">
        <v>0.54874656409513112</v>
      </c>
      <c r="H7710" s="1">
        <v>2.0805478893969962</v>
      </c>
      <c r="I7710" s="1">
        <v>6.8481496738284875</v>
      </c>
      <c r="J7710" s="1">
        <v>1.2233863632686762E-2</v>
      </c>
      <c r="K7710" s="1">
        <v>1.2305895085845642</v>
      </c>
      <c r="L7710" s="1">
        <v>0.9370850206332858</v>
      </c>
      <c r="M7710" s="1">
        <v>9.5476395343935705E-2</v>
      </c>
      <c r="N7710" s="1">
        <v>0.47305469950258155</v>
      </c>
      <c r="O7710" s="1">
        <v>9.4824444444444433E-2</v>
      </c>
      <c r="P7710" s="1">
        <v>5.810970976680585E-2</v>
      </c>
      <c r="Q7710" s="1">
        <v>0.87699222572281343</v>
      </c>
      <c r="R7710" s="2">
        <f t="shared" si="483"/>
        <v>26.026841997303347</v>
      </c>
      <c r="S7710" s="2">
        <f t="shared" si="482"/>
        <v>1.300933081984057</v>
      </c>
      <c r="T7710" s="2">
        <f t="shared" si="484"/>
        <v>1.6004405599242473</v>
      </c>
      <c r="U7710" s="2">
        <f t="shared" si="485"/>
        <v>28.928215639211651</v>
      </c>
    </row>
    <row r="7711" spans="1:21" x14ac:dyDescent="0.25">
      <c r="A7711">
        <v>8869109</v>
      </c>
      <c r="B7711">
        <v>60</v>
      </c>
      <c r="C7711" s="1">
        <f>0.299865935475708*(10.3/7.3)</f>
        <v>0.42309851169860219</v>
      </c>
      <c r="D7711" s="1">
        <f>0.861196053858043*(10.3/7.3)</f>
        <v>1.2151122403750465</v>
      </c>
      <c r="E7711" s="1">
        <f>2.91103696197053*(10.3/7.3)</f>
        <v>4.1073535216844537</v>
      </c>
      <c r="F7711" s="1">
        <f>8.67534136986235*(38.9/42.5)</f>
        <v>7.9404889244151846</v>
      </c>
      <c r="G7711" s="1">
        <v>0.48210835858705192</v>
      </c>
      <c r="H7711" s="1">
        <v>1.9541426838598652</v>
      </c>
      <c r="I7711" s="1">
        <v>6.0123708282394785</v>
      </c>
      <c r="J7711" s="1">
        <v>1.1740944796223226E-2</v>
      </c>
      <c r="K7711" s="1">
        <v>1.1737649072492238</v>
      </c>
      <c r="L7711" s="1">
        <v>0.88989690819524236</v>
      </c>
      <c r="M7711" s="1">
        <v>9.0174442821220072E-2</v>
      </c>
      <c r="N7711" s="1">
        <v>0.45489051797492125</v>
      </c>
      <c r="O7711" s="1">
        <v>9.0041777777777776E-2</v>
      </c>
      <c r="P7711" s="1">
        <v>5.5741465240785874E-2</v>
      </c>
      <c r="Q7711" s="1">
        <v>0.77049281052725294</v>
      </c>
      <c r="R7711" s="2">
        <f t="shared" si="483"/>
        <v>22.905167879386934</v>
      </c>
      <c r="S7711" s="2">
        <f t="shared" si="482"/>
        <v>1.2412473172862328</v>
      </c>
      <c r="T7711" s="2">
        <f t="shared" si="484"/>
        <v>1.5250036467691614</v>
      </c>
      <c r="U7711" s="2">
        <f t="shared" si="485"/>
        <v>25.671418843442328</v>
      </c>
    </row>
    <row r="7712" spans="1:21" x14ac:dyDescent="0.25">
      <c r="A7712">
        <v>8869117</v>
      </c>
      <c r="B7712">
        <v>43</v>
      </c>
      <c r="C7712" s="1">
        <f>0.39736925178731*(10.3/7.3)</f>
        <v>0.56067168402866974</v>
      </c>
      <c r="D7712" s="1">
        <f>1.2396831243582*(10.3/7.3)</f>
        <v>1.7491419425875978</v>
      </c>
      <c r="E7712" s="1">
        <f>4.17089870083898*(10.3/7.3)</f>
        <v>5.8849666600878701</v>
      </c>
      <c r="F7712" s="1">
        <f>13.0887435501993*(38.9/42.5)</f>
        <v>11.980049978888271</v>
      </c>
      <c r="G7712" s="1">
        <v>0.74878644122495863</v>
      </c>
      <c r="H7712" s="1">
        <v>3.1545723483600621</v>
      </c>
      <c r="I7712" s="1">
        <v>9.1214650206529946</v>
      </c>
      <c r="J7712" s="1">
        <v>1.3240374589035625E-2</v>
      </c>
      <c r="K7712" s="1">
        <v>1.2990716277425438</v>
      </c>
      <c r="L7712" s="1">
        <v>1.0080299000951376</v>
      </c>
      <c r="M7712" s="1">
        <v>0.10068612309086294</v>
      </c>
      <c r="N7712" s="1">
        <v>0.50939796041771357</v>
      </c>
      <c r="O7712" s="1">
        <v>0.10073302325581394</v>
      </c>
      <c r="P7712" s="1">
        <v>6.0928110823344754E-2</v>
      </c>
      <c r="Q7712" s="1">
        <v>1.1966906594919444</v>
      </c>
      <c r="R7712" s="2">
        <f t="shared" si="483"/>
        <v>34.396344735322366</v>
      </c>
      <c r="S7712" s="2">
        <f t="shared" si="482"/>
        <v>1.3732401131549243</v>
      </c>
      <c r="T7712" s="2">
        <f t="shared" si="484"/>
        <v>1.7188470068595281</v>
      </c>
      <c r="U7712" s="2">
        <f t="shared" si="485"/>
        <v>37.488431855336813</v>
      </c>
    </row>
    <row r="7713" spans="1:21" x14ac:dyDescent="0.25">
      <c r="A7713">
        <v>8869125</v>
      </c>
      <c r="B7713">
        <v>14</v>
      </c>
      <c r="C7713" s="1">
        <f>0.34707717029621*(10.3/7.3)</f>
        <v>0.48971162384259748</v>
      </c>
      <c r="D7713" s="1">
        <f>1.0754565170215*(10.3/7.3)</f>
        <v>1.517424948674166</v>
      </c>
      <c r="E7713" s="1">
        <f>3.61858928287867*(10.3/7.3)</f>
        <v>5.1056807689931878</v>
      </c>
      <c r="F7713" s="1">
        <f>11.36735809128*(38.9/42.5)</f>
        <v>10.404475994136309</v>
      </c>
      <c r="G7713" s="1">
        <v>0.6504525882981369</v>
      </c>
      <c r="H7713" s="1">
        <v>2.6874367568256927</v>
      </c>
      <c r="I7713" s="1">
        <v>7.9295910172138218</v>
      </c>
      <c r="J7713" s="1">
        <v>1.2349541449401407E-2</v>
      </c>
      <c r="K7713" s="1">
        <v>1.2088537829329484</v>
      </c>
      <c r="L7713" s="1">
        <v>0.92678379827308499</v>
      </c>
      <c r="M7713" s="1">
        <v>9.2994322429165638E-2</v>
      </c>
      <c r="N7713" s="1">
        <v>0.47622115350394278</v>
      </c>
      <c r="O7713" s="1">
        <v>9.2297142857142855E-2</v>
      </c>
      <c r="P7713" s="1">
        <v>5.7099309997978839E-2</v>
      </c>
      <c r="Q7713" s="1">
        <v>1.0395361000198546</v>
      </c>
      <c r="R7713" s="2">
        <f t="shared" si="483"/>
        <v>29.824309798003764</v>
      </c>
      <c r="S7713" s="2">
        <f t="shared" si="482"/>
        <v>1.2783026343803288</v>
      </c>
      <c r="T7713" s="2">
        <f t="shared" si="484"/>
        <v>1.5882964170633365</v>
      </c>
      <c r="U7713" s="2">
        <f t="shared" si="485"/>
        <v>32.690908849447425</v>
      </c>
    </row>
    <row r="7714" spans="1:21" x14ac:dyDescent="0.25">
      <c r="A7714">
        <v>8869133</v>
      </c>
      <c r="B7714">
        <v>8</v>
      </c>
      <c r="C7714" s="1">
        <f>0.341789135326062*(10.3/7.3)</f>
        <v>0.48225042381622452</v>
      </c>
      <c r="D7714" s="1">
        <f>1.06624334547279*(10.3/7.3)</f>
        <v>1.5044255422424253</v>
      </c>
      <c r="E7714" s="1">
        <f>3.58676710350673*(10.3/7.3)</f>
        <v>5.0607809816601765</v>
      </c>
      <c r="F7714" s="1">
        <f>11.2865573002865*(38.9/42.5)</f>
        <v>10.330519505438719</v>
      </c>
      <c r="G7714" s="1">
        <v>0.64651907912026885</v>
      </c>
      <c r="H7714" s="1">
        <v>2.6587585600737409</v>
      </c>
      <c r="I7714" s="1">
        <v>7.8715321302061536</v>
      </c>
      <c r="J7714" s="1">
        <v>1.2197089200124207E-2</v>
      </c>
      <c r="K7714" s="1">
        <v>1.1964231160968819</v>
      </c>
      <c r="L7714" s="1">
        <v>0.91462966449115679</v>
      </c>
      <c r="M7714" s="1">
        <v>9.2340092448780775E-2</v>
      </c>
      <c r="N7714" s="1">
        <v>0.47245356106387248</v>
      </c>
      <c r="O7714" s="1">
        <v>9.0226666666666677E-2</v>
      </c>
      <c r="P7714" s="1">
        <v>5.6266597725551579E-2</v>
      </c>
      <c r="Q7714" s="1">
        <v>1.0332496698269149</v>
      </c>
      <c r="R7714" s="2">
        <f t="shared" si="483"/>
        <v>29.588035892384625</v>
      </c>
      <c r="S7714" s="2">
        <f t="shared" si="482"/>
        <v>1.2648868030225577</v>
      </c>
      <c r="T7714" s="2">
        <f t="shared" si="484"/>
        <v>1.5696499846704768</v>
      </c>
      <c r="U7714" s="2">
        <f t="shared" si="485"/>
        <v>32.422572680077664</v>
      </c>
    </row>
    <row r="7715" spans="1:21" x14ac:dyDescent="0.25">
      <c r="A7715">
        <v>8869141</v>
      </c>
      <c r="B7715">
        <v>10</v>
      </c>
      <c r="C7715" s="1">
        <f>0.323990470211342*(10.3/7.3)</f>
        <v>0.45713723879134499</v>
      </c>
      <c r="D7715" s="1">
        <f>1.01732049593915*(10.3/7.3)</f>
        <v>1.435397412078524</v>
      </c>
      <c r="E7715" s="1">
        <f>3.42195479334873*(10.3/7.3)</f>
        <v>4.8282375851358807</v>
      </c>
      <c r="F7715" s="1">
        <f>10.7589957455414*(38.9/42.5)</f>
        <v>9.8476455176837998</v>
      </c>
      <c r="G7715" s="1">
        <v>0.61621630539629135</v>
      </c>
      <c r="H7715" s="1">
        <v>2.453207689825561</v>
      </c>
      <c r="I7715" s="1">
        <v>7.4969515344141042</v>
      </c>
      <c r="J7715" s="1">
        <v>1.2127924978881545E-2</v>
      </c>
      <c r="K7715" s="1">
        <v>1.1807475630454258</v>
      </c>
      <c r="L7715" s="1">
        <v>0.90456930931704527</v>
      </c>
      <c r="M7715" s="1">
        <v>9.0688883937787609E-2</v>
      </c>
      <c r="N7715" s="1">
        <v>0.47042801095617193</v>
      </c>
      <c r="O7715" s="1">
        <v>8.8415999999999981E-2</v>
      </c>
      <c r="P7715" s="1">
        <v>5.5701309590935263E-2</v>
      </c>
      <c r="Q7715" s="1">
        <v>0.98482057940046663</v>
      </c>
      <c r="R7715" s="2">
        <f t="shared" si="483"/>
        <v>28.119613862725977</v>
      </c>
      <c r="S7715" s="2">
        <f t="shared" si="482"/>
        <v>1.2485767976152427</v>
      </c>
      <c r="T7715" s="2">
        <f t="shared" si="484"/>
        <v>1.5541022042110049</v>
      </c>
      <c r="U7715" s="2">
        <f t="shared" si="485"/>
        <v>30.922292864552226</v>
      </c>
    </row>
    <row r="7716" spans="1:21" x14ac:dyDescent="0.25">
      <c r="A7716">
        <v>8869149</v>
      </c>
      <c r="B7716">
        <v>13</v>
      </c>
      <c r="C7716" s="1">
        <f>0.341722115070116*(10.3/7.3)</f>
        <v>0.48215586098934227</v>
      </c>
      <c r="D7716" s="1">
        <f>1.07154606494936*(10.3/7.3)</f>
        <v>1.5119074615038859</v>
      </c>
      <c r="E7716" s="1">
        <f>3.6095022080802*(10.3/7.3)</f>
        <v>5.0928592798939798</v>
      </c>
      <c r="F7716" s="1">
        <f>11.0875335983455*(38.9/42.5)</f>
        <v>10.148354281779753</v>
      </c>
      <c r="G7716" s="1">
        <v>0.62796427609476391</v>
      </c>
      <c r="H7716" s="1">
        <v>2.535128045705628</v>
      </c>
      <c r="I7716" s="1">
        <v>7.6764943206536138</v>
      </c>
      <c r="J7716" s="1">
        <v>1.2638219190730406E-2</v>
      </c>
      <c r="K7716" s="1">
        <v>1.19716343914602</v>
      </c>
      <c r="L7716" s="1">
        <v>0.92320246010251605</v>
      </c>
      <c r="M7716" s="1">
        <v>9.2650449581970509E-2</v>
      </c>
      <c r="N7716" s="1">
        <v>0.479287336990743</v>
      </c>
      <c r="O7716" s="1">
        <v>8.9608205128205137E-2</v>
      </c>
      <c r="P7716" s="1">
        <v>5.6297562825517615E-2</v>
      </c>
      <c r="Q7716" s="1">
        <v>1.0035958750372951</v>
      </c>
      <c r="R7716" s="2">
        <f t="shared" si="483"/>
        <v>29.078459401658264</v>
      </c>
      <c r="S7716" s="2">
        <f t="shared" si="482"/>
        <v>1.2660992211622679</v>
      </c>
      <c r="T7716" s="2">
        <f t="shared" si="484"/>
        <v>1.5847484518034349</v>
      </c>
      <c r="U7716" s="2">
        <f t="shared" si="485"/>
        <v>31.929307074623967</v>
      </c>
    </row>
    <row r="7717" spans="1:21" x14ac:dyDescent="0.25">
      <c r="A7717">
        <v>8869157</v>
      </c>
      <c r="B7717">
        <v>24</v>
      </c>
      <c r="C7717" s="1">
        <f>0.420556318761025*(10.3/7.3)</f>
        <v>0.59338768263541863</v>
      </c>
      <c r="D7717" s="1">
        <f>1.40200926861761*(10.3/7.3)</f>
        <v>1.9781774612001843</v>
      </c>
      <c r="E7717" s="1">
        <f>4.71529163341745*(10.3/7.3)</f>
        <v>6.6530827156438033</v>
      </c>
      <c r="F7717" s="1">
        <f>14.5972248683882*(38.9/42.5)</f>
        <v>13.360754056007051</v>
      </c>
      <c r="G7717" s="1">
        <v>0.83183979541368591</v>
      </c>
      <c r="H7717" s="1">
        <v>3.3299599282712111</v>
      </c>
      <c r="I7717" s="1">
        <v>10.067001800549141</v>
      </c>
      <c r="J7717" s="1">
        <v>1.4301011063078314E-2</v>
      </c>
      <c r="K7717" s="1">
        <v>1.2993192549522343</v>
      </c>
      <c r="L7717" s="1">
        <v>1.0317300113738457</v>
      </c>
      <c r="M7717" s="1">
        <v>0.10067758733574768</v>
      </c>
      <c r="N7717" s="1">
        <v>0.52768074596149261</v>
      </c>
      <c r="O7717" s="1">
        <v>9.8026666666666651E-2</v>
      </c>
      <c r="P7717" s="1">
        <v>6.03036852816465E-2</v>
      </c>
      <c r="Q7717" s="1">
        <v>1.3294243305698192</v>
      </c>
      <c r="R7717" s="2">
        <f t="shared" si="483"/>
        <v>38.143627770290315</v>
      </c>
      <c r="S7717" s="2">
        <f t="shared" si="482"/>
        <v>1.3739239512969592</v>
      </c>
      <c r="T7717" s="2">
        <f t="shared" si="484"/>
        <v>1.7581150113377526</v>
      </c>
      <c r="U7717" s="2">
        <f t="shared" si="485"/>
        <v>41.275666732925025</v>
      </c>
    </row>
    <row r="7718" spans="1:21" x14ac:dyDescent="0.25">
      <c r="A7718">
        <v>8869165</v>
      </c>
      <c r="B7718">
        <v>36</v>
      </c>
      <c r="C7718" s="1">
        <f>0.433017320482057*(10.3/7.3)</f>
        <v>0.61096964396783338</v>
      </c>
      <c r="D7718" s="1">
        <f>1.48074481695511*(10.3/7.3)</f>
        <v>2.0892700841969307</v>
      </c>
      <c r="E7718" s="1">
        <f>4.96809474877253*(10.3/7.3)</f>
        <v>7.0097775222406957</v>
      </c>
      <c r="F7718" s="1">
        <f>15.8865433374746*(38.9/42.5)</f>
        <v>14.54085966653555</v>
      </c>
      <c r="G7718" s="1">
        <v>0.91994682449989584</v>
      </c>
      <c r="H7718" s="1">
        <v>4.5870185531998366</v>
      </c>
      <c r="I7718" s="1">
        <v>11.031612771495773</v>
      </c>
      <c r="J7718" s="1">
        <v>1.4268715567815039E-2</v>
      </c>
      <c r="K7718" s="1">
        <v>1.2946891045727327</v>
      </c>
      <c r="L7718" s="1">
        <v>1.0269904915361905</v>
      </c>
      <c r="M7718" s="1">
        <v>0.1001481099036457</v>
      </c>
      <c r="N7718" s="1">
        <v>0.52790939164555761</v>
      </c>
      <c r="O7718" s="1">
        <v>9.7088888888888891E-2</v>
      </c>
      <c r="P7718" s="1">
        <v>6.0276657411087155E-2</v>
      </c>
      <c r="Q7718" s="1">
        <v>1.4702346510272324</v>
      </c>
      <c r="R7718" s="2">
        <f t="shared" si="483"/>
        <v>42.259689717163745</v>
      </c>
      <c r="S7718" s="2">
        <f t="shared" si="482"/>
        <v>1.3692344775516347</v>
      </c>
      <c r="T7718" s="2">
        <f t="shared" si="484"/>
        <v>1.7521368819742826</v>
      </c>
      <c r="U7718" s="2">
        <f t="shared" si="485"/>
        <v>45.381061076689662</v>
      </c>
    </row>
    <row r="7719" spans="1:21" x14ac:dyDescent="0.25">
      <c r="A7719">
        <v>8869173</v>
      </c>
      <c r="B7719">
        <v>46</v>
      </c>
      <c r="C7719" s="1">
        <f>0.417633203240086*(10.3/7.3)</f>
        <v>0.58926328676340922</v>
      </c>
      <c r="D7719" s="1">
        <f>1.43497956162718*(10.3/7.3)</f>
        <v>2.0246971896931432</v>
      </c>
      <c r="E7719" s="1">
        <f>4.80767318754822*(10.3/7.3)</f>
        <v>6.7834292920200854</v>
      </c>
      <c r="F7719" s="1">
        <f>15.708557183365*(38.9/42.5)</f>
        <v>14.377949986656406</v>
      </c>
      <c r="G7719" s="1">
        <v>0.91860563773686221</v>
      </c>
      <c r="H7719" s="1">
        <v>3.6535317984162505</v>
      </c>
      <c r="I7719" s="1">
        <v>10.968780202118468</v>
      </c>
      <c r="J7719" s="1">
        <v>1.3532683704488657E-2</v>
      </c>
      <c r="K7719" s="1">
        <v>1.2626296980009386</v>
      </c>
      <c r="L7719" s="1">
        <v>0.99371599008949629</v>
      </c>
      <c r="M7719" s="1">
        <v>9.7051356177808426E-2</v>
      </c>
      <c r="N7719" s="1">
        <v>0.51528338684408026</v>
      </c>
      <c r="O7719" s="1">
        <v>9.3792463768115925E-2</v>
      </c>
      <c r="P7719" s="1">
        <v>5.8893168438020012E-2</v>
      </c>
      <c r="Q7719" s="1">
        <v>1.4680912018625671</v>
      </c>
      <c r="R7719" s="2">
        <f t="shared" si="483"/>
        <v>40.784348595267197</v>
      </c>
      <c r="S7719" s="2">
        <f t="shared" si="482"/>
        <v>1.3350555501434473</v>
      </c>
      <c r="T7719" s="2">
        <f t="shared" si="484"/>
        <v>1.6998431968795009</v>
      </c>
      <c r="U7719" s="2">
        <f t="shared" si="485"/>
        <v>43.81924734229014</v>
      </c>
    </row>
    <row r="7720" spans="1:21" x14ac:dyDescent="0.25">
      <c r="A7720">
        <v>8869181</v>
      </c>
      <c r="B7720">
        <v>56</v>
      </c>
      <c r="C7720" s="1">
        <f>0.365904992990191*(10.3/7.3)</f>
        <v>0.51627690791766678</v>
      </c>
      <c r="D7720" s="1">
        <f>1.18847285619843*(10.3/7.3)</f>
        <v>1.6768863587457237</v>
      </c>
      <c r="E7720" s="1">
        <f>3.99846713531294*(10.3/7.3)</f>
        <v>5.6416728073593569</v>
      </c>
      <c r="F7720" s="1">
        <f>12.403170367614*(38.9/42.5)</f>
        <v>11.352548877651396</v>
      </c>
      <c r="G7720" s="1">
        <v>0.70678818028881119</v>
      </c>
      <c r="H7720" s="1">
        <v>3.2080231069006611</v>
      </c>
      <c r="I7720" s="1">
        <v>8.5807774607316993</v>
      </c>
      <c r="J7720" s="1">
        <v>1.2523209717464706E-2</v>
      </c>
      <c r="K7720" s="1">
        <v>1.1776349539830167</v>
      </c>
      <c r="L7720" s="1">
        <v>0.91360984545878576</v>
      </c>
      <c r="M7720" s="1">
        <v>8.9782745791377239E-2</v>
      </c>
      <c r="N7720" s="1">
        <v>0.48284354581179706</v>
      </c>
      <c r="O7720" s="1">
        <v>8.6437142857142879E-2</v>
      </c>
      <c r="P7720" s="1">
        <v>5.4987436206843175E-2</v>
      </c>
      <c r="Q7720" s="1">
        <v>1.1295701511465035</v>
      </c>
      <c r="R7720" s="2">
        <f t="shared" si="483"/>
        <v>32.812543850741818</v>
      </c>
      <c r="S7720" s="2">
        <f t="shared" si="482"/>
        <v>1.2451455999073247</v>
      </c>
      <c r="T7720" s="2">
        <f t="shared" si="484"/>
        <v>1.5726732799191028</v>
      </c>
      <c r="U7720" s="2">
        <f t="shared" si="485"/>
        <v>35.630362730568244</v>
      </c>
    </row>
    <row r="7721" spans="1:21" x14ac:dyDescent="0.25">
      <c r="A7721">
        <v>8869189</v>
      </c>
      <c r="B7721">
        <v>60</v>
      </c>
      <c r="C7721" s="1">
        <f>0.361751852590861*(10.3/7.3)</f>
        <v>0.51041699749121527</v>
      </c>
      <c r="D7721" s="1">
        <f>1.16685414255479*(10.3/7.3)</f>
        <v>1.6463832422348414</v>
      </c>
      <c r="E7721" s="1">
        <f>3.930782738123*(10.3/7.3)</f>
        <v>5.5461729044749175</v>
      </c>
      <c r="F7721" s="1">
        <f>11.9580005077195*(38.9/42.5)</f>
        <v>10.945087523536181</v>
      </c>
      <c r="G7721" s="1">
        <v>0.67482795518987015</v>
      </c>
      <c r="H7721" s="1">
        <v>2.7653731505756047</v>
      </c>
      <c r="I7721" s="1">
        <v>8.2320343781642347</v>
      </c>
      <c r="J7721" s="1">
        <v>1.2636685109372024E-2</v>
      </c>
      <c r="K7721" s="1">
        <v>1.185463180844593</v>
      </c>
      <c r="L7721" s="1">
        <v>0.92280387682765641</v>
      </c>
      <c r="M7721" s="1">
        <v>8.9459294986596674E-2</v>
      </c>
      <c r="N7721" s="1">
        <v>0.48938202601360703</v>
      </c>
      <c r="O7721" s="1">
        <v>8.6215111111111103E-2</v>
      </c>
      <c r="P7721" s="1">
        <v>5.5257522665537101E-2</v>
      </c>
      <c r="Q7721" s="1">
        <v>1.0784921658285602</v>
      </c>
      <c r="R7721" s="2">
        <f t="shared" si="483"/>
        <v>31.398788317495427</v>
      </c>
      <c r="S7721" s="2">
        <f t="shared" si="482"/>
        <v>1.2533573886195022</v>
      </c>
      <c r="T7721" s="2">
        <f t="shared" si="484"/>
        <v>1.5878603089389713</v>
      </c>
      <c r="U7721" s="2">
        <f t="shared" si="485"/>
        <v>34.240006015053901</v>
      </c>
    </row>
    <row r="7722" spans="1:21" x14ac:dyDescent="0.25">
      <c r="A7722">
        <v>8869197</v>
      </c>
      <c r="B7722">
        <v>60</v>
      </c>
      <c r="C7722" s="1">
        <f>0.497293873530691*(10.3/7.3)</f>
        <v>0.70166121881727661</v>
      </c>
      <c r="D7722" s="1">
        <f>1.73786927479325*(10.3/7.3)</f>
        <v>2.4520621274480172</v>
      </c>
      <c r="E7722" s="1">
        <f>5.84025426482807*(10.3/7.3)</f>
        <v>8.2403587572231718</v>
      </c>
      <c r="F7722" s="1">
        <f>18.0761543283509*(38.9/42.5)</f>
        <v>16.544997726420011</v>
      </c>
      <c r="G7722" s="1">
        <v>1.0317857062957285</v>
      </c>
      <c r="H7722" s="1">
        <v>3.8986056015539661</v>
      </c>
      <c r="I7722" s="1">
        <v>12.40960440569253</v>
      </c>
      <c r="J7722" s="1">
        <v>1.4581628271555687E-2</v>
      </c>
      <c r="K7722" s="1">
        <v>1.3517041513407222</v>
      </c>
      <c r="L7722" s="1">
        <v>1.0884475105240961</v>
      </c>
      <c r="M7722" s="1">
        <v>0.10299117164334087</v>
      </c>
      <c r="N7722" s="1">
        <v>0.55800764550275217</v>
      </c>
      <c r="O7722" s="1">
        <v>0.10009955555555558</v>
      </c>
      <c r="P7722" s="1">
        <v>6.2199083584543985E-2</v>
      </c>
      <c r="Q7722" s="1">
        <v>1.6489725899703431</v>
      </c>
      <c r="R7722" s="2">
        <f t="shared" si="483"/>
        <v>46.928048133421044</v>
      </c>
      <c r="S7722" s="2">
        <f t="shared" si="482"/>
        <v>1.4284848631968219</v>
      </c>
      <c r="T7722" s="2">
        <f t="shared" si="484"/>
        <v>1.8495458832257445</v>
      </c>
      <c r="U7722" s="2">
        <f t="shared" si="485"/>
        <v>50.206078879843609</v>
      </c>
    </row>
    <row r="7723" spans="1:21" x14ac:dyDescent="0.25">
      <c r="A7723">
        <v>8869205</v>
      </c>
      <c r="B7723">
        <v>59</v>
      </c>
      <c r="C7723" s="1">
        <f>0.412772076686815*(10.3/7.3)</f>
        <v>0.58240443696906774</v>
      </c>
      <c r="D7723" s="1">
        <f>1.37700262738729*(10.3/7.3)</f>
        <v>1.9428941180943984</v>
      </c>
      <c r="E7723" s="1">
        <f>4.6351593000435*(10.3/7.3)</f>
        <v>6.5400192863627531</v>
      </c>
      <c r="F7723" s="1">
        <f>14.1415343068617*(38.9/42.5)</f>
        <v>12.943663165574588</v>
      </c>
      <c r="G7723" s="1">
        <v>0.8002384043460804</v>
      </c>
      <c r="H7723" s="1">
        <v>3.088076083095439</v>
      </c>
      <c r="I7723" s="1">
        <v>9.7105200237313127</v>
      </c>
      <c r="J7723" s="1">
        <v>1.3063314075612625E-2</v>
      </c>
      <c r="K7723" s="1">
        <v>1.2127617002442985</v>
      </c>
      <c r="L7723" s="1">
        <v>0.95474249543698242</v>
      </c>
      <c r="M7723" s="1">
        <v>8.9206333901431761E-2</v>
      </c>
      <c r="N7723" s="1">
        <v>0.5034866045810692</v>
      </c>
      <c r="O7723" s="1">
        <v>8.7846327683615805E-2</v>
      </c>
      <c r="P7723" s="1">
        <v>5.6157474859557709E-2</v>
      </c>
      <c r="Q7723" s="1">
        <v>1.2789198242973898</v>
      </c>
      <c r="R7723" s="2">
        <f t="shared" si="483"/>
        <v>36.886735342471027</v>
      </c>
      <c r="S7723" s="2">
        <f t="shared" si="482"/>
        <v>1.2819824891794689</v>
      </c>
      <c r="T7723" s="2">
        <f t="shared" si="484"/>
        <v>1.6352817616030995</v>
      </c>
      <c r="U7723" s="2">
        <f t="shared" si="485"/>
        <v>39.803999593253593</v>
      </c>
    </row>
    <row r="7724" spans="1:21" x14ac:dyDescent="0.25">
      <c r="A7724">
        <v>8869213</v>
      </c>
      <c r="B7724">
        <v>53</v>
      </c>
      <c r="C7724" s="1">
        <f>0.395767538500867*(10.3/7.3)</f>
        <v>0.55841173240533326</v>
      </c>
      <c r="D7724" s="1">
        <f>1.29285284261246*(10.3/7.3)</f>
        <v>1.8241622299874465</v>
      </c>
      <c r="E7724" s="1">
        <f>4.35376928747612*(10.3/7.3)</f>
        <v>6.1429895426032868</v>
      </c>
      <c r="F7724" s="1">
        <f>13.2694876273101*(38.9/42.5)</f>
        <v>12.145483969467318</v>
      </c>
      <c r="G7724" s="1">
        <v>0.74990256284290457</v>
      </c>
      <c r="H7724" s="1">
        <v>2.923704091860948</v>
      </c>
      <c r="I7724" s="1">
        <v>9.1281086930385538</v>
      </c>
      <c r="J7724" s="1">
        <v>1.2732013085102587E-2</v>
      </c>
      <c r="K7724" s="1">
        <v>1.1845999925132853</v>
      </c>
      <c r="L7724" s="1">
        <v>0.92433303290494384</v>
      </c>
      <c r="M7724" s="1">
        <v>8.6290915207486635E-2</v>
      </c>
      <c r="N7724" s="1">
        <v>0.49185525640203814</v>
      </c>
      <c r="O7724" s="1">
        <v>8.477584905660375E-2</v>
      </c>
      <c r="P7724" s="1">
        <v>5.4800679527934874E-2</v>
      </c>
      <c r="Q7724" s="1">
        <v>1.1984744155023606</v>
      </c>
      <c r="R7724" s="2">
        <f t="shared" si="483"/>
        <v>34.671237237708155</v>
      </c>
      <c r="S7724" s="2">
        <f t="shared" si="482"/>
        <v>1.2521326851263226</v>
      </c>
      <c r="T7724" s="2">
        <f t="shared" si="484"/>
        <v>1.5872550535710723</v>
      </c>
      <c r="U7724" s="2">
        <f t="shared" si="485"/>
        <v>37.510624976405545</v>
      </c>
    </row>
    <row r="7725" spans="1:21" x14ac:dyDescent="0.25">
      <c r="A7725">
        <v>8869221</v>
      </c>
      <c r="B7725">
        <v>1</v>
      </c>
      <c r="C7725" s="1">
        <f>0.324846797595882*(10.3/7.3)</f>
        <v>0.45834548153939531</v>
      </c>
      <c r="D7725" s="1">
        <f>1.0023714292771*(10.3/7.3)</f>
        <v>1.4143048933635864</v>
      </c>
      <c r="E7725" s="1">
        <f>3.38305936976206*(10.3/7.3)</f>
        <v>4.7733577408971533</v>
      </c>
      <c r="F7725" s="1">
        <f>10.105390644934*(38.9/42.5)</f>
        <v>9.2494046138336863</v>
      </c>
      <c r="G7725" s="1">
        <v>0.56404950506134277</v>
      </c>
      <c r="H7725" s="1">
        <v>2.2620085145258688</v>
      </c>
      <c r="I7725" s="1">
        <v>6.9519137121924528</v>
      </c>
      <c r="J7725" s="1">
        <v>1.1142653066455439E-2</v>
      </c>
      <c r="K7725" s="1">
        <v>1.0424905373297717</v>
      </c>
      <c r="L7725" s="1">
        <v>0.79401131331000852</v>
      </c>
      <c r="M7725" s="1">
        <v>7.54091781939841E-2</v>
      </c>
      <c r="N7725" s="1">
        <v>0.4274782750220259</v>
      </c>
      <c r="O7725" s="1">
        <v>7.3706666666666656E-2</v>
      </c>
      <c r="P7725" s="1">
        <v>4.8483764903094591E-2</v>
      </c>
      <c r="Q7725" s="1">
        <v>0.90144898069164459</v>
      </c>
      <c r="R7725" s="2">
        <f t="shared" si="483"/>
        <v>26.574833442105131</v>
      </c>
      <c r="S7725" s="2">
        <f t="shared" si="482"/>
        <v>1.1021169552993217</v>
      </c>
      <c r="T7725" s="2">
        <f t="shared" si="484"/>
        <v>1.3706054331926851</v>
      </c>
      <c r="U7725" s="2">
        <f t="shared" si="485"/>
        <v>29.04755583059714</v>
      </c>
    </row>
    <row r="7726" spans="1:21" x14ac:dyDescent="0.25">
      <c r="A7726">
        <v>8869461</v>
      </c>
      <c r="B7726">
        <v>34</v>
      </c>
      <c r="C7726" s="1">
        <f>0.413813472761826*(10.3/7.3)</f>
        <v>0.58387380403380906</v>
      </c>
      <c r="D7726" s="1">
        <f>1.11452635843588*(10.3/7.3)</f>
        <v>1.5725508892999454</v>
      </c>
      <c r="E7726" s="1">
        <f>3.78080449097563*(10.3/7.3)</f>
        <v>5.3345597612395865</v>
      </c>
      <c r="F7726" s="1">
        <f>10.834159412362*(38.9/42.5)</f>
        <v>9.9164423797854475</v>
      </c>
      <c r="G7726" s="1">
        <v>0.58775853129821376</v>
      </c>
      <c r="H7726" s="1">
        <v>3.1150681643569986</v>
      </c>
      <c r="I7726" s="1">
        <v>7.4827813947295736</v>
      </c>
      <c r="J7726" s="1">
        <v>1.3112498010688809E-2</v>
      </c>
      <c r="K7726" s="1">
        <v>1.0585749097809118</v>
      </c>
      <c r="L7726" s="1">
        <v>0.8480892228864203</v>
      </c>
      <c r="M7726" s="1">
        <v>6.6872773787702525E-2</v>
      </c>
      <c r="N7726" s="1">
        <v>0.49473463292238629</v>
      </c>
      <c r="O7726" s="1">
        <v>6.2900392156862744E-2</v>
      </c>
      <c r="P7726" s="1">
        <v>4.5082295117687403E-2</v>
      </c>
      <c r="Q7726" s="1">
        <v>0.93934011851312815</v>
      </c>
      <c r="R7726" s="2">
        <f t="shared" si="483"/>
        <v>29.532375043256703</v>
      </c>
      <c r="S7726" s="2">
        <f t="shared" si="482"/>
        <v>1.116769702909288</v>
      </c>
      <c r="T7726" s="2">
        <f t="shared" si="484"/>
        <v>1.4725970217533717</v>
      </c>
      <c r="U7726" s="2">
        <f t="shared" si="485"/>
        <v>32.12174176791936</v>
      </c>
    </row>
    <row r="7727" spans="1:21" x14ac:dyDescent="0.25">
      <c r="A7727">
        <v>8869469</v>
      </c>
      <c r="B7727">
        <v>41</v>
      </c>
      <c r="C7727" s="1">
        <f>0.465680837580408*(10.3/7.3)</f>
        <v>0.65705652425728756</v>
      </c>
      <c r="D7727" s="1">
        <f>1.25372153357935*(10.3/7.3)</f>
        <v>1.7689495610777064</v>
      </c>
      <c r="E7727" s="1">
        <f>4.25362762010032*(10.3/7.3)</f>
        <v>6.0016937653470288</v>
      </c>
      <c r="F7727" s="1">
        <f>12.1585010831015*(38.9/42.5)</f>
        <v>11.128604520768153</v>
      </c>
      <c r="G7727" s="1">
        <v>0.65867579221163752</v>
      </c>
      <c r="H7727" s="1">
        <v>4.0871965694655978</v>
      </c>
      <c r="I7727" s="1">
        <v>8.3917730338004581</v>
      </c>
      <c r="J7727" s="1">
        <v>1.3858924427722597E-2</v>
      </c>
      <c r="K7727" s="1">
        <v>1.1057831565413547</v>
      </c>
      <c r="L7727" s="1">
        <v>0.88619647511785993</v>
      </c>
      <c r="M7727" s="1">
        <v>6.7921665718529381E-2</v>
      </c>
      <c r="N7727" s="1">
        <v>0.52464068128003261</v>
      </c>
      <c r="O7727" s="1">
        <v>6.4671219512195122E-2</v>
      </c>
      <c r="P7727" s="1">
        <v>4.6281553696390178E-2</v>
      </c>
      <c r="Q7727" s="1">
        <v>1.0526782067309286</v>
      </c>
      <c r="R7727" s="2">
        <f t="shared" si="483"/>
        <v>33.746627973658804</v>
      </c>
      <c r="S7727" s="2">
        <f t="shared" si="482"/>
        <v>1.1659236346654673</v>
      </c>
      <c r="T7727" s="2">
        <f t="shared" si="484"/>
        <v>1.5434300416286173</v>
      </c>
      <c r="U7727" s="2">
        <f t="shared" si="485"/>
        <v>36.455981649952889</v>
      </c>
    </row>
    <row r="7728" spans="1:21" x14ac:dyDescent="0.25">
      <c r="A7728">
        <v>8881337</v>
      </c>
      <c r="B7728">
        <v>6</v>
      </c>
      <c r="C7728" s="1">
        <f>0.322669469052244*(10.3/7.3)</f>
        <v>0.45527336044357775</v>
      </c>
      <c r="D7728" s="1">
        <f>0.92456549294893*(10.3/7.3)</f>
        <v>1.3045239147087642</v>
      </c>
      <c r="E7728" s="1">
        <f>3.12649530651561*(10.3/7.3)</f>
        <v>4.4113563913850458</v>
      </c>
      <c r="F7728" s="1">
        <f>9.26028172315794*(38.9/42.5)</f>
        <v>8.4758813889610352</v>
      </c>
      <c r="G7728" s="1">
        <v>0.51292346565450808</v>
      </c>
      <c r="H7728" s="1">
        <v>1.9700479560848132</v>
      </c>
      <c r="I7728" s="1">
        <v>6.4081906498558725</v>
      </c>
      <c r="J7728" s="1">
        <v>1.1810250457591128E-2</v>
      </c>
      <c r="K7728" s="1">
        <v>1.1889072608685933</v>
      </c>
      <c r="L7728" s="1">
        <v>0.90053729378319269</v>
      </c>
      <c r="M7728" s="1">
        <v>9.1741284111563348E-2</v>
      </c>
      <c r="N7728" s="1">
        <v>0.4571257876736361</v>
      </c>
      <c r="O7728" s="1">
        <v>9.1235555555555556E-2</v>
      </c>
      <c r="P7728" s="1">
        <v>5.6341714323090521E-2</v>
      </c>
      <c r="Q7728" s="1">
        <v>0.81974069853460296</v>
      </c>
      <c r="R7728" s="2">
        <f t="shared" si="483"/>
        <v>24.357937825628216</v>
      </c>
      <c r="S7728" s="2">
        <f t="shared" si="482"/>
        <v>1.257059225649275</v>
      </c>
      <c r="T7728" s="2">
        <f t="shared" si="484"/>
        <v>1.5406399211239477</v>
      </c>
      <c r="U7728" s="2">
        <f t="shared" si="485"/>
        <v>27.155636972401439</v>
      </c>
    </row>
    <row r="7729" spans="1:21" x14ac:dyDescent="0.25">
      <c r="A7729">
        <v>8881345</v>
      </c>
      <c r="B7729">
        <v>29</v>
      </c>
      <c r="C7729" s="1">
        <f>0.330259445907789*(10.3/7.3)</f>
        <v>0.46598250586989348</v>
      </c>
      <c r="D7729" s="1">
        <f>0.968500079550391*(10.3/7.3)</f>
        <v>1.3665138108724701</v>
      </c>
      <c r="E7729" s="1">
        <f>3.26962412719619*(10.3/7.3)</f>
        <v>4.6133052753590134</v>
      </c>
      <c r="F7729" s="1">
        <f>9.88607497988486*(38.9/42.5)</f>
        <v>9.0486662757063741</v>
      </c>
      <c r="G7729" s="1">
        <v>0.55397857990554411</v>
      </c>
      <c r="H7729" s="1">
        <v>2.1977920565896558</v>
      </c>
      <c r="I7729" s="1">
        <v>6.8633209208870598</v>
      </c>
      <c r="J7729" s="1">
        <v>1.1781474707973215E-2</v>
      </c>
      <c r="K7729" s="1">
        <v>1.1769941861507334</v>
      </c>
      <c r="L7729" s="1">
        <v>0.89506327106431471</v>
      </c>
      <c r="M7729" s="1">
        <v>9.03113648722111E-2</v>
      </c>
      <c r="N7729" s="1">
        <v>0.45604363493065853</v>
      </c>
      <c r="O7729" s="1">
        <v>9.0228965517241383E-2</v>
      </c>
      <c r="P7729" s="1">
        <v>5.5659003317957076E-2</v>
      </c>
      <c r="Q7729" s="1">
        <v>0.88535389482621296</v>
      </c>
      <c r="R7729" s="2">
        <f t="shared" si="483"/>
        <v>25.994913320016224</v>
      </c>
      <c r="S7729" s="2">
        <f t="shared" si="482"/>
        <v>1.2444346641766637</v>
      </c>
      <c r="T7729" s="2">
        <f t="shared" si="484"/>
        <v>1.5316472363844258</v>
      </c>
      <c r="U7729" s="2">
        <f t="shared" si="485"/>
        <v>28.770995220577312</v>
      </c>
    </row>
    <row r="7730" spans="1:21" x14ac:dyDescent="0.25">
      <c r="A7730">
        <v>8881401</v>
      </c>
      <c r="B7730">
        <v>9</v>
      </c>
      <c r="C7730" s="1">
        <f>0.357860762912013*(10.3/7.3)</f>
        <v>0.50492682986215542</v>
      </c>
      <c r="D7730" s="1">
        <f>1.17282776956036*(10.3/7.3)</f>
        <v>1.6548117844481811</v>
      </c>
      <c r="E7730" s="1">
        <f>3.94036173939129*(10.3/7.3)</f>
        <v>5.5596884816068863</v>
      </c>
      <c r="F7730" s="1">
        <f>12.4725338160335*(38.9/42.5)</f>
        <v>11.416036833969445</v>
      </c>
      <c r="G7730" s="1">
        <v>0.71777931225526437</v>
      </c>
      <c r="H7730" s="1">
        <v>3.2054638032792084</v>
      </c>
      <c r="I7730" s="1">
        <v>8.670693310276457</v>
      </c>
      <c r="J7730" s="1">
        <v>1.2825790556818727E-2</v>
      </c>
      <c r="K7730" s="1">
        <v>1.2020485106523788</v>
      </c>
      <c r="L7730" s="1">
        <v>0.93655851183844219</v>
      </c>
      <c r="M7730" s="1">
        <v>9.1867299120619778E-2</v>
      </c>
      <c r="N7730" s="1">
        <v>0.48692807937553984</v>
      </c>
      <c r="O7730" s="1">
        <v>8.8912592592592599E-2</v>
      </c>
      <c r="P7730" s="1">
        <v>5.6504221789304664E-2</v>
      </c>
      <c r="Q7730" s="1">
        <v>1.1471358871659489</v>
      </c>
      <c r="R7730" s="2">
        <f t="shared" si="483"/>
        <v>32.876536242863551</v>
      </c>
      <c r="S7730" s="2">
        <f t="shared" si="482"/>
        <v>1.2713785229985022</v>
      </c>
      <c r="T7730" s="2">
        <f t="shared" si="484"/>
        <v>1.6042664829271944</v>
      </c>
      <c r="U7730" s="2">
        <f t="shared" si="485"/>
        <v>35.752181248789249</v>
      </c>
    </row>
    <row r="7731" spans="1:21" x14ac:dyDescent="0.25">
      <c r="A7731">
        <v>8881409</v>
      </c>
      <c r="B7731">
        <v>22</v>
      </c>
      <c r="C7731" s="1">
        <f>0.368081373220003*(10.3/7.3)</f>
        <v>0.51934769098164801</v>
      </c>
      <c r="D7731" s="1">
        <f>1.21856968274207*(10.3/7.3)</f>
        <v>1.7193517441429256</v>
      </c>
      <c r="E7731" s="1">
        <f>4.09357907421376*(10.3/7.3)</f>
        <v>5.7758718444385906</v>
      </c>
      <c r="F7731" s="1">
        <f>12.9437855367358*(38.9/42.5)</f>
        <v>11.847370761859331</v>
      </c>
      <c r="G7731" s="1">
        <v>0.74481221846160228</v>
      </c>
      <c r="H7731" s="1">
        <v>3.0333462722871469</v>
      </c>
      <c r="I7731" s="1">
        <v>8.9869265050374025</v>
      </c>
      <c r="J7731" s="1">
        <v>1.2816018329983919E-2</v>
      </c>
      <c r="K7731" s="1">
        <v>1.2076626255660974</v>
      </c>
      <c r="L7731" s="1">
        <v>0.9430777406110189</v>
      </c>
      <c r="M7731" s="1">
        <v>9.3015078920116498E-2</v>
      </c>
      <c r="N7731" s="1">
        <v>0.49227942550853621</v>
      </c>
      <c r="O7731" s="1">
        <v>8.8824242424242417E-2</v>
      </c>
      <c r="P7731" s="1">
        <v>5.6360417284323845E-2</v>
      </c>
      <c r="Q7731" s="1">
        <v>1.1903391619249364</v>
      </c>
      <c r="R7731" s="2">
        <f t="shared" si="483"/>
        <v>33.817366199133588</v>
      </c>
      <c r="S7731" s="2">
        <f t="shared" si="482"/>
        <v>1.2768390611804052</v>
      </c>
      <c r="T7731" s="2">
        <f t="shared" si="484"/>
        <v>1.6171964874639142</v>
      </c>
      <c r="U7731" s="2">
        <f t="shared" si="485"/>
        <v>36.711401747777906</v>
      </c>
    </row>
    <row r="7732" spans="1:21" x14ac:dyDescent="0.25">
      <c r="A7732">
        <v>8881417</v>
      </c>
      <c r="B7732">
        <v>35</v>
      </c>
      <c r="C7732" s="1">
        <f>0.39692168294771*(10.3/7.3)</f>
        <v>0.56004018278923451</v>
      </c>
      <c r="D7732" s="1">
        <f>1.31669890865554*(10.3/7.3)</f>
        <v>1.8578080491989157</v>
      </c>
      <c r="E7732" s="1">
        <f>4.42931497286286*(10.3/7.3)</f>
        <v>6.2495814000667735</v>
      </c>
      <c r="F7732" s="1">
        <f>13.6830018525048*(38.9/42.5)</f>
        <v>12.523971107351429</v>
      </c>
      <c r="G7732" s="1">
        <v>0.7788079934826172</v>
      </c>
      <c r="H7732" s="1">
        <v>3.4626898128828589</v>
      </c>
      <c r="I7732" s="1">
        <v>9.4352730365223945</v>
      </c>
      <c r="J7732" s="1">
        <v>1.3055004382637228E-2</v>
      </c>
      <c r="K7732" s="1">
        <v>1.229419690891544</v>
      </c>
      <c r="L7732" s="1">
        <v>0.96624009500098318</v>
      </c>
      <c r="M7732" s="1">
        <v>9.3732239881301777E-2</v>
      </c>
      <c r="N7732" s="1">
        <v>0.50337565161324738</v>
      </c>
      <c r="O7732" s="1">
        <v>9.0232380952380939E-2</v>
      </c>
      <c r="P7732" s="1">
        <v>5.7101810083291918E-2</v>
      </c>
      <c r="Q7732" s="1">
        <v>1.2446703092187958</v>
      </c>
      <c r="R7732" s="2">
        <f t="shared" si="483"/>
        <v>36.112841891513021</v>
      </c>
      <c r="S7732" s="2">
        <f t="shared" si="482"/>
        <v>1.299576505357473</v>
      </c>
      <c r="T7732" s="2">
        <f t="shared" si="484"/>
        <v>1.653580367447913</v>
      </c>
      <c r="U7732" s="2">
        <f t="shared" si="485"/>
        <v>39.065998764318408</v>
      </c>
    </row>
    <row r="7733" spans="1:21" x14ac:dyDescent="0.25">
      <c r="A7733">
        <v>8881425</v>
      </c>
      <c r="B7733">
        <v>49</v>
      </c>
      <c r="C7733" s="1">
        <f>0.428704231150805*(10.3/7.3)</f>
        <v>0.60488405217168317</v>
      </c>
      <c r="D7733" s="1">
        <f>1.4408513496144*(10.3/7.3)</f>
        <v>2.0329820412367607</v>
      </c>
      <c r="E7733" s="1">
        <f>4.84726167965007*(10.3/7.3)</f>
        <v>6.8392870274514745</v>
      </c>
      <c r="F7733" s="1">
        <f>14.901675506923*(38.9/42.5)</f>
        <v>13.639415934571831</v>
      </c>
      <c r="G7733" s="1">
        <v>0.84661620652891367</v>
      </c>
      <c r="H7733" s="1">
        <v>3.2895392123364555</v>
      </c>
      <c r="I7733" s="1">
        <v>10.247973708055589</v>
      </c>
      <c r="J7733" s="1">
        <v>1.360267209370155E-2</v>
      </c>
      <c r="K7733" s="1">
        <v>1.2734678275210625</v>
      </c>
      <c r="L7733" s="1">
        <v>1.0097587942158588</v>
      </c>
      <c r="M7733" s="1">
        <v>9.7474875270943728E-2</v>
      </c>
      <c r="N7733" s="1">
        <v>0.52346894926655618</v>
      </c>
      <c r="O7733" s="1">
        <v>9.3160272108843548E-2</v>
      </c>
      <c r="P7733" s="1">
        <v>5.9092014054930225E-2</v>
      </c>
      <c r="Q7733" s="1">
        <v>1.3530395994754336</v>
      </c>
      <c r="R7733" s="2">
        <f t="shared" si="483"/>
        <v>38.853737781828144</v>
      </c>
      <c r="S7733" s="2">
        <f t="shared" si="482"/>
        <v>1.3461625136696942</v>
      </c>
      <c r="T7733" s="2">
        <f t="shared" si="484"/>
        <v>1.7238628908622022</v>
      </c>
      <c r="U7733" s="2">
        <f t="shared" si="485"/>
        <v>41.923763186360041</v>
      </c>
    </row>
    <row r="7734" spans="1:21" x14ac:dyDescent="0.25">
      <c r="A7734">
        <v>8881433</v>
      </c>
      <c r="B7734">
        <v>59</v>
      </c>
      <c r="C7734" s="1">
        <f>0.461998243719283*(10.3/7.3)</f>
        <v>0.65186053565871427</v>
      </c>
      <c r="D7734" s="1">
        <f>1.58565306254766*(10.3/7.3)</f>
        <v>2.2372913074302629</v>
      </c>
      <c r="E7734" s="1">
        <f>5.33179167428783*(10.3/7.3)</f>
        <v>7.522938937693783</v>
      </c>
      <c r="F7734" s="1">
        <f>16.427099504346*(38.9/42.5)</f>
        <v>15.035627546330767</v>
      </c>
      <c r="G7734" s="1">
        <v>0.93499539462071202</v>
      </c>
      <c r="H7734" s="1">
        <v>3.5702244852367051</v>
      </c>
      <c r="I7734" s="1">
        <v>11.281459236005114</v>
      </c>
      <c r="J7734" s="1">
        <v>1.3950071742163516E-2</v>
      </c>
      <c r="K7734" s="1">
        <v>1.2989951163879663</v>
      </c>
      <c r="L7734" s="1">
        <v>1.0364837397272886</v>
      </c>
      <c r="M7734" s="1">
        <v>9.6076629363410854E-2</v>
      </c>
      <c r="N7734" s="1">
        <v>0.53662437548226771</v>
      </c>
      <c r="O7734" s="1">
        <v>9.5074350282485856E-2</v>
      </c>
      <c r="P7734" s="1">
        <v>5.9939102021833078E-2</v>
      </c>
      <c r="Q7734" s="1">
        <v>1.4942848772477142</v>
      </c>
      <c r="R7734" s="2">
        <f t="shared" si="483"/>
        <v>42.728682320223776</v>
      </c>
      <c r="S7734" s="2">
        <f t="shared" si="482"/>
        <v>1.3728842901519629</v>
      </c>
      <c r="T7734" s="2">
        <f t="shared" si="484"/>
        <v>1.7642590948554528</v>
      </c>
      <c r="U7734" s="2">
        <f t="shared" si="485"/>
        <v>45.865825705231195</v>
      </c>
    </row>
    <row r="7735" spans="1:21" x14ac:dyDescent="0.25">
      <c r="A7735">
        <v>8881441</v>
      </c>
      <c r="B7735">
        <v>57</v>
      </c>
      <c r="C7735" s="1">
        <f>0.406068279600633*(10.3/7.3)</f>
        <v>0.57294565477897497</v>
      </c>
      <c r="D7735" s="1">
        <f>1.34751428444312*(10.3/7.3)</f>
        <v>1.9012872780498866</v>
      </c>
      <c r="E7735" s="1">
        <f>4.53604304409787*(10.3/7.3)</f>
        <v>6.4001703224942537</v>
      </c>
      <c r="F7735" s="1">
        <f>13.8531527263933*(38.9/42.5)</f>
        <v>12.679709201334118</v>
      </c>
      <c r="G7735" s="1">
        <v>0.78414719412021694</v>
      </c>
      <c r="H7735" s="1">
        <v>3.0510047784673797</v>
      </c>
      <c r="I7735" s="1">
        <v>9.52031892427744</v>
      </c>
      <c r="J7735" s="1">
        <v>1.2907081407746485E-2</v>
      </c>
      <c r="K7735" s="1">
        <v>1.2034902234289073</v>
      </c>
      <c r="L7735" s="1">
        <v>0.94617867967075631</v>
      </c>
      <c r="M7735" s="1">
        <v>8.857577001788626E-2</v>
      </c>
      <c r="N7735" s="1">
        <v>0.49738133924870132</v>
      </c>
      <c r="O7735" s="1">
        <v>8.6789239766081855E-2</v>
      </c>
      <c r="P7735" s="1">
        <v>5.5638347709275178E-2</v>
      </c>
      <c r="Q7735" s="1">
        <v>1.2532032782743205</v>
      </c>
      <c r="R7735" s="2">
        <f t="shared" si="483"/>
        <v>36.162786631796585</v>
      </c>
      <c r="S7735" s="2">
        <f t="shared" si="482"/>
        <v>1.2720356525459291</v>
      </c>
      <c r="T7735" s="2">
        <f t="shared" si="484"/>
        <v>1.6189250287034256</v>
      </c>
      <c r="U7735" s="2">
        <f t="shared" si="485"/>
        <v>39.053747313045939</v>
      </c>
    </row>
    <row r="7736" spans="1:21" x14ac:dyDescent="0.25">
      <c r="A7736">
        <v>8881449</v>
      </c>
      <c r="B7736">
        <v>34</v>
      </c>
      <c r="C7736" s="1">
        <f>0.385876816856875*(10.3/7.3)</f>
        <v>0.54445633063367227</v>
      </c>
      <c r="D7736" s="1">
        <f>1.26221914154152*(10.3/7.3)</f>
        <v>1.7809393366955717</v>
      </c>
      <c r="E7736" s="1">
        <f>4.25050333908109*(10.3/7.3)</f>
        <v>5.9972855332240034</v>
      </c>
      <c r="F7736" s="1">
        <f>12.9549920863795*(38.9/42.5)</f>
        <v>11.857628050827358</v>
      </c>
      <c r="G7736" s="1">
        <v>0.73217436620809428</v>
      </c>
      <c r="H7736" s="1">
        <v>2.8674936462596188</v>
      </c>
      <c r="I7736" s="1">
        <v>8.91062031965469</v>
      </c>
      <c r="J7736" s="1">
        <v>1.2558385520040297E-2</v>
      </c>
      <c r="K7736" s="1">
        <v>1.170800705232</v>
      </c>
      <c r="L7736" s="1">
        <v>0.9146965122813826</v>
      </c>
      <c r="M7736" s="1">
        <v>8.493961972258561E-2</v>
      </c>
      <c r="N7736" s="1">
        <v>0.48384001288589101</v>
      </c>
      <c r="O7736" s="1">
        <v>8.3786666666666648E-2</v>
      </c>
      <c r="P7736" s="1">
        <v>5.4187346440811412E-2</v>
      </c>
      <c r="Q7736" s="1">
        <v>1.1701416811544898</v>
      </c>
      <c r="R7736" s="2">
        <f t="shared" si="483"/>
        <v>33.860739264657497</v>
      </c>
      <c r="S7736" s="2">
        <f t="shared" si="482"/>
        <v>1.2375464371928517</v>
      </c>
      <c r="T7736" s="2">
        <f t="shared" si="484"/>
        <v>1.5672628115565259</v>
      </c>
      <c r="U7736" s="2">
        <f t="shared" si="485"/>
        <v>36.665548513406875</v>
      </c>
    </row>
    <row r="7737" spans="1:21" x14ac:dyDescent="0.25">
      <c r="A7737">
        <v>8881521</v>
      </c>
      <c r="B7737">
        <v>2</v>
      </c>
      <c r="C7737" s="1">
        <f>0.334883751126309*(10.3/7.3)</f>
        <v>0.47250721049328531</v>
      </c>
      <c r="D7737" s="1">
        <f>1.01600760540042*(10.3/7.3)</f>
        <v>1.4335449774827809</v>
      </c>
      <c r="E7737" s="1">
        <f>3.42640357638251*(10.3/7.3)</f>
        <v>4.8345146351698451</v>
      </c>
      <c r="F7737" s="1">
        <f>10.4292361867439*(38.9/42.5)</f>
        <v>9.5458185332785259</v>
      </c>
      <c r="G7737" s="1">
        <v>0.58722521232656055</v>
      </c>
      <c r="H7737" s="1">
        <v>2.5826332735271968</v>
      </c>
      <c r="I7737" s="1">
        <v>7.2270643355199295</v>
      </c>
      <c r="J7737" s="1">
        <v>1.1719728777437138E-2</v>
      </c>
      <c r="K7737" s="1">
        <v>1.0497608909027125</v>
      </c>
      <c r="L7737" s="1">
        <v>0.813332108973156</v>
      </c>
      <c r="M7737" s="1">
        <v>7.3011736150926571E-2</v>
      </c>
      <c r="N7737" s="1">
        <v>0.44732019941637591</v>
      </c>
      <c r="O7737" s="1">
        <v>7.152E-2</v>
      </c>
      <c r="P7737" s="1">
        <v>4.7511895459789538E-2</v>
      </c>
      <c r="Q7737" s="1">
        <v>0.9384877822570612</v>
      </c>
      <c r="R7737" s="2">
        <f t="shared" si="483"/>
        <v>27.621795960055188</v>
      </c>
      <c r="S7737" s="2">
        <f t="shared" si="482"/>
        <v>1.1089925151399391</v>
      </c>
      <c r="T7737" s="2">
        <f t="shared" si="484"/>
        <v>1.4051840445404586</v>
      </c>
      <c r="U7737" s="2">
        <f t="shared" si="485"/>
        <v>30.135972519735585</v>
      </c>
    </row>
    <row r="7738" spans="1:21" x14ac:dyDescent="0.25">
      <c r="A7738">
        <v>8881697</v>
      </c>
      <c r="B7738">
        <v>18</v>
      </c>
      <c r="C7738" s="1">
        <f>0.42190165997498*(10.3/7.3)</f>
        <v>0.59528590380031399</v>
      </c>
      <c r="D7738" s="1">
        <f>1.12720675640456*(10.3/7.3)</f>
        <v>1.5904424097214991</v>
      </c>
      <c r="E7738" s="1">
        <f>3.82510131685722*(10.3/7.3)</f>
        <v>5.3970607621410149</v>
      </c>
      <c r="F7738" s="1">
        <f>10.9293380282176*(38.9/42.5)</f>
        <v>10.003558807003877</v>
      </c>
      <c r="G7738" s="1">
        <v>0.59171967819023708</v>
      </c>
      <c r="H7738" s="1">
        <v>3.1861677203499625</v>
      </c>
      <c r="I7738" s="1">
        <v>7.5500037671901321</v>
      </c>
      <c r="J7738" s="1">
        <v>1.3056337960960921E-2</v>
      </c>
      <c r="K7738" s="1">
        <v>1.05586753784473</v>
      </c>
      <c r="L7738" s="1">
        <v>0.84439555299019464</v>
      </c>
      <c r="M7738" s="1">
        <v>6.5825404349217256E-2</v>
      </c>
      <c r="N7738" s="1">
        <v>0.49283240593397004</v>
      </c>
      <c r="O7738" s="1">
        <v>6.2488888888888892E-2</v>
      </c>
      <c r="P7738" s="1">
        <v>4.4916453396995057E-2</v>
      </c>
      <c r="Q7738" s="1">
        <v>0.94567071856887297</v>
      </c>
      <c r="R7738" s="2">
        <f t="shared" si="483"/>
        <v>29.859909766965909</v>
      </c>
      <c r="S7738" s="2">
        <f t="shared" si="482"/>
        <v>1.1138403292026859</v>
      </c>
      <c r="T7738" s="2">
        <f t="shared" si="484"/>
        <v>1.4655422521622707</v>
      </c>
      <c r="U7738" s="2">
        <f t="shared" si="485"/>
        <v>32.439292348330866</v>
      </c>
    </row>
    <row r="7739" spans="1:21" x14ac:dyDescent="0.25">
      <c r="A7739">
        <v>8881705</v>
      </c>
      <c r="B7739">
        <v>23</v>
      </c>
      <c r="C7739" s="1">
        <f>0.468183360332338*(10.3/7.3)</f>
        <v>0.66058748101686093</v>
      </c>
      <c r="D7739" s="1">
        <f>1.2633522926169*(10.3/7.3)</f>
        <v>1.7825381662950843</v>
      </c>
      <c r="E7739" s="1">
        <f>4.28643487648686*(10.3/7.3)</f>
        <v>6.0479834558650216</v>
      </c>
      <c r="F7739" s="1">
        <f>12.2346857019813*(38.9/42.5)</f>
        <v>11.198335854284023</v>
      </c>
      <c r="G7739" s="1">
        <v>0.66235499604361625</v>
      </c>
      <c r="H7739" s="1">
        <v>4.2545745174332934</v>
      </c>
      <c r="I7739" s="1">
        <v>8.4383348174058419</v>
      </c>
      <c r="J7739" s="1">
        <v>1.4035411106159091E-2</v>
      </c>
      <c r="K7739" s="1">
        <v>1.119581769177832</v>
      </c>
      <c r="L7739" s="1">
        <v>0.90157967918035486</v>
      </c>
      <c r="M7739" s="1">
        <v>6.8724934769640089E-2</v>
      </c>
      <c r="N7739" s="1">
        <v>0.5339287462796205</v>
      </c>
      <c r="O7739" s="1">
        <v>6.5903768115942021E-2</v>
      </c>
      <c r="P7739" s="1">
        <v>4.6804053525640231E-2</v>
      </c>
      <c r="Q7739" s="1">
        <v>1.0585582128550954</v>
      </c>
      <c r="R7739" s="2">
        <f t="shared" si="483"/>
        <v>34.103267501198843</v>
      </c>
      <c r="S7739" s="2">
        <f t="shared" si="482"/>
        <v>1.1804212338096314</v>
      </c>
      <c r="T7739" s="2">
        <f t="shared" si="484"/>
        <v>1.5701371283455574</v>
      </c>
      <c r="U7739" s="2">
        <f t="shared" si="485"/>
        <v>36.853825863354032</v>
      </c>
    </row>
    <row r="7740" spans="1:21" x14ac:dyDescent="0.25">
      <c r="A7740">
        <v>8893573</v>
      </c>
      <c r="B7740">
        <v>2</v>
      </c>
      <c r="C7740" s="1">
        <f>0.260283695719604*(10.3/7.3)</f>
        <v>0.36724959807012603</v>
      </c>
      <c r="D7740" s="1">
        <f>0.701452482059215*(10.3/7.3)</f>
        <v>0.98972062537122152</v>
      </c>
      <c r="E7740" s="1">
        <f>2.37804263927959*(10.3/7.3)</f>
        <v>3.3553204362438009</v>
      </c>
      <c r="F7740" s="1">
        <f>6.88946957880507*(38.9/42.5)</f>
        <v>6.3058909791886366</v>
      </c>
      <c r="G7740" s="1">
        <v>0.3760151208840547</v>
      </c>
      <c r="H7740" s="1">
        <v>1.4665769489783105</v>
      </c>
      <c r="I7740" s="1">
        <v>4.7729612699729858</v>
      </c>
      <c r="J7740" s="1">
        <v>9.8993943655904561E-3</v>
      </c>
      <c r="K7740" s="1">
        <v>1.004647171931373</v>
      </c>
      <c r="L7740" s="1">
        <v>0.73747511447725533</v>
      </c>
      <c r="M7740" s="1">
        <v>7.7185462950985412E-2</v>
      </c>
      <c r="N7740" s="1">
        <v>0.38145297381615839</v>
      </c>
      <c r="O7740" s="1">
        <v>7.6186666666666666E-2</v>
      </c>
      <c r="P7740" s="1">
        <v>4.8003172868789773E-2</v>
      </c>
      <c r="Q7740" s="1">
        <v>0.60093740780556748</v>
      </c>
      <c r="R7740" s="2">
        <f t="shared" si="483"/>
        <v>18.234672386514703</v>
      </c>
      <c r="S7740" s="2">
        <f t="shared" si="482"/>
        <v>1.0625497391657532</v>
      </c>
      <c r="T7740" s="2">
        <f t="shared" si="484"/>
        <v>1.2723002179110656</v>
      </c>
      <c r="U7740" s="2">
        <f t="shared" si="485"/>
        <v>20.569522343591522</v>
      </c>
    </row>
    <row r="7741" spans="1:21" x14ac:dyDescent="0.25">
      <c r="A7741">
        <v>8893653</v>
      </c>
      <c r="B7741">
        <v>2</v>
      </c>
      <c r="C7741" s="1">
        <f>0.336496832943699*(10.3/7.3)</f>
        <v>0.47478320264658908</v>
      </c>
      <c r="D7741" s="1">
        <f>1.06512484670195*(10.3/7.3)</f>
        <v>1.5028473864424805</v>
      </c>
      <c r="E7741" s="1">
        <f>3.59076244992732*(10.3/7.3)</f>
        <v>5.0664182512673221</v>
      </c>
      <c r="F7741" s="1">
        <f>10.8490256483649*(38.9/42.5)</f>
        <v>9.9300493581504874</v>
      </c>
      <c r="G7741" s="1">
        <v>0.60970350247500105</v>
      </c>
      <c r="H7741" s="1">
        <v>2.4999997578495368</v>
      </c>
      <c r="I7741" s="1">
        <v>7.4681980119604159</v>
      </c>
      <c r="J7741" s="1">
        <v>1.199978022541355E-2</v>
      </c>
      <c r="K7741" s="1">
        <v>1.1373058880203522</v>
      </c>
      <c r="L7741" s="1">
        <v>0.87976762126025365</v>
      </c>
      <c r="M7741" s="1">
        <v>8.6900220686547139E-2</v>
      </c>
      <c r="N7741" s="1">
        <v>0.46304185766093686</v>
      </c>
      <c r="O7741" s="1">
        <v>8.261333333333333E-2</v>
      </c>
      <c r="P7741" s="1">
        <v>5.3225568088075659E-2</v>
      </c>
      <c r="Q7741" s="1">
        <v>0.97441199025685188</v>
      </c>
      <c r="R7741" s="2">
        <f t="shared" si="483"/>
        <v>28.526411461048685</v>
      </c>
      <c r="S7741" s="2">
        <f t="shared" si="482"/>
        <v>1.2025312363338414</v>
      </c>
      <c r="T7741" s="2">
        <f t="shared" si="484"/>
        <v>1.5123230329410711</v>
      </c>
      <c r="U7741" s="2">
        <f t="shared" si="485"/>
        <v>31.241265730323597</v>
      </c>
    </row>
    <row r="7742" spans="1:21" x14ac:dyDescent="0.25">
      <c r="A7742">
        <v>8893661</v>
      </c>
      <c r="B7742">
        <v>12</v>
      </c>
      <c r="C7742" s="1">
        <f>0.396124435514506*(10.3/7.3)</f>
        <v>0.55891529942457696</v>
      </c>
      <c r="D7742" s="1">
        <f>1.30417443517204*(10.3/7.3)</f>
        <v>1.8401365318180816</v>
      </c>
      <c r="E7742" s="1">
        <f>4.3909401431795*(10.3/7.3)</f>
        <v>6.1954360924313558</v>
      </c>
      <c r="F7742" s="1">
        <f>13.4007132410453*(38.9/42.5)</f>
        <v>12.265594001803827</v>
      </c>
      <c r="G7742" s="1">
        <v>0.75804769971158625</v>
      </c>
      <c r="H7742" s="1">
        <v>2.9697399430076721</v>
      </c>
      <c r="I7742" s="1">
        <v>9.2147635867051214</v>
      </c>
      <c r="J7742" s="1">
        <v>1.2994104305855056E-2</v>
      </c>
      <c r="K7742" s="1">
        <v>1.2226777353977514</v>
      </c>
      <c r="L7742" s="1">
        <v>0.96174749177630392</v>
      </c>
      <c r="M7742" s="1">
        <v>9.2712365160614998E-2</v>
      </c>
      <c r="N7742" s="1">
        <v>0.50130957552572863</v>
      </c>
      <c r="O7742" s="1">
        <v>8.8813333333333341E-2</v>
      </c>
      <c r="P7742" s="1">
        <v>5.6905342061327267E-2</v>
      </c>
      <c r="Q7742" s="1">
        <v>1.2114917575299335</v>
      </c>
      <c r="R7742" s="2">
        <f t="shared" si="483"/>
        <v>35.014124912432159</v>
      </c>
      <c r="S7742" s="2">
        <f t="shared" si="482"/>
        <v>1.2925771817649336</v>
      </c>
      <c r="T7742" s="2">
        <f t="shared" si="484"/>
        <v>1.6445827657959811</v>
      </c>
      <c r="U7742" s="2">
        <f t="shared" si="485"/>
        <v>37.951284859993073</v>
      </c>
    </row>
    <row r="7743" spans="1:21" x14ac:dyDescent="0.25">
      <c r="A7743">
        <v>8893669</v>
      </c>
      <c r="B7743">
        <v>13</v>
      </c>
      <c r="C7743" s="1">
        <f>0.396324857994191*(10.3/7.3)</f>
        <v>0.55919808730687259</v>
      </c>
      <c r="D7743" s="1">
        <f>1.30995497857494*(10.3/7.3)</f>
        <v>1.8482926410029989</v>
      </c>
      <c r="E7743" s="1">
        <f>4.41016962119582*(10.3/7.3)</f>
        <v>6.2225680956598586</v>
      </c>
      <c r="F7743" s="1">
        <f>13.4557355392707*(38.9/42.5)</f>
        <v>12.315955587708903</v>
      </c>
      <c r="G7743" s="1">
        <v>0.7611750721277466</v>
      </c>
      <c r="H7743" s="1">
        <v>2.9691477964366024</v>
      </c>
      <c r="I7743" s="1">
        <v>9.2482361077834589</v>
      </c>
      <c r="J7743" s="1">
        <v>1.293328505200159E-2</v>
      </c>
      <c r="K7743" s="1">
        <v>1.2101707236078298</v>
      </c>
      <c r="L7743" s="1">
        <v>0.95151138315139316</v>
      </c>
      <c r="M7743" s="1">
        <v>8.8099998212058495E-2</v>
      </c>
      <c r="N7743" s="1">
        <v>0.49979950489530461</v>
      </c>
      <c r="O7743" s="1">
        <v>8.7368205128205118E-2</v>
      </c>
      <c r="P7743" s="1">
        <v>5.612147250005179E-2</v>
      </c>
      <c r="Q7743" s="1">
        <v>1.2164898413000531</v>
      </c>
      <c r="R7743" s="2">
        <f t="shared" si="483"/>
        <v>35.141063229326491</v>
      </c>
      <c r="S7743" s="2">
        <f t="shared" si="482"/>
        <v>1.2792254811598833</v>
      </c>
      <c r="T7743" s="2">
        <f t="shared" si="484"/>
        <v>1.6267790913869615</v>
      </c>
      <c r="U7743" s="2">
        <f t="shared" si="485"/>
        <v>38.047067801873339</v>
      </c>
    </row>
    <row r="7744" spans="1:21" x14ac:dyDescent="0.25">
      <c r="A7744">
        <v>8893677</v>
      </c>
      <c r="B7744">
        <v>12</v>
      </c>
      <c r="C7744" s="1">
        <f>0.351714899060434*(10.3/7.3)</f>
        <v>0.49625526853732527</v>
      </c>
      <c r="D7744" s="1">
        <f>1.11603304841277*(10.3/7.3)</f>
        <v>1.5746767669385608</v>
      </c>
      <c r="E7744" s="1">
        <f>3.76269043903288*(10.3/7.3)</f>
        <v>5.3090015783614559</v>
      </c>
      <c r="F7744" s="1">
        <f>11.3440424468759*(38.9/42.5)</f>
        <v>10.383135321964041</v>
      </c>
      <c r="G7744" s="1">
        <v>0.63690277002931905</v>
      </c>
      <c r="H7744" s="1">
        <v>2.5263685829743183</v>
      </c>
      <c r="I7744" s="1">
        <v>7.8020142369357615</v>
      </c>
      <c r="J7744" s="1">
        <v>1.1956640987215161E-2</v>
      </c>
      <c r="K7744" s="1">
        <v>1.1213592811960493</v>
      </c>
      <c r="L7744" s="1">
        <v>0.86791184577883873</v>
      </c>
      <c r="M7744" s="1">
        <v>8.215922841212743E-2</v>
      </c>
      <c r="N7744" s="1">
        <v>0.46010212947413692</v>
      </c>
      <c r="O7744" s="1">
        <v>8.0026666666666663E-2</v>
      </c>
      <c r="P7744" s="1">
        <v>5.200406309353648E-2</v>
      </c>
      <c r="Q7744" s="1">
        <v>1.0178811393162641</v>
      </c>
      <c r="R7744" s="2">
        <f t="shared" si="483"/>
        <v>29.746235665057043</v>
      </c>
      <c r="S7744" s="2">
        <f t="shared" si="482"/>
        <v>1.185319985276801</v>
      </c>
      <c r="T7744" s="2">
        <f t="shared" si="484"/>
        <v>1.4901998703317698</v>
      </c>
      <c r="U7744" s="2">
        <f t="shared" si="485"/>
        <v>32.421755520665613</v>
      </c>
    </row>
    <row r="7745" spans="1:21" x14ac:dyDescent="0.25">
      <c r="A7745">
        <v>8893749</v>
      </c>
      <c r="B7745">
        <v>38</v>
      </c>
      <c r="C7745" s="1">
        <f>0.535250733336425*(10.3/7.3)</f>
        <v>0.75521678813221604</v>
      </c>
      <c r="D7745" s="1">
        <f>1.7995271477697*(10.3/7.3)</f>
        <v>2.5390588523325839</v>
      </c>
      <c r="E7745" s="1">
        <f>6.03985863413709*(10.3/7.3)</f>
        <v>8.5219923193989029</v>
      </c>
      <c r="F7745" s="1">
        <f>19.2903836610239*(38.9/42.5)</f>
        <v>17.656374692090132</v>
      </c>
      <c r="G7745" s="1">
        <v>1.115765739004938</v>
      </c>
      <c r="H7745" s="1">
        <v>4.5571305452828579</v>
      </c>
      <c r="I7745" s="1">
        <v>13.411674710585038</v>
      </c>
      <c r="J7745" s="1">
        <v>1.5180843084246097E-2</v>
      </c>
      <c r="K7745" s="1">
        <v>1.3231638041645251</v>
      </c>
      <c r="L7745" s="1">
        <v>1.0800651141097486</v>
      </c>
      <c r="M7745" s="1">
        <v>9.1726803490782174E-2</v>
      </c>
      <c r="N7745" s="1">
        <v>0.57176436642966244</v>
      </c>
      <c r="O7745" s="1">
        <v>9.2471578947368391E-2</v>
      </c>
      <c r="P7745" s="1">
        <v>5.8576440883690711E-2</v>
      </c>
      <c r="Q7745" s="1">
        <v>1.7831872541174827</v>
      </c>
      <c r="R7745" s="2">
        <f t="shared" si="483"/>
        <v>50.340400900944154</v>
      </c>
      <c r="S7745" s="2">
        <f t="shared" si="482"/>
        <v>1.3969210881324619</v>
      </c>
      <c r="T7745" s="2">
        <f t="shared" si="484"/>
        <v>1.8360278629775615</v>
      </c>
      <c r="U7745" s="2">
        <f t="shared" si="485"/>
        <v>53.573349852054172</v>
      </c>
    </row>
    <row r="7746" spans="1:21" x14ac:dyDescent="0.25">
      <c r="A7746">
        <v>8893757</v>
      </c>
      <c r="B7746">
        <v>6</v>
      </c>
      <c r="C7746" s="1">
        <f>0.322277815442261*(10.3/7.3)</f>
        <v>0.45472075329524486</v>
      </c>
      <c r="D7746" s="1">
        <f>0.980159359996498*(10.3/7.3)</f>
        <v>1.3829645764334146</v>
      </c>
      <c r="E7746" s="1">
        <f>3.3007753498371*(10.3/7.3)</f>
        <v>4.657258370318095</v>
      </c>
      <c r="F7746" s="1">
        <f>10.282720954919*(38.9/42.5)</f>
        <v>9.4117140034434961</v>
      </c>
      <c r="G7746" s="1">
        <v>0.58561578821092042</v>
      </c>
      <c r="H7746" s="1">
        <v>2.7846263118503658</v>
      </c>
      <c r="I7746" s="1">
        <v>7.1702189413770911</v>
      </c>
      <c r="J7746" s="1">
        <v>1.198422181163708E-2</v>
      </c>
      <c r="K7746" s="1">
        <v>1.0591250421415752</v>
      </c>
      <c r="L7746" s="1">
        <v>0.8248413975007366</v>
      </c>
      <c r="M7746" s="1">
        <v>7.3136007439725537E-2</v>
      </c>
      <c r="N7746" s="1">
        <v>0.45550068674364458</v>
      </c>
      <c r="O7746" s="1">
        <v>7.2337777777777779E-2</v>
      </c>
      <c r="P7746" s="1">
        <v>4.8224504273713477E-2</v>
      </c>
      <c r="Q7746" s="1">
        <v>0.93591564325946275</v>
      </c>
      <c r="R7746" s="2">
        <f t="shared" si="483"/>
        <v>27.38303438818809</v>
      </c>
      <c r="S7746" s="2">
        <f t="shared" si="482"/>
        <v>1.1193337682269258</v>
      </c>
      <c r="T7746" s="2">
        <f t="shared" si="484"/>
        <v>1.4258158694618845</v>
      </c>
      <c r="U7746" s="2">
        <f t="shared" si="485"/>
        <v>29.928184025876902</v>
      </c>
    </row>
    <row r="7747" spans="1:21" x14ac:dyDescent="0.25">
      <c r="A7747">
        <v>8905977</v>
      </c>
      <c r="B7747">
        <v>44</v>
      </c>
      <c r="C7747" s="1">
        <f>0.438914855426843*(10.3/7.3)</f>
        <v>0.61929082341047681</v>
      </c>
      <c r="D7747" s="1">
        <f>1.41988133017655*(10.3/7.3)</f>
        <v>2.0033942055915652</v>
      </c>
      <c r="E7747" s="1">
        <f>4.77518498038169*(10.3/7.3)</f>
        <v>6.7375897668399176</v>
      </c>
      <c r="F7747" s="1">
        <f>14.9245040380578*(38.9/42.5)</f>
        <v>13.660310754834077</v>
      </c>
      <c r="G7747" s="1">
        <v>0.8533825061898529</v>
      </c>
      <c r="H7747" s="1">
        <v>3.5673111639207935</v>
      </c>
      <c r="I7747" s="1">
        <v>10.351375889756143</v>
      </c>
      <c r="J7747" s="1">
        <v>1.3758009564086402E-2</v>
      </c>
      <c r="K7747" s="1">
        <v>1.222859862485957</v>
      </c>
      <c r="L7747" s="1">
        <v>0.98095139481106519</v>
      </c>
      <c r="M7747" s="1">
        <v>8.4950917507492479E-2</v>
      </c>
      <c r="N7747" s="1">
        <v>0.52514237436796207</v>
      </c>
      <c r="O7747" s="1">
        <v>8.516121212121211E-2</v>
      </c>
      <c r="P7747" s="1">
        <v>5.4933173878607168E-2</v>
      </c>
      <c r="Q7747" s="1">
        <v>1.3638533203947434</v>
      </c>
      <c r="R7747" s="2">
        <f t="shared" si="483"/>
        <v>39.156508430937571</v>
      </c>
      <c r="S7747" s="2">
        <f t="shared" si="482"/>
        <v>1.2915510459286506</v>
      </c>
      <c r="T7747" s="2">
        <f t="shared" si="484"/>
        <v>1.676205898807732</v>
      </c>
      <c r="U7747" s="2">
        <f t="shared" si="485"/>
        <v>42.12426537567395</v>
      </c>
    </row>
    <row r="7748" spans="1:21" x14ac:dyDescent="0.25">
      <c r="A7748">
        <v>8905985</v>
      </c>
      <c r="B7748">
        <v>44</v>
      </c>
      <c r="C7748" s="1">
        <f>0.446616370635796*(10.3/7.3)</f>
        <v>0.63015734486968467</v>
      </c>
      <c r="D7748" s="1">
        <f>1.48507892366064*(10.3/7.3)</f>
        <v>2.0953853306444694</v>
      </c>
      <c r="E7748" s="1">
        <f>4.98005722911058*(10.3/7.3)</f>
        <v>7.0266560903889044</v>
      </c>
      <c r="F7748" s="1">
        <f>16.1821493187319*(38.9/42.5)</f>
        <v>14.811426082321667</v>
      </c>
      <c r="G7748" s="1">
        <v>0.9429152574471904</v>
      </c>
      <c r="H7748" s="1">
        <v>4.2893543345857443</v>
      </c>
      <c r="I7748" s="1">
        <v>11.315874798740946</v>
      </c>
      <c r="J7748" s="1">
        <v>1.4574247668656766E-2</v>
      </c>
      <c r="K7748" s="1">
        <v>1.2456769140130901</v>
      </c>
      <c r="L7748" s="1">
        <v>1.0041447387744322</v>
      </c>
      <c r="M7748" s="1">
        <v>8.6180791312413157E-2</v>
      </c>
      <c r="N7748" s="1">
        <v>0.5398956900056372</v>
      </c>
      <c r="O7748" s="1">
        <v>8.6224242424242439E-2</v>
      </c>
      <c r="P7748" s="1">
        <v>5.5485379652936803E-2</v>
      </c>
      <c r="Q7748" s="1">
        <v>1.5069421922672008</v>
      </c>
      <c r="R7748" s="2">
        <f t="shared" si="483"/>
        <v>42.618711431265808</v>
      </c>
      <c r="S7748" s="2">
        <f t="shared" si="482"/>
        <v>1.3157365413346838</v>
      </c>
      <c r="T7748" s="2">
        <f t="shared" si="484"/>
        <v>1.7164454625167251</v>
      </c>
      <c r="U7748" s="2">
        <f t="shared" si="485"/>
        <v>45.650893435117219</v>
      </c>
    </row>
    <row r="7749" spans="1:21" x14ac:dyDescent="0.25">
      <c r="A7749">
        <v>8906001</v>
      </c>
      <c r="B7749">
        <v>8</v>
      </c>
      <c r="C7749" s="1">
        <f>0.385680892431342*(10.3/7.3)</f>
        <v>0.54417988932093453</v>
      </c>
      <c r="D7749" s="1">
        <f>1.2893228852768*(10.3/7.3)</f>
        <v>1.8191816052535643</v>
      </c>
      <c r="E7749" s="1">
        <f>4.30609077698638*(10.3/7.3)</f>
        <v>6.0757171236931082</v>
      </c>
      <c r="F7749" s="1">
        <f>14.8775034782398*(38.9/42.5)</f>
        <v>13.617291418906555</v>
      </c>
      <c r="G7749" s="1">
        <v>0.89002494781661978</v>
      </c>
      <c r="H7749" s="1">
        <v>7.9648127992354487</v>
      </c>
      <c r="I7749" s="1">
        <v>10.567430569537862</v>
      </c>
      <c r="J7749" s="1">
        <v>1.2897217820065237E-2</v>
      </c>
      <c r="K7749" s="1">
        <v>1.1471122737526589</v>
      </c>
      <c r="L7749" s="1">
        <v>0.91308748709453558</v>
      </c>
      <c r="M7749" s="1">
        <v>7.8786730731567473E-2</v>
      </c>
      <c r="N7749" s="1">
        <v>0.5292864082673614</v>
      </c>
      <c r="O7749" s="1">
        <v>7.8146666666666656E-2</v>
      </c>
      <c r="P7749" s="1">
        <v>5.1418077548621301E-2</v>
      </c>
      <c r="Q7749" s="1">
        <v>1.4224143001635492</v>
      </c>
      <c r="R7749" s="2">
        <f t="shared" si="483"/>
        <v>42.90105265392765</v>
      </c>
      <c r="S7749" s="2">
        <f t="shared" si="482"/>
        <v>1.2114275691213454</v>
      </c>
      <c r="T7749" s="2">
        <f t="shared" si="484"/>
        <v>1.5993072927601311</v>
      </c>
      <c r="U7749" s="2">
        <f t="shared" si="485"/>
        <v>45.711787515809128</v>
      </c>
    </row>
    <row r="7750" spans="1:21" x14ac:dyDescent="0.25">
      <c r="A7750">
        <v>8918205</v>
      </c>
      <c r="B7750">
        <v>5</v>
      </c>
      <c r="C7750" s="1">
        <f>0.285734542171758*(10.3/7.3)</f>
        <v>0.40315969648891875</v>
      </c>
      <c r="D7750" s="1">
        <f>0.836885233913476*(10.3/7.3)</f>
        <v>1.1808106725080558</v>
      </c>
      <c r="E7750" s="1">
        <f>2.82788353949734*(10.3/7.3)</f>
        <v>3.9900274598387178</v>
      </c>
      <c r="F7750" s="1">
        <f>8.42079659896308*(38.9/42.5)</f>
        <v>7.7075055929332672</v>
      </c>
      <c r="G7750" s="1">
        <v>0.4681922047338169</v>
      </c>
      <c r="H7750" s="1">
        <v>2.1664089268760232</v>
      </c>
      <c r="I7750" s="1">
        <v>5.8214708107537394</v>
      </c>
      <c r="J7750" s="1">
        <v>1.1677296739864954E-2</v>
      </c>
      <c r="K7750" s="1">
        <v>1.0607412295869234</v>
      </c>
      <c r="L7750" s="1">
        <v>0.82505937537352092</v>
      </c>
      <c r="M7750" s="1">
        <v>7.4080274973985408E-2</v>
      </c>
      <c r="N7750" s="1">
        <v>0.45084779118898721</v>
      </c>
      <c r="O7750" s="1">
        <v>7.3653333333333321E-2</v>
      </c>
      <c r="P7750" s="1">
        <v>4.8545687338283863E-2</v>
      </c>
      <c r="Q7750" s="1">
        <v>0.74825238199468536</v>
      </c>
      <c r="R7750" s="2">
        <f t="shared" si="483"/>
        <v>22.485827746127224</v>
      </c>
      <c r="S7750" s="2">
        <f t="shared" si="482"/>
        <v>1.1209642136650724</v>
      </c>
      <c r="T7750" s="2">
        <f t="shared" si="484"/>
        <v>1.423640774869827</v>
      </c>
      <c r="U7750" s="2">
        <f t="shared" si="485"/>
        <v>25.030432734662124</v>
      </c>
    </row>
    <row r="7751" spans="1:21" x14ac:dyDescent="0.25">
      <c r="A7751">
        <v>8918213</v>
      </c>
      <c r="B7751">
        <v>57</v>
      </c>
      <c r="C7751" s="1">
        <f>0.43408775882763*(10.3/7.3)</f>
        <v>0.6124799884828207</v>
      </c>
      <c r="D7751" s="1">
        <f>1.4281204253806*(10.3/7.3)</f>
        <v>2.0150192303315335</v>
      </c>
      <c r="E7751" s="1">
        <f>4.79488406202433*(10.3/7.3)</f>
        <v>6.7653843614863778</v>
      </c>
      <c r="F7751" s="1">
        <f>15.3251488750418*(38.9/42.5)</f>
        <v>14.027018617391208</v>
      </c>
      <c r="G7751" s="1">
        <v>0.88600962288483631</v>
      </c>
      <c r="H7751" s="1">
        <v>4.5186660639800422</v>
      </c>
      <c r="I7751" s="1">
        <v>10.67866422341781</v>
      </c>
      <c r="J7751" s="1">
        <v>1.4324758115684498E-2</v>
      </c>
      <c r="K7751" s="1">
        <v>1.241714400061384</v>
      </c>
      <c r="L7751" s="1">
        <v>1.0011347819188161</v>
      </c>
      <c r="M7751" s="1">
        <v>8.6589547963302149E-2</v>
      </c>
      <c r="N7751" s="1">
        <v>0.53446814734780901</v>
      </c>
      <c r="O7751" s="1">
        <v>8.6659181286549716E-2</v>
      </c>
      <c r="P7751" s="1">
        <v>5.5566923873092582E-2</v>
      </c>
      <c r="Q7751" s="1">
        <v>1.4159971141995116</v>
      </c>
      <c r="R7751" s="2">
        <f t="shared" si="483"/>
        <v>40.919239222174141</v>
      </c>
      <c r="S7751" s="2">
        <f t="shared" si="482"/>
        <v>1.3116060820501609</v>
      </c>
      <c r="T7751" s="2">
        <f t="shared" si="484"/>
        <v>1.708851658516477</v>
      </c>
      <c r="U7751" s="2">
        <f t="shared" si="485"/>
        <v>43.939696962740783</v>
      </c>
    </row>
    <row r="7752" spans="1:21" x14ac:dyDescent="0.25">
      <c r="A7752">
        <v>8918221</v>
      </c>
      <c r="B7752">
        <v>12</v>
      </c>
      <c r="C7752" s="1">
        <f>0.385845187801632*(10.3/7.3)</f>
        <v>0.54441170333654876</v>
      </c>
      <c r="D7752" s="1">
        <f>1.27164500509793*(10.3/7.3)</f>
        <v>1.7942388428094072</v>
      </c>
      <c r="E7752" s="1">
        <f>4.25944248876347*(10.3/7.3)</f>
        <v>6.0098983060635298</v>
      </c>
      <c r="F7752" s="1">
        <f>14.1276975947096*(38.9/42.5)</f>
        <v>12.930998504334209</v>
      </c>
      <c r="G7752" s="1">
        <v>0.8304002549546966</v>
      </c>
      <c r="H7752" s="1">
        <v>4.2056596531025408</v>
      </c>
      <c r="I7752" s="1">
        <v>9.9418919234571153</v>
      </c>
      <c r="J7752" s="1">
        <v>1.3665237700121758E-2</v>
      </c>
      <c r="K7752" s="1">
        <v>1.1539298000627674</v>
      </c>
      <c r="L7752" s="1">
        <v>0.91652096404359662</v>
      </c>
      <c r="M7752" s="1">
        <v>7.9741824458720537E-2</v>
      </c>
      <c r="N7752" s="1">
        <v>0.50256696653542055</v>
      </c>
      <c r="O7752" s="1">
        <v>7.8782222222222226E-2</v>
      </c>
      <c r="P7752" s="1">
        <v>5.1840833118684738E-2</v>
      </c>
      <c r="Q7752" s="1">
        <v>1.3271236951330783</v>
      </c>
      <c r="R7752" s="2">
        <f t="shared" si="483"/>
        <v>37.584622883191123</v>
      </c>
      <c r="S7752" s="2">
        <f t="shared" si="482"/>
        <v>1.219435870881574</v>
      </c>
      <c r="T7752" s="2">
        <f t="shared" si="484"/>
        <v>1.5776119772599602</v>
      </c>
      <c r="U7752" s="2">
        <f t="shared" si="485"/>
        <v>40.381670731332662</v>
      </c>
    </row>
    <row r="7753" spans="1:21" x14ac:dyDescent="0.25">
      <c r="A7753">
        <v>8918229</v>
      </c>
      <c r="B7753">
        <v>1</v>
      </c>
      <c r="C7753" s="1">
        <f>0.401079849410315*(10.3/7.3)</f>
        <v>0.56590718478441759</v>
      </c>
      <c r="D7753" s="1">
        <f>1.37261594228702*(10.3/7.3)</f>
        <v>1.936704685692638</v>
      </c>
      <c r="E7753" s="1">
        <f>4.57640575257187*(10.3/7.3)</f>
        <v>6.4571204454096218</v>
      </c>
      <c r="F7753" s="1">
        <f>16.1242238359488*(38.9/42.5)</f>
        <v>14.758407228668418</v>
      </c>
      <c r="G7753" s="1">
        <v>0.97295052537497739</v>
      </c>
      <c r="H7753" s="1">
        <v>5.0218335747195928</v>
      </c>
      <c r="I7753" s="1">
        <v>11.486946267309863</v>
      </c>
      <c r="J7753" s="1">
        <v>1.3315173390151244E-2</v>
      </c>
      <c r="K7753" s="1">
        <v>1.1774888380872173</v>
      </c>
      <c r="L7753" s="1">
        <v>0.94012497525567951</v>
      </c>
      <c r="M7753" s="1">
        <v>8.0755907706197991E-2</v>
      </c>
      <c r="N7753" s="1">
        <v>0.62343522545486207</v>
      </c>
      <c r="O7753" s="1">
        <v>8.0159999999999995E-2</v>
      </c>
      <c r="P7753" s="1">
        <v>5.2610964524618518E-2</v>
      </c>
      <c r="Q7753" s="1">
        <v>1.5549437620148057</v>
      </c>
      <c r="R7753" s="2">
        <f t="shared" si="483"/>
        <v>42.754813673974333</v>
      </c>
      <c r="S7753" s="2">
        <f t="shared" ref="S7753:S7816" si="486">J7753+K7753+P7753</f>
        <v>1.243414976001987</v>
      </c>
      <c r="T7753" s="2">
        <f t="shared" si="484"/>
        <v>1.7244761084167395</v>
      </c>
      <c r="U7753" s="2">
        <f t="shared" si="485"/>
        <v>45.722704758393057</v>
      </c>
    </row>
    <row r="7754" spans="1:21" x14ac:dyDescent="0.25">
      <c r="A7754">
        <v>8918237</v>
      </c>
      <c r="B7754">
        <v>30</v>
      </c>
      <c r="C7754" s="1">
        <f>0.35487799982581*(10.3/7.3)</f>
        <v>0.50071827372682831</v>
      </c>
      <c r="D7754" s="1">
        <f>1.06923211708446*(10.3/7.3)</f>
        <v>1.5086425761602598</v>
      </c>
      <c r="E7754" s="1">
        <f>3.59876413956187*(10.3/7.3)</f>
        <v>5.077708306505099</v>
      </c>
      <c r="F7754" s="1">
        <f>11.3460866663527*(38.9/42.5)</f>
        <v>10.385006384026347</v>
      </c>
      <c r="G7754" s="1">
        <v>0.64961006754680661</v>
      </c>
      <c r="H7754" s="1">
        <v>4.9583916370733032</v>
      </c>
      <c r="I7754" s="1">
        <v>7.9454642832508879</v>
      </c>
      <c r="J7754" s="1">
        <v>1.2007417992176543E-2</v>
      </c>
      <c r="K7754" s="1">
        <v>1.0742733163319853</v>
      </c>
      <c r="L7754" s="1">
        <v>0.83585911523964762</v>
      </c>
      <c r="M7754" s="1">
        <v>7.3235171931968795E-2</v>
      </c>
      <c r="N7754" s="1">
        <v>0.47246550915235558</v>
      </c>
      <c r="O7754" s="1">
        <v>7.2229333333333326E-2</v>
      </c>
      <c r="P7754" s="1">
        <v>4.8264783354462985E-2</v>
      </c>
      <c r="Q7754" s="1">
        <v>1.0381896056684135</v>
      </c>
      <c r="R7754" s="2">
        <f t="shared" ref="R7754:R7817" si="487">C7754+D7754+E7754+F7754+G7754+H7754+I7754+Q7754</f>
        <v>32.063731133957944</v>
      </c>
      <c r="S7754" s="2">
        <f t="shared" si="486"/>
        <v>1.1345455176786248</v>
      </c>
      <c r="T7754" s="2">
        <f t="shared" ref="T7754:T7817" si="488">L7754+M7754+N7754+O7754</f>
        <v>1.4537891296573053</v>
      </c>
      <c r="U7754" s="2">
        <f t="shared" ref="U7754:U7817" si="489">R7754+S7754+T7754</f>
        <v>34.652065781293871</v>
      </c>
    </row>
    <row r="7755" spans="1:21" x14ac:dyDescent="0.25">
      <c r="A7755">
        <v>8918245</v>
      </c>
      <c r="B7755">
        <v>21</v>
      </c>
      <c r="C7755" s="1">
        <f>0.342599232411603*(10.3/7.3)</f>
        <v>0.4833934375122621</v>
      </c>
      <c r="D7755" s="1">
        <f>0.990366258703671*(10.3/7.3)</f>
        <v>1.3973660910476458</v>
      </c>
      <c r="E7755" s="1">
        <f>3.34727864958218*(10.3/7.3)</f>
        <v>4.7228726151639044</v>
      </c>
      <c r="F7755" s="1">
        <f>9.97252682442871*(38.9/42.5)</f>
        <v>9.1277951404771027</v>
      </c>
      <c r="G7755" s="1">
        <v>0.55428055614355265</v>
      </c>
      <c r="H7755" s="1">
        <v>2.5537531317238646</v>
      </c>
      <c r="I7755" s="1">
        <v>6.9055947229168764</v>
      </c>
      <c r="J7755" s="1">
        <v>1.1514438538516476E-2</v>
      </c>
      <c r="K7755" s="1">
        <v>1.0294432553998445</v>
      </c>
      <c r="L7755" s="1">
        <v>0.8117863838036522</v>
      </c>
      <c r="M7755" s="1">
        <v>7.0993582472918398E-2</v>
      </c>
      <c r="N7755" s="1">
        <v>0.45030415905526366</v>
      </c>
      <c r="O7755" s="1">
        <v>6.9422222222222205E-2</v>
      </c>
      <c r="P7755" s="1">
        <v>4.6966951005073934E-2</v>
      </c>
      <c r="Q7755" s="1">
        <v>0.88583650525225388</v>
      </c>
      <c r="R7755" s="2">
        <f t="shared" si="487"/>
        <v>26.630892200237465</v>
      </c>
      <c r="S7755" s="2">
        <f t="shared" si="486"/>
        <v>1.0879246449434348</v>
      </c>
      <c r="T7755" s="2">
        <f t="shared" si="488"/>
        <v>1.4025063475540565</v>
      </c>
      <c r="U7755" s="2">
        <f t="shared" si="489"/>
        <v>29.121323192734955</v>
      </c>
    </row>
    <row r="7756" spans="1:21" x14ac:dyDescent="0.25">
      <c r="A7756">
        <v>8918253</v>
      </c>
      <c r="B7756">
        <v>6</v>
      </c>
      <c r="C7756" s="1">
        <f>0.302807984288331*(10.3/7.3)</f>
        <v>0.42724962166709696</v>
      </c>
      <c r="D7756" s="1">
        <f>0.857424391246321*(10.3/7.3)</f>
        <v>1.2097905794297403</v>
      </c>
      <c r="E7756" s="1">
        <f>2.90207593245438*(10.3/7.3)</f>
        <v>4.0947098772986497</v>
      </c>
      <c r="F7756" s="1">
        <f>8.4965546410165*(38.9/42.5)</f>
        <v>7.7768464831892166</v>
      </c>
      <c r="G7756" s="1">
        <v>0.46750194061310896</v>
      </c>
      <c r="H7756" s="1">
        <v>2.2408462727059804</v>
      </c>
      <c r="I7756" s="1">
        <v>5.8683263792811475</v>
      </c>
      <c r="J7756" s="1">
        <v>1.1507568589576217E-2</v>
      </c>
      <c r="K7756" s="1">
        <v>1.0277092424628136</v>
      </c>
      <c r="L7756" s="1">
        <v>0.81920148979098195</v>
      </c>
      <c r="M7756" s="1">
        <v>7.1489554885603698E-2</v>
      </c>
      <c r="N7756" s="1">
        <v>0.45219375372035781</v>
      </c>
      <c r="O7756" s="1">
        <v>6.8862222222222227E-2</v>
      </c>
      <c r="P7756" s="1">
        <v>4.7319446365331308E-2</v>
      </c>
      <c r="Q7756" s="1">
        <v>0.7471492201579375</v>
      </c>
      <c r="R7756" s="2">
        <f t="shared" si="487"/>
        <v>22.832420374342878</v>
      </c>
      <c r="S7756" s="2">
        <f t="shared" si="486"/>
        <v>1.0865362574177211</v>
      </c>
      <c r="T7756" s="2">
        <f t="shared" si="488"/>
        <v>1.4117470206191656</v>
      </c>
      <c r="U7756" s="2">
        <f t="shared" si="489"/>
        <v>25.330703652379764</v>
      </c>
    </row>
    <row r="7757" spans="1:21" x14ac:dyDescent="0.25">
      <c r="A7757">
        <v>8930441</v>
      </c>
      <c r="B7757">
        <v>64</v>
      </c>
      <c r="C7757" s="1">
        <f>0.485312343231204*(10.3/7.3)</f>
        <v>0.68475577195635617</v>
      </c>
      <c r="D7757" s="1">
        <f>1.58493420326216*(10.3/7.3)</f>
        <v>2.2362770265205887</v>
      </c>
      <c r="E7757" s="1">
        <f>5.32736550331494*(10.3/7.3)</f>
        <v>7.5166937923484838</v>
      </c>
      <c r="F7757" s="1">
        <f>16.7537547028065*(38.9/42.5)</f>
        <v>15.33461312798055</v>
      </c>
      <c r="G7757" s="1">
        <v>0.96112125812502258</v>
      </c>
      <c r="H7757" s="1">
        <v>3.9289811864518893</v>
      </c>
      <c r="I7757" s="1">
        <v>11.629659911999333</v>
      </c>
      <c r="J7757" s="1">
        <v>1.4354095310082677E-2</v>
      </c>
      <c r="K7757" s="1">
        <v>1.2715284036405956</v>
      </c>
      <c r="L7757" s="1">
        <v>1.0263496630548021</v>
      </c>
      <c r="M7757" s="1">
        <v>8.7843952004381817E-2</v>
      </c>
      <c r="N7757" s="1">
        <v>0.54496287662772436</v>
      </c>
      <c r="O7757" s="1">
        <v>8.9050833333333315E-2</v>
      </c>
      <c r="P7757" s="1">
        <v>5.6925453067753359E-2</v>
      </c>
      <c r="Q7757" s="1">
        <v>1.5360385403824575</v>
      </c>
      <c r="R7757" s="2">
        <f t="shared" si="487"/>
        <v>43.828140615764681</v>
      </c>
      <c r="S7757" s="2">
        <f t="shared" si="486"/>
        <v>1.3428079520184317</v>
      </c>
      <c r="T7757" s="2">
        <f t="shared" si="488"/>
        <v>1.7482073250202417</v>
      </c>
      <c r="U7757" s="2">
        <f t="shared" si="489"/>
        <v>46.919155892803353</v>
      </c>
    </row>
    <row r="7758" spans="1:21" x14ac:dyDescent="0.25">
      <c r="A7758">
        <v>8930449</v>
      </c>
      <c r="B7758">
        <v>5</v>
      </c>
      <c r="C7758" s="1">
        <f>0.551076543837252*(10.3/7.3)</f>
        <v>0.77754635637310843</v>
      </c>
      <c r="D7758" s="1">
        <f>1.91774167352007*(10.3/7.3)</f>
        <v>2.7058546900351637</v>
      </c>
      <c r="E7758" s="1">
        <f>6.41538251412489*(10.3/7.3)</f>
        <v>9.0518410815734764</v>
      </c>
      <c r="F7758" s="1">
        <f>21.3928904351789*(38.9/42.5)</f>
        <v>19.580786774787242</v>
      </c>
      <c r="G7758" s="1">
        <v>1.2626468661902002</v>
      </c>
      <c r="H7758" s="1">
        <v>10.120254310311164</v>
      </c>
      <c r="I7758" s="1">
        <v>15.004076318341021</v>
      </c>
      <c r="J7758" s="1">
        <v>1.876514429592252E-2</v>
      </c>
      <c r="K7758" s="1">
        <v>1.3605153099326865</v>
      </c>
      <c r="L7758" s="1">
        <v>1.1220457308842406</v>
      </c>
      <c r="M7758" s="1">
        <v>9.4218805766043565E-2</v>
      </c>
      <c r="N7758" s="1">
        <v>0.58764876892649043</v>
      </c>
      <c r="O7758" s="1">
        <v>9.6298666666666657E-2</v>
      </c>
      <c r="P7758" s="1">
        <v>5.9960789050674458E-2</v>
      </c>
      <c r="Q7758" s="1">
        <v>2.0179287815825133</v>
      </c>
      <c r="R7758" s="2">
        <f t="shared" si="487"/>
        <v>60.520935179193884</v>
      </c>
      <c r="S7758" s="2">
        <f t="shared" si="486"/>
        <v>1.4392412432792834</v>
      </c>
      <c r="T7758" s="2">
        <f t="shared" si="488"/>
        <v>1.9002119722434414</v>
      </c>
      <c r="U7758" s="2">
        <f t="shared" si="489"/>
        <v>63.860388394716608</v>
      </c>
    </row>
    <row r="7759" spans="1:21" x14ac:dyDescent="0.25">
      <c r="A7759">
        <v>8930457</v>
      </c>
      <c r="B7759">
        <v>4</v>
      </c>
      <c r="C7759" s="1">
        <f>0.544464899844986*(10.3/7.3)</f>
        <v>0.7682175984114189</v>
      </c>
      <c r="D7759" s="1">
        <f>4.22729530284799*(10.3/7.3)</f>
        <v>5.9645399478540115</v>
      </c>
      <c r="E7759" s="1">
        <f>13.3290507518828*(10.3/7.3)</f>
        <v>18.80674284169762</v>
      </c>
      <c r="F7759" s="1">
        <f>79.7919239424582*(38.9/42.5)</f>
        <v>73.0330786202735</v>
      </c>
      <c r="G7759" s="1">
        <v>5.6504198326598747</v>
      </c>
      <c r="H7759" s="1">
        <v>24.629658346647318</v>
      </c>
      <c r="I7759" s="1">
        <v>61.054741094411149</v>
      </c>
      <c r="J7759" s="1">
        <v>1.7647484426271197E-2</v>
      </c>
      <c r="K7759" s="1">
        <v>1.4008294965418024</v>
      </c>
      <c r="L7759" s="1">
        <v>1.1595544794051635</v>
      </c>
      <c r="M7759" s="1">
        <v>9.5884913168152064E-2</v>
      </c>
      <c r="N7759" s="1">
        <v>0.61907949843823273</v>
      </c>
      <c r="O7759" s="1">
        <v>9.7839999999999996E-2</v>
      </c>
      <c r="P7759" s="1">
        <v>6.1034899539383271E-2</v>
      </c>
      <c r="Q7759" s="1">
        <v>9.0303513307349697</v>
      </c>
      <c r="R7759" s="2">
        <f t="shared" si="487"/>
        <v>198.93774961268986</v>
      </c>
      <c r="S7759" s="2">
        <f t="shared" si="486"/>
        <v>1.479511880507457</v>
      </c>
      <c r="T7759" s="2">
        <f t="shared" si="488"/>
        <v>1.9723588910115482</v>
      </c>
      <c r="U7759" s="2">
        <f t="shared" si="489"/>
        <v>202.38962038420885</v>
      </c>
    </row>
    <row r="7760" spans="1:21" x14ac:dyDescent="0.25">
      <c r="A7760">
        <v>8930465</v>
      </c>
      <c r="B7760">
        <v>11</v>
      </c>
      <c r="C7760" s="1">
        <f>0.517417265331173*(10.3/7.3)</f>
        <v>0.73005449765905273</v>
      </c>
      <c r="D7760" s="1">
        <f>2.7038218820849*(10.3/7.3)</f>
        <v>3.8149815596540324</v>
      </c>
      <c r="E7760" s="1">
        <f>8.7182945130595*(10.3/7.3)</f>
        <v>12.301155271851078</v>
      </c>
      <c r="F7760" s="1">
        <f>43.388077071349*(38.9/42.5)</f>
        <v>39.712851719422922</v>
      </c>
      <c r="G7760" s="1">
        <v>2.9410713830063155</v>
      </c>
      <c r="H7760" s="1">
        <v>28.862793796398407</v>
      </c>
      <c r="I7760" s="1">
        <v>32.520872215433734</v>
      </c>
      <c r="J7760" s="1">
        <v>1.580709123302676E-2</v>
      </c>
      <c r="K7760" s="1">
        <v>1.3624763605823902</v>
      </c>
      <c r="L7760" s="1">
        <v>1.1309481873339957</v>
      </c>
      <c r="M7760" s="1">
        <v>9.2785159687430785E-2</v>
      </c>
      <c r="N7760" s="1">
        <v>0.60496973117260566</v>
      </c>
      <c r="O7760" s="1">
        <v>9.4317575757575739E-2</v>
      </c>
      <c r="P7760" s="1">
        <v>5.9264107357137406E-2</v>
      </c>
      <c r="Q7760" s="1">
        <v>4.7003423929324724</v>
      </c>
      <c r="R7760" s="2">
        <f t="shared" si="487"/>
        <v>125.58412283635801</v>
      </c>
      <c r="S7760" s="2">
        <f t="shared" si="486"/>
        <v>1.4375475591725544</v>
      </c>
      <c r="T7760" s="2">
        <f t="shared" si="488"/>
        <v>1.9230206539516079</v>
      </c>
      <c r="U7760" s="2">
        <f t="shared" si="489"/>
        <v>128.94469104948217</v>
      </c>
    </row>
    <row r="7761" spans="1:21" x14ac:dyDescent="0.25">
      <c r="A7761">
        <v>8930473</v>
      </c>
      <c r="B7761">
        <v>55</v>
      </c>
      <c r="C7761" s="1">
        <f>0.342334704580462*(10.3/7.3)</f>
        <v>0.4830201996135286</v>
      </c>
      <c r="D7761" s="1">
        <f>0.991003639971012*(10.3/7.3)</f>
        <v>1.3982654098221132</v>
      </c>
      <c r="E7761" s="1">
        <f>3.34717530308367*(10.3/7.3)</f>
        <v>4.7227267975016192</v>
      </c>
      <c r="F7761" s="1">
        <f>10.0834946532345*(38.9/42.5)</f>
        <v>9.2293633414310925</v>
      </c>
      <c r="G7761" s="1">
        <v>0.56366909572491875</v>
      </c>
      <c r="H7761" s="1">
        <v>2.6784679971972629</v>
      </c>
      <c r="I7761" s="1">
        <v>7.0033361369510523</v>
      </c>
      <c r="J7761" s="1">
        <v>1.1574071164825714E-2</v>
      </c>
      <c r="K7761" s="1">
        <v>1.036576712283751</v>
      </c>
      <c r="L7761" s="1">
        <v>0.80528720128649323</v>
      </c>
      <c r="M7761" s="1">
        <v>7.0880742675950292E-2</v>
      </c>
      <c r="N7761" s="1">
        <v>0.45460002864942994</v>
      </c>
      <c r="O7761" s="1">
        <v>6.9644606060606074E-2</v>
      </c>
      <c r="P7761" s="1">
        <v>4.6848124264508101E-2</v>
      </c>
      <c r="Q7761" s="1">
        <v>0.90084102056493953</v>
      </c>
      <c r="R7761" s="2">
        <f t="shared" si="487"/>
        <v>26.979689998806528</v>
      </c>
      <c r="S7761" s="2">
        <f t="shared" si="486"/>
        <v>1.0949989077130848</v>
      </c>
      <c r="T7761" s="2">
        <f t="shared" si="488"/>
        <v>1.4004125786724795</v>
      </c>
      <c r="U7761" s="2">
        <f t="shared" si="489"/>
        <v>29.475101485192091</v>
      </c>
    </row>
    <row r="7762" spans="1:21" x14ac:dyDescent="0.25">
      <c r="A7762">
        <v>8930481</v>
      </c>
      <c r="B7762">
        <v>55</v>
      </c>
      <c r="C7762" s="1">
        <f>0.347897754870559*(10.3/7.3)</f>
        <v>0.49086943495435026</v>
      </c>
      <c r="D7762" s="1">
        <f>0.994168179998014*(10.3/7.3)</f>
        <v>1.4027304457506222</v>
      </c>
      <c r="E7762" s="1">
        <f>3.36240821270387*(10.3/7.3)</f>
        <v>4.74421980696573</v>
      </c>
      <c r="F7762" s="1">
        <f>9.94039412662964*(38.9/42.5)</f>
        <v>9.0983842711974781</v>
      </c>
      <c r="G7762" s="1">
        <v>0.54998801533342279</v>
      </c>
      <c r="H7762" s="1">
        <v>2.4624726597651767</v>
      </c>
      <c r="I7762" s="1">
        <v>6.8773133184306694</v>
      </c>
      <c r="J7762" s="1">
        <v>1.1637333475387876E-2</v>
      </c>
      <c r="K7762" s="1">
        <v>1.0359324642558043</v>
      </c>
      <c r="L7762" s="1">
        <v>0.81630781809847941</v>
      </c>
      <c r="M7762" s="1">
        <v>7.1196859393709649E-2</v>
      </c>
      <c r="N7762" s="1">
        <v>0.45693055654437303</v>
      </c>
      <c r="O7762" s="1">
        <v>6.8745696969696998E-2</v>
      </c>
      <c r="P7762" s="1">
        <v>4.7187142875602467E-2</v>
      </c>
      <c r="Q7762" s="1">
        <v>0.8789762802132336</v>
      </c>
      <c r="R7762" s="2">
        <f t="shared" si="487"/>
        <v>26.504954232610682</v>
      </c>
      <c r="S7762" s="2">
        <f t="shared" si="486"/>
        <v>1.0947569406067947</v>
      </c>
      <c r="T7762" s="2">
        <f t="shared" si="488"/>
        <v>1.4131809310062591</v>
      </c>
      <c r="U7762" s="2">
        <f t="shared" si="489"/>
        <v>29.012892104223738</v>
      </c>
    </row>
    <row r="7763" spans="1:21" x14ac:dyDescent="0.25">
      <c r="A7763">
        <v>8930489</v>
      </c>
      <c r="B7763">
        <v>3</v>
      </c>
      <c r="C7763" s="1">
        <f>0.288801389083833*(10.3/7.3)</f>
        <v>0.40748689144705186</v>
      </c>
      <c r="D7763" s="1">
        <f>0.809789447277329*(10.3/7.3)</f>
        <v>1.1425796310899305</v>
      </c>
      <c r="E7763" s="1">
        <f>2.7423348963069*(10.3/7.3)</f>
        <v>3.8693218399946661</v>
      </c>
      <c r="F7763" s="1">
        <f>7.9808180987461*(38.9/42.5)</f>
        <v>7.3047958597934937</v>
      </c>
      <c r="G7763" s="1">
        <v>0.4375130045916813</v>
      </c>
      <c r="H7763" s="1">
        <v>2.1325717338708894</v>
      </c>
      <c r="I7763" s="1">
        <v>5.5090576166910274</v>
      </c>
      <c r="J7763" s="1">
        <v>1.144533493447035E-2</v>
      </c>
      <c r="K7763" s="1">
        <v>1.0235789925480105</v>
      </c>
      <c r="L7763" s="1">
        <v>0.81748879447422274</v>
      </c>
      <c r="M7763" s="1">
        <v>7.1191644809644974E-2</v>
      </c>
      <c r="N7763" s="1">
        <v>0.4514416623973499</v>
      </c>
      <c r="O7763" s="1">
        <v>6.8533333333333321E-2</v>
      </c>
      <c r="P7763" s="1">
        <v>4.7178310579141597E-2</v>
      </c>
      <c r="Q7763" s="1">
        <v>0.69922169683602109</v>
      </c>
      <c r="R7763" s="2">
        <f t="shared" si="487"/>
        <v>21.502548274314762</v>
      </c>
      <c r="S7763" s="2">
        <f t="shared" si="486"/>
        <v>1.0822026380616225</v>
      </c>
      <c r="T7763" s="2">
        <f t="shared" si="488"/>
        <v>1.408655435014551</v>
      </c>
      <c r="U7763" s="2">
        <f t="shared" si="489"/>
        <v>23.993406347390938</v>
      </c>
    </row>
    <row r="7764" spans="1:21" x14ac:dyDescent="0.25">
      <c r="A7764">
        <v>893893</v>
      </c>
      <c r="B7764">
        <v>7</v>
      </c>
      <c r="C7764" s="1">
        <f>3.00960668956011*(10.3/7.3)</f>
        <v>4.2464313565026224</v>
      </c>
      <c r="D7764" s="1">
        <f>3.20035543293986*(10.3/7.3)</f>
        <v>4.5155699944220018</v>
      </c>
      <c r="E7764" s="1">
        <f>11.4350625756505*(10.3/7.3)</f>
        <v>16.134403360164423</v>
      </c>
      <c r="F7764" s="1">
        <f>21.3972863899383*(38.9/42.5)</f>
        <v>19.584810366320024</v>
      </c>
      <c r="G7764" s="1">
        <v>0.6848329529779541</v>
      </c>
      <c r="H7764" s="1">
        <v>3.6920194130126718</v>
      </c>
      <c r="I7764" s="1">
        <v>16.727767204545625</v>
      </c>
      <c r="J7764" s="1">
        <v>4.1229392392994953E-2</v>
      </c>
      <c r="K7764" s="1">
        <v>7.8393320974949052</v>
      </c>
      <c r="L7764" s="1">
        <v>3.3446917659161453</v>
      </c>
      <c r="M7764" s="1">
        <v>0.17217341313115092</v>
      </c>
      <c r="N7764" s="1">
        <v>1.1537783650021225</v>
      </c>
      <c r="O7764" s="1">
        <v>7.8186666666666668E-2</v>
      </c>
      <c r="P7764" s="1">
        <v>6.472478681584555E-2</v>
      </c>
      <c r="Q7764" s="1">
        <v>1.0944818883209322</v>
      </c>
      <c r="R7764" s="2">
        <f t="shared" si="487"/>
        <v>66.680316536266261</v>
      </c>
      <c r="S7764" s="2">
        <f t="shared" si="486"/>
        <v>7.9452862767037455</v>
      </c>
      <c r="T7764" s="2">
        <f t="shared" si="488"/>
        <v>4.7488302107160854</v>
      </c>
      <c r="U7764" s="2">
        <f t="shared" si="489"/>
        <v>79.37443302368608</v>
      </c>
    </row>
    <row r="7765" spans="1:21" x14ac:dyDescent="0.25">
      <c r="A7765">
        <v>893925</v>
      </c>
      <c r="B7765">
        <v>4</v>
      </c>
      <c r="C7765" s="1">
        <f>2.27892614534605*(10.3/7.3)</f>
        <v>3.215471136584152</v>
      </c>
      <c r="D7765" s="1">
        <f>2.87544667612591*(10.3/7.3)</f>
        <v>4.0571370909721765</v>
      </c>
      <c r="E7765" s="1">
        <f>10.1304906914636*(10.3/7.3)</f>
        <v>14.293706044119808</v>
      </c>
      <c r="F7765" s="1">
        <f>21.9099325138419*(38.9/42.5)</f>
        <v>20.054032347963556</v>
      </c>
      <c r="G7765" s="1">
        <v>0.88531738227837242</v>
      </c>
      <c r="H7765" s="1">
        <v>2.4405439355936593</v>
      </c>
      <c r="I7765" s="1">
        <v>16.517429619240986</v>
      </c>
      <c r="J7765" s="1">
        <v>5.5861777463779835E-2</v>
      </c>
      <c r="K7765" s="1">
        <v>8.0621028636908871</v>
      </c>
      <c r="L7765" s="1">
        <v>1.9654547240202209</v>
      </c>
      <c r="M7765" s="1">
        <v>0.15838954090859614</v>
      </c>
      <c r="N7765" s="1">
        <v>2.5217353716003306</v>
      </c>
      <c r="O7765" s="1">
        <v>8.314666666666666E-2</v>
      </c>
      <c r="P7765" s="1">
        <v>6.9760937479558388E-2</v>
      </c>
      <c r="Q7765" s="1">
        <v>1.4148907935955739</v>
      </c>
      <c r="R7765" s="2">
        <f t="shared" si="487"/>
        <v>62.878528350348283</v>
      </c>
      <c r="S7765" s="2">
        <f t="shared" si="486"/>
        <v>8.1877255786342253</v>
      </c>
      <c r="T7765" s="2">
        <f t="shared" si="488"/>
        <v>4.7287263031958142</v>
      </c>
      <c r="U7765" s="2">
        <f t="shared" si="489"/>
        <v>75.794980232178318</v>
      </c>
    </row>
    <row r="7766" spans="1:21" x14ac:dyDescent="0.25">
      <c r="A7766">
        <v>893933</v>
      </c>
      <c r="B7766">
        <v>12</v>
      </c>
      <c r="C7766" s="1">
        <f>2.04416631624317*(10.3/7.3)</f>
        <v>2.8842346653842035</v>
      </c>
      <c r="D7766" s="1">
        <f>2.63824809054346*(10.3/7.3)</f>
        <v>3.7224596346024179</v>
      </c>
      <c r="E7766" s="1">
        <f>9.25336126680132*(10.3/7.3)</f>
        <v>13.056112472336103</v>
      </c>
      <c r="F7766" s="1">
        <f>21.6413173726366*(38.9/42.5)</f>
        <v>19.808170489307397</v>
      </c>
      <c r="G7766" s="1">
        <v>0.94887175235598376</v>
      </c>
      <c r="H7766" s="1">
        <v>4.1190792113711714</v>
      </c>
      <c r="I7766" s="1">
        <v>16.440829555376833</v>
      </c>
      <c r="J7766" s="1">
        <v>4.6164642477283448E-2</v>
      </c>
      <c r="K7766" s="1">
        <v>6.0842543192928353</v>
      </c>
      <c r="L7766" s="1">
        <v>1.7544755266350984</v>
      </c>
      <c r="M7766" s="1">
        <v>0.12535408684069141</v>
      </c>
      <c r="N7766" s="1">
        <v>2.0979658501448522</v>
      </c>
      <c r="O7766" s="1">
        <v>7.7568888888888896E-2</v>
      </c>
      <c r="P7766" s="1">
        <v>6.5958176471529531E-2</v>
      </c>
      <c r="Q7766" s="1">
        <v>1.5164617046785143</v>
      </c>
      <c r="R7766" s="2">
        <f t="shared" si="487"/>
        <v>62.496219485412631</v>
      </c>
      <c r="S7766" s="2">
        <f t="shared" si="486"/>
        <v>6.1963771382416475</v>
      </c>
      <c r="T7766" s="2">
        <f t="shared" si="488"/>
        <v>4.0553643525095309</v>
      </c>
      <c r="U7766" s="2">
        <f t="shared" si="489"/>
        <v>72.74796097616381</v>
      </c>
    </row>
    <row r="7767" spans="1:21" x14ac:dyDescent="0.25">
      <c r="A7767">
        <v>8942677</v>
      </c>
      <c r="B7767">
        <v>66</v>
      </c>
      <c r="C7767" s="1">
        <f>0.567270123144339*(10.3/7.3)</f>
        <v>0.8003948312858481</v>
      </c>
      <c r="D7767" s="1">
        <f>1.91120851031828*(10.3/7.3)</f>
        <v>2.6966366652435965</v>
      </c>
      <c r="E7767" s="1">
        <f>6.41197473375523*(10.3/7.3)</f>
        <v>9.047032843517659</v>
      </c>
      <c r="F7767" s="1">
        <f>20.6076724628669*(38.9/42.5)</f>
        <v>18.86208138365933</v>
      </c>
      <c r="G7767" s="1">
        <v>1.1954460937980633</v>
      </c>
      <c r="H7767" s="1">
        <v>5.9811071048332556</v>
      </c>
      <c r="I7767" s="1">
        <v>14.349783388264683</v>
      </c>
      <c r="J7767" s="1">
        <v>1.6405897290522692E-2</v>
      </c>
      <c r="K7767" s="1">
        <v>1.3795546804091152</v>
      </c>
      <c r="L7767" s="1">
        <v>1.1345454843051113</v>
      </c>
      <c r="M7767" s="1">
        <v>9.5103383321326077E-2</v>
      </c>
      <c r="N7767" s="1">
        <v>0.59193640352170129</v>
      </c>
      <c r="O7767" s="1">
        <v>9.7701010101010094E-2</v>
      </c>
      <c r="P7767" s="1">
        <v>6.0940534988876534E-2</v>
      </c>
      <c r="Q7767" s="1">
        <v>1.910530286891883</v>
      </c>
      <c r="R7767" s="2">
        <f t="shared" si="487"/>
        <v>54.843012597494322</v>
      </c>
      <c r="S7767" s="2">
        <f t="shared" si="486"/>
        <v>1.4569011126885145</v>
      </c>
      <c r="T7767" s="2">
        <f t="shared" si="488"/>
        <v>1.9192862812491489</v>
      </c>
      <c r="U7767" s="2">
        <f t="shared" si="489"/>
        <v>58.219199991431985</v>
      </c>
    </row>
    <row r="7768" spans="1:21" x14ac:dyDescent="0.25">
      <c r="A7768">
        <v>8942685</v>
      </c>
      <c r="B7768">
        <v>38</v>
      </c>
      <c r="C7768" s="1">
        <f>0.748306454000942*(10.3/7.3)</f>
        <v>1.0558296542753023</v>
      </c>
      <c r="D7768" s="1">
        <f>2.77643230062327*(10.3/7.3)</f>
        <v>3.9174318762218721</v>
      </c>
      <c r="E7768" s="1">
        <f>9.24503534898859*(10.3/7.3)</f>
        <v>13.044364944463346</v>
      </c>
      <c r="F7768" s="1">
        <f>32.5532879184487*(38.9/42.5)</f>
        <v>29.795832941827197</v>
      </c>
      <c r="G7768" s="1">
        <v>1.9685233420034787</v>
      </c>
      <c r="H7768" s="1">
        <v>13.3468862485436</v>
      </c>
      <c r="I7768" s="1">
        <v>23.040773218298281</v>
      </c>
      <c r="J7768" s="1">
        <v>2.382134589302393E-2</v>
      </c>
      <c r="K7768" s="1">
        <v>1.6468610462522781</v>
      </c>
      <c r="L7768" s="1">
        <v>1.4110570884029578</v>
      </c>
      <c r="M7768" s="1">
        <v>0.11365818347298856</v>
      </c>
      <c r="N7768" s="1">
        <v>0.7280551392482244</v>
      </c>
      <c r="O7768" s="1">
        <v>0.11647438596491226</v>
      </c>
      <c r="P7768" s="1">
        <v>7.0402598377587056E-2</v>
      </c>
      <c r="Q7768" s="1">
        <v>3.1460418707818185</v>
      </c>
      <c r="R7768" s="2">
        <f t="shared" si="487"/>
        <v>89.315684096414898</v>
      </c>
      <c r="S7768" s="2">
        <f t="shared" si="486"/>
        <v>1.7410849905228891</v>
      </c>
      <c r="T7768" s="2">
        <f t="shared" si="488"/>
        <v>2.3692447970890833</v>
      </c>
      <c r="U7768" s="2">
        <f t="shared" si="489"/>
        <v>93.426013884026872</v>
      </c>
    </row>
    <row r="7769" spans="1:21" x14ac:dyDescent="0.25">
      <c r="A7769">
        <v>8942693</v>
      </c>
      <c r="B7769">
        <v>54</v>
      </c>
      <c r="C7769" s="1">
        <f>0.493530015956781*(10.3/7.3)</f>
        <v>0.69635057045956816</v>
      </c>
      <c r="D7769" s="1">
        <f>2.27877687827173*(10.3/7.3)</f>
        <v>3.2152605268765524</v>
      </c>
      <c r="E7769" s="1">
        <f>7.41594953267275*(10.3/7.3)</f>
        <v>10.46360002555196</v>
      </c>
      <c r="F7769" s="1">
        <f>33.8404974567815*(38.9/42.5)</f>
        <v>30.974008260442339</v>
      </c>
      <c r="G7769" s="1">
        <v>2.2390268557918378</v>
      </c>
      <c r="H7769" s="1">
        <v>16.177918038870914</v>
      </c>
      <c r="I7769" s="1">
        <v>25.073709339010673</v>
      </c>
      <c r="J7769" s="1">
        <v>1.5955231905614625E-2</v>
      </c>
      <c r="K7769" s="1">
        <v>1.3545397549191494</v>
      </c>
      <c r="L7769" s="1">
        <v>1.1148820714111258</v>
      </c>
      <c r="M7769" s="1">
        <v>9.2061927032332666E-2</v>
      </c>
      <c r="N7769" s="1">
        <v>0.6016558619529957</v>
      </c>
      <c r="O7769" s="1">
        <v>9.3381728395061731E-2</v>
      </c>
      <c r="P7769" s="1">
        <v>5.9152238372155719E-2</v>
      </c>
      <c r="Q7769" s="1">
        <v>3.5783534224983735</v>
      </c>
      <c r="R7769" s="2">
        <f t="shared" si="487"/>
        <v>92.418227039502213</v>
      </c>
      <c r="S7769" s="2">
        <f t="shared" si="486"/>
        <v>1.4296472251969197</v>
      </c>
      <c r="T7769" s="2">
        <f t="shared" si="488"/>
        <v>1.9019815887915159</v>
      </c>
      <c r="U7769" s="2">
        <f t="shared" si="489"/>
        <v>95.749855853490644</v>
      </c>
    </row>
    <row r="7770" spans="1:21" x14ac:dyDescent="0.25">
      <c r="A7770">
        <v>8942701</v>
      </c>
      <c r="B7770">
        <v>69</v>
      </c>
      <c r="C7770" s="1">
        <f>0.365399253103881*(10.3/7.3)</f>
        <v>0.51556332972191421</v>
      </c>
      <c r="D7770" s="1">
        <f>1.13020606151673*(10.3/7.3)</f>
        <v>1.5946743059756656</v>
      </c>
      <c r="E7770" s="1">
        <f>3.794091280401*(10.3/7.3)</f>
        <v>5.3533068750863482</v>
      </c>
      <c r="F7770" s="1">
        <f>12.3749999348619*(38.9/42.5)</f>
        <v>11.326764646261845</v>
      </c>
      <c r="G7770" s="1">
        <v>0.72037823416052049</v>
      </c>
      <c r="H7770" s="1">
        <v>6.7961612204740902</v>
      </c>
      <c r="I7770" s="1">
        <v>8.7218704076659641</v>
      </c>
      <c r="J7770" s="1">
        <v>1.2384497366068014E-2</v>
      </c>
      <c r="K7770" s="1">
        <v>1.1043495300432711</v>
      </c>
      <c r="L7770" s="1">
        <v>0.86353144264428316</v>
      </c>
      <c r="M7770" s="1">
        <v>7.514978896118589E-2</v>
      </c>
      <c r="N7770" s="1">
        <v>0.48486273535037905</v>
      </c>
      <c r="O7770" s="1">
        <v>7.4416231884057965E-2</v>
      </c>
      <c r="P7770" s="1">
        <v>4.9352100244888251E-2</v>
      </c>
      <c r="Q7770" s="1">
        <v>1.1512894153250337</v>
      </c>
      <c r="R7770" s="2">
        <f t="shared" si="487"/>
        <v>36.180008434671379</v>
      </c>
      <c r="S7770" s="2">
        <f t="shared" si="486"/>
        <v>1.1660861276542274</v>
      </c>
      <c r="T7770" s="2">
        <f t="shared" si="488"/>
        <v>1.4979601988399061</v>
      </c>
      <c r="U7770" s="2">
        <f t="shared" si="489"/>
        <v>38.844054761165509</v>
      </c>
    </row>
    <row r="7771" spans="1:21" x14ac:dyDescent="0.25">
      <c r="A7771">
        <v>8942709</v>
      </c>
      <c r="B7771">
        <v>70</v>
      </c>
      <c r="C7771" s="1">
        <f>0.353674020592795*(10.3/7.3)</f>
        <v>0.49901950850764293</v>
      </c>
      <c r="D7771" s="1">
        <f>1.01426914587465*(10.3/7.3)</f>
        <v>1.4310920825354654</v>
      </c>
      <c r="E7771" s="1">
        <f>3.42860665494306*(10.3/7.3)</f>
        <v>4.8376230884813003</v>
      </c>
      <c r="F7771" s="1">
        <f>10.2152758454358*(38.9/42.5)</f>
        <v>9.3499818914694348</v>
      </c>
      <c r="G7771" s="1">
        <v>0.5675764430519028</v>
      </c>
      <c r="H7771" s="1">
        <v>2.5426601500896289</v>
      </c>
      <c r="I7771" s="1">
        <v>7.0802959848445175</v>
      </c>
      <c r="J7771" s="1">
        <v>1.1617164480905511E-2</v>
      </c>
      <c r="K7771" s="1">
        <v>1.0379950329757772</v>
      </c>
      <c r="L7771" s="1">
        <v>0.80988411134433902</v>
      </c>
      <c r="M7771" s="1">
        <v>7.1004335299198598E-2</v>
      </c>
      <c r="N7771" s="1">
        <v>0.45666842522359175</v>
      </c>
      <c r="O7771" s="1">
        <v>6.965790476190474E-2</v>
      </c>
      <c r="P7771" s="1">
        <v>4.7017736297502839E-2</v>
      </c>
      <c r="Q7771" s="1">
        <v>0.90708563958066735</v>
      </c>
      <c r="R7771" s="2">
        <f t="shared" si="487"/>
        <v>27.215334788560558</v>
      </c>
      <c r="S7771" s="2">
        <f t="shared" si="486"/>
        <v>1.0966299337541856</v>
      </c>
      <c r="T7771" s="2">
        <f t="shared" si="488"/>
        <v>1.4072147766290342</v>
      </c>
      <c r="U7771" s="2">
        <f t="shared" si="489"/>
        <v>29.719179498943777</v>
      </c>
    </row>
    <row r="7772" spans="1:21" x14ac:dyDescent="0.25">
      <c r="A7772">
        <v>8942717</v>
      </c>
      <c r="B7772">
        <v>69</v>
      </c>
      <c r="C7772" s="1">
        <f>0.356102891440232*(10.3/7.3)</f>
        <v>0.50244654545676581</v>
      </c>
      <c r="D7772" s="1">
        <f>1.00954398484711*(10.3/7.3)</f>
        <v>1.4244250745103093</v>
      </c>
      <c r="E7772" s="1">
        <f>3.41572792004559*(10.3/7.3)</f>
        <v>4.8194517228040459</v>
      </c>
      <c r="F7772" s="1">
        <f>10.0587327679649*(38.9/42.5)</f>
        <v>9.2066989335020306</v>
      </c>
      <c r="G7772" s="1">
        <v>0.55519067492916707</v>
      </c>
      <c r="H7772" s="1">
        <v>2.4522593565597419</v>
      </c>
      <c r="I7772" s="1">
        <v>6.9579421703771658</v>
      </c>
      <c r="J7772" s="1">
        <v>1.1631051968481935E-2</v>
      </c>
      <c r="K7772" s="1">
        <v>1.0346240958689668</v>
      </c>
      <c r="L7772" s="1">
        <v>0.81723513038585749</v>
      </c>
      <c r="M7772" s="1">
        <v>7.1318206485713548E-2</v>
      </c>
      <c r="N7772" s="1">
        <v>0.45708335041663739</v>
      </c>
      <c r="O7772" s="1">
        <v>6.855111111111109E-2</v>
      </c>
      <c r="P7772" s="1">
        <v>4.7211478503440304E-2</v>
      </c>
      <c r="Q7772" s="1">
        <v>0.8872910329918211</v>
      </c>
      <c r="R7772" s="2">
        <f t="shared" si="487"/>
        <v>26.805705511131052</v>
      </c>
      <c r="S7772" s="2">
        <f t="shared" si="486"/>
        <v>1.093466626340889</v>
      </c>
      <c r="T7772" s="2">
        <f t="shared" si="488"/>
        <v>1.4141877983993194</v>
      </c>
      <c r="U7772" s="2">
        <f t="shared" si="489"/>
        <v>29.313359935871258</v>
      </c>
    </row>
    <row r="7773" spans="1:21" x14ac:dyDescent="0.25">
      <c r="A7773">
        <v>8954905</v>
      </c>
      <c r="B7773">
        <v>32</v>
      </c>
      <c r="C7773" s="1">
        <f>0.437086673403584*(10.3/7.3)</f>
        <v>0.6167113337064275</v>
      </c>
      <c r="D7773" s="1">
        <f>1.38443225482775*(10.3/7.3)</f>
        <v>1.9533770170857256</v>
      </c>
      <c r="E7773" s="1">
        <f>4.65958511852943*(10.3/7.3)</f>
        <v>6.5744831124456313</v>
      </c>
      <c r="F7773" s="1">
        <f>14.4683756109445*(38.9/42.5)</f>
        <v>13.242819088605652</v>
      </c>
      <c r="G7773" s="1">
        <v>0.82405532390991276</v>
      </c>
      <c r="H7773" s="1">
        <v>3.3963508635044404</v>
      </c>
      <c r="I7773" s="1">
        <v>10.037647223572018</v>
      </c>
      <c r="J7773" s="1">
        <v>1.3672663306696892E-2</v>
      </c>
      <c r="K7773" s="1">
        <v>1.2231572298467877</v>
      </c>
      <c r="L7773" s="1">
        <v>0.9787727721142101</v>
      </c>
      <c r="M7773" s="1">
        <v>8.461927134558854E-2</v>
      </c>
      <c r="N7773" s="1">
        <v>0.52164820914427268</v>
      </c>
      <c r="O7773" s="1">
        <v>8.5155000000000008E-2</v>
      </c>
      <c r="P7773" s="1">
        <v>5.5065893908563715E-2</v>
      </c>
      <c r="Q7773" s="1">
        <v>1.3169833943765739</v>
      </c>
      <c r="R7773" s="2">
        <f t="shared" si="487"/>
        <v>37.96242735720638</v>
      </c>
      <c r="S7773" s="2">
        <f t="shared" si="486"/>
        <v>1.2918957870620482</v>
      </c>
      <c r="T7773" s="2">
        <f t="shared" si="488"/>
        <v>1.6701952526040713</v>
      </c>
      <c r="U7773" s="2">
        <f t="shared" si="489"/>
        <v>40.9245183968725</v>
      </c>
    </row>
    <row r="7774" spans="1:21" x14ac:dyDescent="0.25">
      <c r="A7774">
        <v>8954913</v>
      </c>
      <c r="B7774">
        <v>43</v>
      </c>
      <c r="C7774" s="1">
        <f>0.570270503883164*(10.3/7.3)</f>
        <v>0.80462824520501219</v>
      </c>
      <c r="D7774" s="1">
        <f>1.94973216363711*(10.3/7.3)</f>
        <v>2.7509919569126344</v>
      </c>
      <c r="E7774" s="1">
        <f>6.53410287672203*(10.3/7.3)</f>
        <v>9.2193506342790243</v>
      </c>
      <c r="F7774" s="1">
        <f>21.2831159968701*(38.9/42.5)</f>
        <v>19.48031087713521</v>
      </c>
      <c r="G7774" s="1">
        <v>1.2426750357691403</v>
      </c>
      <c r="H7774" s="1">
        <v>5.1602591653613157</v>
      </c>
      <c r="I7774" s="1">
        <v>14.855195064416263</v>
      </c>
      <c r="J7774" s="1">
        <v>1.7263918542450084E-2</v>
      </c>
      <c r="K7774" s="1">
        <v>1.4106079969495353</v>
      </c>
      <c r="L7774" s="1">
        <v>1.16743717787735</v>
      </c>
      <c r="M7774" s="1">
        <v>9.7884982363563161E-2</v>
      </c>
      <c r="N7774" s="1">
        <v>0.60519230806761082</v>
      </c>
      <c r="O7774" s="1">
        <v>0.10016992248062019</v>
      </c>
      <c r="P7774" s="1">
        <v>6.204395340098947E-2</v>
      </c>
      <c r="Q7774" s="1">
        <v>1.9860103311378974</v>
      </c>
      <c r="R7774" s="2">
        <f t="shared" si="487"/>
        <v>55.499421310216498</v>
      </c>
      <c r="S7774" s="2">
        <f t="shared" si="486"/>
        <v>1.489915868892975</v>
      </c>
      <c r="T7774" s="2">
        <f t="shared" si="488"/>
        <v>1.9706843907891443</v>
      </c>
      <c r="U7774" s="2">
        <f t="shared" si="489"/>
        <v>58.960021569898615</v>
      </c>
    </row>
    <row r="7775" spans="1:21" x14ac:dyDescent="0.25">
      <c r="A7775">
        <v>8954921</v>
      </c>
      <c r="B7775">
        <v>55</v>
      </c>
      <c r="C7775" s="1">
        <f>0.66028815725166*(10.3/7.3)</f>
        <v>0.93163945475234178</v>
      </c>
      <c r="D7775" s="1">
        <f>2.80763090414307*(10.3/7.3)</f>
        <v>3.9614518236539276</v>
      </c>
      <c r="E7775" s="1">
        <f>9.21581619778313*(10.3/7.3)</f>
        <v>13.003137922899478</v>
      </c>
      <c r="F7775" s="1">
        <f>38.4006213542941*(38.9/42.5)</f>
        <v>35.147862839577449</v>
      </c>
      <c r="G7775" s="1">
        <v>2.4707293778174249</v>
      </c>
      <c r="H7775" s="1">
        <v>15.788376032038149</v>
      </c>
      <c r="I7775" s="1">
        <v>28.035018965391409</v>
      </c>
      <c r="J7775" s="1">
        <v>1.9316606486042463E-2</v>
      </c>
      <c r="K7775" s="1">
        <v>1.5574723836910243</v>
      </c>
      <c r="L7775" s="1">
        <v>1.3196121984188443</v>
      </c>
      <c r="M7775" s="1">
        <v>0.10684263172256041</v>
      </c>
      <c r="N7775" s="1">
        <v>0.6842329108152424</v>
      </c>
      <c r="O7775" s="1">
        <v>0.10964945454545454</v>
      </c>
      <c r="P7775" s="1">
        <v>6.698465728068731E-2</v>
      </c>
      <c r="Q7775" s="1">
        <v>3.948654256785844</v>
      </c>
      <c r="R7775" s="2">
        <f t="shared" si="487"/>
        <v>103.28687067291604</v>
      </c>
      <c r="S7775" s="2">
        <f t="shared" si="486"/>
        <v>1.643773647457754</v>
      </c>
      <c r="T7775" s="2">
        <f t="shared" si="488"/>
        <v>2.2203371955021018</v>
      </c>
      <c r="U7775" s="2">
        <f t="shared" si="489"/>
        <v>107.15098151587588</v>
      </c>
    </row>
    <row r="7776" spans="1:21" x14ac:dyDescent="0.25">
      <c r="A7776">
        <v>8954929</v>
      </c>
      <c r="B7776">
        <v>55</v>
      </c>
      <c r="C7776" s="1">
        <f>0.423869382426371*(10.3/7.3)</f>
        <v>0.5980622793139212</v>
      </c>
      <c r="D7776" s="1">
        <f>1.48267615686835*(10.3/7.3)</f>
        <v>2.0919951254443792</v>
      </c>
      <c r="E7776" s="1">
        <f>4.92994547852103*(10.3/7.3)</f>
        <v>6.9559504696940575</v>
      </c>
      <c r="F7776" s="1">
        <f>17.9727982177896*(38.9/42.5)</f>
        <v>16.450396486400376</v>
      </c>
      <c r="G7776" s="1">
        <v>1.0995956213304212</v>
      </c>
      <c r="H7776" s="1">
        <v>6.1984908644799797</v>
      </c>
      <c r="I7776" s="1">
        <v>12.888936606438955</v>
      </c>
      <c r="J7776" s="1">
        <v>1.3888237344853392E-2</v>
      </c>
      <c r="K7776" s="1">
        <v>1.2244180292519327</v>
      </c>
      <c r="L7776" s="1">
        <v>0.98317778675627465</v>
      </c>
      <c r="M7776" s="1">
        <v>8.2998061763375944E-2</v>
      </c>
      <c r="N7776" s="1">
        <v>0.53935165802948526</v>
      </c>
      <c r="O7776" s="1">
        <v>8.3441454545454555E-2</v>
      </c>
      <c r="P7776" s="1">
        <v>5.4332032109201747E-2</v>
      </c>
      <c r="Q7776" s="1">
        <v>1.7573446002997621</v>
      </c>
      <c r="R7776" s="2">
        <f t="shared" si="487"/>
        <v>48.040772053401852</v>
      </c>
      <c r="S7776" s="2">
        <f t="shared" si="486"/>
        <v>1.2926382987059879</v>
      </c>
      <c r="T7776" s="2">
        <f t="shared" si="488"/>
        <v>1.6889689610945904</v>
      </c>
      <c r="U7776" s="2">
        <f t="shared" si="489"/>
        <v>51.022379313202428</v>
      </c>
    </row>
    <row r="7777" spans="1:21" x14ac:dyDescent="0.25">
      <c r="A7777">
        <v>8954937</v>
      </c>
      <c r="B7777">
        <v>55</v>
      </c>
      <c r="C7777" s="1">
        <f>0.365068476743572*(10.3/7.3)</f>
        <v>0.51509661787106664</v>
      </c>
      <c r="D7777" s="1">
        <f>1.07981756631405*(10.3/7.3)</f>
        <v>1.5235782100047617</v>
      </c>
      <c r="E7777" s="1">
        <f>3.64149488618723*(10.3/7.3)</f>
        <v>5.1379996339354079</v>
      </c>
      <c r="F7777" s="1">
        <f>11.1813182058656*(38.9/42.5)</f>
        <v>10.234194781368714</v>
      </c>
      <c r="G7777" s="1">
        <v>0.63160630157603082</v>
      </c>
      <c r="H7777" s="1">
        <v>2.99302502539107</v>
      </c>
      <c r="I7777" s="1">
        <v>7.7887169316677554</v>
      </c>
      <c r="J7777" s="1">
        <v>1.2361918378802331E-2</v>
      </c>
      <c r="K7777" s="1">
        <v>1.1096200145216568</v>
      </c>
      <c r="L7777" s="1">
        <v>0.8685602660161803</v>
      </c>
      <c r="M7777" s="1">
        <v>7.5368394150490237E-2</v>
      </c>
      <c r="N7777" s="1">
        <v>0.48653843135007918</v>
      </c>
      <c r="O7777" s="1">
        <v>7.4388363636363627E-2</v>
      </c>
      <c r="P7777" s="1">
        <v>4.9638351410153415E-2</v>
      </c>
      <c r="Q7777" s="1">
        <v>1.0094164637059861</v>
      </c>
      <c r="R7777" s="2">
        <f t="shared" si="487"/>
        <v>29.833633965520793</v>
      </c>
      <c r="S7777" s="2">
        <f t="shared" si="486"/>
        <v>1.1716202843106127</v>
      </c>
      <c r="T7777" s="2">
        <f t="shared" si="488"/>
        <v>1.5048554551531133</v>
      </c>
      <c r="U7777" s="2">
        <f t="shared" si="489"/>
        <v>32.510109704984522</v>
      </c>
    </row>
    <row r="7778" spans="1:21" x14ac:dyDescent="0.25">
      <c r="A7778">
        <v>8954945</v>
      </c>
      <c r="B7778">
        <v>55</v>
      </c>
      <c r="C7778" s="1">
        <f>0.366383563872811*(10.3/7.3)</f>
        <v>0.51695215176574649</v>
      </c>
      <c r="D7778" s="1">
        <f>1.04341988220605*(10.3/7.3)</f>
        <v>1.472222573523611</v>
      </c>
      <c r="E7778" s="1">
        <f>3.52889844390605*(10.3/7.3)</f>
        <v>4.9791306811277165</v>
      </c>
      <c r="F7778" s="1">
        <f>10.4495799629828*(38.9/42.5)</f>
        <v>9.5644390720006918</v>
      </c>
      <c r="G7778" s="1">
        <v>0.57855773190742221</v>
      </c>
      <c r="H7778" s="1">
        <v>2.5243409165142308</v>
      </c>
      <c r="I7778" s="1">
        <v>7.2358742766862933</v>
      </c>
      <c r="J7778" s="1">
        <v>1.1605548021788356E-2</v>
      </c>
      <c r="K7778" s="1">
        <v>1.0356960657568102</v>
      </c>
      <c r="L7778" s="1">
        <v>0.81121798782913157</v>
      </c>
      <c r="M7778" s="1">
        <v>7.0876480844468195E-2</v>
      </c>
      <c r="N7778" s="1">
        <v>0.45619725477865408</v>
      </c>
      <c r="O7778" s="1">
        <v>6.9489454545454507E-2</v>
      </c>
      <c r="P7778" s="1">
        <v>4.7017738552528526E-2</v>
      </c>
      <c r="Q7778" s="1">
        <v>0.92463564460090419</v>
      </c>
      <c r="R7778" s="2">
        <f t="shared" si="487"/>
        <v>27.796153048126616</v>
      </c>
      <c r="S7778" s="2">
        <f t="shared" si="486"/>
        <v>1.094319352331127</v>
      </c>
      <c r="T7778" s="2">
        <f t="shared" si="488"/>
        <v>1.4077811779977083</v>
      </c>
      <c r="U7778" s="2">
        <f t="shared" si="489"/>
        <v>30.298253578455451</v>
      </c>
    </row>
    <row r="7779" spans="1:21" x14ac:dyDescent="0.25">
      <c r="A7779">
        <v>8954953</v>
      </c>
      <c r="B7779">
        <v>50</v>
      </c>
      <c r="C7779" s="1">
        <f>0.342052207064429*(10.3/7.3)</f>
        <v>0.48262160722789293</v>
      </c>
      <c r="D7779" s="1">
        <f>0.961152475364068*(10.3/7.3)</f>
        <v>1.3561466433219049</v>
      </c>
      <c r="E7779" s="1">
        <f>3.25354249655069*(10.3/7.3)</f>
        <v>4.5906147554071426</v>
      </c>
      <c r="F7779" s="1">
        <f>9.53210606120324*(38.9/42.5)</f>
        <v>8.7246806066071994</v>
      </c>
      <c r="G7779" s="1">
        <v>0.52447698490598316</v>
      </c>
      <c r="H7779" s="1">
        <v>2.3440575492389799</v>
      </c>
      <c r="I7779" s="1">
        <v>6.5909237783726917</v>
      </c>
      <c r="J7779" s="1">
        <v>1.1543720685587722E-2</v>
      </c>
      <c r="K7779" s="1">
        <v>1.0290812606112794</v>
      </c>
      <c r="L7779" s="1">
        <v>0.81541922641995801</v>
      </c>
      <c r="M7779" s="1">
        <v>7.1073157132680503E-2</v>
      </c>
      <c r="N7779" s="1">
        <v>0.45470543793512191</v>
      </c>
      <c r="O7779" s="1">
        <v>6.8307199999999985E-2</v>
      </c>
      <c r="P7779" s="1">
        <v>4.709077569619833E-2</v>
      </c>
      <c r="Q7779" s="1">
        <v>0.83820522701869582</v>
      </c>
      <c r="R7779" s="2">
        <f t="shared" si="487"/>
        <v>25.451727152100492</v>
      </c>
      <c r="S7779" s="2">
        <f t="shared" si="486"/>
        <v>1.0877157569930653</v>
      </c>
      <c r="T7779" s="2">
        <f t="shared" si="488"/>
        <v>1.4095050214877605</v>
      </c>
      <c r="U7779" s="2">
        <f t="shared" si="489"/>
        <v>27.948947930581319</v>
      </c>
    </row>
    <row r="7780" spans="1:21" x14ac:dyDescent="0.25">
      <c r="A7780">
        <v>8967141</v>
      </c>
      <c r="B7780">
        <v>57</v>
      </c>
      <c r="C7780" s="1">
        <f>0.481211269628136*(10.3/7.3)</f>
        <v>0.67896932563969825</v>
      </c>
      <c r="D7780" s="1">
        <f>1.54958165589771*(10.3/7.3)</f>
        <v>2.1863960350337606</v>
      </c>
      <c r="E7780" s="1">
        <f>5.21082814546443*(10.3/7.3)</f>
        <v>7.3522643696278953</v>
      </c>
      <c r="F7780" s="1">
        <f>16.336646203621*(38.9/42.5)</f>
        <v>14.952836172255461</v>
      </c>
      <c r="G7780" s="1">
        <v>0.93533141315150625</v>
      </c>
      <c r="H7780" s="1">
        <v>3.7825370992215492</v>
      </c>
      <c r="I7780" s="1">
        <v>11.345870813118564</v>
      </c>
      <c r="J7780" s="1">
        <v>1.4364510235094229E-2</v>
      </c>
      <c r="K7780" s="1">
        <v>1.2602629433985981</v>
      </c>
      <c r="L7780" s="1">
        <v>1.0169779505190653</v>
      </c>
      <c r="M7780" s="1">
        <v>8.6990847515096573E-2</v>
      </c>
      <c r="N7780" s="1">
        <v>0.53692528202955692</v>
      </c>
      <c r="O7780" s="1">
        <v>8.8419181286549714E-2</v>
      </c>
      <c r="P7780" s="1">
        <v>5.6434541332209272E-2</v>
      </c>
      <c r="Q7780" s="1">
        <v>1.4948218931645092</v>
      </c>
      <c r="R7780" s="2">
        <f t="shared" si="487"/>
        <v>42.729027121212937</v>
      </c>
      <c r="S7780" s="2">
        <f t="shared" si="486"/>
        <v>1.3310619949659017</v>
      </c>
      <c r="T7780" s="2">
        <f t="shared" si="488"/>
        <v>1.7293132613502686</v>
      </c>
      <c r="U7780" s="2">
        <f t="shared" si="489"/>
        <v>45.789402377529107</v>
      </c>
    </row>
    <row r="7781" spans="1:21" x14ac:dyDescent="0.25">
      <c r="A7781">
        <v>8967149</v>
      </c>
      <c r="B7781">
        <v>66</v>
      </c>
      <c r="C7781" s="1">
        <f>0.881323212776944*(10.3/7.3)</f>
        <v>1.2435108344660994</v>
      </c>
      <c r="D7781" s="1">
        <f>3.10492033296275*(10.3/7.3)</f>
        <v>4.3809149903447082</v>
      </c>
      <c r="E7781" s="1">
        <f>10.3926121461913*(10.3/7.3)</f>
        <v>14.663548644626136</v>
      </c>
      <c r="F7781" s="1">
        <f>34.2461002167782*(38.9/42.5)</f>
        <v>31.345254080768747</v>
      </c>
      <c r="G7781" s="1">
        <v>2.0117638877409081</v>
      </c>
      <c r="H7781" s="1">
        <v>7.4145716090592364</v>
      </c>
      <c r="I7781" s="1">
        <v>23.916310388083673</v>
      </c>
      <c r="J7781" s="1">
        <v>2.2839494259990004E-2</v>
      </c>
      <c r="K7781" s="1">
        <v>1.8305323225541559</v>
      </c>
      <c r="L7781" s="1">
        <v>1.5931746764931676</v>
      </c>
      <c r="M7781" s="1">
        <v>0.12691117877116556</v>
      </c>
      <c r="N7781" s="1">
        <v>0.79955294465964533</v>
      </c>
      <c r="O7781" s="1">
        <v>0.1302351515151515</v>
      </c>
      <c r="P7781" s="1">
        <v>7.7560449518041252E-2</v>
      </c>
      <c r="Q7781" s="1">
        <v>3.2151477657959759</v>
      </c>
      <c r="R7781" s="2">
        <f t="shared" si="487"/>
        <v>88.191022200885484</v>
      </c>
      <c r="S7781" s="2">
        <f t="shared" si="486"/>
        <v>1.9309322663321873</v>
      </c>
      <c r="T7781" s="2">
        <f t="shared" si="488"/>
        <v>2.6498739514391301</v>
      </c>
      <c r="U7781" s="2">
        <f t="shared" si="489"/>
        <v>92.77182841865681</v>
      </c>
    </row>
    <row r="7782" spans="1:21" x14ac:dyDescent="0.25">
      <c r="A7782">
        <v>8967157</v>
      </c>
      <c r="B7782">
        <v>67</v>
      </c>
      <c r="C7782" s="1">
        <f>0.551267367225268*(10.3/7.3)</f>
        <v>0.77781560033154273</v>
      </c>
      <c r="D7782" s="1">
        <f>1.94923343896475*(10.3/7.3)</f>
        <v>2.7502882768954686</v>
      </c>
      <c r="E7782" s="1">
        <f>6.49667181050412*(10.3/7.3)</f>
        <v>9.1665369381085569</v>
      </c>
      <c r="F7782" s="1">
        <f>22.8212595853486*(38.9/42.5)</f>
        <v>20.888164655766129</v>
      </c>
      <c r="G7782" s="1">
        <v>1.3767830607871185</v>
      </c>
      <c r="H7782" s="1">
        <v>5.8416511019378312</v>
      </c>
      <c r="I7782" s="1">
        <v>16.203111054143058</v>
      </c>
      <c r="J7782" s="1">
        <v>1.6554321141892901E-2</v>
      </c>
      <c r="K7782" s="1">
        <v>1.4242275505894939</v>
      </c>
      <c r="L7782" s="1">
        <v>1.1863087541861372</v>
      </c>
      <c r="M7782" s="1">
        <v>9.7245583089277901E-2</v>
      </c>
      <c r="N7782" s="1">
        <v>0.62169502510762253</v>
      </c>
      <c r="O7782" s="1">
        <v>9.9036019900497499E-2</v>
      </c>
      <c r="P7782" s="1">
        <v>6.1867275243709809E-2</v>
      </c>
      <c r="Q7782" s="1">
        <v>2.2003382250022461</v>
      </c>
      <c r="R7782" s="2">
        <f t="shared" si="487"/>
        <v>59.204688912971946</v>
      </c>
      <c r="S7782" s="2">
        <f t="shared" si="486"/>
        <v>1.5026491469750964</v>
      </c>
      <c r="T7782" s="2">
        <f t="shared" si="488"/>
        <v>2.0042853822835354</v>
      </c>
      <c r="U7782" s="2">
        <f t="shared" si="489"/>
        <v>62.711623442230575</v>
      </c>
    </row>
    <row r="7783" spans="1:21" x14ac:dyDescent="0.25">
      <c r="A7783">
        <v>8967165</v>
      </c>
      <c r="B7783">
        <v>67</v>
      </c>
      <c r="C7783" s="1">
        <f>0.430230053942299*(10.3/7.3)</f>
        <v>0.60703692542543608</v>
      </c>
      <c r="D7783" s="1">
        <f>1.3646146044073*(10.3/7.3)</f>
        <v>1.9254151267664588</v>
      </c>
      <c r="E7783" s="1">
        <f>4.5803170439427*(10.3/7.3)</f>
        <v>6.4626391167958621</v>
      </c>
      <c r="F7783" s="1">
        <f>14.8644178749833*(38.9/42.5)</f>
        <v>13.605314243219981</v>
      </c>
      <c r="G7783" s="1">
        <v>0.8641614622428575</v>
      </c>
      <c r="H7783" s="1">
        <v>4.0748721355012671</v>
      </c>
      <c r="I7783" s="1">
        <v>10.437034011327682</v>
      </c>
      <c r="J7783" s="1">
        <v>1.3645889957616833E-2</v>
      </c>
      <c r="K7783" s="1">
        <v>1.2171749403174696</v>
      </c>
      <c r="L7783" s="1">
        <v>0.97719141202880189</v>
      </c>
      <c r="M7783" s="1">
        <v>8.2677212164433217E-2</v>
      </c>
      <c r="N7783" s="1">
        <v>0.53356536734802085</v>
      </c>
      <c r="O7783" s="1">
        <v>8.2738308457711393E-2</v>
      </c>
      <c r="P7783" s="1">
        <v>5.4087054065953856E-2</v>
      </c>
      <c r="Q7783" s="1">
        <v>1.3810799624885863</v>
      </c>
      <c r="R7783" s="2">
        <f t="shared" si="487"/>
        <v>39.35755298376813</v>
      </c>
      <c r="S7783" s="2">
        <f t="shared" si="486"/>
        <v>1.2849078843410404</v>
      </c>
      <c r="T7783" s="2">
        <f t="shared" si="488"/>
        <v>1.6761722999989672</v>
      </c>
      <c r="U7783" s="2">
        <f t="shared" si="489"/>
        <v>42.318633168108136</v>
      </c>
    </row>
    <row r="7784" spans="1:21" x14ac:dyDescent="0.25">
      <c r="A7784">
        <v>8967173</v>
      </c>
      <c r="B7784">
        <v>67</v>
      </c>
      <c r="C7784" s="1">
        <f>0.406380102767179*(10.3/7.3)</f>
        <v>0.57338562445232089</v>
      </c>
      <c r="D7784" s="1">
        <f>1.20742541879101*(10.3/7.3)</f>
        <v>1.7036276456914272</v>
      </c>
      <c r="E7784" s="1">
        <f>4.07355954625671*(10.3/7.3)</f>
        <v>5.7476251132115195</v>
      </c>
      <c r="F7784" s="1">
        <f>12.40041602537*(38.9/42.5)</f>
        <v>11.350027844397463</v>
      </c>
      <c r="G7784" s="1">
        <v>0.69762530099135145</v>
      </c>
      <c r="H7784" s="1">
        <v>3.0729369977387382</v>
      </c>
      <c r="I7784" s="1">
        <v>8.6128271702744801</v>
      </c>
      <c r="J7784" s="1">
        <v>1.2558743156177865E-2</v>
      </c>
      <c r="K7784" s="1">
        <v>1.1298075266157193</v>
      </c>
      <c r="L7784" s="1">
        <v>0.89232927827893849</v>
      </c>
      <c r="M7784" s="1">
        <v>7.6675833501422139E-2</v>
      </c>
      <c r="N7784" s="1">
        <v>0.49353613485865017</v>
      </c>
      <c r="O7784" s="1">
        <v>7.6142487562189054E-2</v>
      </c>
      <c r="P7784" s="1">
        <v>5.0518073541511138E-2</v>
      </c>
      <c r="Q7784" s="1">
        <v>1.1149262801231654</v>
      </c>
      <c r="R7784" s="2">
        <f t="shared" si="487"/>
        <v>32.87298197688046</v>
      </c>
      <c r="S7784" s="2">
        <f t="shared" si="486"/>
        <v>1.1928843433134082</v>
      </c>
      <c r="T7784" s="2">
        <f t="shared" si="488"/>
        <v>1.5386837342011999</v>
      </c>
      <c r="U7784" s="2">
        <f t="shared" si="489"/>
        <v>35.604550054395069</v>
      </c>
    </row>
    <row r="7785" spans="1:21" x14ac:dyDescent="0.25">
      <c r="A7785">
        <v>8967181</v>
      </c>
      <c r="B7785">
        <v>67</v>
      </c>
      <c r="C7785" s="1">
        <f>0.380980380337983*(10.3/7.3)</f>
        <v>0.53754765992893438</v>
      </c>
      <c r="D7785" s="1">
        <f>1.08311171443691*(10.3/7.3)</f>
        <v>1.5282261176301608</v>
      </c>
      <c r="E7785" s="1">
        <f>3.66345259589511*(10.3/7.3)</f>
        <v>5.1689810599615917</v>
      </c>
      <c r="F7785" s="1">
        <f>10.8384816407986*(38.9/42.5)</f>
        <v>9.9203984900486315</v>
      </c>
      <c r="G7785" s="1">
        <v>0.59976590909230965</v>
      </c>
      <c r="H7785" s="1">
        <v>2.5837838858223066</v>
      </c>
      <c r="I7785" s="1">
        <v>7.5048153998297433</v>
      </c>
      <c r="J7785" s="1">
        <v>1.1766340687367184E-2</v>
      </c>
      <c r="K7785" s="1">
        <v>1.0490241710967378</v>
      </c>
      <c r="L7785" s="1">
        <v>0.82766118025628621</v>
      </c>
      <c r="M7785" s="1">
        <v>7.1708513603983046E-2</v>
      </c>
      <c r="N7785" s="1">
        <v>0.46240968799808752</v>
      </c>
      <c r="O7785" s="1">
        <v>7.0129353233830863E-2</v>
      </c>
      <c r="P7785" s="1">
        <v>4.7613873000332936E-2</v>
      </c>
      <c r="Q7785" s="1">
        <v>0.95852999170003927</v>
      </c>
      <c r="R7785" s="2">
        <f t="shared" si="487"/>
        <v>28.80204851401372</v>
      </c>
      <c r="S7785" s="2">
        <f t="shared" si="486"/>
        <v>1.108404384784438</v>
      </c>
      <c r="T7785" s="2">
        <f t="shared" si="488"/>
        <v>1.4319087350921877</v>
      </c>
      <c r="U7785" s="2">
        <f t="shared" si="489"/>
        <v>31.342361633890345</v>
      </c>
    </row>
    <row r="7786" spans="1:21" x14ac:dyDescent="0.25">
      <c r="A7786">
        <v>8967189</v>
      </c>
      <c r="B7786">
        <v>50</v>
      </c>
      <c r="C7786" s="1">
        <f>0.335278856598618*(10.3/7.3)</f>
        <v>0.47306468807750185</v>
      </c>
      <c r="D7786" s="1">
        <f>0.934986681253909*(10.3/7.3)</f>
        <v>1.3192277831390777</v>
      </c>
      <c r="E7786" s="1">
        <f>3.16627033334447*(10.3/7.3)</f>
        <v>4.4674773196504098</v>
      </c>
      <c r="F7786" s="1">
        <f>9.23513275297133*(38.9/42.5)</f>
        <v>8.4528626844843462</v>
      </c>
      <c r="G7786" s="1">
        <v>0.50674327705045019</v>
      </c>
      <c r="H7786" s="1">
        <v>2.2752365952063012</v>
      </c>
      <c r="I7786" s="1">
        <v>6.383256048909117</v>
      </c>
      <c r="J7786" s="1">
        <v>1.1470907309113855E-2</v>
      </c>
      <c r="K7786" s="1">
        <v>1.0250641324787197</v>
      </c>
      <c r="L7786" s="1">
        <v>0.81314957558464751</v>
      </c>
      <c r="M7786" s="1">
        <v>7.0769825651144799E-2</v>
      </c>
      <c r="N7786" s="1">
        <v>0.45239251338933251</v>
      </c>
      <c r="O7786" s="1">
        <v>6.8020266666666662E-2</v>
      </c>
      <c r="P7786" s="1">
        <v>4.6879950506804942E-2</v>
      </c>
      <c r="Q7786" s="1">
        <v>0.80986368478382498</v>
      </c>
      <c r="R7786" s="2">
        <f t="shared" si="487"/>
        <v>24.687732081301029</v>
      </c>
      <c r="S7786" s="2">
        <f t="shared" si="486"/>
        <v>1.0834149902946386</v>
      </c>
      <c r="T7786" s="2">
        <f t="shared" si="488"/>
        <v>1.4043321812917915</v>
      </c>
      <c r="U7786" s="2">
        <f t="shared" si="489"/>
        <v>27.17547925288746</v>
      </c>
    </row>
    <row r="7787" spans="1:21" x14ac:dyDescent="0.25">
      <c r="A7787">
        <v>8967197</v>
      </c>
      <c r="B7787">
        <v>2</v>
      </c>
      <c r="C7787" s="1">
        <f>0.283862570679972*(10.3/7.3)</f>
        <v>0.40051842164434398</v>
      </c>
      <c r="D7787" s="1">
        <f>0.777915083128895*(10.3/7.3)</f>
        <v>1.0976062131818649</v>
      </c>
      <c r="E7787" s="1">
        <f>2.63714754545108*(10.3/7.3)</f>
        <v>3.7209068107049426</v>
      </c>
      <c r="F7787" s="1">
        <f>7.59785953409143*(38.9/42.5)</f>
        <v>6.9542761382625091</v>
      </c>
      <c r="G7787" s="1">
        <v>0.41378294013107636</v>
      </c>
      <c r="H7787" s="1">
        <v>2.0193145507977817</v>
      </c>
      <c r="I7787" s="1">
        <v>5.2442415175003347</v>
      </c>
      <c r="J7787" s="1">
        <v>1.1350570050559139E-2</v>
      </c>
      <c r="K7787" s="1">
        <v>1.0150305424732791</v>
      </c>
      <c r="L7787" s="1">
        <v>0.81295419784972167</v>
      </c>
      <c r="M7787" s="1">
        <v>7.1359894905367843E-2</v>
      </c>
      <c r="N7787" s="1">
        <v>0.44917432391411327</v>
      </c>
      <c r="O7787" s="1">
        <v>6.797333333333333E-2</v>
      </c>
      <c r="P7787" s="1">
        <v>4.6719379844459896E-2</v>
      </c>
      <c r="Q7787" s="1">
        <v>0.66129693628254271</v>
      </c>
      <c r="R7787" s="2">
        <f t="shared" si="487"/>
        <v>20.511943528505398</v>
      </c>
      <c r="S7787" s="2">
        <f t="shared" si="486"/>
        <v>1.0731004923682981</v>
      </c>
      <c r="T7787" s="2">
        <f t="shared" si="488"/>
        <v>1.4014617500025359</v>
      </c>
      <c r="U7787" s="2">
        <f t="shared" si="489"/>
        <v>22.986505770876231</v>
      </c>
    </row>
    <row r="7788" spans="1:21" x14ac:dyDescent="0.25">
      <c r="A7788">
        <v>8979377</v>
      </c>
      <c r="B7788">
        <v>60</v>
      </c>
      <c r="C7788" s="1">
        <f>0.524862304755468*(10.3/7.3)</f>
        <v>0.74055914232620901</v>
      </c>
      <c r="D7788" s="1">
        <f>1.69413425293823*(10.3/7.3)</f>
        <v>2.3903538089402425</v>
      </c>
      <c r="E7788" s="1">
        <f>5.69418374672198*(10.3/7.3)</f>
        <v>8.0342592590734814</v>
      </c>
      <c r="F7788" s="1">
        <f>17.980766952857*(38.9/42.5)</f>
        <v>16.457690222732616</v>
      </c>
      <c r="G7788" s="1">
        <v>1.0330267511137885</v>
      </c>
      <c r="H7788" s="1">
        <v>4.1282159252997586</v>
      </c>
      <c r="I7788" s="1">
        <v>12.509995865579983</v>
      </c>
      <c r="J7788" s="1">
        <v>1.5052341008356453E-2</v>
      </c>
      <c r="K7788" s="1">
        <v>1.3158918896774103</v>
      </c>
      <c r="L7788" s="1">
        <v>1.0702864791845412</v>
      </c>
      <c r="M7788" s="1">
        <v>9.060992091677475E-2</v>
      </c>
      <c r="N7788" s="1">
        <v>0.56262595029918883</v>
      </c>
      <c r="O7788" s="1">
        <v>9.229066666666666E-2</v>
      </c>
      <c r="P7788" s="1">
        <v>5.8546805521564028E-2</v>
      </c>
      <c r="Q7788" s="1">
        <v>1.650955994930714</v>
      </c>
      <c r="R7788" s="2">
        <f t="shared" si="487"/>
        <v>46.945056969996784</v>
      </c>
      <c r="S7788" s="2">
        <f t="shared" si="486"/>
        <v>1.3894910362073309</v>
      </c>
      <c r="T7788" s="2">
        <f t="shared" si="488"/>
        <v>1.8158130170671716</v>
      </c>
      <c r="U7788" s="2">
        <f t="shared" si="489"/>
        <v>50.150361023271287</v>
      </c>
    </row>
    <row r="7789" spans="1:21" x14ac:dyDescent="0.25">
      <c r="A7789">
        <v>8979385</v>
      </c>
      <c r="B7789">
        <v>59</v>
      </c>
      <c r="C7789" s="1">
        <f>0.680363414454231*(10.3/7.3)</f>
        <v>0.95996481765460007</v>
      </c>
      <c r="D7789" s="1">
        <f>2.32612503592525*(10.3/7.3)</f>
        <v>3.2820668315109627</v>
      </c>
      <c r="E7789" s="1">
        <f>7.78728009497908*(10.3/7.3)</f>
        <v>10.987532188806094</v>
      </c>
      <c r="F7789" s="1">
        <f>25.7903370788001*(38.9/42.5)</f>
        <v>23.605743820360548</v>
      </c>
      <c r="G7789" s="1">
        <v>1.5168304000786201</v>
      </c>
      <c r="H7789" s="1">
        <v>5.7806454094666364</v>
      </c>
      <c r="I7789" s="1">
        <v>18.082695371628933</v>
      </c>
      <c r="J7789" s="1">
        <v>1.8035917366826058E-2</v>
      </c>
      <c r="K7789" s="1">
        <v>1.5382441321491278</v>
      </c>
      <c r="L7789" s="1">
        <v>1.3002108023067649</v>
      </c>
      <c r="M7789" s="1">
        <v>0.10615969501009163</v>
      </c>
      <c r="N7789" s="1">
        <v>0.66484117253018371</v>
      </c>
      <c r="O7789" s="1">
        <v>0.10861468926553672</v>
      </c>
      <c r="P7789" s="1">
        <v>6.6592788007156692E-2</v>
      </c>
      <c r="Q7789" s="1">
        <v>2.4241581736416311</v>
      </c>
      <c r="R7789" s="2">
        <f t="shared" si="487"/>
        <v>66.639637013148018</v>
      </c>
      <c r="S7789" s="2">
        <f t="shared" si="486"/>
        <v>1.6228728375231105</v>
      </c>
      <c r="T7789" s="2">
        <f t="shared" si="488"/>
        <v>2.1798263591125768</v>
      </c>
      <c r="U7789" s="2">
        <f t="shared" si="489"/>
        <v>70.442336209783704</v>
      </c>
    </row>
    <row r="7790" spans="1:21" x14ac:dyDescent="0.25">
      <c r="A7790">
        <v>8979393</v>
      </c>
      <c r="B7790">
        <v>60</v>
      </c>
      <c r="C7790" s="1">
        <f>0.452957357241193*(10.3/7.3)</f>
        <v>0.63910421638140913</v>
      </c>
      <c r="D7790" s="1">
        <f>1.45250968400003*(10.3/7.3)</f>
        <v>2.0494314719452413</v>
      </c>
      <c r="E7790" s="1">
        <f>4.87179818625005*(10.3/7.3)</f>
        <v>6.8739070299144611</v>
      </c>
      <c r="F7790" s="1">
        <f>15.9431750628088*(38.9/42.5)</f>
        <v>14.59269435160618</v>
      </c>
      <c r="G7790" s="1">
        <v>0.93071208358451119</v>
      </c>
      <c r="H7790" s="1">
        <v>4.052401354208504</v>
      </c>
      <c r="I7790" s="1">
        <v>11.207835169772286</v>
      </c>
      <c r="J7790" s="1">
        <v>1.392435600956256E-2</v>
      </c>
      <c r="K7790" s="1">
        <v>1.2403133799141808</v>
      </c>
      <c r="L7790" s="1">
        <v>0.99773109100738211</v>
      </c>
      <c r="M7790" s="1">
        <v>8.4036439719395936E-2</v>
      </c>
      <c r="N7790" s="1">
        <v>0.54025362305177838</v>
      </c>
      <c r="O7790" s="1">
        <v>8.4530666666666671E-2</v>
      </c>
      <c r="P7790" s="1">
        <v>5.5165043607321169E-2</v>
      </c>
      <c r="Q7790" s="1">
        <v>1.4874394029889466</v>
      </c>
      <c r="R7790" s="2">
        <f t="shared" si="487"/>
        <v>41.833525080401543</v>
      </c>
      <c r="S7790" s="2">
        <f t="shared" si="486"/>
        <v>1.3094027795310645</v>
      </c>
      <c r="T7790" s="2">
        <f t="shared" si="488"/>
        <v>1.706551820445223</v>
      </c>
      <c r="U7790" s="2">
        <f t="shared" si="489"/>
        <v>44.849479680377826</v>
      </c>
    </row>
    <row r="7791" spans="1:21" x14ac:dyDescent="0.25">
      <c r="A7791">
        <v>8979401</v>
      </c>
      <c r="B7791">
        <v>60</v>
      </c>
      <c r="C7791" s="1">
        <f>0.480813222386517*(10.3/7.3)</f>
        <v>0.67840769733988071</v>
      </c>
      <c r="D7791" s="1">
        <f>1.50282795571202*(10.3/7.3)</f>
        <v>2.1204284854566811</v>
      </c>
      <c r="E7791" s="1">
        <f>5.05517852086803*(10.3/7.3)</f>
        <v>7.13264914588229</v>
      </c>
      <c r="F7791" s="1">
        <f>15.9097140266688*(38.9/42.5)</f>
        <v>14.562067662056892</v>
      </c>
      <c r="G7791" s="1">
        <v>0.91147946540261138</v>
      </c>
      <c r="H7791" s="1">
        <v>4.0265699828442312</v>
      </c>
      <c r="I7791" s="1">
        <v>11.094164005912768</v>
      </c>
      <c r="J7791" s="1">
        <v>1.3831429847279478E-2</v>
      </c>
      <c r="K7791" s="1">
        <v>1.2421865719992344</v>
      </c>
      <c r="L7791" s="1">
        <v>1.0029912050559335</v>
      </c>
      <c r="M7791" s="1">
        <v>8.4451512043588972E-2</v>
      </c>
      <c r="N7791" s="1">
        <v>0.54058425637687635</v>
      </c>
      <c r="O7791" s="1">
        <v>8.4902222222222198E-2</v>
      </c>
      <c r="P7791" s="1">
        <v>5.5167296469127193E-2</v>
      </c>
      <c r="Q7791" s="1">
        <v>1.4567023419676448</v>
      </c>
      <c r="R7791" s="2">
        <f t="shared" si="487"/>
        <v>41.982468786862995</v>
      </c>
      <c r="S7791" s="2">
        <f t="shared" si="486"/>
        <v>1.3111852983156411</v>
      </c>
      <c r="T7791" s="2">
        <f t="shared" si="488"/>
        <v>1.712929195698621</v>
      </c>
      <c r="U7791" s="2">
        <f t="shared" si="489"/>
        <v>45.006583280877258</v>
      </c>
    </row>
    <row r="7792" spans="1:21" x14ac:dyDescent="0.25">
      <c r="A7792">
        <v>8979409</v>
      </c>
      <c r="B7792">
        <v>60</v>
      </c>
      <c r="C7792" s="1">
        <f>0.472382712476701*(10.3/7.3)</f>
        <v>0.66651259431644116</v>
      </c>
      <c r="D7792" s="1">
        <f>1.43165193667056*(10.3/7.3)</f>
        <v>2.0200020476310638</v>
      </c>
      <c r="E7792" s="1">
        <f>4.82703124412444*(10.3/7.3)</f>
        <v>6.8107427143125676</v>
      </c>
      <c r="F7792" s="1">
        <f>14.754101700887*(38.9/42.5)</f>
        <v>13.504342497988311</v>
      </c>
      <c r="G7792" s="1">
        <v>0.83242276459335096</v>
      </c>
      <c r="H7792" s="1">
        <v>3.5480233938811518</v>
      </c>
      <c r="I7792" s="1">
        <v>10.23735354474079</v>
      </c>
      <c r="J7792" s="1">
        <v>1.3523514694630673E-2</v>
      </c>
      <c r="K7792" s="1">
        <v>1.209909881359549</v>
      </c>
      <c r="L7792" s="1">
        <v>0.97860861025915113</v>
      </c>
      <c r="M7792" s="1">
        <v>8.2324114452752256E-2</v>
      </c>
      <c r="N7792" s="1">
        <v>0.53045868342917069</v>
      </c>
      <c r="O7792" s="1">
        <v>8.2507555555555528E-2</v>
      </c>
      <c r="P7792" s="1">
        <v>5.3977657720535387E-2</v>
      </c>
      <c r="Q7792" s="1">
        <v>1.3303560164733932</v>
      </c>
      <c r="R7792" s="2">
        <f t="shared" si="487"/>
        <v>38.949755573937068</v>
      </c>
      <c r="S7792" s="2">
        <f t="shared" si="486"/>
        <v>1.277411053774715</v>
      </c>
      <c r="T7792" s="2">
        <f t="shared" si="488"/>
        <v>1.6738989636966295</v>
      </c>
      <c r="U7792" s="2">
        <f t="shared" si="489"/>
        <v>41.901065591408411</v>
      </c>
    </row>
    <row r="7793" spans="1:21" x14ac:dyDescent="0.25">
      <c r="A7793">
        <v>8979417</v>
      </c>
      <c r="B7793">
        <v>60</v>
      </c>
      <c r="C7793" s="1">
        <f>0.379026432069849*(10.3/7.3)</f>
        <v>0.5347907192218424</v>
      </c>
      <c r="D7793" s="1">
        <f>1.06448008867601*(10.3/7.3)</f>
        <v>1.5019376593647746</v>
      </c>
      <c r="E7793" s="1">
        <f>3.60264874030978*(10.3/7.3)</f>
        <v>5.0831893185192758</v>
      </c>
      <c r="F7793" s="1">
        <f>10.5909771106851*(38.9/42.5)</f>
        <v>9.693859049544745</v>
      </c>
      <c r="G7793" s="1">
        <v>0.5837756799720385</v>
      </c>
      <c r="H7793" s="1">
        <v>2.5009794912671244</v>
      </c>
      <c r="I7793" s="1">
        <v>7.3307262062435372</v>
      </c>
      <c r="J7793" s="1">
        <v>1.1613082923005716E-2</v>
      </c>
      <c r="K7793" s="1">
        <v>1.0360036197338176</v>
      </c>
      <c r="L7793" s="1">
        <v>0.81719200230678102</v>
      </c>
      <c r="M7793" s="1">
        <v>7.0975844286884693E-2</v>
      </c>
      <c r="N7793" s="1">
        <v>0.4570576714240801</v>
      </c>
      <c r="O7793" s="1">
        <v>6.8699555555555541E-2</v>
      </c>
      <c r="P7793" s="1">
        <v>4.7056092703418616E-2</v>
      </c>
      <c r="Q7793" s="1">
        <v>0.9329748310055419</v>
      </c>
      <c r="R7793" s="2">
        <f t="shared" si="487"/>
        <v>28.162232955138879</v>
      </c>
      <c r="S7793" s="2">
        <f t="shared" si="486"/>
        <v>1.094672795360242</v>
      </c>
      <c r="T7793" s="2">
        <f t="shared" si="488"/>
        <v>1.4139250735733015</v>
      </c>
      <c r="U7793" s="2">
        <f t="shared" si="489"/>
        <v>30.670830824072425</v>
      </c>
    </row>
    <row r="7794" spans="1:21" x14ac:dyDescent="0.25">
      <c r="A7794">
        <v>8979425</v>
      </c>
      <c r="B7794">
        <v>49</v>
      </c>
      <c r="C7794" s="1">
        <f>0.362553651930428*(10.3/7.3)</f>
        <v>0.51154830340868662</v>
      </c>
      <c r="D7794" s="1">
        <f>1.00410022946716*(10.3/7.3)</f>
        <v>1.41674415938517</v>
      </c>
      <c r="E7794" s="1">
        <f>3.40093883017554*(10.3/7.3)</f>
        <v>4.79858492476823</v>
      </c>
      <c r="F7794" s="1">
        <f>9.91280146903261*(38.9/42.5)</f>
        <v>9.0731288740086704</v>
      </c>
      <c r="G7794" s="1">
        <v>0.54354303316614583</v>
      </c>
      <c r="H7794" s="1">
        <v>2.3747983961788099</v>
      </c>
      <c r="I7794" s="1">
        <v>6.8560834864889779</v>
      </c>
      <c r="J7794" s="1">
        <v>1.1525926940525811E-2</v>
      </c>
      <c r="K7794" s="1">
        <v>1.0266363120386688</v>
      </c>
      <c r="L7794" s="1">
        <v>0.81374875045481576</v>
      </c>
      <c r="M7794" s="1">
        <v>7.0740693301628493E-2</v>
      </c>
      <c r="N7794" s="1">
        <v>0.45492561681597987</v>
      </c>
      <c r="O7794" s="1">
        <v>6.7817142857142881E-2</v>
      </c>
      <c r="P7794" s="1">
        <v>4.6791790238859342E-2</v>
      </c>
      <c r="Q7794" s="1">
        <v>0.86867608040251687</v>
      </c>
      <c r="R7794" s="2">
        <f t="shared" si="487"/>
        <v>26.443107257807206</v>
      </c>
      <c r="S7794" s="2">
        <f t="shared" si="486"/>
        <v>1.084954029218054</v>
      </c>
      <c r="T7794" s="2">
        <f t="shared" si="488"/>
        <v>1.407232203429567</v>
      </c>
      <c r="U7794" s="2">
        <f t="shared" si="489"/>
        <v>28.935293490454825</v>
      </c>
    </row>
    <row r="7795" spans="1:21" x14ac:dyDescent="0.25">
      <c r="A7795">
        <v>8979433</v>
      </c>
      <c r="B7795">
        <v>3</v>
      </c>
      <c r="C7795" s="1">
        <f>0.32013367788252*(10.3/7.3)</f>
        <v>0.45169546331369287</v>
      </c>
      <c r="D7795" s="1">
        <f>0.877008229286713*(10.3/7.3)</f>
        <v>1.2374225700894712</v>
      </c>
      <c r="E7795" s="1">
        <f>2.97251454390751*(10.3/7.3)</f>
        <v>4.1940958633215626</v>
      </c>
      <c r="F7795" s="1">
        <f>8.59400294208366*(38.9/42.5)</f>
        <v>7.8660403399306915</v>
      </c>
      <c r="G7795" s="1">
        <v>0.46891465733683751</v>
      </c>
      <c r="H7795" s="1">
        <v>2.15978033049646</v>
      </c>
      <c r="I7795" s="1">
        <v>5.9380625962039906</v>
      </c>
      <c r="J7795" s="1">
        <v>1.1402902896898166E-2</v>
      </c>
      <c r="K7795" s="1">
        <v>1.0171186366023861</v>
      </c>
      <c r="L7795" s="1">
        <v>0.81220012304704481</v>
      </c>
      <c r="M7795" s="1">
        <v>7.0247149712953635E-2</v>
      </c>
      <c r="N7795" s="1">
        <v>0.45049571016527584</v>
      </c>
      <c r="O7795" s="1">
        <v>6.753777777777778E-2</v>
      </c>
      <c r="P7795" s="1">
        <v>4.6604526820236004E-2</v>
      </c>
      <c r="Q7795" s="1">
        <v>0.74940698661138505</v>
      </c>
      <c r="R7795" s="2">
        <f t="shared" si="487"/>
        <v>23.065418807304091</v>
      </c>
      <c r="S7795" s="2">
        <f t="shared" si="486"/>
        <v>1.0751260663195203</v>
      </c>
      <c r="T7795" s="2">
        <f t="shared" si="488"/>
        <v>1.4004807607030521</v>
      </c>
      <c r="U7795" s="2">
        <f t="shared" si="489"/>
        <v>25.541025634326662</v>
      </c>
    </row>
    <row r="7796" spans="1:21" x14ac:dyDescent="0.25">
      <c r="A7796">
        <v>8991605</v>
      </c>
      <c r="B7796">
        <v>7</v>
      </c>
      <c r="C7796" s="1">
        <f>0.321529595833842*(10.3/7.3)</f>
        <v>0.4536650461765166</v>
      </c>
      <c r="D7796" s="1">
        <f>0.942762947556427*(10.3/7.3)</f>
        <v>1.3301997753193415</v>
      </c>
      <c r="E7796" s="1">
        <f>3.18388736362811*(10.3/7.3)</f>
        <v>4.4923342253930816</v>
      </c>
      <c r="F7796" s="1">
        <f>9.56803996025593*(38.9/42.5)</f>
        <v>8.7575706930342498</v>
      </c>
      <c r="G7796" s="1">
        <v>0.53449741272844598</v>
      </c>
      <c r="H7796" s="1">
        <v>2.3233838144978356</v>
      </c>
      <c r="I7796" s="1">
        <v>6.6311049958853081</v>
      </c>
      <c r="J7796" s="1">
        <v>1.1849449578014955E-2</v>
      </c>
      <c r="K7796" s="1">
        <v>1.0719423515095312</v>
      </c>
      <c r="L7796" s="1">
        <v>0.83630997448858946</v>
      </c>
      <c r="M7796" s="1">
        <v>7.4662788577132488E-2</v>
      </c>
      <c r="N7796" s="1">
        <v>0.4533682964842542</v>
      </c>
      <c r="O7796" s="1">
        <v>7.3973333333333335E-2</v>
      </c>
      <c r="P7796" s="1">
        <v>4.8891575053184977E-2</v>
      </c>
      <c r="Q7796" s="1">
        <v>0.85421960938336206</v>
      </c>
      <c r="R7796" s="2">
        <f t="shared" si="487"/>
        <v>25.376975572418139</v>
      </c>
      <c r="S7796" s="2">
        <f t="shared" si="486"/>
        <v>1.1326833761407311</v>
      </c>
      <c r="T7796" s="2">
        <f t="shared" si="488"/>
        <v>1.4383143928833095</v>
      </c>
      <c r="U7796" s="2">
        <f t="shared" si="489"/>
        <v>27.947973341442182</v>
      </c>
    </row>
    <row r="7797" spans="1:21" x14ac:dyDescent="0.25">
      <c r="A7797">
        <v>8991613</v>
      </c>
      <c r="B7797">
        <v>71</v>
      </c>
      <c r="C7797" s="1">
        <f>0.538569059156143*(10.3/7.3)</f>
        <v>0.75989880949428334</v>
      </c>
      <c r="D7797" s="1">
        <f>1.73150267729437*(10.3/7.3)</f>
        <v>2.4430791200180817</v>
      </c>
      <c r="E7797" s="1">
        <f>5.82020311941216*(10.3/7.3)</f>
        <v>8.2120674150609965</v>
      </c>
      <c r="F7797" s="1">
        <f>18.3784640511047*(38.9/42.5)</f>
        <v>16.821700037364085</v>
      </c>
      <c r="G7797" s="1">
        <v>1.055709682434993</v>
      </c>
      <c r="H7797" s="1">
        <v>4.0980470749950673</v>
      </c>
      <c r="I7797" s="1">
        <v>12.791601425393353</v>
      </c>
      <c r="J7797" s="1">
        <v>1.5135687092297522E-2</v>
      </c>
      <c r="K7797" s="1">
        <v>1.3302458676088977</v>
      </c>
      <c r="L7797" s="1">
        <v>1.0909120703870809</v>
      </c>
      <c r="M7797" s="1">
        <v>9.1904091760220089E-2</v>
      </c>
      <c r="N7797" s="1">
        <v>0.57003008675420475</v>
      </c>
      <c r="O7797" s="1">
        <v>9.3225164319248793E-2</v>
      </c>
      <c r="P7797" s="1">
        <v>5.8913015448027593E-2</v>
      </c>
      <c r="Q7797" s="1">
        <v>1.6872072550330941</v>
      </c>
      <c r="R7797" s="2">
        <f t="shared" si="487"/>
        <v>47.869310819793952</v>
      </c>
      <c r="S7797" s="2">
        <f t="shared" si="486"/>
        <v>1.4042945701492229</v>
      </c>
      <c r="T7797" s="2">
        <f t="shared" si="488"/>
        <v>1.8460714132207545</v>
      </c>
      <c r="U7797" s="2">
        <f t="shared" si="489"/>
        <v>51.119676803163934</v>
      </c>
    </row>
    <row r="7798" spans="1:21" x14ac:dyDescent="0.25">
      <c r="A7798">
        <v>8991621</v>
      </c>
      <c r="B7798">
        <v>66</v>
      </c>
      <c r="C7798" s="1">
        <f>0.482106282771898*(10.3/7.3)</f>
        <v>0.68023215240418444</v>
      </c>
      <c r="D7798" s="1">
        <f>1.54868534897093*(10.3/7.3)</f>
        <v>2.1851313827945935</v>
      </c>
      <c r="E7798" s="1">
        <f>5.1990539447202*(10.3/7.3)</f>
        <v>7.335651456249046</v>
      </c>
      <c r="F7798" s="1">
        <f>16.7636289365593*(38.9/42.5)</f>
        <v>15.34365095605073</v>
      </c>
      <c r="G7798" s="1">
        <v>0.97219783510675395</v>
      </c>
      <c r="H7798" s="1">
        <v>3.9890978516217408</v>
      </c>
      <c r="I7798" s="1">
        <v>11.735804414685372</v>
      </c>
      <c r="J7798" s="1">
        <v>1.4304097029447196E-2</v>
      </c>
      <c r="K7798" s="1">
        <v>1.2707218283792869</v>
      </c>
      <c r="L7798" s="1">
        <v>1.0317647322573671</v>
      </c>
      <c r="M7798" s="1">
        <v>8.714820341069994E-2</v>
      </c>
      <c r="N7798" s="1">
        <v>0.54748866767397952</v>
      </c>
      <c r="O7798" s="1">
        <v>8.7961212121212121E-2</v>
      </c>
      <c r="P7798" s="1">
        <v>5.6363139002553388E-2</v>
      </c>
      <c r="Q7798" s="1">
        <v>1.5537408323623942</v>
      </c>
      <c r="R7798" s="2">
        <f t="shared" si="487"/>
        <v>43.795506881274818</v>
      </c>
      <c r="S7798" s="2">
        <f t="shared" si="486"/>
        <v>1.3413890644112876</v>
      </c>
      <c r="T7798" s="2">
        <f t="shared" si="488"/>
        <v>1.7543628154632587</v>
      </c>
      <c r="U7798" s="2">
        <f t="shared" si="489"/>
        <v>46.891258761149366</v>
      </c>
    </row>
    <row r="7799" spans="1:21" x14ac:dyDescent="0.25">
      <c r="A7799">
        <v>8991629</v>
      </c>
      <c r="B7799">
        <v>70</v>
      </c>
      <c r="C7799" s="1">
        <f>0.445320965328956*(10.3/7.3)</f>
        <v>0.62832958121756777</v>
      </c>
      <c r="D7799" s="1">
        <f>1.37963450627465*(10.3/7.3)</f>
        <v>1.9466075910450564</v>
      </c>
      <c r="E7799" s="1">
        <f>4.64071687661103*(10.3/7.3)</f>
        <v>6.547860798505968</v>
      </c>
      <c r="F7799" s="1">
        <f>14.6482082411501*(38.9/42.5)</f>
        <v>13.407418837193845</v>
      </c>
      <c r="G7799" s="1">
        <v>0.84006880646336857</v>
      </c>
      <c r="H7799" s="1">
        <v>3.6456208379204931</v>
      </c>
      <c r="I7799" s="1">
        <v>10.231882105804713</v>
      </c>
      <c r="J7799" s="1">
        <v>1.347083835084463E-2</v>
      </c>
      <c r="K7799" s="1">
        <v>1.2119561781232409</v>
      </c>
      <c r="L7799" s="1">
        <v>0.97419840459227225</v>
      </c>
      <c r="M7799" s="1">
        <v>8.223749088226491E-2</v>
      </c>
      <c r="N7799" s="1">
        <v>0.5259715977278685</v>
      </c>
      <c r="O7799" s="1">
        <v>8.2451809523809483E-2</v>
      </c>
      <c r="P7799" s="1">
        <v>5.4099091517726114E-2</v>
      </c>
      <c r="Q7799" s="1">
        <v>1.3425757180921425</v>
      </c>
      <c r="R7799" s="2">
        <f t="shared" si="487"/>
        <v>38.59036427624315</v>
      </c>
      <c r="S7799" s="2">
        <f t="shared" si="486"/>
        <v>1.2795261079918117</v>
      </c>
      <c r="T7799" s="2">
        <f t="shared" si="488"/>
        <v>1.6648593027262151</v>
      </c>
      <c r="U7799" s="2">
        <f t="shared" si="489"/>
        <v>41.534749686961177</v>
      </c>
    </row>
    <row r="7800" spans="1:21" x14ac:dyDescent="0.25">
      <c r="A7800">
        <v>8991637</v>
      </c>
      <c r="B7800">
        <v>69</v>
      </c>
      <c r="C7800" s="1">
        <f>0.475323751128944*(10.3/7.3)</f>
        <v>0.67066227899015385</v>
      </c>
      <c r="D7800" s="1">
        <f>1.4568341184566*(10.3/7.3)</f>
        <v>2.0555330712469861</v>
      </c>
      <c r="E7800" s="1">
        <f>4.90808823768947*(10.3/7.3)</f>
        <v>6.9251108011235045</v>
      </c>
      <c r="F7800" s="1">
        <f>15.1461488372505*(38.9/42.5)</f>
        <v>13.863180935742225</v>
      </c>
      <c r="G7800" s="1">
        <v>0.8589519830158534</v>
      </c>
      <c r="H7800" s="1">
        <v>3.6926091655863105</v>
      </c>
      <c r="I7800" s="1">
        <v>10.525230076888656</v>
      </c>
      <c r="J7800" s="1">
        <v>1.3649956017025112E-2</v>
      </c>
      <c r="K7800" s="1">
        <v>1.2318717069754612</v>
      </c>
      <c r="L7800" s="1">
        <v>0.99423716966775233</v>
      </c>
      <c r="M7800" s="1">
        <v>8.3643345421253096E-2</v>
      </c>
      <c r="N7800" s="1">
        <v>0.53484890292970055</v>
      </c>
      <c r="O7800" s="1">
        <v>8.403246376811592E-2</v>
      </c>
      <c r="P7800" s="1">
        <v>5.4728765745774191E-2</v>
      </c>
      <c r="Q7800" s="1">
        <v>1.3727543107559317</v>
      </c>
      <c r="R7800" s="2">
        <f t="shared" si="487"/>
        <v>39.964032623349624</v>
      </c>
      <c r="S7800" s="2">
        <f t="shared" si="486"/>
        <v>1.3002504287382606</v>
      </c>
      <c r="T7800" s="2">
        <f t="shared" si="488"/>
        <v>1.696761881786822</v>
      </c>
      <c r="U7800" s="2">
        <f t="shared" si="489"/>
        <v>42.961044933874703</v>
      </c>
    </row>
    <row r="7801" spans="1:21" x14ac:dyDescent="0.25">
      <c r="A7801">
        <v>8991645</v>
      </c>
      <c r="B7801">
        <v>70</v>
      </c>
      <c r="C7801" s="1">
        <f>0.482923125817153*(10.3/7.3)</f>
        <v>0.68138468437214716</v>
      </c>
      <c r="D7801" s="1">
        <f>1.45576135522332*(10.3/7.3)</f>
        <v>2.0540194464109929</v>
      </c>
      <c r="E7801" s="1">
        <f>4.91026756811379*(10.3/7.3)</f>
        <v>6.9281857467906862</v>
      </c>
      <c r="F7801" s="1">
        <f>14.9341691457261*(38.9/42.5)</f>
        <v>13.66915717102931</v>
      </c>
      <c r="G7801" s="1">
        <v>0.84032324875212683</v>
      </c>
      <c r="H7801" s="1">
        <v>3.5318006080506663</v>
      </c>
      <c r="I7801" s="1">
        <v>10.353709718927565</v>
      </c>
      <c r="J7801" s="1">
        <v>1.3574493756913818E-2</v>
      </c>
      <c r="K7801" s="1">
        <v>1.211510053781671</v>
      </c>
      <c r="L7801" s="1">
        <v>0.98754053710502099</v>
      </c>
      <c r="M7801" s="1">
        <v>8.2618195810623893E-2</v>
      </c>
      <c r="N7801" s="1">
        <v>0.53265943308891395</v>
      </c>
      <c r="O7801" s="1">
        <v>8.2778666666666653E-2</v>
      </c>
      <c r="P7801" s="1">
        <v>5.4219594491050731E-2</v>
      </c>
      <c r="Q7801" s="1">
        <v>1.3429823610193818</v>
      </c>
      <c r="R7801" s="2">
        <f t="shared" si="487"/>
        <v>39.401562985352882</v>
      </c>
      <c r="S7801" s="2">
        <f t="shared" si="486"/>
        <v>1.2793041420296354</v>
      </c>
      <c r="T7801" s="2">
        <f t="shared" si="488"/>
        <v>1.6855968326712252</v>
      </c>
      <c r="U7801" s="2">
        <f t="shared" si="489"/>
        <v>42.366463960053743</v>
      </c>
    </row>
    <row r="7802" spans="1:21" x14ac:dyDescent="0.25">
      <c r="A7802">
        <v>8991653</v>
      </c>
      <c r="B7802">
        <v>70</v>
      </c>
      <c r="C7802" s="1">
        <f>0.38243467195915*(10.3/7.3)</f>
        <v>0.5395996056409923</v>
      </c>
      <c r="D7802" s="1">
        <f>1.0644510059733*(10.3/7.3)</f>
        <v>1.50189662486644</v>
      </c>
      <c r="E7802" s="1">
        <f>3.60382191482204*(10.3/7.3)</f>
        <v>5.0848446195434267</v>
      </c>
      <c r="F7802" s="1">
        <f>10.5634523592501*(38.9/42.5)</f>
        <v>9.6686658064665245</v>
      </c>
      <c r="G7802" s="1">
        <v>0.58110326954764002</v>
      </c>
      <c r="H7802" s="1">
        <v>2.4815967652465272</v>
      </c>
      <c r="I7802" s="1">
        <v>7.3134661306470861</v>
      </c>
      <c r="J7802" s="1">
        <v>1.1597160806050067E-2</v>
      </c>
      <c r="K7802" s="1">
        <v>1.0353696660681317</v>
      </c>
      <c r="L7802" s="1">
        <v>0.81800713755158427</v>
      </c>
      <c r="M7802" s="1">
        <v>7.0996534278079712E-2</v>
      </c>
      <c r="N7802" s="1">
        <v>0.45739662723933849</v>
      </c>
      <c r="O7802" s="1">
        <v>6.8339809523809539E-2</v>
      </c>
      <c r="P7802" s="1">
        <v>4.7026021550688461E-2</v>
      </c>
      <c r="Q7802" s="1">
        <v>0.92870385544143419</v>
      </c>
      <c r="R7802" s="2">
        <f t="shared" si="487"/>
        <v>28.099876677400069</v>
      </c>
      <c r="S7802" s="2">
        <f t="shared" si="486"/>
        <v>1.0939928484248702</v>
      </c>
      <c r="T7802" s="2">
        <f t="shared" si="488"/>
        <v>1.414740108592812</v>
      </c>
      <c r="U7802" s="2">
        <f t="shared" si="489"/>
        <v>30.608609634417753</v>
      </c>
    </row>
    <row r="7803" spans="1:21" x14ac:dyDescent="0.25">
      <c r="A7803">
        <v>8991661</v>
      </c>
      <c r="B7803">
        <v>70</v>
      </c>
      <c r="C7803" s="1">
        <f>0.365658621058293*(10.3/7.3)</f>
        <v>0.51592928724663312</v>
      </c>
      <c r="D7803" s="1">
        <f>1.00541720071075*(10.3/7.3)</f>
        <v>1.4186023516877733</v>
      </c>
      <c r="E7803" s="1">
        <f>3.40650207113153*(10.3/7.3)</f>
        <v>4.8064344291307952</v>
      </c>
      <c r="F7803" s="1">
        <f>9.89881859355889*(38.9/42.5)</f>
        <v>9.0603304303397838</v>
      </c>
      <c r="G7803" s="1">
        <v>0.54169383770266522</v>
      </c>
      <c r="H7803" s="1">
        <v>2.3596715407205111</v>
      </c>
      <c r="I7803" s="1">
        <v>6.8465061455034997</v>
      </c>
      <c r="J7803" s="1">
        <v>1.1473138021946216E-2</v>
      </c>
      <c r="K7803" s="1">
        <v>1.0203964205630736</v>
      </c>
      <c r="L7803" s="1">
        <v>0.81008547706823308</v>
      </c>
      <c r="M7803" s="1">
        <v>7.009240086970478E-2</v>
      </c>
      <c r="N7803" s="1">
        <v>0.45263845859622753</v>
      </c>
      <c r="O7803" s="1">
        <v>6.7405714285714291E-2</v>
      </c>
      <c r="P7803" s="1">
        <v>4.6574583364649286E-2</v>
      </c>
      <c r="Q7803" s="1">
        <v>0.865720745186909</v>
      </c>
      <c r="R7803" s="2">
        <f t="shared" si="487"/>
        <v>26.414888767518573</v>
      </c>
      <c r="S7803" s="2">
        <f t="shared" si="486"/>
        <v>1.0784441419496691</v>
      </c>
      <c r="T7803" s="2">
        <f t="shared" si="488"/>
        <v>1.4002220508198797</v>
      </c>
      <c r="U7803" s="2">
        <f t="shared" si="489"/>
        <v>28.893554960288125</v>
      </c>
    </row>
    <row r="7804" spans="1:21" x14ac:dyDescent="0.25">
      <c r="A7804">
        <v>8991669</v>
      </c>
      <c r="B7804">
        <v>11</v>
      </c>
      <c r="C7804" s="1">
        <f>0.329571986757934*(10.3/7.3)</f>
        <v>0.46501252926119413</v>
      </c>
      <c r="D7804" s="1">
        <f>0.898387505706574*(10.3/7.3)</f>
        <v>1.2675878505174951</v>
      </c>
      <c r="E7804" s="1">
        <f>3.04525576546235*(10.3/7.3)</f>
        <v>4.2967307375701678</v>
      </c>
      <c r="F7804" s="1">
        <f>8.80643890431434*(38.9/42.5)</f>
        <v>8.0604817265371231</v>
      </c>
      <c r="G7804" s="1">
        <v>0.48044723781800019</v>
      </c>
      <c r="H7804" s="1">
        <v>2.1899713883308944</v>
      </c>
      <c r="I7804" s="1">
        <v>6.0890633674074541</v>
      </c>
      <c r="J7804" s="1">
        <v>1.1397245291888541E-2</v>
      </c>
      <c r="K7804" s="1">
        <v>1.0159686451180341</v>
      </c>
      <c r="L7804" s="1">
        <v>0.81039188770241</v>
      </c>
      <c r="M7804" s="1">
        <v>6.9687853524213125E-2</v>
      </c>
      <c r="N7804" s="1">
        <v>0.45044772416543205</v>
      </c>
      <c r="O7804" s="1">
        <v>6.738424242424243E-2</v>
      </c>
      <c r="P7804" s="1">
        <v>4.6359907452735966E-2</v>
      </c>
      <c r="Q7804" s="1">
        <v>0.7678380513073072</v>
      </c>
      <c r="R7804" s="2">
        <f t="shared" si="487"/>
        <v>23.617132888749637</v>
      </c>
      <c r="S7804" s="2">
        <f t="shared" si="486"/>
        <v>1.0737257978626584</v>
      </c>
      <c r="T7804" s="2">
        <f t="shared" si="488"/>
        <v>1.3979117078162975</v>
      </c>
      <c r="U7804" s="2">
        <f t="shared" si="489"/>
        <v>26.088770394428593</v>
      </c>
    </row>
    <row r="7805" spans="1:21" x14ac:dyDescent="0.25">
      <c r="A7805">
        <v>9003841</v>
      </c>
      <c r="B7805">
        <v>9</v>
      </c>
      <c r="C7805" s="1">
        <f>0.337614262734895*(10.3/7.3)</f>
        <v>0.47635985016019461</v>
      </c>
      <c r="D7805" s="1">
        <f>0.990247850802125*(10.3/7.3)</f>
        <v>1.3971990223646424</v>
      </c>
      <c r="E7805" s="1">
        <f>3.34313751067661*(10.3/7.3)</f>
        <v>4.7170296383519306</v>
      </c>
      <c r="F7805" s="1">
        <f>10.1029136003014*(38.9/42.5)</f>
        <v>9.2471373894523339</v>
      </c>
      <c r="G7805" s="1">
        <v>0.56598081400011091</v>
      </c>
      <c r="H7805" s="1">
        <v>2.4264544359693065</v>
      </c>
      <c r="I7805" s="1">
        <v>7.0126507611501196</v>
      </c>
      <c r="J7805" s="1">
        <v>1.1961119924514449E-2</v>
      </c>
      <c r="K7805" s="1">
        <v>1.0865008445267152</v>
      </c>
      <c r="L7805" s="1">
        <v>0.8507611167265009</v>
      </c>
      <c r="M7805" s="1">
        <v>7.544459511406422E-2</v>
      </c>
      <c r="N7805" s="1">
        <v>0.45992693471906304</v>
      </c>
      <c r="O7805" s="1">
        <v>7.5099259259259254E-2</v>
      </c>
      <c r="P7805" s="1">
        <v>4.9385324495542227E-2</v>
      </c>
      <c r="Q7805" s="1">
        <v>0.90453554748876286</v>
      </c>
      <c r="R7805" s="2">
        <f t="shared" si="487"/>
        <v>26.747347458937398</v>
      </c>
      <c r="S7805" s="2">
        <f t="shared" si="486"/>
        <v>1.1478472889467719</v>
      </c>
      <c r="T7805" s="2">
        <f t="shared" si="488"/>
        <v>1.4612319058188874</v>
      </c>
      <c r="U7805" s="2">
        <f t="shared" si="489"/>
        <v>29.356426653703057</v>
      </c>
    </row>
    <row r="7806" spans="1:21" x14ac:dyDescent="0.25">
      <c r="A7806">
        <v>9003849</v>
      </c>
      <c r="B7806">
        <v>35</v>
      </c>
      <c r="C7806" s="1">
        <f>0.412093186855607*(10.3/7.3)</f>
        <v>0.58144655131681555</v>
      </c>
      <c r="D7806" s="1">
        <f>1.26031747562201*(10.3/7.3)</f>
        <v>1.7782561642337884</v>
      </c>
      <c r="E7806" s="1">
        <f>4.24388948046794*(10.3/7.3)</f>
        <v>5.9879536505232522</v>
      </c>
      <c r="F7806" s="1">
        <f>13.2153255323299*(38.9/42.5)</f>
        <v>12.095909722532539</v>
      </c>
      <c r="G7806" s="1">
        <v>0.75265561799590108</v>
      </c>
      <c r="H7806" s="1">
        <v>3.129708416084203</v>
      </c>
      <c r="I7806" s="1">
        <v>9.2087494604621192</v>
      </c>
      <c r="J7806" s="1">
        <v>1.2871213042753137E-2</v>
      </c>
      <c r="K7806" s="1">
        <v>1.1600679756838397</v>
      </c>
      <c r="L7806" s="1">
        <v>0.92374507643597559</v>
      </c>
      <c r="M7806" s="1">
        <v>8.0156475099793428E-2</v>
      </c>
      <c r="N7806" s="1">
        <v>0.49495774455064268</v>
      </c>
      <c r="O7806" s="1">
        <v>8.0140190476190462E-2</v>
      </c>
      <c r="P7806" s="1">
        <v>5.2170229314627919E-2</v>
      </c>
      <c r="Q7806" s="1">
        <v>1.2028742753359165</v>
      </c>
      <c r="R7806" s="2">
        <f t="shared" si="487"/>
        <v>34.737553858484532</v>
      </c>
      <c r="S7806" s="2">
        <f t="shared" si="486"/>
        <v>1.2251094180412208</v>
      </c>
      <c r="T7806" s="2">
        <f t="shared" si="488"/>
        <v>1.5789994865626023</v>
      </c>
      <c r="U7806" s="2">
        <f t="shared" si="489"/>
        <v>37.541662763088354</v>
      </c>
    </row>
    <row r="7807" spans="1:21" x14ac:dyDescent="0.25">
      <c r="A7807">
        <v>9003857</v>
      </c>
      <c r="B7807">
        <v>38</v>
      </c>
      <c r="C7807" s="1">
        <f>0.411138813803748*(10.3/7.3)</f>
        <v>0.58009997016145221</v>
      </c>
      <c r="D7807" s="1">
        <f>1.25167882593726*(10.3/7.3)</f>
        <v>1.7660673845416182</v>
      </c>
      <c r="E7807" s="1">
        <f>4.21415138106439*(10.3/7.3)</f>
        <v>5.9459944143785171</v>
      </c>
      <c r="F7807" s="1">
        <f>13.1750233639036*(38.9/42.5)</f>
        <v>12.059021384843517</v>
      </c>
      <c r="G7807" s="1">
        <v>0.75164623882121973</v>
      </c>
      <c r="H7807" s="1">
        <v>3.1898322670978518</v>
      </c>
      <c r="I7807" s="1">
        <v>9.1951267048737186</v>
      </c>
      <c r="J7807" s="1">
        <v>1.2653010277511641E-2</v>
      </c>
      <c r="K7807" s="1">
        <v>1.1438544924172338</v>
      </c>
      <c r="L7807" s="1">
        <v>0.90953378452609623</v>
      </c>
      <c r="M7807" s="1">
        <v>7.824382827446949E-2</v>
      </c>
      <c r="N7807" s="1">
        <v>0.49028003641849077</v>
      </c>
      <c r="O7807" s="1">
        <v>7.779228070175441E-2</v>
      </c>
      <c r="P7807" s="1">
        <v>5.1326168468109251E-2</v>
      </c>
      <c r="Q7807" s="1">
        <v>1.2012611122713572</v>
      </c>
      <c r="R7807" s="2">
        <f t="shared" si="487"/>
        <v>34.689049476989254</v>
      </c>
      <c r="S7807" s="2">
        <f t="shared" si="486"/>
        <v>1.2078336711628546</v>
      </c>
      <c r="T7807" s="2">
        <f t="shared" si="488"/>
        <v>1.5558499299208108</v>
      </c>
      <c r="U7807" s="2">
        <f t="shared" si="489"/>
        <v>37.452733078072917</v>
      </c>
    </row>
    <row r="7808" spans="1:21" x14ac:dyDescent="0.25">
      <c r="A7808">
        <v>9003865</v>
      </c>
      <c r="B7808">
        <v>47</v>
      </c>
      <c r="C7808" s="1">
        <f>0.440750560793284*(10.3/7.3)</f>
        <v>0.62188092824257846</v>
      </c>
      <c r="D7808" s="1">
        <f>1.34250721757401*(10.3/7.3)</f>
        <v>1.8942225124674363</v>
      </c>
      <c r="E7808" s="1">
        <f>4.52282431243666*(10.3/7.3)</f>
        <v>6.381519235355829</v>
      </c>
      <c r="F7808" s="1">
        <f>13.9896211300496*(38.9/42.5)</f>
        <v>12.80461792844541</v>
      </c>
      <c r="G7808" s="1">
        <v>0.79405104984837549</v>
      </c>
      <c r="H7808" s="1">
        <v>3.418441767531851</v>
      </c>
      <c r="I7808" s="1">
        <v>9.7342126908340312</v>
      </c>
      <c r="J7808" s="1">
        <v>1.3015621261077831E-2</v>
      </c>
      <c r="K7808" s="1">
        <v>1.1798293633412371</v>
      </c>
      <c r="L7808" s="1">
        <v>0.94499295386114179</v>
      </c>
      <c r="M7808" s="1">
        <v>8.0523608552880974E-2</v>
      </c>
      <c r="N7808" s="1">
        <v>0.50767709963651708</v>
      </c>
      <c r="O7808" s="1">
        <v>8.0402836879432629E-2</v>
      </c>
      <c r="P7808" s="1">
        <v>5.2694021087921095E-2</v>
      </c>
      <c r="Q7808" s="1">
        <v>1.269031358205168</v>
      </c>
      <c r="R7808" s="2">
        <f t="shared" si="487"/>
        <v>36.91797747093068</v>
      </c>
      <c r="S7808" s="2">
        <f t="shared" si="486"/>
        <v>1.2455390056902362</v>
      </c>
      <c r="T7808" s="2">
        <f t="shared" si="488"/>
        <v>1.6135964989299727</v>
      </c>
      <c r="U7808" s="2">
        <f t="shared" si="489"/>
        <v>39.777112975550885</v>
      </c>
    </row>
    <row r="7809" spans="1:21" x14ac:dyDescent="0.25">
      <c r="A7809">
        <v>9003873</v>
      </c>
      <c r="B7809">
        <v>51</v>
      </c>
      <c r="C7809" s="1">
        <f>0.463708502648649*(10.3/7.3)</f>
        <v>0.65427364072343575</v>
      </c>
      <c r="D7809" s="1">
        <f>1.40377554340606*(10.3/7.3)</f>
        <v>1.9806696023400514</v>
      </c>
      <c r="E7809" s="1">
        <f>4.7333132515883*(10.3/7.3)</f>
        <v>6.6785104782684277</v>
      </c>
      <c r="F7809" s="1">
        <f>14.4589287295018*(38.9/42.5)</f>
        <v>13.234172413591072</v>
      </c>
      <c r="G7809" s="1">
        <v>0.81548783601654495</v>
      </c>
      <c r="H7809" s="1">
        <v>3.4570329991430877</v>
      </c>
      <c r="I7809" s="1">
        <v>10.032049441172182</v>
      </c>
      <c r="J7809" s="1">
        <v>1.3245118928120303E-2</v>
      </c>
      <c r="K7809" s="1">
        <v>1.1987809707522268</v>
      </c>
      <c r="L7809" s="1">
        <v>0.96662705196557064</v>
      </c>
      <c r="M7809" s="1">
        <v>8.151986766796919E-2</v>
      </c>
      <c r="N7809" s="1">
        <v>0.51807373769654874</v>
      </c>
      <c r="O7809" s="1">
        <v>8.162823529411764E-2</v>
      </c>
      <c r="P7809" s="1">
        <v>5.3341819401573731E-2</v>
      </c>
      <c r="Q7809" s="1">
        <v>1.3032910621268996</v>
      </c>
      <c r="R7809" s="2">
        <f t="shared" si="487"/>
        <v>38.155487473381704</v>
      </c>
      <c r="S7809" s="2">
        <f t="shared" si="486"/>
        <v>1.2653679090819208</v>
      </c>
      <c r="T7809" s="2">
        <f t="shared" si="488"/>
        <v>1.6478488926242061</v>
      </c>
      <c r="U7809" s="2">
        <f t="shared" si="489"/>
        <v>41.068704275087832</v>
      </c>
    </row>
    <row r="7810" spans="1:21" x14ac:dyDescent="0.25">
      <c r="A7810">
        <v>9003881</v>
      </c>
      <c r="B7810">
        <v>61</v>
      </c>
      <c r="C7810" s="1">
        <f>0.435586284498528*(10.3/7.3)</f>
        <v>0.61459434662121071</v>
      </c>
      <c r="D7810" s="1">
        <f>1.27508257823312*(10.3/7.3)</f>
        <v>1.7990891172330348</v>
      </c>
      <c r="E7810" s="1">
        <f>4.30670415438574*(10.3/7.3)</f>
        <v>6.0765825739963182</v>
      </c>
      <c r="F7810" s="1">
        <f>12.9231940221415*(38.9/42.5)</f>
        <v>11.828523469677771</v>
      </c>
      <c r="G7810" s="1">
        <v>0.7213315760956861</v>
      </c>
      <c r="H7810" s="1">
        <v>3.0480952129466132</v>
      </c>
      <c r="I7810" s="1">
        <v>8.9542933496634198</v>
      </c>
      <c r="J7810" s="1">
        <v>1.2705821506327751E-2</v>
      </c>
      <c r="K7810" s="1">
        <v>1.1353958865126987</v>
      </c>
      <c r="L7810" s="1">
        <v>0.91972095505599905</v>
      </c>
      <c r="M7810" s="1">
        <v>7.7804015019986766E-2</v>
      </c>
      <c r="N7810" s="1">
        <v>0.49845007242376738</v>
      </c>
      <c r="O7810" s="1">
        <v>7.7346448087431727E-2</v>
      </c>
      <c r="P7810" s="1">
        <v>5.1197975592900763E-2</v>
      </c>
      <c r="Q7810" s="1">
        <v>1.1528130211574912</v>
      </c>
      <c r="R7810" s="2">
        <f t="shared" si="487"/>
        <v>34.195322667391544</v>
      </c>
      <c r="S7810" s="2">
        <f t="shared" si="486"/>
        <v>1.1992996836119274</v>
      </c>
      <c r="T7810" s="2">
        <f t="shared" si="488"/>
        <v>1.5733214905871848</v>
      </c>
      <c r="U7810" s="2">
        <f t="shared" si="489"/>
        <v>36.967943841590653</v>
      </c>
    </row>
    <row r="7811" spans="1:21" x14ac:dyDescent="0.25">
      <c r="A7811">
        <v>9003889</v>
      </c>
      <c r="B7811">
        <v>62</v>
      </c>
      <c r="C7811" s="1">
        <f>0.385353747104577*(10.3/7.3)</f>
        <v>0.54371830070919813</v>
      </c>
      <c r="D7811" s="1">
        <f>1.07197324498361*(10.3/7.3)</f>
        <v>1.5125101949768747</v>
      </c>
      <c r="E7811" s="1">
        <f>3.62955267896601*(10.3/7.3)</f>
        <v>5.1211496703218993</v>
      </c>
      <c r="F7811" s="1">
        <f>10.6275151782911*(38.9/42.5)</f>
        <v>9.7273021278946796</v>
      </c>
      <c r="G7811" s="1">
        <v>0.58427979313858247</v>
      </c>
      <c r="H7811" s="1">
        <v>2.5058402331905092</v>
      </c>
      <c r="I7811" s="1">
        <v>7.3560697677930884</v>
      </c>
      <c r="J7811" s="1">
        <v>1.164129794669887E-2</v>
      </c>
      <c r="K7811" s="1">
        <v>1.0396543779774949</v>
      </c>
      <c r="L7811" s="1">
        <v>0.82520882090285996</v>
      </c>
      <c r="M7811" s="1">
        <v>7.1378442660071678E-2</v>
      </c>
      <c r="N7811" s="1">
        <v>0.45898002086838341</v>
      </c>
      <c r="O7811" s="1">
        <v>6.8662365591397864E-2</v>
      </c>
      <c r="P7811" s="1">
        <v>4.723876662353825E-2</v>
      </c>
      <c r="Q7811" s="1">
        <v>0.93378049131737018</v>
      </c>
      <c r="R7811" s="2">
        <f t="shared" si="487"/>
        <v>28.284650579342198</v>
      </c>
      <c r="S7811" s="2">
        <f t="shared" si="486"/>
        <v>1.0985344425477321</v>
      </c>
      <c r="T7811" s="2">
        <f t="shared" si="488"/>
        <v>1.424229650022713</v>
      </c>
      <c r="U7811" s="2">
        <f t="shared" si="489"/>
        <v>30.807414671912642</v>
      </c>
    </row>
    <row r="7812" spans="1:21" x14ac:dyDescent="0.25">
      <c r="A7812">
        <v>9003897</v>
      </c>
      <c r="B7812">
        <v>63</v>
      </c>
      <c r="C7812" s="1">
        <f>0.385992176444604*(10.3/7.3)</f>
        <v>0.54461909827115318</v>
      </c>
      <c r="D7812" s="1">
        <f>1.06323694838509*(10.3/7.3)</f>
        <v>1.5001836395022516</v>
      </c>
      <c r="E7812" s="1">
        <f>3.60159074441742*(10.3/7.3)</f>
        <v>5.0816965297944492</v>
      </c>
      <c r="F7812" s="1">
        <f>10.5005063806389*(38.9/42.5)</f>
        <v>9.611051722514226</v>
      </c>
      <c r="G7812" s="1">
        <v>0.57569696699453088</v>
      </c>
      <c r="H7812" s="1">
        <v>2.4763715203527279</v>
      </c>
      <c r="I7812" s="1">
        <v>7.2679731862549701</v>
      </c>
      <c r="J7812" s="1">
        <v>1.1688207835240657E-2</v>
      </c>
      <c r="K7812" s="1">
        <v>1.0380219435974141</v>
      </c>
      <c r="L7812" s="1">
        <v>0.82796144807737193</v>
      </c>
      <c r="M7812" s="1">
        <v>7.0871782934694566E-2</v>
      </c>
      <c r="N7812" s="1">
        <v>0.46099342905755003</v>
      </c>
      <c r="O7812" s="1">
        <v>6.8622222222222209E-2</v>
      </c>
      <c r="P7812" s="1">
        <v>4.7256062028514186E-2</v>
      </c>
      <c r="Q7812" s="1">
        <v>0.92006364588167144</v>
      </c>
      <c r="R7812" s="2">
        <f t="shared" si="487"/>
        <v>27.977656309565983</v>
      </c>
      <c r="S7812" s="2">
        <f t="shared" si="486"/>
        <v>1.0969662134611691</v>
      </c>
      <c r="T7812" s="2">
        <f t="shared" si="488"/>
        <v>1.4284488822918386</v>
      </c>
      <c r="U7812" s="2">
        <f t="shared" si="489"/>
        <v>30.503071405318991</v>
      </c>
    </row>
    <row r="7813" spans="1:21" x14ac:dyDescent="0.25">
      <c r="A7813">
        <v>9003905</v>
      </c>
      <c r="B7813">
        <v>12</v>
      </c>
      <c r="C7813" s="1">
        <f>0.345219423511808*(10.3/7.3)</f>
        <v>0.48709041947556497</v>
      </c>
      <c r="D7813" s="1">
        <f>0.946260938381494*(10.3/7.3)</f>
        <v>1.3351352966204648</v>
      </c>
      <c r="E7813" s="1">
        <f>3.20643897393757*(10.3/7.3)</f>
        <v>4.5241536207612256</v>
      </c>
      <c r="F7813" s="1">
        <f>9.30942471689359*(38.9/42.5)</f>
        <v>8.5208616820508407</v>
      </c>
      <c r="G7813" s="1">
        <v>0.50912343649257996</v>
      </c>
      <c r="H7813" s="1">
        <v>2.2850182536474937</v>
      </c>
      <c r="I7813" s="1">
        <v>6.4397479844320964</v>
      </c>
      <c r="J7813" s="1">
        <v>1.1603040674113633E-2</v>
      </c>
      <c r="K7813" s="1">
        <v>1.0327113260202538</v>
      </c>
      <c r="L7813" s="1">
        <v>0.82875382855104462</v>
      </c>
      <c r="M7813" s="1">
        <v>7.0709607097797347E-2</v>
      </c>
      <c r="N7813" s="1">
        <v>0.45779415539872298</v>
      </c>
      <c r="O7813" s="1">
        <v>6.8471111111111108E-2</v>
      </c>
      <c r="P7813" s="1">
        <v>4.6952022491229463E-2</v>
      </c>
      <c r="Q7813" s="1">
        <v>0.8136675925680511</v>
      </c>
      <c r="R7813" s="2">
        <f t="shared" si="487"/>
        <v>24.914798286048317</v>
      </c>
      <c r="S7813" s="2">
        <f t="shared" si="486"/>
        <v>1.0912663891855969</v>
      </c>
      <c r="T7813" s="2">
        <f t="shared" si="488"/>
        <v>1.4257287021586762</v>
      </c>
      <c r="U7813" s="2">
        <f t="shared" si="489"/>
        <v>27.431793377392591</v>
      </c>
    </row>
    <row r="7814" spans="1:21" x14ac:dyDescent="0.25">
      <c r="A7814">
        <v>9016093</v>
      </c>
      <c r="B7814">
        <v>7</v>
      </c>
      <c r="C7814" s="1">
        <f>0.350479720302556*(10.3/7.3)</f>
        <v>0.49451248207073017</v>
      </c>
      <c r="D7814" s="1">
        <f>1.00936391706242*(10.3/7.3)</f>
        <v>1.4241710062661557</v>
      </c>
      <c r="E7814" s="1">
        <f>3.40932576359839*(10.3/7.3)</f>
        <v>4.8104185431593693</v>
      </c>
      <c r="F7814" s="1">
        <f>10.2817858675267*(38.9/42.5)</f>
        <v>9.4108581234538224</v>
      </c>
      <c r="G7814" s="1">
        <v>0.57493227765281396</v>
      </c>
      <c r="H7814" s="1">
        <v>2.4951290831449593</v>
      </c>
      <c r="I7814" s="1">
        <v>7.1474099588571658</v>
      </c>
      <c r="J7814" s="1">
        <v>1.1185085104027621E-2</v>
      </c>
      <c r="K7814" s="1">
        <v>1.0242614963174921</v>
      </c>
      <c r="L7814" s="1">
        <v>0.79414721393963372</v>
      </c>
      <c r="M7814" s="1">
        <v>7.0304925804069621E-2</v>
      </c>
      <c r="N7814" s="1">
        <v>0.43387198323753917</v>
      </c>
      <c r="O7814" s="1">
        <v>6.8830476190476192E-2</v>
      </c>
      <c r="P7814" s="1">
        <v>4.6382164983850928E-2</v>
      </c>
      <c r="Q7814" s="1">
        <v>0.91884153962778614</v>
      </c>
      <c r="R7814" s="2">
        <f t="shared" si="487"/>
        <v>27.2762730142328</v>
      </c>
      <c r="S7814" s="2">
        <f t="shared" si="486"/>
        <v>1.0818287464053706</v>
      </c>
      <c r="T7814" s="2">
        <f t="shared" si="488"/>
        <v>1.3671545991717187</v>
      </c>
      <c r="U7814" s="2">
        <f t="shared" si="489"/>
        <v>29.72525635980989</v>
      </c>
    </row>
    <row r="7815" spans="1:21" x14ac:dyDescent="0.25">
      <c r="A7815">
        <v>9016101</v>
      </c>
      <c r="B7815">
        <v>14</v>
      </c>
      <c r="C7815" s="1">
        <f>0.366351648802061*(10.3/7.3)</f>
        <v>0.51690712091249691</v>
      </c>
      <c r="D7815" s="1">
        <f>1.05588889618423*(10.3/7.3)</f>
        <v>1.4898158398215844</v>
      </c>
      <c r="E7815" s="1">
        <f>3.56803339051042*(10.3/7.3)</f>
        <v>5.0343484825010059</v>
      </c>
      <c r="F7815" s="1">
        <f>10.6772287655446*(38.9/42.5)</f>
        <v>9.7728046818749341</v>
      </c>
      <c r="G7815" s="1">
        <v>0.59471286642646715</v>
      </c>
      <c r="H7815" s="1">
        <v>2.5985169516278388</v>
      </c>
      <c r="I7815" s="1">
        <v>7.4054020547563661</v>
      </c>
      <c r="J7815" s="1">
        <v>1.1536058671946112E-2</v>
      </c>
      <c r="K7815" s="1">
        <v>1.0563365840637862</v>
      </c>
      <c r="L7815" s="1">
        <v>0.82665854697078911</v>
      </c>
      <c r="M7815" s="1">
        <v>7.2505543251336291E-2</v>
      </c>
      <c r="N7815" s="1">
        <v>0.44984263823967285</v>
      </c>
      <c r="O7815" s="1">
        <v>7.1215238095238095E-2</v>
      </c>
      <c r="P7815" s="1">
        <v>4.7534298648609828E-2</v>
      </c>
      <c r="Q7815" s="1">
        <v>0.95045435273636414</v>
      </c>
      <c r="R7815" s="2">
        <f t="shared" si="487"/>
        <v>28.362962350657057</v>
      </c>
      <c r="S7815" s="2">
        <f t="shared" si="486"/>
        <v>1.1154069413843422</v>
      </c>
      <c r="T7815" s="2">
        <f t="shared" si="488"/>
        <v>1.4202219665570361</v>
      </c>
      <c r="U7815" s="2">
        <f t="shared" si="489"/>
        <v>30.898591258598437</v>
      </c>
    </row>
    <row r="7816" spans="1:21" x14ac:dyDescent="0.25">
      <c r="A7816">
        <v>9016109</v>
      </c>
      <c r="B7816">
        <v>27</v>
      </c>
      <c r="C7816" s="1">
        <f>0.398701899808456*(10.3/7.3)</f>
        <v>0.5625519956201509</v>
      </c>
      <c r="D7816" s="1">
        <f>1.16303615913847*(10.3/7.3)</f>
        <v>1.6409962245378447</v>
      </c>
      <c r="E7816" s="1">
        <f>3.92896988172577*(10.3/7.3)</f>
        <v>5.5436150385993699</v>
      </c>
      <c r="F7816" s="1">
        <f>11.7670614136333*(38.9/42.5)</f>
        <v>10.770322093890213</v>
      </c>
      <c r="G7816" s="1">
        <v>0.65605293006208376</v>
      </c>
      <c r="H7816" s="1">
        <v>2.8134709077700673</v>
      </c>
      <c r="I7816" s="1">
        <v>8.1519861279835037</v>
      </c>
      <c r="J7816" s="1">
        <v>1.2085587234726188E-2</v>
      </c>
      <c r="K7816" s="1">
        <v>1.0986175424693205</v>
      </c>
      <c r="L7816" s="1">
        <v>0.87385068321460846</v>
      </c>
      <c r="M7816" s="1">
        <v>7.5112175665152686E-2</v>
      </c>
      <c r="N7816" s="1">
        <v>0.47204729910298177</v>
      </c>
      <c r="O7816" s="1">
        <v>7.4328888888888903E-2</v>
      </c>
      <c r="P7816" s="1">
        <v>4.9249366498051173E-2</v>
      </c>
      <c r="Q7816" s="1">
        <v>1.0484864179074413</v>
      </c>
      <c r="R7816" s="2">
        <f t="shared" si="487"/>
        <v>31.187481736370678</v>
      </c>
      <c r="S7816" s="2">
        <f t="shared" si="486"/>
        <v>1.1599524962020977</v>
      </c>
      <c r="T7816" s="2">
        <f t="shared" si="488"/>
        <v>1.4953390468716319</v>
      </c>
      <c r="U7816" s="2">
        <f t="shared" si="489"/>
        <v>33.842773279444408</v>
      </c>
    </row>
    <row r="7817" spans="1:21" x14ac:dyDescent="0.25">
      <c r="A7817">
        <v>9016117</v>
      </c>
      <c r="B7817">
        <v>46</v>
      </c>
      <c r="C7817" s="1">
        <f>0.390009934737566*(10.3/7.3)</f>
        <v>0.55028799010916873</v>
      </c>
      <c r="D7817" s="1">
        <f>1.10910682079026*(10.3/7.3)</f>
        <v>1.5649041444027012</v>
      </c>
      <c r="E7817" s="1">
        <f>3.75148831063687*(10.3/7.3)</f>
        <v>5.2931958355561388</v>
      </c>
      <c r="F7817" s="1">
        <f>11.0920605034018*(38.9/42.5)</f>
        <v>10.152497731348939</v>
      </c>
      <c r="G7817" s="1">
        <v>0.61360810532946697</v>
      </c>
      <c r="H7817" s="1">
        <v>2.6376784698137117</v>
      </c>
      <c r="I7817" s="1">
        <v>7.6787718509062959</v>
      </c>
      <c r="J7817" s="1">
        <v>1.1858094117346432E-2</v>
      </c>
      <c r="K7817" s="1">
        <v>1.0647131770686138</v>
      </c>
      <c r="L7817" s="1">
        <v>0.85218917325812737</v>
      </c>
      <c r="M7817" s="1">
        <v>7.3503710165333733E-2</v>
      </c>
      <c r="N7817" s="1">
        <v>0.46489486059090834</v>
      </c>
      <c r="O7817" s="1">
        <v>7.1676521739130417E-2</v>
      </c>
      <c r="P7817" s="1">
        <v>4.8233473546073186E-2</v>
      </c>
      <c r="Q7817" s="1">
        <v>0.98065222312928657</v>
      </c>
      <c r="R7817" s="2">
        <f t="shared" si="487"/>
        <v>29.471596350595707</v>
      </c>
      <c r="S7817" s="2">
        <f t="shared" ref="S7817:S7854" si="490">J7817+K7817+P7817</f>
        <v>1.1248047447320335</v>
      </c>
      <c r="T7817" s="2">
        <f t="shared" si="488"/>
        <v>1.4622642657534999</v>
      </c>
      <c r="U7817" s="2">
        <f t="shared" si="489"/>
        <v>32.058665361081239</v>
      </c>
    </row>
    <row r="7818" spans="1:21" x14ac:dyDescent="0.25">
      <c r="A7818">
        <v>9016125</v>
      </c>
      <c r="B7818">
        <v>56</v>
      </c>
      <c r="C7818" s="1">
        <f>0.399488104654002*(10.3/7.3)</f>
        <v>0.56366129834742729</v>
      </c>
      <c r="D7818" s="1">
        <f>1.1249494278757*(10.3/7.3)</f>
        <v>1.5872574119342129</v>
      </c>
      <c r="E7818" s="1">
        <f>3.80684281482999*(10.3/7.3)</f>
        <v>5.37129876612999</v>
      </c>
      <c r="F7818" s="1">
        <f>11.2041296905466*(38.9/42.5)</f>
        <v>10.255073999112076</v>
      </c>
      <c r="G7818" s="1">
        <v>0.61802652433016847</v>
      </c>
      <c r="H7818" s="1">
        <v>2.6471397215235357</v>
      </c>
      <c r="I7818" s="1">
        <v>7.7552002406093861</v>
      </c>
      <c r="J7818" s="1">
        <v>1.1973866373896252E-2</v>
      </c>
      <c r="K7818" s="1">
        <v>1.0671657734006474</v>
      </c>
      <c r="L7818" s="1">
        <v>0.85929102172093264</v>
      </c>
      <c r="M7818" s="1">
        <v>7.388952663093161E-2</v>
      </c>
      <c r="N7818" s="1">
        <v>0.47046806829384819</v>
      </c>
      <c r="O7818" s="1">
        <v>7.0900952380952384E-2</v>
      </c>
      <c r="P7818" s="1">
        <v>4.8489644460595997E-2</v>
      </c>
      <c r="Q7818" s="1">
        <v>0.98771362335871793</v>
      </c>
      <c r="R7818" s="2">
        <f t="shared" ref="R7818:R7854" si="491">C7818+D7818+E7818+F7818+G7818+H7818+I7818+Q7818</f>
        <v>29.785371585345516</v>
      </c>
      <c r="S7818" s="2">
        <f t="shared" si="490"/>
        <v>1.1276292842351396</v>
      </c>
      <c r="T7818" s="2">
        <f t="shared" ref="T7818:T7854" si="492">L7818+M7818+N7818+O7818</f>
        <v>1.4745495690266648</v>
      </c>
      <c r="U7818" s="2">
        <f t="shared" ref="U7818:U7854" si="493">R7818+S7818+T7818</f>
        <v>32.38755043860732</v>
      </c>
    </row>
    <row r="7819" spans="1:21" x14ac:dyDescent="0.25">
      <c r="A7819">
        <v>9016133</v>
      </c>
      <c r="B7819">
        <v>55</v>
      </c>
      <c r="C7819" s="1">
        <f>0.408391762815562*(10.3/7.3)</f>
        <v>0.57622399410962888</v>
      </c>
      <c r="D7819" s="1">
        <f>1.14013421516534*(10.3/7.3)</f>
        <v>1.6086825227675354</v>
      </c>
      <c r="E7819" s="1">
        <f>3.85950377115223*(10.3/7.3)</f>
        <v>5.4456012113517724</v>
      </c>
      <c r="F7819" s="1">
        <f>11.328876244787*(38.9/42.5)</f>
        <v>10.369253786405073</v>
      </c>
      <c r="G7819" s="1">
        <v>0.62376791842858592</v>
      </c>
      <c r="H7819" s="1">
        <v>2.6616053854614159</v>
      </c>
      <c r="I7819" s="1">
        <v>7.8436993217205186</v>
      </c>
      <c r="J7819" s="1">
        <v>1.2130625199454325E-2</v>
      </c>
      <c r="K7819" s="1">
        <v>1.0757197895787169</v>
      </c>
      <c r="L7819" s="1">
        <v>0.86811412303462487</v>
      </c>
      <c r="M7819" s="1">
        <v>7.3641266262295127E-2</v>
      </c>
      <c r="N7819" s="1">
        <v>0.47775338901903774</v>
      </c>
      <c r="O7819" s="1">
        <v>7.1333818181818193E-2</v>
      </c>
      <c r="P7819" s="1">
        <v>4.8773254419601467E-2</v>
      </c>
      <c r="Q7819" s="1">
        <v>0.99688936735162215</v>
      </c>
      <c r="R7819" s="2">
        <f t="shared" si="491"/>
        <v>30.125723507596152</v>
      </c>
      <c r="S7819" s="2">
        <f t="shared" si="490"/>
        <v>1.1366236691977729</v>
      </c>
      <c r="T7819" s="2">
        <f t="shared" si="492"/>
        <v>1.4908425964977761</v>
      </c>
      <c r="U7819" s="2">
        <f t="shared" si="493"/>
        <v>32.753189773291702</v>
      </c>
    </row>
    <row r="7820" spans="1:21" x14ac:dyDescent="0.25">
      <c r="A7820">
        <v>9028345</v>
      </c>
      <c r="B7820">
        <v>1</v>
      </c>
      <c r="C7820" s="1">
        <f>0.330422882890564*(10.3/7.3)</f>
        <v>0.4662131087360008</v>
      </c>
      <c r="D7820" s="1">
        <f>0.916327533756069*(10.3/7.3)</f>
        <v>1.292900492833905</v>
      </c>
      <c r="E7820" s="1">
        <f>3.10333637622571*(10.3/7.3)</f>
        <v>4.3786800924828464</v>
      </c>
      <c r="F7820" s="1">
        <f>9.05698515111001*(38.9/42.5)</f>
        <v>8.2898052324277547</v>
      </c>
      <c r="G7820" s="1">
        <v>0.49699016690967085</v>
      </c>
      <c r="H7820" s="1">
        <v>2.2193481222857758</v>
      </c>
      <c r="I7820" s="1">
        <v>6.2654604932902807</v>
      </c>
      <c r="J7820" s="1">
        <v>1.1108707436397691E-2</v>
      </c>
      <c r="K7820" s="1">
        <v>1.0075546367043897</v>
      </c>
      <c r="L7820" s="1">
        <v>0.79549971469063907</v>
      </c>
      <c r="M7820" s="1">
        <v>6.9429469249883621E-2</v>
      </c>
      <c r="N7820" s="1">
        <v>0.43535894339280867</v>
      </c>
      <c r="O7820" s="1">
        <v>6.826666666666667E-2</v>
      </c>
      <c r="P7820" s="1">
        <v>4.589307346817019E-2</v>
      </c>
      <c r="Q7820" s="1">
        <v>0.79427652245837888</v>
      </c>
      <c r="R7820" s="2">
        <f t="shared" si="491"/>
        <v>24.20367423142461</v>
      </c>
      <c r="S7820" s="2">
        <f t="shared" si="490"/>
        <v>1.0645564176089577</v>
      </c>
      <c r="T7820" s="2">
        <f t="shared" si="492"/>
        <v>1.368554793999998</v>
      </c>
      <c r="U7820" s="2">
        <f t="shared" si="493"/>
        <v>26.636785443033567</v>
      </c>
    </row>
    <row r="7821" spans="1:21" x14ac:dyDescent="0.25">
      <c r="A7821">
        <v>9028353</v>
      </c>
      <c r="B7821">
        <v>7</v>
      </c>
      <c r="C7821" s="1">
        <f>0.366126898425387*(10.3/7.3)</f>
        <v>0.51659000736732752</v>
      </c>
      <c r="D7821" s="1">
        <f>1.02495502475092*(10.3/7.3)</f>
        <v>1.4461694184841818</v>
      </c>
      <c r="E7821" s="1">
        <f>3.46974369716458*(10.3/7.3)</f>
        <v>4.8956657644924872</v>
      </c>
      <c r="F7821" s="1">
        <f>10.1676396586882*(38.9/42.5)</f>
        <v>9.3063807699522911</v>
      </c>
      <c r="G7821" s="1">
        <v>0.55940516689906694</v>
      </c>
      <c r="H7821" s="1">
        <v>2.4335138484584808</v>
      </c>
      <c r="I7821" s="1">
        <v>7.0339590073188978</v>
      </c>
      <c r="J7821" s="1">
        <v>1.1295408401715298E-2</v>
      </c>
      <c r="K7821" s="1">
        <v>1.0169760880941268</v>
      </c>
      <c r="L7821" s="1">
        <v>0.80834543560331251</v>
      </c>
      <c r="M7821" s="1">
        <v>7.1695465654232446E-2</v>
      </c>
      <c r="N7821" s="1">
        <v>0.44161277243420327</v>
      </c>
      <c r="O7821" s="1">
        <v>6.7405714285714291E-2</v>
      </c>
      <c r="P7821" s="1">
        <v>4.6176609235255225E-2</v>
      </c>
      <c r="Q7821" s="1">
        <v>0.89402652244143221</v>
      </c>
      <c r="R7821" s="2">
        <f t="shared" si="491"/>
        <v>27.085710505414166</v>
      </c>
      <c r="S7821" s="2">
        <f t="shared" si="490"/>
        <v>1.0744481057310973</v>
      </c>
      <c r="T7821" s="2">
        <f t="shared" si="492"/>
        <v>1.3890593879774624</v>
      </c>
      <c r="U7821" s="2">
        <f t="shared" si="493"/>
        <v>29.549217999122725</v>
      </c>
    </row>
    <row r="7822" spans="1:21" x14ac:dyDescent="0.25">
      <c r="A7822">
        <v>9028361</v>
      </c>
      <c r="B7822">
        <v>26</v>
      </c>
      <c r="C7822" s="1">
        <f>0.39720109996907*(10.3/7.3)</f>
        <v>0.56043442872348226</v>
      </c>
      <c r="D7822" s="1">
        <f>1.11962848905386*(10.3/7.3)</f>
        <v>1.5797497859253118</v>
      </c>
      <c r="E7822" s="1">
        <f>3.78869116407593*(10.3/7.3)</f>
        <v>5.3456875328742601</v>
      </c>
      <c r="F7822" s="1">
        <f>11.1541892952705*(38.9/42.5)</f>
        <v>10.209363849082923</v>
      </c>
      <c r="G7822" s="1">
        <v>0.61540251453576766</v>
      </c>
      <c r="H7822" s="1">
        <v>2.6393372291727952</v>
      </c>
      <c r="I7822" s="1">
        <v>7.7204009409047387</v>
      </c>
      <c r="J7822" s="1">
        <v>1.1927319361251822E-2</v>
      </c>
      <c r="K7822" s="1">
        <v>1.0634243329154265</v>
      </c>
      <c r="L7822" s="1">
        <v>0.86051682134474017</v>
      </c>
      <c r="M7822" s="1">
        <v>7.3966567117684609E-2</v>
      </c>
      <c r="N7822" s="1">
        <v>0.46688297373572119</v>
      </c>
      <c r="O7822" s="1">
        <v>7.0859487179487174E-2</v>
      </c>
      <c r="P7822" s="1">
        <v>4.8393653852228997E-2</v>
      </c>
      <c r="Q7822" s="1">
        <v>0.98352000039962939</v>
      </c>
      <c r="R7822" s="2">
        <f t="shared" si="491"/>
        <v>29.653896281618906</v>
      </c>
      <c r="S7822" s="2">
        <f t="shared" si="490"/>
        <v>1.1237453061289073</v>
      </c>
      <c r="T7822" s="2">
        <f t="shared" si="492"/>
        <v>1.4722258493776332</v>
      </c>
      <c r="U7822" s="2">
        <f t="shared" si="493"/>
        <v>32.249867437125445</v>
      </c>
    </row>
    <row r="7823" spans="1:21" x14ac:dyDescent="0.25">
      <c r="A7823">
        <v>906121</v>
      </c>
      <c r="B7823">
        <v>15</v>
      </c>
      <c r="C7823" s="1">
        <f>2.58268339177383*(10.3/7.3)</f>
        <v>3.6440601281192433</v>
      </c>
      <c r="D7823" s="1">
        <f>2.86791400395083*(10.3/7.3)</f>
        <v>4.0465088000950091</v>
      </c>
      <c r="E7823" s="1">
        <f>10.2261637295719*(10.3/7.3)</f>
        <v>14.428696769121991</v>
      </c>
      <c r="F7823" s="1">
        <f>19.0455249518943*(38.9/42.5)</f>
        <v>17.432256955969166</v>
      </c>
      <c r="G7823" s="1">
        <v>0.61314051708640149</v>
      </c>
      <c r="H7823" s="1">
        <v>3.8988687299575475</v>
      </c>
      <c r="I7823" s="1">
        <v>14.62213661605894</v>
      </c>
      <c r="J7823" s="1">
        <v>3.90646310704552E-2</v>
      </c>
      <c r="K7823" s="1">
        <v>7.6892836943459226</v>
      </c>
      <c r="L7823" s="1">
        <v>4.6586568529954935</v>
      </c>
      <c r="M7823" s="1">
        <v>0.16957407484444581</v>
      </c>
      <c r="N7823" s="1">
        <v>1.1662013215788012</v>
      </c>
      <c r="O7823" s="1">
        <v>7.8225777777777783E-2</v>
      </c>
      <c r="P7823" s="1">
        <v>6.5209176385421425E-2</v>
      </c>
      <c r="Q7823" s="1">
        <v>0.97990493598283424</v>
      </c>
      <c r="R7823" s="2">
        <f t="shared" si="491"/>
        <v>59.665573452391136</v>
      </c>
      <c r="S7823" s="2">
        <f t="shared" si="490"/>
        <v>7.7935575018017991</v>
      </c>
      <c r="T7823" s="2">
        <f t="shared" si="492"/>
        <v>6.0726580271965185</v>
      </c>
      <c r="U7823" s="2">
        <f t="shared" si="493"/>
        <v>73.531788981389454</v>
      </c>
    </row>
    <row r="7824" spans="1:21" x14ac:dyDescent="0.25">
      <c r="A7824">
        <v>906153</v>
      </c>
      <c r="B7824">
        <v>5</v>
      </c>
      <c r="C7824" s="1">
        <f>1.95362131217239*(10.3/7.3)</f>
        <v>2.7564793856678929</v>
      </c>
      <c r="D7824" s="1">
        <f>2.45834524925367*(10.3/7.3)</f>
        <v>3.468624118809974</v>
      </c>
      <c r="E7824" s="1">
        <f>8.66323246263626*(10.3/7.3)</f>
        <v>12.223464981527878</v>
      </c>
      <c r="F7824" s="1">
        <f>18.6765568378882*(38.9/42.5)</f>
        <v>17.094542611619978</v>
      </c>
      <c r="G7824" s="1">
        <v>0.75166543896856441</v>
      </c>
      <c r="H7824" s="1">
        <v>2.3323477754319746</v>
      </c>
      <c r="I7824" s="1">
        <v>14.083238854979365</v>
      </c>
      <c r="J7824" s="1">
        <v>5.0641788201649794E-2</v>
      </c>
      <c r="K7824" s="1">
        <v>7.7010002035862986</v>
      </c>
      <c r="L7824" s="1">
        <v>1.7977541628878015</v>
      </c>
      <c r="M7824" s="1">
        <v>0.15276593786742024</v>
      </c>
      <c r="N7824" s="1">
        <v>2.3909469440229856</v>
      </c>
      <c r="O7824" s="1">
        <v>7.7002666666666664E-2</v>
      </c>
      <c r="P7824" s="1">
        <v>6.5658576148268963E-2</v>
      </c>
      <c r="Q7824" s="1">
        <v>1.2012917974383461</v>
      </c>
      <c r="R7824" s="2">
        <f t="shared" si="491"/>
        <v>53.911654964443976</v>
      </c>
      <c r="S7824" s="2">
        <f t="shared" si="490"/>
        <v>7.8173005679362166</v>
      </c>
      <c r="T7824" s="2">
        <f t="shared" si="492"/>
        <v>4.4184697114448745</v>
      </c>
      <c r="U7824" s="2">
        <f t="shared" si="493"/>
        <v>66.147425243825069</v>
      </c>
    </row>
    <row r="7825" spans="1:21" x14ac:dyDescent="0.25">
      <c r="A7825">
        <v>906161</v>
      </c>
      <c r="B7825">
        <v>9</v>
      </c>
      <c r="C7825" s="1">
        <f>2.41015223201315*(10.3/7.3)</f>
        <v>3.4006257520185552</v>
      </c>
      <c r="D7825" s="1">
        <f>2.98976746507355*(10.3/7.3)</f>
        <v>4.2184390260626783</v>
      </c>
      <c r="E7825" s="1">
        <f>10.5535314854548*(10.3/7.3)</f>
        <v>14.89059921920337</v>
      </c>
      <c r="F7825" s="1">
        <f>22.2069273472858*(38.9/42.5)</f>
        <v>20.325869971986258</v>
      </c>
      <c r="G7825" s="1">
        <v>0.86741999002944858</v>
      </c>
      <c r="H7825" s="1">
        <v>4.1850479281553925</v>
      </c>
      <c r="I7825" s="1">
        <v>16.745344051578954</v>
      </c>
      <c r="J7825" s="1">
        <v>5.1275817136395049E-2</v>
      </c>
      <c r="K7825" s="1">
        <v>8.4377531019882994</v>
      </c>
      <c r="L7825" s="1">
        <v>2.0716540511481134</v>
      </c>
      <c r="M7825" s="1">
        <v>0.15765191363859382</v>
      </c>
      <c r="N7825" s="1">
        <v>1.8190368770940328</v>
      </c>
      <c r="O7825" s="1">
        <v>8.6542222222222215E-2</v>
      </c>
      <c r="P7825" s="1">
        <v>7.2609961894696193E-2</v>
      </c>
      <c r="Q7825" s="1">
        <v>1.3862876552982071</v>
      </c>
      <c r="R7825" s="2">
        <f t="shared" si="491"/>
        <v>66.019633594332859</v>
      </c>
      <c r="S7825" s="2">
        <f t="shared" si="490"/>
        <v>8.5616388810193893</v>
      </c>
      <c r="T7825" s="2">
        <f t="shared" si="492"/>
        <v>4.1348850641029626</v>
      </c>
      <c r="U7825" s="2">
        <f t="shared" si="493"/>
        <v>78.71615753945521</v>
      </c>
    </row>
    <row r="7826" spans="1:21" x14ac:dyDescent="0.25">
      <c r="A7826">
        <v>9065157</v>
      </c>
      <c r="B7826">
        <v>9</v>
      </c>
      <c r="C7826" s="1">
        <f>0.366224890854036*(10.3/7.3)</f>
        <v>0.51672827065706384</v>
      </c>
      <c r="D7826" s="1">
        <f>0.924009451289497*(10.3/7.3)</f>
        <v>1.3037393627783311</v>
      </c>
      <c r="E7826" s="1">
        <f>3.13888551139976*(10.3/7.3)</f>
        <v>4.4288384612900753</v>
      </c>
      <c r="F7826" s="1">
        <f>9.00324913653056*(38.9/42.5)</f>
        <v>8.2406209743773822</v>
      </c>
      <c r="G7826" s="1">
        <v>0.48696405075223864</v>
      </c>
      <c r="H7826" s="1">
        <v>2.2521178724054622</v>
      </c>
      <c r="I7826" s="1">
        <v>6.2736378120302625</v>
      </c>
      <c r="J7826" s="1">
        <v>1.1525484338773364E-2</v>
      </c>
      <c r="K7826" s="1">
        <v>0.9955026182169705</v>
      </c>
      <c r="L7826" s="1">
        <v>0.79596878766167634</v>
      </c>
      <c r="M7826" s="1">
        <v>6.5637340487267395E-2</v>
      </c>
      <c r="N7826" s="1">
        <v>0.45206700672335853</v>
      </c>
      <c r="O7826" s="1">
        <v>6.3063703703703705E-2</v>
      </c>
      <c r="P7826" s="1">
        <v>4.428981625955395E-2</v>
      </c>
      <c r="Q7826" s="1">
        <v>0.77825304914741411</v>
      </c>
      <c r="R7826" s="2">
        <f t="shared" si="491"/>
        <v>24.280899853438228</v>
      </c>
      <c r="S7826" s="2">
        <f t="shared" si="490"/>
        <v>1.0513179188152979</v>
      </c>
      <c r="T7826" s="2">
        <f t="shared" si="492"/>
        <v>1.3767368385760059</v>
      </c>
      <c r="U7826" s="2">
        <f t="shared" si="493"/>
        <v>26.708954610829529</v>
      </c>
    </row>
    <row r="7827" spans="1:21" x14ac:dyDescent="0.25">
      <c r="A7827">
        <v>9077385</v>
      </c>
      <c r="B7827">
        <v>29</v>
      </c>
      <c r="C7827" s="1">
        <f>0.364968516737147*(10.3/7.3)</f>
        <v>0.51495557840994688</v>
      </c>
      <c r="D7827" s="1">
        <f>0.917439488858366*(10.3/7.3)</f>
        <v>1.294469415786462</v>
      </c>
      <c r="E7827" s="1">
        <f>3.11676584533395*(10.3/7.3)</f>
        <v>4.3976285214985813</v>
      </c>
      <c r="F7827" s="1">
        <f>8.94316426322907*(38.9/42.5)</f>
        <v>8.1856256432849612</v>
      </c>
      <c r="G7827" s="1">
        <v>0.48371519282480469</v>
      </c>
      <c r="H7827" s="1">
        <v>2.226552782609788</v>
      </c>
      <c r="I7827" s="1">
        <v>6.2355435305489966</v>
      </c>
      <c r="J7827" s="1">
        <v>1.1518688709767548E-2</v>
      </c>
      <c r="K7827" s="1">
        <v>0.9966444291769192</v>
      </c>
      <c r="L7827" s="1">
        <v>0.79643533711131298</v>
      </c>
      <c r="M7827" s="1">
        <v>6.576173556021192E-2</v>
      </c>
      <c r="N7827" s="1">
        <v>0.45279233472724745</v>
      </c>
      <c r="O7827" s="1">
        <v>6.3028965517241367E-2</v>
      </c>
      <c r="P7827" s="1">
        <v>4.434379760365266E-2</v>
      </c>
      <c r="Q7827" s="1">
        <v>0.77306081045060193</v>
      </c>
      <c r="R7827" s="2">
        <f t="shared" si="491"/>
        <v>24.111551475414146</v>
      </c>
      <c r="S7827" s="2">
        <f t="shared" si="490"/>
        <v>1.0525069154903395</v>
      </c>
      <c r="T7827" s="2">
        <f t="shared" si="492"/>
        <v>1.3780183729160136</v>
      </c>
      <c r="U7827" s="2">
        <f t="shared" si="493"/>
        <v>26.5420767638205</v>
      </c>
    </row>
    <row r="7828" spans="1:21" x14ac:dyDescent="0.25">
      <c r="A7828">
        <v>9077393</v>
      </c>
      <c r="B7828">
        <v>4</v>
      </c>
      <c r="C7828" s="1">
        <f>0.306336185876573*(10.3/7.3)</f>
        <v>0.43222776911352045</v>
      </c>
      <c r="D7828" s="1">
        <f>0.762651504520131*(10.3/7.3)</f>
        <v>1.0760699310352535</v>
      </c>
      <c r="E7828" s="1">
        <f>2.59239671581939*(10.3/7.3)</f>
        <v>3.6577652291698226</v>
      </c>
      <c r="F7828" s="1">
        <f>7.39202000121095*(38.9/42.5)</f>
        <v>6.7658724246377888</v>
      </c>
      <c r="G7828" s="1">
        <v>0.39819834994462783</v>
      </c>
      <c r="H7828" s="1">
        <v>1.9868153937172384</v>
      </c>
      <c r="I7828" s="1">
        <v>5.1518190529090466</v>
      </c>
      <c r="J7828" s="1">
        <v>1.1450285338853771E-2</v>
      </c>
      <c r="K7828" s="1">
        <v>0.99331775532919231</v>
      </c>
      <c r="L7828" s="1">
        <v>0.79714933358813311</v>
      </c>
      <c r="M7828" s="1">
        <v>6.5524037577070218E-2</v>
      </c>
      <c r="N7828" s="1">
        <v>0.45243261209219809</v>
      </c>
      <c r="O7828" s="1">
        <v>6.3426666666666659E-2</v>
      </c>
      <c r="P7828" s="1">
        <v>4.4443066071398966E-2</v>
      </c>
      <c r="Q7828" s="1">
        <v>0.63639005698913187</v>
      </c>
      <c r="R7828" s="2">
        <f t="shared" si="491"/>
        <v>20.105158207516432</v>
      </c>
      <c r="S7828" s="2">
        <f t="shared" si="490"/>
        <v>1.0492111067394452</v>
      </c>
      <c r="T7828" s="2">
        <f t="shared" si="492"/>
        <v>1.3785326499240682</v>
      </c>
      <c r="U7828" s="2">
        <f t="shared" si="493"/>
        <v>22.532901964179946</v>
      </c>
    </row>
    <row r="7829" spans="1:21" x14ac:dyDescent="0.25">
      <c r="A7829">
        <v>9089621</v>
      </c>
      <c r="B7829">
        <v>23</v>
      </c>
      <c r="C7829" s="1">
        <f>0.360540670295875*(10.3/7.3)</f>
        <v>0.50870806904760468</v>
      </c>
      <c r="D7829" s="1">
        <f>0.906020305546506*(10.3/7.3)</f>
        <v>1.2783574174149328</v>
      </c>
      <c r="E7829" s="1">
        <f>3.07813416242326*(10.3/7.3)</f>
        <v>4.3431208045150065</v>
      </c>
      <c r="F7829" s="1">
        <f>8.82515031935015*(38.9/42.5)</f>
        <v>8.077608174652255</v>
      </c>
      <c r="G7829" s="1">
        <v>0.47710794783471949</v>
      </c>
      <c r="H7829" s="1">
        <v>2.2140904224547486</v>
      </c>
      <c r="I7829" s="1">
        <v>6.1521362342328416</v>
      </c>
      <c r="J7829" s="1">
        <v>1.1483216289752183E-2</v>
      </c>
      <c r="K7829" s="1">
        <v>0.99410604886725129</v>
      </c>
      <c r="L7829" s="1">
        <v>0.79462319247326052</v>
      </c>
      <c r="M7829" s="1">
        <v>6.5565831360217E-2</v>
      </c>
      <c r="N7829" s="1">
        <v>0.45135006232722419</v>
      </c>
      <c r="O7829" s="1">
        <v>6.2933333333333327E-2</v>
      </c>
      <c r="P7829" s="1">
        <v>4.4254047762640053E-2</v>
      </c>
      <c r="Q7829" s="1">
        <v>0.76250128649384474</v>
      </c>
      <c r="R7829" s="2">
        <f t="shared" si="491"/>
        <v>23.813630356645952</v>
      </c>
      <c r="S7829" s="2">
        <f t="shared" si="490"/>
        <v>1.0498433129196436</v>
      </c>
      <c r="T7829" s="2">
        <f t="shared" si="492"/>
        <v>1.374472419494035</v>
      </c>
      <c r="U7829" s="2">
        <f t="shared" si="493"/>
        <v>26.237946089059633</v>
      </c>
    </row>
    <row r="7830" spans="1:21" x14ac:dyDescent="0.25">
      <c r="A7830">
        <v>9101817</v>
      </c>
      <c r="B7830">
        <v>11</v>
      </c>
      <c r="C7830" s="1">
        <f>0.409107239733893*(10.3/7.3)</f>
        <v>0.57723350263823237</v>
      </c>
      <c r="D7830" s="1">
        <f>1.09049379101588*(10.3/7.3)</f>
        <v>1.5386419243100813</v>
      </c>
      <c r="E7830" s="1">
        <f>3.69565839425381*(10.3/7.3)</f>
        <v>5.2144221179197654</v>
      </c>
      <c r="F7830" s="1">
        <f>10.8184701361286*(38.9/42.5)</f>
        <v>9.9020820775388643</v>
      </c>
      <c r="G7830" s="1">
        <v>0.59342881073593701</v>
      </c>
      <c r="H7830" s="1">
        <v>2.6214001797181763</v>
      </c>
      <c r="I7830" s="1">
        <v>7.5274059368840822</v>
      </c>
      <c r="J7830" s="1">
        <v>1.2828362195459464E-2</v>
      </c>
      <c r="K7830" s="1">
        <v>1.1231995603054887</v>
      </c>
      <c r="L7830" s="1">
        <v>0.93439266736711479</v>
      </c>
      <c r="M7830" s="1">
        <v>7.6958023991494776E-2</v>
      </c>
      <c r="N7830" s="1">
        <v>0.50931202306774204</v>
      </c>
      <c r="O7830" s="1">
        <v>7.3478787878787866E-2</v>
      </c>
      <c r="P7830" s="1">
        <v>5.0263719578775956E-2</v>
      </c>
      <c r="Q7830" s="1">
        <v>0.94840220893871319</v>
      </c>
      <c r="R7830" s="2">
        <f t="shared" si="491"/>
        <v>28.923016758683854</v>
      </c>
      <c r="S7830" s="2">
        <f t="shared" si="490"/>
        <v>1.1862916420797243</v>
      </c>
      <c r="T7830" s="2">
        <f t="shared" si="492"/>
        <v>1.5941415023051395</v>
      </c>
      <c r="U7830" s="2">
        <f t="shared" si="493"/>
        <v>31.703449903068716</v>
      </c>
    </row>
    <row r="7831" spans="1:21" x14ac:dyDescent="0.25">
      <c r="A7831">
        <v>9101849</v>
      </c>
      <c r="B7831">
        <v>2</v>
      </c>
      <c r="C7831" s="1">
        <f>0.334843921945633*(10.3/7.3)</f>
        <v>0.47245101315616678</v>
      </c>
      <c r="D7831" s="1">
        <f>0.839613655627814*(10.3/7.3)</f>
        <v>1.1846603634200661</v>
      </c>
      <c r="E7831" s="1">
        <f>2.85306413753263*(10.3/7.3)</f>
        <v>4.025556248847403</v>
      </c>
      <c r="F7831" s="1">
        <f>8.15940312599288*(38.9/42.5)</f>
        <v>7.468253684732308</v>
      </c>
      <c r="G7831" s="1">
        <v>0.44044573298018108</v>
      </c>
      <c r="H7831" s="1">
        <v>2.096405574570233</v>
      </c>
      <c r="I7831" s="1">
        <v>5.6857535892994431</v>
      </c>
      <c r="J7831" s="1">
        <v>1.1384515680616887E-2</v>
      </c>
      <c r="K7831" s="1">
        <v>0.9898607731826059</v>
      </c>
      <c r="L7831" s="1">
        <v>0.79343754106226716</v>
      </c>
      <c r="M7831" s="1">
        <v>6.5589314040107871E-2</v>
      </c>
      <c r="N7831" s="1">
        <v>0.44787700991994717</v>
      </c>
      <c r="O7831" s="1">
        <v>6.2933333333333341E-2</v>
      </c>
      <c r="P7831" s="1">
        <v>4.428234038346477E-2</v>
      </c>
      <c r="Q7831" s="1">
        <v>0.70390870567608932</v>
      </c>
      <c r="R7831" s="2">
        <f t="shared" si="491"/>
        <v>22.077434912681891</v>
      </c>
      <c r="S7831" s="2">
        <f t="shared" si="490"/>
        <v>1.0455276292466875</v>
      </c>
      <c r="T7831" s="2">
        <f t="shared" si="492"/>
        <v>1.3698371983556554</v>
      </c>
      <c r="U7831" s="2">
        <f t="shared" si="493"/>
        <v>24.492799740284234</v>
      </c>
    </row>
    <row r="7832" spans="1:21" x14ac:dyDescent="0.25">
      <c r="A7832">
        <v>9114037</v>
      </c>
      <c r="B7832">
        <v>7</v>
      </c>
      <c r="C7832" s="1">
        <f>0.366587778944642*(10.3/7.3)</f>
        <v>0.51724029083970013</v>
      </c>
      <c r="D7832" s="1">
        <f>0.969003942028214*(10.3/7.3)</f>
        <v>1.3672247401220008</v>
      </c>
      <c r="E7832" s="1">
        <f>3.2861712280179*(10.3/7.3)</f>
        <v>4.6366525546005972</v>
      </c>
      <c r="F7832" s="1">
        <f>9.53544609614127*(38.9/42.5)</f>
        <v>8.7277377209387144</v>
      </c>
      <c r="G7832" s="1">
        <v>0.52034980835953326</v>
      </c>
      <c r="H7832" s="1">
        <v>2.3159938252908909</v>
      </c>
      <c r="I7832" s="1">
        <v>6.625338208334326</v>
      </c>
      <c r="J7832" s="1">
        <v>1.1990081473968479E-2</v>
      </c>
      <c r="K7832" s="1">
        <v>1.0604779329502552</v>
      </c>
      <c r="L7832" s="1">
        <v>0.86816998454090766</v>
      </c>
      <c r="M7832" s="1">
        <v>7.3214791195273049E-2</v>
      </c>
      <c r="N7832" s="1">
        <v>0.47524954683565579</v>
      </c>
      <c r="O7832" s="1">
        <v>6.982857142857142E-2</v>
      </c>
      <c r="P7832" s="1">
        <v>4.7976766135424072E-2</v>
      </c>
      <c r="Q7832" s="1">
        <v>0.83160928276637824</v>
      </c>
      <c r="R7832" s="2">
        <f t="shared" si="491"/>
        <v>25.542146431252142</v>
      </c>
      <c r="S7832" s="2">
        <f t="shared" si="490"/>
        <v>1.1204447805596476</v>
      </c>
      <c r="T7832" s="2">
        <f t="shared" si="492"/>
        <v>1.4864628940004079</v>
      </c>
      <c r="U7832" s="2">
        <f t="shared" si="493"/>
        <v>28.149054105812198</v>
      </c>
    </row>
    <row r="7833" spans="1:21" x14ac:dyDescent="0.25">
      <c r="A7833">
        <v>9114045</v>
      </c>
      <c r="B7833">
        <v>33</v>
      </c>
      <c r="C7833" s="1">
        <f>0.465259142818258*(10.3/7.3)</f>
        <v>0.65646153027781651</v>
      </c>
      <c r="D7833" s="1">
        <f>1.26031096222741*(10.3/7.3)</f>
        <v>1.7782469741016875</v>
      </c>
      <c r="E7833" s="1">
        <f>4.26810946966611*(10.3/7.3)</f>
        <v>6.0221270599398595</v>
      </c>
      <c r="F7833" s="1">
        <f>12.5752385192441*(38.9/42.5)</f>
        <v>11.510041844672859</v>
      </c>
      <c r="G7833" s="1">
        <v>0.69273190435185783</v>
      </c>
      <c r="H7833" s="1">
        <v>2.9786237075811726</v>
      </c>
      <c r="I7833" s="1">
        <v>8.7480259197567474</v>
      </c>
      <c r="J7833" s="1">
        <v>1.3262711961880185E-2</v>
      </c>
      <c r="K7833" s="1">
        <v>1.1622943979570646</v>
      </c>
      <c r="L7833" s="1">
        <v>0.97135770880360006</v>
      </c>
      <c r="M7833" s="1">
        <v>7.957891990602127E-2</v>
      </c>
      <c r="N7833" s="1">
        <v>0.52492408044750749</v>
      </c>
      <c r="O7833" s="1">
        <v>7.6728888888888902E-2</v>
      </c>
      <c r="P7833" s="1">
        <v>5.1930055512966061E-2</v>
      </c>
      <c r="Q7833" s="1">
        <v>1.1071057832107327</v>
      </c>
      <c r="R7833" s="2">
        <f t="shared" si="491"/>
        <v>33.493364723892732</v>
      </c>
      <c r="S7833" s="2">
        <f t="shared" si="490"/>
        <v>1.2274871654319108</v>
      </c>
      <c r="T7833" s="2">
        <f t="shared" si="492"/>
        <v>1.6525895980460177</v>
      </c>
      <c r="U7833" s="2">
        <f t="shared" si="493"/>
        <v>36.373441487370663</v>
      </c>
    </row>
    <row r="7834" spans="1:21" x14ac:dyDescent="0.25">
      <c r="A7834">
        <v>9114053</v>
      </c>
      <c r="B7834">
        <v>17</v>
      </c>
      <c r="C7834" s="1">
        <f>0.395499078329672*(10.3/7.3)</f>
        <v>0.55803294613638632</v>
      </c>
      <c r="D7834" s="1">
        <f>1.04399229870443*(10.3/7.3)</f>
        <v>1.473030229678852</v>
      </c>
      <c r="E7834" s="1">
        <f>3.53931456028902*(10.3/7.3)</f>
        <v>4.9938273932845041</v>
      </c>
      <c r="F7834" s="1">
        <f>10.3352322272631*(38.9/42.5)</f>
        <v>9.4597772621302401</v>
      </c>
      <c r="G7834" s="1">
        <v>0.56588614199330844</v>
      </c>
      <c r="H7834" s="1">
        <v>2.5106401567477721</v>
      </c>
      <c r="I7834" s="1">
        <v>7.1950855615138964</v>
      </c>
      <c r="J7834" s="1">
        <v>1.2578353537721323E-2</v>
      </c>
      <c r="K7834" s="1">
        <v>1.1019418060630977</v>
      </c>
      <c r="L7834" s="1">
        <v>0.91264687975408043</v>
      </c>
      <c r="M7834" s="1">
        <v>7.5681905689662349E-2</v>
      </c>
      <c r="N7834" s="1">
        <v>0.49852794212149015</v>
      </c>
      <c r="O7834" s="1">
        <v>7.2009411764705877E-2</v>
      </c>
      <c r="P7834" s="1">
        <v>4.943027042561686E-2</v>
      </c>
      <c r="Q7834" s="1">
        <v>0.90438424519478622</v>
      </c>
      <c r="R7834" s="2">
        <f t="shared" si="491"/>
        <v>27.660663936679747</v>
      </c>
      <c r="S7834" s="2">
        <f t="shared" si="490"/>
        <v>1.1639504300264358</v>
      </c>
      <c r="T7834" s="2">
        <f t="shared" si="492"/>
        <v>1.5588661393299388</v>
      </c>
      <c r="U7834" s="2">
        <f t="shared" si="493"/>
        <v>30.383480506036122</v>
      </c>
    </row>
    <row r="7835" spans="1:21" x14ac:dyDescent="0.25">
      <c r="A7835">
        <v>9114085</v>
      </c>
      <c r="B7835">
        <v>6</v>
      </c>
      <c r="C7835" s="1">
        <f>0.314763376687999*(10.3/7.3)</f>
        <v>0.44411818902553346</v>
      </c>
      <c r="D7835" s="1">
        <f>0.785813326457771*(10.3/7.3)</f>
        <v>1.1087503099335667</v>
      </c>
      <c r="E7835" s="1">
        <f>2.6706470110208*(10.3/7.3)</f>
        <v>3.7681731799334597</v>
      </c>
      <c r="F7835" s="1">
        <f>7.63101930288397*(38.9/42.5)</f>
        <v>6.9846270795808589</v>
      </c>
      <c r="G7835" s="1">
        <v>0.41161915882004907</v>
      </c>
      <c r="H7835" s="1">
        <v>1.9905943654707901</v>
      </c>
      <c r="I7835" s="1">
        <v>5.319442131018759</v>
      </c>
      <c r="J7835" s="1">
        <v>1.1388758884374102E-2</v>
      </c>
      <c r="K7835" s="1">
        <v>0.9956279688273425</v>
      </c>
      <c r="L7835" s="1">
        <v>0.80127930214125342</v>
      </c>
      <c r="M7835" s="1">
        <v>6.6019721280706378E-2</v>
      </c>
      <c r="N7835" s="1">
        <v>0.45098381113786878</v>
      </c>
      <c r="O7835" s="1">
        <v>6.3413333333333335E-2</v>
      </c>
      <c r="P7835" s="1">
        <v>4.4515992446796777E-2</v>
      </c>
      <c r="Q7835" s="1">
        <v>0.65783883829688272</v>
      </c>
      <c r="R7835" s="2">
        <f t="shared" si="491"/>
        <v>20.685163252079899</v>
      </c>
      <c r="S7835" s="2">
        <f t="shared" si="490"/>
        <v>1.0515327201585134</v>
      </c>
      <c r="T7835" s="2">
        <f t="shared" si="492"/>
        <v>1.3816961678931619</v>
      </c>
      <c r="U7835" s="2">
        <f t="shared" si="493"/>
        <v>23.118392140131572</v>
      </c>
    </row>
    <row r="7836" spans="1:21" x14ac:dyDescent="0.25">
      <c r="A7836">
        <v>9126265</v>
      </c>
      <c r="B7836">
        <v>2</v>
      </c>
      <c r="C7836" s="1">
        <f>0.256539752736032*(10.3/7.3)</f>
        <v>0.36196704838097654</v>
      </c>
      <c r="D7836" s="1">
        <f>0.647188459999544*(10.3/7.3)</f>
        <v>0.91315632027332883</v>
      </c>
      <c r="E7836" s="1">
        <f>2.20018017496708*(10.3/7.3)</f>
        <v>3.1043638085151932</v>
      </c>
      <c r="F7836" s="1">
        <f>6.22568866557808*(38.9/42.5)</f>
        <v>5.6983362139055869</v>
      </c>
      <c r="G7836" s="1">
        <v>0.33417009387741142</v>
      </c>
      <c r="H7836" s="1">
        <v>1.6698016521693042</v>
      </c>
      <c r="I7836" s="1">
        <v>4.3217244565539739</v>
      </c>
      <c r="J7836" s="1">
        <v>1.0892304044779555E-2</v>
      </c>
      <c r="K7836" s="1">
        <v>0.97292982414880824</v>
      </c>
      <c r="L7836" s="1">
        <v>0.78369400278353796</v>
      </c>
      <c r="M7836" s="1">
        <v>6.7926614466815055E-2</v>
      </c>
      <c r="N7836" s="1">
        <v>0.43604842289721552</v>
      </c>
      <c r="O7836" s="1">
        <v>6.4159999999999995E-2</v>
      </c>
      <c r="P7836" s="1">
        <v>4.4586174191123679E-2</v>
      </c>
      <c r="Q7836" s="1">
        <v>0.53406179386800967</v>
      </c>
      <c r="R7836" s="2">
        <f t="shared" si="491"/>
        <v>16.937581387543784</v>
      </c>
      <c r="S7836" s="2">
        <f t="shared" si="490"/>
        <v>1.0284083023847115</v>
      </c>
      <c r="T7836" s="2">
        <f t="shared" si="492"/>
        <v>1.3518290401475686</v>
      </c>
      <c r="U7836" s="2">
        <f t="shared" si="493"/>
        <v>19.317818730076063</v>
      </c>
    </row>
    <row r="7837" spans="1:21" x14ac:dyDescent="0.25">
      <c r="A7837">
        <v>9126273</v>
      </c>
      <c r="B7837">
        <v>52</v>
      </c>
      <c r="C7837" s="1">
        <f>0.509907723987822*(10.3/7.3)</f>
        <v>0.71945884343487287</v>
      </c>
      <c r="D7837" s="1">
        <f>1.38891935495009*(10.3/7.3)</f>
        <v>1.9597081309569737</v>
      </c>
      <c r="E7837" s="1">
        <f>4.70240081950979*(10.3/7.3)</f>
        <v>6.6348943069795734</v>
      </c>
      <c r="F7837" s="1">
        <f>13.8904929195488*(38.9/42.5)</f>
        <v>12.713886460481099</v>
      </c>
      <c r="G7837" s="1">
        <v>0.7664345876030888</v>
      </c>
      <c r="H7837" s="1">
        <v>3.2097487911934928</v>
      </c>
      <c r="I7837" s="1">
        <v>9.6633891811534873</v>
      </c>
      <c r="J7837" s="1">
        <v>1.3372293440729181E-2</v>
      </c>
      <c r="K7837" s="1">
        <v>1.1746484103145549</v>
      </c>
      <c r="L7837" s="1">
        <v>0.98201234213975974</v>
      </c>
      <c r="M7837" s="1">
        <v>8.0642801599455596E-2</v>
      </c>
      <c r="N7837" s="1">
        <v>0.52745160396526114</v>
      </c>
      <c r="O7837" s="1">
        <v>7.7768205128205134E-2</v>
      </c>
      <c r="P7837" s="1">
        <v>5.248327392932161E-2</v>
      </c>
      <c r="Q7837" s="1">
        <v>1.2248954596396402</v>
      </c>
      <c r="R7837" s="2">
        <f t="shared" si="491"/>
        <v>36.89241576144223</v>
      </c>
      <c r="S7837" s="2">
        <f t="shared" si="490"/>
        <v>1.2405039776846056</v>
      </c>
      <c r="T7837" s="2">
        <f t="shared" si="492"/>
        <v>1.6678749528326817</v>
      </c>
      <c r="U7837" s="2">
        <f t="shared" si="493"/>
        <v>39.800794691959517</v>
      </c>
    </row>
    <row r="7838" spans="1:21" x14ac:dyDescent="0.25">
      <c r="A7838">
        <v>9126281</v>
      </c>
      <c r="B7838">
        <v>68</v>
      </c>
      <c r="C7838" s="1">
        <f>0.496238790724933*(10.3/7.3)</f>
        <v>0.70017254033791898</v>
      </c>
      <c r="D7838" s="1">
        <f>1.34607092382652*(10.3/7.3)</f>
        <v>1.8992507555360434</v>
      </c>
      <c r="E7838" s="1">
        <f>4.55739848503483*(10.3/7.3)</f>
        <v>6.4303019720354433</v>
      </c>
      <c r="F7838" s="1">
        <f>13.4794382784464*(38.9/42.5)</f>
        <v>12.337650565448588</v>
      </c>
      <c r="G7838" s="1">
        <v>0.74410146119841136</v>
      </c>
      <c r="H7838" s="1">
        <v>3.1500174782869022</v>
      </c>
      <c r="I7838" s="1">
        <v>9.3855764228410603</v>
      </c>
      <c r="J7838" s="1">
        <v>1.3547675996024714E-2</v>
      </c>
      <c r="K7838" s="1">
        <v>1.1854556692036344</v>
      </c>
      <c r="L7838" s="1">
        <v>0.99518188393878693</v>
      </c>
      <c r="M7838" s="1">
        <v>8.1117310514100663E-2</v>
      </c>
      <c r="N7838" s="1">
        <v>0.53631737211304964</v>
      </c>
      <c r="O7838" s="1">
        <v>7.8284705882352923E-2</v>
      </c>
      <c r="P7838" s="1">
        <v>5.278783975626089E-2</v>
      </c>
      <c r="Q7838" s="1">
        <v>1.189203248490613</v>
      </c>
      <c r="R7838" s="2">
        <f t="shared" si="491"/>
        <v>35.836274444174983</v>
      </c>
      <c r="S7838" s="2">
        <f t="shared" si="490"/>
        <v>1.25179118495592</v>
      </c>
      <c r="T7838" s="2">
        <f t="shared" si="492"/>
        <v>1.6909012724482904</v>
      </c>
      <c r="U7838" s="2">
        <f t="shared" si="493"/>
        <v>38.778966901579196</v>
      </c>
    </row>
    <row r="7839" spans="1:21" x14ac:dyDescent="0.25">
      <c r="A7839">
        <v>9126313</v>
      </c>
      <c r="B7839">
        <v>41</v>
      </c>
      <c r="C7839" s="1">
        <f>0.427421509488815*(10.3/7.3)</f>
        <v>0.60307418462120466</v>
      </c>
      <c r="D7839" s="1">
        <f>1.09648731389075*(10.3/7.3)</f>
        <v>1.5470985387773644</v>
      </c>
      <c r="E7839" s="1">
        <f>3.72097862441686*(10.3/7.3)</f>
        <v>5.250147922122415</v>
      </c>
      <c r="F7839" s="1">
        <f>10.7968386720889*(38.9/42.5)</f>
        <v>9.8822829257472318</v>
      </c>
      <c r="G7839" s="1">
        <v>0.5882379718920121</v>
      </c>
      <c r="H7839" s="1">
        <v>2.5939927192427508</v>
      </c>
      <c r="I7839" s="1">
        <v>7.5309374794523949</v>
      </c>
      <c r="J7839" s="1">
        <v>1.2400504248534268E-2</v>
      </c>
      <c r="K7839" s="1">
        <v>1.0766950599521528</v>
      </c>
      <c r="L7839" s="1">
        <v>0.88043885190590132</v>
      </c>
      <c r="M7839" s="1">
        <v>7.147644285169702E-2</v>
      </c>
      <c r="N7839" s="1">
        <v>0.49012482004779234</v>
      </c>
      <c r="O7839" s="1">
        <v>6.8745365853658535E-2</v>
      </c>
      <c r="P7839" s="1">
        <v>4.7714806419552697E-2</v>
      </c>
      <c r="Q7839" s="1">
        <v>0.94010634777262314</v>
      </c>
      <c r="R7839" s="2">
        <f t="shared" si="491"/>
        <v>28.935878089627998</v>
      </c>
      <c r="S7839" s="2">
        <f t="shared" si="490"/>
        <v>1.1368103706202397</v>
      </c>
      <c r="T7839" s="2">
        <f t="shared" si="492"/>
        <v>1.5107854806590493</v>
      </c>
      <c r="U7839" s="2">
        <f t="shared" si="493"/>
        <v>31.583473940907286</v>
      </c>
    </row>
    <row r="7840" spans="1:21" x14ac:dyDescent="0.25">
      <c r="A7840">
        <v>9126321</v>
      </c>
      <c r="B7840">
        <v>2</v>
      </c>
      <c r="C7840" s="1">
        <f>0.329267836650951*(10.3/7.3)</f>
        <v>0.46458338595956111</v>
      </c>
      <c r="D7840" s="1">
        <f>0.82063116436594*(10.3/7.3)</f>
        <v>1.1578768483519426</v>
      </c>
      <c r="E7840" s="1">
        <f>2.78924417033862*(10.3/7.3)</f>
        <v>3.9355088978750339</v>
      </c>
      <c r="F7840" s="1">
        <f>7.96185260763157*(38.9/42.5)</f>
        <v>7.2874368573380739</v>
      </c>
      <c r="G7840" s="1">
        <v>0.42917976417070025</v>
      </c>
      <c r="H7840" s="1">
        <v>2.0314072604091464</v>
      </c>
      <c r="I7840" s="1">
        <v>5.5497910851095105</v>
      </c>
      <c r="J7840" s="1">
        <v>1.1210544326570933E-2</v>
      </c>
      <c r="K7840" s="1">
        <v>0.98094110599524109</v>
      </c>
      <c r="L7840" s="1">
        <v>0.785288787724431</v>
      </c>
      <c r="M7840" s="1">
        <v>6.4986174017726009E-2</v>
      </c>
      <c r="N7840" s="1">
        <v>0.44235512640828456</v>
      </c>
      <c r="O7840" s="1">
        <v>6.2133333333333332E-2</v>
      </c>
      <c r="P7840" s="1">
        <v>4.3868174312949537E-2</v>
      </c>
      <c r="Q7840" s="1">
        <v>0.68590373269290061</v>
      </c>
      <c r="R7840" s="2">
        <f t="shared" si="491"/>
        <v>21.541687831906867</v>
      </c>
      <c r="S7840" s="2">
        <f t="shared" si="490"/>
        <v>1.0360198246347616</v>
      </c>
      <c r="T7840" s="2">
        <f t="shared" si="492"/>
        <v>1.3547634214837749</v>
      </c>
      <c r="U7840" s="2">
        <f t="shared" si="493"/>
        <v>23.932471078025401</v>
      </c>
    </row>
    <row r="7841" spans="1:21" x14ac:dyDescent="0.25">
      <c r="A7841">
        <v>9138501</v>
      </c>
      <c r="B7841">
        <v>66</v>
      </c>
      <c r="C7841" s="1">
        <f>0.441681474802759*(10.3/7.3)</f>
        <v>0.62319440965320827</v>
      </c>
      <c r="D7841" s="1">
        <f>1.19036811890236*(10.3/7.3)</f>
        <v>1.6795604965334738</v>
      </c>
      <c r="E7841" s="1">
        <f>4.0323719176327*(10.3/7.3)</f>
        <v>5.6895110618653133</v>
      </c>
      <c r="F7841" s="1">
        <f>11.8452685094747*(38.9/42.5)</f>
        <v>10.841904588672156</v>
      </c>
      <c r="G7841" s="1">
        <v>0.65132255983308485</v>
      </c>
      <c r="H7841" s="1">
        <v>2.793324308788844</v>
      </c>
      <c r="I7841" s="1">
        <v>8.2385134815149037</v>
      </c>
      <c r="J7841" s="1">
        <v>1.2792873582217274E-2</v>
      </c>
      <c r="K7841" s="1">
        <v>1.1301847924810142</v>
      </c>
      <c r="L7841" s="1">
        <v>0.93924997176444158</v>
      </c>
      <c r="M7841" s="1">
        <v>7.7622724890246117E-2</v>
      </c>
      <c r="N7841" s="1">
        <v>0.50750018794450791</v>
      </c>
      <c r="O7841" s="1">
        <v>7.50981818181818E-2</v>
      </c>
      <c r="P7841" s="1">
        <v>5.0895844613040621E-2</v>
      </c>
      <c r="Q7841" s="1">
        <v>1.0409264654866663</v>
      </c>
      <c r="R7841" s="2">
        <f t="shared" si="491"/>
        <v>31.558257372347651</v>
      </c>
      <c r="S7841" s="2">
        <f t="shared" si="490"/>
        <v>1.1938735106762721</v>
      </c>
      <c r="T7841" s="2">
        <f t="shared" si="492"/>
        <v>1.5994710664173775</v>
      </c>
      <c r="U7841" s="2">
        <f t="shared" si="493"/>
        <v>34.351601949441303</v>
      </c>
    </row>
    <row r="7842" spans="1:21" x14ac:dyDescent="0.25">
      <c r="A7842">
        <v>9138509</v>
      </c>
      <c r="B7842">
        <v>64</v>
      </c>
      <c r="C7842" s="1">
        <f>0.525784391776854*(10.3/7.3)</f>
        <v>0.74186016921939735</v>
      </c>
      <c r="D7842" s="1">
        <f>1.43520262177893*(10.3/7.3)</f>
        <v>2.0250119184004136</v>
      </c>
      <c r="E7842" s="1">
        <f>4.85830542541722*(10.3/7.3)</f>
        <v>6.8548692988763564</v>
      </c>
      <c r="F7842" s="1">
        <f>14.3806603637571*(38.9/42.5)</f>
        <v>13.162533838827118</v>
      </c>
      <c r="G7842" s="1">
        <v>0.79442347886414277</v>
      </c>
      <c r="H7842" s="1">
        <v>3.3247026087714788</v>
      </c>
      <c r="I7842" s="1">
        <v>10.007583471313749</v>
      </c>
      <c r="J7842" s="1">
        <v>1.3698785529827265E-2</v>
      </c>
      <c r="K7842" s="1">
        <v>1.2034345506272528</v>
      </c>
      <c r="L7842" s="1">
        <v>1.011547616289509</v>
      </c>
      <c r="M7842" s="1">
        <v>8.2504973352858738E-2</v>
      </c>
      <c r="N7842" s="1">
        <v>0.54170796828116374</v>
      </c>
      <c r="O7842" s="1">
        <v>7.9944166666666705E-2</v>
      </c>
      <c r="P7842" s="1">
        <v>5.3688316401177383E-2</v>
      </c>
      <c r="Q7842" s="1">
        <v>1.2696265643947502</v>
      </c>
      <c r="R7842" s="2">
        <f t="shared" si="491"/>
        <v>38.180611348667405</v>
      </c>
      <c r="S7842" s="2">
        <f t="shared" si="490"/>
        <v>1.2708216525582574</v>
      </c>
      <c r="T7842" s="2">
        <f t="shared" si="492"/>
        <v>1.715704724590198</v>
      </c>
      <c r="U7842" s="2">
        <f t="shared" si="493"/>
        <v>41.167137725815856</v>
      </c>
    </row>
    <row r="7843" spans="1:21" x14ac:dyDescent="0.25">
      <c r="A7843">
        <v>9138517</v>
      </c>
      <c r="B7843">
        <v>1</v>
      </c>
      <c r="C7843" s="1">
        <f>0.365950512053821*(10.3/7.3)</f>
        <v>0.51634113344580224</v>
      </c>
      <c r="D7843" s="1">
        <f>0.95832940404155*(10.3/7.3)</f>
        <v>1.3521634057024603</v>
      </c>
      <c r="E7843" s="1">
        <f>3.25027430197583*(10.3/7.3)</f>
        <v>4.5860034671713761</v>
      </c>
      <c r="F7843" s="1">
        <f>9.44991774593573*(38.9/42.5)</f>
        <v>8.6494541251035244</v>
      </c>
      <c r="G7843" s="1">
        <v>0.5159813714742244</v>
      </c>
      <c r="H7843" s="1">
        <v>2.343634304402582</v>
      </c>
      <c r="I7843" s="1">
        <v>6.577450211702538</v>
      </c>
      <c r="J7843" s="1">
        <v>1.2458046231193133E-2</v>
      </c>
      <c r="K7843" s="1">
        <v>1.0940367521388912</v>
      </c>
      <c r="L7843" s="1">
        <v>0.90417394269988172</v>
      </c>
      <c r="M7843" s="1">
        <v>7.5201291587375554E-2</v>
      </c>
      <c r="N7843" s="1">
        <v>0.49534087928891385</v>
      </c>
      <c r="O7843" s="1">
        <v>7.1786666666666665E-2</v>
      </c>
      <c r="P7843" s="1">
        <v>4.9145156584920323E-2</v>
      </c>
      <c r="Q7843" s="1">
        <v>0.82462776263003978</v>
      </c>
      <c r="R7843" s="2">
        <f t="shared" si="491"/>
        <v>25.365655781632547</v>
      </c>
      <c r="S7843" s="2">
        <f t="shared" si="490"/>
        <v>1.1556399549550047</v>
      </c>
      <c r="T7843" s="2">
        <f t="shared" si="492"/>
        <v>1.5465027802428377</v>
      </c>
      <c r="U7843" s="2">
        <f t="shared" si="493"/>
        <v>28.067798516830393</v>
      </c>
    </row>
    <row r="7844" spans="1:21" x14ac:dyDescent="0.25">
      <c r="A7844">
        <v>9138541</v>
      </c>
      <c r="B7844">
        <v>29</v>
      </c>
      <c r="C7844" s="1">
        <f>0.414836024363894*(10.3/7.3)</f>
        <v>0.5853165823216594</v>
      </c>
      <c r="D7844" s="1">
        <f>1.059317237464*(10.3/7.3)</f>
        <v>1.4946530884766083</v>
      </c>
      <c r="E7844" s="1">
        <f>3.59568184512659*(10.3/7.3)</f>
        <v>5.0733593157265622</v>
      </c>
      <c r="F7844" s="1">
        <f>10.4092012165279*(38.9/42.5)</f>
        <v>9.5274806428925576</v>
      </c>
      <c r="G7844" s="1">
        <v>0.56626200074215383</v>
      </c>
      <c r="H7844" s="1">
        <v>2.4936348690263133</v>
      </c>
      <c r="I7844" s="1">
        <v>7.2603081464018846</v>
      </c>
      <c r="J7844" s="1">
        <v>1.2202283466792524E-2</v>
      </c>
      <c r="K7844" s="1">
        <v>1.0639897504236195</v>
      </c>
      <c r="L7844" s="1">
        <v>0.86784394852137803</v>
      </c>
      <c r="M7844" s="1">
        <v>7.1279611430069986E-2</v>
      </c>
      <c r="N7844" s="1">
        <v>0.48274705026015224</v>
      </c>
      <c r="O7844" s="1">
        <v>6.8150804597701162E-2</v>
      </c>
      <c r="P7844" s="1">
        <v>4.7365643493731659E-2</v>
      </c>
      <c r="Q7844" s="1">
        <v>0.90498493269294078</v>
      </c>
      <c r="R7844" s="2">
        <f t="shared" si="491"/>
        <v>27.905999578280678</v>
      </c>
      <c r="S7844" s="2">
        <f t="shared" si="490"/>
        <v>1.1235576773841438</v>
      </c>
      <c r="T7844" s="2">
        <f t="shared" si="492"/>
        <v>1.4900214148093014</v>
      </c>
      <c r="U7844" s="2">
        <f t="shared" si="493"/>
        <v>30.519578670474125</v>
      </c>
    </row>
    <row r="7845" spans="1:21" x14ac:dyDescent="0.25">
      <c r="A7845">
        <v>9138549</v>
      </c>
      <c r="B7845">
        <v>28</v>
      </c>
      <c r="C7845" s="1">
        <f>0.398503754903002*(10.3/7.3)</f>
        <v>0.5622724213014958</v>
      </c>
      <c r="D7845" s="1">
        <f>1.02393045744361*(10.3/7.3)</f>
        <v>1.4447237961190609</v>
      </c>
      <c r="E7845" s="1">
        <f>3.47500328571665*(10.3/7.3)</f>
        <v>4.903086827791979</v>
      </c>
      <c r="F7845" s="1">
        <f>10.0639071677677*(38.9/42.5)</f>
        <v>9.2114350312038393</v>
      </c>
      <c r="G7845" s="1">
        <v>0.54778282560683722</v>
      </c>
      <c r="H7845" s="1">
        <v>2.4636136583939114</v>
      </c>
      <c r="I7845" s="1">
        <v>7.0145221378078366</v>
      </c>
      <c r="J7845" s="1">
        <v>1.2160112710239871E-2</v>
      </c>
      <c r="K7845" s="1">
        <v>1.0586872479912337</v>
      </c>
      <c r="L7845" s="1">
        <v>0.86498909022327219</v>
      </c>
      <c r="M7845" s="1">
        <v>7.0139164949373195E-2</v>
      </c>
      <c r="N7845" s="1">
        <v>0.47980626993211345</v>
      </c>
      <c r="O7845" s="1">
        <v>6.7533333333333334E-2</v>
      </c>
      <c r="P7845" s="1">
        <v>4.7014613022788539E-2</v>
      </c>
      <c r="Q7845" s="1">
        <v>0.87545200439448945</v>
      </c>
      <c r="R7845" s="2">
        <f t="shared" si="491"/>
        <v>27.022888702619451</v>
      </c>
      <c r="S7845" s="2">
        <f t="shared" si="490"/>
        <v>1.1178619737242623</v>
      </c>
      <c r="T7845" s="2">
        <f t="shared" si="492"/>
        <v>1.4824678584380924</v>
      </c>
      <c r="U7845" s="2">
        <f t="shared" si="493"/>
        <v>29.623218534781806</v>
      </c>
    </row>
    <row r="7846" spans="1:21" x14ac:dyDescent="0.25">
      <c r="A7846">
        <v>9150729</v>
      </c>
      <c r="B7846">
        <v>6</v>
      </c>
      <c r="C7846" s="1">
        <f>0.250246742189177*(10.3/7.3)</f>
        <v>0.35308786911623596</v>
      </c>
      <c r="D7846" s="1">
        <f>0.628967565523373*(10.3/7.3)</f>
        <v>0.88744738697133441</v>
      </c>
      <c r="E7846" s="1">
        <f>2.13858007243906*(10.3/7.3)</f>
        <v>3.0174485953592165</v>
      </c>
      <c r="F7846" s="1">
        <f>6.04311059680539*(38.9/42.5)</f>
        <v>5.5312235815465778</v>
      </c>
      <c r="G7846" s="1">
        <v>0.32404860443905242</v>
      </c>
      <c r="H7846" s="1">
        <v>1.6298285287317371</v>
      </c>
      <c r="I7846" s="1">
        <v>4.1955071502577708</v>
      </c>
      <c r="J7846" s="1">
        <v>1.0848457605954966E-2</v>
      </c>
      <c r="K7846" s="1">
        <v>0.97027045982009108</v>
      </c>
      <c r="L7846" s="1">
        <v>0.78138546759549732</v>
      </c>
      <c r="M7846" s="1">
        <v>6.628627295976805E-2</v>
      </c>
      <c r="N7846" s="1">
        <v>0.43498367518063419</v>
      </c>
      <c r="O7846" s="1">
        <v>6.4008888888888893E-2</v>
      </c>
      <c r="P7846" s="1">
        <v>4.4510504532469158E-2</v>
      </c>
      <c r="Q7846" s="1">
        <v>0.51788589750533554</v>
      </c>
      <c r="R7846" s="2">
        <f t="shared" si="491"/>
        <v>16.456477613927262</v>
      </c>
      <c r="S7846" s="2">
        <f t="shared" si="490"/>
        <v>1.0256294219585151</v>
      </c>
      <c r="T7846" s="2">
        <f t="shared" si="492"/>
        <v>1.3466643046247886</v>
      </c>
      <c r="U7846" s="2">
        <f t="shared" si="493"/>
        <v>18.828771340510567</v>
      </c>
    </row>
    <row r="7847" spans="1:21" x14ac:dyDescent="0.25">
      <c r="A7847">
        <v>9150737</v>
      </c>
      <c r="B7847">
        <v>63</v>
      </c>
      <c r="C7847" s="1">
        <f>0.471960617992915*(10.3/7.3)</f>
        <v>0.66591703634616761</v>
      </c>
      <c r="D7847" s="1">
        <f>1.27132811405734*(10.3/7.3)</f>
        <v>1.7937917225740556</v>
      </c>
      <c r="E7847" s="1">
        <f>4.30639489974748*(10.3/7.3)</f>
        <v>6.0761462284108294</v>
      </c>
      <c r="F7847" s="1">
        <f>12.6644032240541*(38.9/42.5)</f>
        <v>11.591653774487186</v>
      </c>
      <c r="G7847" s="1">
        <v>0.6967597223767138</v>
      </c>
      <c r="H7847" s="1">
        <v>2.9421701113396974</v>
      </c>
      <c r="I7847" s="1">
        <v>8.8115540432883002</v>
      </c>
      <c r="J7847" s="1">
        <v>1.2876843706786526E-2</v>
      </c>
      <c r="K7847" s="1">
        <v>1.1375440961039913</v>
      </c>
      <c r="L7847" s="1">
        <v>0.94527056278436539</v>
      </c>
      <c r="M7847" s="1">
        <v>7.8203660166376518E-2</v>
      </c>
      <c r="N7847" s="1">
        <v>0.50932261733232709</v>
      </c>
      <c r="O7847" s="1">
        <v>7.5360846560846545E-2</v>
      </c>
      <c r="P7847" s="1">
        <v>5.108825523227959E-2</v>
      </c>
      <c r="Q7847" s="1">
        <v>1.1135429353052511</v>
      </c>
      <c r="R7847" s="2">
        <f t="shared" si="491"/>
        <v>33.691535574128203</v>
      </c>
      <c r="S7847" s="2">
        <f t="shared" si="490"/>
        <v>1.2015091950430574</v>
      </c>
      <c r="T7847" s="2">
        <f t="shared" si="492"/>
        <v>1.6081576868439156</v>
      </c>
      <c r="U7847" s="2">
        <f t="shared" si="493"/>
        <v>36.501202456015179</v>
      </c>
    </row>
    <row r="7848" spans="1:21" x14ac:dyDescent="0.25">
      <c r="A7848">
        <v>9150745</v>
      </c>
      <c r="B7848">
        <v>8</v>
      </c>
      <c r="C7848" s="1">
        <f>0.343526683333066*(10.3/7.3)</f>
        <v>0.48470203264802397</v>
      </c>
      <c r="D7848" s="1">
        <f>0.896908239214809*(10.3/7.3)</f>
        <v>1.2655006662893886</v>
      </c>
      <c r="E7848" s="1">
        <f>3.04295147531962*(10.3/7.3)</f>
        <v>4.2934794788756294</v>
      </c>
      <c r="F7848" s="1">
        <f>8.8064702135945*(38.9/42.5)</f>
        <v>8.0605103837370837</v>
      </c>
      <c r="G7848" s="1">
        <v>0.47956815085786653</v>
      </c>
      <c r="H7848" s="1">
        <v>2.2017968979192815</v>
      </c>
      <c r="I7848" s="1">
        <v>6.124053429218737</v>
      </c>
      <c r="J7848" s="1">
        <v>1.2202393204820725E-2</v>
      </c>
      <c r="K7848" s="1">
        <v>1.0808023286871924</v>
      </c>
      <c r="L7848" s="1">
        <v>0.89078074353674308</v>
      </c>
      <c r="M7848" s="1">
        <v>7.4452019631604985E-2</v>
      </c>
      <c r="N7848" s="1">
        <v>0.48737569980123557</v>
      </c>
      <c r="O7848" s="1">
        <v>7.1226666666666674E-2</v>
      </c>
      <c r="P7848" s="1">
        <v>4.883901050573098E-2</v>
      </c>
      <c r="Q7848" s="1">
        <v>0.76643311780937651</v>
      </c>
      <c r="R7848" s="2">
        <f t="shared" si="491"/>
        <v>23.676044157355388</v>
      </c>
      <c r="S7848" s="2">
        <f t="shared" si="490"/>
        <v>1.1418437323977442</v>
      </c>
      <c r="T7848" s="2">
        <f t="shared" si="492"/>
        <v>1.5238351296362505</v>
      </c>
      <c r="U7848" s="2">
        <f t="shared" si="493"/>
        <v>26.341723019389384</v>
      </c>
    </row>
    <row r="7849" spans="1:21" x14ac:dyDescent="0.25">
      <c r="A7849">
        <v>9150777</v>
      </c>
      <c r="B7849">
        <v>14</v>
      </c>
      <c r="C7849" s="1">
        <f>0.425995846864816*(10.3/7.3)</f>
        <v>0.60106263324761755</v>
      </c>
      <c r="D7849" s="1">
        <f>1.09263922013761*(10.3/7.3)</f>
        <v>1.5416690366325168</v>
      </c>
      <c r="E7849" s="1">
        <f>3.70810991014158*(10.3/7.3)</f>
        <v>5.2319906951312705</v>
      </c>
      <c r="F7849" s="1">
        <f>10.7504878108407*(38.9/42.5)</f>
        <v>9.83985825509893</v>
      </c>
      <c r="G7849" s="1">
        <v>0.58543951795063598</v>
      </c>
      <c r="H7849" s="1">
        <v>2.5680212494134644</v>
      </c>
      <c r="I7849" s="1">
        <v>7.497035988305492</v>
      </c>
      <c r="J7849" s="1">
        <v>1.2347116761540138E-2</v>
      </c>
      <c r="K7849" s="1">
        <v>1.0743200459084947</v>
      </c>
      <c r="L7849" s="1">
        <v>0.87884593167084046</v>
      </c>
      <c r="M7849" s="1">
        <v>7.196983171711778E-2</v>
      </c>
      <c r="N7849" s="1">
        <v>0.48797991798069845</v>
      </c>
      <c r="O7849" s="1">
        <v>6.8636190476190476E-2</v>
      </c>
      <c r="P7849" s="1">
        <v>4.7690053212689189E-2</v>
      </c>
      <c r="Q7849" s="1">
        <v>0.93563393279782114</v>
      </c>
      <c r="R7849" s="2">
        <f t="shared" si="491"/>
        <v>28.800711308577746</v>
      </c>
      <c r="S7849" s="2">
        <f t="shared" si="490"/>
        <v>1.134357215882724</v>
      </c>
      <c r="T7849" s="2">
        <f t="shared" si="492"/>
        <v>1.5074318718448472</v>
      </c>
      <c r="U7849" s="2">
        <f t="shared" si="493"/>
        <v>31.442500396305316</v>
      </c>
    </row>
    <row r="7850" spans="1:21" x14ac:dyDescent="0.25">
      <c r="A7850">
        <v>9162965</v>
      </c>
      <c r="B7850">
        <v>19</v>
      </c>
      <c r="C7850" s="1">
        <f>0.277764513491164*(10.3/7.3)</f>
        <v>0.39191431355602607</v>
      </c>
      <c r="D7850" s="1">
        <f>0.707029608305289*(10.3/7.3)</f>
        <v>0.99758972130746282</v>
      </c>
      <c r="E7850" s="1">
        <f>2.40220852872815*(10.3/7.3)</f>
        <v>3.3894175131369861</v>
      </c>
      <c r="F7850" s="1">
        <f>6.84444345446109*(38.9/42.5)</f>
        <v>6.2646788324361529</v>
      </c>
      <c r="G7850" s="1">
        <v>0.36900424355223987</v>
      </c>
      <c r="H7850" s="1">
        <v>1.773933318267169</v>
      </c>
      <c r="I7850" s="1">
        <v>4.7547413160588965</v>
      </c>
      <c r="J7850" s="1">
        <v>1.1085481478989759E-2</v>
      </c>
      <c r="K7850" s="1">
        <v>0.99035410275662628</v>
      </c>
      <c r="L7850" s="1">
        <v>0.80108183263695609</v>
      </c>
      <c r="M7850" s="1">
        <v>6.7964195131646074E-2</v>
      </c>
      <c r="N7850" s="1">
        <v>0.44370008051679094</v>
      </c>
      <c r="O7850" s="1">
        <v>6.543157894736841E-2</v>
      </c>
      <c r="P7850" s="1">
        <v>4.5306804419912201E-2</v>
      </c>
      <c r="Q7850" s="1">
        <v>0.58973280933006433</v>
      </c>
      <c r="R7850" s="2">
        <f t="shared" si="491"/>
        <v>18.531012067644998</v>
      </c>
      <c r="S7850" s="2">
        <f t="shared" si="490"/>
        <v>1.0467463886555284</v>
      </c>
      <c r="T7850" s="2">
        <f t="shared" si="492"/>
        <v>1.3781776872327616</v>
      </c>
      <c r="U7850" s="2">
        <f t="shared" si="493"/>
        <v>20.955936143533286</v>
      </c>
    </row>
    <row r="7851" spans="1:21" x14ac:dyDescent="0.25">
      <c r="A7851">
        <v>9162973</v>
      </c>
      <c r="B7851">
        <v>23</v>
      </c>
      <c r="C7851" s="1">
        <f>0.3349720680052*(10.3/7.3)</f>
        <v>0.47263182197993969</v>
      </c>
      <c r="D7851" s="1">
        <f>0.854523828378143*(10.3/7.3)</f>
        <v>1.2056980044239556</v>
      </c>
      <c r="E7851" s="1">
        <f>2.90249256928047*(10.3/7.3)</f>
        <v>4.0952977347382005</v>
      </c>
      <c r="F7851" s="1">
        <f>8.30572869724601*(38.9/42.5)</f>
        <v>7.6021846193616396</v>
      </c>
      <c r="G7851" s="1">
        <v>0.4489266983199891</v>
      </c>
      <c r="H7851" s="1">
        <v>2.0128665661438956</v>
      </c>
      <c r="I7851" s="1">
        <v>5.7752098022447838</v>
      </c>
      <c r="J7851" s="1">
        <v>1.0903188784852419E-2</v>
      </c>
      <c r="K7851" s="1">
        <v>0.9719243186950226</v>
      </c>
      <c r="L7851" s="1">
        <v>0.77893509345779244</v>
      </c>
      <c r="M7851" s="1">
        <v>6.6850353646017144E-2</v>
      </c>
      <c r="N7851" s="1">
        <v>0.43111373518461465</v>
      </c>
      <c r="O7851" s="1">
        <v>6.3318260869565227E-2</v>
      </c>
      <c r="P7851" s="1">
        <v>4.4059359316748148E-2</v>
      </c>
      <c r="Q7851" s="1">
        <v>0.71746275987212926</v>
      </c>
      <c r="R7851" s="2">
        <f t="shared" si="491"/>
        <v>22.330278007084534</v>
      </c>
      <c r="S7851" s="2">
        <f t="shared" si="490"/>
        <v>1.0268868667966231</v>
      </c>
      <c r="T7851" s="2">
        <f t="shared" si="492"/>
        <v>1.3402174431579894</v>
      </c>
      <c r="U7851" s="2">
        <f t="shared" si="493"/>
        <v>24.697382317039146</v>
      </c>
    </row>
    <row r="7852" spans="1:21" x14ac:dyDescent="0.25">
      <c r="A7852">
        <v>9175201</v>
      </c>
      <c r="B7852">
        <v>31</v>
      </c>
      <c r="C7852" s="1">
        <f>0.314788002256697*(10.3/7.3)</f>
        <v>0.44415293469095607</v>
      </c>
      <c r="D7852" s="1">
        <f>0.801149410042309*(10.3/7.3)</f>
        <v>1.13038889362134</v>
      </c>
      <c r="E7852" s="1">
        <f>2.72179616878207*(10.3/7.3)</f>
        <v>3.8403425395144257</v>
      </c>
      <c r="F7852" s="1">
        <f>7.76547801763482*(38.9/42.5)</f>
        <v>7.1076963502586921</v>
      </c>
      <c r="G7852" s="1">
        <v>0.41897290026312445</v>
      </c>
      <c r="H7852" s="1">
        <v>1.9094995278978015</v>
      </c>
      <c r="I7852" s="1">
        <v>5.3967344511420334</v>
      </c>
      <c r="J7852" s="1">
        <v>1.0780475094145767E-2</v>
      </c>
      <c r="K7852" s="1">
        <v>0.96293683758831838</v>
      </c>
      <c r="L7852" s="1">
        <v>0.77203145090402803</v>
      </c>
      <c r="M7852" s="1">
        <v>6.5747979199265907E-2</v>
      </c>
      <c r="N7852" s="1">
        <v>0.4278150303347662</v>
      </c>
      <c r="O7852" s="1">
        <v>6.3103655913978499E-2</v>
      </c>
      <c r="P7852" s="1">
        <v>4.3895016296690903E-2</v>
      </c>
      <c r="Q7852" s="1">
        <v>0.66959139311458327</v>
      </c>
      <c r="R7852" s="2">
        <f t="shared" si="491"/>
        <v>20.917378990502957</v>
      </c>
      <c r="S7852" s="2">
        <f t="shared" si="490"/>
        <v>1.0176123289791552</v>
      </c>
      <c r="T7852" s="2">
        <f t="shared" si="492"/>
        <v>1.3286981163520388</v>
      </c>
      <c r="U7852" s="2">
        <f t="shared" si="493"/>
        <v>23.263689435834152</v>
      </c>
    </row>
    <row r="7853" spans="1:21" x14ac:dyDescent="0.25">
      <c r="A7853">
        <v>918389</v>
      </c>
      <c r="B7853">
        <v>21</v>
      </c>
      <c r="C7853" s="1">
        <f>2.23259627339508*(10.3/7.3)</f>
        <v>3.1501015912286814</v>
      </c>
      <c r="D7853" s="1">
        <f>2.78024934634621*(10.3/7.3)</f>
        <v>3.9228175708720512</v>
      </c>
      <c r="E7853" s="1">
        <f>9.81042852412144*(10.3/7.3)</f>
        <v>13.842111479239838</v>
      </c>
      <c r="F7853" s="1">
        <f>20.7346186052985*(38.9/42.5)</f>
        <v>18.978274441084984</v>
      </c>
      <c r="G7853" s="1">
        <v>0.8146445037908705</v>
      </c>
      <c r="H7853" s="1">
        <v>3.0337985128702565</v>
      </c>
      <c r="I7853" s="1">
        <v>15.628551533347778</v>
      </c>
      <c r="J7853" s="1">
        <v>5.1710105673324319E-2</v>
      </c>
      <c r="K7853" s="1">
        <v>8.3429440210672077</v>
      </c>
      <c r="L7853" s="1">
        <v>1.9763746288461901</v>
      </c>
      <c r="M7853" s="1">
        <v>0.15562299431574805</v>
      </c>
      <c r="N7853" s="1">
        <v>1.8792385899137334</v>
      </c>
      <c r="O7853" s="1">
        <v>8.3194920634920622E-2</v>
      </c>
      <c r="P7853" s="1">
        <v>7.0105868163859136E-2</v>
      </c>
      <c r="Q7853" s="1">
        <v>1.3019432708986525</v>
      </c>
      <c r="R7853" s="2">
        <f t="shared" si="491"/>
        <v>60.672242903333121</v>
      </c>
      <c r="S7853" s="2">
        <f t="shared" si="490"/>
        <v>8.4647599949043908</v>
      </c>
      <c r="T7853" s="2">
        <f t="shared" si="492"/>
        <v>4.0944311337105921</v>
      </c>
      <c r="U7853" s="2">
        <f t="shared" si="493"/>
        <v>73.231434031948098</v>
      </c>
    </row>
    <row r="7854" spans="1:21" x14ac:dyDescent="0.25">
      <c r="A7854">
        <v>930625</v>
      </c>
      <c r="B7854">
        <v>3</v>
      </c>
      <c r="C7854" s="1">
        <f>1.69088148364441*(10.3/7.3)</f>
        <v>2.3857642851421192</v>
      </c>
      <c r="D7854" s="1">
        <f>2.08629059234795*(10.3/7.3)</f>
        <v>2.9436702878334073</v>
      </c>
      <c r="E7854" s="1">
        <f>7.36731445938733*(10.3/7.3)</f>
        <v>10.394977935847878</v>
      </c>
      <c r="F7854" s="1">
        <f>15.4442642421777*(38.9/42.5)</f>
        <v>14.136044212252028</v>
      </c>
      <c r="G7854" s="1">
        <v>0.59999331031063885</v>
      </c>
      <c r="H7854" s="1">
        <v>4.8057323751831653</v>
      </c>
      <c r="I7854" s="1">
        <v>11.6580958632314</v>
      </c>
      <c r="J7854" s="1">
        <v>4.0251030840973451E-2</v>
      </c>
      <c r="K7854" s="1">
        <v>6.6914186239348483</v>
      </c>
      <c r="L7854" s="1">
        <v>1.6250037740180308</v>
      </c>
      <c r="M7854" s="1">
        <v>0.12916593632033382</v>
      </c>
      <c r="N7854" s="1">
        <v>1.4263456099815113</v>
      </c>
      <c r="O7854" s="1">
        <v>7.1235555555555552E-2</v>
      </c>
      <c r="P7854" s="1">
        <v>6.1853119030480352E-2</v>
      </c>
      <c r="Q7854" s="1">
        <v>0.95889341830467512</v>
      </c>
      <c r="R7854" s="2">
        <f t="shared" si="491"/>
        <v>47.883171688105314</v>
      </c>
      <c r="S7854" s="2">
        <f t="shared" si="490"/>
        <v>6.7935227738063029</v>
      </c>
      <c r="T7854" s="2">
        <f t="shared" si="492"/>
        <v>3.2517508758754317</v>
      </c>
      <c r="U7854" s="2">
        <f t="shared" si="493"/>
        <v>57.928445337787046</v>
      </c>
    </row>
  </sheetData>
  <autoFilter ref="A8:G7854" xr:uid="{79238F16-2292-45A0-BFF8-9567D820DF53}"/>
  <pageMargins left="0.7" right="0.7" top="0.75" bottom="0.75" header="0.3" footer="0.3"/>
  <pageSetup paperSize="9" orientation="portrait" r:id="rId1"/>
</worksheet>
</file>

<file path=docProps/app.xml><?xml version="1.0" encoding="utf-8"?>
<ap:Properties xmlns:vt="http://schemas.openxmlformats.org/officeDocument/2006/docPropsVTypes" xmlns:ap="http://schemas.openxmlformats.org/officeDocument/2006/extended-properties">
  <ap:DocSecurity>2</ap:DocSecurity>
  <ap:ScaleCrop>false</ap:ScaleCrop>
  <ap:HeadingPairs>
    <vt:vector baseType="variant" size="2">
      <vt:variant>
        <vt:lpstr>Werkbladen</vt:lpstr>
      </vt:variant>
      <vt:variant>
        <vt:i4>1</vt:i4>
      </vt:variant>
    </vt:vector>
  </ap:HeadingPairs>
  <ap:TitlesOfParts>
    <vt:vector baseType="lpstr" size="1">
      <vt:lpstr>reducties</vt:lpstr>
    </vt:vector>
  </ap:TitlesOfParts>
  <ap:LinksUpToDate>false</ap:LinksUpToDate>
  <ap:SharedDoc>false</ap:SharedDoc>
</ap: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creator/>
  <lastModifiedBy/>
  <dcterms:created xsi:type="dcterms:W3CDTF">2020-04-23T11:28:22.0000000Z</dcterms:created>
  <dcterms:modified xsi:type="dcterms:W3CDTF">2020-05-01T11:43:31.0000000Z</dcterms:modified>
  <dc:description/>
  <dc:subject/>
  <dc:title/>
  <keywords/>
  <version/>
  <category>------------------------</category>
  <revision/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0x0101003B8F1EECB0E4BB4AA74437733FB5A98F</vt:lpwstr>
  </property>
</Properties>
</file>